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Ilya Files/Papers/Austrian Army - ZENODO Datasets/6 Jewish Soldiers of the Habsburg Army (1788-1820)/"/>
    </mc:Choice>
  </mc:AlternateContent>
  <xr:revisionPtr revIDLastSave="0" documentId="13_ncr:1_{AB8BFCA7-A112-2846-B70C-739FD7815867}" xr6:coauthVersionLast="47" xr6:coauthVersionMax="47" xr10:uidLastSave="{00000000-0000-0000-0000-000000000000}"/>
  <bookViews>
    <workbookView xWindow="0" yWindow="500" windowWidth="28800" windowHeight="16340" xr2:uid="{575BA789-AEA3-9A43-A905-9C4B507952DF}"/>
  </bookViews>
  <sheets>
    <sheet name="Sheet1" sheetId="2" r:id="rId1"/>
    <sheet name="Archive" sheetId="1" r:id="rId2"/>
  </sheets>
  <definedNames>
    <definedName name="_xlnm._FilterDatabase" localSheetId="1" hidden="1">Archive!$C:$C</definedName>
    <definedName name="_xlnm._FilterDatabase" localSheetId="0" hidden="1">Sheet1!$A$1:$A$1505</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09" i="2" l="1"/>
  <c r="I509" i="2"/>
  <c r="T661" i="2"/>
  <c r="I661" i="2"/>
  <c r="T534" i="2"/>
  <c r="I534" i="2"/>
  <c r="T529" i="2"/>
  <c r="I529" i="2"/>
  <c r="T1056" i="2"/>
  <c r="I1056" i="2"/>
  <c r="T917" i="2"/>
  <c r="I917" i="2"/>
  <c r="T615" i="2"/>
  <c r="I615" i="2"/>
  <c r="T919" i="2"/>
  <c r="I919" i="2"/>
  <c r="I871" i="2"/>
  <c r="T871" i="2"/>
  <c r="T929" i="2"/>
  <c r="I929" i="2"/>
  <c r="T887" i="2"/>
  <c r="I887" i="2"/>
  <c r="T857" i="2"/>
  <c r="I857" i="2"/>
  <c r="T859" i="2"/>
  <c r="I859" i="2"/>
  <c r="T923" i="2"/>
  <c r="I923" i="2"/>
  <c r="T988" i="2"/>
  <c r="I988" i="2"/>
  <c r="T984" i="2"/>
  <c r="I984" i="2"/>
  <c r="T1012" i="2"/>
  <c r="I1012" i="2"/>
  <c r="T848" i="2"/>
  <c r="I848" i="2"/>
  <c r="T716" i="2"/>
  <c r="I716" i="2"/>
  <c r="T621" i="2"/>
  <c r="I621" i="2"/>
  <c r="T665" i="2"/>
  <c r="I665" i="2"/>
  <c r="T229" i="2"/>
  <c r="I229" i="2"/>
  <c r="I366" i="2"/>
  <c r="T366" i="2"/>
  <c r="T528" i="2"/>
  <c r="I528" i="2"/>
  <c r="T707" i="2"/>
  <c r="I707" i="2"/>
  <c r="I531" i="2"/>
  <c r="T531" i="2"/>
  <c r="T236" i="2"/>
  <c r="I236" i="2"/>
  <c r="T538" i="2"/>
  <c r="I538" i="2"/>
  <c r="T597" i="2"/>
  <c r="I597" i="2"/>
  <c r="T225" i="2"/>
  <c r="I225" i="2"/>
  <c r="T283" i="2"/>
  <c r="I283" i="2"/>
  <c r="T743" i="2"/>
  <c r="I743" i="2"/>
  <c r="T218" i="2"/>
  <c r="I218" i="2"/>
  <c r="T874" i="2"/>
  <c r="I874" i="2"/>
  <c r="T893" i="2"/>
  <c r="I893" i="2"/>
  <c r="T456" i="2"/>
  <c r="I456" i="2"/>
  <c r="T265" i="2"/>
  <c r="I265" i="2"/>
  <c r="T273" i="2"/>
  <c r="I273" i="2"/>
  <c r="I498" i="2"/>
  <c r="T212" i="2"/>
  <c r="I212" i="2"/>
  <c r="T211" i="2"/>
  <c r="I211" i="2"/>
  <c r="T976" i="2"/>
  <c r="I976" i="2"/>
  <c r="T630" i="2"/>
  <c r="I630" i="2"/>
  <c r="T435" i="2"/>
  <c r="I435" i="2"/>
  <c r="T1024" i="2"/>
  <c r="I1024" i="2"/>
  <c r="T892" i="2"/>
  <c r="I892" i="2"/>
  <c r="T216" i="2"/>
  <c r="I216" i="2"/>
  <c r="T360" i="2"/>
  <c r="I360" i="2"/>
  <c r="T899" i="2"/>
  <c r="I899" i="2"/>
  <c r="T866" i="2"/>
  <c r="I866" i="2"/>
  <c r="T576" i="2"/>
  <c r="I576" i="2"/>
  <c r="T260" i="2"/>
  <c r="I260" i="2"/>
  <c r="I328" i="2"/>
  <c r="T328" i="2"/>
  <c r="T739" i="2"/>
  <c r="I739" i="2"/>
  <c r="T266" i="2"/>
  <c r="I266" i="2"/>
  <c r="T361" i="2"/>
  <c r="I361" i="2"/>
  <c r="T338" i="2"/>
  <c r="I338" i="2"/>
  <c r="T663" i="2"/>
  <c r="I663" i="2"/>
  <c r="T217" i="2"/>
  <c r="I217" i="2"/>
  <c r="T813" i="2"/>
  <c r="I813" i="2"/>
  <c r="T348" i="2"/>
  <c r="I348" i="2"/>
  <c r="T292" i="2"/>
  <c r="I292" i="2"/>
  <c r="I261" i="2"/>
  <c r="T733" i="2"/>
  <c r="I733" i="2"/>
  <c r="I319" i="2"/>
  <c r="T319" i="2"/>
  <c r="T263" i="2"/>
  <c r="I263" i="2"/>
  <c r="T274" i="2"/>
  <c r="I274" i="2"/>
  <c r="T347" i="2"/>
  <c r="I347" i="2"/>
  <c r="T183" i="2"/>
  <c r="I183" i="2"/>
  <c r="T324" i="2"/>
  <c r="I324" i="2"/>
  <c r="T802" i="2"/>
  <c r="I802" i="2"/>
  <c r="T1070" i="2"/>
  <c r="I1070" i="2"/>
  <c r="T1397" i="2"/>
  <c r="I1397" i="2"/>
  <c r="T1158" i="2"/>
  <c r="I1158" i="2"/>
  <c r="T1037" i="2"/>
  <c r="I1037" i="2"/>
  <c r="T1082" i="2"/>
  <c r="I1082" i="2"/>
  <c r="T1083" i="2"/>
  <c r="I1083" i="2"/>
  <c r="T1147" i="2"/>
  <c r="I1147" i="2"/>
  <c r="T854" i="2"/>
  <c r="I854" i="2"/>
  <c r="T491" i="2"/>
  <c r="I491" i="2"/>
  <c r="T1160" i="2"/>
  <c r="I1160" i="2"/>
  <c r="T1144" i="2"/>
  <c r="I1144" i="2"/>
  <c r="T853" i="2"/>
  <c r="I853" i="2"/>
  <c r="T1171" i="2"/>
  <c r="I1171" i="2"/>
  <c r="T1146" i="2"/>
  <c r="I1146" i="2"/>
  <c r="I1396" i="2"/>
  <c r="T1396" i="2"/>
  <c r="T1079" i="2"/>
  <c r="I1079" i="2"/>
  <c r="T1302" i="2"/>
  <c r="I1302" i="2"/>
  <c r="T1304" i="2"/>
  <c r="I1304" i="2"/>
  <c r="T1327" i="2"/>
  <c r="I1327" i="2"/>
  <c r="T1170" i="2"/>
  <c r="T1306" i="2"/>
  <c r="I1306" i="2"/>
  <c r="T1169" i="2"/>
  <c r="I1169" i="2"/>
  <c r="T269" i="2"/>
  <c r="I269" i="2"/>
  <c r="T221" i="2"/>
  <c r="I221" i="2"/>
  <c r="T219" i="2"/>
  <c r="I219" i="2"/>
  <c r="T662" i="2"/>
  <c r="I662" i="2"/>
  <c r="T204" i="2"/>
  <c r="I204" i="2"/>
  <c r="T244" i="2"/>
  <c r="I244" i="2"/>
  <c r="I1496" i="2"/>
  <c r="T1496" i="2"/>
  <c r="T1491" i="2"/>
  <c r="I1491" i="2"/>
  <c r="I1490" i="2"/>
  <c r="T1490" i="2"/>
  <c r="V1505" i="2"/>
  <c r="W1505" i="2"/>
  <c r="X1505" i="2"/>
  <c r="Y1505" i="2"/>
  <c r="Z1505" i="2"/>
  <c r="AA1505" i="2"/>
  <c r="AB1505" i="2"/>
  <c r="AC1505" i="2"/>
  <c r="AD1505" i="2"/>
  <c r="AE1505" i="2"/>
  <c r="AF1505" i="2"/>
  <c r="AG1505" i="2"/>
  <c r="AH1505" i="2"/>
  <c r="AI1505" i="2"/>
  <c r="AJ1505" i="2"/>
  <c r="AK1505" i="2"/>
  <c r="AL1505" i="2"/>
  <c r="AM1505" i="2"/>
  <c r="AN1505" i="2"/>
  <c r="AO1505" i="2"/>
  <c r="AP1505" i="2"/>
  <c r="AQ1505" i="2"/>
  <c r="AR1505" i="2"/>
  <c r="AS1505" i="2"/>
  <c r="AT1505" i="2"/>
  <c r="AU1505" i="2"/>
  <c r="AV1505" i="2"/>
  <c r="AW1505" i="2"/>
  <c r="AX1505" i="2"/>
  <c r="AY1505" i="2"/>
  <c r="AZ1505" i="2"/>
  <c r="BA1505" i="2"/>
  <c r="BB1505" i="2"/>
  <c r="T1022" i="2"/>
  <c r="I1022" i="2"/>
  <c r="T855" i="2"/>
  <c r="I855" i="2"/>
  <c r="I1481" i="2"/>
  <c r="T1481" i="2"/>
  <c r="T1285" i="2"/>
  <c r="I1285" i="2"/>
  <c r="I187" i="2"/>
  <c r="I186" i="2"/>
  <c r="I185" i="2"/>
  <c r="I351" i="2"/>
  <c r="T856" i="2"/>
  <c r="I856" i="2"/>
  <c r="T898" i="2"/>
  <c r="I898" i="2"/>
  <c r="T1011" i="2"/>
  <c r="I1011" i="2"/>
  <c r="T902" i="2"/>
  <c r="I902" i="2"/>
  <c r="T1296" i="2"/>
  <c r="I1296" i="2"/>
  <c r="T1323" i="2"/>
  <c r="I1323" i="2"/>
  <c r="T1166" i="2"/>
  <c r="I1166" i="2"/>
  <c r="T903" i="2"/>
  <c r="I903" i="2"/>
  <c r="T1228" i="2"/>
  <c r="I1228" i="2"/>
  <c r="T937" i="2"/>
  <c r="I937" i="2"/>
  <c r="T1315" i="2"/>
  <c r="I1315" i="2"/>
  <c r="T1195" i="2"/>
  <c r="I1195" i="2"/>
  <c r="T894" i="2"/>
  <c r="I894" i="2"/>
  <c r="T1314" i="2"/>
  <c r="I1314" i="2"/>
  <c r="T1339" i="2"/>
  <c r="I1339" i="2"/>
  <c r="T851" i="2"/>
  <c r="I851" i="2"/>
  <c r="T1276" i="2"/>
  <c r="I1276" i="2"/>
  <c r="T1014" i="2"/>
  <c r="I1014" i="2"/>
  <c r="T1337" i="2"/>
  <c r="I1337" i="2"/>
  <c r="T1391" i="2"/>
  <c r="I1391" i="2"/>
  <c r="T1175" i="2"/>
  <c r="I1175" i="2"/>
  <c r="T1279" i="2"/>
  <c r="I1279" i="2"/>
  <c r="T977" i="2"/>
  <c r="I977" i="2"/>
  <c r="T1148" i="2"/>
  <c r="I1148" i="2"/>
  <c r="T1290" i="2"/>
  <c r="I1290" i="2"/>
  <c r="T1149" i="2"/>
  <c r="I1149" i="2"/>
  <c r="T1292" i="2"/>
  <c r="I1292" i="2"/>
  <c r="T1284" i="2"/>
  <c r="I1284" i="2"/>
  <c r="T549" i="2"/>
  <c r="I549" i="2"/>
  <c r="T1200" i="2"/>
  <c r="T1009" i="2"/>
  <c r="I1009" i="2"/>
  <c r="T1027" i="2"/>
  <c r="I1027" i="2"/>
  <c r="T431" i="2"/>
  <c r="I431" i="2"/>
  <c r="T1287" i="2"/>
  <c r="I1287" i="2"/>
  <c r="T788" i="2"/>
  <c r="I788" i="2"/>
  <c r="T1013" i="2"/>
  <c r="I1013" i="2"/>
  <c r="T909" i="2"/>
  <c r="I909" i="2"/>
  <c r="T467" i="2"/>
  <c r="I467" i="2"/>
  <c r="T287" i="2"/>
  <c r="I287" i="2"/>
  <c r="T481" i="2"/>
  <c r="I481" i="2"/>
  <c r="T281" i="2"/>
  <c r="T188" i="2"/>
  <c r="I188" i="2"/>
  <c r="T379" i="2"/>
  <c r="I379" i="2"/>
  <c r="T548" i="2"/>
  <c r="I548" i="2"/>
  <c r="I102" i="2"/>
  <c r="I106" i="2"/>
  <c r="T1244" i="2"/>
  <c r="I1244" i="2"/>
  <c r="T1340" i="2"/>
  <c r="I1340" i="2"/>
  <c r="T1335" i="2"/>
  <c r="I1335" i="2"/>
  <c r="T1095" i="2"/>
  <c r="I1095" i="2"/>
  <c r="T1378" i="2"/>
  <c r="I1378" i="2"/>
  <c r="T1090" i="2"/>
  <c r="I1090" i="2"/>
  <c r="I1130" i="2"/>
  <c r="T1130" i="2"/>
  <c r="I1136" i="2"/>
  <c r="T1136" i="2"/>
  <c r="T1135" i="2"/>
  <c r="I1135" i="2"/>
  <c r="T1133" i="2"/>
  <c r="I1133" i="2"/>
  <c r="T1334" i="2"/>
  <c r="I1334" i="2"/>
  <c r="T1242" i="2"/>
  <c r="I1242" i="2"/>
  <c r="T1042" i="2"/>
  <c r="I1042" i="2"/>
  <c r="T1109" i="2"/>
  <c r="I1109" i="2"/>
  <c r="T1086" i="2"/>
  <c r="I1086" i="2"/>
  <c r="T1235" i="2"/>
  <c r="I1235" i="2"/>
  <c r="I1115" i="2"/>
  <c r="T1115" i="2"/>
  <c r="T1113" i="2"/>
  <c r="I1113" i="2"/>
  <c r="T1108" i="2"/>
  <c r="I1108" i="2"/>
  <c r="T1106" i="2"/>
  <c r="I1106" i="2"/>
  <c r="T1094" i="2"/>
  <c r="I1094" i="2"/>
  <c r="T1132" i="2"/>
  <c r="I1132" i="2"/>
  <c r="T1117" i="2"/>
  <c r="I1117" i="2"/>
  <c r="T1129" i="2"/>
  <c r="I1129" i="2"/>
  <c r="T1377" i="2"/>
  <c r="I1377" i="2"/>
  <c r="T1092" i="2"/>
  <c r="I1092" i="2"/>
  <c r="T1087" i="2"/>
  <c r="I1087" i="2"/>
  <c r="T1458" i="2"/>
  <c r="T1501" i="2"/>
  <c r="I1501" i="2"/>
  <c r="T1224" i="2"/>
  <c r="I1224" i="2"/>
  <c r="T1229" i="2"/>
  <c r="I1229" i="2"/>
  <c r="I1234" i="2"/>
  <c r="I1374" i="2"/>
  <c r="I1230" i="2"/>
  <c r="I1330" i="2"/>
  <c r="T1238" i="2"/>
  <c r="I1238" i="2"/>
  <c r="T1359" i="2"/>
  <c r="I1359" i="2"/>
  <c r="T1349" i="2"/>
  <c r="I1349" i="2"/>
  <c r="I1387" i="2"/>
  <c r="T1387" i="2"/>
  <c r="I1394" i="2"/>
  <c r="I1381" i="2"/>
  <c r="T1352" i="2"/>
  <c r="I1352" i="2"/>
  <c r="I1245" i="2"/>
  <c r="I1342" i="2"/>
  <c r="T1225" i="2"/>
  <c r="I1225" i="2"/>
  <c r="I96" i="2"/>
  <c r="I160" i="2"/>
  <c r="T3" i="2"/>
  <c r="I3" i="2"/>
  <c r="T472" i="2"/>
  <c r="T387" i="2"/>
  <c r="I387" i="2"/>
  <c r="T633" i="2"/>
  <c r="I633" i="2"/>
  <c r="T332" i="2"/>
  <c r="I332" i="2"/>
  <c r="T482" i="2"/>
  <c r="I482" i="2"/>
  <c r="T783" i="2"/>
  <c r="I783" i="2"/>
  <c r="T377" i="2"/>
  <c r="I377" i="2"/>
  <c r="T391" i="2"/>
  <c r="T786" i="2"/>
  <c r="I786" i="2"/>
  <c r="I667" i="2"/>
  <c r="T667" i="2"/>
  <c r="T676" i="2"/>
  <c r="I676" i="2"/>
  <c r="T108" i="2"/>
  <c r="I108" i="2"/>
  <c r="I25" i="2"/>
  <c r="T631" i="2"/>
  <c r="I631" i="2"/>
  <c r="T237" i="2"/>
  <c r="I237" i="2"/>
  <c r="T390" i="2"/>
  <c r="I390" i="2"/>
  <c r="I327" i="2"/>
  <c r="T327" i="2"/>
  <c r="T411" i="2"/>
  <c r="I411" i="2"/>
  <c r="I321" i="2"/>
  <c r="T321" i="2"/>
  <c r="I364" i="2"/>
  <c r="T364" i="2"/>
  <c r="I336" i="2"/>
  <c r="T336" i="2"/>
  <c r="T412" i="2"/>
  <c r="I412" i="2"/>
  <c r="I280" i="2"/>
  <c r="T392" i="2"/>
  <c r="I392" i="2"/>
  <c r="T383" i="2"/>
  <c r="I383" i="2"/>
  <c r="T340" i="2"/>
  <c r="I340" i="2"/>
  <c r="T277" i="2"/>
  <c r="I277" i="2"/>
  <c r="I167" i="2"/>
  <c r="I69" i="2"/>
  <c r="I68" i="2"/>
  <c r="I13" i="2"/>
  <c r="I8" i="2"/>
  <c r="I128" i="2"/>
  <c r="I139" i="2"/>
  <c r="I129" i="2"/>
  <c r="T1329" i="2"/>
  <c r="I1329" i="2"/>
  <c r="T677" i="2"/>
  <c r="I677" i="2"/>
  <c r="T795" i="2"/>
  <c r="I795" i="2"/>
  <c r="I10" i="2"/>
  <c r="I142" i="2"/>
  <c r="I43" i="2"/>
  <c r="I42" i="2"/>
  <c r="I40" i="2"/>
  <c r="I39" i="2"/>
  <c r="I38" i="2"/>
  <c r="T99" i="2"/>
  <c r="I99" i="2"/>
  <c r="I41" i="2"/>
  <c r="T173" i="2"/>
  <c r="I173" i="2"/>
  <c r="I64" i="2"/>
  <c r="I66" i="2"/>
  <c r="I65" i="2"/>
  <c r="T82" i="2"/>
  <c r="I82" i="2"/>
  <c r="T79" i="2"/>
  <c r="I79" i="2"/>
  <c r="I91" i="2"/>
  <c r="I70" i="2"/>
  <c r="I81" i="2"/>
  <c r="T401" i="2"/>
  <c r="I401" i="2"/>
  <c r="T325" i="2"/>
  <c r="I325" i="2"/>
  <c r="T428" i="2"/>
  <c r="I428" i="2"/>
  <c r="T413" i="2"/>
  <c r="I413" i="2"/>
  <c r="I451" i="2"/>
  <c r="T451" i="2"/>
  <c r="I369" i="2"/>
  <c r="T369" i="2"/>
  <c r="I378" i="2"/>
  <c r="T378" i="2"/>
  <c r="T444" i="2"/>
  <c r="I444" i="2"/>
  <c r="T455" i="2"/>
  <c r="I455" i="2"/>
  <c r="I394" i="2"/>
  <c r="T394" i="2"/>
  <c r="I416" i="2"/>
  <c r="T416" i="2"/>
  <c r="T458" i="2"/>
  <c r="I458" i="2"/>
  <c r="T384" i="2"/>
  <c r="I384" i="2"/>
  <c r="T454" i="2"/>
  <c r="I454" i="2"/>
  <c r="T9" i="2"/>
  <c r="I9" i="2"/>
  <c r="T844" i="2"/>
  <c r="I844" i="2"/>
  <c r="T840" i="2"/>
  <c r="I840" i="2"/>
  <c r="T843" i="2"/>
  <c r="I843" i="2"/>
  <c r="T842" i="2"/>
  <c r="I842" i="2"/>
  <c r="I841" i="2"/>
  <c r="I442" i="2"/>
  <c r="T442" i="2"/>
  <c r="T288" i="2"/>
  <c r="I288" i="2"/>
  <c r="I334" i="2"/>
  <c r="T334" i="2"/>
  <c r="T434" i="2"/>
  <c r="I434" i="2"/>
  <c r="T464" i="2"/>
  <c r="I464" i="2"/>
  <c r="T463" i="2"/>
  <c r="T462" i="2"/>
  <c r="I463" i="2"/>
  <c r="I462" i="2"/>
  <c r="T453" i="2"/>
  <c r="I453" i="2"/>
  <c r="T443" i="2"/>
  <c r="I443" i="2"/>
  <c r="T632" i="2"/>
  <c r="I632" i="2"/>
  <c r="I144" i="2"/>
  <c r="I847" i="2"/>
  <c r="T847" i="2"/>
  <c r="I7" i="2"/>
  <c r="T593" i="2"/>
  <c r="I593" i="2"/>
  <c r="T329" i="2"/>
  <c r="I329" i="2"/>
  <c r="T1493" i="2"/>
  <c r="I1493" i="2"/>
  <c r="I1480" i="2"/>
  <c r="T1480" i="2"/>
  <c r="T1489" i="2"/>
  <c r="I1489" i="2"/>
  <c r="T1430" i="2"/>
  <c r="I1430" i="2"/>
  <c r="T1446" i="2"/>
  <c r="T1467" i="2"/>
  <c r="I1467" i="2"/>
  <c r="T1439" i="2"/>
  <c r="I1439" i="2"/>
  <c r="T1487" i="2"/>
  <c r="I1487" i="2"/>
  <c r="T1503" i="2"/>
  <c r="I1503" i="2"/>
  <c r="T698" i="2"/>
  <c r="I698" i="2"/>
  <c r="T1422" i="2"/>
  <c r="I1422" i="2"/>
  <c r="T1189" i="2"/>
  <c r="I1189" i="2"/>
  <c r="T1500" i="2"/>
  <c r="I1500" i="2"/>
  <c r="T1424" i="2"/>
  <c r="I1424" i="2"/>
  <c r="T1233" i="2"/>
  <c r="I1233" i="2"/>
  <c r="T1116" i="2"/>
  <c r="I1116" i="2"/>
  <c r="T1476" i="2"/>
  <c r="I1476" i="2"/>
  <c r="T1486" i="2"/>
  <c r="I1486" i="2"/>
  <c r="T1488" i="2"/>
  <c r="I1488" i="2"/>
  <c r="T1447" i="2"/>
  <c r="I1447" i="2"/>
  <c r="I1390" i="2"/>
  <c r="T1390" i="2"/>
  <c r="I1338" i="2"/>
  <c r="T1338" i="2"/>
  <c r="T1413" i="2"/>
  <c r="I1413" i="2"/>
  <c r="T1443" i="2"/>
  <c r="I1443" i="2"/>
  <c r="T1415" i="2"/>
  <c r="I1415" i="2"/>
  <c r="T1411" i="2"/>
  <c r="I1411" i="2"/>
  <c r="I1410" i="2"/>
  <c r="T1410" i="2"/>
  <c r="T1409" i="2"/>
  <c r="I1409" i="2"/>
  <c r="T1408" i="2"/>
  <c r="I1408" i="2"/>
  <c r="T930" i="2"/>
  <c r="I1433" i="2"/>
  <c r="I76" i="2"/>
  <c r="I1436" i="2"/>
  <c r="I1161" i="2"/>
  <c r="T1177" i="2"/>
  <c r="I1177" i="2"/>
  <c r="I1336" i="2"/>
  <c r="T1336" i="2"/>
  <c r="I1412" i="2"/>
  <c r="T1412" i="2"/>
  <c r="T1324" i="2"/>
  <c r="I1324" i="2"/>
  <c r="T1097" i="2"/>
  <c r="I1097" i="2"/>
  <c r="I1198" i="2"/>
  <c r="T1198" i="2"/>
  <c r="I907" i="2"/>
  <c r="T907" i="2"/>
  <c r="T1421" i="2"/>
  <c r="I1421" i="2"/>
  <c r="T1440" i="2"/>
  <c r="I1440" i="2"/>
  <c r="I1441" i="2"/>
  <c r="T1428" i="2"/>
  <c r="T1427" i="2"/>
  <c r="I1427" i="2"/>
  <c r="I1428" i="2"/>
  <c r="T872" i="2"/>
  <c r="I872" i="2"/>
  <c r="T915" i="2"/>
  <c r="I915" i="2"/>
  <c r="T1045" i="2"/>
  <c r="I1045" i="2"/>
  <c r="T1429" i="2"/>
  <c r="I1429" i="2"/>
  <c r="T1472" i="2"/>
  <c r="I1472" i="2"/>
  <c r="T1021" i="2"/>
  <c r="I1021" i="2"/>
  <c r="T1392" i="2"/>
  <c r="I1392" i="2"/>
  <c r="T1282" i="2"/>
  <c r="I1282" i="2"/>
  <c r="I141" i="2"/>
  <c r="I134" i="2"/>
  <c r="I52" i="2"/>
  <c r="I34" i="2"/>
  <c r="I57" i="2"/>
  <c r="T606" i="2"/>
  <c r="T906" i="2"/>
  <c r="T1005" i="2"/>
  <c r="I1005" i="2"/>
  <c r="I1420" i="2"/>
  <c r="T1420" i="2"/>
  <c r="T1419" i="2"/>
  <c r="I1419" i="2"/>
  <c r="I1405" i="2"/>
  <c r="T1423" i="2"/>
  <c r="I1423" i="2"/>
  <c r="T1448" i="2"/>
  <c r="I1448" i="2"/>
  <c r="T1325" i="2"/>
  <c r="I1325" i="2"/>
  <c r="T1278" i="2"/>
  <c r="I1278" i="2"/>
  <c r="T1425" i="2"/>
  <c r="I1425" i="2"/>
  <c r="T1068" i="2"/>
  <c r="I1068" i="2"/>
  <c r="T1145" i="2"/>
  <c r="I1145" i="2"/>
  <c r="T920" i="2"/>
  <c r="I920" i="2"/>
  <c r="T935" i="2"/>
  <c r="I935" i="2"/>
  <c r="T916" i="2"/>
  <c r="I916" i="2"/>
  <c r="T912" i="2"/>
  <c r="I912" i="2"/>
  <c r="T1046" i="2"/>
  <c r="I1046" i="2"/>
  <c r="T1008" i="2"/>
  <c r="I1008" i="2"/>
  <c r="T928" i="2"/>
  <c r="I928" i="2"/>
  <c r="T966" i="2"/>
  <c r="I966" i="2"/>
  <c r="T1039" i="2"/>
  <c r="I1039" i="2"/>
  <c r="T182" i="2"/>
  <c r="I182" i="2"/>
  <c r="I1010" i="2"/>
  <c r="T867" i="2"/>
  <c r="I867" i="2"/>
  <c r="T178" i="2"/>
  <c r="I178" i="2"/>
  <c r="T1218" i="2"/>
  <c r="I1218" i="2"/>
  <c r="T1215" i="2"/>
  <c r="I1215" i="2"/>
  <c r="T1214" i="2"/>
  <c r="I1214" i="2"/>
  <c r="I1213" i="2"/>
  <c r="T1213" i="2"/>
  <c r="T1211" i="2"/>
  <c r="I1211" i="2"/>
  <c r="T1210" i="2"/>
  <c r="I1210" i="2"/>
  <c r="T1208" i="2"/>
  <c r="I1208" i="2"/>
  <c r="T1207" i="2"/>
  <c r="I1207" i="2"/>
  <c r="T1201" i="2"/>
  <c r="I1201" i="2"/>
  <c r="T1015" i="2"/>
  <c r="I1015" i="2"/>
  <c r="T881" i="2"/>
  <c r="I881" i="2"/>
  <c r="T1264" i="2"/>
  <c r="I1264" i="2"/>
  <c r="T1019" i="2"/>
  <c r="I1019" i="2"/>
  <c r="T232" i="2"/>
  <c r="I232" i="2"/>
  <c r="T177" i="2"/>
  <c r="I177" i="2"/>
  <c r="T879" i="2"/>
  <c r="I879" i="2"/>
  <c r="T897" i="2"/>
  <c r="I897" i="2"/>
  <c r="T1071" i="2"/>
  <c r="I1071" i="2"/>
  <c r="T230" i="2"/>
  <c r="I230" i="2"/>
  <c r="I100" i="2"/>
  <c r="T1426" i="2"/>
  <c r="I1426" i="2"/>
  <c r="T1299" i="2"/>
  <c r="I1299" i="2"/>
  <c r="T1371" i="2"/>
  <c r="I1371" i="2"/>
  <c r="T12" i="2"/>
  <c r="I12" i="2"/>
  <c r="I1418" i="2"/>
  <c r="T1418" i="2"/>
  <c r="T73" i="2"/>
  <c r="I73" i="2"/>
  <c r="T1004" i="2"/>
  <c r="I1004" i="2"/>
  <c r="T1174" i="2"/>
  <c r="I1174" i="2"/>
  <c r="T886" i="2"/>
  <c r="I886" i="2"/>
  <c r="T863" i="2"/>
  <c r="T1143" i="2"/>
  <c r="I1143" i="2"/>
  <c r="T1141" i="2"/>
  <c r="I1141" i="2"/>
  <c r="T1140" i="2"/>
  <c r="I1140" i="2"/>
  <c r="T1139" i="2"/>
  <c r="I1139" i="2"/>
  <c r="T582" i="2"/>
  <c r="I582" i="2"/>
  <c r="I1291" i="2"/>
  <c r="T1291" i="2"/>
  <c r="I1188" i="2"/>
  <c r="T1188" i="2"/>
  <c r="T1187" i="2"/>
  <c r="I1187" i="2"/>
  <c r="T1182" i="2"/>
  <c r="I1182" i="2"/>
  <c r="T1185" i="2"/>
  <c r="I1185" i="2"/>
  <c r="I157" i="2"/>
  <c r="I156" i="2"/>
  <c r="I155" i="2"/>
  <c r="T1191" i="2"/>
  <c r="I1191" i="2"/>
  <c r="T1184" i="2"/>
  <c r="I1184" i="2"/>
  <c r="T1186" i="2"/>
  <c r="I1186" i="2"/>
  <c r="T895" i="2"/>
  <c r="I895" i="2"/>
  <c r="I1111" i="2"/>
  <c r="T1111" i="2"/>
  <c r="T1112" i="2"/>
  <c r="I1112" i="2"/>
  <c r="T1102" i="2"/>
  <c r="I1102" i="2"/>
  <c r="T1277" i="2"/>
  <c r="I1277" i="2"/>
  <c r="I1155" i="2"/>
  <c r="T1155" i="2"/>
  <c r="T1006" i="2"/>
  <c r="I1006" i="2"/>
  <c r="I863" i="2"/>
  <c r="I1192" i="2"/>
  <c r="T1192" i="2"/>
  <c r="T1347" i="2"/>
  <c r="I1347" i="2"/>
  <c r="I1023" i="2"/>
  <c r="T1023" i="2"/>
  <c r="T852" i="2"/>
  <c r="I852" i="2"/>
  <c r="T671" i="2"/>
  <c r="I671" i="2"/>
  <c r="T868" i="2"/>
  <c r="I868" i="2"/>
  <c r="T1449" i="2"/>
  <c r="I1449" i="2"/>
  <c r="T885" i="2"/>
  <c r="I885" i="2"/>
  <c r="T1281" i="2"/>
  <c r="I1281" i="2"/>
  <c r="T1153" i="2"/>
  <c r="I1153" i="2"/>
  <c r="T994" i="2"/>
  <c r="I994" i="2"/>
  <c r="T1154" i="2"/>
  <c r="I1154" i="2"/>
  <c r="T1003" i="2"/>
  <c r="I1003" i="2"/>
  <c r="T1057" i="2"/>
  <c r="I1057" i="2"/>
  <c r="T466" i="2"/>
  <c r="I466" i="2"/>
  <c r="T362" i="2"/>
  <c r="I362" i="2"/>
  <c r="T998" i="2"/>
  <c r="I998" i="2"/>
  <c r="T1025" i="2"/>
  <c r="I1025" i="2"/>
  <c r="T255" i="2"/>
  <c r="I255" i="2"/>
  <c r="I257" i="2"/>
  <c r="T257" i="2"/>
  <c r="T339" i="2"/>
  <c r="I339" i="2"/>
  <c r="T258" i="2"/>
  <c r="I258" i="2"/>
  <c r="T337" i="2"/>
  <c r="I337" i="2"/>
  <c r="T254" i="2"/>
  <c r="I254" i="2"/>
  <c r="T306" i="2"/>
  <c r="I306" i="2"/>
  <c r="T345" i="2"/>
  <c r="I345" i="2"/>
  <c r="T331" i="2"/>
  <c r="I331" i="2"/>
  <c r="T371" i="2"/>
  <c r="I371" i="2"/>
  <c r="T304" i="2"/>
  <c r="I304" i="2"/>
  <c r="T215" i="2"/>
  <c r="I215" i="2"/>
  <c r="T357" i="2"/>
  <c r="I357" i="2"/>
  <c r="I256" i="2"/>
  <c r="T256" i="2"/>
  <c r="T374" i="2"/>
  <c r="I374" i="2"/>
  <c r="T312" i="2"/>
  <c r="I312" i="2"/>
  <c r="T592" i="2"/>
  <c r="I592" i="2"/>
  <c r="T213" i="2"/>
  <c r="I213" i="2"/>
  <c r="T317" i="2"/>
  <c r="I317" i="2"/>
  <c r="T437" i="2"/>
  <c r="I437" i="2"/>
  <c r="I439" i="2"/>
  <c r="T439" i="2"/>
  <c r="T508" i="2"/>
  <c r="I508" i="2"/>
  <c r="T590" i="2"/>
  <c r="I590" i="2"/>
  <c r="I499" i="2"/>
  <c r="T499" i="2"/>
  <c r="T492" i="2"/>
  <c r="I492" i="2"/>
  <c r="I796" i="2"/>
  <c r="T796" i="2"/>
  <c r="T389" i="2"/>
  <c r="I389" i="2"/>
  <c r="T407" i="2"/>
  <c r="I407" i="2"/>
  <c r="I973" i="2"/>
  <c r="T884" i="2"/>
  <c r="I884" i="2"/>
  <c r="I914" i="2"/>
  <c r="T914" i="2"/>
  <c r="T888" i="2"/>
  <c r="I888" i="2"/>
  <c r="I930" i="2"/>
  <c r="I972" i="2"/>
  <c r="T972" i="2"/>
  <c r="T913" i="2"/>
  <c r="I913" i="2"/>
  <c r="I908" i="2"/>
  <c r="T908" i="2"/>
  <c r="I896" i="2"/>
  <c r="T896" i="2"/>
  <c r="T1001" i="2"/>
  <c r="I1001" i="2"/>
  <c r="T1002" i="2"/>
  <c r="I1002" i="2"/>
  <c r="T995" i="2"/>
  <c r="I995" i="2"/>
  <c r="T911" i="2"/>
  <c r="I911" i="2"/>
  <c r="I975" i="2"/>
  <c r="T901" i="2"/>
  <c r="I901" i="2"/>
  <c r="T315" i="2"/>
  <c r="I315" i="2"/>
  <c r="T587" i="2"/>
  <c r="I587" i="2"/>
  <c r="T311" i="2"/>
  <c r="I311" i="2"/>
  <c r="T54" i="2"/>
  <c r="I54" i="2"/>
  <c r="T869" i="2"/>
  <c r="I869" i="2"/>
  <c r="I72" i="2"/>
  <c r="I71" i="2"/>
  <c r="T991" i="2"/>
  <c r="I991" i="2"/>
  <c r="T862" i="2"/>
  <c r="I862" i="2"/>
  <c r="T493" i="2"/>
  <c r="I493" i="2"/>
  <c r="I74" i="2"/>
  <c r="T449" i="2"/>
  <c r="I449" i="2"/>
  <c r="T420" i="2"/>
  <c r="I420" i="2"/>
  <c r="T762" i="2"/>
  <c r="I762" i="2"/>
  <c r="T763" i="2"/>
  <c r="I763" i="2"/>
  <c r="T822" i="2"/>
  <c r="I822" i="2"/>
  <c r="T495" i="2"/>
  <c r="I495" i="2"/>
  <c r="T761" i="2"/>
  <c r="I761" i="2"/>
  <c r="T1400" i="2"/>
  <c r="I1400" i="2"/>
  <c r="T1457" i="2"/>
  <c r="I1457" i="2"/>
  <c r="I1438" i="2"/>
  <c r="T489" i="2"/>
  <c r="I489" i="2"/>
  <c r="T452" i="2"/>
  <c r="I452" i="2"/>
  <c r="T683" i="2"/>
  <c r="I683" i="2"/>
  <c r="T684" i="2"/>
  <c r="I684" i="2"/>
  <c r="T372" i="2"/>
  <c r="I372" i="2"/>
  <c r="T675" i="2"/>
  <c r="I675" i="2"/>
  <c r="T259" i="2"/>
  <c r="I259" i="2"/>
  <c r="T614" i="2"/>
  <c r="I614" i="2"/>
  <c r="T613" i="2"/>
  <c r="I613" i="2"/>
  <c r="I1268" i="2"/>
  <c r="T382" i="2"/>
  <c r="I382" i="2"/>
  <c r="T393" i="2"/>
  <c r="I393" i="2"/>
  <c r="I388" i="2"/>
  <c r="T388" i="2"/>
  <c r="T386" i="2"/>
  <c r="I386" i="2"/>
  <c r="I391" i="2"/>
  <c r="T380" i="2"/>
  <c r="I380" i="2"/>
  <c r="T385" i="2"/>
  <c r="I385" i="2"/>
  <c r="T279" i="2"/>
  <c r="I279" i="2"/>
  <c r="T278" i="2"/>
  <c r="I278" i="2"/>
  <c r="T282" i="2"/>
  <c r="I282" i="2"/>
  <c r="I281" i="2"/>
  <c r="T280" i="2"/>
  <c r="T264" i="2"/>
  <c r="I264" i="2"/>
  <c r="T272" i="2"/>
  <c r="I272" i="2"/>
  <c r="T268" i="2"/>
  <c r="I268" i="2"/>
  <c r="T262" i="2"/>
  <c r="I262" i="2"/>
  <c r="T494" i="2"/>
  <c r="I494" i="2"/>
  <c r="T490" i="2"/>
  <c r="I490" i="2"/>
  <c r="T585" i="2"/>
  <c r="I585" i="2"/>
  <c r="T397" i="2"/>
  <c r="I397" i="2"/>
  <c r="T1156" i="2"/>
  <c r="I1156" i="2"/>
  <c r="T1065" i="2"/>
  <c r="I1065" i="2"/>
  <c r="T1142" i="2"/>
  <c r="I1142" i="2"/>
  <c r="T1262" i="2"/>
  <c r="I1262" i="2"/>
  <c r="T1176" i="2"/>
  <c r="I1176" i="2"/>
  <c r="T1151" i="2"/>
  <c r="I1151" i="2"/>
  <c r="T1078" i="2"/>
  <c r="I1078" i="2"/>
  <c r="T1196" i="2"/>
  <c r="I1196" i="2"/>
  <c r="T775" i="2"/>
  <c r="I775" i="2"/>
  <c r="I370" i="2"/>
  <c r="T228" i="2"/>
  <c r="I228" i="2"/>
  <c r="T475" i="2"/>
  <c r="I475" i="2"/>
  <c r="T253" i="2"/>
  <c r="I253" i="2"/>
  <c r="T554" i="2"/>
  <c r="I554" i="2"/>
  <c r="I555" i="2"/>
  <c r="T555" i="2"/>
  <c r="T286" i="2"/>
  <c r="I286" i="2"/>
  <c r="T608" i="2"/>
  <c r="I608" i="2"/>
  <c r="T586" i="2"/>
  <c r="I586" i="2"/>
  <c r="T344" i="2"/>
  <c r="I344" i="2"/>
  <c r="T341" i="2"/>
  <c r="I341" i="2"/>
  <c r="T559" i="2"/>
  <c r="I559" i="2"/>
  <c r="T552" i="2"/>
  <c r="I552" i="2"/>
  <c r="T358" i="2"/>
  <c r="I358" i="2"/>
  <c r="T634" i="2"/>
  <c r="I634" i="2"/>
  <c r="T535" i="2"/>
  <c r="I535" i="2"/>
  <c r="T333" i="2"/>
  <c r="I333" i="2"/>
  <c r="T558" i="2"/>
  <c r="I558" i="2"/>
  <c r="T708" i="2"/>
  <c r="I708" i="2"/>
  <c r="T789" i="2"/>
  <c r="I789" i="2"/>
  <c r="T551" i="2"/>
  <c r="I551" i="2"/>
  <c r="T666" i="2"/>
  <c r="I666" i="2"/>
  <c r="T1504" i="2"/>
  <c r="I1504" i="2"/>
  <c r="T1502" i="2"/>
  <c r="I1502" i="2"/>
  <c r="T1499" i="2"/>
  <c r="I1499" i="2"/>
  <c r="T1498" i="2"/>
  <c r="I1498" i="2"/>
  <c r="T1497" i="2"/>
  <c r="I1497" i="2"/>
  <c r="T1495" i="2"/>
  <c r="I1495" i="2"/>
  <c r="T1494" i="2"/>
  <c r="I1494" i="2"/>
  <c r="I1492" i="2"/>
  <c r="T1485" i="2"/>
  <c r="I1485" i="2"/>
  <c r="T1484" i="2"/>
  <c r="I1484" i="2"/>
  <c r="T1483" i="2"/>
  <c r="I1483" i="2"/>
  <c r="T1482" i="2"/>
  <c r="I1482" i="2"/>
  <c r="T1479" i="2"/>
  <c r="I1479" i="2"/>
  <c r="T1478" i="2"/>
  <c r="I1478" i="2"/>
  <c r="T1477" i="2"/>
  <c r="I1477" i="2"/>
  <c r="T1475" i="2"/>
  <c r="I1475" i="2"/>
  <c r="T1474" i="2"/>
  <c r="I1474" i="2"/>
  <c r="T1473" i="2"/>
  <c r="I1473" i="2"/>
  <c r="T1471" i="2"/>
  <c r="I1471" i="2"/>
  <c r="T1470" i="2"/>
  <c r="I1470" i="2"/>
  <c r="T1469" i="2"/>
  <c r="I1469" i="2"/>
  <c r="T1468" i="2"/>
  <c r="I1468" i="2"/>
  <c r="I1466" i="2"/>
  <c r="T1465" i="2"/>
  <c r="I1465" i="2"/>
  <c r="T1464" i="2"/>
  <c r="I1464" i="2"/>
  <c r="T1463" i="2"/>
  <c r="I1463" i="2"/>
  <c r="T1462" i="2"/>
  <c r="I1462" i="2"/>
  <c r="T1461" i="2"/>
  <c r="I1461" i="2"/>
  <c r="T1460" i="2"/>
  <c r="I1460" i="2"/>
  <c r="T1459" i="2"/>
  <c r="I1459" i="2"/>
  <c r="I1458" i="2"/>
  <c r="T1456" i="2"/>
  <c r="I1456" i="2"/>
  <c r="T1455" i="2"/>
  <c r="I1455" i="2"/>
  <c r="T1454" i="2"/>
  <c r="I1454" i="2"/>
  <c r="T1453" i="2"/>
  <c r="I1453" i="2"/>
  <c r="I1452" i="2"/>
  <c r="T1451" i="2"/>
  <c r="I1451" i="2"/>
  <c r="T1450" i="2"/>
  <c r="I1450" i="2"/>
  <c r="T1442" i="2"/>
  <c r="I1442" i="2"/>
  <c r="T1437" i="2"/>
  <c r="I1437" i="2"/>
  <c r="T1417" i="2"/>
  <c r="I1417" i="2"/>
  <c r="T1416" i="2"/>
  <c r="I1416" i="2"/>
  <c r="T1414" i="2"/>
  <c r="I1414" i="2"/>
  <c r="T1407" i="2"/>
  <c r="I1407" i="2"/>
  <c r="T1406" i="2"/>
  <c r="I1406" i="2"/>
  <c r="T1404" i="2"/>
  <c r="I1404" i="2"/>
  <c r="I1403" i="2"/>
  <c r="I1402" i="2"/>
  <c r="T1401" i="2"/>
  <c r="I1401" i="2"/>
  <c r="T1399" i="2"/>
  <c r="I1399" i="2"/>
  <c r="T1398" i="2"/>
  <c r="I1398" i="2"/>
  <c r="T1395" i="2"/>
  <c r="I1395" i="2"/>
  <c r="I1386" i="2"/>
  <c r="T1384" i="2"/>
  <c r="I1384" i="2"/>
  <c r="T1383" i="2"/>
  <c r="I1383" i="2"/>
  <c r="T1382" i="2"/>
  <c r="I1382" i="2"/>
  <c r="T1368" i="2"/>
  <c r="I1368" i="2"/>
  <c r="T1367" i="2"/>
  <c r="I1367" i="2"/>
  <c r="T1366" i="2"/>
  <c r="I1366" i="2"/>
  <c r="I1364" i="2"/>
  <c r="T1358" i="2"/>
  <c r="I1358" i="2"/>
  <c r="T1343" i="2"/>
  <c r="I1343" i="2"/>
  <c r="T1341" i="2"/>
  <c r="I1341" i="2"/>
  <c r="T1333" i="2"/>
  <c r="I1333" i="2"/>
  <c r="I1332" i="2"/>
  <c r="I1331" i="2"/>
  <c r="I1328" i="2"/>
  <c r="I1326" i="2"/>
  <c r="I1322" i="2"/>
  <c r="T1321" i="2"/>
  <c r="I1321" i="2"/>
  <c r="I1316" i="2"/>
  <c r="T1313" i="2"/>
  <c r="I1313" i="2"/>
  <c r="T1312" i="2"/>
  <c r="I1312" i="2"/>
  <c r="T1311" i="2"/>
  <c r="I1311" i="2"/>
  <c r="T1310" i="2"/>
  <c r="I1310" i="2"/>
  <c r="T1309" i="2"/>
  <c r="I1309" i="2"/>
  <c r="T1308" i="2"/>
  <c r="I1308" i="2"/>
  <c r="T1307" i="2"/>
  <c r="I1307" i="2"/>
  <c r="T1305" i="2"/>
  <c r="I1305" i="2"/>
  <c r="T1303" i="2"/>
  <c r="I1303" i="2"/>
  <c r="T1301" i="2"/>
  <c r="I1301" i="2"/>
  <c r="I1300" i="2"/>
  <c r="T1298" i="2"/>
  <c r="I1298" i="2"/>
  <c r="I1297" i="2"/>
  <c r="T1295" i="2"/>
  <c r="I1295" i="2"/>
  <c r="T1294" i="2"/>
  <c r="I1294" i="2"/>
  <c r="T1293" i="2"/>
  <c r="I1293" i="2"/>
  <c r="I1289" i="2"/>
  <c r="T1288" i="2"/>
  <c r="I1288" i="2"/>
  <c r="T1286" i="2"/>
  <c r="I1286" i="2"/>
  <c r="I1283" i="2"/>
  <c r="T1280" i="2"/>
  <c r="T1275" i="2"/>
  <c r="I1275" i="2"/>
  <c r="T1274" i="2"/>
  <c r="I1274" i="2"/>
  <c r="T1273" i="2"/>
  <c r="I1273" i="2"/>
  <c r="I1270" i="2"/>
  <c r="I1267" i="2"/>
  <c r="I1266" i="2"/>
  <c r="I1265" i="2"/>
  <c r="I1263" i="2"/>
  <c r="T1261" i="2"/>
  <c r="I1261" i="2"/>
  <c r="I1260" i="2"/>
  <c r="I1256" i="2"/>
  <c r="T1254" i="2"/>
  <c r="I1254" i="2"/>
  <c r="T1253" i="2"/>
  <c r="I1253" i="2"/>
  <c r="T1252" i="2"/>
  <c r="I1252" i="2"/>
  <c r="T1251" i="2"/>
  <c r="I1251" i="2"/>
  <c r="I1250" i="2"/>
  <c r="T1249" i="2"/>
  <c r="I1249" i="2"/>
  <c r="T1248" i="2"/>
  <c r="I1248" i="2"/>
  <c r="T1246" i="2"/>
  <c r="I1246" i="2"/>
  <c r="T1241" i="2"/>
  <c r="I1241" i="2"/>
  <c r="T1240" i="2"/>
  <c r="I1240" i="2"/>
  <c r="T1239" i="2"/>
  <c r="I1239" i="2"/>
  <c r="T1237" i="2"/>
  <c r="I1237" i="2"/>
  <c r="T1236" i="2"/>
  <c r="I1236" i="2"/>
  <c r="I1232" i="2"/>
  <c r="I1231" i="2"/>
  <c r="T1220" i="2"/>
  <c r="I1220" i="2"/>
  <c r="T1212" i="2"/>
  <c r="I1212" i="2"/>
  <c r="I1206" i="2"/>
  <c r="I1209" i="2"/>
  <c r="I1205" i="2"/>
  <c r="T1204" i="2"/>
  <c r="I1204" i="2"/>
  <c r="T1203" i="2"/>
  <c r="I1203" i="2"/>
  <c r="T1202" i="2"/>
  <c r="I1202" i="2"/>
  <c r="I1200" i="2"/>
  <c r="T1199" i="2"/>
  <c r="I1199" i="2"/>
  <c r="I1197" i="2"/>
  <c r="T1194" i="2"/>
  <c r="I1194" i="2"/>
  <c r="T1190" i="2"/>
  <c r="I1190" i="2"/>
  <c r="T1183" i="2"/>
  <c r="I1183" i="2"/>
  <c r="T1181" i="2"/>
  <c r="I1181" i="2"/>
  <c r="T1180" i="2"/>
  <c r="I1180" i="2"/>
  <c r="T1179" i="2"/>
  <c r="I1179" i="2"/>
  <c r="T1178" i="2"/>
  <c r="I1178" i="2"/>
  <c r="T1173" i="2"/>
  <c r="I1173" i="2"/>
  <c r="T1172" i="2"/>
  <c r="I1172" i="2"/>
  <c r="T1168" i="2"/>
  <c r="I1168" i="2"/>
  <c r="T1167" i="2"/>
  <c r="I1167" i="2"/>
  <c r="T1165" i="2"/>
  <c r="I1165" i="2"/>
  <c r="T1157" i="2"/>
  <c r="I1157" i="2"/>
  <c r="T1369" i="2"/>
  <c r="I1369" i="2"/>
  <c r="T1152" i="2"/>
  <c r="I1152" i="2"/>
  <c r="T1150" i="2"/>
  <c r="I1150" i="2"/>
  <c r="T1159" i="2"/>
  <c r="I1159" i="2"/>
  <c r="T1138" i="2"/>
  <c r="I1138" i="2"/>
  <c r="T1134" i="2"/>
  <c r="I1134" i="2"/>
  <c r="T1131" i="2"/>
  <c r="I1131" i="2"/>
  <c r="T1123" i="2"/>
  <c r="I1123" i="2"/>
  <c r="T1121" i="2"/>
  <c r="I1121" i="2"/>
  <c r="I1119" i="2"/>
  <c r="T1114" i="2"/>
  <c r="I1114" i="2"/>
  <c r="T1110" i="2"/>
  <c r="I1110" i="2"/>
  <c r="T1107" i="2"/>
  <c r="I1107" i="2"/>
  <c r="T1104" i="2"/>
  <c r="I1104" i="2"/>
  <c r="T1103" i="2"/>
  <c r="I1103" i="2"/>
  <c r="T1101" i="2"/>
  <c r="I1101" i="2"/>
  <c r="T1100" i="2"/>
  <c r="I1100" i="2"/>
  <c r="T1099" i="2"/>
  <c r="I1099" i="2"/>
  <c r="T1098" i="2"/>
  <c r="I1098" i="2"/>
  <c r="T1096" i="2"/>
  <c r="I1096" i="2"/>
  <c r="T1093" i="2"/>
  <c r="I1093" i="2"/>
  <c r="T1091" i="2"/>
  <c r="I1091" i="2"/>
  <c r="T1089" i="2"/>
  <c r="I1089" i="2"/>
  <c r="T1088" i="2"/>
  <c r="I1088" i="2"/>
  <c r="T1085" i="2"/>
  <c r="I1085" i="2"/>
  <c r="T1084" i="2"/>
  <c r="I1084" i="2"/>
  <c r="T1081" i="2"/>
  <c r="I1081" i="2"/>
  <c r="T1080" i="2"/>
  <c r="I1080" i="2"/>
  <c r="I906" i="2"/>
  <c r="T1077" i="2"/>
  <c r="I1077" i="2"/>
  <c r="T1076" i="2"/>
  <c r="I1076" i="2"/>
  <c r="T1075" i="2"/>
  <c r="I1075" i="2"/>
  <c r="T1074" i="2"/>
  <c r="I1074" i="2"/>
  <c r="T1073" i="2"/>
  <c r="I1073" i="2"/>
  <c r="T1072" i="2"/>
  <c r="I1072" i="2"/>
  <c r="I1069" i="2"/>
  <c r="I1067" i="2"/>
  <c r="T1066" i="2"/>
  <c r="I1066" i="2"/>
  <c r="T1064" i="2"/>
  <c r="I1064" i="2"/>
  <c r="T1063" i="2"/>
  <c r="I1063" i="2"/>
  <c r="T1062" i="2"/>
  <c r="I1062" i="2"/>
  <c r="T1061" i="2"/>
  <c r="I1061" i="2"/>
  <c r="T1060" i="2"/>
  <c r="I1060" i="2"/>
  <c r="T1059" i="2"/>
  <c r="I1059" i="2"/>
  <c r="T1058" i="2"/>
  <c r="I1058" i="2"/>
  <c r="T1055" i="2"/>
  <c r="I1055" i="2"/>
  <c r="I1054" i="2"/>
  <c r="T1053" i="2"/>
  <c r="I1053" i="2"/>
  <c r="T1052" i="2"/>
  <c r="I1052" i="2"/>
  <c r="T1051" i="2"/>
  <c r="I1051" i="2"/>
  <c r="T1050" i="2"/>
  <c r="I1050" i="2"/>
  <c r="T1049" i="2"/>
  <c r="I1049" i="2"/>
  <c r="T1048" i="2"/>
  <c r="I1048" i="2"/>
  <c r="T1047" i="2"/>
  <c r="I1047" i="2"/>
  <c r="T1044" i="2"/>
  <c r="I1044" i="2"/>
  <c r="T1043" i="2"/>
  <c r="I1043" i="2"/>
  <c r="T1041" i="2"/>
  <c r="I1041" i="2"/>
  <c r="T1040" i="2"/>
  <c r="I1040" i="2"/>
  <c r="T1038" i="2"/>
  <c r="I1038" i="2"/>
  <c r="T1036" i="2"/>
  <c r="I1036" i="2"/>
  <c r="T1035" i="2"/>
  <c r="I1035" i="2"/>
  <c r="I1034" i="2"/>
  <c r="T1033" i="2"/>
  <c r="I1033" i="2"/>
  <c r="T1032" i="2"/>
  <c r="I1032" i="2"/>
  <c r="T1031" i="2"/>
  <c r="I1031" i="2"/>
  <c r="T1030" i="2"/>
  <c r="I1030" i="2"/>
  <c r="T1029" i="2"/>
  <c r="I1029" i="2"/>
  <c r="T1028" i="2"/>
  <c r="I1028" i="2"/>
  <c r="T1026" i="2"/>
  <c r="I1026" i="2"/>
  <c r="T1020" i="2"/>
  <c r="I1020" i="2"/>
  <c r="T1018" i="2"/>
  <c r="I1018" i="2"/>
  <c r="T1017" i="2"/>
  <c r="I1017" i="2"/>
  <c r="T1016" i="2"/>
  <c r="I1016" i="2"/>
  <c r="T1007" i="2"/>
  <c r="I1007" i="2"/>
  <c r="T1000" i="2"/>
  <c r="I1000" i="2"/>
  <c r="T999" i="2"/>
  <c r="I999" i="2"/>
  <c r="I997" i="2"/>
  <c r="T996" i="2"/>
  <c r="I996" i="2"/>
  <c r="T993" i="2"/>
  <c r="I993" i="2"/>
  <c r="T992" i="2"/>
  <c r="I992" i="2"/>
  <c r="T990" i="2"/>
  <c r="I990" i="2"/>
  <c r="T989" i="2"/>
  <c r="I989" i="2"/>
  <c r="T987" i="2"/>
  <c r="I987" i="2"/>
  <c r="T986" i="2"/>
  <c r="I986" i="2"/>
  <c r="T985" i="2"/>
  <c r="I985" i="2"/>
  <c r="T983" i="2"/>
  <c r="I983" i="2"/>
  <c r="T982" i="2"/>
  <c r="I982" i="2"/>
  <c r="T981" i="2"/>
  <c r="I981" i="2"/>
  <c r="T980" i="2"/>
  <c r="I980" i="2"/>
  <c r="T979" i="2"/>
  <c r="I979" i="2"/>
  <c r="T978" i="2"/>
  <c r="I978" i="2"/>
  <c r="T974" i="2"/>
  <c r="I974" i="2"/>
  <c r="T970" i="2"/>
  <c r="I970" i="2"/>
  <c r="T969" i="2"/>
  <c r="I969" i="2"/>
  <c r="T968" i="2"/>
  <c r="I968" i="2"/>
  <c r="T967" i="2"/>
  <c r="I967" i="2"/>
  <c r="T965" i="2"/>
  <c r="I965" i="2"/>
  <c r="T964" i="2"/>
  <c r="I964" i="2"/>
  <c r="T963" i="2"/>
  <c r="I963" i="2"/>
  <c r="T962" i="2"/>
  <c r="I962" i="2"/>
  <c r="T961" i="2"/>
  <c r="I961" i="2"/>
  <c r="T960" i="2"/>
  <c r="I960" i="2"/>
  <c r="T959" i="2"/>
  <c r="I959" i="2"/>
  <c r="T958" i="2"/>
  <c r="I958" i="2"/>
  <c r="T957" i="2"/>
  <c r="I957" i="2"/>
  <c r="T956" i="2"/>
  <c r="I956" i="2"/>
  <c r="T955" i="2"/>
  <c r="I955" i="2"/>
  <c r="T954" i="2"/>
  <c r="I954" i="2"/>
  <c r="T953" i="2"/>
  <c r="I953" i="2"/>
  <c r="T952" i="2"/>
  <c r="I952" i="2"/>
  <c r="T951" i="2"/>
  <c r="I951" i="2"/>
  <c r="T950" i="2"/>
  <c r="I950" i="2"/>
  <c r="T949" i="2"/>
  <c r="I949" i="2"/>
  <c r="T948" i="2"/>
  <c r="I948" i="2"/>
  <c r="T947" i="2"/>
  <c r="I947" i="2"/>
  <c r="T946" i="2"/>
  <c r="I946" i="2"/>
  <c r="T945" i="2"/>
  <c r="I945" i="2"/>
  <c r="T944" i="2"/>
  <c r="I944" i="2"/>
  <c r="T943" i="2"/>
  <c r="I943" i="2"/>
  <c r="T942" i="2"/>
  <c r="I942" i="2"/>
  <c r="T941" i="2"/>
  <c r="I941" i="2"/>
  <c r="T940" i="2"/>
  <c r="I940" i="2"/>
  <c r="T939" i="2"/>
  <c r="I939" i="2"/>
  <c r="T938" i="2"/>
  <c r="I938" i="2"/>
  <c r="T936" i="2"/>
  <c r="I936" i="2"/>
  <c r="T934" i="2"/>
  <c r="I934" i="2"/>
  <c r="T933" i="2"/>
  <c r="I933" i="2"/>
  <c r="T932" i="2"/>
  <c r="I932" i="2"/>
  <c r="T931" i="2"/>
  <c r="I931" i="2"/>
  <c r="T927" i="2"/>
  <c r="I927" i="2"/>
  <c r="T926" i="2"/>
  <c r="I926" i="2"/>
  <c r="T925" i="2"/>
  <c r="I925" i="2"/>
  <c r="T924" i="2"/>
  <c r="I924" i="2"/>
  <c r="T922" i="2"/>
  <c r="I922" i="2"/>
  <c r="T918" i="2"/>
  <c r="I918" i="2"/>
  <c r="T910" i="2"/>
  <c r="I910" i="2"/>
  <c r="I905" i="2"/>
  <c r="T904" i="2"/>
  <c r="I904" i="2"/>
  <c r="T900" i="2"/>
  <c r="I900" i="2"/>
  <c r="T891" i="2"/>
  <c r="I891" i="2"/>
  <c r="T890" i="2"/>
  <c r="I890" i="2"/>
  <c r="T889" i="2"/>
  <c r="I889" i="2"/>
  <c r="T921" i="2"/>
  <c r="I921" i="2"/>
  <c r="T883" i="2"/>
  <c r="I883" i="2"/>
  <c r="T882" i="2"/>
  <c r="I882" i="2"/>
  <c r="T880" i="2"/>
  <c r="I880" i="2"/>
  <c r="T878" i="2"/>
  <c r="I878" i="2"/>
  <c r="T877" i="2"/>
  <c r="I877" i="2"/>
  <c r="T875" i="2"/>
  <c r="I875" i="2"/>
  <c r="T873" i="2"/>
  <c r="I873" i="2"/>
  <c r="T870" i="2"/>
  <c r="I870" i="2"/>
  <c r="T865" i="2"/>
  <c r="I865" i="2"/>
  <c r="T864" i="2"/>
  <c r="I864" i="2"/>
  <c r="T861" i="2"/>
  <c r="I861" i="2"/>
  <c r="T860" i="2"/>
  <c r="I860" i="2"/>
  <c r="T858" i="2"/>
  <c r="I858" i="2"/>
  <c r="T1010" i="2"/>
  <c r="T850" i="2"/>
  <c r="I850" i="2"/>
  <c r="T846" i="2"/>
  <c r="I846" i="2"/>
  <c r="T845" i="2"/>
  <c r="I845" i="2"/>
  <c r="T841" i="2"/>
  <c r="I839" i="2"/>
  <c r="T838" i="2"/>
  <c r="I838" i="2"/>
  <c r="T837" i="2"/>
  <c r="I837" i="2"/>
  <c r="T820" i="2"/>
  <c r="I820" i="2"/>
  <c r="T819" i="2"/>
  <c r="I819" i="2"/>
  <c r="T818" i="2"/>
  <c r="I818" i="2"/>
  <c r="T817" i="2"/>
  <c r="I817" i="2"/>
  <c r="T816" i="2"/>
  <c r="I816" i="2"/>
  <c r="T815" i="2"/>
  <c r="I815" i="2"/>
  <c r="T812" i="2"/>
  <c r="T801" i="2"/>
  <c r="I801" i="2"/>
  <c r="T800" i="2"/>
  <c r="I800" i="2"/>
  <c r="T799" i="2"/>
  <c r="I799" i="2"/>
  <c r="T798" i="2"/>
  <c r="I798" i="2"/>
  <c r="T797" i="2"/>
  <c r="I797" i="2"/>
  <c r="T794" i="2"/>
  <c r="I794" i="2"/>
  <c r="T793" i="2"/>
  <c r="I793" i="2"/>
  <c r="T792" i="2"/>
  <c r="I792" i="2"/>
  <c r="T791" i="2"/>
  <c r="I791" i="2"/>
  <c r="T790" i="2"/>
  <c r="I790" i="2"/>
  <c r="T787" i="2"/>
  <c r="I787" i="2"/>
  <c r="T785" i="2"/>
  <c r="I785" i="2"/>
  <c r="T784" i="2"/>
  <c r="I784" i="2"/>
  <c r="T782" i="2"/>
  <c r="I782" i="2"/>
  <c r="T781" i="2"/>
  <c r="I781" i="2"/>
  <c r="T780" i="2"/>
  <c r="I780" i="2"/>
  <c r="T779" i="2"/>
  <c r="I779" i="2"/>
  <c r="T778" i="2"/>
  <c r="I778" i="2"/>
  <c r="T777" i="2"/>
  <c r="I777" i="2"/>
  <c r="T760" i="2"/>
  <c r="I760" i="2"/>
  <c r="T756" i="2"/>
  <c r="I756" i="2"/>
  <c r="T755" i="2"/>
  <c r="I755" i="2"/>
  <c r="T753" i="2"/>
  <c r="I753" i="2"/>
  <c r="T747" i="2"/>
  <c r="I747" i="2"/>
  <c r="T746" i="2"/>
  <c r="I746" i="2"/>
  <c r="T745" i="2"/>
  <c r="I745" i="2"/>
  <c r="T744" i="2"/>
  <c r="I744" i="2"/>
  <c r="T742" i="2"/>
  <c r="I742" i="2"/>
  <c r="T741" i="2"/>
  <c r="I741" i="2"/>
  <c r="T740" i="2"/>
  <c r="I740" i="2"/>
  <c r="T738" i="2"/>
  <c r="I738" i="2"/>
  <c r="T737" i="2"/>
  <c r="I737" i="2"/>
  <c r="T736" i="2"/>
  <c r="I736" i="2"/>
  <c r="T735" i="2"/>
  <c r="I735" i="2"/>
  <c r="T734" i="2"/>
  <c r="I734" i="2"/>
  <c r="T732" i="2"/>
  <c r="I732" i="2"/>
  <c r="T731" i="2"/>
  <c r="I731" i="2"/>
  <c r="T730" i="2"/>
  <c r="I730" i="2"/>
  <c r="T729" i="2"/>
  <c r="I729" i="2"/>
  <c r="I728" i="2"/>
  <c r="T727" i="2"/>
  <c r="I727" i="2"/>
  <c r="T726" i="2"/>
  <c r="I726" i="2"/>
  <c r="T725" i="2"/>
  <c r="I725" i="2"/>
  <c r="T723" i="2"/>
  <c r="I723" i="2"/>
  <c r="T722" i="2"/>
  <c r="I722" i="2"/>
  <c r="T721" i="2"/>
  <c r="I721" i="2"/>
  <c r="T720" i="2"/>
  <c r="I720" i="2"/>
  <c r="T717" i="2"/>
  <c r="I717" i="2"/>
  <c r="T715" i="2"/>
  <c r="I715" i="2"/>
  <c r="T714" i="2"/>
  <c r="I714" i="2"/>
  <c r="T713" i="2"/>
  <c r="I713" i="2"/>
  <c r="T712" i="2"/>
  <c r="I712" i="2"/>
  <c r="T711" i="2"/>
  <c r="I711" i="2"/>
  <c r="T710" i="2"/>
  <c r="I710" i="2"/>
  <c r="T709" i="2"/>
  <c r="I709" i="2"/>
  <c r="T706" i="2"/>
  <c r="I706" i="2"/>
  <c r="T705" i="2"/>
  <c r="I705" i="2"/>
  <c r="T704" i="2"/>
  <c r="I704" i="2"/>
  <c r="T703" i="2"/>
  <c r="I703" i="2"/>
  <c r="T702" i="2"/>
  <c r="I702" i="2"/>
  <c r="T701" i="2"/>
  <c r="I701" i="2"/>
  <c r="T700" i="2"/>
  <c r="I700" i="2"/>
  <c r="T699" i="2"/>
  <c r="I699" i="2"/>
  <c r="T682" i="2"/>
  <c r="I682" i="2"/>
  <c r="T681" i="2"/>
  <c r="I681" i="2"/>
  <c r="T680" i="2"/>
  <c r="I680" i="2"/>
  <c r="T679" i="2"/>
  <c r="I679" i="2"/>
  <c r="T674" i="2"/>
  <c r="I674" i="2"/>
  <c r="T672" i="2"/>
  <c r="I672" i="2"/>
  <c r="T668" i="2"/>
  <c r="I668" i="2"/>
  <c r="T664" i="2"/>
  <c r="I664" i="2"/>
  <c r="T659" i="2"/>
  <c r="I659" i="2"/>
  <c r="I658" i="2"/>
  <c r="T657" i="2"/>
  <c r="I657" i="2"/>
  <c r="T656" i="2"/>
  <c r="I656" i="2"/>
  <c r="I654" i="2"/>
  <c r="T652" i="2"/>
  <c r="I652" i="2"/>
  <c r="T648" i="2"/>
  <c r="I648" i="2"/>
  <c r="T647" i="2"/>
  <c r="I647" i="2"/>
  <c r="T646" i="2"/>
  <c r="I646" i="2"/>
  <c r="T629" i="2"/>
  <c r="I629" i="2"/>
  <c r="T628" i="2"/>
  <c r="I628" i="2"/>
  <c r="T622" i="2"/>
  <c r="I622" i="2"/>
  <c r="T618" i="2"/>
  <c r="I618" i="2"/>
  <c r="T617" i="2"/>
  <c r="I617" i="2"/>
  <c r="T616" i="2"/>
  <c r="I616" i="2"/>
  <c r="T610" i="2"/>
  <c r="I610" i="2"/>
  <c r="T607" i="2"/>
  <c r="I607" i="2"/>
  <c r="I606" i="2"/>
  <c r="T605" i="2"/>
  <c r="I605" i="2"/>
  <c r="T599" i="2"/>
  <c r="I599" i="2"/>
  <c r="T598" i="2"/>
  <c r="I598" i="2"/>
  <c r="T596" i="2"/>
  <c r="I596" i="2"/>
  <c r="T595" i="2"/>
  <c r="I595" i="2"/>
  <c r="I594" i="2"/>
  <c r="T588" i="2"/>
  <c r="I588" i="2"/>
  <c r="T584" i="2"/>
  <c r="I584" i="2"/>
  <c r="T583" i="2"/>
  <c r="I583" i="2"/>
  <c r="T581" i="2"/>
  <c r="I581" i="2"/>
  <c r="T580" i="2"/>
  <c r="I580" i="2"/>
  <c r="T579" i="2"/>
  <c r="I579" i="2"/>
  <c r="T578" i="2"/>
  <c r="I578" i="2"/>
  <c r="T577" i="2"/>
  <c r="I577" i="2"/>
  <c r="T575" i="2"/>
  <c r="I575" i="2"/>
  <c r="T573" i="2"/>
  <c r="I573" i="2"/>
  <c r="T572" i="2"/>
  <c r="I572" i="2"/>
  <c r="T571" i="2"/>
  <c r="I571" i="2"/>
  <c r="T570" i="2"/>
  <c r="I570" i="2"/>
  <c r="T569" i="2"/>
  <c r="I569" i="2"/>
  <c r="T568" i="2"/>
  <c r="I568" i="2"/>
  <c r="T567" i="2"/>
  <c r="I567" i="2"/>
  <c r="T566" i="2"/>
  <c r="I566" i="2"/>
  <c r="T565" i="2"/>
  <c r="I565" i="2"/>
  <c r="T564" i="2"/>
  <c r="I564" i="2"/>
  <c r="T563" i="2"/>
  <c r="I563" i="2"/>
  <c r="T562" i="2"/>
  <c r="I562" i="2"/>
  <c r="T561" i="2"/>
  <c r="I561" i="2"/>
  <c r="T560" i="2"/>
  <c r="I560" i="2"/>
  <c r="T557" i="2"/>
  <c r="I557" i="2"/>
  <c r="T556" i="2"/>
  <c r="I556" i="2"/>
  <c r="T553" i="2"/>
  <c r="I553" i="2"/>
  <c r="T550" i="2"/>
  <c r="I550" i="2"/>
  <c r="T547" i="2"/>
  <c r="I547" i="2"/>
  <c r="T546" i="2"/>
  <c r="I546" i="2"/>
  <c r="T545" i="2"/>
  <c r="I545" i="2"/>
  <c r="T544" i="2"/>
  <c r="I544" i="2"/>
  <c r="I543" i="2"/>
  <c r="T541" i="2"/>
  <c r="I541" i="2"/>
  <c r="T540" i="2"/>
  <c r="I540" i="2"/>
  <c r="T539" i="2"/>
  <c r="I539" i="2"/>
  <c r="T537" i="2"/>
  <c r="I537" i="2"/>
  <c r="T533" i="2"/>
  <c r="I533" i="2"/>
  <c r="T532" i="2"/>
  <c r="I532" i="2"/>
  <c r="T530" i="2"/>
  <c r="I530" i="2"/>
  <c r="I525" i="2"/>
  <c r="T522" i="2"/>
  <c r="I522" i="2"/>
  <c r="T520" i="2"/>
  <c r="I520" i="2"/>
  <c r="T519" i="2"/>
  <c r="I519" i="2"/>
  <c r="T518" i="2"/>
  <c r="I518" i="2"/>
  <c r="I515" i="2"/>
  <c r="T514" i="2"/>
  <c r="I514" i="2"/>
  <c r="T512" i="2"/>
  <c r="I512" i="2"/>
  <c r="T510" i="2"/>
  <c r="I510" i="2"/>
  <c r="T507" i="2"/>
  <c r="I507" i="2"/>
  <c r="T506" i="2"/>
  <c r="I506" i="2"/>
  <c r="I505" i="2"/>
  <c r="I504" i="2"/>
  <c r="T503" i="2"/>
  <c r="I503" i="2"/>
  <c r="I502" i="2"/>
  <c r="T501" i="2"/>
  <c r="I501" i="2"/>
  <c r="I500" i="2"/>
  <c r="I496" i="2"/>
  <c r="T487" i="2"/>
  <c r="I487" i="2"/>
  <c r="T486" i="2"/>
  <c r="I486" i="2"/>
  <c r="T485" i="2"/>
  <c r="I485" i="2"/>
  <c r="T484" i="2"/>
  <c r="I484" i="2"/>
  <c r="T480" i="2"/>
  <c r="I480" i="2"/>
  <c r="T479" i="2"/>
  <c r="I479" i="2"/>
  <c r="T478" i="2"/>
  <c r="I478" i="2"/>
  <c r="T477" i="2"/>
  <c r="I477" i="2"/>
  <c r="T476" i="2"/>
  <c r="I476" i="2"/>
  <c r="T474" i="2"/>
  <c r="I474" i="2"/>
  <c r="T470" i="2"/>
  <c r="I470" i="2"/>
  <c r="I465" i="2"/>
  <c r="T461" i="2"/>
  <c r="I461" i="2"/>
  <c r="T460" i="2"/>
  <c r="I460" i="2"/>
  <c r="T459" i="2"/>
  <c r="I459" i="2"/>
  <c r="T457" i="2"/>
  <c r="I457" i="2"/>
  <c r="I450" i="2"/>
  <c r="T448" i="2"/>
  <c r="I448" i="2"/>
  <c r="I447" i="2"/>
  <c r="I446" i="2"/>
  <c r="T445" i="2"/>
  <c r="I445" i="2"/>
  <c r="T440" i="2"/>
  <c r="T436" i="2"/>
  <c r="I436" i="2"/>
  <c r="T432" i="2"/>
  <c r="I432" i="2"/>
  <c r="T430" i="2"/>
  <c r="I430" i="2"/>
  <c r="T429" i="2"/>
  <c r="I429" i="2"/>
  <c r="T427" i="2"/>
  <c r="I427" i="2"/>
  <c r="T425" i="2"/>
  <c r="I425" i="2"/>
  <c r="T423" i="2"/>
  <c r="I423" i="2"/>
  <c r="T419" i="2"/>
  <c r="I419" i="2"/>
  <c r="T418" i="2"/>
  <c r="I418" i="2"/>
  <c r="T417" i="2"/>
  <c r="I417" i="2"/>
  <c r="T415" i="2"/>
  <c r="I415" i="2"/>
  <c r="T414" i="2"/>
  <c r="I414" i="2"/>
  <c r="T410" i="2"/>
  <c r="I410" i="2"/>
  <c r="I409" i="2"/>
  <c r="T408" i="2"/>
  <c r="I408" i="2"/>
  <c r="T406" i="2"/>
  <c r="I406" i="2"/>
  <c r="T405" i="2"/>
  <c r="I405" i="2"/>
  <c r="T404" i="2"/>
  <c r="I404" i="2"/>
  <c r="T403" i="2"/>
  <c r="I403" i="2"/>
  <c r="T402" i="2"/>
  <c r="I402" i="2"/>
  <c r="T400" i="2"/>
  <c r="I400" i="2"/>
  <c r="T399" i="2"/>
  <c r="I399" i="2"/>
  <c r="T398" i="2"/>
  <c r="I398" i="2"/>
  <c r="T381" i="2"/>
  <c r="I381" i="2"/>
  <c r="T376" i="2"/>
  <c r="I376" i="2"/>
  <c r="T375" i="2"/>
  <c r="I375" i="2"/>
  <c r="T368" i="2"/>
  <c r="I368" i="2"/>
  <c r="T367" i="2"/>
  <c r="I367" i="2"/>
  <c r="T365" i="2"/>
  <c r="I365" i="2"/>
  <c r="T363" i="2"/>
  <c r="I363" i="2"/>
  <c r="T359" i="2"/>
  <c r="I359" i="2"/>
  <c r="T355" i="2"/>
  <c r="I355" i="2"/>
  <c r="T354" i="2"/>
  <c r="I354" i="2"/>
  <c r="T349" i="2"/>
  <c r="I349" i="2"/>
  <c r="T346" i="2"/>
  <c r="I346" i="2"/>
  <c r="T343" i="2"/>
  <c r="I343" i="2"/>
  <c r="T342" i="2"/>
  <c r="I342" i="2"/>
  <c r="T330" i="2"/>
  <c r="I330" i="2"/>
  <c r="T326" i="2"/>
  <c r="I326" i="2"/>
  <c r="T323" i="2"/>
  <c r="I323" i="2"/>
  <c r="T322" i="2"/>
  <c r="I322" i="2"/>
  <c r="T320" i="2"/>
  <c r="I320" i="2"/>
  <c r="T318" i="2"/>
  <c r="I318" i="2"/>
  <c r="T316" i="2"/>
  <c r="I316" i="2"/>
  <c r="T314" i="2"/>
  <c r="I314" i="2"/>
  <c r="T313" i="2"/>
  <c r="I313" i="2"/>
  <c r="T310" i="2"/>
  <c r="I310" i="2"/>
  <c r="T309" i="2"/>
  <c r="I309" i="2"/>
  <c r="T308" i="2"/>
  <c r="I308" i="2"/>
  <c r="T307" i="2"/>
  <c r="I307" i="2"/>
  <c r="T305" i="2"/>
  <c r="I305" i="2"/>
  <c r="T303" i="2"/>
  <c r="I303" i="2"/>
  <c r="T302" i="2"/>
  <c r="I302" i="2"/>
  <c r="T301" i="2"/>
  <c r="I301" i="2"/>
  <c r="T300" i="2"/>
  <c r="I300" i="2"/>
  <c r="T298" i="2"/>
  <c r="I298" i="2"/>
  <c r="T295" i="2"/>
  <c r="I295" i="2"/>
  <c r="T291" i="2"/>
  <c r="I291" i="2"/>
  <c r="T276" i="2"/>
  <c r="I276" i="2"/>
  <c r="T275" i="2"/>
  <c r="I275" i="2"/>
  <c r="T271" i="2"/>
  <c r="I271" i="2"/>
  <c r="T270" i="2"/>
  <c r="I270" i="2"/>
  <c r="T267" i="2"/>
  <c r="I267" i="2"/>
  <c r="T252" i="2"/>
  <c r="I252" i="2"/>
  <c r="I251" i="2"/>
  <c r="I250" i="2"/>
  <c r="T249" i="2"/>
  <c r="I249" i="2"/>
  <c r="T248" i="2"/>
  <c r="I248" i="2"/>
  <c r="T246" i="2"/>
  <c r="I246" i="2"/>
  <c r="T242" i="2"/>
  <c r="I242" i="2"/>
  <c r="T241" i="2"/>
  <c r="I241" i="2"/>
  <c r="T240" i="2"/>
  <c r="I240" i="2"/>
  <c r="I233" i="2"/>
  <c r="T231" i="2"/>
  <c r="I231" i="2"/>
  <c r="T227" i="2"/>
  <c r="I227" i="2"/>
  <c r="T226" i="2"/>
  <c r="I226" i="2"/>
  <c r="I224" i="2"/>
  <c r="T223" i="2"/>
  <c r="I223" i="2"/>
  <c r="T222" i="2"/>
  <c r="I222" i="2"/>
  <c r="I214" i="2"/>
  <c r="T210" i="2"/>
  <c r="I210" i="2"/>
  <c r="T209" i="2"/>
  <c r="I209" i="2"/>
  <c r="T208" i="2"/>
  <c r="I208" i="2"/>
  <c r="T207" i="2"/>
  <c r="I207" i="2"/>
  <c r="T206" i="2"/>
  <c r="T203" i="2"/>
  <c r="I203" i="2"/>
  <c r="T201" i="2"/>
  <c r="I201" i="2"/>
  <c r="I198" i="2"/>
  <c r="T197" i="2"/>
  <c r="I197" i="2"/>
  <c r="T196" i="2"/>
  <c r="I196" i="2"/>
  <c r="T195" i="2"/>
  <c r="I195" i="2"/>
  <c r="T194" i="2"/>
  <c r="I194" i="2"/>
  <c r="T193" i="2"/>
  <c r="I193" i="2"/>
  <c r="T192" i="2"/>
  <c r="I192" i="2"/>
  <c r="T191" i="2"/>
  <c r="I191" i="2"/>
  <c r="T190" i="2"/>
  <c r="I190" i="2"/>
  <c r="T184" i="2"/>
  <c r="I184" i="2"/>
  <c r="T181" i="2"/>
  <c r="I181" i="2"/>
  <c r="I180" i="2"/>
  <c r="I175" i="2"/>
  <c r="T174" i="2"/>
  <c r="I174" i="2"/>
  <c r="T158" i="2"/>
  <c r="I158" i="2"/>
  <c r="T147" i="2"/>
  <c r="I147" i="2"/>
  <c r="T145" i="2"/>
  <c r="I145" i="2"/>
  <c r="I130" i="2"/>
  <c r="I127" i="2"/>
  <c r="T126" i="2"/>
  <c r="I126" i="2"/>
  <c r="T124" i="2"/>
  <c r="I124" i="2"/>
  <c r="T123" i="2"/>
  <c r="I123" i="2"/>
  <c r="T122" i="2"/>
  <c r="I122" i="2"/>
  <c r="T121" i="2"/>
  <c r="I121" i="2"/>
  <c r="T120" i="2"/>
  <c r="I120" i="2"/>
  <c r="T119" i="2"/>
  <c r="I119" i="2"/>
  <c r="T118" i="2"/>
  <c r="I118" i="2"/>
  <c r="T117" i="2"/>
  <c r="I117" i="2"/>
  <c r="T116" i="2"/>
  <c r="I116" i="2"/>
  <c r="I95" i="2"/>
  <c r="I94" i="2"/>
  <c r="I93" i="2"/>
  <c r="I90" i="2"/>
  <c r="I89" i="2"/>
  <c r="I88" i="2"/>
  <c r="I85" i="2"/>
  <c r="I80" i="2"/>
  <c r="I67" i="2"/>
  <c r="I29" i="2"/>
  <c r="I28" i="2"/>
  <c r="I27" i="2"/>
  <c r="I15" i="2"/>
  <c r="I14" i="2"/>
  <c r="I11" i="2"/>
  <c r="I6" i="2"/>
  <c r="T5" i="2"/>
  <c r="I5" i="2"/>
  <c r="BQ1048576" i="1"/>
  <c r="T137" i="1"/>
  <c r="T138" i="1"/>
  <c r="I137" i="1"/>
  <c r="T149" i="1"/>
  <c r="I149" i="1"/>
  <c r="T257" i="1"/>
  <c r="I257" i="1"/>
  <c r="T209" i="1"/>
  <c r="I209" i="1"/>
  <c r="T259" i="1"/>
  <c r="I259" i="1"/>
  <c r="T464" i="1"/>
  <c r="I464" i="1"/>
  <c r="T398" i="1"/>
  <c r="I398" i="1"/>
  <c r="T81" i="1"/>
  <c r="I81" i="1"/>
  <c r="T79" i="1"/>
  <c r="I79" i="1"/>
  <c r="T642" i="1"/>
  <c r="I642" i="1"/>
  <c r="T171" i="1"/>
  <c r="I171" i="1"/>
  <c r="T185" i="1"/>
  <c r="I185" i="1"/>
  <c r="T326" i="1"/>
  <c r="I326" i="1"/>
  <c r="T172" i="1"/>
  <c r="I172" i="1"/>
  <c r="T372" i="1"/>
  <c r="I372" i="1"/>
  <c r="T212" i="1"/>
  <c r="I212" i="1"/>
  <c r="T182" i="1"/>
  <c r="I182" i="1"/>
  <c r="T173" i="1"/>
  <c r="I173" i="1"/>
  <c r="T174" i="1"/>
  <c r="I174" i="1"/>
  <c r="T170" i="1"/>
  <c r="I170" i="1"/>
  <c r="T89" i="1"/>
  <c r="I89" i="1"/>
  <c r="I138" i="1"/>
  <c r="T135" i="1"/>
  <c r="I135" i="1"/>
  <c r="T130" i="1"/>
  <c r="I130" i="1"/>
  <c r="T129" i="1"/>
  <c r="I129" i="1"/>
  <c r="T128" i="1"/>
  <c r="I128" i="1"/>
  <c r="T126" i="1"/>
  <c r="I126" i="1"/>
  <c r="T125" i="1"/>
  <c r="I125" i="1"/>
  <c r="T123" i="1"/>
  <c r="I123" i="1"/>
  <c r="T122" i="1"/>
  <c r="I122" i="1"/>
  <c r="T139" i="1"/>
  <c r="I139" i="1"/>
  <c r="T420" i="1"/>
  <c r="I420" i="1"/>
  <c r="T395" i="1"/>
  <c r="I395" i="1"/>
  <c r="T169" i="1"/>
  <c r="I169" i="1"/>
  <c r="T208" i="1"/>
  <c r="I208" i="1"/>
  <c r="T383" i="1"/>
  <c r="I383" i="1"/>
  <c r="T181" i="1"/>
  <c r="I181" i="1"/>
  <c r="T345" i="1"/>
  <c r="I345" i="1"/>
  <c r="T412" i="1"/>
  <c r="I412" i="1"/>
  <c r="T78" i="1"/>
  <c r="I78" i="1"/>
  <c r="T156" i="1"/>
  <c r="I156" i="1"/>
  <c r="T612" i="1"/>
  <c r="I612" i="1"/>
  <c r="T611" i="1"/>
  <c r="I611" i="1"/>
  <c r="T663" i="1"/>
  <c r="I663" i="1"/>
  <c r="T618" i="1"/>
  <c r="I618" i="1"/>
  <c r="T620" i="1"/>
  <c r="I620" i="1"/>
  <c r="T606" i="1"/>
  <c r="I606" i="1"/>
  <c r="T702" i="1"/>
  <c r="I702" i="1"/>
  <c r="T154" i="1"/>
  <c r="I154" i="1"/>
  <c r="T746" i="1"/>
  <c r="I746" i="1"/>
  <c r="T745" i="1"/>
  <c r="I745" i="1"/>
  <c r="I76" i="1"/>
  <c r="T626" i="1"/>
  <c r="I626" i="1"/>
  <c r="I608" i="1"/>
  <c r="T608" i="1"/>
  <c r="T616" i="1"/>
  <c r="I616" i="1"/>
  <c r="T614" i="1"/>
  <c r="I614" i="1"/>
  <c r="I609" i="1"/>
  <c r="T609" i="1"/>
  <c r="T579" i="1"/>
  <c r="I579" i="1"/>
  <c r="T699" i="1"/>
  <c r="I699" i="1"/>
  <c r="T654" i="1"/>
  <c r="I654" i="1"/>
  <c r="I653" i="1"/>
  <c r="T605" i="1"/>
  <c r="I605" i="1"/>
  <c r="T629" i="1"/>
  <c r="I629" i="1"/>
  <c r="T725" i="1"/>
  <c r="I725" i="1"/>
  <c r="T517" i="1"/>
  <c r="I517" i="1"/>
  <c r="T624" i="1"/>
  <c r="I624" i="1"/>
  <c r="T615" i="1"/>
  <c r="I615" i="1"/>
  <c r="I104" i="1"/>
  <c r="T104" i="1"/>
  <c r="I103" i="1"/>
  <c r="T103" i="1"/>
  <c r="I52" i="1"/>
  <c r="I6" i="1"/>
  <c r="I24" i="1"/>
  <c r="I5" i="1"/>
  <c r="I20" i="1"/>
  <c r="I18" i="1"/>
  <c r="I28" i="1"/>
  <c r="I22" i="1"/>
  <c r="I16" i="1"/>
  <c r="I9" i="1"/>
  <c r="I8" i="1"/>
  <c r="I7" i="1"/>
  <c r="T402" i="1"/>
  <c r="I402" i="1"/>
  <c r="T789" i="1"/>
  <c r="I789" i="1"/>
  <c r="T780" i="1"/>
  <c r="I780" i="1"/>
  <c r="T748" i="1"/>
  <c r="I748" i="1"/>
  <c r="T442" i="1"/>
  <c r="I442" i="1"/>
  <c r="T598" i="1"/>
  <c r="I598" i="1"/>
  <c r="T785" i="1"/>
  <c r="I785" i="1"/>
  <c r="T254" i="1"/>
  <c r="I254" i="1"/>
  <c r="T747" i="1"/>
  <c r="I747" i="1"/>
  <c r="T783" i="1"/>
  <c r="I783" i="1"/>
  <c r="T649" i="1"/>
  <c r="T646" i="1"/>
  <c r="I649" i="1"/>
  <c r="T635" i="1"/>
  <c r="I635" i="1"/>
  <c r="I646" i="1"/>
  <c r="I650" i="1"/>
  <c r="T650" i="1"/>
  <c r="I636" i="1"/>
  <c r="T636" i="1"/>
  <c r="I632" i="1"/>
  <c r="T632" i="1"/>
  <c r="T551" i="1"/>
  <c r="I551" i="1"/>
  <c r="I46" i="1"/>
  <c r="T46" i="1"/>
  <c r="T207" i="1"/>
  <c r="I207" i="1"/>
  <c r="I643" i="1"/>
  <c r="T643" i="1"/>
  <c r="T120" i="1"/>
  <c r="I120" i="1"/>
  <c r="I741" i="1"/>
  <c r="T332" i="1"/>
  <c r="I332" i="1"/>
  <c r="T291" i="1"/>
  <c r="I291" i="1"/>
  <c r="T473" i="1"/>
  <c r="I473" i="1"/>
  <c r="T183" i="1"/>
  <c r="I183" i="1"/>
  <c r="T204" i="1"/>
  <c r="I204" i="1"/>
  <c r="T580" i="1"/>
  <c r="I580" i="1"/>
  <c r="T377" i="1"/>
  <c r="I377" i="1"/>
  <c r="T490" i="1"/>
  <c r="I490" i="1"/>
  <c r="T206" i="1"/>
  <c r="I206" i="1"/>
  <c r="T739" i="1"/>
  <c r="I739" i="1"/>
  <c r="I26" i="1"/>
  <c r="I27" i="1"/>
  <c r="T47" i="1"/>
  <c r="I47" i="1"/>
  <c r="T575" i="1"/>
  <c r="I575" i="1"/>
  <c r="T582" i="1"/>
  <c r="I582" i="1"/>
  <c r="T303" i="1"/>
  <c r="I303" i="1"/>
  <c r="T578" i="1"/>
  <c r="I578" i="1"/>
  <c r="T160" i="1"/>
  <c r="I160" i="1"/>
  <c r="I333" i="1"/>
  <c r="T49" i="1"/>
  <c r="I49" i="1"/>
  <c r="I465" i="1"/>
  <c r="T219" i="1"/>
  <c r="I219" i="1"/>
  <c r="T630" i="1"/>
  <c r="I630" i="1"/>
  <c r="T159" i="1"/>
  <c r="I159" i="1"/>
  <c r="T718" i="1"/>
  <c r="I718" i="1"/>
  <c r="I476" i="1"/>
  <c r="T476" i="1"/>
  <c r="T468" i="1"/>
  <c r="I468" i="1"/>
  <c r="T555" i="1"/>
  <c r="I555" i="1"/>
  <c r="T94" i="1"/>
  <c r="I94" i="1"/>
  <c r="I404" i="1"/>
  <c r="T404" i="1"/>
  <c r="T438" i="1"/>
  <c r="I438" i="1"/>
  <c r="T405" i="1"/>
  <c r="I405" i="1"/>
  <c r="T314" i="1"/>
  <c r="I314" i="1"/>
  <c r="T304" i="1"/>
  <c r="I304" i="1"/>
  <c r="I44" i="1"/>
  <c r="I43" i="1"/>
  <c r="T39" i="1"/>
  <c r="I39" i="1"/>
  <c r="I38" i="1"/>
  <c r="T38" i="1"/>
  <c r="T36" i="1"/>
  <c r="I36" i="1"/>
  <c r="T48" i="1"/>
  <c r="I48" i="1"/>
  <c r="T41" i="1"/>
  <c r="I41" i="1"/>
  <c r="I40" i="1"/>
  <c r="T40" i="1"/>
  <c r="T37" i="1"/>
  <c r="I37" i="1"/>
  <c r="T35" i="1"/>
  <c r="I35" i="1"/>
  <c r="I11" i="1"/>
  <c r="I10" i="1"/>
  <c r="T34" i="1"/>
  <c r="I34" i="1"/>
  <c r="T478" i="1"/>
  <c r="I478" i="1"/>
  <c r="T491" i="1"/>
  <c r="I491" i="1"/>
  <c r="T410" i="1"/>
  <c r="I410" i="1"/>
  <c r="I400" i="1"/>
  <c r="T400" i="1"/>
  <c r="I292" i="1"/>
  <c r="T292" i="1"/>
  <c r="T397" i="1"/>
  <c r="I397" i="1"/>
  <c r="T433" i="1"/>
  <c r="I433" i="1"/>
  <c r="I80" i="1"/>
  <c r="T83" i="1"/>
  <c r="I83" i="1"/>
  <c r="T432" i="1"/>
  <c r="I432" i="1"/>
  <c r="I132" i="1"/>
  <c r="T132" i="1"/>
  <c r="T121" i="1"/>
  <c r="I121" i="1"/>
  <c r="T388" i="1"/>
  <c r="I388" i="1"/>
  <c r="T192" i="1"/>
  <c r="I192" i="1"/>
  <c r="T155" i="1"/>
  <c r="I155" i="1"/>
  <c r="T296" i="1"/>
  <c r="I296" i="1"/>
  <c r="T119" i="1"/>
  <c r="I119" i="1"/>
  <c r="T127" i="1"/>
  <c r="I127" i="1"/>
  <c r="T124" i="1"/>
  <c r="I124" i="1"/>
  <c r="I290" i="1"/>
  <c r="T290" i="1"/>
  <c r="T214" i="1"/>
  <c r="I214" i="1"/>
  <c r="I568" i="1"/>
  <c r="I494" i="1"/>
  <c r="T494" i="1"/>
  <c r="I471" i="1"/>
  <c r="T471" i="1"/>
  <c r="I501" i="1"/>
  <c r="T501" i="1"/>
  <c r="I548" i="1"/>
  <c r="T548" i="1"/>
  <c r="I506" i="1"/>
  <c r="T506" i="1"/>
  <c r="I480" i="1"/>
  <c r="T480" i="1"/>
  <c r="I481" i="1"/>
  <c r="T481" i="1"/>
  <c r="I472" i="1"/>
  <c r="T472" i="1"/>
  <c r="I536" i="1"/>
  <c r="T536" i="1"/>
  <c r="T505" i="1"/>
  <c r="I505" i="1"/>
  <c r="T549" i="1"/>
  <c r="I549" i="1"/>
  <c r="T550" i="1"/>
  <c r="I550" i="1"/>
  <c r="T101" i="1"/>
  <c r="I101" i="1"/>
  <c r="T54" i="1"/>
  <c r="I54" i="1"/>
  <c r="T91" i="1"/>
  <c r="I91" i="1"/>
  <c r="T544" i="1"/>
  <c r="I544" i="1"/>
  <c r="I583" i="1"/>
  <c r="T557" i="1"/>
  <c r="I557" i="1"/>
  <c r="T546" i="1"/>
  <c r="I546" i="1"/>
  <c r="T475" i="1"/>
  <c r="I475" i="1"/>
  <c r="T485" i="1"/>
  <c r="I485" i="1"/>
  <c r="T497" i="1"/>
  <c r="I497" i="1"/>
  <c r="T498" i="1"/>
  <c r="I498" i="1"/>
  <c r="I554" i="1"/>
  <c r="T554" i="1"/>
  <c r="I552" i="1"/>
  <c r="T552" i="1"/>
  <c r="I495" i="1"/>
  <c r="I545" i="1"/>
  <c r="T545" i="1"/>
  <c r="T542" i="1"/>
  <c r="I542" i="1"/>
  <c r="I541" i="1"/>
  <c r="T541" i="1"/>
  <c r="I562" i="1"/>
  <c r="T562" i="1"/>
  <c r="I556" i="1"/>
  <c r="T556" i="1"/>
  <c r="T547" i="1"/>
  <c r="I547" i="1"/>
  <c r="I581" i="1"/>
  <c r="T581" i="1"/>
  <c r="T577" i="1"/>
  <c r="I577" i="1"/>
  <c r="I576" i="1"/>
  <c r="T576" i="1"/>
  <c r="T533" i="1"/>
  <c r="T502" i="1"/>
  <c r="T507" i="1"/>
  <c r="I507" i="1"/>
  <c r="T508" i="1"/>
  <c r="I508" i="1"/>
  <c r="T504" i="1"/>
  <c r="I504" i="1"/>
  <c r="T503" i="1"/>
  <c r="I503" i="1"/>
  <c r="T500" i="1"/>
  <c r="I500" i="1"/>
  <c r="T483" i="1"/>
  <c r="I483" i="1"/>
  <c r="T607" i="1"/>
  <c r="I607" i="1"/>
  <c r="T484" i="1"/>
  <c r="I484" i="1"/>
  <c r="T482" i="1"/>
  <c r="I482" i="1"/>
  <c r="T213" i="1"/>
  <c r="I213" i="1"/>
  <c r="T584" i="1"/>
  <c r="I584" i="1"/>
  <c r="I98" i="1"/>
  <c r="I502" i="1"/>
  <c r="I622" i="1"/>
  <c r="T610" i="1"/>
  <c r="I610" i="1"/>
  <c r="I613" i="1"/>
  <c r="T613" i="1"/>
  <c r="T619" i="1"/>
  <c r="I619" i="1"/>
  <c r="T401" i="1"/>
  <c r="I401" i="1"/>
  <c r="T399" i="1"/>
  <c r="I399" i="1"/>
  <c r="T571" i="1"/>
  <c r="I571" i="1"/>
  <c r="T447" i="1"/>
  <c r="I447" i="1"/>
  <c r="T205" i="1"/>
  <c r="I205" i="1"/>
  <c r="T540" i="1"/>
  <c r="I540" i="1"/>
  <c r="T42" i="1"/>
  <c r="I42" i="1"/>
  <c r="T488" i="1"/>
  <c r="I488" i="1"/>
  <c r="T487" i="1"/>
  <c r="I487" i="1"/>
  <c r="T711" i="1"/>
  <c r="T712" i="1"/>
  <c r="T713" i="1"/>
  <c r="T714" i="1"/>
  <c r="T710" i="1"/>
  <c r="I713" i="1"/>
  <c r="I711" i="1"/>
  <c r="I712" i="1"/>
  <c r="I714" i="1"/>
  <c r="I710" i="1"/>
  <c r="T715" i="1"/>
  <c r="I715" i="1"/>
  <c r="I716" i="1"/>
  <c r="T716" i="1"/>
  <c r="T667" i="1"/>
  <c r="I667" i="1"/>
  <c r="I637" i="1"/>
  <c r="T637" i="1"/>
  <c r="T644" i="1"/>
  <c r="I644" i="1"/>
  <c r="I391" i="1"/>
  <c r="T82" i="1"/>
  <c r="I82" i="1"/>
  <c r="T499" i="1"/>
  <c r="I499" i="1"/>
  <c r="T496" i="1"/>
  <c r="I496" i="1"/>
  <c r="T738" i="1"/>
  <c r="I738" i="1"/>
  <c r="T105" i="1"/>
  <c r="I105" i="1"/>
  <c r="T406" i="1"/>
  <c r="I406" i="1"/>
  <c r="T165" i="1"/>
  <c r="I165" i="1"/>
  <c r="T698" i="1"/>
  <c r="I698" i="1"/>
  <c r="I742" i="1"/>
  <c r="T133" i="1"/>
  <c r="I133" i="1"/>
  <c r="T538" i="1"/>
  <c r="I538" i="1"/>
  <c r="T389" i="1"/>
  <c r="I389" i="1"/>
  <c r="T749" i="1"/>
  <c r="I749" i="1"/>
  <c r="T778" i="1"/>
  <c r="I778" i="1"/>
  <c r="T740" i="1"/>
  <c r="I740" i="1"/>
  <c r="T777" i="1"/>
  <c r="I777" i="1"/>
  <c r="I761" i="1"/>
  <c r="T761" i="1"/>
  <c r="I776" i="1"/>
  <c r="T776" i="1"/>
  <c r="T440" i="1"/>
  <c r="T443" i="1"/>
  <c r="I443" i="1"/>
  <c r="T386" i="1"/>
  <c r="I386" i="1"/>
  <c r="T634" i="1"/>
  <c r="I634" i="1"/>
  <c r="I595" i="1"/>
  <c r="T595" i="1"/>
  <c r="I600" i="1"/>
  <c r="T600" i="1"/>
  <c r="T436" i="1"/>
  <c r="I436" i="1"/>
  <c r="T413" i="1"/>
  <c r="I413" i="1"/>
  <c r="T431" i="1"/>
  <c r="I431" i="1"/>
  <c r="I781" i="1"/>
  <c r="T782" i="1"/>
  <c r="I782" i="1"/>
  <c r="T771" i="1"/>
  <c r="I771" i="1"/>
  <c r="I223" i="1"/>
  <c r="I222" i="1"/>
  <c r="T271" i="1"/>
  <c r="I271" i="1"/>
  <c r="T264" i="1"/>
  <c r="I264" i="1"/>
  <c r="T407" i="1"/>
  <c r="I407" i="1"/>
  <c r="T396" i="1"/>
  <c r="I396" i="1"/>
  <c r="T230" i="1"/>
  <c r="I230" i="1"/>
  <c r="T265" i="1"/>
  <c r="I265" i="1"/>
  <c r="T393" i="1"/>
  <c r="I393" i="1"/>
  <c r="T394" i="1"/>
  <c r="I394" i="1"/>
  <c r="T267" i="1"/>
  <c r="I267" i="1"/>
  <c r="I253" i="1"/>
  <c r="T276" i="1"/>
  <c r="I276" i="1"/>
  <c r="T284" i="1"/>
  <c r="I284" i="1"/>
  <c r="T268" i="1"/>
  <c r="I268" i="1"/>
  <c r="T376" i="1"/>
  <c r="I376" i="1"/>
  <c r="T246" i="1"/>
  <c r="I246" i="1"/>
  <c r="T221" i="1"/>
  <c r="I221" i="1"/>
  <c r="T263" i="1"/>
  <c r="I263" i="1"/>
  <c r="T270" i="1"/>
  <c r="I270" i="1"/>
  <c r="I193" i="1"/>
  <c r="T162" i="1"/>
  <c r="I162" i="1"/>
  <c r="T164" i="1"/>
  <c r="I164" i="1"/>
  <c r="T163" i="1"/>
  <c r="I163" i="1"/>
  <c r="T166" i="1"/>
  <c r="I166" i="1"/>
  <c r="T167" i="1"/>
  <c r="I167" i="1"/>
  <c r="T392" i="1"/>
  <c r="I392" i="1"/>
  <c r="I231" i="1"/>
  <c r="T234" i="1"/>
  <c r="I234" i="1"/>
  <c r="I591" i="1"/>
  <c r="T591" i="1"/>
  <c r="T647" i="1"/>
  <c r="I647" i="1"/>
  <c r="T648" i="1"/>
  <c r="I648" i="1"/>
  <c r="T641" i="1"/>
  <c r="I641" i="1"/>
  <c r="T603" i="1"/>
  <c r="I603" i="1"/>
  <c r="T592" i="1"/>
  <c r="I592" i="1"/>
  <c r="T189" i="1"/>
  <c r="I189" i="1"/>
  <c r="T597" i="1"/>
  <c r="I597" i="1"/>
  <c r="T602" i="1"/>
  <c r="I602" i="1"/>
  <c r="T225" i="1"/>
  <c r="I225" i="1"/>
  <c r="T273" i="1"/>
  <c r="I273" i="1"/>
  <c r="I474" i="1"/>
  <c r="T474" i="1"/>
  <c r="T479" i="1"/>
  <c r="I479" i="1"/>
  <c r="T260" i="1"/>
  <c r="I260" i="1"/>
  <c r="T256" i="1"/>
  <c r="I256" i="1"/>
  <c r="T463" i="1"/>
  <c r="I463" i="1"/>
  <c r="T74" i="1"/>
  <c r="I74" i="1"/>
  <c r="T75" i="1"/>
  <c r="I75" i="1"/>
  <c r="T275" i="1"/>
  <c r="I275" i="1"/>
  <c r="I553" i="1"/>
  <c r="T495" i="1"/>
  <c r="T694" i="1"/>
  <c r="I694" i="1"/>
  <c r="I168" i="1"/>
  <c r="T444" i="1"/>
  <c r="I444" i="1"/>
  <c r="T33" i="1"/>
  <c r="I33" i="1"/>
  <c r="T289" i="1"/>
  <c r="I289" i="1"/>
  <c r="T300" i="1"/>
  <c r="I300" i="1"/>
  <c r="I533" i="1"/>
  <c r="T486" i="1"/>
  <c r="I486" i="1"/>
  <c r="T737" i="1"/>
  <c r="I737" i="1"/>
  <c r="T258" i="1"/>
  <c r="I258" i="1"/>
  <c r="T666" i="1"/>
  <c r="I666" i="1"/>
  <c r="T422" i="1"/>
  <c r="I422" i="1"/>
  <c r="T262" i="1"/>
  <c r="I262" i="1"/>
  <c r="T434" i="1"/>
  <c r="I434" i="1"/>
  <c r="T426" i="1"/>
  <c r="I426" i="1"/>
  <c r="T286" i="1"/>
  <c r="I286" i="1"/>
  <c r="T313" i="1"/>
  <c r="I313" i="1"/>
  <c r="T385" i="1"/>
  <c r="I385" i="1"/>
  <c r="T375" i="1"/>
  <c r="I375" i="1"/>
  <c r="T423" i="1"/>
  <c r="I423" i="1"/>
  <c r="T269" i="1"/>
  <c r="I269" i="1"/>
  <c r="T279" i="1"/>
  <c r="I279" i="1"/>
  <c r="T224" i="1"/>
  <c r="I224" i="1"/>
  <c r="T238" i="1"/>
  <c r="I238" i="1"/>
  <c r="T430" i="1"/>
  <c r="I430" i="1"/>
  <c r="T195" i="1"/>
  <c r="I195" i="1"/>
  <c r="T435" i="1"/>
  <c r="I435" i="1"/>
  <c r="T370" i="1"/>
  <c r="I370" i="1"/>
  <c r="T378" i="1"/>
  <c r="I378" i="1"/>
  <c r="T261" i="1"/>
  <c r="I261" i="1"/>
  <c r="T373" i="1"/>
  <c r="T708" i="1"/>
  <c r="I708" i="1"/>
  <c r="T707" i="1"/>
  <c r="I707" i="1"/>
  <c r="T772" i="1"/>
  <c r="I772" i="1"/>
  <c r="T421" i="1"/>
  <c r="I421" i="1"/>
  <c r="T236" i="1"/>
  <c r="I236" i="1"/>
  <c r="T366" i="1"/>
  <c r="I366" i="1"/>
  <c r="T403" i="1"/>
  <c r="I403" i="1"/>
  <c r="T380" i="1"/>
  <c r="I380" i="1"/>
  <c r="T201" i="1"/>
  <c r="I201" i="1"/>
  <c r="T211" i="1"/>
  <c r="I211" i="1"/>
  <c r="T150" i="1"/>
  <c r="I150" i="1"/>
  <c r="T228" i="1"/>
  <c r="I228" i="1"/>
  <c r="T266" i="1"/>
  <c r="I266" i="1"/>
  <c r="T255" i="1"/>
  <c r="I255" i="1"/>
  <c r="T371" i="1"/>
  <c r="I371" i="1"/>
  <c r="T470" i="1"/>
  <c r="I470" i="1"/>
  <c r="T327" i="1"/>
  <c r="I327" i="1"/>
  <c r="T116" i="1"/>
  <c r="I116" i="1"/>
  <c r="T134" i="1"/>
  <c r="I134" i="1"/>
  <c r="T348" i="1"/>
  <c r="I348" i="1"/>
  <c r="T196" i="1"/>
  <c r="I196" i="1"/>
  <c r="T346" i="1"/>
  <c r="I346" i="1"/>
  <c r="T283" i="1"/>
  <c r="I283" i="1"/>
  <c r="T724" i="1"/>
  <c r="I724" i="1"/>
  <c r="T429" i="1"/>
  <c r="I429" i="1"/>
  <c r="T102" i="1"/>
  <c r="I102" i="1"/>
  <c r="T379" i="1"/>
  <c r="I379" i="1"/>
  <c r="T437" i="1"/>
  <c r="I437" i="1"/>
  <c r="T427" i="1"/>
  <c r="I427" i="1"/>
  <c r="T179" i="1"/>
  <c r="I179" i="1"/>
  <c r="T340" i="1"/>
  <c r="I340" i="1"/>
  <c r="T384" i="1"/>
  <c r="I384" i="1"/>
  <c r="T367" i="1"/>
  <c r="I367" i="1"/>
  <c r="T754" i="1"/>
  <c r="I754" i="1"/>
  <c r="T756" i="1"/>
  <c r="I756" i="1"/>
  <c r="T604" i="1"/>
  <c r="I604" i="1"/>
  <c r="T467" i="1"/>
  <c r="I467" i="1"/>
  <c r="T673" i="1"/>
  <c r="T672" i="1"/>
  <c r="I672" i="1"/>
  <c r="I673" i="1"/>
  <c r="T750" i="1"/>
  <c r="I750" i="1"/>
  <c r="T765" i="1"/>
  <c r="I765" i="1"/>
  <c r="I753" i="1"/>
  <c r="I766" i="1"/>
  <c r="T285" i="1"/>
  <c r="I285" i="1"/>
  <c r="T574" i="1"/>
  <c r="I574" i="1"/>
  <c r="I518" i="1"/>
  <c r="T518" i="1"/>
  <c r="T513" i="1"/>
  <c r="I513" i="1"/>
  <c r="T514" i="1"/>
  <c r="I514" i="1"/>
  <c r="T573" i="1"/>
  <c r="I573" i="1"/>
  <c r="T515" i="1"/>
  <c r="I515" i="1"/>
  <c r="T588" i="1"/>
  <c r="I588" i="1"/>
  <c r="T523" i="1"/>
  <c r="I523" i="1"/>
  <c r="T510" i="1"/>
  <c r="I510" i="1"/>
  <c r="T534" i="1"/>
  <c r="I534" i="1"/>
  <c r="T566" i="1"/>
  <c r="I566" i="1"/>
  <c r="T527" i="1"/>
  <c r="I527" i="1"/>
  <c r="I560" i="1"/>
  <c r="T560" i="1"/>
  <c r="T570" i="1"/>
  <c r="I570" i="1"/>
  <c r="T572" i="1"/>
  <c r="I572" i="1"/>
  <c r="I585" i="1"/>
  <c r="T585" i="1"/>
  <c r="T528" i="1"/>
  <c r="I528" i="1"/>
  <c r="I569" i="1"/>
  <c r="T569" i="1"/>
  <c r="T751" i="1"/>
  <c r="I751" i="1"/>
  <c r="T529" i="1"/>
  <c r="I529" i="1"/>
  <c r="T564" i="1"/>
  <c r="I564" i="1"/>
  <c r="T516" i="1"/>
  <c r="I516" i="1"/>
  <c r="T561" i="1"/>
  <c r="I561" i="1"/>
  <c r="I531" i="1"/>
  <c r="T531" i="1"/>
  <c r="T466" i="1"/>
  <c r="I466" i="1"/>
  <c r="T535" i="1"/>
  <c r="I535" i="1"/>
  <c r="I522" i="1"/>
  <c r="T522" i="1"/>
  <c r="I520" i="1"/>
  <c r="T520" i="1"/>
  <c r="I525" i="1"/>
  <c r="T525" i="1"/>
  <c r="I589" i="1"/>
  <c r="T589" i="1"/>
  <c r="T558" i="1"/>
  <c r="I558" i="1"/>
  <c r="I512" i="1"/>
  <c r="T512" i="1"/>
  <c r="T341" i="1"/>
  <c r="I341" i="1"/>
  <c r="T703" i="1"/>
  <c r="I703" i="1"/>
  <c r="T755" i="1"/>
  <c r="I755" i="1"/>
  <c r="I509" i="1"/>
  <c r="T509" i="1"/>
  <c r="T511" i="1"/>
  <c r="I511" i="1"/>
  <c r="I519" i="1"/>
  <c r="T521" i="1"/>
  <c r="I521" i="1"/>
  <c r="T519" i="1"/>
  <c r="T567" i="1"/>
  <c r="I567" i="1"/>
  <c r="I563" i="1"/>
  <c r="T563" i="1"/>
  <c r="T565" i="1"/>
  <c r="I565" i="1"/>
  <c r="T559" i="1"/>
  <c r="I559" i="1"/>
  <c r="I731" i="1"/>
  <c r="T731" i="1"/>
  <c r="T730" i="1"/>
  <c r="I730" i="1"/>
  <c r="T729" i="1"/>
  <c r="I729" i="1"/>
  <c r="T727" i="1"/>
  <c r="I727" i="1"/>
  <c r="I586" i="1"/>
  <c r="T586" i="1"/>
  <c r="I587" i="1"/>
  <c r="T587" i="1"/>
  <c r="T532" i="1"/>
  <c r="I532" i="1"/>
  <c r="I530" i="1"/>
  <c r="T530" i="1"/>
  <c r="T524" i="1"/>
  <c r="I524" i="1"/>
  <c r="I350" i="1"/>
  <c r="T350" i="1"/>
  <c r="T351" i="1"/>
  <c r="I351" i="1"/>
  <c r="T349" i="1"/>
  <c r="I349" i="1"/>
  <c r="T445" i="1"/>
  <c r="I445" i="1"/>
  <c r="I288" i="1"/>
  <c r="I241" i="1"/>
  <c r="I220" i="1"/>
  <c r="I218" i="1"/>
  <c r="I721" i="1"/>
  <c r="I685" i="1"/>
  <c r="T726" i="1"/>
  <c r="I726" i="1"/>
  <c r="I717" i="1"/>
  <c r="I728" i="1"/>
  <c r="I723" i="1"/>
  <c r="I722" i="1"/>
  <c r="I719" i="1"/>
  <c r="I704" i="1"/>
  <c r="I700" i="1"/>
  <c r="I688" i="1"/>
  <c r="I686" i="1"/>
  <c r="I687" i="1"/>
  <c r="I679" i="1"/>
  <c r="I674" i="1"/>
  <c r="T186" i="1"/>
  <c r="I186" i="1"/>
  <c r="T73" i="1"/>
  <c r="I73" i="1"/>
  <c r="T61" i="1"/>
  <c r="I61" i="1"/>
  <c r="T62" i="1"/>
  <c r="I62" i="1"/>
  <c r="T59" i="1"/>
  <c r="I59" i="1"/>
  <c r="T131" i="1"/>
  <c r="I131" i="1"/>
  <c r="T69" i="1"/>
  <c r="I69" i="1"/>
  <c r="T100" i="1"/>
  <c r="I100" i="1"/>
  <c r="I50" i="1"/>
  <c r="T248" i="1"/>
  <c r="I248" i="1"/>
  <c r="I788" i="1"/>
  <c r="T788" i="1"/>
  <c r="T784" i="1"/>
  <c r="I784" i="1"/>
  <c r="T779" i="1"/>
  <c r="I779" i="1"/>
  <c r="T58" i="1"/>
  <c r="I58" i="1"/>
  <c r="T197" i="1"/>
  <c r="I197" i="1"/>
  <c r="T244" i="1"/>
  <c r="I244" i="1"/>
  <c r="T97" i="1"/>
  <c r="I97" i="1"/>
  <c r="T71" i="1"/>
  <c r="T187" i="1"/>
  <c r="T67" i="1"/>
  <c r="I67" i="1"/>
  <c r="I99" i="1"/>
  <c r="I64" i="1"/>
  <c r="I337" i="1"/>
  <c r="T57" i="1"/>
  <c r="I57" i="1"/>
  <c r="T539" i="1"/>
  <c r="I539" i="1"/>
  <c r="I594" i="1"/>
  <c r="I593" i="1"/>
  <c r="I72" i="1"/>
  <c r="T72" i="1"/>
  <c r="T701" i="1"/>
  <c r="I701" i="1"/>
  <c r="T245" i="1"/>
  <c r="I245" i="1"/>
  <c r="I652" i="1"/>
  <c r="T652" i="1"/>
  <c r="T645" i="1"/>
  <c r="I645" i="1"/>
  <c r="T599" i="1"/>
  <c r="I599" i="1"/>
  <c r="T596" i="1"/>
  <c r="I596" i="1"/>
  <c r="T140" i="1"/>
  <c r="I140" i="1"/>
  <c r="T651" i="1"/>
  <c r="I651" i="1"/>
  <c r="T770" i="1"/>
  <c r="I770" i="1"/>
  <c r="T775" i="1"/>
  <c r="I775" i="1"/>
  <c r="I774" i="1"/>
  <c r="T774" i="1"/>
  <c r="T773" i="1"/>
  <c r="I773" i="1"/>
  <c r="T769" i="1"/>
  <c r="I769" i="1"/>
  <c r="T768" i="1"/>
  <c r="I768" i="1"/>
  <c r="T767" i="1"/>
  <c r="I767" i="1"/>
  <c r="T763" i="1"/>
  <c r="I763" i="1"/>
  <c r="T764" i="1"/>
  <c r="I764" i="1"/>
  <c r="T762" i="1"/>
  <c r="I762" i="1"/>
  <c r="T760" i="1"/>
  <c r="I760" i="1"/>
  <c r="T757" i="1"/>
  <c r="I757" i="1"/>
  <c r="T752" i="1"/>
  <c r="I752" i="1"/>
  <c r="T759" i="1"/>
  <c r="I759" i="1"/>
  <c r="T60" i="1"/>
  <c r="I60" i="1"/>
  <c r="T56" i="1"/>
  <c r="I56" i="1"/>
  <c r="T63" i="1"/>
  <c r="I63" i="1"/>
  <c r="T177" i="1"/>
  <c r="I177" i="1"/>
  <c r="T428" i="1"/>
  <c r="I428" i="1"/>
  <c r="T374" i="1"/>
  <c r="I374" i="1"/>
  <c r="T184" i="1"/>
  <c r="I184" i="1"/>
  <c r="T96" i="1"/>
  <c r="I96" i="1"/>
  <c r="T696" i="1"/>
  <c r="I198" i="1"/>
  <c r="T151" i="1"/>
  <c r="I151" i="1"/>
  <c r="T705" i="1"/>
  <c r="I705" i="1"/>
  <c r="T657" i="1"/>
  <c r="I657" i="1"/>
  <c r="T526" i="1"/>
  <c r="I526" i="1"/>
  <c r="I706" i="1"/>
  <c r="T489" i="1"/>
  <c r="I489" i="1"/>
  <c r="T493" i="1"/>
  <c r="I493" i="1"/>
  <c r="T695" i="1"/>
  <c r="I695" i="1"/>
  <c r="T633" i="1"/>
  <c r="I633" i="1"/>
  <c r="T543" i="1"/>
  <c r="I543" i="1"/>
  <c r="T656" i="1"/>
  <c r="I656" i="1"/>
  <c r="T732" i="1"/>
  <c r="T733" i="1"/>
  <c r="T734" i="1"/>
  <c r="I734" i="1"/>
  <c r="I732" i="1"/>
  <c r="I733" i="1"/>
  <c r="I683" i="1"/>
  <c r="T677" i="1"/>
  <c r="I677" i="1"/>
  <c r="T676" i="1"/>
  <c r="I676" i="1"/>
  <c r="I655" i="1"/>
  <c r="I697" i="1"/>
  <c r="I690" i="1"/>
  <c r="T335" i="1"/>
  <c r="I335" i="1"/>
  <c r="T302" i="1"/>
  <c r="I302" i="1"/>
  <c r="T298" i="1"/>
  <c r="I298" i="1"/>
  <c r="T338" i="1"/>
  <c r="I338" i="1"/>
  <c r="T693" i="1"/>
  <c r="I693" i="1"/>
  <c r="T669" i="1"/>
  <c r="T670" i="1"/>
  <c r="I670" i="1"/>
  <c r="I669" i="1"/>
  <c r="T662" i="1"/>
  <c r="I662" i="1"/>
  <c r="T678" i="1"/>
  <c r="I678" i="1"/>
  <c r="T601" i="1"/>
  <c r="I601" i="1"/>
  <c r="T297" i="1"/>
  <c r="I297" i="1"/>
  <c r="T675" i="1"/>
  <c r="I675" i="1"/>
  <c r="T668" i="1"/>
  <c r="I668" i="1"/>
  <c r="T684" i="1"/>
  <c r="I684" i="1"/>
  <c r="I659" i="1"/>
  <c r="I664" i="1"/>
  <c r="I665" i="1"/>
  <c r="I660" i="1"/>
  <c r="I661" i="1"/>
  <c r="I152" i="1"/>
  <c r="T307" i="1"/>
  <c r="I307" i="1"/>
  <c r="T328" i="1"/>
  <c r="T336" i="1"/>
  <c r="I328" i="1"/>
  <c r="I336" i="1"/>
  <c r="I216" i="1"/>
  <c r="T671" i="1"/>
  <c r="I671" i="1"/>
  <c r="I736" i="1"/>
  <c r="I720" i="1"/>
  <c r="T278" i="1"/>
  <c r="I278" i="1"/>
  <c r="T787" i="1"/>
  <c r="I787" i="1"/>
  <c r="T758" i="1"/>
  <c r="I758" i="1"/>
  <c r="T744" i="1"/>
  <c r="I744" i="1"/>
  <c r="T743" i="1"/>
  <c r="I743" i="1"/>
  <c r="T113" i="1"/>
  <c r="I113" i="1"/>
  <c r="T280" i="1"/>
  <c r="I280" i="1"/>
  <c r="T110" i="1"/>
  <c r="I110" i="1"/>
  <c r="T226" i="1"/>
  <c r="I226" i="1"/>
  <c r="T477" i="1"/>
  <c r="I477" i="1"/>
  <c r="T446" i="1"/>
  <c r="I446" i="1"/>
  <c r="T90" i="1"/>
  <c r="I90" i="1"/>
  <c r="I84" i="1"/>
  <c r="T235" i="1"/>
  <c r="I235" i="1"/>
  <c r="I53" i="1"/>
  <c r="T53" i="1"/>
  <c r="T144" i="1"/>
  <c r="I144" i="1"/>
  <c r="T161" i="1"/>
  <c r="I161" i="1"/>
  <c r="T147" i="1"/>
  <c r="I147" i="1"/>
  <c r="T272" i="1"/>
  <c r="I272" i="1"/>
  <c r="T786" i="1"/>
  <c r="I786" i="1"/>
  <c r="T658" i="1"/>
  <c r="I658" i="1"/>
  <c r="T251" i="1"/>
  <c r="I251" i="1"/>
  <c r="T249" i="1"/>
  <c r="I249" i="1"/>
  <c r="T390" i="1"/>
  <c r="I390" i="1"/>
  <c r="T368" i="1"/>
  <c r="I368" i="1"/>
  <c r="I373" i="1"/>
  <c r="T424" i="1"/>
  <c r="I424" i="1"/>
  <c r="T118" i="1"/>
  <c r="I118" i="1"/>
  <c r="T282" i="1"/>
  <c r="I282" i="1"/>
  <c r="I492" i="1"/>
  <c r="T148" i="1"/>
  <c r="I148" i="1"/>
  <c r="T145" i="1"/>
  <c r="I145" i="1"/>
  <c r="T425" i="1"/>
  <c r="I425" i="1"/>
  <c r="T369" i="1"/>
  <c r="I369" i="1"/>
  <c r="T281" i="1"/>
  <c r="I281" i="1"/>
  <c r="T274" i="1"/>
  <c r="I274" i="1"/>
  <c r="T365" i="1"/>
  <c r="I365" i="1"/>
  <c r="T4" i="1"/>
  <c r="I4" i="1"/>
  <c r="I250" i="1"/>
  <c r="T250" i="1"/>
  <c r="T417" i="1"/>
  <c r="I417" i="1"/>
  <c r="T709" i="1"/>
  <c r="I709" i="1"/>
  <c r="T590" i="1"/>
  <c r="I590" i="1"/>
  <c r="T194" i="1"/>
  <c r="I194" i="1"/>
  <c r="I17" i="1"/>
  <c r="I23" i="1"/>
  <c r="I191" i="1"/>
  <c r="I19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A1" authorId="0" shapeId="0" xr:uid="{71783933-69A3-8C4A-BFA0-0CA3125FA921}">
      <text>
        <r>
          <rPr>
            <sz val="14"/>
            <color rgb="FF000000"/>
            <rFont val="+mn-lt"/>
            <charset val="1"/>
          </rPr>
          <t xml:space="preserve">[BLANK] - Officialy documented
</t>
        </r>
        <r>
          <rPr>
            <sz val="14"/>
            <color rgb="FF000000"/>
            <rFont val="+mn-lt"/>
            <charset val="1"/>
          </rPr>
          <t xml:space="preserve">
</t>
        </r>
        <r>
          <rPr>
            <sz val="14"/>
            <color rgb="FF000000"/>
            <rFont val="+mn-lt"/>
            <charset val="1"/>
          </rPr>
          <t xml:space="preserve">? - Not documented but likely
</t>
        </r>
      </text>
    </comment>
    <comment ref="C1" authorId="0" shapeId="0" xr:uid="{9BA2E534-1BCD-474F-AEBA-24647C86D9A4}">
      <text>
        <r>
          <rPr>
            <b/>
            <i/>
            <sz val="18"/>
            <color rgb="FF000000"/>
            <rFont val="+mn-lt"/>
            <charset val="1"/>
          </rPr>
          <t>BORN AT</t>
        </r>
      </text>
    </comment>
    <comment ref="G1" authorId="0" shapeId="0" xr:uid="{67F0A021-B2A0-E14F-B596-2FCE665C29DC}">
      <text>
        <r>
          <rPr>
            <b/>
            <i/>
            <sz val="18"/>
            <color rgb="FF000000"/>
            <rFont val="Calibri"/>
            <family val="2"/>
          </rPr>
          <t>Native-Born Habsburg Subject</t>
        </r>
      </text>
    </comment>
    <comment ref="H1" authorId="0" shapeId="0" xr:uid="{6E2E37D8-2609-0248-AE83-3A2D797E3B9C}">
      <text>
        <r>
          <rPr>
            <b/>
            <i/>
            <sz val="18"/>
            <color rgb="FF000000"/>
            <rFont val="Calibri"/>
            <family val="2"/>
          </rPr>
          <t>Foreigner</t>
        </r>
      </text>
    </comment>
    <comment ref="I1" authorId="0" shapeId="0" xr:uid="{5CC3E133-C0B9-534B-8289-ED6B954A7738}">
      <text>
        <r>
          <rPr>
            <b/>
            <i/>
            <sz val="18"/>
            <color rgb="FF000000"/>
            <rFont val="Calibri"/>
            <family val="2"/>
          </rPr>
          <t>Year of Birth</t>
        </r>
        <r>
          <rPr>
            <sz val="10"/>
            <color rgb="FF000000"/>
            <rFont val="Calibri"/>
            <family val="2"/>
          </rPr>
          <t xml:space="preserve">
</t>
        </r>
        <r>
          <rPr>
            <sz val="14"/>
            <color rgb="FF000000"/>
            <rFont val="Calibri"/>
            <family val="34"/>
          </rPr>
          <t>N.B. Discrepanices between different documents are noted in individual fields.</t>
        </r>
      </text>
    </comment>
    <comment ref="J1" authorId="0" shapeId="0" xr:uid="{59EE268E-823B-704F-AFAC-D32BAD9AAC0C}">
      <text>
        <r>
          <rPr>
            <b/>
            <i/>
            <sz val="18"/>
            <color rgb="FF000000"/>
            <rFont val="Calibri"/>
            <family val="2"/>
          </rPr>
          <t xml:space="preserve">Personal Status
</t>
        </r>
        <r>
          <rPr>
            <i/>
            <sz val="14"/>
            <color rgb="FF000000"/>
            <rFont val="Calibri"/>
            <family val="2"/>
          </rPr>
          <t>Ledig</t>
        </r>
        <r>
          <rPr>
            <sz val="14"/>
            <color rgb="FF000000"/>
            <rFont val="Calibri"/>
            <family val="2"/>
          </rPr>
          <t xml:space="preserve"> - Single
</t>
        </r>
        <r>
          <rPr>
            <i/>
            <sz val="14"/>
            <color rgb="FF000000"/>
            <rFont val="Calibri"/>
            <family val="2"/>
          </rPr>
          <t>Verheiratet</t>
        </r>
        <r>
          <rPr>
            <sz val="14"/>
            <color rgb="FF000000"/>
            <rFont val="Calibri"/>
            <family val="2"/>
          </rPr>
          <t xml:space="preserve"> - Married
</t>
        </r>
        <r>
          <rPr>
            <i/>
            <sz val="14"/>
            <color rgb="FF000000"/>
            <rFont val="Calibri"/>
            <family val="2"/>
          </rPr>
          <t>Geschieden</t>
        </r>
        <r>
          <rPr>
            <sz val="14"/>
            <color rgb="FF000000"/>
            <rFont val="Calibri"/>
            <family val="2"/>
          </rPr>
          <t xml:space="preserve"> - Divorced</t>
        </r>
      </text>
    </comment>
    <comment ref="L1" authorId="0" shapeId="0" xr:uid="{A4FD979C-4CF2-0749-9C6A-7AD04699D55E}">
      <text>
        <r>
          <rPr>
            <b/>
            <i/>
            <sz val="18"/>
            <color rgb="FF000000"/>
            <rFont val="Calibri"/>
            <family val="34"/>
          </rPr>
          <t xml:space="preserve">Soldiers' Wives
</t>
        </r>
        <r>
          <rPr>
            <i/>
            <sz val="14"/>
            <color rgb="FF000000"/>
            <rFont val="Calibri"/>
            <family val="34"/>
          </rPr>
          <t>Präsent</t>
        </r>
        <r>
          <rPr>
            <sz val="14"/>
            <color rgb="FF000000"/>
            <rFont val="Calibri"/>
            <family val="34"/>
          </rPr>
          <t xml:space="preserve"> - The wife is with the military unit
</t>
        </r>
        <r>
          <rPr>
            <i/>
            <sz val="14"/>
            <color rgb="FF000000"/>
            <rFont val="Calibri"/>
            <family val="34"/>
          </rPr>
          <t>Absent</t>
        </r>
        <r>
          <rPr>
            <sz val="14"/>
            <color rgb="FF000000"/>
            <rFont val="Calibri"/>
            <family val="34"/>
          </rPr>
          <t xml:space="preserve"> - The wife is away from the military unit
</t>
        </r>
        <r>
          <rPr>
            <i/>
            <sz val="14"/>
            <color rgb="FF000000"/>
            <rFont val="Calibri"/>
            <family val="34"/>
          </rPr>
          <t xml:space="preserve">Außer der Militär-Jurisdiktion </t>
        </r>
        <r>
          <rPr>
            <sz val="14"/>
            <color rgb="FF000000"/>
            <rFont val="Calibri"/>
            <family val="34"/>
          </rPr>
          <t>- The wife does not formally belong to the military community remaining under civilian jurisdition.</t>
        </r>
      </text>
    </comment>
    <comment ref="O1" authorId="0" shapeId="0" xr:uid="{24AB9A3A-7B19-B443-B0C6-516B2C60A9F1}">
      <text>
        <r>
          <rPr>
            <b/>
            <i/>
            <sz val="18"/>
            <color rgb="FF000000"/>
            <rFont val="Calibri"/>
            <family val="34"/>
          </rPr>
          <t xml:space="preserve">Soldiers' Children
</t>
        </r>
        <r>
          <rPr>
            <sz val="14"/>
            <color rgb="FF000000"/>
            <rFont val="Calibri"/>
            <family val="34"/>
          </rPr>
          <t xml:space="preserve">Knaben - Sons
</t>
        </r>
        <r>
          <rPr>
            <sz val="14"/>
            <color rgb="FF000000"/>
            <rFont val="Calibri"/>
            <family val="34"/>
          </rPr>
          <t>Mädchen - Daughters</t>
        </r>
      </text>
    </comment>
    <comment ref="Q1" authorId="0" shapeId="0" xr:uid="{1656324F-0B6C-794D-897F-439C7E77CAEF}">
      <text>
        <r>
          <rPr>
            <b/>
            <i/>
            <sz val="18"/>
            <color rgb="FF000000"/>
            <rFont val="+mn-lt"/>
            <charset val="1"/>
          </rPr>
          <t>Height</t>
        </r>
        <r>
          <rPr>
            <b/>
            <sz val="18"/>
            <color rgb="FF000000"/>
            <rFont val="+mn-lt"/>
            <charset val="1"/>
          </rPr>
          <t xml:space="preserve"> (in Theresian feet)
</t>
        </r>
        <r>
          <rPr>
            <sz val="14"/>
            <color rgb="FF000000"/>
            <rFont val="+mn-lt"/>
            <charset val="1"/>
          </rPr>
          <t xml:space="preserve">1 Schuh=12 Zoll=144 Strich 
</t>
        </r>
        <r>
          <rPr>
            <sz val="14"/>
            <color rgb="FF000000"/>
            <rFont val="+mn-lt"/>
            <charset val="1"/>
          </rPr>
          <t>1 Zoll = 12 Strich</t>
        </r>
      </text>
    </comment>
    <comment ref="BF1" authorId="0" shapeId="0" xr:uid="{79434848-3CED-244A-AB02-5492254426D0}">
      <text>
        <r>
          <rPr>
            <sz val="14"/>
            <color rgb="FF000000"/>
            <rFont val="+mn-lt"/>
            <charset val="1"/>
          </rPr>
          <t xml:space="preserve">F - Reconstructed in full
</t>
        </r>
        <r>
          <rPr>
            <sz val="14"/>
            <color rgb="FF000000"/>
            <rFont val="+mn-lt"/>
            <charset val="1"/>
          </rPr>
          <t xml:space="preserve">P - Reconstructed in part
</t>
        </r>
        <r>
          <rPr>
            <sz val="14"/>
            <color rgb="FF000000"/>
            <rFont val="+mn-lt"/>
            <charset val="1"/>
          </rPr>
          <t xml:space="preserve">U - Final Fate Unknown
</t>
        </r>
        <r>
          <rPr>
            <sz val="14"/>
            <color rgb="FF000000"/>
            <rFont val="+mn-lt"/>
            <charset val="1"/>
          </rPr>
          <t xml:space="preserve">
</t>
        </r>
        <r>
          <rPr>
            <sz val="14"/>
            <color rgb="FF000000"/>
            <rFont val="+mn-lt"/>
            <charset val="1"/>
          </rPr>
          <t xml:space="preserve">N.B. To see the service itineraries place the cursor directly on the field of each individual soldier.
</t>
        </r>
      </text>
    </comment>
    <comment ref="BG1" authorId="0" shapeId="0" xr:uid="{7FE289D1-7FB2-F84F-A63B-A91186739CF3}">
      <text>
        <r>
          <rPr>
            <sz val="14"/>
            <color rgb="FF000000"/>
            <rFont val="Calibri"/>
            <family val="34"/>
          </rPr>
          <t xml:space="preserve">Unless noted otherwise, the original records are from
</t>
        </r>
        <r>
          <rPr>
            <sz val="14"/>
            <color rgb="FF000000"/>
            <rFont val="Calibri"/>
            <family val="34"/>
          </rPr>
          <t>- Austrian State Archives [</t>
        </r>
        <r>
          <rPr>
            <i/>
            <sz val="14"/>
            <color rgb="FF000000"/>
            <rFont val="Calibri"/>
            <family val="34"/>
          </rPr>
          <t>Österreichisches Staatsarchiv</t>
        </r>
        <r>
          <rPr>
            <sz val="14"/>
            <color rgb="FF000000"/>
            <rFont val="Calibri"/>
            <family val="34"/>
          </rPr>
          <t xml:space="preserve">] 
</t>
        </r>
        <r>
          <rPr>
            <sz val="14"/>
            <color rgb="FF000000"/>
            <rFont val="Calibri"/>
            <family val="34"/>
          </rPr>
          <t>- Military Archive [</t>
        </r>
        <r>
          <rPr>
            <i/>
            <sz val="14"/>
            <color rgb="FF000000"/>
            <rFont val="Calibri"/>
            <family val="34"/>
          </rPr>
          <t>Kriegsarchiv</t>
        </r>
        <r>
          <rPr>
            <sz val="14"/>
            <color rgb="FF000000"/>
            <rFont val="Calibri"/>
            <family val="34"/>
          </rPr>
          <t xml:space="preserve">]
</t>
        </r>
        <r>
          <rPr>
            <i/>
            <sz val="14"/>
            <color rgb="FF000000"/>
            <rFont val="Calibri"/>
            <family val="34"/>
          </rPr>
          <t xml:space="preserve">- Personalunterlagen
</t>
        </r>
        <r>
          <rPr>
            <i/>
            <sz val="14"/>
            <color rgb="FF000000"/>
            <rFont val="Calibri"/>
            <family val="34"/>
          </rPr>
          <t xml:space="preserve">- Musterlisten und Standestabellen der k. k. Armee 
</t>
        </r>
        <r>
          <rPr>
            <sz val="14"/>
            <color rgb="FF000000"/>
            <rFont val="Calibri"/>
            <family val="34"/>
          </rPr>
          <t xml:space="preserve">Abbreviated as: ÖSTA KA ML 
</t>
        </r>
        <r>
          <rPr>
            <sz val="14"/>
            <color rgb="FF000000"/>
            <rFont val="Calibri"/>
            <family val="34"/>
          </rPr>
          <t xml:space="preserve">- </t>
        </r>
        <r>
          <rPr>
            <i/>
            <sz val="14"/>
            <color rgb="FF000000"/>
            <rFont val="Calibri"/>
            <family val="34"/>
          </rPr>
          <t xml:space="preserve">Militärische Grundbuchsevidenz
</t>
        </r>
        <r>
          <rPr>
            <sz val="14"/>
            <color rgb="FF000000"/>
            <rFont val="Calibri"/>
            <family val="34"/>
          </rPr>
          <t xml:space="preserve">Abbreviated as: ÖSTA KA GB 
</t>
        </r>
        <r>
          <rPr>
            <sz val="14"/>
            <color rgb="FF000000"/>
            <rFont val="Calibri"/>
            <family val="34"/>
          </rPr>
          <t xml:space="preserve">
</t>
        </r>
      </text>
    </comment>
    <comment ref="BH1" authorId="0" shapeId="0" xr:uid="{79F8DA58-80F3-FE42-8910-B991DE38185A}">
      <text>
        <r>
          <rPr>
            <sz val="14"/>
            <color rgb="FF000000"/>
            <rFont val="Calibri"/>
            <family val="2"/>
          </rPr>
          <t xml:space="preserve">ArtHand - Artillery Auxiliaries           FW - Freiwillige (Volunteers)          LWB - </t>
        </r>
        <r>
          <rPr>
            <i/>
            <sz val="14"/>
            <color rgb="FF000000"/>
            <rFont val="Calibri"/>
            <family val="2"/>
          </rPr>
          <t>Landwehr</t>
        </r>
        <r>
          <rPr>
            <sz val="14"/>
            <color rgb="FF000000"/>
            <rFont val="Calibri"/>
            <family val="2"/>
          </rPr>
          <t xml:space="preserve"> Battalion               
</t>
        </r>
        <r>
          <rPr>
            <sz val="14"/>
            <color rgb="FF000000"/>
            <rFont val="Calibri"/>
            <family val="2"/>
          </rPr>
          <t xml:space="preserve">CL - Cheveau Legers Regiment      GAD - Garrison Artillery District      MFK - Military Transport Command
</t>
        </r>
        <r>
          <rPr>
            <sz val="14"/>
            <color rgb="FF000000"/>
            <rFont val="Calibri"/>
            <family val="2"/>
          </rPr>
          <t xml:space="preserve">CR - Cuirassier Regiment               GB  - Garrison Battalion                  MFWK - Military Transport Corps 
</t>
        </r>
        <r>
          <rPr>
            <sz val="14"/>
            <color rgb="FF000000"/>
            <rFont val="Calibri"/>
            <family val="2"/>
          </rPr>
          <t xml:space="preserve">DR - Dragoon Regiment                 GK - Grenzkordon                           MÖK - Equipement Depot
</t>
        </r>
        <r>
          <rPr>
            <sz val="14"/>
            <color rgb="FF000000"/>
            <rFont val="Calibri"/>
            <family val="2"/>
          </rPr>
          <t xml:space="preserve">FAR - Field Artillery Regiment        GR - Garrison Regiment                 PW - </t>
        </r>
        <r>
          <rPr>
            <i/>
            <sz val="14"/>
            <color rgb="FF000000"/>
            <rFont val="Calibri"/>
            <family val="2"/>
          </rPr>
          <t>Policey Wache</t>
        </r>
        <r>
          <rPr>
            <sz val="14"/>
            <color rgb="FF000000"/>
            <rFont val="Calibri"/>
            <family val="2"/>
          </rPr>
          <t xml:space="preserve"> (Police)
</t>
        </r>
        <r>
          <rPr>
            <sz val="14"/>
            <color rgb="FF000000"/>
            <rFont val="Calibri"/>
            <family val="2"/>
          </rPr>
          <t xml:space="preserve">FB - Free Battalion                          HFS - Haupt Feld Spital                 SänC - Sanitary Company
</t>
        </r>
        <r>
          <rPr>
            <sz val="14"/>
            <color rgb="FF000000"/>
            <rFont val="Calibri"/>
            <family val="2"/>
          </rPr>
          <t xml:space="preserve">FJB - </t>
        </r>
        <r>
          <rPr>
            <i/>
            <sz val="14"/>
            <color rgb="FF000000"/>
            <rFont val="Calibri"/>
            <family val="2"/>
          </rPr>
          <t xml:space="preserve">Feldjäger </t>
        </r>
        <r>
          <rPr>
            <sz val="14"/>
            <color rgb="FF000000"/>
            <rFont val="Calibri"/>
            <family val="2"/>
          </rPr>
          <t xml:space="preserve">Battailon                HR - Hussar Regiment                   SInf - Staff Infantry
</t>
        </r>
        <r>
          <rPr>
            <sz val="14"/>
            <color rgb="FF000000"/>
            <rFont val="Calibri"/>
            <family val="2"/>
          </rPr>
          <t xml:space="preserve">FJK - Free </t>
        </r>
        <r>
          <rPr>
            <i/>
            <sz val="14"/>
            <color rgb="FF000000"/>
            <rFont val="Calibri"/>
            <family val="2"/>
          </rPr>
          <t xml:space="preserve">Jäger </t>
        </r>
        <r>
          <rPr>
            <sz val="14"/>
            <color rgb="FF000000"/>
            <rFont val="Calibri"/>
            <family val="2"/>
          </rPr>
          <t xml:space="preserve">Corps                  InvH - House of Invalids                 TKJR - Tyrolean </t>
        </r>
        <r>
          <rPr>
            <i/>
            <sz val="14"/>
            <color rgb="FF000000"/>
            <rFont val="Calibri"/>
            <family val="2"/>
          </rPr>
          <t xml:space="preserve">Jäger </t>
        </r>
        <r>
          <rPr>
            <sz val="14"/>
            <color rgb="FF000000"/>
            <rFont val="Calibri"/>
            <family val="2"/>
          </rPr>
          <t xml:space="preserve">Regiment 
</t>
        </r>
        <r>
          <rPr>
            <sz val="14"/>
            <color rgb="FF000000"/>
            <rFont val="Calibri"/>
            <family val="2"/>
          </rPr>
          <t xml:space="preserve">FK - Freikorps                                 IR - Line Infantry Regiment             UL- Uhlan Regiment
</t>
        </r>
        <r>
          <rPr>
            <sz val="14"/>
            <color rgb="FF000000"/>
            <rFont val="Calibri"/>
            <family val="2"/>
          </rPr>
          <t xml:space="preserve">FS - Field Hospital                          LB - Light Battalion
</t>
        </r>
        <r>
          <rPr>
            <sz val="14"/>
            <color rgb="FF000000"/>
            <rFont val="Calibri"/>
            <family val="2"/>
          </rPr>
          <t xml:space="preserve">
</t>
        </r>
      </text>
    </comment>
    <comment ref="BI1" authorId="0" shapeId="0" xr:uid="{E6C1D916-306B-2049-81DE-D5E8F992049B}">
      <text>
        <r>
          <rPr>
            <b/>
            <i/>
            <sz val="18"/>
            <color rgb="FF000000"/>
            <rFont val="Calibri"/>
            <family val="34"/>
          </rPr>
          <t xml:space="preserve">CONDUCT
</t>
        </r>
        <r>
          <rPr>
            <i/>
            <sz val="14"/>
            <color rgb="FF000000"/>
            <rFont val="Calibri"/>
            <family val="34"/>
          </rPr>
          <t xml:space="preserve">Sehr Gut </t>
        </r>
        <r>
          <rPr>
            <sz val="14"/>
            <color rgb="FF000000"/>
            <rFont val="Calibri"/>
            <family val="34"/>
          </rPr>
          <t xml:space="preserve">- Very Good
</t>
        </r>
        <r>
          <rPr>
            <i/>
            <sz val="14"/>
            <color rgb="FF000000"/>
            <rFont val="Calibri"/>
            <family val="34"/>
          </rPr>
          <t>Gut</t>
        </r>
        <r>
          <rPr>
            <sz val="14"/>
            <color rgb="FF000000"/>
            <rFont val="Calibri"/>
            <family val="34"/>
          </rPr>
          <t xml:space="preserve"> - Good
</t>
        </r>
        <r>
          <rPr>
            <i/>
            <sz val="14"/>
            <color rgb="FF000000"/>
            <rFont val="Calibri"/>
            <family val="34"/>
          </rPr>
          <t>Mittelmäßig</t>
        </r>
        <r>
          <rPr>
            <sz val="14"/>
            <color rgb="FF000000"/>
            <rFont val="Calibri"/>
            <family val="34"/>
          </rPr>
          <t xml:space="preserve"> - Mediocre
</t>
        </r>
        <r>
          <rPr>
            <i/>
            <sz val="14"/>
            <color rgb="FF000000"/>
            <rFont val="Calibri"/>
            <family val="34"/>
          </rPr>
          <t>Schlecht</t>
        </r>
        <r>
          <rPr>
            <sz val="14"/>
            <color rgb="FF000000"/>
            <rFont val="Calibri"/>
            <family val="34"/>
          </rPr>
          <t xml:space="preserve"> - Bad
</t>
        </r>
        <r>
          <rPr>
            <i/>
            <sz val="14"/>
            <color rgb="FF000000"/>
            <rFont val="Calibri"/>
            <family val="34"/>
          </rPr>
          <t xml:space="preserve">Unbewusst </t>
        </r>
        <r>
          <rPr>
            <sz val="14"/>
            <color rgb="FF000000"/>
            <rFont val="Calibri"/>
            <family val="34"/>
          </rPr>
          <t>- Unknown</t>
        </r>
      </text>
    </comment>
    <comment ref="BJ1" authorId="0" shapeId="0" xr:uid="{3A56B0EA-AA3B-8E42-9224-8EF0A7A55092}">
      <text>
        <r>
          <rPr>
            <b/>
            <i/>
            <sz val="18"/>
            <color rgb="FF000000"/>
            <rFont val="Calibri"/>
            <family val="34"/>
          </rPr>
          <t>Medical Condition</t>
        </r>
      </text>
    </comment>
    <comment ref="CO1" authorId="0" shapeId="0" xr:uid="{03B66A44-6486-8547-83F5-E0ED17556FFC}">
      <text>
        <r>
          <rPr>
            <sz val="12"/>
            <color rgb="FF000000"/>
            <rFont val="Calibri"/>
            <family val="2"/>
          </rPr>
          <t>Reported back to duty</t>
        </r>
      </text>
    </comment>
    <comment ref="CP1" authorId="0" shapeId="0" xr:uid="{2A695CFE-EDF7-854D-99BB-DC97302E1BF3}">
      <text>
        <r>
          <rPr>
            <sz val="12"/>
            <color rgb="FF000000"/>
            <rFont val="Calibri"/>
            <family val="2"/>
          </rPr>
          <t>Apprehended</t>
        </r>
      </text>
    </comment>
    <comment ref="CQ1" authorId="0" shapeId="0" xr:uid="{99EFC73F-63AF-B640-85D6-EDAE3B80E378}">
      <text>
        <r>
          <rPr>
            <sz val="12"/>
            <color rgb="FF000000"/>
            <rFont val="+mn-lt"/>
            <charset val="1"/>
          </rPr>
          <t xml:space="preserve">Decorated with the </t>
        </r>
        <r>
          <rPr>
            <b/>
            <sz val="12"/>
            <color rgb="FF000000"/>
            <rFont val="Calibri"/>
            <family val="2"/>
          </rPr>
          <t>Army Cross for the Wars' of 1813–14</t>
        </r>
        <r>
          <rPr>
            <sz val="12"/>
            <color rgb="FF000000"/>
            <rFont val="Calibri"/>
            <family val="2"/>
          </rPr>
          <t xml:space="preserve"> (colloquially '</t>
        </r>
        <r>
          <rPr>
            <b/>
            <sz val="12"/>
            <color rgb="FF000000"/>
            <rFont val="Calibri"/>
            <family val="2"/>
          </rPr>
          <t>Cannon Cross</t>
        </r>
        <r>
          <rPr>
            <sz val="12"/>
            <color rgb="FF000000"/>
            <rFont val="Calibri"/>
            <family val="2"/>
          </rPr>
          <t xml:space="preserve">'). </t>
        </r>
      </text>
    </comment>
    <comment ref="C2" authorId="0" shapeId="0" xr:uid="{C370672D-023A-6D4D-8B03-A0932F0FAE6A}">
      <text>
        <r>
          <rPr>
            <b/>
            <i/>
            <sz val="18"/>
            <color rgb="FF000000"/>
            <rFont val="Calibri"/>
            <family val="34"/>
          </rPr>
          <t>PLACE</t>
        </r>
        <r>
          <rPr>
            <sz val="14"/>
            <color rgb="FF000000"/>
            <rFont val="Calibri"/>
            <family val="34"/>
          </rPr>
          <t xml:space="preserve">
</t>
        </r>
        <r>
          <rPr>
            <sz val="14"/>
            <color rgb="FF000000"/>
            <rFont val="Calibri"/>
            <family val="34"/>
          </rPr>
          <t xml:space="preserve">LINK - Identified and geo-referenced  to the modern locality and state via geonames.org
</t>
        </r>
        <r>
          <rPr>
            <i/>
            <sz val="14"/>
            <color rgb="FF000000"/>
            <rFont val="Calibri"/>
            <family val="34"/>
          </rPr>
          <t xml:space="preserve">ITALICS </t>
        </r>
        <r>
          <rPr>
            <sz val="14"/>
            <color rgb="FF000000"/>
            <rFont val="Calibri"/>
            <family val="34"/>
          </rPr>
          <t>- Could not be identified; place name provided verbatim as in the original document</t>
        </r>
      </text>
    </comment>
    <comment ref="D2" authorId="0" shapeId="0" xr:uid="{80B946BB-5FD7-8642-A99B-0B65C9DE90F8}">
      <text>
        <r>
          <rPr>
            <b/>
            <i/>
            <sz val="18"/>
            <color rgb="FF000000"/>
            <rFont val="Calibri"/>
            <family val="34"/>
          </rPr>
          <t xml:space="preserve">MANOR
</t>
        </r>
        <r>
          <rPr>
            <sz val="14"/>
            <color rgb="FF000000"/>
            <rFont val="Calibri"/>
            <family val="34"/>
          </rPr>
          <t xml:space="preserve">LINK - Identified and geo-referenced  to the modern locality and state via geonames.org
</t>
        </r>
        <r>
          <rPr>
            <sz val="14"/>
            <color rgb="FF000000"/>
            <rFont val="Calibri"/>
            <family val="34"/>
          </rPr>
          <t>BLANK - Missing from the sources</t>
        </r>
      </text>
    </comment>
    <comment ref="E2" authorId="0" shapeId="0" xr:uid="{ADCC3344-DB78-F845-928B-6C24FAFB1EEA}">
      <text>
        <r>
          <rPr>
            <b/>
            <i/>
            <sz val="18"/>
            <color rgb="FF000000"/>
            <rFont val="Calibri"/>
            <family val="34"/>
          </rPr>
          <t xml:space="preserve">DISTRICT
</t>
        </r>
        <r>
          <rPr>
            <sz val="14"/>
            <color rgb="FF000000"/>
            <rFont val="Calibri"/>
            <family val="34"/>
          </rPr>
          <t>This rubric is relevant primarily for native born Habsburg subjects.</t>
        </r>
      </text>
    </comment>
    <comment ref="F2" authorId="0" shapeId="0" xr:uid="{B826F9A6-53E8-DE40-B71C-F659B5AA95DF}">
      <text>
        <r>
          <rPr>
            <b/>
            <i/>
            <sz val="18"/>
            <color rgb="FF000000"/>
            <rFont val="Calibri"/>
            <family val="34"/>
          </rPr>
          <t>LAND</t>
        </r>
        <r>
          <rPr>
            <b/>
            <sz val="14"/>
            <color rgb="FF000000"/>
            <rFont val="Calibri"/>
            <family val="34"/>
          </rPr>
          <t xml:space="preserve">
</t>
        </r>
        <r>
          <rPr>
            <sz val="14"/>
            <color rgb="FF000000"/>
            <rFont val="Calibri"/>
            <family val="34"/>
          </rPr>
          <t xml:space="preserve">This rubric gives the province of birth for native-born Habsburg subjects, and foreign state (or region) for foriegners. </t>
        </r>
      </text>
    </comment>
    <comment ref="BF3" authorId="0" shapeId="0" xr:uid="{BDECC77D-67C3-F94B-809E-0DF01214DBE4}">
      <text>
        <r>
          <rPr>
            <sz val="14"/>
            <color rgb="FF000000"/>
            <rFont val="Times New Roman"/>
            <family val="18"/>
          </rPr>
          <t xml:space="preserve">[23/03/1783 </t>
        </r>
        <r>
          <rPr>
            <i/>
            <sz val="14"/>
            <color rgb="FF000000"/>
            <rFont val="Times New Roman"/>
            <family val="18"/>
          </rPr>
          <t>Dient Seit</t>
        </r>
        <r>
          <rPr>
            <sz val="14"/>
            <color rgb="FF000000"/>
            <rFont val="Times New Roman"/>
            <family val="18"/>
          </rPr>
          <t xml:space="preserve"> [ML 1789]</t>
        </r>
        <r>
          <rPr>
            <sz val="14"/>
            <color rgb="FF000000"/>
            <rFont val="Calibri"/>
            <family val="34"/>
          </rPr>
          <t xml:space="preserve">
</t>
        </r>
        <r>
          <rPr>
            <sz val="14"/>
            <color rgb="FF000000"/>
            <rFont val="Times New Roman"/>
            <family val="18"/>
          </rPr>
          <t xml:space="preserve">26/09/1787 </t>
        </r>
        <r>
          <rPr>
            <i/>
            <sz val="14"/>
            <color rgb="FF000000"/>
            <rFont val="Times New Roman"/>
            <family val="18"/>
          </rPr>
          <t>Von 2 GR anhero</t>
        </r>
        <r>
          <rPr>
            <sz val="14"/>
            <color rgb="FF000000"/>
            <rFont val="Times New Roman"/>
            <family val="18"/>
          </rPr>
          <t xml:space="preserve"> </t>
        </r>
        <r>
          <rPr>
            <b/>
            <sz val="14"/>
            <color rgb="FF000000"/>
            <rFont val="Times New Roman"/>
            <family val="18"/>
          </rPr>
          <t xml:space="preserve">[IR 21] </t>
        </r>
        <r>
          <rPr>
            <i/>
            <sz val="14"/>
            <color rgb="FF000000"/>
            <rFont val="Times New Roman"/>
            <family val="18"/>
          </rPr>
          <t>transferiert</t>
        </r>
        <r>
          <rPr>
            <sz val="14"/>
            <color rgb="FF000000"/>
            <rFont val="Times New Roman"/>
            <family val="18"/>
          </rPr>
          <t xml:space="preserve"> [ML 1789]</t>
        </r>
        <r>
          <rPr>
            <sz val="14"/>
            <color rgb="FF000000"/>
            <rFont val="Calibri"/>
            <family val="34"/>
          </rPr>
          <t xml:space="preserve">
</t>
        </r>
        <r>
          <rPr>
            <sz val="14"/>
            <color rgb="FF000000"/>
            <rFont val="Times New Roman"/>
            <family val="18"/>
          </rPr>
          <t>31/08/1789 Muster: IR 21 Haupt Fleckhammer Komp. Nr. 126</t>
        </r>
        <r>
          <rPr>
            <sz val="14"/>
            <color rgb="FF000000"/>
            <rFont val="Calibri"/>
            <family val="34"/>
          </rPr>
          <t xml:space="preserve">
</t>
        </r>
        <r>
          <rPr>
            <sz val="14"/>
            <color rgb="FF000000"/>
            <rFont val="Times New Roman"/>
            <family val="18"/>
          </rPr>
          <t>31/03/1790 Revision: IR 21 Haupt Fleckhammer Komp. Nr. 101</t>
        </r>
        <r>
          <rPr>
            <sz val="14"/>
            <color rgb="FF000000"/>
            <rFont val="Calibri"/>
            <family val="34"/>
          </rPr>
          <t xml:space="preserve">
</t>
        </r>
      </text>
    </comment>
    <comment ref="BG3" authorId="0" shapeId="0" xr:uid="{D93AAFBC-6504-834D-AB8B-7347393D376F}">
      <text>
        <r>
          <rPr>
            <sz val="14"/>
            <color rgb="FF000000"/>
            <rFont val="Times New Roman"/>
            <family val="18"/>
          </rPr>
          <t>ML 1696 IR 21 (1789) – Haupt Fleckhammer Komp. Nr. 126 (Gitschin 31/08/1789)</t>
        </r>
        <r>
          <rPr>
            <sz val="14"/>
            <color rgb="FF000000"/>
            <rFont val="Calibri"/>
            <family val="34"/>
          </rPr>
          <t xml:space="preserve">
</t>
        </r>
        <r>
          <rPr>
            <sz val="14"/>
            <color rgb="FF000000"/>
            <rFont val="Times New Roman"/>
            <family val="18"/>
          </rPr>
          <t>ML 1697 IR 21 (1789) – RL Haupt Fleckhammer Komp. Nr. 101 (Gitschin 31/03/1790)</t>
        </r>
        <r>
          <rPr>
            <sz val="14"/>
            <color rgb="FF000000"/>
            <rFont val="Calibri"/>
            <family val="34"/>
          </rPr>
          <t xml:space="preserve">
</t>
        </r>
      </text>
    </comment>
    <comment ref="BH3" authorId="0" shapeId="0" xr:uid="{64F8CC32-53DD-6446-AB6C-967B039A12C8}">
      <text>
        <r>
          <rPr>
            <sz val="14"/>
            <color rgb="FF000000"/>
            <rFont val="Calibri"/>
            <family val="34"/>
          </rPr>
          <t xml:space="preserve">GR 2 (1783-1787)
</t>
        </r>
        <r>
          <rPr>
            <sz val="14"/>
            <color rgb="FF000000"/>
            <rFont val="Calibri"/>
            <family val="34"/>
          </rPr>
          <t>IR 21 (1787-1790)</t>
        </r>
      </text>
    </comment>
    <comment ref="CR3" authorId="0" shapeId="0" xr:uid="{8301C675-8C6F-8645-85D2-7E8B7039E434}">
      <text>
        <r>
          <rPr>
            <i/>
            <sz val="14"/>
            <color rgb="FF000000"/>
            <rFont val="Times New Roman"/>
            <family val="18"/>
          </rPr>
          <t xml:space="preserve">Katolisch vorhin ein Israelit </t>
        </r>
        <r>
          <rPr>
            <sz val="14"/>
            <color rgb="FF000000"/>
            <rFont val="Times New Roman"/>
            <family val="18"/>
          </rPr>
          <t>[ML 1789]</t>
        </r>
      </text>
    </comment>
    <comment ref="I4" authorId="0" shapeId="0" xr:uid="{45BB5F93-88A0-4348-960E-1D6D7B121825}">
      <text>
        <r>
          <rPr>
            <sz val="14"/>
            <color rgb="FF000000"/>
            <rFont val="Calibri"/>
            <family val="34"/>
          </rPr>
          <t xml:space="preserve">32 (1800) 
</t>
        </r>
        <r>
          <rPr>
            <sz val="14"/>
            <color rgb="FF000000"/>
            <rFont val="Calibri"/>
            <family val="34"/>
          </rPr>
          <t xml:space="preserve">OR 
</t>
        </r>
        <r>
          <rPr>
            <sz val="14"/>
            <color rgb="FF000000"/>
            <rFont val="Calibri"/>
            <family val="34"/>
          </rPr>
          <t>36 (1801)</t>
        </r>
      </text>
    </comment>
    <comment ref="BF4" authorId="0" shapeId="0" xr:uid="{A8660210-C0C4-924D-9A45-AC4401C103AB}">
      <text>
        <r>
          <rPr>
            <sz val="14"/>
            <color rgb="FF000000"/>
            <rFont val="Times New Roman"/>
            <family val="18"/>
          </rPr>
          <t xml:space="preserve">1786/7 [Seit] </t>
        </r>
        <r>
          <rPr>
            <i/>
            <sz val="14"/>
            <color rgb="FF000000"/>
            <rFont val="Times New Roman"/>
            <family val="18"/>
          </rPr>
          <t>Dient 14 Jahr</t>
        </r>
        <r>
          <rPr>
            <sz val="14"/>
            <color rgb="FF000000"/>
            <rFont val="Times New Roman"/>
            <family val="18"/>
          </rPr>
          <t xml:space="preserve"> [TL June 1800 &amp; TL April 1801]</t>
        </r>
        <r>
          <rPr>
            <sz val="14"/>
            <color rgb="FF000000"/>
            <rFont val="Calibri"/>
            <family val="34"/>
          </rPr>
          <t xml:space="preserve">
</t>
        </r>
        <r>
          <rPr>
            <sz val="14"/>
            <color rgb="FF000000"/>
            <rFont val="Times New Roman"/>
            <family val="18"/>
          </rPr>
          <t xml:space="preserve">11/06/1800 </t>
        </r>
        <r>
          <rPr>
            <i/>
            <sz val="14"/>
            <color rgb="FF000000"/>
            <rFont val="Times New Roman"/>
            <family val="18"/>
          </rPr>
          <t>Von MFWK 48. Art. Div. zum IR 60 Lieb &amp; Obrist Bat Artillerie Fuhrwesen transferiert</t>
        </r>
        <r>
          <rPr>
            <sz val="14"/>
            <color rgb="FF000000"/>
            <rFont val="Times New Roman"/>
            <family val="18"/>
          </rPr>
          <t xml:space="preserve"> [TL June 1800]</t>
        </r>
        <r>
          <rPr>
            <sz val="14"/>
            <color rgb="FF000000"/>
            <rFont val="Calibri"/>
            <family val="34"/>
          </rPr>
          <t xml:space="preserve">
</t>
        </r>
        <r>
          <rPr>
            <sz val="14"/>
            <color rgb="FF000000"/>
            <rFont val="Times New Roman"/>
            <family val="18"/>
          </rPr>
          <t xml:space="preserve">01/04/1801 </t>
        </r>
        <r>
          <rPr>
            <i/>
            <sz val="14"/>
            <color rgb="FF000000"/>
            <rFont val="Times New Roman"/>
            <family val="18"/>
          </rPr>
          <t>Von Artillerie Bespannung zum Proviant Fuhrwesen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21/04/1801 </t>
        </r>
        <r>
          <rPr>
            <i/>
            <sz val="14"/>
            <color rgb="FF000000"/>
            <rFont val="Times New Roman"/>
            <family val="18"/>
          </rPr>
          <t>In Folge hohe Generals-Befehl dtt. Wien am 12. Aprill 801 Von Linien Infanterie Regiment Nro. 60 zu der Milit: Fuhrwesens Wiener Einrichtung Division abgegeben</t>
        </r>
        <r>
          <rPr>
            <sz val="14"/>
            <color rgb="FF000000"/>
            <rFont val="Times New Roman"/>
            <family val="18"/>
          </rPr>
          <t xml:space="preserve"> [TL March 1803 &amp; ML 1802]
</t>
        </r>
      </text>
    </comment>
    <comment ref="BG4" authorId="0" shapeId="0" xr:uid="{A8BE5A8A-DD7F-BB49-B4CB-1AAC3DB611CD}">
      <text>
        <r>
          <rPr>
            <sz val="14"/>
            <color rgb="FF000000"/>
            <rFont val="Times New Roman"/>
            <family val="18"/>
          </rPr>
          <t>ML 5102-4 IR 60 (1802) – Proviant Fuhrwesen Zuwachs &amp; Abgang (Tamesvar 15/09/1802)</t>
        </r>
        <r>
          <rPr>
            <sz val="14"/>
            <color rgb="FF000000"/>
            <rFont val="Calibri"/>
            <family val="34"/>
          </rPr>
          <t xml:space="preserve">
</t>
        </r>
        <r>
          <rPr>
            <sz val="14"/>
            <color rgb="FF000000"/>
            <rFont val="Times New Roman"/>
            <family val="18"/>
          </rPr>
          <t>ML 5123 IR 60 (1800) AL/TL – TL MFWK-&gt;IR 60 Nr. 2 (Kenthy 07/06/1800)</t>
        </r>
        <r>
          <rPr>
            <sz val="14"/>
            <color rgb="FF000000"/>
            <rFont val="Calibri"/>
            <family val="34"/>
          </rPr>
          <t xml:space="preserve">
</t>
        </r>
        <r>
          <rPr>
            <sz val="14"/>
            <color rgb="FF000000"/>
            <rFont val="Times New Roman"/>
            <family val="18"/>
          </rPr>
          <t>ML 5125 IR 60 (1801) AL/TL – TL IR 60-&gt;MFWK Nr. 16 (Temesvar 22/03/1803)</t>
        </r>
      </text>
    </comment>
    <comment ref="BH4" authorId="0" shapeId="0" xr:uid="{35BA0F24-1ED4-5B4B-BD57-0CC075B389A1}">
      <text>
        <r>
          <rPr>
            <sz val="14"/>
            <color rgb="FF000000"/>
            <rFont val="Calibri"/>
            <family val="34"/>
          </rPr>
          <t>MFWK (1786/7-1801)</t>
        </r>
      </text>
    </comment>
    <comment ref="B5" authorId="0" shapeId="0" xr:uid="{B882B6AC-C3C6-BC47-8767-303C16DF260F}">
      <text>
        <r>
          <rPr>
            <sz val="14"/>
            <color rgb="FF000000"/>
            <rFont val="Calibri"/>
            <family val="34"/>
          </rPr>
          <t>Hersch GELB/ Hirsch GALL/KUHN</t>
        </r>
      </text>
    </comment>
    <comment ref="I5" authorId="0" shapeId="0" xr:uid="{78FC3CB5-07B4-8E4A-B878-75177EAC503C}">
      <text>
        <r>
          <rPr>
            <sz val="14"/>
            <color rgb="FF000000"/>
            <rFont val="Calibri"/>
            <family val="34"/>
          </rPr>
          <t xml:space="preserve">24(1790)/  34(1800) 
</t>
        </r>
        <r>
          <rPr>
            <sz val="14"/>
            <color rgb="FF000000"/>
            <rFont val="Calibri"/>
            <family val="34"/>
          </rPr>
          <t xml:space="preserve">OR 
</t>
        </r>
        <r>
          <rPr>
            <sz val="14"/>
            <color rgb="FF000000"/>
            <rFont val="Calibri"/>
            <family val="34"/>
          </rPr>
          <t>40 (1802)</t>
        </r>
      </text>
    </comment>
    <comment ref="J5" authorId="0" shapeId="0" xr:uid="{9B5BE0BB-FACC-724A-A5FC-3C1E5AFC4BC7}">
      <text>
        <r>
          <rPr>
            <sz val="14"/>
            <color rgb="FF000000"/>
            <rFont val="Calibri"/>
            <family val="34"/>
          </rPr>
          <t xml:space="preserve">Ledig (1790)
</t>
        </r>
        <r>
          <rPr>
            <sz val="14"/>
            <color rgb="FF000000"/>
            <rFont val="Calibri"/>
            <family val="34"/>
          </rPr>
          <t>Veheiratet (1800-6)</t>
        </r>
      </text>
    </comment>
    <comment ref="T5" authorId="0" shapeId="0" xr:uid="{5FD025F1-B0F6-3142-9DFE-DFBBD7F1387C}">
      <text>
        <r>
          <rPr>
            <sz val="14"/>
            <color rgb="FF000000"/>
            <rFont val="Calibri"/>
            <family val="34"/>
          </rPr>
          <t xml:space="preserve">5.2 (1790/1800)
</t>
        </r>
        <r>
          <rPr>
            <sz val="14"/>
            <color rgb="FF000000"/>
            <rFont val="Calibri"/>
            <family val="34"/>
          </rPr>
          <t>5.2.2 (1803-6)</t>
        </r>
      </text>
    </comment>
    <comment ref="BF5" authorId="0" shapeId="0" xr:uid="{9035FEC6-D428-5041-87BC-7D4200195E76}">
      <text>
        <r>
          <rPr>
            <sz val="14"/>
            <color rgb="FFFF0000"/>
            <rFont val="Times New Roman"/>
            <family val="18"/>
          </rPr>
          <t xml:space="preserve">c. 1788 </t>
        </r>
        <r>
          <rPr>
            <i/>
            <sz val="14"/>
            <color rgb="FFFF0000"/>
            <rFont val="Times New Roman"/>
            <family val="18"/>
          </rPr>
          <t>Hat vorher 12 Jahr in Fuhrwesen gedient</t>
        </r>
        <r>
          <rPr>
            <sz val="14"/>
            <color rgb="FFFF0000"/>
            <rFont val="Times New Roman"/>
            <family val="18"/>
          </rPr>
          <t xml:space="preserve"> [AL Aug 1800]</t>
        </r>
        <r>
          <rPr>
            <sz val="14"/>
            <color rgb="FF000000"/>
            <rFont val="Calibri"/>
            <family val="34"/>
          </rPr>
          <t xml:space="preserve">
</t>
        </r>
        <r>
          <rPr>
            <sz val="14"/>
            <color rgb="FF000000"/>
            <rFont val="Times New Roman"/>
            <family val="18"/>
          </rPr>
          <t xml:space="preserve">28/03/1790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April 1790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Regiments Fuhrwesen eingeheilt</t>
        </r>
        <r>
          <rPr>
            <sz val="14"/>
            <color rgb="FF000000"/>
            <rFont val="Times New Roman"/>
            <family val="18"/>
          </rPr>
          <t xml:space="preserve"> [ST Mai 1790]</t>
        </r>
        <r>
          <rPr>
            <sz val="14"/>
            <color rgb="FF000000"/>
            <rFont val="Calibri"/>
            <family val="34"/>
          </rPr>
          <t xml:space="preserve">
</t>
        </r>
        <r>
          <rPr>
            <sz val="14"/>
            <color rgb="FF000000"/>
            <rFont val="Times New Roman"/>
            <family val="18"/>
          </rPr>
          <t xml:space="preserve">29/11/1790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Vor 07/1800 </t>
        </r>
        <r>
          <rPr>
            <i/>
            <sz val="14"/>
            <color rgb="FF000000"/>
            <rFont val="Times New Roman"/>
            <family val="18"/>
          </rPr>
          <t>Von Fuhrwesen mit Abschied entlassen</t>
        </r>
        <r>
          <rPr>
            <sz val="14"/>
            <color rgb="FF000000"/>
            <rFont val="Times New Roman"/>
            <family val="18"/>
          </rPr>
          <t xml:space="preserve"> [AL 1800] </t>
        </r>
        <r>
          <rPr>
            <sz val="14"/>
            <color rgb="FF000000"/>
            <rFont val="Calibri"/>
            <family val="34"/>
          </rPr>
          <t xml:space="preserve">
</t>
        </r>
        <r>
          <rPr>
            <sz val="14"/>
            <color rgb="FFFF0000"/>
            <rFont val="Times New Roman"/>
            <family val="18"/>
          </rPr>
          <t xml:space="preserve">03/05/1800 </t>
        </r>
        <r>
          <rPr>
            <i/>
            <sz val="14"/>
            <color rgb="FFFF0000"/>
            <rFont val="Times New Roman"/>
            <family val="18"/>
          </rPr>
          <t>Dienst seit mit 3Fl Handgeld</t>
        </r>
        <r>
          <rPr>
            <sz val="14"/>
            <color rgb="FFFF0000"/>
            <rFont val="Times New Roman"/>
            <family val="18"/>
          </rPr>
          <t xml:space="preserve"> [ML 1806]</t>
        </r>
        <r>
          <rPr>
            <sz val="14"/>
            <color rgb="FF000000"/>
            <rFont val="Calibri"/>
            <family val="34"/>
          </rPr>
          <t xml:space="preserve">
</t>
        </r>
        <r>
          <rPr>
            <sz val="14"/>
            <color rgb="FFFF0000"/>
            <rFont val="Times New Roman"/>
            <family val="18"/>
          </rPr>
          <t xml:space="preserve">07/05/1800 </t>
        </r>
        <r>
          <rPr>
            <i/>
            <sz val="14"/>
            <color rgb="FFFF0000"/>
            <rFont val="Times New Roman"/>
            <family val="18"/>
          </rPr>
          <t>Als galizische ständische Rekrut a 3Fl Handgeld assentiert</t>
        </r>
        <r>
          <rPr>
            <sz val="14"/>
            <color rgb="FFFF0000"/>
            <rFont val="Times New Roman"/>
            <family val="18"/>
          </rPr>
          <t xml:space="preserve"> [ML 1802 bis 1805]</t>
        </r>
        <r>
          <rPr>
            <sz val="14"/>
            <color rgb="FF000000"/>
            <rFont val="Calibri"/>
            <family val="34"/>
          </rPr>
          <t xml:space="preserve">
</t>
        </r>
        <r>
          <rPr>
            <sz val="14"/>
            <color rgb="FF000000"/>
            <rFont val="Times New Roman"/>
            <family val="18"/>
          </rPr>
          <t xml:space="preserve">21/07/1800 </t>
        </r>
        <r>
          <rPr>
            <i/>
            <sz val="14"/>
            <color rgb="FF000000"/>
            <rFont val="Times New Roman"/>
            <family val="18"/>
          </rPr>
          <t>Von Ständen gestellt und zu Lemberg a 3Fl Handgeld assentiert und seitdem auf anhero Marsch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26/10/1800 </t>
        </r>
        <r>
          <rPr>
            <i/>
            <sz val="14"/>
            <color rgb="FF000000"/>
            <rFont val="Times New Roman"/>
            <family val="18"/>
          </rPr>
          <t>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 </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eserve Division in Haupt Basta Comp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27/03/1801 </t>
        </r>
        <r>
          <rPr>
            <i/>
            <sz val="14"/>
            <color rgb="FF000000"/>
            <rFont val="Times New Roman"/>
            <family val="18"/>
          </rPr>
          <t>Krank auswärts</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Rekonvalesziert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07/07/1802 </t>
        </r>
        <r>
          <rPr>
            <i/>
            <sz val="14"/>
            <color rgb="FF000000"/>
            <rFont val="Times New Roman"/>
            <family val="18"/>
          </rPr>
          <t>Bestimmt Beurlaubt 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21/08/1802 Musterung: IR 43 Haupt Basta Nr. 117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 zur Unbestimmten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08/11/1803 Musterung: IR 43 Haupt Ellison Nr. 103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15/09/1804 Musterung: IR 43 Haupt Lichtenberg Nr. 92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07/08/1805 </t>
        </r>
        <r>
          <rPr>
            <i/>
            <sz val="14"/>
            <color rgb="FF000000"/>
            <rFont val="Times New Roman"/>
            <family val="18"/>
          </rPr>
          <t>Von unbestimmte Urlaub Zurück und seitdem auf Anhero Marsch von Lemberg</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30/09/1805 Musterung: IR 43 2. Fus Comp Nr. 76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31/03/1806 </t>
        </r>
        <r>
          <rPr>
            <i/>
            <sz val="14"/>
            <color rgb="FF000000"/>
            <rFont val="Times New Roman"/>
            <family val="18"/>
          </rPr>
          <t>In</t>
        </r>
        <r>
          <rPr>
            <sz val="14"/>
            <color rgb="FF000000"/>
            <rFont val="Times New Roman"/>
            <family val="18"/>
          </rPr>
          <t xml:space="preserve"> [2. Fus] </t>
        </r>
        <r>
          <rPr>
            <i/>
            <sz val="14"/>
            <color rgb="FF000000"/>
            <rFont val="Times New Roman"/>
            <family val="18"/>
          </rPr>
          <t>Companie eingerückt</t>
        </r>
        <r>
          <rPr>
            <sz val="14"/>
            <color rgb="FF000000"/>
            <rFont val="Times New Roman"/>
            <family val="18"/>
          </rPr>
          <t xml:space="preserve"> [ST April 1806]</t>
        </r>
        <r>
          <rPr>
            <sz val="14"/>
            <color rgb="FF000000"/>
            <rFont val="Calibri"/>
            <family val="34"/>
          </rPr>
          <t xml:space="preserve">
</t>
        </r>
        <r>
          <rPr>
            <sz val="14"/>
            <color rgb="FF000000"/>
            <rFont val="Times New Roman"/>
            <family val="18"/>
          </rPr>
          <t>01/12/1806 Musterung: IR 43 2. Fus Comp. Nr. 65 [</t>
        </r>
        <r>
          <rPr>
            <i/>
            <sz val="14"/>
            <color rgb="FF000000"/>
            <rFont val="Times New Roman"/>
            <family val="18"/>
          </rPr>
          <t>Commandiert in loco Spital</t>
        </r>
        <r>
          <rPr>
            <sz val="14"/>
            <color rgb="FF000000"/>
            <rFont val="Times New Roman"/>
            <family val="18"/>
          </rPr>
          <t>]</t>
        </r>
        <r>
          <rPr>
            <sz val="14"/>
            <color rgb="FF000000"/>
            <rFont val="Calibri"/>
            <family val="34"/>
          </rPr>
          <t xml:space="preserve">
</t>
        </r>
        <r>
          <rPr>
            <sz val="14"/>
            <color rgb="FF000000"/>
            <rFont val="Times New Roman"/>
            <family val="18"/>
          </rPr>
          <t xml:space="preserve">22/12/1806 </t>
        </r>
        <r>
          <rPr>
            <i/>
            <sz val="14"/>
            <color rgb="FF000000"/>
            <rFont val="Times New Roman"/>
            <family val="18"/>
          </rPr>
          <t>Von Laibacher Sammelhaus übergaben auf seitdem auf Marsch mit Urlaub ins Gallizien</t>
        </r>
        <r>
          <rPr>
            <sz val="14"/>
            <color rgb="FF000000"/>
            <rFont val="Times New Roman"/>
            <family val="18"/>
          </rPr>
          <t xml:space="preserve"> [ST Dec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Auf Marsch mit Urlaub ins Galizien, bis dahin verpflegt</t>
        </r>
        <r>
          <rPr>
            <sz val="14"/>
            <color rgb="FF000000"/>
            <rFont val="Times New Roman"/>
            <family val="18"/>
          </rPr>
          <t xml:space="preserve"> [ST Jan 1807]</t>
        </r>
        <r>
          <rPr>
            <sz val="14"/>
            <color rgb="FF000000"/>
            <rFont val="Calibri"/>
            <family val="34"/>
          </rPr>
          <t xml:space="preserve">
</t>
        </r>
        <r>
          <rPr>
            <sz val="14"/>
            <color rgb="FF000000"/>
            <rFont val="Times New Roman"/>
            <family val="18"/>
          </rPr>
          <t xml:space="preserve">31/08/1807 </t>
        </r>
        <r>
          <rPr>
            <i/>
            <sz val="14"/>
            <color rgb="FF000000"/>
            <rFont val="Times New Roman"/>
            <family val="18"/>
          </rPr>
          <t>Zu folge General Commando Verordnung det. Graz von 7. Aug 807 Ley R. 3888 als Real Invalid gegen Renuncierung alle Militar Beneficien mit Abschied entlassen</t>
        </r>
        <r>
          <rPr>
            <sz val="14"/>
            <color rgb="FF000000"/>
            <rFont val="Times New Roman"/>
            <family val="18"/>
          </rPr>
          <t xml:space="preserve"> [ST Aug 1807 &amp; RL 1808]
</t>
        </r>
      </text>
    </comment>
    <comment ref="BG5" authorId="0" shapeId="0" xr:uid="{2F3E7C34-2967-2E44-8AEE-FF13778F8044}">
      <text>
        <r>
          <rPr>
            <sz val="14"/>
            <color rgb="FF000000"/>
            <rFont val="Times New Roman"/>
            <family val="18"/>
          </rPr>
          <t xml:space="preserve">ML 2871 IR 32 (1790) – ST May (Lemberg 01/07/1791), Nov (Lemberg 26/09/1791)
</t>
        </r>
        <r>
          <rPr>
            <sz val="14"/>
            <color rgb="FF000000"/>
            <rFont val="Times New Roman"/>
            <family val="18"/>
          </rPr>
          <t xml:space="preserve">ML 2872 IR 32 (1790) – AL IR 32 Nr. 7 (Lemberg 12/04/1790)
</t>
        </r>
        <r>
          <rPr>
            <sz val="14"/>
            <color rgb="FF000000"/>
            <rFont val="Times New Roman"/>
            <family val="18"/>
          </rPr>
          <t xml:space="preserve">ML 10.272 IR 43 (1802) – Heft von Haupt Basta Comp Nr. 117 (Risano 21/08/1802)
</t>
        </r>
        <r>
          <rPr>
            <sz val="14"/>
            <color rgb="FF000000"/>
            <rFont val="Times New Roman"/>
            <family val="18"/>
          </rPr>
          <t xml:space="preserve">ML 10.273 IR 43 (1803) – Heft von Haupt Ellison von Niedles Comp. Nr. 103 (Sign 08/11/1803)
</t>
        </r>
        <r>
          <rPr>
            <sz val="14"/>
            <color rgb="FF000000"/>
            <rFont val="Times New Roman"/>
            <family val="18"/>
          </rPr>
          <t xml:space="preserve">ML 10.274 IR 43 (1804) – Heft von Haupt Lichtenberg Comp. Nr. 92 (Zara 15/09/1804)
</t>
        </r>
        <r>
          <rPr>
            <sz val="14"/>
            <color rgb="FF000000"/>
            <rFont val="Times New Roman"/>
            <family val="18"/>
          </rPr>
          <t xml:space="preserve">ML 10.275/6 IR 43 (1805) – Heft von 2. Fus. Comp. Nr. 76 (Cattaro 30/09/1805)
</t>
        </r>
        <r>
          <rPr>
            <sz val="14"/>
            <color rgb="FF000000"/>
            <rFont val="Times New Roman"/>
            <family val="18"/>
          </rPr>
          <t xml:space="preserve">ML 10.277/8 IR 43 (1806) – Heft von 2. Fus. Comp. Nr. 65 (Laibach (01/12/1806)
</t>
        </r>
        <r>
          <rPr>
            <sz val="14"/>
            <color rgb="FF000000"/>
            <rFont val="Times New Roman"/>
            <family val="18"/>
          </rPr>
          <t xml:space="preserve">ML 10.279 IR 43 (1808/10) – Heft von 2. Fus Comp. Abgang (Laibach 06/09/1808)
</t>
        </r>
        <r>
          <rPr>
            <sz val="14"/>
            <color rgb="FF000000"/>
            <rFont val="Times New Roman"/>
            <family val="18"/>
          </rPr>
          <t xml:space="preserve">ML 10.309 IR 43 (1800) – ST August (27/12/1803), Oktober (22/03/1804), November (02/04/1804), und Dezember (18/08/1804)
</t>
        </r>
        <r>
          <rPr>
            <sz val="14"/>
            <color rgb="FF000000"/>
            <rFont val="Times New Roman"/>
            <family val="18"/>
          </rPr>
          <t xml:space="preserve">ML IR 43 10.310 (1800) AL/TL – AL 43 Nr. 52 (Lemberg 20/08/1800) 
</t>
        </r>
        <r>
          <rPr>
            <sz val="14"/>
            <color rgb="FF000000"/>
            <rFont val="Times New Roman"/>
            <family val="18"/>
          </rPr>
          <t xml:space="preserve">ML 10.311 IR 43 (1801) – ST März (10/10/1804), Juni (20/06/1805), und Juli (08/07/1805)
</t>
        </r>
        <r>
          <rPr>
            <sz val="14"/>
            <color rgb="FF000000"/>
            <rFont val="Times New Roman"/>
            <family val="18"/>
          </rPr>
          <t xml:space="preserve">ML 10.312 IR 43 (1802) – ST Juli (15/08/1802)
</t>
        </r>
        <r>
          <rPr>
            <sz val="14"/>
            <color rgb="FF000000"/>
            <rFont val="Times New Roman"/>
            <family val="18"/>
          </rPr>
          <t xml:space="preserve">ML 10.313 IR 43 (1803) – ST März (15/04/1804)
</t>
        </r>
        <r>
          <rPr>
            <sz val="14"/>
            <color rgb="FF000000"/>
            <rFont val="Times New Roman"/>
            <family val="18"/>
          </rPr>
          <t xml:space="preserve">ML 10.315 IR 43 (1805) – ST Sept (15/11/1805)
</t>
        </r>
        <r>
          <rPr>
            <sz val="14"/>
            <color rgb="FF000000"/>
            <rFont val="Times New Roman"/>
            <family val="18"/>
          </rPr>
          <t xml:space="preserve">ML 10.317 IR 43 (1806) – ST April (30/09/1806), und Dezember (11/01/1806)
</t>
        </r>
        <r>
          <rPr>
            <sz val="14"/>
            <color rgb="FF000000"/>
            <rFont val="Times New Roman"/>
            <family val="18"/>
          </rPr>
          <t>ML 10.319 IR 43 (1807) – ST August (12/09/1807)</t>
        </r>
      </text>
    </comment>
    <comment ref="BH5" authorId="0" shapeId="0" xr:uid="{A0F8FD05-1142-574D-AE5C-05EF0F1E19D2}">
      <text>
        <r>
          <rPr>
            <sz val="14"/>
            <color rgb="FF000000"/>
            <rFont val="Calibri"/>
            <family val="34"/>
          </rPr>
          <t xml:space="preserve">MFWK (1788/90-1800)
</t>
        </r>
        <r>
          <rPr>
            <sz val="14"/>
            <color rgb="FF000000"/>
            <rFont val="Calibri"/>
            <family val="34"/>
          </rPr>
          <t>IR 43 (1800-1807)</t>
        </r>
      </text>
    </comment>
    <comment ref="BF6" authorId="0" shapeId="0" xr:uid="{66C1E282-A47C-F741-B793-BE36C6473B79}">
      <text>
        <r>
          <rPr>
            <i/>
            <sz val="14"/>
            <color rgb="FF000000"/>
            <rFont val="Times New Roman"/>
            <family val="18"/>
          </rPr>
          <t>In Jänner 1788 a 3Fl Handgeld assentiert</t>
        </r>
        <r>
          <rPr>
            <sz val="14"/>
            <color rgb="FF000000"/>
            <rFont val="Times New Roman"/>
            <family val="18"/>
          </rPr>
          <t xml:space="preserve"> [TL March 1790]</t>
        </r>
        <r>
          <rPr>
            <sz val="14"/>
            <color rgb="FF000000"/>
            <rFont val="Calibri"/>
            <family val="34"/>
          </rPr>
          <t xml:space="preserve">
</t>
        </r>
        <r>
          <rPr>
            <sz val="14"/>
            <color rgb="FF000000"/>
            <rFont val="Times New Roman"/>
            <family val="18"/>
          </rPr>
          <t xml:space="preserve">21/03/1790 </t>
        </r>
        <r>
          <rPr>
            <i/>
            <sz val="14"/>
            <color rgb="FF000000"/>
            <rFont val="Times New Roman"/>
            <family val="18"/>
          </rPr>
          <t xml:space="preserve">Von MFWK 4. Artillerie Bespannung Division zur IR 24 Feld Bats transferiert und zur Proviant Fuhrwesen eingeteilt </t>
        </r>
        <r>
          <rPr>
            <sz val="14"/>
            <color rgb="FF000000"/>
            <rFont val="Times New Roman"/>
            <family val="18"/>
          </rPr>
          <t>[TL March 1790 &amp; ST March 1790]</t>
        </r>
        <r>
          <rPr>
            <sz val="14"/>
            <color rgb="FF000000"/>
            <rFont val="Calibri"/>
            <family val="34"/>
          </rPr>
          <t xml:space="preserve">
</t>
        </r>
        <r>
          <rPr>
            <sz val="14"/>
            <color rgb="FF000000"/>
            <rFont val="Times New Roman"/>
            <family val="18"/>
          </rPr>
          <t xml:space="preserve">30/04/1790 [Dient bis mindestens] </t>
        </r>
        <r>
          <rPr>
            <i/>
            <sz val="14"/>
            <color rgb="FF000000"/>
            <rFont val="Times New Roman"/>
            <family val="18"/>
          </rPr>
          <t xml:space="preserve">Dient bei IR 24 FELD Bats. Proviant Fuhrwesen </t>
        </r>
        <r>
          <rPr>
            <sz val="14"/>
            <color rgb="FF000000"/>
            <rFont val="Times New Roman"/>
            <family val="18"/>
          </rPr>
          <t>[ST Oct 1790]</t>
        </r>
        <r>
          <rPr>
            <sz val="14"/>
            <color rgb="FF000000"/>
            <rFont val="Calibri"/>
            <family val="34"/>
          </rPr>
          <t xml:space="preserve">
</t>
        </r>
      </text>
    </comment>
    <comment ref="BG6" authorId="0" shapeId="0" xr:uid="{D3CA2773-6F97-1544-B1B1-E96367D4A315}">
      <text>
        <r>
          <rPr>
            <sz val="14"/>
            <color rgb="FF000000"/>
            <rFont val="Times New Roman"/>
            <family val="18"/>
          </rPr>
          <t>ML 1967 IR 24 (1790) – ST March (Belgrade 18/08/1790)</t>
        </r>
        <r>
          <rPr>
            <sz val="14"/>
            <color rgb="FF000000"/>
            <rFont val="Calibri"/>
            <family val="34"/>
          </rPr>
          <t xml:space="preserve">
</t>
        </r>
        <r>
          <rPr>
            <sz val="14"/>
            <color rgb="FF000000"/>
            <rFont val="Times New Roman"/>
            <family val="18"/>
          </rPr>
          <t>ML 1968 IR 24 (1790) AL/TL – TL MFWK-&gt; IR 24 Nr. 4 (Patanits 16/03/1790)</t>
        </r>
        <r>
          <rPr>
            <sz val="14"/>
            <color rgb="FF000000"/>
            <rFont val="Calibri"/>
            <family val="34"/>
          </rPr>
          <t xml:space="preserve">
</t>
        </r>
      </text>
    </comment>
    <comment ref="BH6" authorId="0" shapeId="0" xr:uid="{98F982B3-13DB-5940-816E-DCC18924F15A}">
      <text>
        <r>
          <rPr>
            <sz val="14"/>
            <color rgb="FF000000"/>
            <rFont val="Calibri"/>
            <family val="34"/>
          </rPr>
          <t>MFWK (1788-1790)</t>
        </r>
      </text>
    </comment>
    <comment ref="BF7" authorId="0" shapeId="0" xr:uid="{2BF9A86C-33B7-E743-AD46-8DF996CCEA00}">
      <text>
        <r>
          <rPr>
            <sz val="14"/>
            <color rgb="FF000000"/>
            <rFont val="Times New Roman"/>
            <family val="18"/>
          </rPr>
          <t xml:space="preserve">[c. 03/1788] </t>
        </r>
        <r>
          <rPr>
            <i/>
            <sz val="14"/>
            <color rgb="FF000000"/>
            <rFont val="Times New Roman"/>
            <family val="18"/>
          </rPr>
          <t>Vor 2 und Halb Jahren in Zloczow in Galizien a 3 Fl Handgeld assentiert</t>
        </r>
        <r>
          <rPr>
            <sz val="14"/>
            <color rgb="FF000000"/>
            <rFont val="Times New Roman"/>
            <family val="18"/>
          </rPr>
          <t xml:space="preserve"> [TL Sept 1790]</t>
        </r>
        <r>
          <rPr>
            <sz val="14"/>
            <color rgb="FF000000"/>
            <rFont val="Aptos"/>
            <family val="34"/>
          </rPr>
          <t xml:space="preserve">
</t>
        </r>
        <r>
          <rPr>
            <sz val="14"/>
            <color rgb="FF000000"/>
            <rFont val="Times New Roman"/>
            <family val="18"/>
          </rPr>
          <t xml:space="preserve">10/09/1790 </t>
        </r>
        <r>
          <rPr>
            <i/>
            <sz val="14"/>
            <color rgb="FF000000"/>
            <rFont val="Times New Roman"/>
            <family val="18"/>
          </rPr>
          <t>Statt erkrankte von 48. Spanische Reiter Division zum IR 12 3. Feld Bataillon transferiert und zum Proviant fuhrwesen zugeteilt</t>
        </r>
        <r>
          <rPr>
            <sz val="14"/>
            <color rgb="FF000000"/>
            <rFont val="Times New Roman"/>
            <family val="18"/>
          </rPr>
          <t xml:space="preserve"> [TL Sept 1790 &amp; ST Sept 1790]</t>
        </r>
        <r>
          <rPr>
            <sz val="14"/>
            <color rgb="FF000000"/>
            <rFont val="Aptos"/>
            <family val="34"/>
          </rPr>
          <t xml:space="preserve">
</t>
        </r>
        <r>
          <rPr>
            <sz val="14"/>
            <color rgb="FF000000"/>
            <rFont val="Times New Roman"/>
            <family val="18"/>
          </rPr>
          <t>31/10/1790 [</t>
        </r>
        <r>
          <rPr>
            <i/>
            <sz val="14"/>
            <color rgb="FF000000"/>
            <rFont val="Times New Roman"/>
            <family val="18"/>
          </rPr>
          <t>In Dienst bis mindestens bei IR 12 3. Feld Bay Proviant Fuhrwesen</t>
        </r>
        <r>
          <rPr>
            <sz val="14"/>
            <color rgb="FF000000"/>
            <rFont val="Times New Roman"/>
            <family val="18"/>
          </rPr>
          <t>‘[ST Oct 1790]</t>
        </r>
        <r>
          <rPr>
            <sz val="14"/>
            <color rgb="FF000000"/>
            <rFont val="Aptos"/>
            <family val="34"/>
          </rPr>
          <t xml:space="preserve">
</t>
        </r>
      </text>
    </comment>
    <comment ref="BG7" authorId="0" shapeId="0" xr:uid="{3CD6183A-63B0-1449-958B-FD0EC4710213}">
      <text>
        <r>
          <rPr>
            <sz val="14"/>
            <color rgb="FF000000"/>
            <rFont val="Times New Roman"/>
            <family val="18"/>
          </rPr>
          <t>ML 920 IR 12 (1790) – TL MFWK-&gt;IR 12 Nr. 1 (Bucharest 09/09/1790); ST Sept (Verschely 12/11/1790), Oct (Thorda 22/12/1790)</t>
        </r>
      </text>
    </comment>
    <comment ref="BH7" authorId="0" shapeId="0" xr:uid="{1B8EA1D0-455E-7548-9FD6-D0B83C3D8CD7}">
      <text>
        <r>
          <rPr>
            <sz val="14"/>
            <color rgb="FF000000"/>
            <rFont val="Calibri"/>
            <family val="34"/>
          </rPr>
          <t>MFWK (1788-1790)</t>
        </r>
      </text>
    </comment>
    <comment ref="BF8" authorId="0" shapeId="0" xr:uid="{CB551C09-B49D-7142-9FE4-6B06BBC5E654}">
      <text>
        <r>
          <rPr>
            <sz val="14"/>
            <color rgb="FF000000"/>
            <rFont val="Times New Roman"/>
            <family val="18"/>
          </rPr>
          <t xml:space="preserve">[c. 07/1788] </t>
        </r>
        <r>
          <rPr>
            <i/>
            <sz val="14"/>
            <color rgb="FF000000"/>
            <rFont val="Times New Roman"/>
            <family val="18"/>
          </rPr>
          <t>Dient ein 2 und 6 Monat</t>
        </r>
        <r>
          <rPr>
            <sz val="14"/>
            <color rgb="FF000000"/>
            <rFont val="Times New Roman"/>
            <family val="18"/>
          </rPr>
          <t xml:space="preserve"> [TL Jan 1791]</t>
        </r>
        <r>
          <rPr>
            <sz val="14"/>
            <color rgb="FF000000"/>
            <rFont val="Calibri"/>
            <family val="34"/>
          </rPr>
          <t xml:space="preserve">
</t>
        </r>
        <r>
          <rPr>
            <sz val="14"/>
            <color rgb="FF000000"/>
            <rFont val="Times New Roman"/>
            <family val="18"/>
          </rPr>
          <t xml:space="preserve">31/10/1790 </t>
        </r>
        <r>
          <rPr>
            <i/>
            <sz val="14"/>
            <color rgb="FF000000"/>
            <rFont val="Times New Roman"/>
            <family val="18"/>
          </rPr>
          <t xml:space="preserve">Dient seit mindestens beim IR 39 Feld Bats an der Proviant Fuhrwesen </t>
        </r>
        <r>
          <rPr>
            <sz val="14"/>
            <color rgb="FF000000"/>
            <rFont val="Times New Roman"/>
            <family val="18"/>
          </rPr>
          <t>[ST Nov 1790]</t>
        </r>
        <r>
          <rPr>
            <sz val="14"/>
            <color rgb="FF000000"/>
            <rFont val="Calibri"/>
            <family val="34"/>
          </rPr>
          <t xml:space="preserve">
</t>
        </r>
        <r>
          <rPr>
            <sz val="14"/>
            <color rgb="FF000000"/>
            <rFont val="Times New Roman"/>
            <family val="18"/>
          </rPr>
          <t xml:space="preserve">05/01/1791 </t>
        </r>
        <r>
          <rPr>
            <i/>
            <sz val="14"/>
            <color rgb="FF000000"/>
            <rFont val="Times New Roman"/>
            <family val="18"/>
          </rPr>
          <t xml:space="preserve">Von Nasdasdy Feld Bat Proviant Fuhrwesen zum MFWK 17. Pro Cento Division transferiert </t>
        </r>
        <r>
          <rPr>
            <sz val="14"/>
            <color rgb="FF000000"/>
            <rFont val="Times New Roman"/>
            <family val="18"/>
          </rPr>
          <t>[TL Jan 1791]</t>
        </r>
        <r>
          <rPr>
            <sz val="14"/>
            <color rgb="FF000000"/>
            <rFont val="Calibri"/>
            <family val="34"/>
          </rPr>
          <t xml:space="preserve">
</t>
        </r>
      </text>
    </comment>
    <comment ref="BG8" authorId="0" shapeId="0" xr:uid="{97CF64C4-E0F2-E842-B960-44801093A14C}">
      <text>
        <r>
          <rPr>
            <sz val="14"/>
            <color rgb="FF000000"/>
            <rFont val="Times New Roman"/>
            <family val="18"/>
          </rPr>
          <t>ML 3529 IR 39 (1790) – ST Nov (28/01/1791)</t>
        </r>
        <r>
          <rPr>
            <sz val="14"/>
            <color rgb="FF000000"/>
            <rFont val="Calibri"/>
            <family val="34"/>
          </rPr>
          <t xml:space="preserve">
</t>
        </r>
        <r>
          <rPr>
            <sz val="14"/>
            <color rgb="FF000000"/>
            <rFont val="Times New Roman"/>
            <family val="18"/>
          </rPr>
          <t>ML 3531 IR 39 (1791) – TL IR 39-&gt;MFWK Nr. 4 (Belgrade 01/01/1791); ST Jan (Belgrade 18/02/1791)</t>
        </r>
        <r>
          <rPr>
            <sz val="14"/>
            <color rgb="FF000000"/>
            <rFont val="Calibri"/>
            <family val="34"/>
          </rPr>
          <t xml:space="preserve">
</t>
        </r>
      </text>
    </comment>
    <comment ref="BH8" authorId="0" shapeId="0" xr:uid="{16D2EF0A-9ED8-254A-A1FB-C0DAE53F77C2}">
      <text>
        <r>
          <rPr>
            <sz val="14"/>
            <color rgb="FF000000"/>
            <rFont val="Calibri"/>
            <family val="34"/>
          </rPr>
          <t>MFWK (1788-1791)</t>
        </r>
      </text>
    </comment>
    <comment ref="BF9" authorId="0" shapeId="0" xr:uid="{B5E1C373-F020-A046-848C-179CF2C7300F}">
      <text>
        <r>
          <rPr>
            <sz val="14"/>
            <color rgb="FF000000"/>
            <rFont val="Times New Roman"/>
            <family val="18"/>
          </rPr>
          <t xml:space="preserve">08/07/1788 </t>
        </r>
        <r>
          <rPr>
            <i/>
            <sz val="14"/>
            <color rgb="FF000000"/>
            <rFont val="Times New Roman"/>
            <family val="18"/>
          </rPr>
          <t xml:space="preserve">Aus dem Durlachischen Werbbezirk zu Zaleszik assentiert </t>
        </r>
        <r>
          <rPr>
            <sz val="14"/>
            <color rgb="FF000000"/>
            <rFont val="Times New Roman"/>
            <family val="18"/>
          </rPr>
          <t>[TL Oct 1790]</t>
        </r>
        <r>
          <rPr>
            <sz val="14"/>
            <color rgb="FF000000"/>
            <rFont val="Aptos"/>
            <family val="34"/>
          </rPr>
          <t xml:space="preserve">
</t>
        </r>
        <r>
          <rPr>
            <sz val="14"/>
            <color rgb="FF000000"/>
            <rFont val="Times New Roman"/>
            <family val="18"/>
          </rPr>
          <t xml:space="preserve">10/03/1789 </t>
        </r>
        <r>
          <rPr>
            <i/>
            <sz val="14"/>
            <color rgb="FF000000"/>
            <rFont val="Times New Roman"/>
            <family val="18"/>
          </rPr>
          <t xml:space="preserve">Von MFWK Pro cento Division Nr. 19 zum IR 43 Feld Bataillons transferiert und zum Proviant Fuhrwesen zugeteilt </t>
        </r>
        <r>
          <rPr>
            <sz val="14"/>
            <color rgb="FF000000"/>
            <rFont val="Times New Roman"/>
            <family val="18"/>
          </rPr>
          <t>[ST March 1789]</t>
        </r>
        <r>
          <rPr>
            <sz val="14"/>
            <color rgb="FF000000"/>
            <rFont val="Aptos"/>
            <family val="34"/>
          </rPr>
          <t xml:space="preserve">
</t>
        </r>
        <r>
          <rPr>
            <sz val="14"/>
            <color rgb="FF000000"/>
            <rFont val="Times New Roman"/>
            <family val="18"/>
          </rPr>
          <t xml:space="preserve">29/05/1789 </t>
        </r>
        <r>
          <rPr>
            <i/>
            <sz val="14"/>
            <color rgb="FF000000"/>
            <rFont val="Times New Roman"/>
            <family val="18"/>
          </rPr>
          <t xml:space="preserve">Krank in Armee Spital zu Belligisch </t>
        </r>
        <r>
          <rPr>
            <sz val="14"/>
            <color rgb="FF000000"/>
            <rFont val="Times New Roman"/>
            <family val="18"/>
          </rPr>
          <t>[TL 1789]</t>
        </r>
        <r>
          <rPr>
            <sz val="14"/>
            <color rgb="FF000000"/>
            <rFont val="Aptos"/>
            <family val="34"/>
          </rPr>
          <t xml:space="preserve">
</t>
        </r>
        <r>
          <rPr>
            <sz val="14"/>
            <color rgb="FF000000"/>
            <rFont val="Times New Roman"/>
            <family val="18"/>
          </rPr>
          <t xml:space="preserve">21/07/1789 </t>
        </r>
        <r>
          <rPr>
            <i/>
            <sz val="14"/>
            <color rgb="FF000000"/>
            <rFont val="Times New Roman"/>
            <family val="18"/>
          </rPr>
          <t xml:space="preserve">In Folge hoher Armee General Commando Verordnung von 09/11/1789 von IR 43 ‘Thurn’ Feld Bataillons Proviant Fuhrwesen zum MWFK Reserve abgegeben </t>
        </r>
        <r>
          <rPr>
            <sz val="14"/>
            <color rgb="FF000000"/>
            <rFont val="Times New Roman"/>
            <family val="18"/>
          </rPr>
          <t>[TL 1789]</t>
        </r>
        <r>
          <rPr>
            <sz val="14"/>
            <color rgb="FF000000"/>
            <rFont val="Aptos"/>
            <family val="34"/>
          </rPr>
          <t xml:space="preserve">
</t>
        </r>
        <r>
          <rPr>
            <sz val="14"/>
            <color rgb="FF000000"/>
            <rFont val="Times New Roman"/>
            <family val="18"/>
          </rPr>
          <t xml:space="preserve">26/01/1790 </t>
        </r>
        <r>
          <rPr>
            <i/>
            <sz val="14"/>
            <color rgb="FF000000"/>
            <rFont val="Times New Roman"/>
            <family val="18"/>
          </rPr>
          <t>Von MFWK 19. Pro Cento Div 3. Abt zum IR 54 Feld Bats transferiert und zum Proviant Fuhrwesen zugeteilt</t>
        </r>
        <r>
          <rPr>
            <sz val="14"/>
            <color rgb="FF000000"/>
            <rFont val="Times New Roman"/>
            <family val="18"/>
          </rPr>
          <t xml:space="preserve"> [TL Oct 1790]</t>
        </r>
        <r>
          <rPr>
            <sz val="14"/>
            <color rgb="FF000000"/>
            <rFont val="Aptos"/>
            <family val="34"/>
          </rPr>
          <t xml:space="preserve">
</t>
        </r>
        <r>
          <rPr>
            <sz val="14"/>
            <color rgb="FF000000"/>
            <rFont val="Times New Roman"/>
            <family val="18"/>
          </rPr>
          <t xml:space="preserve">01/03/1790 </t>
        </r>
        <r>
          <rPr>
            <i/>
            <sz val="14"/>
            <color rgb="FF000000"/>
            <rFont val="Times New Roman"/>
            <family val="18"/>
          </rPr>
          <t>Mit auswärtigen Verpflegung in Garnison Spital in Wien</t>
        </r>
        <r>
          <rPr>
            <sz val="14"/>
            <color rgb="FF000000"/>
            <rFont val="Times New Roman"/>
            <family val="18"/>
          </rPr>
          <t xml:space="preserve"> [TL March 1790]</t>
        </r>
        <r>
          <rPr>
            <sz val="14"/>
            <color rgb="FF000000"/>
            <rFont val="Aptos"/>
            <family val="34"/>
          </rPr>
          <t xml:space="preserve">
</t>
        </r>
        <r>
          <rPr>
            <sz val="14"/>
            <color rgb="FF000000"/>
            <rFont val="Times New Roman"/>
            <family val="18"/>
          </rPr>
          <t xml:space="preserve">29/03/1790 </t>
        </r>
        <r>
          <rPr>
            <i/>
            <sz val="14"/>
            <color rgb="FF000000"/>
            <rFont val="Times New Roman"/>
            <family val="18"/>
          </rPr>
          <t>Wieder in Einheit gekommen</t>
        </r>
        <r>
          <rPr>
            <sz val="14"/>
            <color rgb="FF000000"/>
            <rFont val="Times New Roman"/>
            <family val="18"/>
          </rPr>
          <t xml:space="preserve"> [TL March 1790]</t>
        </r>
        <r>
          <rPr>
            <sz val="14"/>
            <color rgb="FF000000"/>
            <rFont val="Aptos"/>
            <family val="34"/>
          </rPr>
          <t xml:space="preserve">
</t>
        </r>
        <r>
          <rPr>
            <sz val="14"/>
            <color rgb="FF000000"/>
            <rFont val="Times New Roman"/>
            <family val="18"/>
          </rPr>
          <t xml:space="preserve">30/11/1790 </t>
        </r>
        <r>
          <rPr>
            <i/>
            <sz val="14"/>
            <color rgb="FF000000"/>
            <rFont val="Times New Roman"/>
            <family val="18"/>
          </rPr>
          <t>Mit abtheilig Landesreise-verkosten Auf unbestimmte Urlaub abgeschickt</t>
        </r>
        <r>
          <rPr>
            <sz val="14"/>
            <color rgb="FF000000"/>
            <rFont val="Times New Roman"/>
            <family val="18"/>
          </rPr>
          <t xml:space="preserve"> [ST Nov 1790] </t>
        </r>
      </text>
    </comment>
    <comment ref="BG9" authorId="0" shapeId="0" xr:uid="{24DFD7E8-E6CC-EE4E-9415-0F759A6C9828}">
      <text>
        <r>
          <rPr>
            <sz val="14"/>
            <color rgb="FF000000"/>
            <rFont val="Times New Roman"/>
            <family val="18"/>
          </rPr>
          <t xml:space="preserve">ML 10.294 IR 43 (1789) </t>
        </r>
        <r>
          <rPr>
            <sz val="14"/>
            <color rgb="FF000000"/>
            <rFont val="Times New Roman"/>
            <family val="18"/>
          </rPr>
          <t xml:space="preserve">– </t>
        </r>
        <r>
          <rPr>
            <sz val="14"/>
            <color rgb="FF000000"/>
            <rFont val="Times New Roman"/>
            <family val="18"/>
          </rPr>
          <t>ST March (Surzin, 20/05/1789), July (29/08/1789)</t>
        </r>
        <r>
          <rPr>
            <sz val="14"/>
            <color rgb="FF000000"/>
            <rFont val="Aptos"/>
            <family val="34"/>
          </rPr>
          <t xml:space="preserve">
</t>
        </r>
        <r>
          <rPr>
            <sz val="14"/>
            <color rgb="FF000000"/>
            <rFont val="Times New Roman"/>
            <family val="18"/>
          </rPr>
          <t xml:space="preserve">ML 10.295 IR 43 (1789) AL/TL </t>
        </r>
        <r>
          <rPr>
            <sz val="14"/>
            <color rgb="FF000000"/>
            <rFont val="Times New Roman"/>
            <family val="18"/>
          </rPr>
          <t xml:space="preserve">– </t>
        </r>
        <r>
          <rPr>
            <sz val="14"/>
            <color rgb="FF000000"/>
            <rFont val="Times New Roman"/>
            <family val="18"/>
          </rPr>
          <t>TL IR 43-&gt;MFWK Nr. 2 (Feldlager 31/07/1789)</t>
        </r>
        <r>
          <rPr>
            <sz val="14"/>
            <color rgb="FF000000"/>
            <rFont val="Aptos"/>
            <family val="34"/>
          </rPr>
          <t xml:space="preserve">
</t>
        </r>
        <r>
          <rPr>
            <sz val="14"/>
            <color rgb="FF000000"/>
            <rFont val="Times New Roman"/>
            <family val="18"/>
          </rPr>
          <t>ML 4654 IR 54 (1790) – ST March (24/01/1791), Nov (16/06/1791)</t>
        </r>
        <r>
          <rPr>
            <sz val="14"/>
            <color rgb="FF000000"/>
            <rFont val="Aptos"/>
            <family val="34"/>
          </rPr>
          <t xml:space="preserve">
</t>
        </r>
        <r>
          <rPr>
            <sz val="14"/>
            <color rgb="FF000000"/>
            <rFont val="Times New Roman"/>
            <family val="18"/>
          </rPr>
          <t>ML 4655 IR 54 (1790) AL/TL – TL MFWK-&gt;IR 54 Nr. 1 (Vienna 13/10/1790)</t>
        </r>
      </text>
    </comment>
    <comment ref="BH9" authorId="0" shapeId="0" xr:uid="{530AFF5A-A8B9-7B45-8048-BCE2DECC8628}">
      <text>
        <r>
          <rPr>
            <sz val="14"/>
            <color rgb="FF000000"/>
            <rFont val="Calibri"/>
            <family val="34"/>
          </rPr>
          <t>MFWK (1788-1790)</t>
        </r>
      </text>
    </comment>
    <comment ref="BF10" authorId="0" shapeId="0" xr:uid="{14E16DDA-1CBC-FB49-A7C8-D84A4EC9717C}">
      <text>
        <r>
          <rPr>
            <sz val="14"/>
            <color rgb="FF000000"/>
            <rFont val="Times New Roman"/>
            <family val="18"/>
          </rPr>
          <t xml:space="preserve">[c. 08/1788] </t>
        </r>
        <r>
          <rPr>
            <i/>
            <sz val="14"/>
            <color rgb="FF000000"/>
            <rFont val="Times New Roman"/>
            <family val="18"/>
          </rPr>
          <t>Dient zwei Jahr</t>
        </r>
        <r>
          <rPr>
            <sz val="14"/>
            <color rgb="FF000000"/>
            <rFont val="Times New Roman"/>
            <family val="18"/>
          </rPr>
          <t xml:space="preserve"> [TL Sept]</t>
        </r>
        <r>
          <rPr>
            <sz val="14"/>
            <color rgb="FF000000"/>
            <rFont val="Aptos"/>
            <family val="34"/>
          </rPr>
          <t xml:space="preserve">
</t>
        </r>
        <r>
          <rPr>
            <sz val="14"/>
            <color rgb="FF000000"/>
            <rFont val="Times New Roman"/>
            <family val="18"/>
          </rPr>
          <t xml:space="preserve">31/04/1790 </t>
        </r>
        <r>
          <rPr>
            <i/>
            <sz val="14"/>
            <color rgb="FF000000"/>
            <rFont val="Times New Roman"/>
            <family val="18"/>
          </rPr>
          <t>Dient seit mindestens beim IR 33 Feld Bats Artillerie Bespannung</t>
        </r>
        <r>
          <rPr>
            <sz val="14"/>
            <color rgb="FF000000"/>
            <rFont val="Times New Roman"/>
            <family val="18"/>
          </rPr>
          <t xml:space="preserve"> [ST May 1790]</t>
        </r>
        <r>
          <rPr>
            <sz val="14"/>
            <color rgb="FF000000"/>
            <rFont val="Aptos"/>
            <family val="34"/>
          </rPr>
          <t xml:space="preserve">
</t>
        </r>
        <r>
          <rPr>
            <sz val="14"/>
            <color rgb="FF000000"/>
            <rFont val="Times New Roman"/>
            <family val="18"/>
          </rPr>
          <t xml:space="preserve">31/08/1790 </t>
        </r>
        <r>
          <rPr>
            <i/>
            <sz val="14"/>
            <color rgb="FF000000"/>
            <rFont val="Times New Roman"/>
            <family val="18"/>
          </rPr>
          <t xml:space="preserve">Von IR 33 Infanterie Regiment zum MFWK Artillerie Bespannung Division Nr. 58 transferiert </t>
        </r>
        <r>
          <rPr>
            <sz val="14"/>
            <color rgb="FF000000"/>
            <rFont val="Times New Roman"/>
            <family val="18"/>
          </rPr>
          <t xml:space="preserve">[TL Sept 1790 &amp; ST Sept 1790] </t>
        </r>
        <r>
          <rPr>
            <sz val="14"/>
            <color rgb="FF000000"/>
            <rFont val="Aptos"/>
            <family val="34"/>
          </rPr>
          <t xml:space="preserve">
</t>
        </r>
      </text>
    </comment>
    <comment ref="BG10" authorId="0" shapeId="0" xr:uid="{DC6C12B1-3A36-FA48-BEEF-BF2F2DC363AC}">
      <text>
        <r>
          <rPr>
            <sz val="14"/>
            <color rgb="FF000000"/>
            <rFont val="Times New Roman"/>
            <family val="18"/>
          </rPr>
          <t>ML 2999 IR 33 (1789) – ST May (10/01/1792), Sept (Mecheln 16/04/1790)</t>
        </r>
        <r>
          <rPr>
            <sz val="14"/>
            <color rgb="FF000000"/>
            <rFont val="Aptos"/>
            <family val="34"/>
          </rPr>
          <t xml:space="preserve">
</t>
        </r>
        <r>
          <rPr>
            <sz val="14"/>
            <color rgb="FF000000"/>
            <rFont val="Times New Roman"/>
            <family val="18"/>
          </rPr>
          <t>ML 3000 IR 33 (1790) – TL IR 33-&gt;MFWK Nr. 11 (Rzeszów 01/09/1790)</t>
        </r>
        <r>
          <rPr>
            <sz val="14"/>
            <color rgb="FF000000"/>
            <rFont val="Aptos"/>
            <family val="34"/>
          </rPr>
          <t xml:space="preserve">
</t>
        </r>
      </text>
    </comment>
    <comment ref="BH10" authorId="0" shapeId="0" xr:uid="{C514183B-B225-1B4C-AD6A-C6E2DE93F322}">
      <text>
        <r>
          <rPr>
            <sz val="14"/>
            <color rgb="FF000000"/>
            <rFont val="Calibri"/>
            <family val="34"/>
          </rPr>
          <t>MFWK (1788-1790)</t>
        </r>
      </text>
    </comment>
    <comment ref="BF11" authorId="0" shapeId="0" xr:uid="{B604E428-FAA3-DF4C-A648-C7C007B722DA}">
      <text>
        <r>
          <rPr>
            <sz val="14"/>
            <color rgb="FF000000"/>
            <rFont val="Times New Roman"/>
            <family val="18"/>
          </rPr>
          <t xml:space="preserve">[c. Aug 1788 assentiert] </t>
        </r>
        <r>
          <rPr>
            <i/>
            <sz val="14"/>
            <color rgb="FF000000"/>
            <rFont val="Times New Roman"/>
            <family val="18"/>
          </rPr>
          <t>Dient in Corps 2 Jahr</t>
        </r>
        <r>
          <rPr>
            <sz val="14"/>
            <color rgb="FF000000"/>
            <rFont val="Times New Roman"/>
            <family val="18"/>
          </rPr>
          <t xml:space="preserve"> [TL Aug 1790]</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Dient seit mindestens IR 24 Proviant Fuhrwesen</t>
        </r>
        <r>
          <rPr>
            <sz val="14"/>
            <color rgb="FF000000"/>
            <rFont val="Times New Roman"/>
            <family val="18"/>
          </rPr>
          <t xml:space="preserve"> [ST Nov 1789]</t>
        </r>
        <r>
          <rPr>
            <sz val="14"/>
            <color rgb="FF000000"/>
            <rFont val="Calibri"/>
            <family val="34"/>
          </rPr>
          <t xml:space="preserve">
</t>
        </r>
        <r>
          <rPr>
            <sz val="14"/>
            <color rgb="FF000000"/>
            <rFont val="Times New Roman"/>
            <family val="18"/>
          </rPr>
          <t>12/01/1790 Revision: IR 24 2. Bat Proviant Fuhrwesen Nr. 15</t>
        </r>
        <r>
          <rPr>
            <sz val="14"/>
            <color rgb="FF000000"/>
            <rFont val="Calibri"/>
            <family val="34"/>
          </rPr>
          <t xml:space="preserve">
</t>
        </r>
        <r>
          <rPr>
            <sz val="14"/>
            <color rgb="FF000000"/>
            <rFont val="Times New Roman"/>
            <family val="18"/>
          </rPr>
          <t xml:space="preserve">30/04/1790 [Dient bis mindestens] </t>
        </r>
        <r>
          <rPr>
            <sz val="14"/>
            <color rgb="FF000000"/>
            <rFont val="Calibri"/>
            <family val="34"/>
          </rPr>
          <t xml:space="preserve">
</t>
        </r>
        <r>
          <rPr>
            <sz val="14"/>
            <color rgb="FF000000"/>
            <rFont val="Times New Roman"/>
            <family val="18"/>
          </rPr>
          <t xml:space="preserve">??/??/1790 </t>
        </r>
        <r>
          <rPr>
            <i/>
            <sz val="14"/>
            <color rgb="FF000000"/>
            <rFont val="Times New Roman"/>
            <family val="18"/>
          </rPr>
          <t>Zum MFWK transferiert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16/08/1790 </t>
        </r>
        <r>
          <rPr>
            <i/>
            <sz val="14"/>
            <color rgb="FF000000"/>
            <rFont val="Times New Roman"/>
            <family val="18"/>
          </rPr>
          <t xml:space="preserve">Von MFWK 17. Pro Cento Division zur IR 24 2. Feld Bat transferiert und zur Proviant Fuhrwesen eingeteilt </t>
        </r>
        <r>
          <rPr>
            <sz val="14"/>
            <color rgb="FF000000"/>
            <rFont val="Times New Roman"/>
            <family val="18"/>
          </rPr>
          <t>[TL Aug 1790 &amp; ST Sept 1790]</t>
        </r>
        <r>
          <rPr>
            <sz val="14"/>
            <color rgb="FF000000"/>
            <rFont val="Calibri"/>
            <family val="34"/>
          </rPr>
          <t xml:space="preserve">
</t>
        </r>
        <r>
          <rPr>
            <sz val="14"/>
            <color rgb="FF000000"/>
            <rFont val="Times New Roman"/>
            <family val="18"/>
          </rPr>
          <t xml:space="preserve">31/10/1790 [Dient bis mindestens] </t>
        </r>
        <r>
          <rPr>
            <i/>
            <sz val="14"/>
            <color rgb="FF000000"/>
            <rFont val="Times New Roman"/>
            <family val="18"/>
          </rPr>
          <t xml:space="preserve">Dient bei IR 24 FELD Bats. Proviant Fuhrwesen </t>
        </r>
        <r>
          <rPr>
            <sz val="14"/>
            <color rgb="FF000000"/>
            <rFont val="Times New Roman"/>
            <family val="18"/>
          </rPr>
          <t>[ST Oct 1790]</t>
        </r>
        <r>
          <rPr>
            <sz val="14"/>
            <color rgb="FF000000"/>
            <rFont val="Calibri"/>
            <family val="34"/>
          </rPr>
          <t xml:space="preserve">
</t>
        </r>
      </text>
    </comment>
    <comment ref="BG11" authorId="0" shapeId="0" xr:uid="{36B018A9-30BE-9742-93F5-8B8F4A9B6EBD}">
      <text>
        <r>
          <rPr>
            <sz val="14"/>
            <color rgb="FF000000"/>
            <rFont val="Times New Roman"/>
            <family val="18"/>
          </rPr>
          <t>ML 1934 IR 24 (1790-1) – RL 1790 Regiments Fuhrwesen Nr. 15 (Semlin 12/01/1790)</t>
        </r>
        <r>
          <rPr>
            <sz val="14"/>
            <color rgb="FF000000"/>
            <rFont val="Calibri"/>
            <family val="34"/>
          </rPr>
          <t xml:space="preserve">
</t>
        </r>
        <r>
          <rPr>
            <sz val="14"/>
            <color rgb="FF000000"/>
            <rFont val="Times New Roman"/>
            <family val="18"/>
          </rPr>
          <t>ML 1966 IR 24 (1787-9) – FELD Bats: ST Nov Nr. 15 (Belgrade 16/07/1790)</t>
        </r>
        <r>
          <rPr>
            <sz val="14"/>
            <color rgb="FF000000"/>
            <rFont val="Calibri"/>
            <family val="34"/>
          </rPr>
          <t xml:space="preserve">
</t>
        </r>
        <r>
          <rPr>
            <sz val="14"/>
            <color rgb="FF000000"/>
            <rFont val="Times New Roman"/>
            <family val="18"/>
          </rPr>
          <t xml:space="preserve">ML 1967 IR 24 (1790) – ST Sept (Esseg 14/12/1790) </t>
        </r>
        <r>
          <rPr>
            <sz val="14"/>
            <color rgb="FF000000"/>
            <rFont val="Calibri"/>
            <family val="34"/>
          </rPr>
          <t xml:space="preserve">
</t>
        </r>
        <r>
          <rPr>
            <sz val="14"/>
            <color rgb="FF000000"/>
            <rFont val="Times New Roman"/>
            <family val="18"/>
          </rPr>
          <t>ML 1968 IR 24 (1790) AL/TL – MWFK -&gt; TL IR 24 Nr. 1 (Potlanitz 13/08/1790)</t>
        </r>
        <r>
          <rPr>
            <sz val="14"/>
            <color rgb="FF000000"/>
            <rFont val="Calibri"/>
            <family val="34"/>
          </rPr>
          <t xml:space="preserve">
</t>
        </r>
      </text>
    </comment>
    <comment ref="BH11" authorId="0" shapeId="0" xr:uid="{6591534B-9FC3-814E-BFE6-1299B292CBAF}">
      <text>
        <r>
          <rPr>
            <sz val="14"/>
            <color rgb="FF000000"/>
            <rFont val="Calibri"/>
            <family val="34"/>
          </rPr>
          <t>MFWK (1788-1790)</t>
        </r>
      </text>
    </comment>
    <comment ref="BF12" authorId="0" shapeId="0" xr:uid="{DD8658CE-0825-904F-BEBF-0EC71D0B4899}">
      <text>
        <r>
          <rPr>
            <sz val="14"/>
            <color rgb="FF000000"/>
            <rFont val="Times New Roman"/>
            <family val="18"/>
          </rPr>
          <t xml:space="preserve">[01/10/1788 </t>
        </r>
        <r>
          <rPr>
            <i/>
            <sz val="14"/>
            <color rgb="FF000000"/>
            <rFont val="Times New Roman"/>
            <family val="18"/>
          </rPr>
          <t>A 3Fl Handgeld assentiert</t>
        </r>
        <r>
          <rPr>
            <sz val="14"/>
            <color rgb="FF000000"/>
            <rFont val="Times New Roman"/>
            <family val="18"/>
          </rPr>
          <t xml:space="preserve"> [TL May 1789]</t>
        </r>
        <r>
          <rPr>
            <sz val="14"/>
            <color rgb="FF000000"/>
            <rFont val="Calibri"/>
            <family val="34"/>
          </rPr>
          <t xml:space="preserve">
</t>
        </r>
        <r>
          <rPr>
            <sz val="14"/>
            <color rgb="FF000000"/>
            <rFont val="Times New Roman"/>
            <family val="18"/>
          </rPr>
          <t xml:space="preserve">21/05/1789 </t>
        </r>
        <r>
          <rPr>
            <i/>
            <sz val="14"/>
            <color rgb="FF000000"/>
            <rFont val="Times New Roman"/>
            <family val="18"/>
          </rPr>
          <t xml:space="preserve">Von MFWK 18. Pro Cento Division zum IR 27 ‘Baden Durlach’ 3. Bataillon transferiert und zum Proviant Fuhrwesen eingeteilt </t>
        </r>
        <r>
          <rPr>
            <sz val="14"/>
            <color rgb="FF000000"/>
            <rFont val="Times New Roman"/>
            <family val="18"/>
          </rPr>
          <t xml:space="preserve"> [TL May 1789 &amp; ST May 1789]</t>
        </r>
        <r>
          <rPr>
            <sz val="14"/>
            <color rgb="FF000000"/>
            <rFont val="Calibri"/>
            <family val="34"/>
          </rPr>
          <t xml:space="preserve">
</t>
        </r>
        <r>
          <rPr>
            <sz val="14"/>
            <color rgb="FF000000"/>
            <rFont val="Times New Roman"/>
            <family val="18"/>
          </rPr>
          <t xml:space="preserve">31/10/1790 [Mindestens bis] </t>
        </r>
        <r>
          <rPr>
            <i/>
            <sz val="14"/>
            <color rgb="FF000000"/>
            <rFont val="Times New Roman"/>
            <family val="18"/>
          </rPr>
          <t>Dient bei IR 27 3. Bat Proviant Fuhrwesen</t>
        </r>
        <r>
          <rPr>
            <sz val="14"/>
            <color rgb="FF000000"/>
            <rFont val="Times New Roman"/>
            <family val="18"/>
          </rPr>
          <t xml:space="preserve"> [ST Oct 1790]</t>
        </r>
        <r>
          <rPr>
            <sz val="14"/>
            <color rgb="FF000000"/>
            <rFont val="Calibri"/>
            <family val="34"/>
          </rPr>
          <t xml:space="preserve">
</t>
        </r>
      </text>
    </comment>
    <comment ref="BG12" authorId="0" shapeId="0" xr:uid="{2FFFFD04-F12E-E942-B435-776B3FD59586}">
      <text>
        <r>
          <rPr>
            <sz val="14"/>
            <color rgb="FF000000"/>
            <rFont val="Times New Roman"/>
            <family val="18"/>
          </rPr>
          <t>ML 2291 IR 1 (1789) – TL MFWK-&gt;IR 27 Nr. 8 (Carlstadt 16/05/1789); ST May (20/08/1789), Dec (30/01/1790)</t>
        </r>
        <r>
          <rPr>
            <sz val="14"/>
            <color rgb="FF000000"/>
            <rFont val="Calibri"/>
            <family val="34"/>
          </rPr>
          <t xml:space="preserve">
</t>
        </r>
        <r>
          <rPr>
            <sz val="14"/>
            <color rgb="FF000000"/>
            <rFont val="Times New Roman"/>
            <family val="18"/>
          </rPr>
          <t>ML 2292 IR 1 (1790) – ST Oct (29/11/1790)</t>
        </r>
        <r>
          <rPr>
            <sz val="14"/>
            <color rgb="FF000000"/>
            <rFont val="Calibri"/>
            <family val="34"/>
          </rPr>
          <t xml:space="preserve">
</t>
        </r>
      </text>
    </comment>
    <comment ref="BH12" authorId="0" shapeId="0" xr:uid="{21E5F069-DB00-8541-BF3F-193FE68B8CE5}">
      <text>
        <r>
          <rPr>
            <sz val="14"/>
            <color rgb="FF000000"/>
            <rFont val="Calibri"/>
            <family val="34"/>
          </rPr>
          <t>MFWK (1788-1790)</t>
        </r>
      </text>
    </comment>
    <comment ref="F13" authorId="0" shapeId="0" xr:uid="{E3B82C39-473E-1D4F-B2CF-C49457F21B70}">
      <text>
        <r>
          <rPr>
            <sz val="14"/>
            <color rgb="FF000000"/>
            <rFont val="Times New Roman"/>
            <family val="18"/>
          </rPr>
          <t xml:space="preserve">Given as </t>
        </r>
        <r>
          <rPr>
            <i/>
            <sz val="14"/>
            <color rgb="FF000000"/>
            <rFont val="Times New Roman"/>
            <family val="18"/>
          </rPr>
          <t>Polen</t>
        </r>
        <r>
          <rPr>
            <sz val="14"/>
            <color rgb="FF000000"/>
            <rFont val="Times New Roman"/>
            <family val="18"/>
          </rPr>
          <t xml:space="preserve"> in the sources
</t>
        </r>
      </text>
    </comment>
    <comment ref="I13" authorId="0" shapeId="0" xr:uid="{C532AAC3-2A67-F241-8976-A5AC59DECD20}">
      <text>
        <r>
          <rPr>
            <b/>
            <sz val="14"/>
            <color rgb="FF000000"/>
            <rFont val="Calibri"/>
            <family val="34"/>
          </rPr>
          <t>1773 [18 (TL 1791)]</t>
        </r>
        <r>
          <rPr>
            <b/>
            <sz val="14"/>
            <color rgb="FF000000"/>
            <rFont val="Calibri"/>
            <family val="2"/>
          </rPr>
          <t xml:space="preserve">
</t>
        </r>
        <r>
          <rPr>
            <sz val="14"/>
            <color rgb="FF000000"/>
            <rFont val="Calibri"/>
            <family val="34"/>
          </rPr>
          <t xml:space="preserve">OR
</t>
        </r>
        <r>
          <rPr>
            <sz val="14"/>
            <color rgb="FF000000"/>
            <rFont val="Calibri"/>
            <family val="34"/>
          </rPr>
          <t xml:space="preserve">1774 [16 (TL 1790)]
</t>
        </r>
        <r>
          <rPr>
            <sz val="14"/>
            <color rgb="FF000000"/>
            <rFont val="Calibri"/>
            <family val="34"/>
          </rPr>
          <t xml:space="preserve">OR 
</t>
        </r>
      </text>
    </comment>
    <comment ref="BF13" authorId="0" shapeId="0" xr:uid="{99F6410B-4A52-D047-AD0B-7EC35543B9F9}">
      <text>
        <r>
          <rPr>
            <sz val="14"/>
            <color rgb="FF000000"/>
            <rFont val="Times New Roman"/>
            <family val="18"/>
          </rPr>
          <t xml:space="preserve">[c. 11/1788] </t>
        </r>
        <r>
          <rPr>
            <i/>
            <sz val="14"/>
            <color rgb="FF000000"/>
            <rFont val="Times New Roman"/>
            <family val="18"/>
          </rPr>
          <t>Dient ein 2 und 2 Monat</t>
        </r>
        <r>
          <rPr>
            <sz val="14"/>
            <color rgb="FF000000"/>
            <rFont val="Times New Roman"/>
            <family val="18"/>
          </rPr>
          <t xml:space="preserve"> [TL Jan 1791]</t>
        </r>
        <r>
          <rPr>
            <sz val="14"/>
            <color rgb="FF000000"/>
            <rFont val="Calibri"/>
            <family val="34"/>
          </rPr>
          <t xml:space="preserve">
</t>
        </r>
        <r>
          <rPr>
            <i/>
            <sz val="14"/>
            <color rgb="FFFF0000"/>
            <rFont val="Times New Roman"/>
            <family val="18"/>
          </rPr>
          <t>Assentierungs Tag unbekannt</t>
        </r>
        <r>
          <rPr>
            <sz val="14"/>
            <color rgb="FFFF0000"/>
            <rFont val="Times New Roman"/>
            <family val="18"/>
          </rPr>
          <t xml:space="preserve"> [TL Aug 1790]</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Dient seit mindestens IR 24 Artillerie Bespannung</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01/12/1789 </t>
        </r>
        <r>
          <rPr>
            <i/>
            <sz val="14"/>
            <color rgb="FF000000"/>
            <rFont val="Times New Roman"/>
            <family val="18"/>
          </rPr>
          <t>Von Regiments Artillerie zum Proviant Wagen Bespannung transferiert</t>
        </r>
        <r>
          <rPr>
            <sz val="14"/>
            <color rgb="FF000000"/>
            <rFont val="Times New Roman"/>
            <family val="18"/>
          </rPr>
          <t xml:space="preserve"> [ST Dec 1789]</t>
        </r>
        <r>
          <rPr>
            <sz val="14"/>
            <color rgb="FF000000"/>
            <rFont val="Calibri"/>
            <family val="34"/>
          </rPr>
          <t xml:space="preserve">
</t>
        </r>
        <r>
          <rPr>
            <sz val="14"/>
            <color rgb="FF000000"/>
            <rFont val="Times New Roman"/>
            <family val="18"/>
          </rPr>
          <t>12/01/1790 Revision: IR 24 2. Bat Proviant Fuhrwesen Nr. 4</t>
        </r>
        <r>
          <rPr>
            <sz val="14"/>
            <color rgb="FF000000"/>
            <rFont val="Calibri"/>
            <family val="34"/>
          </rPr>
          <t xml:space="preserve">
</t>
        </r>
        <r>
          <rPr>
            <sz val="14"/>
            <color rgb="FF000000"/>
            <rFont val="Times New Roman"/>
            <family val="18"/>
          </rPr>
          <t xml:space="preserve">19/02/1790 </t>
        </r>
        <r>
          <rPr>
            <i/>
            <sz val="14"/>
            <color rgb="FF000000"/>
            <rFont val="Times New Roman"/>
            <family val="18"/>
          </rPr>
          <t xml:space="preserve">Von IR 24 Feld Bats. Proviant Fuhrwesen wegen Erkrankung zur MLFK Pro Centro Div. Nr. 17 transferiert </t>
        </r>
        <r>
          <rPr>
            <sz val="14"/>
            <color rgb="FF000000"/>
            <rFont val="Times New Roman"/>
            <family val="18"/>
          </rPr>
          <t>[TL Aug 1790 &amp; ST Feb 1790]</t>
        </r>
        <r>
          <rPr>
            <sz val="14"/>
            <color rgb="FF000000"/>
            <rFont val="Calibri"/>
            <family val="34"/>
          </rPr>
          <t xml:space="preserve">
</t>
        </r>
        <r>
          <rPr>
            <sz val="14"/>
            <color rgb="FF000000"/>
            <rFont val="Times New Roman"/>
            <family val="18"/>
          </rPr>
          <t xml:space="preserve">31/10/1790 </t>
        </r>
        <r>
          <rPr>
            <i/>
            <sz val="14"/>
            <color rgb="FF000000"/>
            <rFont val="Times New Roman"/>
            <family val="18"/>
          </rPr>
          <t xml:space="preserve">Dient seit mindestens beim IR 39 Feld Bats an der Proviant Fuhrwesen </t>
        </r>
        <r>
          <rPr>
            <sz val="14"/>
            <color rgb="FF000000"/>
            <rFont val="Times New Roman"/>
            <family val="18"/>
          </rPr>
          <t>[ST Nov 1790]</t>
        </r>
        <r>
          <rPr>
            <sz val="14"/>
            <color rgb="FF000000"/>
            <rFont val="Calibri"/>
            <family val="34"/>
          </rPr>
          <t xml:space="preserve">
</t>
        </r>
        <r>
          <rPr>
            <sz val="14"/>
            <color rgb="FF000000"/>
            <rFont val="Times New Roman"/>
            <family val="18"/>
          </rPr>
          <t xml:space="preserve">05/01/1791 </t>
        </r>
        <r>
          <rPr>
            <i/>
            <sz val="14"/>
            <color rgb="FF000000"/>
            <rFont val="Times New Roman"/>
            <family val="18"/>
          </rPr>
          <t xml:space="preserve">Von Nasdasdy Feld Bat Proviant Fuhrwesen zum MFWK 17. Pro Cento Division transferiert </t>
        </r>
        <r>
          <rPr>
            <sz val="14"/>
            <color rgb="FF000000"/>
            <rFont val="Times New Roman"/>
            <family val="18"/>
          </rPr>
          <t>[TL Jan 1791]</t>
        </r>
      </text>
    </comment>
    <comment ref="BG13" authorId="0" shapeId="0" xr:uid="{67EB7586-5A05-C740-B94D-BE85DF3210F8}">
      <text>
        <r>
          <rPr>
            <sz val="14"/>
            <color rgb="FF000000"/>
            <rFont val="Times New Roman"/>
            <family val="18"/>
          </rPr>
          <t>ML 1934 IR 24 (1790-1) – RL 1790 Proviant Fuhrwesen Nr. 4 (Semlin 12/01/1790)</t>
        </r>
        <r>
          <rPr>
            <sz val="14"/>
            <color rgb="FF000000"/>
            <rFont val="Calibri"/>
            <family val="34"/>
          </rPr>
          <t xml:space="preserve">
</t>
        </r>
        <r>
          <rPr>
            <sz val="14"/>
            <color rgb="FF000000"/>
            <rFont val="Times New Roman"/>
            <family val="18"/>
          </rPr>
          <t>ML 1966 IR 24 (1787-9) – FELD Bats: ST Nov Nr. 11 (Belgrade 16/07/1790), Dec (Belgrad 20/07/1790)</t>
        </r>
        <r>
          <rPr>
            <sz val="14"/>
            <color rgb="FF000000"/>
            <rFont val="Calibri"/>
            <family val="34"/>
          </rPr>
          <t xml:space="preserve">
</t>
        </r>
        <r>
          <rPr>
            <sz val="14"/>
            <color rgb="FF000000"/>
            <rFont val="Times New Roman"/>
            <family val="18"/>
          </rPr>
          <t>ML 1967 IR 24 (1790) – FELD Bats: ST Feb (Belgrade 16/08/1790)</t>
        </r>
        <r>
          <rPr>
            <sz val="14"/>
            <color rgb="FF000000"/>
            <rFont val="Calibri"/>
            <family val="34"/>
          </rPr>
          <t xml:space="preserve">
</t>
        </r>
        <r>
          <rPr>
            <sz val="14"/>
            <color rgb="FF000000"/>
            <rFont val="Times New Roman"/>
            <family val="18"/>
          </rPr>
          <t>ML 1968 IR 24 (1790) AL/TL – TL IR 24-&gt; MFWK-&gt; Nr. 1 (Belgrade 16/08/1790)</t>
        </r>
        <r>
          <rPr>
            <sz val="14"/>
            <color rgb="FF000000"/>
            <rFont val="Calibri"/>
            <family val="34"/>
          </rPr>
          <t xml:space="preserve">
</t>
        </r>
        <r>
          <rPr>
            <sz val="14"/>
            <color rgb="FF000000"/>
            <rFont val="Times New Roman"/>
            <family val="18"/>
          </rPr>
          <t>ML 3529 IR 39 (1790) – ST Nov (28/01/1791)</t>
        </r>
        <r>
          <rPr>
            <sz val="14"/>
            <color rgb="FF000000"/>
            <rFont val="Calibri"/>
            <family val="34"/>
          </rPr>
          <t xml:space="preserve">
</t>
        </r>
        <r>
          <rPr>
            <sz val="14"/>
            <color rgb="FF000000"/>
            <rFont val="Times New Roman"/>
            <family val="18"/>
          </rPr>
          <t>ML 3531 IR 39 (1791) – TL IR 39-&gt;MFWK Nr. 3 (Belgrade 01/01/1791); ST Jan (Belgrade 18/02/1791)</t>
        </r>
      </text>
    </comment>
    <comment ref="BH13" authorId="0" shapeId="0" xr:uid="{DBE881F4-E78A-6842-BEE6-FD93EDC009ED}">
      <text>
        <r>
          <rPr>
            <sz val="14"/>
            <color rgb="FF000000"/>
            <rFont val="Calibri"/>
            <family val="34"/>
          </rPr>
          <t>MFWK (1788-1791)</t>
        </r>
      </text>
    </comment>
    <comment ref="BF14" authorId="0" shapeId="0" xr:uid="{7DCD0884-C272-9646-9105-9C9D180B9F27}">
      <text>
        <r>
          <rPr>
            <sz val="14"/>
            <color rgb="FF000000"/>
            <rFont val="Times New Roman"/>
            <family val="18"/>
          </rPr>
          <t xml:space="preserve">01/11/1788 </t>
        </r>
        <r>
          <rPr>
            <i/>
            <sz val="14"/>
            <color rgb="FF000000"/>
            <rFont val="Times New Roman"/>
            <family val="18"/>
          </rPr>
          <t>3Fl Handgeld assentiert</t>
        </r>
        <r>
          <rPr>
            <sz val="14"/>
            <color rgb="FF000000"/>
            <rFont val="Times New Roman"/>
            <family val="18"/>
          </rPr>
          <t xml:space="preserve"> [TL Nov 1789]</t>
        </r>
        <r>
          <rPr>
            <sz val="14"/>
            <color rgb="FF000000"/>
            <rFont val="Calibri"/>
            <family val="34"/>
          </rPr>
          <t xml:space="preserve">
</t>
        </r>
        <r>
          <rPr>
            <sz val="14"/>
            <color rgb="FF000000"/>
            <rFont val="Times New Roman"/>
            <family val="18"/>
          </rPr>
          <t xml:space="preserve">31/10/1789 [seit Mindestens] </t>
        </r>
        <r>
          <rPr>
            <i/>
            <sz val="14"/>
            <color rgb="FF000000"/>
            <rFont val="Times New Roman"/>
            <family val="18"/>
          </rPr>
          <t>Dient in IR 24 3. Bat Artillerie Bespannung</t>
        </r>
        <r>
          <rPr>
            <sz val="14"/>
            <color rgb="FF000000"/>
            <rFont val="Calibri"/>
            <family val="34"/>
          </rPr>
          <t xml:space="preserve">
</t>
        </r>
        <r>
          <rPr>
            <sz val="14"/>
            <color rgb="FF000000"/>
            <rFont val="Times New Roman"/>
            <family val="18"/>
          </rPr>
          <t xml:space="preserve">20/11/1789 </t>
        </r>
        <r>
          <rPr>
            <i/>
            <sz val="14"/>
            <color rgb="FF000000"/>
            <rFont val="Times New Roman"/>
            <family val="18"/>
          </rPr>
          <t>Von IR 24 3. Bat. Artillerie Bespannung zur MFWK Pro Cento div. Nr. 18 transferiert</t>
        </r>
        <r>
          <rPr>
            <sz val="14"/>
            <color rgb="FF000000"/>
            <rFont val="Times New Roman"/>
            <family val="18"/>
          </rPr>
          <t xml:space="preserve"> [TL Nov 1789 &amp; ST Nov 1789]</t>
        </r>
        <r>
          <rPr>
            <sz val="14"/>
            <color rgb="FF000000"/>
            <rFont val="Calibri"/>
            <family val="34"/>
          </rPr>
          <t xml:space="preserve">
</t>
        </r>
        <r>
          <rPr>
            <sz val="14"/>
            <color rgb="FF000000"/>
            <rFont val="Times New Roman"/>
            <family val="18"/>
          </rPr>
          <t xml:space="preserve">01/01/1790 </t>
        </r>
        <r>
          <rPr>
            <i/>
            <sz val="14"/>
            <color rgb="FF000000"/>
            <rFont val="Times New Roman"/>
            <family val="18"/>
          </rPr>
          <t>Von MFWK Pro Cento Division Nro. 18 zum IR 53 3. Bataillon transferiert und zum Artillerie Bespannung eingeteilt</t>
        </r>
        <r>
          <rPr>
            <sz val="14"/>
            <color rgb="FF000000"/>
            <rFont val="Times New Roman"/>
            <family val="18"/>
          </rPr>
          <t xml:space="preserve"> [TL Dec 1789 &amp; ST Jan 1790]</t>
        </r>
        <r>
          <rPr>
            <sz val="14"/>
            <color rgb="FF000000"/>
            <rFont val="Calibri"/>
            <family val="34"/>
          </rPr>
          <t xml:space="preserve">
</t>
        </r>
        <r>
          <rPr>
            <sz val="14"/>
            <color rgb="FF000000"/>
            <rFont val="Times New Roman"/>
            <family val="18"/>
          </rPr>
          <t xml:space="preserve">01/02/1790 </t>
        </r>
        <r>
          <rPr>
            <i/>
            <sz val="14"/>
            <color rgb="FF000000"/>
            <rFont val="Times New Roman"/>
            <family val="18"/>
          </rPr>
          <t>Kommandiert zu Sziszek</t>
        </r>
        <r>
          <rPr>
            <sz val="14"/>
            <color rgb="FF000000"/>
            <rFont val="Times New Roman"/>
            <family val="18"/>
          </rPr>
          <t xml:space="preserve"> [ST Feb 1790]</t>
        </r>
        <r>
          <rPr>
            <sz val="14"/>
            <color rgb="FF000000"/>
            <rFont val="Calibri"/>
            <family val="34"/>
          </rPr>
          <t xml:space="preserve">
</t>
        </r>
        <r>
          <rPr>
            <sz val="14"/>
            <color rgb="FF000000"/>
            <rFont val="Times New Roman"/>
            <family val="18"/>
          </rPr>
          <t xml:space="preserve">06/02/1790 </t>
        </r>
        <r>
          <rPr>
            <i/>
            <sz val="14"/>
            <color rgb="FF000000"/>
            <rFont val="Times New Roman"/>
            <family val="18"/>
          </rPr>
          <t>Wieder in Bataillon</t>
        </r>
        <r>
          <rPr>
            <sz val="14"/>
            <color rgb="FF000000"/>
            <rFont val="Times New Roman"/>
            <family val="18"/>
          </rPr>
          <t xml:space="preserve"> [ST Feb 1790]</t>
        </r>
        <r>
          <rPr>
            <sz val="14"/>
            <color rgb="FF000000"/>
            <rFont val="Calibri"/>
            <family val="34"/>
          </rPr>
          <t xml:space="preserve">
</t>
        </r>
        <r>
          <rPr>
            <sz val="14"/>
            <color rgb="FF000000"/>
            <rFont val="Times New Roman"/>
            <family val="18"/>
          </rPr>
          <t xml:space="preserve">01/04/1790 </t>
        </r>
        <r>
          <rPr>
            <i/>
            <sz val="14"/>
            <color rgb="FF000000"/>
            <rFont val="Times New Roman"/>
            <family val="18"/>
          </rPr>
          <t>Von Artillerie Bespannung zum Bataillon Proviant Fuhrwesen transferiert</t>
        </r>
        <r>
          <rPr>
            <sz val="14"/>
            <color rgb="FF000000"/>
            <rFont val="Times New Roman"/>
            <family val="18"/>
          </rPr>
          <t xml:space="preserve"> [ST April &amp; RL 1791]</t>
        </r>
        <r>
          <rPr>
            <sz val="14"/>
            <color rgb="FF000000"/>
            <rFont val="Calibri"/>
            <family val="34"/>
          </rPr>
          <t xml:space="preserve">
</t>
        </r>
        <r>
          <rPr>
            <sz val="14"/>
            <color rgb="FF000000"/>
            <rFont val="Times New Roman"/>
            <family val="18"/>
          </rPr>
          <t>31/12/1790</t>
        </r>
        <r>
          <rPr>
            <i/>
            <sz val="14"/>
            <color rgb="FF000000"/>
            <rFont val="Times New Roman"/>
            <family val="18"/>
          </rPr>
          <t xml:space="preserve"> von IR 53 ‚Graf Palffy‘ Regiments Fuhrwesen zum MFWK pro Cento Div Nr. 18 transferiert</t>
        </r>
        <r>
          <rPr>
            <sz val="14"/>
            <color rgb="FF000000"/>
            <rFont val="Times New Roman"/>
            <family val="18"/>
          </rPr>
          <t xml:space="preserve"> [TL Dec 1790 &amp; ST Jan 1791 &amp; RL 1791]</t>
        </r>
        <r>
          <rPr>
            <sz val="14"/>
            <color rgb="FF000000"/>
            <rFont val="Calibri"/>
            <family val="34"/>
          </rPr>
          <t xml:space="preserve">
</t>
        </r>
      </text>
    </comment>
    <comment ref="BG14" authorId="0" shapeId="0" xr:uid="{8DA284B5-5567-0649-8FAD-2A2A3247573D}">
      <text>
        <r>
          <rPr>
            <sz val="14"/>
            <color rgb="FF212121"/>
            <rFont val="Times New Roman"/>
            <family val="18"/>
          </rPr>
          <t>ML 1966 IR 24 (1787-9) – TL IR 24-&gt;MFWK Nr. 1 (Carlsdadt 21/11/1789); ST Nov (29/09/1790)</t>
        </r>
        <r>
          <rPr>
            <sz val="14"/>
            <color rgb="FF000000"/>
            <rFont val="Calibri"/>
            <family val="34"/>
          </rPr>
          <t xml:space="preserve">
</t>
        </r>
        <r>
          <rPr>
            <sz val="14"/>
            <color rgb="FF212121"/>
            <rFont val="Times New Roman"/>
            <family val="18"/>
          </rPr>
          <t>ML 4513 IR 53 (1791) – RL 3. Bat Proviant Fuhrwesen Abgang (Warasdin 07/03/1791)</t>
        </r>
        <r>
          <rPr>
            <sz val="14"/>
            <color rgb="FF000000"/>
            <rFont val="Calibri"/>
            <family val="34"/>
          </rPr>
          <t xml:space="preserve">
</t>
        </r>
        <r>
          <rPr>
            <sz val="14"/>
            <color rgb="FF212121"/>
            <rFont val="Times New Roman"/>
            <family val="18"/>
          </rPr>
          <t>ML 4560 IR 53 (1790) – TL MFWK-&gt;IR 53 Nr. 2 (Karlstadt 26/12/1789)</t>
        </r>
        <r>
          <rPr>
            <sz val="14"/>
            <color rgb="FF000000"/>
            <rFont val="Calibri"/>
            <family val="34"/>
          </rPr>
          <t xml:space="preserve">
</t>
        </r>
        <r>
          <rPr>
            <sz val="14"/>
            <color rgb="FF212121"/>
            <rFont val="Times New Roman"/>
            <family val="18"/>
          </rPr>
          <t>ML 4561 IR 53 (1791) – TL IR 53-&gt; MFWK Nr. 1 (Warasdin 28/12/1790); ST Jan 1791 (05/10/1805)</t>
        </r>
        <r>
          <rPr>
            <sz val="14"/>
            <color rgb="FF000000"/>
            <rFont val="Calibri"/>
            <family val="34"/>
          </rPr>
          <t xml:space="preserve">
</t>
        </r>
      </text>
    </comment>
    <comment ref="BH14" authorId="0" shapeId="0" xr:uid="{C52553D4-C45D-5842-A12A-4211611CCDF8}">
      <text>
        <r>
          <rPr>
            <sz val="14"/>
            <color rgb="FF000000"/>
            <rFont val="Calibri"/>
            <family val="34"/>
          </rPr>
          <t>MFWK (1788-1791)</t>
        </r>
      </text>
    </comment>
    <comment ref="BF15" authorId="0" shapeId="0" xr:uid="{58B0DC87-164A-3C48-9D81-AEA61A50D3EA}">
      <text>
        <r>
          <rPr>
            <sz val="14"/>
            <color rgb="FF000000"/>
            <rFont val="Times New Roman"/>
            <family val="18"/>
          </rPr>
          <t xml:space="preserve">01/11/1788 </t>
        </r>
        <r>
          <rPr>
            <i/>
            <sz val="14"/>
            <color rgb="FF000000"/>
            <rFont val="Times New Roman"/>
            <family val="18"/>
          </rPr>
          <t>3Fl Handgeld assentiert</t>
        </r>
        <r>
          <rPr>
            <sz val="14"/>
            <color rgb="FF000000"/>
            <rFont val="Times New Roman"/>
            <family val="18"/>
          </rPr>
          <t xml:space="preserve"> [TL Dec 1789]</t>
        </r>
        <r>
          <rPr>
            <sz val="14"/>
            <color rgb="FF000000"/>
            <rFont val="Calibri"/>
            <family val="34"/>
          </rPr>
          <t xml:space="preserve">
</t>
        </r>
        <r>
          <rPr>
            <sz val="14"/>
            <color rgb="FF000000"/>
            <rFont val="Times New Roman"/>
            <family val="18"/>
          </rPr>
          <t xml:space="preserve">31/10/1789 [Seit Mindestens] </t>
        </r>
        <r>
          <rPr>
            <i/>
            <sz val="14"/>
            <color rgb="FF000000"/>
            <rFont val="Times New Roman"/>
            <family val="18"/>
          </rPr>
          <t xml:space="preserve">Dient bei IR 24 3RD Bat. Artillerie Bespannung </t>
        </r>
        <r>
          <rPr>
            <sz val="14"/>
            <color rgb="FF000000"/>
            <rFont val="Times New Roman"/>
            <family val="18"/>
          </rPr>
          <t>[ST Nov]</t>
        </r>
        <r>
          <rPr>
            <sz val="14"/>
            <color rgb="FF000000"/>
            <rFont val="Calibri"/>
            <family val="34"/>
          </rPr>
          <t xml:space="preserve">
</t>
        </r>
        <r>
          <rPr>
            <sz val="14"/>
            <color rgb="FF000000"/>
            <rFont val="Times New Roman"/>
            <family val="18"/>
          </rPr>
          <t xml:space="preserve">24/12/1789 </t>
        </r>
        <r>
          <rPr>
            <i/>
            <sz val="14"/>
            <color rgb="FF000000"/>
            <rFont val="Times New Roman"/>
            <family val="18"/>
          </rPr>
          <t>Von IR 24 3. Bat Artillerie Bespannung zur MFWK Pro Cento div. Nr. 18 transferiert</t>
        </r>
        <r>
          <rPr>
            <sz val="14"/>
            <color rgb="FF000000"/>
            <rFont val="Times New Roman"/>
            <family val="18"/>
          </rPr>
          <t xml:space="preserve"> [TL Dec 1789 &amp; ST Dec 1789]</t>
        </r>
        <r>
          <rPr>
            <sz val="14"/>
            <color rgb="FF000000"/>
            <rFont val="Calibri"/>
            <family val="34"/>
          </rPr>
          <t xml:space="preserve">
</t>
        </r>
      </text>
    </comment>
    <comment ref="BG15" authorId="0" shapeId="0" xr:uid="{F78B7320-A84C-6944-8844-008D167AC764}">
      <text>
        <r>
          <rPr>
            <sz val="14"/>
            <color rgb="FF000000"/>
            <rFont val="Times New Roman"/>
            <family val="18"/>
          </rPr>
          <t>ML 1766 IR 24 (1787-9) – TL IR 24-&gt; MFWK Nr. 7 (Carlstadt 26/12/1789); ST Nov (22/09/1790), Dec (15/10/1790)</t>
        </r>
      </text>
    </comment>
    <comment ref="BH15" authorId="0" shapeId="0" xr:uid="{82524D7A-CEA5-3447-B58A-66DFBE1E538E}">
      <text>
        <r>
          <rPr>
            <sz val="14"/>
            <color rgb="FF000000"/>
            <rFont val="Calibri"/>
            <family val="34"/>
          </rPr>
          <t>MFWK (1788-1789)</t>
        </r>
      </text>
    </comment>
    <comment ref="BF16" authorId="0" shapeId="0" xr:uid="{62201D25-E326-C445-9EBA-1D5E62D1986B}">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16" authorId="0" shapeId="0" xr:uid="{2CC6F672-469F-274B-875B-11BA38630CF5}">
      <text>
        <r>
          <rPr>
            <sz val="14"/>
            <color rgb="FF000000"/>
            <rFont val="Times New Roman"/>
            <family val="18"/>
          </rPr>
          <t>ML 363 IR 4 (1789) – ST Jan (Feldlager bei Bechaina 13/09/1789)</t>
        </r>
      </text>
    </comment>
    <comment ref="BH16" authorId="0" shapeId="0" xr:uid="{71A27E3E-53AD-D147-854B-607F6315B954}">
      <text>
        <r>
          <rPr>
            <sz val="14"/>
            <color rgb="FF000000"/>
            <rFont val="Calibri"/>
            <family val="34"/>
          </rPr>
          <t>MFWK (1789)</t>
        </r>
      </text>
    </comment>
    <comment ref="BF17" authorId="0" shapeId="0" xr:uid="{A528124A-1E54-574E-B1AD-9AE6FD76F2A3}">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17" authorId="0" shapeId="0" xr:uid="{D9F2470B-AFF8-414A-ACCC-F038DFE385F0}">
      <text>
        <r>
          <rPr>
            <sz val="14"/>
            <color rgb="FF000000"/>
            <rFont val="Times New Roman"/>
            <family val="18"/>
          </rPr>
          <t>ML 363 IR 4 (1789) – ST Jan (Feldlager bei Bechaina 13/09/1789)</t>
        </r>
      </text>
    </comment>
    <comment ref="BH17" authorId="0" shapeId="0" xr:uid="{7058BDA2-5632-5F45-84C1-DF0A8C87079B}">
      <text>
        <r>
          <rPr>
            <sz val="14"/>
            <color rgb="FF000000"/>
            <rFont val="Calibri"/>
            <family val="34"/>
          </rPr>
          <t>MFWK (1789)</t>
        </r>
      </text>
    </comment>
    <comment ref="BF18" authorId="0" shapeId="0" xr:uid="{EF3D1D0E-5CBF-C441-B098-FB1E0D62A6F6}">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18" authorId="0" shapeId="0" xr:uid="{7C3065AF-E753-BF40-B122-02C0D697D245}">
      <text>
        <r>
          <rPr>
            <sz val="14"/>
            <color rgb="FF000000"/>
            <rFont val="Times New Roman"/>
            <family val="18"/>
          </rPr>
          <t>ML 363 IR 4 (1789) – ST Jan (Feldlager bei Bechaina 13/09/1789)</t>
        </r>
      </text>
    </comment>
    <comment ref="BH18" authorId="0" shapeId="0" xr:uid="{F0347BCC-DCCB-204E-A87E-98D0B9E1AE76}">
      <text>
        <r>
          <rPr>
            <sz val="14"/>
            <color rgb="FF000000"/>
            <rFont val="Calibri"/>
            <family val="34"/>
          </rPr>
          <t>MFWK (1789)</t>
        </r>
      </text>
    </comment>
    <comment ref="BF19" authorId="0" shapeId="0" xr:uid="{48F88628-ED67-064E-95E7-22C50B90168C}">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19" authorId="0" shapeId="0" xr:uid="{8E69C10D-2E4F-6844-B067-161AEF7F8EA8}">
      <text>
        <r>
          <rPr>
            <sz val="14"/>
            <color rgb="FF000000"/>
            <rFont val="Times New Roman"/>
            <family val="18"/>
          </rPr>
          <t>ML 363 IR 4 (1789) – ST Jan (Feldlager bei Bechaina 13/09/1789)</t>
        </r>
      </text>
    </comment>
    <comment ref="BH19" authorId="0" shapeId="0" xr:uid="{66A5E62D-AA32-2A43-8B0C-E87FB5A51183}">
      <text>
        <r>
          <rPr>
            <sz val="14"/>
            <color rgb="FF000000"/>
            <rFont val="Calibri"/>
            <family val="34"/>
          </rPr>
          <t>MFWK (1789)</t>
        </r>
      </text>
    </comment>
    <comment ref="BF20" authorId="0" shapeId="0" xr:uid="{40CF208F-D6D5-D742-9160-2037FF79F2C5}">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20" authorId="0" shapeId="0" xr:uid="{6FA35A09-9224-AE49-A01D-CFE8E31A7F7F}">
      <text>
        <r>
          <rPr>
            <sz val="14"/>
            <color rgb="FF000000"/>
            <rFont val="Times New Roman"/>
            <family val="18"/>
          </rPr>
          <t>ML 363 IR 4 (1789) – ST Jan (Feldlager bei Bechaina 13/09/1789)</t>
        </r>
      </text>
    </comment>
    <comment ref="BH20" authorId="0" shapeId="0" xr:uid="{BA1545C8-B7E7-1646-BADD-8B67489C6869}">
      <text>
        <r>
          <rPr>
            <sz val="14"/>
            <color rgb="FF000000"/>
            <rFont val="Calibri"/>
            <family val="34"/>
          </rPr>
          <t>MFWK (1789)</t>
        </r>
      </text>
    </comment>
    <comment ref="BF21" authorId="0" shapeId="0" xr:uid="{00FC5E46-CFD8-EC46-B2FE-FD0C772B59F4}">
      <text>
        <r>
          <rPr>
            <sz val="14"/>
            <color rgb="FF000000"/>
            <rFont val="Times New Roman"/>
            <family val="18"/>
          </rPr>
          <t xml:space="preserve">27/01/1789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28/01/1789 </t>
        </r>
        <r>
          <rPr>
            <i/>
            <sz val="14"/>
            <color rgb="FF000000"/>
            <rFont val="Times New Roman"/>
            <family val="18"/>
          </rPr>
          <t xml:space="preserve">Von der Artill: pro Cento Div: Nr. 17 anhero </t>
        </r>
        <r>
          <rPr>
            <b/>
            <sz val="14"/>
            <color rgb="FF000000"/>
            <rFont val="Times New Roman"/>
            <family val="18"/>
          </rPr>
          <t>[IR 4 FELD Bats]</t>
        </r>
        <r>
          <rPr>
            <i/>
            <sz val="14"/>
            <color rgb="FF000000"/>
            <rFont val="Times New Roman"/>
            <family val="18"/>
          </rPr>
          <t xml:space="preserve"> transferiert</t>
        </r>
        <r>
          <rPr>
            <sz val="14"/>
            <color rgb="FF000000"/>
            <rFont val="Times New Roman"/>
            <family val="18"/>
          </rPr>
          <t xml:space="preserve"> [</t>
        </r>
        <r>
          <rPr>
            <i/>
            <sz val="14"/>
            <color rgb="FF000000"/>
            <rFont val="Times New Roman"/>
            <family val="18"/>
          </rPr>
          <t>und zum Artillerie Bespannung eingeteilt</t>
        </r>
        <r>
          <rPr>
            <sz val="14"/>
            <color rgb="FF000000"/>
            <rFont val="Times New Roman"/>
            <family val="18"/>
          </rPr>
          <t>] [ST Jan 1789]</t>
        </r>
        <r>
          <rPr>
            <sz val="14"/>
            <color rgb="FF000000"/>
            <rFont val="Calibri"/>
            <family val="34"/>
          </rPr>
          <t xml:space="preserve">
</t>
        </r>
        <r>
          <rPr>
            <sz val="14"/>
            <color rgb="FF000000"/>
            <rFont val="Times New Roman"/>
            <family val="18"/>
          </rPr>
          <t>31/01/1789 In dienst: IR 4 Feld Bats Artillerie Bespannung [ST Jan 1789]</t>
        </r>
        <r>
          <rPr>
            <sz val="14"/>
            <color rgb="FF000000"/>
            <rFont val="Calibri"/>
            <family val="34"/>
          </rPr>
          <t xml:space="preserve">
</t>
        </r>
      </text>
    </comment>
    <comment ref="BG21" authorId="0" shapeId="0" xr:uid="{2F025A70-90C8-D849-B411-D99FF9F8AD60}">
      <text>
        <r>
          <rPr>
            <sz val="14"/>
            <color rgb="FF000000"/>
            <rFont val="Times New Roman"/>
            <family val="18"/>
          </rPr>
          <t>ML 363 IR 4 (1789) – ST Jan (Feldlager bei Bechaina 13/09/1789)</t>
        </r>
      </text>
    </comment>
    <comment ref="BH21" authorId="0" shapeId="0" xr:uid="{FDED00AB-6C9C-DA43-9017-372CD4994AA2}">
      <text>
        <r>
          <rPr>
            <sz val="14"/>
            <color rgb="FF000000"/>
            <rFont val="Calibri"/>
            <family val="34"/>
          </rPr>
          <t>MFWK (1789)</t>
        </r>
      </text>
    </comment>
    <comment ref="BF22" authorId="0" shapeId="0" xr:uid="{BDC081F4-2824-C64F-8532-2BFE90AB3501}">
      <text>
        <r>
          <rPr>
            <sz val="14"/>
            <color rgb="FF000000"/>
            <rFont val="Times New Roman"/>
            <family val="18"/>
          </rPr>
          <t xml:space="preserve">11/02/1789 </t>
        </r>
        <r>
          <rPr>
            <i/>
            <sz val="14"/>
            <color rgb="FF000000"/>
            <rFont val="Times New Roman"/>
            <family val="18"/>
          </rPr>
          <t xml:space="preserve">Von der MFWK Pferd Bespannung Division Nro. 42 zum IR 23 Feld Bataillon transferiert und zum Artillerie Bespannung zugeheilt </t>
        </r>
        <r>
          <rPr>
            <sz val="14"/>
            <color rgb="FF000000"/>
            <rFont val="Times New Roman"/>
            <family val="18"/>
          </rPr>
          <t>[ST Feb 1789]</t>
        </r>
        <r>
          <rPr>
            <sz val="14"/>
            <color rgb="FF000000"/>
            <rFont val="Aptos"/>
            <family val="34"/>
          </rPr>
          <t xml:space="preserve">
</t>
        </r>
        <r>
          <rPr>
            <sz val="14"/>
            <color rgb="FF000000"/>
            <rFont val="Times New Roman"/>
            <family val="18"/>
          </rPr>
          <t xml:space="preserve">06/05/1789 </t>
        </r>
        <r>
          <rPr>
            <i/>
            <sz val="14"/>
            <color rgb="FF000000"/>
            <rFont val="Times New Roman"/>
            <family val="18"/>
          </rPr>
          <t>Wegen Erkrankung</t>
        </r>
        <r>
          <rPr>
            <sz val="14"/>
            <color rgb="FF000000"/>
            <rFont val="Times New Roman"/>
            <family val="18"/>
          </rPr>
          <t xml:space="preserve"> [als zurück an der MWFK transferierte] </t>
        </r>
        <r>
          <rPr>
            <i/>
            <sz val="14"/>
            <color rgb="FF000000"/>
            <rFont val="Times New Roman"/>
            <family val="18"/>
          </rPr>
          <t>in Abgang</t>
        </r>
        <r>
          <rPr>
            <sz val="14"/>
            <color rgb="FF000000"/>
            <rFont val="Times New Roman"/>
            <family val="18"/>
          </rPr>
          <t xml:space="preserve"> [ST May 1789]</t>
        </r>
        <r>
          <rPr>
            <sz val="14"/>
            <color rgb="FF000000"/>
            <rFont val="Calibri"/>
            <family val="2"/>
          </rPr>
          <t xml:space="preserve"> </t>
        </r>
      </text>
    </comment>
    <comment ref="BG22" authorId="0" shapeId="0" xr:uid="{D299A489-610F-A241-A8D0-47F89160493E}">
      <text>
        <r>
          <rPr>
            <sz val="14"/>
            <color rgb="FF000000"/>
            <rFont val="Times New Roman"/>
            <family val="18"/>
          </rPr>
          <t>ML 10.149 IR 23 (1789) AL/TL – Feb (Feldlager bei Weisskirchen 25/08/1789), May (Cremsier 10/05/1790)</t>
        </r>
      </text>
    </comment>
    <comment ref="BH22" authorId="0" shapeId="0" xr:uid="{F2820078-581B-BD4F-85A7-84587FA43918}">
      <text>
        <r>
          <rPr>
            <sz val="14"/>
            <color rgb="FF000000"/>
            <rFont val="Calibri"/>
            <family val="34"/>
          </rPr>
          <t>MFWK (1789)</t>
        </r>
      </text>
    </comment>
    <comment ref="BF23" authorId="0" shapeId="0" xr:uid="{9D590D43-CEC6-B943-9DB6-7CE0510EF7D5}">
      <text>
        <r>
          <rPr>
            <sz val="14"/>
            <color rgb="FF000000"/>
            <rFont val="Times New Roman"/>
            <family val="18"/>
          </rPr>
          <t xml:space="preserve">26/02/1789 </t>
        </r>
        <r>
          <rPr>
            <i/>
            <sz val="14"/>
            <color rgb="FF000000"/>
            <rFont val="Times New Roman"/>
            <family val="18"/>
          </rPr>
          <t xml:space="preserve">Von der MFWK Pro Cento Division Nro. 19 zum IR 23 Feld Bataillon transferiert und zum Proviant Fuhrwesen beim Rottenbergischen/ Bürgerischen Grenadier Bataillon zugeteilt </t>
        </r>
        <r>
          <rPr>
            <sz val="14"/>
            <color rgb="FF000000"/>
            <rFont val="Times New Roman"/>
            <family val="18"/>
          </rPr>
          <t xml:space="preserve">[ST Feb 1789]
</t>
        </r>
        <r>
          <rPr>
            <sz val="14"/>
            <color rgb="FF000000"/>
            <rFont val="Times New Roman"/>
            <family val="18"/>
          </rPr>
          <t>19/12/1789 Revision: IR 23 Grenadier Division Fuhrwesen Nr. 3 [</t>
        </r>
        <r>
          <rPr>
            <i/>
            <sz val="14"/>
            <color rgb="FF000000"/>
            <rFont val="Times New Roman"/>
            <family val="18"/>
          </rPr>
          <t>Bei Sturoni Grenadier Bataillon</t>
        </r>
        <r>
          <rPr>
            <sz val="14"/>
            <color rgb="FF000000"/>
            <rFont val="Times New Roman"/>
            <family val="18"/>
          </rPr>
          <t xml:space="preserve">]
</t>
        </r>
        <r>
          <rPr>
            <sz val="14"/>
            <color rgb="FF000000"/>
            <rFont val="Times New Roman"/>
            <family val="18"/>
          </rPr>
          <t xml:space="preserve">17/02/1790 </t>
        </r>
        <r>
          <rPr>
            <i/>
            <sz val="14"/>
            <color rgb="FF000000"/>
            <rFont val="Times New Roman"/>
            <family val="18"/>
          </rPr>
          <t>Bei Der 43. Fuhrwesens Division in Loco Wien zugeheilt</t>
        </r>
        <r>
          <rPr>
            <sz val="14"/>
            <color rgb="FF000000"/>
            <rFont val="Times New Roman"/>
            <family val="18"/>
          </rPr>
          <t xml:space="preserve"> [ST Feb 1790] 
</t>
        </r>
        <r>
          <rPr>
            <sz val="14"/>
            <color rgb="FF000000"/>
            <rFont val="Times New Roman"/>
            <family val="18"/>
          </rPr>
          <t xml:space="preserve">01/03/1790 </t>
        </r>
        <r>
          <rPr>
            <i/>
            <sz val="14"/>
            <color rgb="FF000000"/>
            <rFont val="Times New Roman"/>
            <family val="18"/>
          </rPr>
          <t>Bei der Bürgerichen Grenadier Bataillon proviant Fuhrwesen wieder zugeheilt</t>
        </r>
        <r>
          <rPr>
            <sz val="14"/>
            <color rgb="FF000000"/>
            <rFont val="Times New Roman"/>
            <family val="18"/>
          </rPr>
          <t xml:space="preserve"> [ST March 1790]
</t>
        </r>
        <r>
          <rPr>
            <sz val="14"/>
            <color rgb="FF000000"/>
            <rFont val="Times New Roman"/>
            <family val="18"/>
          </rPr>
          <t xml:space="preserve">14/09/1790 </t>
        </r>
        <r>
          <rPr>
            <i/>
            <sz val="14"/>
            <color rgb="FF000000"/>
            <rFont val="Times New Roman"/>
            <family val="18"/>
          </rPr>
          <t>Von IR 23 Feld Bat als beim Bürgerichen Grenadier Bataillon Proviant Fuhrwesen zugeteilte zurück an der MFWK abgegeben</t>
        </r>
        <r>
          <rPr>
            <sz val="14"/>
            <color rgb="FF000000"/>
            <rFont val="Times New Roman"/>
            <family val="18"/>
          </rPr>
          <t xml:space="preserve"> [ST Sept 1790]
</t>
        </r>
      </text>
    </comment>
    <comment ref="BG23" authorId="0" shapeId="0" xr:uid="{2E7C1475-16C9-F744-8E95-E791B374CC9E}">
      <text>
        <r>
          <rPr>
            <sz val="14"/>
            <color rgb="FF000000"/>
            <rFont val="Times New Roman"/>
            <family val="18"/>
          </rPr>
          <t xml:space="preserve">ML 10.118 IR 29 (1788-90) – RL Grenadier Div Fuhrwesen Nr. 3 (Budachs 19/12/1790)
</t>
        </r>
        <r>
          <rPr>
            <sz val="14"/>
            <color rgb="FF000000"/>
            <rFont val="Times New Roman"/>
            <family val="18"/>
          </rPr>
          <t xml:space="preserve">ML 10.149 IR 23 (1789) AL/TL – Feb (Feldlager bei Weisskirchen 25/08/1789) , Dec (Freiberg 23/06/1790)
</t>
        </r>
        <r>
          <rPr>
            <sz val="14"/>
            <color rgb="FF000000"/>
            <rFont val="Times New Roman"/>
            <family val="18"/>
          </rPr>
          <t>ML 10.151 IR 23 (1790) – Feb (Neutitschen 16/07/1790), March (Neutischen 17/07/1790), Sept (Vienna 14/08/1792)</t>
        </r>
      </text>
    </comment>
    <comment ref="BH23" authorId="0" shapeId="0" xr:uid="{404D3A4D-FA80-9D4C-BDEE-64F27D453785}">
      <text>
        <r>
          <rPr>
            <sz val="14"/>
            <color rgb="FF000000"/>
            <rFont val="Calibri"/>
            <family val="34"/>
          </rPr>
          <t>MFWK (1789-1790)</t>
        </r>
      </text>
    </comment>
    <comment ref="BF24" authorId="0" shapeId="0" xr:uid="{010B3928-F7F5-2446-BC0E-3CD8883AC3F8}">
      <text>
        <r>
          <rPr>
            <sz val="14"/>
            <color rgb="FF000000"/>
            <rFont val="Times New Roman"/>
            <family val="18"/>
          </rPr>
          <t xml:space="preserve">01/03/1789 </t>
        </r>
        <r>
          <rPr>
            <i/>
            <sz val="14"/>
            <color rgb="FF000000"/>
            <rFont val="Times New Roman"/>
            <family val="18"/>
          </rPr>
          <t xml:space="preserve">Von dem k.k. MFWK Pro Cento Division Nro. 19. zum IR 44 Feld Bats Proviant Fuhrwesen transferiert und beim Grenadier Division eingeteilt </t>
        </r>
        <r>
          <rPr>
            <sz val="14"/>
            <color rgb="FF000000"/>
            <rFont val="Times New Roman"/>
            <family val="18"/>
          </rPr>
          <t>[ST July 1789]</t>
        </r>
        <r>
          <rPr>
            <sz val="14"/>
            <color rgb="FF000000"/>
            <rFont val="Aptos"/>
            <family val="34"/>
          </rPr>
          <t xml:space="preserve">
</t>
        </r>
        <r>
          <rPr>
            <sz val="14"/>
            <color rgb="FF000000"/>
            <rFont val="Times New Roman"/>
            <family val="18"/>
          </rPr>
          <t xml:space="preserve">20/07/1789 </t>
        </r>
        <r>
          <rPr>
            <i/>
            <sz val="14"/>
            <color rgb="FF000000"/>
            <rFont val="Times New Roman"/>
            <family val="18"/>
          </rPr>
          <t xml:space="preserve">Von IR Belgiojoso </t>
        </r>
        <r>
          <rPr>
            <b/>
            <sz val="14"/>
            <color rgb="FF000000"/>
            <rFont val="Times New Roman"/>
            <family val="18"/>
          </rPr>
          <t>[IR 44]</t>
        </r>
        <r>
          <rPr>
            <i/>
            <sz val="14"/>
            <color rgb="FF000000"/>
            <rFont val="Times New Roman"/>
            <family val="18"/>
          </rPr>
          <t xml:space="preserve"> 2 Feld Bataillons Proviant Fuhrwesen zum MFWK Pro Cento Division Nr. 19 </t>
        </r>
        <r>
          <rPr>
            <sz val="14"/>
            <color rgb="FF000000"/>
            <rFont val="Times New Roman"/>
            <family val="18"/>
          </rPr>
          <t xml:space="preserve">[ST Sept 1789]
</t>
        </r>
      </text>
    </comment>
    <comment ref="BG24" authorId="0" shapeId="0" xr:uid="{C826EC08-C946-DA4F-82FB-BEE7EE669A25}">
      <text>
        <r>
          <rPr>
            <sz val="14"/>
            <color rgb="FF000000"/>
            <rFont val="Times New Roman"/>
            <family val="18"/>
          </rPr>
          <t>ML 3931 IR 44 (1789) – ST July (Tellmats 10/10/1789), Sept (04/11/1789)</t>
        </r>
        <r>
          <rPr>
            <sz val="14"/>
            <color rgb="FF000000"/>
            <rFont val="Aptos"/>
            <family val="34"/>
          </rPr>
          <t xml:space="preserve">
</t>
        </r>
      </text>
    </comment>
    <comment ref="BH24" authorId="0" shapeId="0" xr:uid="{A257B856-6FED-0F48-93FD-57D83A92A17A}">
      <text>
        <r>
          <rPr>
            <sz val="14"/>
            <color rgb="FF000000"/>
            <rFont val="Calibri"/>
            <family val="34"/>
          </rPr>
          <t>MFWK (1789)</t>
        </r>
      </text>
    </comment>
    <comment ref="BF25" authorId="0" shapeId="0" xr:uid="{26F05CF6-1AA1-9F42-BD5D-B080A152D658}">
      <text>
        <r>
          <rPr>
            <sz val="14"/>
            <color rgb="FF000000"/>
            <rFont val="Times New Roman"/>
            <family val="18"/>
          </rPr>
          <t xml:space="preserve">01/03/1789 </t>
        </r>
        <r>
          <rPr>
            <i/>
            <sz val="14"/>
            <color rgb="FF000000"/>
            <rFont val="Times New Roman"/>
            <family val="18"/>
          </rPr>
          <t xml:space="preserve">Von dem k.k. MFWK Pro Cento Division Nro. 19. zum IR 44 Feld Bats Proviant Fuhrwesen transferiert und beim Grenadier Division eingeteilt </t>
        </r>
        <r>
          <rPr>
            <sz val="14"/>
            <color rgb="FF000000"/>
            <rFont val="Times New Roman"/>
            <family val="18"/>
          </rPr>
          <t>[ST July 1789]</t>
        </r>
        <r>
          <rPr>
            <sz val="14"/>
            <color rgb="FF000000"/>
            <rFont val="Calibri"/>
            <family val="34"/>
          </rPr>
          <t xml:space="preserve">
</t>
        </r>
        <r>
          <rPr>
            <sz val="14"/>
            <color rgb="FF000000"/>
            <rFont val="Times New Roman"/>
            <family val="18"/>
          </rPr>
          <t>09/02/1790 Revision: IR 44 Proviant Fuhrwesen Nr. 20 [</t>
        </r>
        <r>
          <rPr>
            <i/>
            <sz val="14"/>
            <color rgb="FF000000"/>
            <rFont val="Times New Roman"/>
            <family val="18"/>
          </rPr>
          <t>Bei Grenadier Division als Stangen Kutscher des 14. Zuges</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25/08/1790 </t>
        </r>
        <r>
          <rPr>
            <i/>
            <sz val="14"/>
            <color rgb="FF000000"/>
            <rFont val="Times New Roman"/>
            <family val="18"/>
          </rPr>
          <t xml:space="preserve">Von IR 44 Feld Bats als zum Minkiwitszchen Grenadier Bataillon kommandierte zum MFWK transferiert </t>
        </r>
        <r>
          <rPr>
            <sz val="14"/>
            <color rgb="FF000000"/>
            <rFont val="Times New Roman"/>
            <family val="18"/>
          </rPr>
          <t>[TL Aug 1790]</t>
        </r>
        <r>
          <rPr>
            <sz val="14"/>
            <color rgb="FF000000"/>
            <rFont val="Calibri"/>
            <family val="34"/>
          </rPr>
          <t xml:space="preserve">
</t>
        </r>
      </text>
    </comment>
    <comment ref="BG25" authorId="0" shapeId="0" xr:uid="{F3A82426-4806-3F4C-B70B-F67F430A6B1F}">
      <text>
        <r>
          <rPr>
            <sz val="14"/>
            <color rgb="FF000000"/>
            <rFont val="Times New Roman"/>
            <family val="18"/>
          </rPr>
          <t>ML 3900 IR 44 (1790) – Proviant Fuhrwesen Zug</t>
        </r>
        <r>
          <rPr>
            <sz val="14"/>
            <color rgb="FF000000"/>
            <rFont val="Times New Roman"/>
            <family val="18"/>
          </rPr>
          <t xml:space="preserve"> 14 Nr. 1 </t>
        </r>
        <r>
          <rPr>
            <sz val="14"/>
            <color rgb="FF000000"/>
            <rFont val="Times New Roman"/>
            <family val="18"/>
          </rPr>
          <t>(Caracal 09/02/1790)</t>
        </r>
        <r>
          <rPr>
            <sz val="14"/>
            <color rgb="FF000000"/>
            <rFont val="Calibri"/>
            <family val="34"/>
          </rPr>
          <t xml:space="preserve">
</t>
        </r>
        <r>
          <rPr>
            <sz val="14"/>
            <color rgb="FF000000"/>
            <rFont val="Times New Roman"/>
            <family val="18"/>
          </rPr>
          <t>ML 3931 IR 44 (1789) – ST July (Tellmats 10/10/1789), Oct (Karakol 13/02/1790)</t>
        </r>
        <r>
          <rPr>
            <sz val="14"/>
            <color rgb="FF000000"/>
            <rFont val="Calibri"/>
            <family val="34"/>
          </rPr>
          <t xml:space="preserve">
</t>
        </r>
        <r>
          <rPr>
            <sz val="14"/>
            <color rgb="FF000000"/>
            <rFont val="Times New Roman"/>
            <family val="18"/>
          </rPr>
          <t>ML 3932 IR 44 (1790) – AL IR 44-&gt;MFWK Nr. 3 (Jessenitz 23/08/1790); ST Aug (Tamesvar 08/12/1790)</t>
        </r>
      </text>
    </comment>
    <comment ref="BH25" authorId="0" shapeId="0" xr:uid="{392E7144-913B-574D-9DC4-C0DAE6B24ACF}">
      <text>
        <r>
          <rPr>
            <sz val="14"/>
            <color rgb="FF000000"/>
            <rFont val="Calibri"/>
            <family val="34"/>
          </rPr>
          <t>MFWK (1789-1790)</t>
        </r>
      </text>
    </comment>
    <comment ref="BF26" authorId="0" shapeId="0" xr:uid="{AB4ECAD2-0689-3E4B-91A0-1AF2061E9EFC}">
      <text>
        <r>
          <rPr>
            <sz val="14"/>
            <color rgb="FF000000"/>
            <rFont val="Times New Roman"/>
            <family val="18"/>
          </rPr>
          <t xml:space="preserve">In Marz 1789 </t>
        </r>
        <r>
          <rPr>
            <i/>
            <sz val="14"/>
            <color rgb="FF000000"/>
            <rFont val="Times New Roman"/>
            <family val="18"/>
          </rPr>
          <t>Gegen 3Fl Handgeld Assentiert</t>
        </r>
        <r>
          <rPr>
            <sz val="14"/>
            <color rgb="FF000000"/>
            <rFont val="Times New Roman"/>
            <family val="18"/>
          </rPr>
          <t xml:space="preserve"> [TL March 1790]</t>
        </r>
        <r>
          <rPr>
            <sz val="14"/>
            <color rgb="FF000000"/>
            <rFont val="Calibri"/>
            <family val="34"/>
          </rPr>
          <t xml:space="preserve">
</t>
        </r>
        <r>
          <rPr>
            <sz val="14"/>
            <color rgb="FF000000"/>
            <rFont val="Times New Roman"/>
            <family val="18"/>
          </rPr>
          <t xml:space="preserve">01/04/1790 </t>
        </r>
        <r>
          <rPr>
            <i/>
            <sz val="14"/>
            <color rgb="FF000000"/>
            <rFont val="Times New Roman"/>
            <family val="18"/>
          </rPr>
          <t>Von MFWK Pro Cento Division Nr. 18 zum IR 27 3. Bataillon transferiert und zum Artillerie Bespannung eingeheilt</t>
        </r>
        <r>
          <rPr>
            <sz val="14"/>
            <color rgb="FF000000"/>
            <rFont val="Times New Roman"/>
            <family val="18"/>
          </rPr>
          <t xml:space="preserve"> [TL March 1790 &amp; ST April 1790]</t>
        </r>
        <r>
          <rPr>
            <sz val="14"/>
            <color rgb="FF000000"/>
            <rFont val="Calibri"/>
            <family val="34"/>
          </rPr>
          <t xml:space="preserve">
</t>
        </r>
        <r>
          <rPr>
            <sz val="14"/>
            <color rgb="FF000000"/>
            <rFont val="Times New Roman"/>
            <family val="18"/>
          </rPr>
          <t xml:space="preserve">31/10/1790 [Mindestens bis] </t>
        </r>
        <r>
          <rPr>
            <i/>
            <sz val="14"/>
            <color rgb="FF000000"/>
            <rFont val="Times New Roman"/>
            <family val="18"/>
          </rPr>
          <t>Dient bei IR 27 3. Bat Artillerie Bespannung</t>
        </r>
        <r>
          <rPr>
            <sz val="14"/>
            <color rgb="FF000000"/>
            <rFont val="Times New Roman"/>
            <family val="18"/>
          </rPr>
          <t xml:space="preserve"> [ST Oct 1790]</t>
        </r>
        <r>
          <rPr>
            <sz val="14"/>
            <color rgb="FF000000"/>
            <rFont val="Calibri"/>
            <family val="34"/>
          </rPr>
          <t xml:space="preserve">
</t>
        </r>
      </text>
    </comment>
    <comment ref="BG26" authorId="0" shapeId="0" xr:uid="{CCAD2EBC-C643-F748-83B9-A8102DBCD2B6}">
      <text>
        <r>
          <rPr>
            <sz val="14"/>
            <color rgb="FF000000"/>
            <rFont val="Times New Roman"/>
            <family val="18"/>
          </rPr>
          <t>ML 2292 IR 1 (1790) – TL MFWK-&gt;IR 27 Nr. 3 (Calrstadt 20/03/1790); ST April (17/06/1790), Oct (29/11/1790)</t>
        </r>
      </text>
    </comment>
    <comment ref="BH26" authorId="0" shapeId="0" xr:uid="{E0CC7ACB-8D1C-0747-AC75-7C6B708690AE}">
      <text>
        <r>
          <rPr>
            <sz val="14"/>
            <color rgb="FF000000"/>
            <rFont val="Calibri"/>
            <family val="34"/>
          </rPr>
          <t>MFWK (1789-1790)</t>
        </r>
      </text>
    </comment>
    <comment ref="BF27" authorId="0" shapeId="0" xr:uid="{F3B4B72C-6434-AE40-84EC-A1B570584583}">
      <text>
        <r>
          <rPr>
            <sz val="14"/>
            <color rgb="FF000000"/>
            <rFont val="Times New Roman"/>
            <family val="18"/>
          </rPr>
          <t xml:space="preserve">01/03/1789 </t>
        </r>
        <r>
          <rPr>
            <i/>
            <sz val="14"/>
            <color rgb="FF000000"/>
            <rFont val="Times New Roman"/>
            <family val="18"/>
          </rPr>
          <t>3Fl Handgeld assentiert</t>
        </r>
        <r>
          <rPr>
            <sz val="14"/>
            <color rgb="FF000000"/>
            <rFont val="Times New Roman"/>
            <family val="18"/>
          </rPr>
          <t xml:space="preserve"> [TL Dec 1789]</t>
        </r>
        <r>
          <rPr>
            <sz val="14"/>
            <color rgb="FF000000"/>
            <rFont val="Calibri"/>
            <family val="34"/>
          </rPr>
          <t xml:space="preserve">
</t>
        </r>
        <r>
          <rPr>
            <sz val="14"/>
            <color rgb="FF000000"/>
            <rFont val="Times New Roman"/>
            <family val="18"/>
          </rPr>
          <t xml:space="preserve">31/10/1789 [Seit Mindestens] </t>
        </r>
        <r>
          <rPr>
            <i/>
            <sz val="14"/>
            <color rgb="FF000000"/>
            <rFont val="Times New Roman"/>
            <family val="18"/>
          </rPr>
          <t xml:space="preserve">Dient bei IR 24 3RD Bat. Artillerie Bespannung </t>
        </r>
        <r>
          <rPr>
            <sz val="14"/>
            <color rgb="FF000000"/>
            <rFont val="Times New Roman"/>
            <family val="18"/>
          </rPr>
          <t>[ST Nov]</t>
        </r>
        <r>
          <rPr>
            <sz val="14"/>
            <color rgb="FF000000"/>
            <rFont val="Calibri"/>
            <family val="34"/>
          </rPr>
          <t xml:space="preserve">
</t>
        </r>
        <r>
          <rPr>
            <sz val="14"/>
            <color rgb="FF000000"/>
            <rFont val="Times New Roman"/>
            <family val="18"/>
          </rPr>
          <t xml:space="preserve">21/12/1789 </t>
        </r>
        <r>
          <rPr>
            <i/>
            <sz val="14"/>
            <color rgb="FF000000"/>
            <rFont val="Times New Roman"/>
            <family val="18"/>
          </rPr>
          <t>Von IR 24 3. Bat Artillerie Bespannung zur MFWK Pro Cento div. Nr. 18 transferiert</t>
        </r>
        <r>
          <rPr>
            <sz val="14"/>
            <color rgb="FF000000"/>
            <rFont val="Times New Roman"/>
            <family val="18"/>
          </rPr>
          <t xml:space="preserve"> [TL Dec 1789 &amp; ST Dec 1789]</t>
        </r>
        <r>
          <rPr>
            <sz val="14"/>
            <color rgb="FF000000"/>
            <rFont val="Calibri"/>
            <family val="34"/>
          </rPr>
          <t xml:space="preserve">
</t>
        </r>
      </text>
    </comment>
    <comment ref="BG27" authorId="0" shapeId="0" xr:uid="{E8135E30-C2AC-8949-9315-27D26004A1A1}">
      <text>
        <r>
          <rPr>
            <sz val="14"/>
            <color rgb="FF000000"/>
            <rFont val="Times New Roman"/>
            <family val="18"/>
          </rPr>
          <t>ML 1766 IR 24 (1787-9) – TL IR 24-&gt; MFWK Nr. 6 (Carlstadt 26/12/1789); ST Nov (22/09/1790), Dec (15/10/1790)</t>
        </r>
      </text>
    </comment>
    <comment ref="BH27" authorId="0" shapeId="0" xr:uid="{82721CFB-9A48-EC42-9920-BDD55F125CE5}">
      <text>
        <r>
          <rPr>
            <sz val="14"/>
            <color rgb="FF000000"/>
            <rFont val="Calibri"/>
            <family val="34"/>
          </rPr>
          <t>MFWK (1789)</t>
        </r>
      </text>
    </comment>
    <comment ref="BF28" authorId="0" shapeId="0" xr:uid="{2CD3E300-9675-0740-B260-0BE36D5F2AEC}">
      <text>
        <r>
          <rPr>
            <sz val="14"/>
            <color rgb="FF000000"/>
            <rFont val="Times New Roman"/>
            <family val="18"/>
          </rPr>
          <t xml:space="preserve">01/03/1789 </t>
        </r>
        <r>
          <rPr>
            <i/>
            <sz val="14"/>
            <color rgb="FF000000"/>
            <rFont val="Times New Roman"/>
            <family val="18"/>
          </rPr>
          <t>Gegen 3Fl Handgeld neu assentiert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16/10/1789 </t>
        </r>
        <r>
          <rPr>
            <i/>
            <sz val="14"/>
            <color rgb="FF000000"/>
            <rFont val="Times New Roman"/>
            <family val="18"/>
          </rPr>
          <t>Von MFWK 17. Pro Cento Division zum IR 32 3</t>
        </r>
        <r>
          <rPr>
            <i/>
            <vertAlign val="superscript"/>
            <sz val="14"/>
            <color rgb="FF000000"/>
            <rFont val="Times New Roman"/>
            <family val="18"/>
          </rPr>
          <t>rd</t>
        </r>
        <r>
          <rPr>
            <i/>
            <sz val="14"/>
            <color rgb="FF000000"/>
            <rFont val="Times New Roman"/>
            <family val="18"/>
          </rPr>
          <t xml:space="preserve"> Bataillon Fuhrwesen transferiert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31/10/1789 [Dienst bis mindestens] </t>
        </r>
        <r>
          <rPr>
            <i/>
            <sz val="14"/>
            <color rgb="FF000000"/>
            <rFont val="Times New Roman"/>
            <family val="18"/>
          </rPr>
          <t xml:space="preserve">beim IR 32 3. Bataillon Proviant Fuhrwesen </t>
        </r>
        <r>
          <rPr>
            <sz val="14"/>
            <color rgb="FF000000"/>
            <rFont val="Times New Roman"/>
            <family val="18"/>
          </rPr>
          <t>[ST Oct 1789]</t>
        </r>
        <r>
          <rPr>
            <sz val="14"/>
            <color rgb="FF000000"/>
            <rFont val="Calibri"/>
            <family val="34"/>
          </rPr>
          <t xml:space="preserve">
</t>
        </r>
      </text>
    </comment>
    <comment ref="BG28" authorId="0" shapeId="0" xr:uid="{FAA4A636-8468-D04B-B551-0DCCA6236C6A}">
      <text>
        <r>
          <rPr>
            <sz val="14"/>
            <color rgb="FF000000"/>
            <rFont val="Times New Roman"/>
            <family val="18"/>
          </rPr>
          <t>ML 2870 IR 32 (1789) – TL MLWK -&gt; IR 32 Nr. 3 (Batanicza 15/10/1789); ST Oct (Königgrätz 29/12/1791)</t>
        </r>
      </text>
    </comment>
    <comment ref="BH28" authorId="0" shapeId="0" xr:uid="{7574E6AF-9465-2548-827D-6B0D1CACC31A}">
      <text>
        <r>
          <rPr>
            <sz val="14"/>
            <color rgb="FF000000"/>
            <rFont val="Calibri"/>
            <family val="34"/>
          </rPr>
          <t>MFWK (1789)</t>
        </r>
      </text>
    </comment>
    <comment ref="BF29" authorId="0" shapeId="0" xr:uid="{7137D7D0-2784-C846-9C65-8CE21FEBC6BB}">
      <text>
        <r>
          <rPr>
            <sz val="14"/>
            <color rgb="FF000000"/>
            <rFont val="Times New Roman"/>
            <family val="18"/>
          </rPr>
          <t xml:space="preserve">01/03/1789 </t>
        </r>
        <r>
          <rPr>
            <i/>
            <sz val="14"/>
            <color rgb="FF000000"/>
            <rFont val="Times New Roman"/>
            <family val="18"/>
          </rPr>
          <t>Gegen 3Fl Handgeld neu assentiert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16/10/1789 </t>
        </r>
        <r>
          <rPr>
            <i/>
            <sz val="14"/>
            <color rgb="FF000000"/>
            <rFont val="Times New Roman"/>
            <family val="18"/>
          </rPr>
          <t>Von MFWK 17. Pro Cento Division zum IR 32 3</t>
        </r>
        <r>
          <rPr>
            <i/>
            <vertAlign val="superscript"/>
            <sz val="14"/>
            <color rgb="FF000000"/>
            <rFont val="Times New Roman"/>
            <family val="18"/>
          </rPr>
          <t>rd</t>
        </r>
        <r>
          <rPr>
            <i/>
            <sz val="14"/>
            <color rgb="FF000000"/>
            <rFont val="Times New Roman"/>
            <family val="18"/>
          </rPr>
          <t xml:space="preserve"> Bataillon Fuhrwesen transferiert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31/10/1789 [Dienst bis mindestens] </t>
        </r>
        <r>
          <rPr>
            <i/>
            <sz val="14"/>
            <color rgb="FF000000"/>
            <rFont val="Times New Roman"/>
            <family val="18"/>
          </rPr>
          <t xml:space="preserve">beim IR 32 3. Bataillon Proviant Fuhrwesen </t>
        </r>
        <r>
          <rPr>
            <sz val="14"/>
            <color rgb="FF000000"/>
            <rFont val="Times New Roman"/>
            <family val="18"/>
          </rPr>
          <t>[ST Oct 1789]</t>
        </r>
        <r>
          <rPr>
            <sz val="14"/>
            <color rgb="FF000000"/>
            <rFont val="Calibri"/>
            <family val="34"/>
          </rPr>
          <t xml:space="preserve">
</t>
        </r>
      </text>
    </comment>
    <comment ref="BG29" authorId="0" shapeId="0" xr:uid="{848BFFAA-AD86-2644-897F-D9B80DC4CBF7}">
      <text>
        <r>
          <rPr>
            <sz val="14"/>
            <color rgb="FF000000"/>
            <rFont val="Times New Roman"/>
            <family val="18"/>
          </rPr>
          <t>ML 2870 IR 32 (1789) – TL MLWK -&gt; IR 32 Nr. 4 (Batanicza 15/10/1789); ST Oct (Königgrätz 29/12/1791)</t>
        </r>
      </text>
    </comment>
    <comment ref="BH29" authorId="0" shapeId="0" xr:uid="{1CFF8A77-B61F-0D47-85CF-501AD01ADCF0}">
      <text>
        <r>
          <rPr>
            <sz val="14"/>
            <color rgb="FF000000"/>
            <rFont val="Calibri"/>
            <family val="34"/>
          </rPr>
          <t>MFWK (1789)</t>
        </r>
      </text>
    </comment>
    <comment ref="BF30" authorId="0" shapeId="0" xr:uid="{FD6919BF-569D-6A46-AF86-A3B99D33D466}">
      <text>
        <r>
          <rPr>
            <sz val="14"/>
            <color rgb="FF000000"/>
            <rFont val="Times New Roman"/>
            <family val="18"/>
          </rPr>
          <t xml:space="preserve">21/03/1789 </t>
        </r>
        <r>
          <rPr>
            <i/>
            <sz val="14"/>
            <color rgb="FF000000"/>
            <rFont val="Times New Roman"/>
            <family val="18"/>
          </rPr>
          <t xml:space="preserve">Von MFWK Remontierungs-Kommando zu Laxenburg </t>
        </r>
        <r>
          <rPr>
            <sz val="14"/>
            <color rgb="FF000000"/>
            <rFont val="Times New Roman"/>
            <family val="18"/>
          </rPr>
          <t xml:space="preserve">[zum IR 11 FELD Bataillons] </t>
        </r>
        <r>
          <rPr>
            <i/>
            <sz val="14"/>
            <color rgb="FF000000"/>
            <rFont val="Times New Roman"/>
            <family val="18"/>
          </rPr>
          <t>übernommen</t>
        </r>
        <r>
          <rPr>
            <sz val="14"/>
            <color rgb="FF000000"/>
            <rFont val="Times New Roman"/>
            <family val="18"/>
          </rPr>
          <t xml:space="preserve"> [TL July 1789]</t>
        </r>
        <r>
          <rPr>
            <sz val="14"/>
            <color rgb="FF000000"/>
            <rFont val="Calibri"/>
            <family val="34"/>
          </rPr>
          <t xml:space="preserve">
</t>
        </r>
        <r>
          <rPr>
            <sz val="14"/>
            <color rgb="FF000000"/>
            <rFont val="Times New Roman"/>
            <family val="18"/>
          </rPr>
          <t xml:space="preserve">01/05/1789 [Seit mindestens] </t>
        </r>
        <r>
          <rPr>
            <i/>
            <sz val="14"/>
            <color rgb="FF000000"/>
            <rFont val="Times New Roman"/>
            <family val="18"/>
          </rPr>
          <t>Als Beiläufer beim Proviant Fuhrwesen in Ungarn auf Kommando</t>
        </r>
        <r>
          <rPr>
            <sz val="14"/>
            <color rgb="FF000000"/>
            <rFont val="Times New Roman"/>
            <family val="18"/>
          </rPr>
          <t xml:space="preserve"> [ST May 1789]</t>
        </r>
        <r>
          <rPr>
            <sz val="14"/>
            <color rgb="FF000000"/>
            <rFont val="Calibri"/>
            <family val="34"/>
          </rPr>
          <t xml:space="preserve">
</t>
        </r>
        <r>
          <rPr>
            <sz val="14"/>
            <color rgb="FF000000"/>
            <rFont val="Times New Roman"/>
            <family val="18"/>
          </rPr>
          <t xml:space="preserve">10/07/1789 </t>
        </r>
        <r>
          <rPr>
            <i/>
            <sz val="14"/>
            <color rgb="FF000000"/>
            <rFont val="Times New Roman"/>
            <family val="18"/>
          </rPr>
          <t>Bei Neusatz beim Regiment eingetroffen</t>
        </r>
        <r>
          <rPr>
            <sz val="14"/>
            <color rgb="FF000000"/>
            <rFont val="Times New Roman"/>
            <family val="18"/>
          </rPr>
          <t xml:space="preserve"> [ST July 1789]</t>
        </r>
        <r>
          <rPr>
            <sz val="14"/>
            <color rgb="FF000000"/>
            <rFont val="Calibri"/>
            <family val="34"/>
          </rPr>
          <t xml:space="preserve">
</t>
        </r>
        <r>
          <rPr>
            <sz val="14"/>
            <color rgb="FF000000"/>
            <rFont val="Times New Roman"/>
            <family val="18"/>
          </rPr>
          <t xml:space="preserve">29/08/1789 </t>
        </r>
        <r>
          <rPr>
            <i/>
            <sz val="14"/>
            <color rgb="FF000000"/>
            <rFont val="Times New Roman"/>
            <family val="18"/>
          </rPr>
          <t>Vermog anliegender transferierungsliste von IR 11 FELD Bats Proviant Fuhrwesen zum MFWK 19. Pro Cento Division 3. Abteilung transferiert und zum Bellgeischen Spital übergeben</t>
        </r>
        <r>
          <rPr>
            <sz val="14"/>
            <color rgb="FF000000"/>
            <rFont val="Times New Roman"/>
            <family val="18"/>
          </rPr>
          <t xml:space="preserve"> [TL July 1789 &amp; ST July 1789]</t>
        </r>
        <r>
          <rPr>
            <sz val="14"/>
            <color rgb="FF000000"/>
            <rFont val="Calibri"/>
            <family val="34"/>
          </rPr>
          <t xml:space="preserve">
</t>
        </r>
      </text>
    </comment>
    <comment ref="BG30" authorId="0" shapeId="0" xr:uid="{491F3F20-0A56-974A-8AF7-C1131BEC5DBF}">
      <text>
        <r>
          <rPr>
            <sz val="14"/>
            <color rgb="FF000000"/>
            <rFont val="Times New Roman"/>
            <family val="18"/>
          </rPr>
          <t>ML 831 IR 11 (1789) – TL IR 11-&gt;MFWK Nr. 1 (Feldlager beim Bellegisch 28/07/1789); ST May (25/09/1789); ST July (Prague 03/05/1790)</t>
        </r>
      </text>
    </comment>
    <comment ref="BH30" authorId="0" shapeId="0" xr:uid="{FFED8558-1937-8B4F-84BF-86FF190D4000}">
      <text>
        <r>
          <rPr>
            <sz val="14"/>
            <color rgb="FF000000"/>
            <rFont val="Calibri"/>
            <family val="34"/>
          </rPr>
          <t>MFWK (1789)</t>
        </r>
      </text>
    </comment>
    <comment ref="BF31" authorId="0" shapeId="0" xr:uid="{CB23EB9E-7C1B-5140-AF08-0405D0863733}">
      <text>
        <r>
          <rPr>
            <sz val="14"/>
            <color rgb="FF000000"/>
            <rFont val="Times New Roman"/>
            <family val="18"/>
          </rPr>
          <t xml:space="preserve">30/03/1789 </t>
        </r>
        <r>
          <rPr>
            <i/>
            <sz val="14"/>
            <color rgb="FF000000"/>
            <rFont val="Times New Roman"/>
            <family val="18"/>
          </rPr>
          <t>Als Krank in das Wiener loco Spital angegeben Worden</t>
        </r>
        <r>
          <rPr>
            <sz val="14"/>
            <color rgb="FF000000"/>
            <rFont val="Times New Roman"/>
            <family val="18"/>
          </rPr>
          <t xml:space="preserve"> [TL Aug 1789 &amp; ST May 1789]</t>
        </r>
        <r>
          <rPr>
            <sz val="14"/>
            <color rgb="FF000000"/>
            <rFont val="Calibri"/>
            <family val="34"/>
          </rPr>
          <t xml:space="preserve">
</t>
        </r>
        <r>
          <rPr>
            <sz val="14"/>
            <color rgb="FF000000"/>
            <rFont val="Times New Roman"/>
            <family val="18"/>
          </rPr>
          <t xml:space="preserve">10/05/1789 </t>
        </r>
        <r>
          <rPr>
            <i/>
            <sz val="14"/>
            <color rgb="FF000000"/>
            <rFont val="Times New Roman"/>
            <family val="18"/>
          </rPr>
          <t>Von IR 11 Feld Bataillons Provinat Fuhrwesen zum MFWK transferiert</t>
        </r>
        <r>
          <rPr>
            <sz val="14"/>
            <color rgb="FF000000"/>
            <rFont val="Times New Roman"/>
            <family val="18"/>
          </rPr>
          <t xml:space="preserve"> [TL 1789]</t>
        </r>
        <r>
          <rPr>
            <sz val="14"/>
            <color rgb="FF000000"/>
            <rFont val="Calibri"/>
            <family val="34"/>
          </rPr>
          <t xml:space="preserve">
</t>
        </r>
        <r>
          <rPr>
            <sz val="14"/>
            <color rgb="FF000000"/>
            <rFont val="Times New Roman"/>
            <family val="18"/>
          </rPr>
          <t xml:space="preserve">  </t>
        </r>
        <r>
          <rPr>
            <sz val="14"/>
            <color rgb="FF000000"/>
            <rFont val="Calibri"/>
            <family val="34"/>
          </rPr>
          <t xml:space="preserve">
</t>
        </r>
      </text>
    </comment>
    <comment ref="BG31" authorId="0" shapeId="0" xr:uid="{987DFB13-C107-C040-A292-31D17797F189}">
      <text>
        <r>
          <rPr>
            <sz val="14"/>
            <color rgb="FF000000"/>
            <rFont val="Times New Roman"/>
            <family val="18"/>
          </rPr>
          <t>ML 831 IR 11 (1789) – TL IR 11-&gt;MFWK Nr. 2 (Feldlager beim Lagerndorf 25/08/1789); ST May (25/09/1789)</t>
        </r>
      </text>
    </comment>
    <comment ref="BH31" authorId="0" shapeId="0" xr:uid="{BF971F30-6965-DC41-889B-9686450BF4C7}">
      <text>
        <r>
          <rPr>
            <sz val="14"/>
            <color rgb="FF000000"/>
            <rFont val="Calibri"/>
            <family val="34"/>
          </rPr>
          <t>MFWK (1789)</t>
        </r>
      </text>
    </comment>
    <comment ref="BF32" authorId="0" shapeId="0" xr:uid="{4C0AE074-BCF6-1A4C-A100-81A9FBF80A24}">
      <text>
        <r>
          <rPr>
            <sz val="14"/>
            <color rgb="FF000000"/>
            <rFont val="Times New Roman"/>
            <family val="18"/>
          </rPr>
          <t xml:space="preserve">30/03/1789 </t>
        </r>
        <r>
          <rPr>
            <i/>
            <sz val="14"/>
            <color rgb="FF000000"/>
            <rFont val="Times New Roman"/>
            <family val="18"/>
          </rPr>
          <t>Als Krank in das Wiener loco Spital angegeben Worden</t>
        </r>
        <r>
          <rPr>
            <sz val="14"/>
            <color rgb="FF000000"/>
            <rFont val="Times New Roman"/>
            <family val="18"/>
          </rPr>
          <t xml:space="preserve"> [TL Aug 1789 &amp; ST May 1789]</t>
        </r>
        <r>
          <rPr>
            <sz val="14"/>
            <color rgb="FF000000"/>
            <rFont val="Calibri"/>
            <family val="34"/>
          </rPr>
          <t xml:space="preserve">
</t>
        </r>
        <r>
          <rPr>
            <sz val="14"/>
            <color rgb="FF000000"/>
            <rFont val="Times New Roman"/>
            <family val="18"/>
          </rPr>
          <t xml:space="preserve">10/05/1789 </t>
        </r>
        <r>
          <rPr>
            <i/>
            <sz val="14"/>
            <color rgb="FF000000"/>
            <rFont val="Times New Roman"/>
            <family val="18"/>
          </rPr>
          <t>Von IR 11 Feld Bataillons Provinat Fuhrwesen zum MFWK transferiert</t>
        </r>
        <r>
          <rPr>
            <sz val="14"/>
            <color rgb="FF000000"/>
            <rFont val="Times New Roman"/>
            <family val="18"/>
          </rPr>
          <t xml:space="preserve"> [TL 1789]</t>
        </r>
        <r>
          <rPr>
            <sz val="14"/>
            <color rgb="FF000000"/>
            <rFont val="Calibri"/>
            <family val="34"/>
          </rPr>
          <t xml:space="preserve">
</t>
        </r>
        <r>
          <rPr>
            <sz val="14"/>
            <color rgb="FF000000"/>
            <rFont val="Times New Roman"/>
            <family val="18"/>
          </rPr>
          <t xml:space="preserve">  </t>
        </r>
        <r>
          <rPr>
            <sz val="14"/>
            <color rgb="FF000000"/>
            <rFont val="Calibri"/>
            <family val="34"/>
          </rPr>
          <t xml:space="preserve">
</t>
        </r>
      </text>
    </comment>
    <comment ref="BG32" authorId="0" shapeId="0" xr:uid="{806FEF4D-2AB9-2447-97B4-05761518D01C}">
      <text>
        <r>
          <rPr>
            <sz val="14"/>
            <color rgb="FF000000"/>
            <rFont val="Times New Roman"/>
            <family val="18"/>
          </rPr>
          <t>ML 831 IR 11 (1789) – TL IR 11-&gt;MFWK Nr. 1 (Feldlager beim Lagerndorf 25/08/1789); ST May (25/09/1789)</t>
        </r>
      </text>
    </comment>
    <comment ref="BH32" authorId="0" shapeId="0" xr:uid="{727F2B43-012C-C24B-9738-BEBD59B2E39B}">
      <text>
        <r>
          <rPr>
            <sz val="14"/>
            <color rgb="FF000000"/>
            <rFont val="Calibri"/>
            <family val="34"/>
          </rPr>
          <t>MFWK (1789)</t>
        </r>
      </text>
    </comment>
    <comment ref="BF33" authorId="0" shapeId="0" xr:uid="{39DC3AEC-8E00-664E-BD2F-093961A3D25C}">
      <text>
        <r>
          <rPr>
            <sz val="14"/>
            <color rgb="FF000000"/>
            <rFont val="Times New Roman"/>
            <family val="18"/>
          </rPr>
          <t xml:space="preserve">09/07/1789 </t>
        </r>
        <r>
          <rPr>
            <i/>
            <sz val="14"/>
            <color rgb="FF000000"/>
            <rFont val="Times New Roman"/>
            <family val="18"/>
          </rPr>
          <t>Von MFWK Pro cento Division Nr. 19 zum IR 28 Feld Bats transferiert und zum Artillerie Bespannung eingeteilt</t>
        </r>
        <r>
          <rPr>
            <sz val="14"/>
            <color rgb="FF000000"/>
            <rFont val="Times New Roman"/>
            <family val="18"/>
          </rPr>
          <t xml:space="preserve"> [ST July 1789]</t>
        </r>
        <r>
          <rPr>
            <sz val="14"/>
            <color rgb="FF000000"/>
            <rFont val="Calibri"/>
            <family val="34"/>
          </rPr>
          <t xml:space="preserve">
</t>
        </r>
        <r>
          <rPr>
            <sz val="14"/>
            <color rgb="FF000000"/>
            <rFont val="Times New Roman"/>
            <family val="18"/>
          </rPr>
          <t xml:space="preserve">04/08/1789 </t>
        </r>
        <r>
          <rPr>
            <i/>
            <sz val="14"/>
            <color rgb="FF000000"/>
            <rFont val="Times New Roman"/>
            <family val="18"/>
          </rPr>
          <t>Von IR 28 Feld Bats Artillerie Bespannung zum Artillerie Fuhrwesen Reserve Pro Cento Division Nr. 19, 3. Abt. transferiert und befindet sich seitdem Krank in Krank in Feldspital zu Belgrad</t>
        </r>
        <r>
          <rPr>
            <sz val="14"/>
            <color rgb="FF000000"/>
            <rFont val="Times New Roman"/>
            <family val="18"/>
          </rPr>
          <t xml:space="preserve"> [TL Aug 1789 &amp; ST Aug 1789]</t>
        </r>
        <r>
          <rPr>
            <sz val="14"/>
            <color rgb="FF000000"/>
            <rFont val="Calibri"/>
            <family val="34"/>
          </rPr>
          <t xml:space="preserve">
</t>
        </r>
      </text>
    </comment>
    <comment ref="BG33" authorId="0" shapeId="0" xr:uid="{E4AC1B2A-DA30-BC4B-9B4B-6FF4B6734F94}">
      <text>
        <r>
          <rPr>
            <sz val="14"/>
            <color rgb="FF000000"/>
            <rFont val="Times New Roman"/>
            <family val="18"/>
          </rPr>
          <t xml:space="preserve">ML 2437 IR 28 (1789) </t>
        </r>
        <r>
          <rPr>
            <sz val="14"/>
            <color rgb="FF000000"/>
            <rFont val="Times New Roman"/>
            <family val="18"/>
          </rPr>
          <t>– ST July (Geyersberg 02/06/1790), Aug (03/06/1789)</t>
        </r>
        <r>
          <rPr>
            <sz val="14"/>
            <color rgb="FF000000"/>
            <rFont val="Calibri"/>
            <family val="34"/>
          </rPr>
          <t xml:space="preserve">
</t>
        </r>
        <r>
          <rPr>
            <sz val="14"/>
            <color rgb="FF000000"/>
            <rFont val="Times New Roman"/>
            <family val="18"/>
          </rPr>
          <t>ML 2438 IR 28 (1789) AL/TL – TL MFWK-&gt;IR 28 Nr. 2 (Feldlager bei Banschowa 23/08/1789)</t>
        </r>
      </text>
    </comment>
    <comment ref="BH33" authorId="0" shapeId="0" xr:uid="{C88EDC98-6F9B-B14A-A2BC-CC60A6BEBD29}">
      <text>
        <r>
          <rPr>
            <sz val="14"/>
            <color rgb="FF000000"/>
            <rFont val="Calibri"/>
            <family val="34"/>
          </rPr>
          <t>MFWK (1789)</t>
        </r>
      </text>
    </comment>
    <comment ref="BF34" authorId="0" shapeId="0" xr:uid="{61AD514F-2665-3647-95EF-0964D76A8CFA}">
      <text>
        <r>
          <rPr>
            <sz val="14"/>
            <color rgb="FF000000"/>
            <rFont val="Times New Roman"/>
            <family val="18"/>
          </rPr>
          <t>10/04/1789 [Dienst seit mindestens]</t>
        </r>
        <r>
          <rPr>
            <sz val="14"/>
            <color rgb="FF000000"/>
            <rFont val="Calibri"/>
            <family val="34"/>
          </rPr>
          <t xml:space="preserve">
</t>
        </r>
        <r>
          <rPr>
            <sz val="14"/>
            <color rgb="FF000000"/>
            <rFont val="Times New Roman"/>
            <family val="18"/>
          </rPr>
          <t xml:space="preserve">11/04/1789 </t>
        </r>
        <r>
          <rPr>
            <i/>
            <sz val="14"/>
            <color rgb="FF000000"/>
            <rFont val="Times New Roman"/>
            <family val="18"/>
          </rPr>
          <t>Von MFWK Artillerie Bespannung Div. Nr. 62 zum IR 49 transferiert</t>
        </r>
        <r>
          <rPr>
            <sz val="14"/>
            <color rgb="FF000000"/>
            <rFont val="Times New Roman"/>
            <family val="18"/>
          </rPr>
          <t xml:space="preserve"> [TL April 1789]</t>
        </r>
        <r>
          <rPr>
            <sz val="14"/>
            <color rgb="FF000000"/>
            <rFont val="Calibri"/>
            <family val="34"/>
          </rPr>
          <t xml:space="preserve">
</t>
        </r>
        <r>
          <rPr>
            <sz val="14"/>
            <color rgb="FF000000"/>
            <rFont val="Times New Roman"/>
            <family val="18"/>
          </rPr>
          <t xml:space="preserve">25/08/1790 </t>
        </r>
        <r>
          <rPr>
            <i/>
            <sz val="14"/>
            <color rgb="FF000000"/>
            <rFont val="Times New Roman"/>
            <family val="18"/>
          </rPr>
          <t>Von IR 49 Feld Bats Artillerie Bespannung zum MFWK transferiert</t>
        </r>
        <r>
          <rPr>
            <sz val="14"/>
            <color rgb="FF000000"/>
            <rFont val="Times New Roman"/>
            <family val="18"/>
          </rPr>
          <t xml:space="preserve"> [TL Aug 1790]</t>
        </r>
        <r>
          <rPr>
            <sz val="14"/>
            <color rgb="FF000000"/>
            <rFont val="Calibri"/>
            <family val="34"/>
          </rPr>
          <t xml:space="preserve">
</t>
        </r>
      </text>
    </comment>
    <comment ref="BG34" authorId="0" shapeId="0" xr:uid="{D7DF0DB7-BDAC-CE4B-818F-8A5D441EF633}">
      <text>
        <r>
          <rPr>
            <sz val="14"/>
            <color rgb="FF000000"/>
            <rFont val="Times New Roman"/>
            <family val="18"/>
          </rPr>
          <t>10/04/1789 [Dienst seit mindestens]</t>
        </r>
        <r>
          <rPr>
            <sz val="14"/>
            <color rgb="FF000000"/>
            <rFont val="Calibri"/>
            <family val="34"/>
          </rPr>
          <t xml:space="preserve">
</t>
        </r>
        <r>
          <rPr>
            <sz val="14"/>
            <color rgb="FF000000"/>
            <rFont val="Times New Roman"/>
            <family val="18"/>
          </rPr>
          <t xml:space="preserve">11/04/1789 </t>
        </r>
        <r>
          <rPr>
            <i/>
            <sz val="14"/>
            <color rgb="FF000000"/>
            <rFont val="Times New Roman"/>
            <family val="18"/>
          </rPr>
          <t>Von MFWK Artillerie Bespannung Div. Nr. 62 zum IR 49 transferiert</t>
        </r>
        <r>
          <rPr>
            <sz val="14"/>
            <color rgb="FF000000"/>
            <rFont val="Times New Roman"/>
            <family val="18"/>
          </rPr>
          <t xml:space="preserve"> [TL April 1789]</t>
        </r>
        <r>
          <rPr>
            <sz val="14"/>
            <color rgb="FF000000"/>
            <rFont val="Calibri"/>
            <family val="34"/>
          </rPr>
          <t xml:space="preserve">
</t>
        </r>
        <r>
          <rPr>
            <sz val="14"/>
            <color rgb="FF000000"/>
            <rFont val="Times New Roman"/>
            <family val="18"/>
          </rPr>
          <t xml:space="preserve">25/08/1790 </t>
        </r>
        <r>
          <rPr>
            <i/>
            <sz val="14"/>
            <color rgb="FF000000"/>
            <rFont val="Times New Roman"/>
            <family val="18"/>
          </rPr>
          <t>Von IR 49 Feld Bats Artillerie Bespannung zum MFWK transferiert</t>
        </r>
        <r>
          <rPr>
            <sz val="14"/>
            <color rgb="FF000000"/>
            <rFont val="Times New Roman"/>
            <family val="18"/>
          </rPr>
          <t xml:space="preserve"> [TL Aug 1790]</t>
        </r>
      </text>
    </comment>
    <comment ref="BH34" authorId="0" shapeId="0" xr:uid="{78FB151D-94D4-A640-A8F1-4D64739FE303}">
      <text>
        <r>
          <rPr>
            <sz val="14"/>
            <color rgb="FF000000"/>
            <rFont val="Calibri"/>
            <family val="34"/>
          </rPr>
          <t>MFWK (1789)</t>
        </r>
      </text>
    </comment>
    <comment ref="BF35" authorId="0" shapeId="0" xr:uid="{2F9E5458-340F-784B-BC34-9FEF11DB72BF}">
      <text>
        <r>
          <rPr>
            <sz val="14"/>
            <color rgb="FF000000"/>
            <rFont val="Times New Roman"/>
            <family val="18"/>
          </rPr>
          <t xml:space="preserve">16/04/1789 </t>
        </r>
        <r>
          <rPr>
            <i/>
            <sz val="14"/>
            <color rgb="FF000000"/>
            <rFont val="Times New Roman"/>
            <family val="18"/>
          </rPr>
          <t xml:space="preserve">Von der MFWK Artillerie Bespannung Division Nr. 49 zum IR 23 Feld Bataillon transferiert und zum Artillerie Bespannung zugeteilt </t>
        </r>
        <r>
          <rPr>
            <sz val="14"/>
            <color rgb="FF000000"/>
            <rFont val="Times New Roman"/>
            <family val="18"/>
          </rPr>
          <t xml:space="preserve">[ST April 1789]
</t>
        </r>
        <r>
          <rPr>
            <sz val="14"/>
            <color rgb="FF000000"/>
            <rFont val="Times New Roman"/>
            <family val="18"/>
          </rPr>
          <t xml:space="preserve">24/03/1790 Revision: IR 23 Feld Bats Artillerie Bespannung Nr. 6 [RL 1790]
</t>
        </r>
        <r>
          <rPr>
            <sz val="14"/>
            <color rgb="FF000000"/>
            <rFont val="Times New Roman"/>
            <family val="18"/>
          </rPr>
          <t>25/08/1790</t>
        </r>
        <r>
          <rPr>
            <i/>
            <sz val="14"/>
            <color rgb="FF000000"/>
            <rFont val="Times New Roman"/>
            <family val="18"/>
          </rPr>
          <t xml:space="preserve"> Von IR 23 Feld Bats Artillerie Bespannung zu der Artillerie Reserve in Olmütz abgegeben </t>
        </r>
        <r>
          <rPr>
            <sz val="14"/>
            <color rgb="FF000000"/>
            <rFont val="Times New Roman"/>
            <family val="18"/>
          </rPr>
          <t xml:space="preserve">[ST Aug 1790] 
</t>
        </r>
      </text>
    </comment>
    <comment ref="BG35" authorId="0" shapeId="0" xr:uid="{2ECB4207-BC8D-364F-AECF-8C54569AEE55}">
      <text>
        <r>
          <rPr>
            <sz val="14"/>
            <color rgb="FF000000"/>
            <rFont val="Times New Roman"/>
            <family val="18"/>
          </rPr>
          <t xml:space="preserve">ML 10.118 IR 23 (1788-90) – RL Artillerie Bespannung (Hohenruppert 24/03/1790)
</t>
        </r>
        <r>
          <rPr>
            <sz val="14"/>
            <color rgb="FF000000"/>
            <rFont val="Times New Roman"/>
            <family val="18"/>
          </rPr>
          <t>ML 10.149 IR 23 (1789) AL/TL – April (Cremsier 09/05/1790), Aug (Vienna 01/08/1792)</t>
        </r>
      </text>
    </comment>
    <comment ref="BH35" authorId="0" shapeId="0" xr:uid="{E9D5DCA5-3924-F049-B077-09FB4DE0E178}">
      <text>
        <r>
          <rPr>
            <sz val="14"/>
            <color rgb="FF000000"/>
            <rFont val="Calibri"/>
            <family val="34"/>
          </rPr>
          <t>MFWK (1789-1790)</t>
        </r>
      </text>
    </comment>
    <comment ref="BF36" authorId="0" shapeId="0" xr:uid="{1E6076DF-1802-7E42-920C-BDE6DE4862AE}">
      <text>
        <r>
          <rPr>
            <sz val="14"/>
            <color rgb="FF000000"/>
            <rFont val="Times New Roman"/>
            <family val="18"/>
          </rPr>
          <t xml:space="preserve">16/04/1789 </t>
        </r>
        <r>
          <rPr>
            <i/>
            <sz val="14"/>
            <color rgb="FF000000"/>
            <rFont val="Times New Roman"/>
            <family val="18"/>
          </rPr>
          <t xml:space="preserve">Von der MFWK Pro Cento Div. Division Nr. 9 zum IR 23 Feld Bataillon transferiert und zum Proviant Fuhrwesen zugeteilt </t>
        </r>
        <r>
          <rPr>
            <sz val="14"/>
            <color rgb="FF000000"/>
            <rFont val="Times New Roman"/>
            <family val="18"/>
          </rPr>
          <t>[ST Nov1789]</t>
        </r>
        <r>
          <rPr>
            <sz val="14"/>
            <color rgb="FF000000"/>
            <rFont val="Times New Roman"/>
            <family val="18"/>
          </rPr>
          <t xml:space="preserve">
</t>
        </r>
        <r>
          <rPr>
            <sz val="14"/>
            <color rgb="FF000000"/>
            <rFont val="Times New Roman"/>
            <family val="18"/>
          </rPr>
          <t>24/03/1790 Revision: IR 23 Feld Bats Artillerie Bespannung Nr. 29 [RL 1790]</t>
        </r>
        <r>
          <rPr>
            <sz val="14"/>
            <color rgb="FF000000"/>
            <rFont val="Times New Roman"/>
            <family val="18"/>
          </rPr>
          <t xml:space="preserve">
</t>
        </r>
        <r>
          <rPr>
            <sz val="14"/>
            <color rgb="FF000000"/>
            <rFont val="Times New Roman"/>
            <family val="18"/>
          </rPr>
          <t>05/11/1790</t>
        </r>
        <r>
          <rPr>
            <i/>
            <sz val="14"/>
            <color rgb="FF000000"/>
            <rFont val="Times New Roman"/>
            <family val="18"/>
          </rPr>
          <t xml:space="preserve"> Von IR 23 Feld Bat Proviant Fuhrwesen zurück an der Militar Fuhrwesen Korps abgegeben </t>
        </r>
        <r>
          <rPr>
            <sz val="14"/>
            <color rgb="FF000000"/>
            <rFont val="Times New Roman"/>
            <family val="18"/>
          </rPr>
          <t>[ST Nov 1790]</t>
        </r>
        <r>
          <rPr>
            <sz val="14"/>
            <color rgb="FF000000"/>
            <rFont val="Times New Roman"/>
            <family val="18"/>
          </rPr>
          <t xml:space="preserve">
</t>
        </r>
      </text>
    </comment>
    <comment ref="BG36" authorId="0" shapeId="0" xr:uid="{B2389613-9193-9949-9288-9EE3019FF975}">
      <text>
        <r>
          <rPr>
            <sz val="14"/>
            <color rgb="FF000000"/>
            <rFont val="Times New Roman"/>
            <family val="18"/>
          </rPr>
          <t>ML 10.118 IR 23 (1788-90) – RL Artillerie Bespannung Nr. 29 (Hohenruppert 24/03/1790)</t>
        </r>
        <r>
          <rPr>
            <sz val="14"/>
            <color rgb="FF000000"/>
            <rFont val="Times New Roman"/>
            <family val="18"/>
          </rPr>
          <t xml:space="preserve">
</t>
        </r>
        <r>
          <rPr>
            <sz val="14"/>
            <color rgb="FF000000"/>
            <rFont val="Times New Roman"/>
            <family val="18"/>
          </rPr>
          <t>ML 10.149 IR 23 (1789) AL/TL – Nov (Freiberg 23/06/1790), Dec (Freiberg 23/06/1790)</t>
        </r>
        <r>
          <rPr>
            <sz val="14"/>
            <color rgb="FF000000"/>
            <rFont val="Times New Roman"/>
            <family val="18"/>
          </rPr>
          <t xml:space="preserve">
</t>
        </r>
        <r>
          <rPr>
            <sz val="14"/>
            <color rgb="FF000000"/>
            <rFont val="Times New Roman"/>
            <family val="18"/>
          </rPr>
          <t>ML 10.151 IR 23 (1790) – Nov (Vienna 26/05/1793)</t>
        </r>
      </text>
    </comment>
    <comment ref="BH36" authorId="0" shapeId="0" xr:uid="{87847B65-CA6E-1445-8956-6A71CB66EE7C}">
      <text>
        <r>
          <rPr>
            <sz val="14"/>
            <color rgb="FF000000"/>
            <rFont val="Calibri"/>
            <family val="34"/>
          </rPr>
          <t>MFWK (1789-1790)</t>
        </r>
      </text>
    </comment>
    <comment ref="BF37" authorId="0" shapeId="0" xr:uid="{860BEE83-F4D3-EA4A-B2FB-CA2E8EE1AB49}">
      <text>
        <r>
          <rPr>
            <sz val="14"/>
            <color rgb="FF000000"/>
            <rFont val="Times New Roman"/>
            <family val="18"/>
          </rPr>
          <t xml:space="preserve">16/04/1789 </t>
        </r>
        <r>
          <rPr>
            <i/>
            <sz val="14"/>
            <color rgb="FF000000"/>
            <rFont val="Times New Roman"/>
            <family val="18"/>
          </rPr>
          <t xml:space="preserve">Von der MFWK Pro Cento Div. Division Nr. 9 zum IR 23 Feld Bataillon transferiert und zum Proviant Fuhrwesen zugeteilt </t>
        </r>
        <r>
          <rPr>
            <sz val="14"/>
            <color rgb="FF000000"/>
            <rFont val="Times New Roman"/>
            <family val="18"/>
          </rPr>
          <t xml:space="preserve">[ST Nov1789]
</t>
        </r>
        <r>
          <rPr>
            <sz val="14"/>
            <color rgb="FF000000"/>
            <rFont val="Times New Roman"/>
            <family val="18"/>
          </rPr>
          <t xml:space="preserve">06/03/1790 </t>
        </r>
        <r>
          <rPr>
            <i/>
            <sz val="14"/>
            <color rgb="FF000000"/>
            <rFont val="Times New Roman"/>
            <family val="18"/>
          </rPr>
          <t>Krank mit auswärtiger Verpflegung an der Militar Spital zu Preßburg</t>
        </r>
        <r>
          <rPr>
            <sz val="14"/>
            <color rgb="FF000000"/>
            <rFont val="Times New Roman"/>
            <family val="18"/>
          </rPr>
          <t xml:space="preserve"> [ST Feb 1790]
</t>
        </r>
        <r>
          <rPr>
            <sz val="14"/>
            <color rgb="FF000000"/>
            <rFont val="Times New Roman"/>
            <family val="18"/>
          </rPr>
          <t xml:space="preserve">01/04/1790 </t>
        </r>
        <r>
          <rPr>
            <i/>
            <sz val="14"/>
            <color rgb="FF000000"/>
            <rFont val="Times New Roman"/>
            <family val="18"/>
          </rPr>
          <t>Rekonvalesziert</t>
        </r>
        <r>
          <rPr>
            <sz val="14"/>
            <color rgb="FF000000"/>
            <rFont val="Times New Roman"/>
            <family val="18"/>
          </rPr>
          <t xml:space="preserve"> [ST April 170]
</t>
        </r>
        <r>
          <rPr>
            <sz val="14"/>
            <color rgb="FF000000"/>
            <rFont val="Times New Roman"/>
            <family val="18"/>
          </rPr>
          <t xml:space="preserve">25/04/1790 </t>
        </r>
        <r>
          <rPr>
            <i/>
            <sz val="14"/>
            <color rgb="FF000000"/>
            <rFont val="Times New Roman"/>
            <family val="18"/>
          </rPr>
          <t>Krank in Regimentsspital zu Szlisan</t>
        </r>
        <r>
          <rPr>
            <sz val="14"/>
            <color rgb="FF000000"/>
            <rFont val="Times New Roman"/>
            <family val="18"/>
          </rPr>
          <t xml:space="preserve"> [ST April 1790]
</t>
        </r>
        <r>
          <rPr>
            <sz val="14"/>
            <color rgb="FF000000"/>
            <rFont val="Times New Roman"/>
            <family val="18"/>
          </rPr>
          <t xml:space="preserve">25/05/1790 </t>
        </r>
        <r>
          <rPr>
            <i/>
            <sz val="14"/>
            <color rgb="FF000000"/>
            <rFont val="Times New Roman"/>
            <family val="18"/>
          </rPr>
          <t>Noch krank, zum Regimentsspital zu Wischau übersetzt</t>
        </r>
        <r>
          <rPr>
            <sz val="14"/>
            <color rgb="FF000000"/>
            <rFont val="Times New Roman"/>
            <family val="18"/>
          </rPr>
          <t xml:space="preserve"> [ST May 1790]
</t>
        </r>
        <r>
          <rPr>
            <sz val="14"/>
            <color rgb="FF000000"/>
            <rFont val="Times New Roman"/>
            <family val="18"/>
          </rPr>
          <t xml:space="preserve">01/07/1790 </t>
        </r>
        <r>
          <rPr>
            <i/>
            <sz val="14"/>
            <color rgb="FF000000"/>
            <rFont val="Times New Roman"/>
            <family val="18"/>
          </rPr>
          <t>Rekonvalesziert</t>
        </r>
        <r>
          <rPr>
            <sz val="14"/>
            <color rgb="FF000000"/>
            <rFont val="Times New Roman"/>
            <family val="18"/>
          </rPr>
          <t xml:space="preserve"> [ST July 1790]
</t>
        </r>
        <r>
          <rPr>
            <sz val="14"/>
            <color rgb="FF000000"/>
            <rFont val="Times New Roman"/>
            <family val="18"/>
          </rPr>
          <t xml:space="preserve">11/08/1790 </t>
        </r>
        <r>
          <rPr>
            <i/>
            <sz val="14"/>
            <color rgb="FF000000"/>
            <rFont val="Times New Roman"/>
            <family val="18"/>
          </rPr>
          <t>Wieder krank in Wischauer Spital und am derselben Datum am MFWK zurück transferiert</t>
        </r>
        <r>
          <rPr>
            <sz val="14"/>
            <color rgb="FF000000"/>
            <rFont val="Times New Roman"/>
            <family val="18"/>
          </rPr>
          <t xml:space="preserve"> [ST Aug 1790]
</t>
        </r>
        <r>
          <rPr>
            <sz val="14"/>
            <color rgb="FF000000"/>
            <rFont val="Times"/>
            <family val="2"/>
          </rPr>
          <t xml:space="preserve">
</t>
        </r>
      </text>
    </comment>
    <comment ref="BG37" authorId="0" shapeId="0" xr:uid="{99667F8E-9DAB-8941-9A26-E05A5179607A}">
      <text>
        <r>
          <rPr>
            <sz val="14"/>
            <color rgb="FF000000"/>
            <rFont val="Times New Roman"/>
            <family val="18"/>
          </rPr>
          <t xml:space="preserve">ML 10.149 IR 23 (1789) AL/TL – April (Cremsier 09/05/1790)
</t>
        </r>
        <r>
          <rPr>
            <sz val="14"/>
            <color rgb="FF000000"/>
            <rFont val="Times New Roman"/>
            <family val="18"/>
          </rPr>
          <t>ML 10.151 IR 23 (1789) – March (Neutitschen 17/07/1790), April (Vienna 01/08/1792), May (Vienna 01/08/1792), July (Vienna 01/07/1792), Aug (Vienna 01/08/1792)</t>
        </r>
      </text>
    </comment>
    <comment ref="BH37" authorId="0" shapeId="0" xr:uid="{BE58BD7E-2648-1A46-BB4C-3EDAE81F55D6}">
      <text>
        <r>
          <rPr>
            <sz val="14"/>
            <color rgb="FF000000"/>
            <rFont val="Calibri"/>
            <family val="34"/>
          </rPr>
          <t>MFWK (1789-1790)</t>
        </r>
      </text>
    </comment>
    <comment ref="BF38" authorId="0" shapeId="0" xr:uid="{7F214855-D252-CB41-B831-BF0F1AA56D82}">
      <text>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01/07/1789 </t>
        </r>
        <r>
          <rPr>
            <i/>
            <sz val="14"/>
            <color rgb="FF000000"/>
            <rFont val="Times New Roman"/>
            <family val="18"/>
          </rPr>
          <t>3. Bataillon mit die 2 Feld Bats vereinigt</t>
        </r>
        <r>
          <rPr>
            <sz val="14"/>
            <color rgb="FF000000"/>
            <rFont val="Times New Roman"/>
            <family val="18"/>
          </rPr>
          <t xml:space="preserve"> [ST July 1809]</t>
        </r>
        <r>
          <rPr>
            <sz val="14"/>
            <color rgb="FF000000"/>
            <rFont val="Aptos"/>
            <family val="34"/>
          </rPr>
          <t xml:space="preserve">
</t>
        </r>
        <r>
          <rPr>
            <sz val="14"/>
            <color rgb="FF000000"/>
            <rFont val="Times New Roman"/>
            <family val="18"/>
          </rPr>
          <t xml:space="preserve">31/10/1789 [dient bis mindestens] </t>
        </r>
        <r>
          <rPr>
            <i/>
            <sz val="14"/>
            <color rgb="FF000000"/>
            <rFont val="Times New Roman"/>
            <family val="18"/>
          </rPr>
          <t xml:space="preserve">Am IR 33 3 Feld Bats beim Proviant </t>
        </r>
        <r>
          <rPr>
            <sz val="14"/>
            <color rgb="FF000000"/>
            <rFont val="Times New Roman"/>
            <family val="18"/>
          </rPr>
          <t>Fuhrwesen [ST Oct 1789]</t>
        </r>
        <r>
          <rPr>
            <sz val="14"/>
            <color rgb="FF000000"/>
            <rFont val="Aptos"/>
            <family val="34"/>
          </rPr>
          <t xml:space="preserve">
</t>
        </r>
      </text>
    </comment>
    <comment ref="BG38" authorId="0" shapeId="0" xr:uid="{E07D343A-19C4-8342-8FC5-6414F55CE469}">
      <text>
        <r>
          <rPr>
            <sz val="14"/>
            <color rgb="FF000000"/>
            <rFont val="Times New Roman"/>
            <family val="18"/>
          </rPr>
          <t>ML 2997 IR 32 (1789) – ST April (Pest 29/06/1805), July (05/031791), Oct (20/04/1791)</t>
        </r>
        <r>
          <rPr>
            <sz val="14"/>
            <color rgb="FF000000"/>
            <rFont val="Aptos"/>
            <family val="34"/>
          </rPr>
          <t xml:space="preserve">
</t>
        </r>
        <r>
          <rPr>
            <sz val="14"/>
            <color rgb="FF000000"/>
            <rFont val="Times New Roman"/>
            <family val="18"/>
          </rPr>
          <t xml:space="preserve">ML 2998 IR 32 (1789) AL/TL – TL MLWK -&gt; IR 33 Nr. 10 (Jaska 20/04/1789)
</t>
        </r>
      </text>
    </comment>
    <comment ref="BH38" authorId="0" shapeId="0" xr:uid="{A9ECA375-722B-6649-B574-1F5BBFC7E760}">
      <text>
        <r>
          <rPr>
            <sz val="14"/>
            <color rgb="FF000000"/>
            <rFont val="Calibri"/>
            <family val="34"/>
          </rPr>
          <t>MFWK (1789)</t>
        </r>
      </text>
    </comment>
    <comment ref="O39" authorId="0" shapeId="0" xr:uid="{6116229B-AB55-FD4F-8F68-78978A288F33}">
      <text>
        <r>
          <rPr>
            <sz val="14"/>
            <color rgb="FF000000"/>
            <rFont val="Times New Roman"/>
            <family val="18"/>
          </rPr>
          <t>1 Knabe [TL April 1789]</t>
        </r>
      </text>
    </comment>
    <comment ref="BF39" authorId="0" shapeId="0" xr:uid="{22C686D7-BF09-BE43-B29E-58A55EB6B808}">
      <text>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01/07/1789 </t>
        </r>
        <r>
          <rPr>
            <i/>
            <sz val="14"/>
            <color rgb="FF000000"/>
            <rFont val="Times New Roman"/>
            <family val="18"/>
          </rPr>
          <t>3. Bataillon mit die 2 Feld Bats vereinigt</t>
        </r>
        <r>
          <rPr>
            <sz val="14"/>
            <color rgb="FF000000"/>
            <rFont val="Times New Roman"/>
            <family val="18"/>
          </rPr>
          <t xml:space="preserve"> [ST July 1809]</t>
        </r>
        <r>
          <rPr>
            <sz val="14"/>
            <color rgb="FF000000"/>
            <rFont val="Aptos"/>
            <family val="34"/>
          </rPr>
          <t xml:space="preserve">
</t>
        </r>
        <r>
          <rPr>
            <sz val="14"/>
            <color rgb="FF000000"/>
            <rFont val="Times New Roman"/>
            <family val="18"/>
          </rPr>
          <t xml:space="preserve">31/10/1789 [dient bis mindestens] </t>
        </r>
        <r>
          <rPr>
            <i/>
            <sz val="14"/>
            <color rgb="FF000000"/>
            <rFont val="Times New Roman"/>
            <family val="18"/>
          </rPr>
          <t xml:space="preserve">Am IR 33 3 Feld Bats beim Proviant </t>
        </r>
        <r>
          <rPr>
            <sz val="14"/>
            <color rgb="FF000000"/>
            <rFont val="Times New Roman"/>
            <family val="18"/>
          </rPr>
          <t>Fuhrwesen [ST Oct 1789]</t>
        </r>
        <r>
          <rPr>
            <sz val="14"/>
            <color rgb="FF000000"/>
            <rFont val="Aptos"/>
            <family val="34"/>
          </rPr>
          <t xml:space="preserve">
</t>
        </r>
      </text>
    </comment>
    <comment ref="BG39" authorId="0" shapeId="0" xr:uid="{04E0333E-5B2C-C342-A91C-FB5D92D34ED3}">
      <text>
        <r>
          <rPr>
            <sz val="14"/>
            <color rgb="FF000000"/>
            <rFont val="Times New Roman"/>
            <family val="18"/>
          </rPr>
          <t>ML 2997 IR 32 (1789) – ST April (Pest 29/06/1805), July (05/031791), Oct (20/04/1791)</t>
        </r>
        <r>
          <rPr>
            <sz val="14"/>
            <color rgb="FF000000"/>
            <rFont val="Aptos"/>
            <family val="34"/>
          </rPr>
          <t xml:space="preserve">
</t>
        </r>
        <r>
          <rPr>
            <sz val="14"/>
            <color rgb="FF000000"/>
            <rFont val="Times New Roman"/>
            <family val="18"/>
          </rPr>
          <t>ML 2998 IR 32 (1789) AL/TL – TL MLWK -&gt; IR 33 Nr. 8 (Jaska 20/04/1789)</t>
        </r>
        <r>
          <rPr>
            <sz val="14"/>
            <color rgb="FF000000"/>
            <rFont val="Aptos"/>
            <family val="34"/>
          </rPr>
          <t xml:space="preserve">
</t>
        </r>
      </text>
    </comment>
    <comment ref="BH39" authorId="0" shapeId="0" xr:uid="{D5350828-393C-FE4E-9C7E-1974ABBEDF99}">
      <text>
        <r>
          <rPr>
            <sz val="14"/>
            <color rgb="FF000000"/>
            <rFont val="Calibri"/>
            <family val="34"/>
          </rPr>
          <t>MFWK (1789)</t>
        </r>
      </text>
    </comment>
    <comment ref="BF40" authorId="0" shapeId="0" xr:uid="{02F37421-E7AF-6F48-B512-21D2527FA69F}">
      <text>
        <r>
          <rPr>
            <sz val="14"/>
            <color rgb="FF000000"/>
            <rFont val="Times New Roman"/>
            <family val="18"/>
          </rPr>
          <t xml:space="preserve">25/04/1789 [Bevor] </t>
        </r>
        <r>
          <rPr>
            <i/>
            <sz val="14"/>
            <color rgb="FF000000"/>
            <rFont val="Times New Roman"/>
            <family val="18"/>
          </rPr>
          <t>Assentiert</t>
        </r>
        <r>
          <rPr>
            <sz val="14"/>
            <color rgb="FF000000"/>
            <rFont val="Aptos"/>
            <family val="34"/>
          </rPr>
          <t xml:space="preserve">
</t>
        </r>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01/07/1789 </t>
        </r>
        <r>
          <rPr>
            <i/>
            <sz val="14"/>
            <color rgb="FF000000"/>
            <rFont val="Times New Roman"/>
            <family val="18"/>
          </rPr>
          <t>3. Bataillon mit die 2 Feld Bats vereinigt</t>
        </r>
        <r>
          <rPr>
            <sz val="14"/>
            <color rgb="FF000000"/>
            <rFont val="Times New Roman"/>
            <family val="18"/>
          </rPr>
          <t xml:space="preserve"> [ST July 1809]</t>
        </r>
        <r>
          <rPr>
            <sz val="14"/>
            <color rgb="FF000000"/>
            <rFont val="Aptos"/>
            <family val="34"/>
          </rPr>
          <t xml:space="preserve">
</t>
        </r>
        <r>
          <rPr>
            <sz val="14"/>
            <color rgb="FF000000"/>
            <rFont val="Times New Roman"/>
            <family val="18"/>
          </rPr>
          <t xml:space="preserve">31/10/1790 </t>
        </r>
        <r>
          <rPr>
            <i/>
            <sz val="14"/>
            <color rgb="FF000000"/>
            <rFont val="Times New Roman"/>
            <family val="18"/>
          </rPr>
          <t>Auf Unbestimmte Urlaub entlassen</t>
        </r>
        <r>
          <rPr>
            <sz val="14"/>
            <color rgb="FF000000"/>
            <rFont val="Times New Roman"/>
            <family val="18"/>
          </rPr>
          <t xml:space="preserve"> [ST Oct 1790] 
</t>
        </r>
      </text>
    </comment>
    <comment ref="BG40" authorId="0" shapeId="0" xr:uid="{E7056B77-6BBC-7140-A0D6-E069D340C3F9}">
      <text>
        <r>
          <rPr>
            <sz val="14"/>
            <color rgb="FF000000"/>
            <rFont val="Times New Roman"/>
            <family val="18"/>
          </rPr>
          <t>ML 2997 IR 33 (1789) – ST April (Pest 29/06/1805), July (05/031791)</t>
        </r>
        <r>
          <rPr>
            <sz val="14"/>
            <color rgb="FF000000"/>
            <rFont val="Aptos"/>
            <family val="34"/>
          </rPr>
          <t xml:space="preserve">
</t>
        </r>
        <r>
          <rPr>
            <sz val="14"/>
            <color rgb="FF000000"/>
            <rFont val="Times New Roman"/>
            <family val="18"/>
          </rPr>
          <t>ML 2998 IR 33 (1789) AL/TL – TL MLWK -&gt; IR 33 Nr. 10 (Jaska 20/04/1789)</t>
        </r>
        <r>
          <rPr>
            <sz val="14"/>
            <color rgb="FF000000"/>
            <rFont val="Aptos"/>
            <family val="34"/>
          </rPr>
          <t xml:space="preserve">
</t>
        </r>
        <r>
          <rPr>
            <sz val="14"/>
            <color rgb="FF000000"/>
            <rFont val="Times New Roman"/>
            <family val="18"/>
          </rPr>
          <t>ML 2999 IR 33 (1790) – ST Oct (Mons 24/05/1791)</t>
        </r>
        <r>
          <rPr>
            <sz val="14"/>
            <color rgb="FF000000"/>
            <rFont val="Aptos"/>
            <family val="34"/>
          </rPr>
          <t xml:space="preserve">
</t>
        </r>
      </text>
    </comment>
    <comment ref="BH40" authorId="0" shapeId="0" xr:uid="{FE1899E5-E620-E64D-9BA0-82BFDA4E3CA7}">
      <text>
        <r>
          <rPr>
            <sz val="14"/>
            <color rgb="FF000000"/>
            <rFont val="Calibri"/>
            <family val="34"/>
          </rPr>
          <t>MFWK (1789-1790)</t>
        </r>
      </text>
    </comment>
    <comment ref="BF41" authorId="0" shapeId="0" xr:uid="{2165DF29-1B25-6943-99BB-CA29114E4D7E}">
      <text>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06/05/1789 </t>
        </r>
        <r>
          <rPr>
            <i/>
            <sz val="14"/>
            <color rgb="FF000000"/>
            <rFont val="Times New Roman"/>
            <family val="18"/>
          </rPr>
          <t>Von IR 33 3rd Bat Proviant Fuhrwesen zum MFWK 18. Pro Cento Division transferiert</t>
        </r>
        <r>
          <rPr>
            <sz val="14"/>
            <color rgb="FF000000"/>
            <rFont val="Times New Roman"/>
            <family val="18"/>
          </rPr>
          <t xml:space="preserve"> [ST May 1789]</t>
        </r>
        <r>
          <rPr>
            <sz val="14"/>
            <color rgb="FF000000"/>
            <rFont val="Aptos"/>
            <family val="34"/>
          </rPr>
          <t xml:space="preserve">
</t>
        </r>
      </text>
    </comment>
    <comment ref="BG41" authorId="0" shapeId="0" xr:uid="{7FBAA5BC-B687-8C4C-9A51-72A1E1B272CF}">
      <text>
        <r>
          <rPr>
            <sz val="14"/>
            <color rgb="FF000000"/>
            <rFont val="Times New Roman"/>
            <family val="18"/>
          </rPr>
          <t>ML 2997 IR 33 (1789) – ST April (Pest 29/06/1805), May (10/06/1805)</t>
        </r>
        <r>
          <rPr>
            <sz val="14"/>
            <color rgb="FF000000"/>
            <rFont val="Aptos"/>
            <family val="34"/>
          </rPr>
          <t xml:space="preserve">
</t>
        </r>
        <r>
          <rPr>
            <sz val="14"/>
            <color rgb="FF000000"/>
            <rFont val="Times New Roman"/>
            <family val="18"/>
          </rPr>
          <t>ML 2998 IR 33 (1789) AL/TL– TL MLWK -&gt; IR 33 Nr. 10 (Jaska 20/04/1789)</t>
        </r>
      </text>
    </comment>
    <comment ref="BH41" authorId="0" shapeId="0" xr:uid="{28E1E956-1D20-4E4C-ACBB-2FA239FB8AAF}">
      <text>
        <r>
          <rPr>
            <sz val="14"/>
            <color rgb="FF000000"/>
            <rFont val="Calibri"/>
            <family val="34"/>
          </rPr>
          <t>MFWK (1789)</t>
        </r>
      </text>
    </comment>
    <comment ref="O42" authorId="0" shapeId="0" xr:uid="{E6E1C25F-2826-C845-BD2F-4C5AD4FDBB5E}">
      <text>
        <r>
          <rPr>
            <sz val="14"/>
            <color rgb="FF000000"/>
            <rFont val="Times New Roman"/>
            <family val="18"/>
          </rPr>
          <t>1 Knaben [TL April 1789]</t>
        </r>
      </text>
    </comment>
    <comment ref="BF42" authorId="0" shapeId="0" xr:uid="{A824AD33-52B6-9E45-AB3C-402E52274C15}">
      <text>
        <r>
          <rPr>
            <sz val="14"/>
            <color rgb="FF000000"/>
            <rFont val="Times New Roman"/>
            <family val="18"/>
          </rPr>
          <t xml:space="preserve">25/04/1789 [Bevor] </t>
        </r>
        <r>
          <rPr>
            <i/>
            <sz val="14"/>
            <color rgb="FF000000"/>
            <rFont val="Times New Roman"/>
            <family val="18"/>
          </rPr>
          <t>Assentiert</t>
        </r>
        <r>
          <rPr>
            <sz val="14"/>
            <color rgb="FF000000"/>
            <rFont val="Aptos"/>
            <family val="34"/>
          </rPr>
          <t xml:space="preserve">
</t>
        </r>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01/07/1789 </t>
        </r>
        <r>
          <rPr>
            <i/>
            <sz val="14"/>
            <color rgb="FF000000"/>
            <rFont val="Times New Roman"/>
            <family val="18"/>
          </rPr>
          <t>3. Bataillon mit die 2 Feld Bats vereinigt</t>
        </r>
        <r>
          <rPr>
            <sz val="14"/>
            <color rgb="FF000000"/>
            <rFont val="Times New Roman"/>
            <family val="18"/>
          </rPr>
          <t xml:space="preserve"> [ST July 1789]</t>
        </r>
        <r>
          <rPr>
            <sz val="14"/>
            <color rgb="FF000000"/>
            <rFont val="Aptos"/>
            <family val="34"/>
          </rPr>
          <t xml:space="preserve">
</t>
        </r>
        <r>
          <rPr>
            <sz val="14"/>
            <color rgb="FF000000"/>
            <rFont val="Times New Roman"/>
            <family val="18"/>
          </rPr>
          <t xml:space="preserve">31/10/1790 </t>
        </r>
        <r>
          <rPr>
            <i/>
            <sz val="14"/>
            <color rgb="FF000000"/>
            <rFont val="Times New Roman"/>
            <family val="18"/>
          </rPr>
          <t>Auf Unbestimmte Urlaub entlassen</t>
        </r>
        <r>
          <rPr>
            <sz val="14"/>
            <color rgb="FF000000"/>
            <rFont val="Times New Roman"/>
            <family val="18"/>
          </rPr>
          <t xml:space="preserve"> [ST Oct 1790] </t>
        </r>
      </text>
    </comment>
    <comment ref="BG42" authorId="0" shapeId="0" xr:uid="{11CCF754-DEFC-FF41-AC4B-6218BC92D769}">
      <text>
        <r>
          <rPr>
            <sz val="14"/>
            <color rgb="FF000000"/>
            <rFont val="Times New Roman"/>
            <family val="18"/>
          </rPr>
          <t>ML 2997 IR 33 (1789) – ST April (Pest 29/06/1805), July (05/031791), Oct (20/04/1791)</t>
        </r>
        <r>
          <rPr>
            <sz val="14"/>
            <color rgb="FF000000"/>
            <rFont val="Aptos"/>
            <family val="34"/>
          </rPr>
          <t xml:space="preserve">
</t>
        </r>
        <r>
          <rPr>
            <sz val="14"/>
            <color rgb="FF000000"/>
            <rFont val="Times New Roman"/>
            <family val="18"/>
          </rPr>
          <t>ML 2998 IR 33 (1789) AL/TL – TL MLWK -&gt; IR 33 Nr. 9 (Jaska 20/04/1789)</t>
        </r>
        <r>
          <rPr>
            <sz val="14"/>
            <color rgb="FF000000"/>
            <rFont val="Aptos"/>
            <family val="34"/>
          </rPr>
          <t xml:space="preserve">
</t>
        </r>
        <r>
          <rPr>
            <sz val="14"/>
            <color rgb="FF000000"/>
            <rFont val="Times New Roman"/>
            <family val="18"/>
          </rPr>
          <t>ML 2999 IR 33 (1790) – ST Oct (Mons 24/05/1791)</t>
        </r>
        <r>
          <rPr>
            <sz val="14"/>
            <color rgb="FF000000"/>
            <rFont val="Aptos"/>
            <family val="34"/>
          </rPr>
          <t xml:space="preserve">
</t>
        </r>
      </text>
    </comment>
    <comment ref="BH42" authorId="0" shapeId="0" xr:uid="{7A0D8B1B-CC0E-7141-87DF-1DB50A3D96BE}">
      <text>
        <r>
          <rPr>
            <sz val="14"/>
            <color rgb="FF000000"/>
            <rFont val="Calibri"/>
            <family val="34"/>
          </rPr>
          <t>MFWK (1789-1790)</t>
        </r>
      </text>
    </comment>
    <comment ref="O43" authorId="0" shapeId="0" xr:uid="{1548CC6F-0FCE-8C4D-88B9-3859193285C1}">
      <text>
        <r>
          <rPr>
            <sz val="14"/>
            <color rgb="FF000000"/>
            <rFont val="Times New Roman"/>
            <family val="18"/>
          </rPr>
          <t>1 Knabe [TL April 1789]</t>
        </r>
      </text>
    </comment>
    <comment ref="BF43" authorId="0" shapeId="0" xr:uid="{02B4156E-7577-4046-A65F-F037082F35E9}">
      <text>
        <r>
          <rPr>
            <sz val="14"/>
            <color rgb="FF000000"/>
            <rFont val="Times New Roman"/>
            <family val="18"/>
          </rPr>
          <t xml:space="preserve">25/04/1789 [Bevor] </t>
        </r>
        <r>
          <rPr>
            <i/>
            <sz val="14"/>
            <color rgb="FF000000"/>
            <rFont val="Times New Roman"/>
            <family val="18"/>
          </rPr>
          <t>Assentiert</t>
        </r>
        <r>
          <rPr>
            <sz val="14"/>
            <color rgb="FF000000"/>
            <rFont val="Aptos"/>
            <family val="34"/>
          </rPr>
          <t xml:space="preserve">
</t>
        </r>
        <r>
          <rPr>
            <sz val="14"/>
            <color rgb="FF000000"/>
            <rFont val="Times New Roman"/>
            <family val="18"/>
          </rPr>
          <t xml:space="preserve">26/04/1789 </t>
        </r>
        <r>
          <rPr>
            <i/>
            <sz val="14"/>
            <color rgb="FF000000"/>
            <rFont val="Times New Roman"/>
            <family val="18"/>
          </rPr>
          <t xml:space="preserve">Von MFWK Artillerie Pro Cento Divisio Nro 18 am IR 33 3. Bataillon transferiert und zum Proviant Fuhrwesen eingeteilt </t>
        </r>
        <r>
          <rPr>
            <sz val="14"/>
            <color rgb="FF000000"/>
            <rFont val="Times New Roman"/>
            <family val="18"/>
          </rPr>
          <t>[TL April 1789 &amp; ST April 1789]</t>
        </r>
        <r>
          <rPr>
            <sz val="14"/>
            <color rgb="FF000000"/>
            <rFont val="Aptos"/>
            <family val="34"/>
          </rPr>
          <t xml:space="preserve">
</t>
        </r>
        <r>
          <rPr>
            <sz val="14"/>
            <color rgb="FF000000"/>
            <rFont val="Times New Roman"/>
            <family val="18"/>
          </rPr>
          <t xml:space="preserve">01/07/1789 </t>
        </r>
        <r>
          <rPr>
            <i/>
            <sz val="14"/>
            <color rgb="FF000000"/>
            <rFont val="Times New Roman"/>
            <family val="18"/>
          </rPr>
          <t>3. Bataillon mit die 2 Feld Bats vereinigt</t>
        </r>
        <r>
          <rPr>
            <sz val="14"/>
            <color rgb="FF000000"/>
            <rFont val="Times New Roman"/>
            <family val="18"/>
          </rPr>
          <t xml:space="preserve"> [ST July 1809]</t>
        </r>
        <r>
          <rPr>
            <sz val="14"/>
            <color rgb="FF000000"/>
            <rFont val="Aptos"/>
            <family val="34"/>
          </rPr>
          <t xml:space="preserve">
</t>
        </r>
        <r>
          <rPr>
            <sz val="14"/>
            <color rgb="FF000000"/>
            <rFont val="Times New Roman"/>
            <family val="18"/>
          </rPr>
          <t xml:space="preserve">31/10/1790 </t>
        </r>
        <r>
          <rPr>
            <i/>
            <sz val="14"/>
            <color rgb="FF000000"/>
            <rFont val="Times New Roman"/>
            <family val="18"/>
          </rPr>
          <t>Auf Unbestimmte Urlaub entlassen</t>
        </r>
        <r>
          <rPr>
            <sz val="14"/>
            <color rgb="FF000000"/>
            <rFont val="Times New Roman"/>
            <family val="18"/>
          </rPr>
          <t xml:space="preserve"> [ST Oct 1790] </t>
        </r>
      </text>
    </comment>
    <comment ref="BG43" authorId="0" shapeId="0" xr:uid="{B3F8BC8B-B1EC-5A46-9073-6E9E9C65FBD9}">
      <text>
        <r>
          <rPr>
            <sz val="14"/>
            <color rgb="FF000000"/>
            <rFont val="Times New Roman"/>
            <family val="18"/>
          </rPr>
          <t>ML 2997 IR 33 (1789) – ST April (Pest 29/06/1805), July (05/031791), Oct (20/04/1791)</t>
        </r>
        <r>
          <rPr>
            <sz val="14"/>
            <color rgb="FF000000"/>
            <rFont val="Aptos"/>
            <family val="34"/>
          </rPr>
          <t xml:space="preserve">
</t>
        </r>
        <r>
          <rPr>
            <sz val="14"/>
            <color rgb="FF000000"/>
            <rFont val="Times New Roman"/>
            <family val="18"/>
          </rPr>
          <t>ML 2998 IR 33 (1789) AL/TL – TL MLWK -&gt; IR 33 Nr. 7 (Jaska 20/04/1789)</t>
        </r>
        <r>
          <rPr>
            <sz val="14"/>
            <color rgb="FF000000"/>
            <rFont val="Aptos"/>
            <family val="34"/>
          </rPr>
          <t xml:space="preserve">
</t>
        </r>
        <r>
          <rPr>
            <sz val="14"/>
            <color rgb="FF000000"/>
            <rFont val="Times New Roman"/>
            <family val="18"/>
          </rPr>
          <t>ML 2999 IR 33 (1790) – ST Oct (Mons 24/05/1791)</t>
        </r>
        <r>
          <rPr>
            <sz val="14"/>
            <color rgb="FF000000"/>
            <rFont val="Aptos"/>
            <family val="34"/>
          </rPr>
          <t xml:space="preserve">
</t>
        </r>
      </text>
    </comment>
    <comment ref="BH43" authorId="0" shapeId="0" xr:uid="{0395D0B5-4F70-D840-8823-5A377D53032A}">
      <text>
        <r>
          <rPr>
            <sz val="14"/>
            <color rgb="FF000000"/>
            <rFont val="Calibri"/>
            <family val="34"/>
          </rPr>
          <t>MFWK (1789-1790)</t>
        </r>
      </text>
    </comment>
    <comment ref="BF44" authorId="0" shapeId="0" xr:uid="{D9E233AD-3B00-D04B-9E7D-79EA492D158E}">
      <text>
        <r>
          <rPr>
            <sz val="14"/>
            <color rgb="FF000000"/>
            <rFont val="Times New Roman"/>
            <family val="18"/>
          </rPr>
          <t xml:space="preserve">30/04/1789 [Seit mindestens] </t>
        </r>
        <r>
          <rPr>
            <i/>
            <sz val="14"/>
            <color rgb="FF000000"/>
            <rFont val="Times New Roman"/>
            <family val="18"/>
          </rPr>
          <t>Als Beiläufer des Proviant Fuhrwesen von IR 11 Feld Bataillons in Ungarn auf Kommando</t>
        </r>
        <r>
          <rPr>
            <sz val="14"/>
            <color rgb="FF000000"/>
            <rFont val="Times New Roman"/>
            <family val="18"/>
          </rPr>
          <t xml:space="preserve"> [ST May 1789]</t>
        </r>
        <r>
          <rPr>
            <sz val="14"/>
            <color rgb="FF000000"/>
            <rFont val="Calibri"/>
            <family val="34"/>
          </rPr>
          <t xml:space="preserve">
</t>
        </r>
        <r>
          <rPr>
            <sz val="14"/>
            <color rgb="FF000000"/>
            <rFont val="Times New Roman"/>
            <family val="18"/>
          </rPr>
          <t xml:space="preserve">10/07/1789 </t>
        </r>
        <r>
          <rPr>
            <i/>
            <sz val="14"/>
            <color rgb="FF000000"/>
            <rFont val="Times New Roman"/>
            <family val="18"/>
          </rPr>
          <t>Bei Neusatz beim Regiment eingetroffen</t>
        </r>
        <r>
          <rPr>
            <sz val="14"/>
            <color rgb="FF000000"/>
            <rFont val="Times New Roman"/>
            <family val="18"/>
          </rPr>
          <t xml:space="preserve"> [ST July 1789]</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Dienst bis mindestens</t>
        </r>
        <r>
          <rPr>
            <sz val="14"/>
            <color rgb="FF000000"/>
            <rFont val="Times New Roman"/>
            <family val="18"/>
          </rPr>
          <t xml:space="preserve"> [ST Oct 1789]</t>
        </r>
        <r>
          <rPr>
            <sz val="14"/>
            <color rgb="FF000000"/>
            <rFont val="Calibri"/>
            <family val="34"/>
          </rPr>
          <t xml:space="preserve">
</t>
        </r>
      </text>
    </comment>
    <comment ref="BG44" authorId="0" shapeId="0" xr:uid="{FF451B71-EF5B-9049-8A81-237F385610FA}">
      <text>
        <r>
          <rPr>
            <sz val="14"/>
            <color rgb="FF000000"/>
            <rFont val="Times New Roman"/>
            <family val="18"/>
          </rPr>
          <t>ML 831 IR 11 (1789) – ST May (25/09/1789), July (Prague 03/05/1790), Oct (Hof 14/06/1790)</t>
        </r>
      </text>
    </comment>
    <comment ref="BH44" authorId="0" shapeId="0" xr:uid="{FC00BA0D-6C10-AF45-B6C0-99326CDA35FE}">
      <text>
        <r>
          <rPr>
            <sz val="14"/>
            <color rgb="FF000000"/>
            <rFont val="Calibri"/>
            <family val="34"/>
          </rPr>
          <t>MFWK (1789)</t>
        </r>
      </text>
    </comment>
    <comment ref="BF45" authorId="0" shapeId="0" xr:uid="{DDB69827-C218-B543-A2EB-342FB6DAAD07}">
      <text>
        <r>
          <rPr>
            <sz val="14"/>
            <color rgb="FF000000"/>
            <rFont val="Times New Roman"/>
            <family val="18"/>
          </rPr>
          <t xml:space="preserve">30/04/1789 [Dienst seit Mindestens] </t>
        </r>
        <r>
          <rPr>
            <i/>
            <sz val="14"/>
            <color rgb="FF000000"/>
            <rFont val="Times New Roman"/>
            <family val="18"/>
          </rPr>
          <t>Bei IR 34 Felds Bats. bei Proviant Fuhrwesen</t>
        </r>
        <r>
          <rPr>
            <sz val="14"/>
            <color rgb="FF000000"/>
            <rFont val="Times New Roman"/>
            <family val="18"/>
          </rPr>
          <t xml:space="preserve"> [ML May 1790]</t>
        </r>
        <r>
          <rPr>
            <sz val="14"/>
            <color rgb="FF000000"/>
            <rFont val="Calibri"/>
            <family val="34"/>
          </rPr>
          <t xml:space="preserve">
</t>
        </r>
        <r>
          <rPr>
            <sz val="14"/>
            <color rgb="FF000000"/>
            <rFont val="Times New Roman"/>
            <family val="18"/>
          </rPr>
          <t xml:space="preserve">31/07/1789 </t>
        </r>
        <r>
          <rPr>
            <i/>
            <sz val="14"/>
            <color rgb="FF000000"/>
            <rFont val="Times New Roman"/>
            <family val="18"/>
          </rPr>
          <t>Dienst bis mindestens beim IR 34 Feld Bats Artillerie Bespannung</t>
        </r>
        <r>
          <rPr>
            <sz val="14"/>
            <color rgb="FF000000"/>
            <rFont val="Times New Roman"/>
            <family val="18"/>
          </rPr>
          <t xml:space="preserve"> [ST July 1789]</t>
        </r>
        <r>
          <rPr>
            <sz val="14"/>
            <color rgb="FF000000"/>
            <rFont val="Calibri"/>
            <family val="34"/>
          </rPr>
          <t xml:space="preserve">
</t>
        </r>
      </text>
    </comment>
    <comment ref="BG45" authorId="0" shapeId="0" xr:uid="{4BCE0169-AAF3-7B40-9B7B-8DAAB169B607}">
      <text>
        <r>
          <rPr>
            <sz val="14"/>
            <color rgb="FF000000"/>
            <rFont val="Times New Roman"/>
            <family val="18"/>
          </rPr>
          <t>ML 3115 IR 34 (1789) –ST May (Feldlager beim Weiskirchen 12/06/1789), June (Feldlager bei Weiskirchen 23/07/1789), July (Feldlager bei Weiskirchen 24/08/1789)</t>
        </r>
      </text>
    </comment>
    <comment ref="BH45" authorId="0" shapeId="0" xr:uid="{A057D6BD-48FE-5C43-B4B8-157D745CE348}">
      <text>
        <r>
          <rPr>
            <sz val="14"/>
            <color rgb="FF000000"/>
            <rFont val="Calibri"/>
            <family val="34"/>
          </rPr>
          <t>MFWK (1789)</t>
        </r>
      </text>
    </comment>
    <comment ref="BF46" authorId="0" shapeId="0" xr:uid="{4C2F751C-6EF5-854C-BB57-A36A4DD9DDED}">
      <text>
        <r>
          <rPr>
            <sz val="14"/>
            <color rgb="FF000000"/>
            <rFont val="Times New Roman"/>
            <family val="18"/>
          </rPr>
          <t xml:space="preserve">30/04/1789 [Seit mindestens] </t>
        </r>
        <r>
          <rPr>
            <i/>
            <sz val="14"/>
            <color rgb="FF000000"/>
            <rFont val="Times New Roman"/>
            <family val="18"/>
          </rPr>
          <t>Als Beiläufer des Proviant Fuhrwesen von IR 11 Feld Bataillons in Ungarn auf Kommando</t>
        </r>
        <r>
          <rPr>
            <sz val="14"/>
            <color rgb="FF000000"/>
            <rFont val="Times New Roman"/>
            <family val="18"/>
          </rPr>
          <t xml:space="preserve"> [ST May 1789]</t>
        </r>
        <r>
          <rPr>
            <sz val="14"/>
            <color rgb="FF000000"/>
            <rFont val="Calibri"/>
            <family val="34"/>
          </rPr>
          <t xml:space="preserve">
</t>
        </r>
        <r>
          <rPr>
            <sz val="14"/>
            <color rgb="FF000000"/>
            <rFont val="Times New Roman"/>
            <family val="18"/>
          </rPr>
          <t xml:space="preserve">10/07/1789 </t>
        </r>
        <r>
          <rPr>
            <i/>
            <sz val="14"/>
            <color rgb="FF000000"/>
            <rFont val="Times New Roman"/>
            <family val="18"/>
          </rPr>
          <t>Bei Neusatz beim Regiment eingetroffen</t>
        </r>
        <r>
          <rPr>
            <sz val="14"/>
            <color rgb="FF000000"/>
            <rFont val="Times New Roman"/>
            <family val="18"/>
          </rPr>
          <t xml:space="preserve"> [ST July 1789]</t>
        </r>
        <r>
          <rPr>
            <sz val="14"/>
            <color rgb="FF000000"/>
            <rFont val="Calibri"/>
            <family val="34"/>
          </rPr>
          <t xml:space="preserve">
</t>
        </r>
        <r>
          <rPr>
            <sz val="14"/>
            <color rgb="FF000000"/>
            <rFont val="Times New Roman"/>
            <family val="18"/>
          </rPr>
          <t xml:space="preserve">22/08/1789 </t>
        </r>
        <r>
          <rPr>
            <i/>
            <sz val="14"/>
            <color rgb="FF000000"/>
            <rFont val="Times New Roman"/>
            <family val="18"/>
          </rPr>
          <t>Vermog anliegender transferierungsliste von IR 11 FELD Bats Proviant Fuhrwesen zum MFWK 19. Pro Cento Division 3. Abteilung transferiert</t>
        </r>
        <r>
          <rPr>
            <sz val="14"/>
            <color rgb="FF000000"/>
            <rFont val="Times New Roman"/>
            <family val="18"/>
          </rPr>
          <t xml:space="preserve"> [TL July 1789 &amp; ST July 1789]</t>
        </r>
        <r>
          <rPr>
            <sz val="14"/>
            <color rgb="FF000000"/>
            <rFont val="Calibri"/>
            <family val="34"/>
          </rPr>
          <t xml:space="preserve">
</t>
        </r>
      </text>
    </comment>
    <comment ref="BG46" authorId="0" shapeId="0" xr:uid="{D941F4FB-305E-DD4A-9306-618B0773ABE4}">
      <text>
        <r>
          <rPr>
            <sz val="14"/>
            <color rgb="FF000000"/>
            <rFont val="Times New Roman"/>
            <family val="18"/>
          </rPr>
          <t>ML 831 IR 11 (1789) – ST May (25/09/1789); ST July (Prague 03/05/1790); ST Aug (13/03/1790)</t>
        </r>
      </text>
    </comment>
    <comment ref="BH46" authorId="0" shapeId="0" xr:uid="{EE8750AF-BFCE-544B-9AB9-E0D0487DA8B1}">
      <text>
        <r>
          <rPr>
            <sz val="14"/>
            <color rgb="FF000000"/>
            <rFont val="Calibri"/>
            <family val="34"/>
          </rPr>
          <t>MFWK (1789)</t>
        </r>
      </text>
    </comment>
    <comment ref="BF47" authorId="0" shapeId="0" xr:uid="{A6AA6A8E-A320-9D44-B3B1-1F8B650CFAE3}">
      <text>
        <r>
          <rPr>
            <sz val="14"/>
            <color rgb="FF000000"/>
            <rFont val="Times New Roman"/>
            <family val="18"/>
          </rPr>
          <t xml:space="preserve">30/04/1789 [Dienst seit Mindestens] </t>
        </r>
        <r>
          <rPr>
            <i/>
            <sz val="14"/>
            <color rgb="FF000000"/>
            <rFont val="Times New Roman"/>
            <family val="18"/>
          </rPr>
          <t>Bei IR 34 Felds Bats. bei Proviant Fuhrwesen</t>
        </r>
        <r>
          <rPr>
            <sz val="14"/>
            <color rgb="FF000000"/>
            <rFont val="Times New Roman"/>
            <family val="18"/>
          </rPr>
          <t xml:space="preserve"> [ML May 1790]</t>
        </r>
        <r>
          <rPr>
            <sz val="14"/>
            <color rgb="FF000000"/>
            <rFont val="Calibri"/>
            <family val="34"/>
          </rPr>
          <t xml:space="preserve">
</t>
        </r>
        <r>
          <rPr>
            <sz val="14"/>
            <color rgb="FF000000"/>
            <rFont val="Times New Roman"/>
            <family val="18"/>
          </rPr>
          <t xml:space="preserve">31/07/1789 </t>
        </r>
        <r>
          <rPr>
            <i/>
            <sz val="14"/>
            <color rgb="FF000000"/>
            <rFont val="Times New Roman"/>
            <family val="18"/>
          </rPr>
          <t>Dienst bis mindestens beim IR 34 Feld Bats Artillerie Bespannung</t>
        </r>
        <r>
          <rPr>
            <sz val="14"/>
            <color rgb="FF000000"/>
            <rFont val="Times New Roman"/>
            <family val="18"/>
          </rPr>
          <t xml:space="preserve"> [ST July 1789]</t>
        </r>
        <r>
          <rPr>
            <sz val="14"/>
            <color rgb="FF000000"/>
            <rFont val="Calibri"/>
            <family val="34"/>
          </rPr>
          <t xml:space="preserve">
</t>
        </r>
      </text>
    </comment>
    <comment ref="BG47" authorId="0" shapeId="0" xr:uid="{241F6E29-7CB6-8F47-B4E9-667F3795976D}">
      <text>
        <r>
          <rPr>
            <sz val="14"/>
            <color rgb="FF000000"/>
            <rFont val="Times New Roman"/>
            <family val="18"/>
          </rPr>
          <t>ML 3115 IR 34 (1789) –ST May (Feldlager beim Weiskirchen 12/06/1789), June (Feldlager bei Weiskirchen 23/07/1789), July (Feldlager bei Weiskirchen 24/08/1789)</t>
        </r>
      </text>
    </comment>
    <comment ref="BH47" authorId="0" shapeId="0" xr:uid="{1FB15A17-A132-0248-84A2-41D7D40F6155}">
      <text>
        <r>
          <rPr>
            <sz val="14"/>
            <color rgb="FF000000"/>
            <rFont val="Calibri"/>
            <family val="34"/>
          </rPr>
          <t>MFWK (1789)</t>
        </r>
      </text>
    </comment>
    <comment ref="BF48" authorId="0" shapeId="0" xr:uid="{00B3919B-EDAC-6C41-923E-EE31820A4865}">
      <text>
        <r>
          <rPr>
            <sz val="14"/>
            <color rgb="FF000000"/>
            <rFont val="Times New Roman"/>
            <family val="18"/>
          </rPr>
          <t xml:space="preserve">30/04/1789 [Seit mindestens] </t>
        </r>
        <r>
          <rPr>
            <i/>
            <sz val="14"/>
            <color rgb="FF000000"/>
            <rFont val="Times New Roman"/>
            <family val="18"/>
          </rPr>
          <t>Als Beiläufer des Proviant Fuhrwesen von IR 11 Feld Bataillons in Ungarn auf Kommando</t>
        </r>
        <r>
          <rPr>
            <sz val="14"/>
            <color rgb="FF000000"/>
            <rFont val="Times New Roman"/>
            <family val="18"/>
          </rPr>
          <t xml:space="preserve"> [ST May 1789]</t>
        </r>
        <r>
          <rPr>
            <sz val="14"/>
            <color rgb="FF000000"/>
            <rFont val="Calibri"/>
            <family val="34"/>
          </rPr>
          <t xml:space="preserve">
</t>
        </r>
        <r>
          <rPr>
            <sz val="14"/>
            <color rgb="FF000000"/>
            <rFont val="Times New Roman"/>
            <family val="18"/>
          </rPr>
          <t xml:space="preserve">10/07/1789 </t>
        </r>
        <r>
          <rPr>
            <i/>
            <sz val="14"/>
            <color rgb="FF000000"/>
            <rFont val="Times New Roman"/>
            <family val="18"/>
          </rPr>
          <t>Bei Neusatz beim Regiment eingetroffen</t>
        </r>
        <r>
          <rPr>
            <sz val="14"/>
            <color rgb="FF000000"/>
            <rFont val="Times New Roman"/>
            <family val="18"/>
          </rPr>
          <t xml:space="preserve"> [ST July 1789]</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Dienst bis mindestens</t>
        </r>
        <r>
          <rPr>
            <sz val="14"/>
            <color rgb="FF000000"/>
            <rFont val="Times New Roman"/>
            <family val="18"/>
          </rPr>
          <t xml:space="preserve"> [ST Oct 1789]</t>
        </r>
        <r>
          <rPr>
            <sz val="14"/>
            <color rgb="FF000000"/>
            <rFont val="Calibri"/>
            <family val="34"/>
          </rPr>
          <t xml:space="preserve">
</t>
        </r>
      </text>
    </comment>
    <comment ref="BG48" authorId="0" shapeId="0" xr:uid="{163E047E-558F-C942-A1F6-3CE2F49291F8}">
      <text>
        <r>
          <rPr>
            <sz val="14"/>
            <color rgb="FF000000"/>
            <rFont val="Times New Roman"/>
            <family val="18"/>
          </rPr>
          <t>ML 831 IR 11 (1789) – ST May (25/09/1789), July (Prague 03/05/1790), Oct (Hof 14/06/1790)</t>
        </r>
      </text>
    </comment>
    <comment ref="BH48" authorId="0" shapeId="0" xr:uid="{BD4C7AF1-A95B-0343-B60A-14BE26035DB1}">
      <text>
        <r>
          <rPr>
            <sz val="14"/>
            <color rgb="FF000000"/>
            <rFont val="Calibri"/>
            <family val="34"/>
          </rPr>
          <t>MFWK (1789)</t>
        </r>
      </text>
    </comment>
    <comment ref="BF49" authorId="0" shapeId="0" xr:uid="{12234972-7800-F644-B3D4-419857A89998}">
      <text>
        <r>
          <rPr>
            <sz val="14"/>
            <color rgb="FF000000"/>
            <rFont val="Times New Roman"/>
            <family val="18"/>
          </rPr>
          <t xml:space="preserve">15/05/1789 </t>
        </r>
        <r>
          <rPr>
            <i/>
            <sz val="14"/>
            <color rgb="FF000000"/>
            <rFont val="Times New Roman"/>
            <family val="18"/>
          </rPr>
          <t>Von 17. Pro Cento Division zum IR 24 transferiert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12/01/1790 Revision: IR 24 2. Bat Proviant Fuhrwesen Nr. 2</t>
        </r>
        <r>
          <rPr>
            <sz val="14"/>
            <color rgb="FF000000"/>
            <rFont val="Calibri"/>
            <family val="34"/>
          </rPr>
          <t xml:space="preserve">
</t>
        </r>
        <r>
          <rPr>
            <sz val="14"/>
            <color rgb="FF000000"/>
            <rFont val="Times New Roman"/>
            <family val="18"/>
          </rPr>
          <t xml:space="preserve">27/01/1790 </t>
        </r>
        <r>
          <rPr>
            <i/>
            <sz val="14"/>
            <color rgb="FF000000"/>
            <rFont val="Times New Roman"/>
            <family val="18"/>
          </rPr>
          <t xml:space="preserve">Von IR 24 Feld Bats. Proviant Fuhrwesen wegen Erkrankung zuruck zum MLFK Pro centro Div. Nr. 17 transferiert </t>
        </r>
        <r>
          <rPr>
            <sz val="14"/>
            <color rgb="FF000000"/>
            <rFont val="Times New Roman"/>
            <family val="18"/>
          </rPr>
          <t>[TL June 1790 &amp; ST Jan 1790]</t>
        </r>
      </text>
    </comment>
    <comment ref="BG49" authorId="0" shapeId="0" xr:uid="{F8C9C39A-6B80-FF4A-A27C-6D95BE273F45}">
      <text>
        <r>
          <rPr>
            <sz val="14"/>
            <color rgb="FF000000"/>
            <rFont val="Times New Roman"/>
            <family val="18"/>
          </rPr>
          <t>ML 1934 IR 24 (1790-1) – RL 1790 Proviant Fuhrwesen Nr. 2 (Semlin 12/01/1790)</t>
        </r>
        <r>
          <rPr>
            <sz val="14"/>
            <color rgb="FF000000"/>
            <rFont val="Calibri"/>
            <family val="34"/>
          </rPr>
          <t xml:space="preserve">
</t>
        </r>
        <r>
          <rPr>
            <sz val="14"/>
            <color rgb="FF000000"/>
            <rFont val="Times New Roman"/>
            <family val="18"/>
          </rPr>
          <t xml:space="preserve">ML 1966 IR 24 (1787-9) – FELD Bats: ST Nov Nr. 5 (Belgrade 16/07/1790) </t>
        </r>
        <r>
          <rPr>
            <sz val="14"/>
            <color rgb="FF000000"/>
            <rFont val="Calibri"/>
            <family val="34"/>
          </rPr>
          <t xml:space="preserve">
</t>
        </r>
        <r>
          <rPr>
            <sz val="14"/>
            <color rgb="FF000000"/>
            <rFont val="Times New Roman"/>
            <family val="18"/>
          </rPr>
          <t>ML 1967 IR 24 (1790) – FELD Bats: ST Jan (Belgrade 27/07/1790)</t>
        </r>
        <r>
          <rPr>
            <sz val="14"/>
            <color rgb="FF000000"/>
            <rFont val="Calibri"/>
            <family val="34"/>
          </rPr>
          <t xml:space="preserve">
</t>
        </r>
        <r>
          <rPr>
            <sz val="14"/>
            <color rgb="FF000000"/>
            <rFont val="Times New Roman"/>
            <family val="18"/>
          </rPr>
          <t>ML 1968 IR 24 (1790) AL/TL – TL IR 24-&gt; MFWK-&gt; Nr. 1 (Belgrad 25/06/1790)</t>
        </r>
        <r>
          <rPr>
            <sz val="14"/>
            <color rgb="FF000000"/>
            <rFont val="Calibri"/>
            <family val="34"/>
          </rPr>
          <t xml:space="preserve">
</t>
        </r>
      </text>
    </comment>
    <comment ref="BH49" authorId="0" shapeId="0" xr:uid="{71FEBF92-4860-0545-96FA-CC5E708CE4BB}">
      <text>
        <r>
          <rPr>
            <sz val="14"/>
            <color rgb="FF000000"/>
            <rFont val="Calibri"/>
            <family val="34"/>
          </rPr>
          <t>MFWK (1789-1790)</t>
        </r>
      </text>
    </comment>
    <comment ref="BF50" authorId="0" shapeId="0" xr:uid="{68214241-A0BF-BC4A-A54E-B167A1580C24}">
      <text>
        <r>
          <rPr>
            <sz val="14"/>
            <color rgb="FF000000"/>
            <rFont val="Times New Roman"/>
            <family val="18"/>
          </rPr>
          <t xml:space="preserve">15/05/1789 </t>
        </r>
        <r>
          <rPr>
            <i/>
            <sz val="14"/>
            <color rgb="FF000000"/>
            <rFont val="Times New Roman"/>
            <family val="18"/>
          </rPr>
          <t xml:space="preserve">Von MFWK als Rekonvaleszierter zurück zum IR 50 Feld Bats transferiert </t>
        </r>
        <r>
          <rPr>
            <sz val="14"/>
            <color rgb="FF000000"/>
            <rFont val="Times New Roman"/>
            <family val="18"/>
          </rPr>
          <t>[TL March 1791]</t>
        </r>
        <r>
          <rPr>
            <sz val="14"/>
            <color rgb="FF000000"/>
            <rFont val="Calibri"/>
            <family val="34"/>
          </rPr>
          <t xml:space="preserve">
</t>
        </r>
        <r>
          <rPr>
            <sz val="14"/>
            <color rgb="FF000000"/>
            <rFont val="Times New Roman"/>
            <family val="18"/>
          </rPr>
          <t>UNBEKANNT: Kam nie in Bataillon</t>
        </r>
        <r>
          <rPr>
            <sz val="14"/>
            <color rgb="FF000000"/>
            <rFont val="Calibri"/>
            <family val="34"/>
          </rPr>
          <t xml:space="preserve">
</t>
        </r>
      </text>
    </comment>
    <comment ref="BG50" authorId="0" shapeId="0" xr:uid="{83973A03-6089-1B49-BF30-6F73CAB3A48D}">
      <text>
        <r>
          <rPr>
            <sz val="14"/>
            <color rgb="FF000000"/>
            <rFont val="Times New Roman"/>
            <family val="18"/>
          </rPr>
          <t>ML 10.503 IR 50 (1790) AL/TL – TL Nr. 1 (Vienna 24/03/1791)</t>
        </r>
      </text>
    </comment>
    <comment ref="BH50" authorId="0" shapeId="0" xr:uid="{43699D62-CA8F-1C4A-9FEE-CAD6BC2456C0}">
      <text>
        <r>
          <rPr>
            <sz val="14"/>
            <color rgb="FF000000"/>
            <rFont val="Calibri"/>
            <family val="34"/>
          </rPr>
          <t>MFWK (1789)</t>
        </r>
      </text>
    </comment>
    <comment ref="BF51" authorId="0" shapeId="0" xr:uid="{D60C0657-AC4C-0A48-9864-8603BF1A6328}">
      <text>
        <r>
          <rPr>
            <sz val="14"/>
            <color rgb="FF000000"/>
            <rFont val="Times New Roman"/>
            <family val="18"/>
          </rPr>
          <t xml:space="preserve">26/05/1789 Von MFWK </t>
        </r>
        <r>
          <rPr>
            <i/>
            <sz val="14"/>
            <color rgb="FF000000"/>
            <rFont val="Times New Roman"/>
            <family val="18"/>
          </rPr>
          <t>Pester Posto Kommando zum IR 28 Feld Bataillons transferiert und zum Proviant Fuhrwesen zugeteilt</t>
        </r>
        <r>
          <rPr>
            <sz val="14"/>
            <color rgb="FF000000"/>
            <rFont val="Times New Roman"/>
            <family val="18"/>
          </rPr>
          <t xml:space="preserve"> [ST May 1789] </t>
        </r>
        <r>
          <rPr>
            <sz val="14"/>
            <color rgb="FF000000"/>
            <rFont val="Calibri"/>
            <family val="34"/>
          </rPr>
          <t xml:space="preserve">
</t>
        </r>
        <r>
          <rPr>
            <sz val="14"/>
            <color rgb="FF000000"/>
            <rFont val="Times New Roman"/>
            <family val="18"/>
          </rPr>
          <t xml:space="preserve">05/10/1789 </t>
        </r>
        <r>
          <rPr>
            <i/>
            <sz val="14"/>
            <color rgb="FF000000"/>
            <rFont val="Times New Roman"/>
            <family val="18"/>
          </rPr>
          <t xml:space="preserve">Von Proviant Fuhrwesen zum Artillerie Bespannung von IR 28 Feld Bats transferiert </t>
        </r>
        <r>
          <rPr>
            <sz val="14"/>
            <color rgb="FF000000"/>
            <rFont val="Times New Roman"/>
            <family val="18"/>
          </rPr>
          <t>[ST Oct 1789]</t>
        </r>
        <r>
          <rPr>
            <sz val="14"/>
            <color rgb="FF000000"/>
            <rFont val="Calibri"/>
            <family val="34"/>
          </rPr>
          <t xml:space="preserve">
</t>
        </r>
        <r>
          <rPr>
            <sz val="14"/>
            <color rgb="FF000000"/>
            <rFont val="Times New Roman"/>
            <family val="18"/>
          </rPr>
          <t xml:space="preserve">30/11/1789 </t>
        </r>
        <r>
          <rPr>
            <i/>
            <sz val="14"/>
            <color rgb="FF000000"/>
            <rFont val="Times New Roman"/>
            <family val="18"/>
          </rPr>
          <t>Von IR 28 Feld Bats Artillerie Bespannung zum Pester Posto Kommando transferiert</t>
        </r>
        <r>
          <rPr>
            <sz val="14"/>
            <color rgb="FF000000"/>
            <rFont val="Times New Roman"/>
            <family val="18"/>
          </rPr>
          <t xml:space="preserve"> [TL Nov 1789 &amp; ST Nov 1789]</t>
        </r>
      </text>
    </comment>
    <comment ref="BG51" authorId="0" shapeId="0" xr:uid="{04DC7168-CCBC-1C4B-AD08-653AC61914D0}">
      <text>
        <r>
          <rPr>
            <sz val="14"/>
            <color rgb="FF000000"/>
            <rFont val="Times New Roman"/>
            <family val="18"/>
          </rPr>
          <t xml:space="preserve">ML 2437 IR 28 (1789) </t>
        </r>
        <r>
          <rPr>
            <sz val="14"/>
            <color rgb="FF000000"/>
            <rFont val="Times New Roman"/>
            <family val="18"/>
          </rPr>
          <t>– ST May (Pancsova 30/08/1789), Oct (Senfenberg 16/07/1790)</t>
        </r>
        <r>
          <rPr>
            <sz val="14"/>
            <color rgb="FF000000"/>
            <rFont val="Calibri"/>
            <family val="34"/>
          </rPr>
          <t xml:space="preserve">
</t>
        </r>
        <r>
          <rPr>
            <sz val="14"/>
            <color rgb="FF000000"/>
            <rFont val="Times New Roman"/>
            <family val="18"/>
          </rPr>
          <t>ML 2438 IR 28 (1789) AL/TL – IR 28-&gt;MFWK Nr. 6 (Ofen 30/11/1789)</t>
        </r>
      </text>
    </comment>
    <comment ref="BH51" authorId="0" shapeId="0" xr:uid="{07EAB944-5E57-BF4F-AD98-8828AFABB40C}">
      <text>
        <r>
          <rPr>
            <sz val="14"/>
            <color rgb="FF000000"/>
            <rFont val="Calibri"/>
            <family val="34"/>
          </rPr>
          <t>MFWK (1789)</t>
        </r>
      </text>
    </comment>
    <comment ref="BF52" authorId="0" shapeId="0" xr:uid="{D3153FFE-529F-E641-8C0F-D08D3D286A1C}">
      <text>
        <r>
          <rPr>
            <sz val="14"/>
            <color rgb="FF000000"/>
            <rFont val="Times New Roman"/>
            <family val="18"/>
          </rPr>
          <t xml:space="preserve">10/06/1789 </t>
        </r>
        <r>
          <rPr>
            <i/>
            <sz val="14"/>
            <color rgb="FF000000"/>
            <rFont val="Times New Roman"/>
            <family val="18"/>
          </rPr>
          <t>Von MFWL Pro Cento Div. Nr. 19 zum IR 49 Feld Bats transferiert und zum Regiments Fuhrwesen zugeteilt</t>
        </r>
        <r>
          <rPr>
            <sz val="14"/>
            <color rgb="FF000000"/>
            <rFont val="Times New Roman"/>
            <family val="18"/>
          </rPr>
          <t xml:space="preserve"> [ST June 1789]</t>
        </r>
        <r>
          <rPr>
            <sz val="14"/>
            <color rgb="FF000000"/>
            <rFont val="Calibri"/>
            <family val="34"/>
          </rPr>
          <t xml:space="preserve">
</t>
        </r>
        <r>
          <rPr>
            <sz val="14"/>
            <color rgb="FF000000"/>
            <rFont val="Times New Roman"/>
            <family val="18"/>
          </rPr>
          <t xml:space="preserve">25/10/1790 </t>
        </r>
        <r>
          <rPr>
            <i/>
            <sz val="14"/>
            <color rgb="FF000000"/>
            <rFont val="Times New Roman"/>
            <family val="18"/>
          </rPr>
          <t>Von 49 Feld Bats Proviant Fuhrwesen zum MFWK transferiert</t>
        </r>
        <r>
          <rPr>
            <sz val="14"/>
            <color rgb="FF000000"/>
            <rFont val="Times New Roman"/>
            <family val="18"/>
          </rPr>
          <t xml:space="preserve"> [TL Oct 1790 &amp; ST Oct 1790]</t>
        </r>
      </text>
    </comment>
    <comment ref="BG52" authorId="0" shapeId="0" xr:uid="{4EF37046-45B0-7149-81C1-9C52646B14C8}">
      <text>
        <r>
          <rPr>
            <sz val="14"/>
            <color rgb="FF000000"/>
            <rFont val="Times New Roman"/>
            <family val="18"/>
          </rPr>
          <t>ML 4203 IR 49 (1789) – ST June (Oppowa 18/09/1789),</t>
        </r>
        <r>
          <rPr>
            <sz val="14"/>
            <color rgb="FF000000"/>
            <rFont val="Calibri"/>
            <family val="34"/>
          </rPr>
          <t xml:space="preserve">
</t>
        </r>
        <r>
          <rPr>
            <sz val="14"/>
            <color rgb="FF000000"/>
            <rFont val="Times New Roman"/>
            <family val="18"/>
          </rPr>
          <t>ML 4206 IR 49 (1790) – Oct (30/10/1804)</t>
        </r>
        <r>
          <rPr>
            <sz val="14"/>
            <color rgb="FF000000"/>
            <rFont val="Calibri"/>
            <family val="34"/>
          </rPr>
          <t xml:space="preserve">
</t>
        </r>
        <r>
          <rPr>
            <sz val="14"/>
            <color rgb="FF000000"/>
            <rFont val="Times New Roman"/>
            <family val="18"/>
          </rPr>
          <t>ML 4207 IR 49 (1790) AL/TL – TL IR 49-&gt;MFWK Nr. 11 (Vienna 25/10/1790)</t>
        </r>
      </text>
    </comment>
    <comment ref="BH52" authorId="0" shapeId="0" xr:uid="{E272C1A0-624E-794E-AB20-CC9501F3B161}">
      <text>
        <r>
          <rPr>
            <sz val="14"/>
            <color rgb="FF000000"/>
            <rFont val="Calibri"/>
            <family val="34"/>
          </rPr>
          <t>MFWK (1789-1790)</t>
        </r>
      </text>
    </comment>
    <comment ref="BF53" authorId="0" shapeId="0" xr:uid="{4E06C672-AC75-924B-9C82-7FA69490C2BC}">
      <text>
        <r>
          <rPr>
            <sz val="14"/>
            <color rgb="FF000000"/>
            <rFont val="Times New Roman"/>
            <family val="18"/>
          </rPr>
          <t xml:space="preserve">11/06/1789 </t>
        </r>
        <r>
          <rPr>
            <i/>
            <sz val="14"/>
            <color rgb="FF000000"/>
            <rFont val="Times New Roman"/>
            <family val="18"/>
          </rPr>
          <t xml:space="preserve">Von der MFWK Pro Cento Division Nr. 19 zum IR 23 Feld Bataillon transferiert und zum Artillerie Bespannung beim Sturionischen Grenadier Bataillon zugeteilt </t>
        </r>
        <r>
          <rPr>
            <sz val="14"/>
            <color rgb="FF000000"/>
            <rFont val="Times New Roman"/>
            <family val="18"/>
          </rPr>
          <t xml:space="preserve">[ST June 1789]
</t>
        </r>
        <r>
          <rPr>
            <sz val="14"/>
            <color rgb="FF000000"/>
            <rFont val="Times New Roman"/>
            <family val="18"/>
          </rPr>
          <t xml:space="preserve">20/07/1789 </t>
        </r>
        <r>
          <rPr>
            <i/>
            <sz val="14"/>
            <color rgb="FF000000"/>
            <rFont val="Times New Roman"/>
            <family val="18"/>
          </rPr>
          <t>Weil selbst zu Fahren nicht tauglich war zum MFWK Abgegeben</t>
        </r>
        <r>
          <rPr>
            <sz val="14"/>
            <color rgb="FF000000"/>
            <rFont val="Times New Roman"/>
            <family val="18"/>
          </rPr>
          <t xml:space="preserve"> [ST July 1789]</t>
        </r>
      </text>
    </comment>
    <comment ref="BG53" authorId="0" shapeId="0" xr:uid="{141FEEC8-9839-1549-8938-268A15EFD13B}">
      <text>
        <r>
          <rPr>
            <sz val="14"/>
            <color rgb="FF000000"/>
            <rFont val="Times New Roman"/>
            <family val="18"/>
          </rPr>
          <t>ML 10.149 IR 23 (1789) AL/TL – June (Cremsier 11/05/1790), July (Cremsier 12/05/1790)</t>
        </r>
      </text>
    </comment>
    <comment ref="BH53" authorId="0" shapeId="0" xr:uid="{428939B1-C71B-2048-8754-003FE086D25D}">
      <text>
        <r>
          <rPr>
            <sz val="14"/>
            <color rgb="FF000000"/>
            <rFont val="Calibri"/>
            <family val="34"/>
          </rPr>
          <t>MFWK (1789)</t>
        </r>
      </text>
    </comment>
    <comment ref="BF54" authorId="0" shapeId="0" xr:uid="{99BFBA50-8BCE-6B47-87B4-508EFAD6BB9A}">
      <text>
        <r>
          <rPr>
            <sz val="14"/>
            <color rgb="FF000000"/>
            <rFont val="Times New Roman"/>
            <family val="18"/>
          </rPr>
          <t xml:space="preserve">12/06/1789 </t>
        </r>
        <r>
          <rPr>
            <i/>
            <sz val="14"/>
            <color rgb="FF000000"/>
            <rFont val="Times New Roman"/>
            <family val="18"/>
          </rPr>
          <t>Dient seit</t>
        </r>
        <r>
          <rPr>
            <sz val="14"/>
            <color rgb="FF000000"/>
            <rFont val="Times New Roman"/>
            <family val="18"/>
          </rPr>
          <t xml:space="preserve"> [ML 1791] </t>
        </r>
        <r>
          <rPr>
            <sz val="14"/>
            <color rgb="FF000000"/>
            <rFont val="Calibri"/>
            <family val="34"/>
          </rPr>
          <t xml:space="preserve">
</t>
        </r>
        <r>
          <rPr>
            <sz val="14"/>
            <color rgb="FF000000"/>
            <rFont val="Times New Roman"/>
            <family val="18"/>
          </rPr>
          <t>24/08/1791 Muster: IR 11 Haupt Springer Komp. Nr. 90 [</t>
        </r>
        <r>
          <rPr>
            <i/>
            <sz val="14"/>
            <color rgb="FF000000"/>
            <rFont val="Times New Roman"/>
            <family val="18"/>
          </rPr>
          <t>Wacht</t>
        </r>
        <r>
          <rPr>
            <sz val="14"/>
            <color rgb="FF000000"/>
            <rFont val="Times New Roman"/>
            <family val="18"/>
          </rPr>
          <t>]</t>
        </r>
        <r>
          <rPr>
            <sz val="14"/>
            <color rgb="FF000000"/>
            <rFont val="Calibri"/>
            <family val="34"/>
          </rPr>
          <t xml:space="preserve">
</t>
        </r>
        <r>
          <rPr>
            <sz val="14"/>
            <color rgb="FF000000"/>
            <rFont val="Times New Roman"/>
            <family val="18"/>
          </rPr>
          <t xml:space="preserve">20/09/1791 </t>
        </r>
        <r>
          <rPr>
            <i/>
            <sz val="14"/>
            <color rgb="FF000000"/>
            <rFont val="Times New Roman"/>
            <family val="18"/>
          </rPr>
          <t>Auf unbestimmte Urlaub entlassen</t>
        </r>
        <r>
          <rPr>
            <sz val="14"/>
            <color rgb="FF000000"/>
            <rFont val="Times New Roman"/>
            <family val="18"/>
          </rPr>
          <t xml:space="preserve"> [ML 1792]</t>
        </r>
        <r>
          <rPr>
            <sz val="14"/>
            <color rgb="FF000000"/>
            <rFont val="Calibri"/>
            <family val="34"/>
          </rPr>
          <t xml:space="preserve">
</t>
        </r>
      </text>
    </comment>
    <comment ref="BG54" authorId="0" shapeId="0" xr:uid="{7C2C17F7-4B7E-3047-A06F-DF192FB237F5}">
      <text>
        <r>
          <rPr>
            <sz val="14"/>
            <color rgb="FF000000"/>
            <rFont val="Times New Roman"/>
            <family val="18"/>
          </rPr>
          <t xml:space="preserve">12/06/1789 </t>
        </r>
        <r>
          <rPr>
            <i/>
            <sz val="14"/>
            <color rgb="FF000000"/>
            <rFont val="Times New Roman"/>
            <family val="18"/>
          </rPr>
          <t>Dient seit</t>
        </r>
        <r>
          <rPr>
            <sz val="14"/>
            <color rgb="FF000000"/>
            <rFont val="Times New Roman"/>
            <family val="18"/>
          </rPr>
          <t xml:space="preserve"> [ML 1791] </t>
        </r>
        <r>
          <rPr>
            <sz val="14"/>
            <color rgb="FF000000"/>
            <rFont val="Calibri"/>
            <family val="34"/>
          </rPr>
          <t xml:space="preserve">
</t>
        </r>
        <r>
          <rPr>
            <sz val="14"/>
            <color rgb="FF000000"/>
            <rFont val="Times New Roman"/>
            <family val="18"/>
          </rPr>
          <t>24/08/1791 Muster: IR 11 Haupt Springer Komp. Nr. 90 [</t>
        </r>
        <r>
          <rPr>
            <i/>
            <sz val="14"/>
            <color rgb="FF000000"/>
            <rFont val="Times New Roman"/>
            <family val="18"/>
          </rPr>
          <t>Wacht</t>
        </r>
        <r>
          <rPr>
            <sz val="14"/>
            <color rgb="FF000000"/>
            <rFont val="Times New Roman"/>
            <family val="18"/>
          </rPr>
          <t>]</t>
        </r>
        <r>
          <rPr>
            <sz val="14"/>
            <color rgb="FF000000"/>
            <rFont val="Calibri"/>
            <family val="34"/>
          </rPr>
          <t xml:space="preserve">
</t>
        </r>
        <r>
          <rPr>
            <sz val="14"/>
            <color rgb="FF000000"/>
            <rFont val="Times New Roman"/>
            <family val="18"/>
          </rPr>
          <t xml:space="preserve">20/09/1791 </t>
        </r>
        <r>
          <rPr>
            <i/>
            <sz val="14"/>
            <color rgb="FF000000"/>
            <rFont val="Times New Roman"/>
            <family val="18"/>
          </rPr>
          <t>Auf unbestimmte Urlaub entlassen</t>
        </r>
        <r>
          <rPr>
            <sz val="14"/>
            <color rgb="FF000000"/>
            <rFont val="Times New Roman"/>
            <family val="18"/>
          </rPr>
          <t xml:space="preserve"> [ML 1792]</t>
        </r>
      </text>
    </comment>
    <comment ref="BH54" authorId="0" shapeId="0" xr:uid="{2B028AE0-E507-1742-99FA-D1B7C642B457}">
      <text>
        <r>
          <rPr>
            <sz val="14"/>
            <color rgb="FF000000"/>
            <rFont val="Calibri"/>
            <family val="34"/>
          </rPr>
          <t>IR 4 (1789-1791)</t>
        </r>
      </text>
    </comment>
    <comment ref="BF55" authorId="0" shapeId="0" xr:uid="{3972430C-B068-374B-8721-646319DB2E38}">
      <text>
        <r>
          <rPr>
            <sz val="14"/>
            <color rgb="FF000000"/>
            <rFont val="Times New Roman"/>
            <family val="18"/>
          </rPr>
          <t xml:space="preserve">17/06/1789 </t>
        </r>
        <r>
          <rPr>
            <i/>
            <sz val="14"/>
            <color rgb="FF000000"/>
            <rFont val="Times New Roman"/>
            <family val="18"/>
          </rPr>
          <t xml:space="preserve">Von MFWK 19 pro cento Division zum IR 43 transferiert und zum Regiments Proviant Fuhrwesen transferiert </t>
        </r>
        <r>
          <rPr>
            <sz val="14"/>
            <color rgb="FF000000"/>
            <rFont val="Times New Roman"/>
            <family val="18"/>
          </rPr>
          <t xml:space="preserve">[ST June 1789]
</t>
        </r>
        <r>
          <rPr>
            <sz val="14"/>
            <color rgb="FF000000"/>
            <rFont val="Times New Roman"/>
            <family val="18"/>
          </rPr>
          <t>20/07/1789</t>
        </r>
        <r>
          <rPr>
            <i/>
            <sz val="14"/>
            <color rgb="FF000000"/>
            <rFont val="Times New Roman"/>
            <family val="18"/>
          </rPr>
          <t xml:space="preserve"> Von IR 43 Regiments Proviant Fuhrwesen zum MFWK Reserve transferiert </t>
        </r>
        <r>
          <rPr>
            <sz val="14"/>
            <color rgb="FF000000"/>
            <rFont val="Times New Roman"/>
            <family val="18"/>
          </rPr>
          <t xml:space="preserve">[ST July 1789]
</t>
        </r>
      </text>
    </comment>
    <comment ref="BG55" authorId="0" shapeId="0" xr:uid="{BFE6D823-7F95-454C-A165-E36587492C8B}">
      <text>
        <r>
          <rPr>
            <sz val="14"/>
            <color rgb="FF000000"/>
            <rFont val="Calibri"/>
            <family val="34"/>
          </rPr>
          <t>ML 10.294 IR 43 (1789) ST June FELD Proviant Fuhrwesen - Zuwachs (08/08/1789) und July FELD Proviant Fuhrwesen - Abgang (29/08/1789)</t>
        </r>
      </text>
    </comment>
    <comment ref="BH55" authorId="0" shapeId="0" xr:uid="{BCE5EB97-2A06-334C-ACBB-609A46618796}">
      <text>
        <r>
          <rPr>
            <sz val="14"/>
            <color rgb="FF000000"/>
            <rFont val="Calibri"/>
            <family val="34"/>
          </rPr>
          <t>MFWK (1789)</t>
        </r>
      </text>
    </comment>
    <comment ref="BF56" authorId="0" shapeId="0" xr:uid="{5B4FC01C-0621-C744-B3D1-37502786E26D}">
      <text>
        <r>
          <rPr>
            <sz val="14"/>
            <color rgb="FF000000"/>
            <rFont val="Times New Roman"/>
            <family val="18"/>
          </rPr>
          <t xml:space="preserve">17/06/1789 </t>
        </r>
        <r>
          <rPr>
            <i/>
            <sz val="14"/>
            <color rgb="FF000000"/>
            <rFont val="Times New Roman"/>
            <family val="18"/>
          </rPr>
          <t xml:space="preserve">Von MFWK 19 pro cento Division zum IR 43 transferiert und zum Regiments Proviant Fuhrwesen transferiert </t>
        </r>
        <r>
          <rPr>
            <sz val="14"/>
            <color rgb="FF000000"/>
            <rFont val="Times New Roman"/>
            <family val="18"/>
          </rPr>
          <t xml:space="preserve">[ST June 1789]
</t>
        </r>
        <r>
          <rPr>
            <sz val="14"/>
            <color rgb="FF000000"/>
            <rFont val="Times New Roman"/>
            <family val="18"/>
          </rPr>
          <t xml:space="preserve">20/07/1789 </t>
        </r>
        <r>
          <rPr>
            <i/>
            <sz val="14"/>
            <color rgb="FF000000"/>
            <rFont val="Times New Roman"/>
            <family val="18"/>
          </rPr>
          <t xml:space="preserve">Von IR 43 Regiments Proviant Fuhrwesen zum MFWK Reserve transferiert </t>
        </r>
        <r>
          <rPr>
            <sz val="14"/>
            <color rgb="FF000000"/>
            <rFont val="Times New Roman"/>
            <family val="18"/>
          </rPr>
          <t xml:space="preserve">[ST July 1789]
</t>
        </r>
      </text>
    </comment>
    <comment ref="BG56" authorId="0" shapeId="0" xr:uid="{74A9663D-250B-A043-81F7-56586C4A8B0F}">
      <text>
        <r>
          <rPr>
            <sz val="14"/>
            <color rgb="FF000000"/>
            <rFont val="Calibri"/>
            <family val="34"/>
          </rPr>
          <t>ML 10.294 IR 43 (1789) ST June FELD Proviant Fuhrwesen - Zuwachs (08/08/1789) und July FELD Proviant Fuhrwesen - Abgang (29/08/1789)</t>
        </r>
      </text>
    </comment>
    <comment ref="BH56" authorId="0" shapeId="0" xr:uid="{83B6E18F-54F0-6B42-9776-E3CAEB8AA505}">
      <text>
        <r>
          <rPr>
            <sz val="14"/>
            <color rgb="FF000000"/>
            <rFont val="Calibri"/>
            <family val="34"/>
          </rPr>
          <t>MFWK (1789)</t>
        </r>
      </text>
    </comment>
    <comment ref="BF57" authorId="0" shapeId="0" xr:uid="{6038ECF7-807F-A144-A22C-F9039F7839DD}">
      <text>
        <r>
          <rPr>
            <sz val="14"/>
            <color rgb="FF000000"/>
            <rFont val="Times New Roman"/>
            <family val="18"/>
          </rPr>
          <t xml:space="preserve">21/06/1789 </t>
        </r>
        <r>
          <rPr>
            <i/>
            <sz val="14"/>
            <color rgb="FF000000"/>
            <rFont val="Times New Roman"/>
            <family val="18"/>
          </rPr>
          <t>Von MFWK spanische Reiter Division Nr. 52 zum IR 49 Feld Bats transferiert und zum Spanische Ritter Bespannung zugeteilt</t>
        </r>
        <r>
          <rPr>
            <sz val="14"/>
            <color rgb="FF000000"/>
            <rFont val="Times New Roman"/>
            <family val="18"/>
          </rPr>
          <t xml:space="preserve"> [TL June 1789 &amp; ST June 1789]</t>
        </r>
        <r>
          <rPr>
            <sz val="14"/>
            <color rgb="FF000000"/>
            <rFont val="Calibri"/>
            <family val="34"/>
          </rPr>
          <t xml:space="preserve">
</t>
        </r>
        <r>
          <rPr>
            <sz val="14"/>
            <color rgb="FF000000"/>
            <rFont val="Times New Roman"/>
            <family val="18"/>
          </rPr>
          <t xml:space="preserve">31/10/1789 Von </t>
        </r>
        <r>
          <rPr>
            <i/>
            <sz val="14"/>
            <color rgb="FF000000"/>
            <rFont val="Times New Roman"/>
            <family val="18"/>
          </rPr>
          <t xml:space="preserve">IR 49 Feld Bats transferiert und zum Spanische Ritter Bespannung zurück zum MFWK Spanische Reiter Division Nr. 52 transferiert </t>
        </r>
        <r>
          <rPr>
            <sz val="14"/>
            <color rgb="FF000000"/>
            <rFont val="Times New Roman"/>
            <family val="18"/>
          </rPr>
          <t>[ST Nov 1789]</t>
        </r>
        <r>
          <rPr>
            <sz val="14"/>
            <color rgb="FF000000"/>
            <rFont val="Calibri"/>
            <family val="34"/>
          </rPr>
          <t xml:space="preserve">
</t>
        </r>
      </text>
    </comment>
    <comment ref="BG57" authorId="0" shapeId="0" xr:uid="{FD825E26-3325-6A4D-A64F-0B1E1301B666}">
      <text>
        <r>
          <rPr>
            <sz val="14"/>
            <color rgb="FF000000"/>
            <rFont val="Times New Roman"/>
            <family val="18"/>
          </rPr>
          <t>ML 4203 IR 49 (1789) – ST June (Oppowa 18/09/1789), Nov (Neutitschein 01/07/1790)</t>
        </r>
        <r>
          <rPr>
            <sz val="14"/>
            <color rgb="FF000000"/>
            <rFont val="Calibri"/>
            <family val="34"/>
          </rPr>
          <t xml:space="preserve">
</t>
        </r>
        <r>
          <rPr>
            <sz val="14"/>
            <color rgb="FF000000"/>
            <rFont val="Times New Roman"/>
            <family val="18"/>
          </rPr>
          <t>ML 4204 IR 49 (1789) AL/TL (I-VI) – TL MFWK-&gt;IR 49 Nr. 2 (Weiskirchen 20/06/1789)</t>
        </r>
      </text>
    </comment>
    <comment ref="BH57" authorId="0" shapeId="0" xr:uid="{F41BC00A-B492-044C-B133-A4AA78E615E5}">
      <text>
        <r>
          <rPr>
            <sz val="14"/>
            <color rgb="FF000000"/>
            <rFont val="Calibri"/>
            <family val="34"/>
          </rPr>
          <t>MFWK (1789)</t>
        </r>
      </text>
    </comment>
    <comment ref="BF58" authorId="0" shapeId="0" xr:uid="{ED888301-8924-0247-BD50-6FD2AB0D595A}">
      <text>
        <r>
          <rPr>
            <sz val="14"/>
            <color rgb="FF000000"/>
            <rFont val="Times New Roman"/>
            <family val="18"/>
          </rPr>
          <t xml:space="preserve">21/06/1789 </t>
        </r>
        <r>
          <rPr>
            <i/>
            <sz val="14"/>
            <color rgb="FF000000"/>
            <rFont val="Times New Roman"/>
            <family val="18"/>
          </rPr>
          <t xml:space="preserve">Von der MFWK spanische Reiter Division Nr. 52 zum IR 23 Feld Bataillon transferiert und zum Proviant Fuhrwesen beim Sturionischen Grenadier Bataillon zugeteilt </t>
        </r>
        <r>
          <rPr>
            <sz val="14"/>
            <color rgb="FF000000"/>
            <rFont val="Times New Roman"/>
            <family val="18"/>
          </rPr>
          <t xml:space="preserve">[ST June 1789]
</t>
        </r>
        <r>
          <rPr>
            <sz val="14"/>
            <color rgb="FF000000"/>
            <rFont val="Times New Roman"/>
            <family val="18"/>
          </rPr>
          <t xml:space="preserve">31/10/1789 </t>
        </r>
        <r>
          <rPr>
            <i/>
            <sz val="14"/>
            <color rgb="FF000000"/>
            <rFont val="Times New Roman"/>
            <family val="18"/>
          </rPr>
          <t>Von Sturionischen Grenadier Bataillon Proviant Fuhrwesen zum MFWK transferiert</t>
        </r>
        <r>
          <rPr>
            <sz val="14"/>
            <color rgb="FF000000"/>
            <rFont val="Times New Roman"/>
            <family val="18"/>
          </rPr>
          <t xml:space="preserve"> [ST Oct 1789]
</t>
        </r>
      </text>
    </comment>
    <comment ref="BG58" authorId="0" shapeId="0" xr:uid="{7DD57063-F9A6-114E-9899-6CA1E0E8EC82}">
      <text>
        <r>
          <rPr>
            <sz val="14"/>
            <color rgb="FF000000"/>
            <rFont val="Times New Roman"/>
            <family val="18"/>
          </rPr>
          <t xml:space="preserve">ML 10.149 IR 23 (1789) AL/TL </t>
        </r>
        <r>
          <rPr>
            <sz val="14"/>
            <color rgb="FF000000"/>
            <rFont val="Times New Roman"/>
            <family val="18"/>
          </rPr>
          <t>– June (Cremsier 11/05/1790), Oct (Freiberg 22/06/1790)</t>
        </r>
      </text>
    </comment>
    <comment ref="BH58" authorId="0" shapeId="0" xr:uid="{9D3B2A18-AE3E-2D41-A7A0-BB3B029642F7}">
      <text>
        <r>
          <rPr>
            <sz val="14"/>
            <color rgb="FF000000"/>
            <rFont val="Calibri"/>
            <family val="34"/>
          </rPr>
          <t>MFWK (1789)</t>
        </r>
      </text>
    </comment>
    <comment ref="BF59" authorId="0" shapeId="0" xr:uid="{92BEB7FF-1C59-3E43-A363-811FC3CC9FBF}">
      <text>
        <r>
          <rPr>
            <sz val="14"/>
            <color rgb="FF000000"/>
            <rFont val="Times New Roman"/>
            <family val="18"/>
          </rPr>
          <t xml:space="preserve">21/06/1789 </t>
        </r>
        <r>
          <rPr>
            <i/>
            <sz val="14"/>
            <color rgb="FF000000"/>
            <rFont val="Times New Roman"/>
            <family val="18"/>
          </rPr>
          <t>Von MFWK Pro Cento Div. Nr. 19 zum IR 16 Feld Bat transferiert und zum Provinat Fuhrwesen eingeteilt</t>
        </r>
        <r>
          <rPr>
            <sz val="14"/>
            <color rgb="FF000000"/>
            <rFont val="Times New Roman"/>
            <family val="18"/>
          </rPr>
          <t xml:space="preserve"> [ST June 1789]</t>
        </r>
        <r>
          <rPr>
            <sz val="14"/>
            <color rgb="FF000000"/>
            <rFont val="Calibri"/>
            <family val="34"/>
          </rPr>
          <t xml:space="preserve">
</t>
        </r>
        <r>
          <rPr>
            <sz val="14"/>
            <color rgb="FF000000"/>
            <rFont val="Times New Roman"/>
            <family val="18"/>
          </rPr>
          <t>31/10/1789 [Dient mindestens bis] [ST Oct 1789]</t>
        </r>
        <r>
          <rPr>
            <sz val="14"/>
            <color rgb="FF000000"/>
            <rFont val="Calibri"/>
            <family val="34"/>
          </rPr>
          <t xml:space="preserve">
</t>
        </r>
      </text>
    </comment>
    <comment ref="BG59" authorId="0" shapeId="0" xr:uid="{E4B62F2E-0E7B-C941-8121-F5584E5100C3}">
      <text>
        <r>
          <rPr>
            <sz val="14"/>
            <color rgb="FF000000"/>
            <rFont val="Times New Roman"/>
            <family val="18"/>
          </rPr>
          <t>ML 1240 IR 16 (1789) – ST June (16/05/1791), Dec (24/06/1791)</t>
        </r>
      </text>
    </comment>
    <comment ref="BH59" authorId="0" shapeId="0" xr:uid="{1F24C958-53C0-344E-BE46-3BF73A90E5B2}">
      <text>
        <r>
          <rPr>
            <sz val="14"/>
            <color rgb="FF000000"/>
            <rFont val="Calibri"/>
            <family val="34"/>
          </rPr>
          <t>MFWK (1789)</t>
        </r>
      </text>
    </comment>
    <comment ref="BF60" authorId="0" shapeId="0" xr:uid="{468A777F-B4AB-3B49-ABA4-BB7AF7319CDF}">
      <text>
        <r>
          <rPr>
            <sz val="14"/>
            <color rgb="FF000000"/>
            <rFont val="Times New Roman"/>
            <family val="18"/>
          </rPr>
          <t xml:space="preserve">21/06/1789 </t>
        </r>
        <r>
          <rPr>
            <i/>
            <sz val="14"/>
            <color rgb="FF000000"/>
            <rFont val="Times New Roman"/>
            <family val="18"/>
          </rPr>
          <t xml:space="preserve">Von der MFWK Spanische Reiter Division Nr. 52 zum IR 23 Feld Bataillon transferiert und zum Proviant Fuhrwesen zugeteilt </t>
        </r>
        <r>
          <rPr>
            <sz val="14"/>
            <color rgb="FF000000"/>
            <rFont val="Times New Roman"/>
            <family val="18"/>
          </rPr>
          <t xml:space="preserve">[ST June 1789]
</t>
        </r>
        <r>
          <rPr>
            <sz val="14"/>
            <color rgb="FF000000"/>
            <rFont val="Times New Roman"/>
            <family val="18"/>
          </rPr>
          <t xml:space="preserve">31/10/1789 </t>
        </r>
        <r>
          <rPr>
            <i/>
            <sz val="14"/>
            <color rgb="FF000000"/>
            <rFont val="Times New Roman"/>
            <family val="18"/>
          </rPr>
          <t>Von IR 23 Feld Bats Proviant Fuhrwesen zum MFWK transferiert</t>
        </r>
        <r>
          <rPr>
            <sz val="14"/>
            <color rgb="FF000000"/>
            <rFont val="Times New Roman"/>
            <family val="18"/>
          </rPr>
          <t xml:space="preserve"> [ST Oct 1789]
</t>
        </r>
        <r>
          <rPr>
            <sz val="18"/>
            <color rgb="FF000000"/>
            <rFont val="Calibri"/>
            <family val="2"/>
          </rPr>
          <t xml:space="preserve"> 
</t>
        </r>
      </text>
    </comment>
    <comment ref="BG60" authorId="0" shapeId="0" xr:uid="{6091799E-4A63-8B40-B2D2-4E0E32731424}">
      <text>
        <r>
          <rPr>
            <sz val="14"/>
            <color rgb="FF000000"/>
            <rFont val="Times New Roman"/>
            <family val="18"/>
          </rPr>
          <t xml:space="preserve">ML 10.149 IR 23 (1789) AL/TL </t>
        </r>
        <r>
          <rPr>
            <sz val="14"/>
            <color rgb="FF000000"/>
            <rFont val="Times New Roman"/>
            <family val="18"/>
          </rPr>
          <t>– June (Cremsier 11/05/1790), Oct (Freiberg 22/06/1790)</t>
        </r>
      </text>
    </comment>
    <comment ref="BH60" authorId="0" shapeId="0" xr:uid="{EFB82765-EF82-5C48-983E-FEF7784BCED3}">
      <text>
        <r>
          <rPr>
            <sz val="14"/>
            <color rgb="FF000000"/>
            <rFont val="Calibri"/>
            <family val="34"/>
          </rPr>
          <t>MFWK (1789)</t>
        </r>
      </text>
    </comment>
    <comment ref="BF61" authorId="0" shapeId="0" xr:uid="{5F0F34DD-6C9F-894C-8E84-7AD159028F6F}">
      <text>
        <r>
          <rPr>
            <sz val="14"/>
            <color rgb="FF000000"/>
            <rFont val="Times New Roman"/>
            <family val="18"/>
          </rPr>
          <t xml:space="preserve">21/06/1789 </t>
        </r>
        <r>
          <rPr>
            <i/>
            <sz val="14"/>
            <color rgb="FF000000"/>
            <rFont val="Times New Roman"/>
            <family val="18"/>
          </rPr>
          <t>Von MFWK Pro Cento Div. Nr. 19 zum IR 16 Feld Bat transferiert und zum Provinat Fuhrwesen eingeteilt</t>
        </r>
        <r>
          <rPr>
            <sz val="14"/>
            <color rgb="FF000000"/>
            <rFont val="Times New Roman"/>
            <family val="18"/>
          </rPr>
          <t xml:space="preserve"> [ST June 1789]</t>
        </r>
        <r>
          <rPr>
            <sz val="14"/>
            <color rgb="FF000000"/>
            <rFont val="Calibri"/>
            <family val="34"/>
          </rPr>
          <t xml:space="preserve">
</t>
        </r>
        <r>
          <rPr>
            <sz val="14"/>
            <color rgb="FF000000"/>
            <rFont val="Times New Roman"/>
            <family val="18"/>
          </rPr>
          <t>31/10/1789 [Dient mindestens bis] [ST Oct 1789]</t>
        </r>
        <r>
          <rPr>
            <sz val="14"/>
            <color rgb="FF000000"/>
            <rFont val="Calibri"/>
            <family val="34"/>
          </rPr>
          <t xml:space="preserve">
</t>
        </r>
      </text>
    </comment>
    <comment ref="BG61" authorId="0" shapeId="0" xr:uid="{7790D169-519C-5142-BCEC-457AC8762FF0}">
      <text>
        <r>
          <rPr>
            <sz val="14"/>
            <color rgb="FF000000"/>
            <rFont val="Times New Roman"/>
            <family val="18"/>
          </rPr>
          <t>ML 1240 IR 16 (1789) – ST June (16/05/1791), Dec (24/06/1791)</t>
        </r>
      </text>
    </comment>
    <comment ref="BH61" authorId="0" shapeId="0" xr:uid="{88114F27-FC93-0B46-A1C5-9EFA6C1FB8DD}">
      <text>
        <r>
          <rPr>
            <sz val="14"/>
            <color rgb="FF000000"/>
            <rFont val="Calibri"/>
            <family val="34"/>
          </rPr>
          <t>MFWK (1789)</t>
        </r>
      </text>
    </comment>
    <comment ref="BF62" authorId="0" shapeId="0" xr:uid="{7F837B50-1E6B-124D-BDE0-7C25B7ECDF46}">
      <text>
        <r>
          <rPr>
            <sz val="14"/>
            <color rgb="FF000000"/>
            <rFont val="Times New Roman"/>
            <family val="18"/>
          </rPr>
          <t xml:space="preserve">21/06/1789 </t>
        </r>
        <r>
          <rPr>
            <i/>
            <sz val="14"/>
            <color rgb="FF000000"/>
            <rFont val="Times New Roman"/>
            <family val="18"/>
          </rPr>
          <t xml:space="preserve">Von der MFWK Pro Cento Div. Nr. 19 1. Abt. zum IR 23 Feld Bataillon transferiert und zum Proviant Fuhrwesen zugeteilt </t>
        </r>
        <r>
          <rPr>
            <sz val="14"/>
            <color rgb="FF000000"/>
            <rFont val="Times New Roman"/>
            <family val="18"/>
          </rPr>
          <t xml:space="preserve">[ST June 1789]
</t>
        </r>
        <r>
          <rPr>
            <sz val="14"/>
            <color rgb="FF000000"/>
            <rFont val="Times New Roman"/>
            <family val="18"/>
          </rPr>
          <t xml:space="preserve">31/10/1789 </t>
        </r>
        <r>
          <rPr>
            <i/>
            <sz val="14"/>
            <color rgb="FF000000"/>
            <rFont val="Times New Roman"/>
            <family val="18"/>
          </rPr>
          <t>Von Sturionischen Grenadier Bataillon Proviant Fuhrwesen zum MFWK transferiert</t>
        </r>
        <r>
          <rPr>
            <sz val="14"/>
            <color rgb="FF000000"/>
            <rFont val="Times New Roman"/>
            <family val="18"/>
          </rPr>
          <t xml:space="preserve"> [ST Oct 1789]
</t>
        </r>
      </text>
    </comment>
    <comment ref="BG62" authorId="0" shapeId="0" xr:uid="{72DAA533-74BD-9640-9A9F-9686DA4ACEC6}">
      <text>
        <r>
          <rPr>
            <sz val="14"/>
            <color rgb="FF000000"/>
            <rFont val="Times New Roman"/>
            <family val="18"/>
          </rPr>
          <t xml:space="preserve">ML 10.149 IR 23 (1789) AL/TL </t>
        </r>
        <r>
          <rPr>
            <sz val="14"/>
            <color rgb="FF000000"/>
            <rFont val="Times New Roman"/>
            <family val="18"/>
          </rPr>
          <t>– June (Cremsier 11/05/1790), Oct (Freiberg 22/06/1790)</t>
        </r>
      </text>
    </comment>
    <comment ref="BH62" authorId="0" shapeId="0" xr:uid="{A8C53EA4-E1D0-8B46-8B17-1929C51339C4}">
      <text>
        <r>
          <rPr>
            <sz val="14"/>
            <color rgb="FF000000"/>
            <rFont val="Calibri"/>
            <family val="34"/>
          </rPr>
          <t>MFWK (1789)</t>
        </r>
      </text>
    </comment>
    <comment ref="BF63" authorId="0" shapeId="0" xr:uid="{1C2AF8F7-581E-2647-BED2-56D134457966}">
      <text>
        <r>
          <rPr>
            <sz val="14"/>
            <color rgb="FF000000"/>
            <rFont val="Times New Roman"/>
            <family val="18"/>
          </rPr>
          <t xml:space="preserve">21/06/1789 </t>
        </r>
        <r>
          <rPr>
            <i/>
            <sz val="14"/>
            <color rgb="FF000000"/>
            <rFont val="Times New Roman"/>
            <family val="18"/>
          </rPr>
          <t>Von MFWK Pro Cento Div. Nr. 19 zum IR 16 Feld Bat transferiert und zum Provinat Fuhrwesen eingeteilt</t>
        </r>
        <r>
          <rPr>
            <sz val="14"/>
            <color rgb="FF000000"/>
            <rFont val="Times New Roman"/>
            <family val="18"/>
          </rPr>
          <t xml:space="preserve"> [ST June 1789]</t>
        </r>
        <r>
          <rPr>
            <sz val="14"/>
            <color rgb="FF000000"/>
            <rFont val="Calibri"/>
            <family val="34"/>
          </rPr>
          <t xml:space="preserve">
</t>
        </r>
        <r>
          <rPr>
            <sz val="14"/>
            <color rgb="FF000000"/>
            <rFont val="Times New Roman"/>
            <family val="18"/>
          </rPr>
          <t>31/10/1789 [Dient mindestens bis] [ST Oct 1789]</t>
        </r>
        <r>
          <rPr>
            <sz val="14"/>
            <color rgb="FF000000"/>
            <rFont val="Calibri"/>
            <family val="34"/>
          </rPr>
          <t xml:space="preserve">
</t>
        </r>
      </text>
    </comment>
    <comment ref="BG63" authorId="0" shapeId="0" xr:uid="{5270FDD2-4FA6-9542-9E3E-DD28C687F193}">
      <text>
        <r>
          <rPr>
            <sz val="14"/>
            <color rgb="FF000000"/>
            <rFont val="Times New Roman"/>
            <family val="18"/>
          </rPr>
          <t>ML 1240 IR 16 (1789) – ST June (16/05/1791), Dec (24/06/1791)</t>
        </r>
      </text>
    </comment>
    <comment ref="BH63" authorId="0" shapeId="0" xr:uid="{992A8CF7-F7F9-DE40-A6D1-5FA947D00FF3}">
      <text>
        <r>
          <rPr>
            <sz val="14"/>
            <color rgb="FF000000"/>
            <rFont val="Calibri"/>
            <family val="34"/>
          </rPr>
          <t>MFWK (1789)</t>
        </r>
      </text>
    </comment>
    <comment ref="BF64" authorId="0" shapeId="0" xr:uid="{A1C5E8C5-E3AD-D64F-9346-AB1994D04D19}">
      <text>
        <r>
          <rPr>
            <sz val="14"/>
            <color rgb="FF000000"/>
            <rFont val="Times New Roman"/>
            <family val="18"/>
          </rPr>
          <t xml:space="preserve">27/06/1789 </t>
        </r>
        <r>
          <rPr>
            <i/>
            <sz val="14"/>
            <color rgb="FF000000"/>
            <rFont val="Times New Roman"/>
            <family val="18"/>
          </rPr>
          <t xml:space="preserve">Von MFWK 19. Pro cento Division 3. Abteilung zum IR 34 Feld Bats transferiert und zum Proviant Fuhrwesen eingeteilt </t>
        </r>
        <r>
          <rPr>
            <sz val="14"/>
            <color rgb="FF000000"/>
            <rFont val="Times New Roman"/>
            <family val="18"/>
          </rPr>
          <t>[TL June 1789]</t>
        </r>
        <r>
          <rPr>
            <sz val="14"/>
            <color rgb="FF000000"/>
            <rFont val="Calibri"/>
            <family val="34"/>
          </rPr>
          <t xml:space="preserve">
</t>
        </r>
        <r>
          <rPr>
            <sz val="14"/>
            <color rgb="FF000000"/>
            <rFont val="Times New Roman"/>
            <family val="18"/>
          </rPr>
          <t xml:space="preserve">31/07/1789 </t>
        </r>
        <r>
          <rPr>
            <i/>
            <sz val="14"/>
            <color rgb="FF000000"/>
            <rFont val="Times New Roman"/>
            <family val="18"/>
          </rPr>
          <t>Dienst bis mindestens beim IR 34 Feld Bats Proviant Fuhrwesen</t>
        </r>
        <r>
          <rPr>
            <sz val="14"/>
            <color rgb="FF000000"/>
            <rFont val="Times New Roman"/>
            <family val="18"/>
          </rPr>
          <t xml:space="preserve"> [ST July 1789]</t>
        </r>
        <r>
          <rPr>
            <sz val="14"/>
            <color rgb="FF000000"/>
            <rFont val="Calibri"/>
            <family val="34"/>
          </rPr>
          <t xml:space="preserve">
</t>
        </r>
      </text>
    </comment>
    <comment ref="BG64" authorId="0" shapeId="0" xr:uid="{41848796-08B1-D04A-8D74-FD993A573C78}">
      <text>
        <r>
          <rPr>
            <sz val="14"/>
            <color rgb="FF000000"/>
            <rFont val="Times New Roman"/>
            <family val="18"/>
          </rPr>
          <t>ML 3115 IR 34 (1789) – TL MFWK-&gt;IR 34 Nr. 6 (Lager beim Uber Herschin 24/06/1789); ST June (Feldlager bei Weiskirchen 23/07/1789), July (Feldlager bei Weiskirchen 24/08/1789)</t>
        </r>
      </text>
    </comment>
    <comment ref="BH64" authorId="0" shapeId="0" xr:uid="{5D240F6B-94B9-A145-9C45-2F976AA3CB1A}">
      <text>
        <r>
          <rPr>
            <sz val="14"/>
            <color rgb="FF000000"/>
            <rFont val="Calibri"/>
            <family val="34"/>
          </rPr>
          <t>MFWK (1789)</t>
        </r>
      </text>
    </comment>
    <comment ref="BF65" authorId="0" shapeId="0" xr:uid="{63D121B0-4CBD-8B40-A4F2-43DFBFECE43C}">
      <text>
        <r>
          <rPr>
            <sz val="14"/>
            <color rgb="FF000000"/>
            <rFont val="Times New Roman"/>
            <family val="18"/>
          </rPr>
          <t xml:space="preserve">27/06/1789 </t>
        </r>
        <r>
          <rPr>
            <i/>
            <sz val="14"/>
            <color rgb="FF000000"/>
            <rFont val="Times New Roman"/>
            <family val="18"/>
          </rPr>
          <t xml:space="preserve">Von MFWK 19. Pro cento Division 3. Abteilung zum IR 34 Feld Bats transferiert und zum Proviant Fuhrwesen eingeteilt </t>
        </r>
        <r>
          <rPr>
            <sz val="14"/>
            <color rgb="FF000000"/>
            <rFont val="Times New Roman"/>
            <family val="18"/>
          </rPr>
          <t>[TL June 1789]</t>
        </r>
        <r>
          <rPr>
            <sz val="14"/>
            <color rgb="FF000000"/>
            <rFont val="Calibri"/>
            <family val="34"/>
          </rPr>
          <t xml:space="preserve">
</t>
        </r>
        <r>
          <rPr>
            <sz val="14"/>
            <color rgb="FF000000"/>
            <rFont val="Times New Roman"/>
            <family val="18"/>
          </rPr>
          <t xml:space="preserve">31/07/1789 </t>
        </r>
        <r>
          <rPr>
            <i/>
            <sz val="14"/>
            <color rgb="FF000000"/>
            <rFont val="Times New Roman"/>
            <family val="18"/>
          </rPr>
          <t>Dienst bis mindestens beim IR 34 Feld Bats Proviant Fuhrwesen</t>
        </r>
        <r>
          <rPr>
            <sz val="14"/>
            <color rgb="FF000000"/>
            <rFont val="Times New Roman"/>
            <family val="18"/>
          </rPr>
          <t xml:space="preserve"> [ST July 1789]</t>
        </r>
        <r>
          <rPr>
            <sz val="14"/>
            <color rgb="FF000000"/>
            <rFont val="Calibri"/>
            <family val="34"/>
          </rPr>
          <t xml:space="preserve">
</t>
        </r>
      </text>
    </comment>
    <comment ref="BG65" authorId="0" shapeId="0" xr:uid="{AA8B7789-A58A-5A45-89F5-9E56BF023CD9}">
      <text>
        <r>
          <rPr>
            <sz val="14"/>
            <color rgb="FF000000"/>
            <rFont val="Times New Roman"/>
            <family val="18"/>
          </rPr>
          <t>ML 3115 IR 34 (1789) – TL MFWK-&gt;IR 34 Nr. 4 (Lager beim Uber Herschin 24/06/1789); ST June (Feldlager bei Weiskirchen 23/07/1789), July (Feldlager bei Weiskirchen 24/08/1789)</t>
        </r>
      </text>
    </comment>
    <comment ref="BH65" authorId="0" shapeId="0" xr:uid="{E987CC65-4F69-5C4D-A636-689EEDEF71F8}">
      <text>
        <r>
          <rPr>
            <sz val="14"/>
            <color rgb="FF000000"/>
            <rFont val="Calibri"/>
            <family val="34"/>
          </rPr>
          <t>MFWK (1789)</t>
        </r>
      </text>
    </comment>
    <comment ref="BF66" authorId="0" shapeId="0" xr:uid="{DB8EB960-A9D6-9C44-99AA-2C42167666AD}">
      <text>
        <r>
          <rPr>
            <sz val="14"/>
            <color rgb="FF000000"/>
            <rFont val="Times New Roman"/>
            <family val="18"/>
          </rPr>
          <t xml:space="preserve">27/06/1789 </t>
        </r>
        <r>
          <rPr>
            <i/>
            <sz val="14"/>
            <color rgb="FF000000"/>
            <rFont val="Times New Roman"/>
            <family val="18"/>
          </rPr>
          <t xml:space="preserve">Von MFWK 19. Pro cento Division 3. Abteilung zum IR 34 Feld Bats transferiert und zum Proviant Fuhrwesen eingeteilt </t>
        </r>
        <r>
          <rPr>
            <sz val="14"/>
            <color rgb="FF000000"/>
            <rFont val="Times New Roman"/>
            <family val="18"/>
          </rPr>
          <t>[TL June 1789]</t>
        </r>
        <r>
          <rPr>
            <sz val="14"/>
            <color rgb="FF000000"/>
            <rFont val="Calibri"/>
            <family val="34"/>
          </rPr>
          <t xml:space="preserve">
</t>
        </r>
        <r>
          <rPr>
            <sz val="14"/>
            <color rgb="FF000000"/>
            <rFont val="Times New Roman"/>
            <family val="18"/>
          </rPr>
          <t xml:space="preserve">31/07/1789 </t>
        </r>
        <r>
          <rPr>
            <i/>
            <sz val="14"/>
            <color rgb="FF000000"/>
            <rFont val="Times New Roman"/>
            <family val="18"/>
          </rPr>
          <t>Dienst bis mindestens beim IR 34 Feld Bats Proviant Fuhrwesen</t>
        </r>
        <r>
          <rPr>
            <sz val="14"/>
            <color rgb="FF000000"/>
            <rFont val="Times New Roman"/>
            <family val="18"/>
          </rPr>
          <t xml:space="preserve"> [ST July 1789]</t>
        </r>
        <r>
          <rPr>
            <sz val="14"/>
            <color rgb="FF000000"/>
            <rFont val="Calibri"/>
            <family val="34"/>
          </rPr>
          <t xml:space="preserve">
</t>
        </r>
      </text>
    </comment>
    <comment ref="BG66" authorId="0" shapeId="0" xr:uid="{C748256C-6792-C842-98A9-DE8B60A7B2EB}">
      <text>
        <r>
          <rPr>
            <sz val="14"/>
            <color rgb="FF000000"/>
            <rFont val="Times New Roman"/>
            <family val="18"/>
          </rPr>
          <t>ML 3115 IR 34 (1789) – TL MFWK-&gt;IR 34 Nr. 5 (Lager beim Uber Herschin 24/06/1789); ST June (Feldlager bei Weiskirchen 23/07/1789), July (Feldlager bei Weiskirchen 24/08/1789)</t>
        </r>
      </text>
    </comment>
    <comment ref="BH66" authorId="0" shapeId="0" xr:uid="{CED3B920-1702-7346-B335-CF679FEF53E9}">
      <text>
        <r>
          <rPr>
            <sz val="14"/>
            <color rgb="FF000000"/>
            <rFont val="Calibri"/>
            <family val="34"/>
          </rPr>
          <t>MFWK (1789)</t>
        </r>
      </text>
    </comment>
    <comment ref="BF67" authorId="0" shapeId="0" xr:uid="{C4E9D147-F03B-A544-AFD8-12E835A3F07A}">
      <text>
        <r>
          <rPr>
            <i/>
            <sz val="14"/>
            <color rgb="FF000000"/>
            <rFont val="Times New Roman"/>
            <family val="18"/>
          </rPr>
          <t>In Monat Juli 1789 a 3Fl Handgeld assentiert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19/11/1789 </t>
        </r>
        <r>
          <rPr>
            <i/>
            <sz val="14"/>
            <color rgb="FF000000"/>
            <rFont val="Times New Roman"/>
            <family val="18"/>
          </rPr>
          <t xml:space="preserve">Von IR 24 2 Feld Bat Proviant Fuhrwesen wegen Erkrankung zur MFWK 17. Pro cento Division transferiert </t>
        </r>
        <r>
          <rPr>
            <sz val="14"/>
            <color rgb="FF000000"/>
            <rFont val="Times New Roman"/>
            <family val="18"/>
          </rPr>
          <t>[TL June 1790 &amp; ST Nov 1789]</t>
        </r>
        <r>
          <rPr>
            <sz val="14"/>
            <color rgb="FF000000"/>
            <rFont val="Calibri"/>
            <family val="34"/>
          </rPr>
          <t xml:space="preserve">
</t>
        </r>
      </text>
    </comment>
    <comment ref="BG67" authorId="0" shapeId="0" xr:uid="{C3CB49F7-0174-6E4F-91DE-9F1AAE6E5196}">
      <text>
        <r>
          <rPr>
            <sz val="14"/>
            <color rgb="FF000000"/>
            <rFont val="Times New Roman"/>
            <family val="18"/>
          </rPr>
          <t>ML 1966 IR 24 (1787-89) – ST Nov (16/07/1790)</t>
        </r>
        <r>
          <rPr>
            <sz val="14"/>
            <color rgb="FF000000"/>
            <rFont val="Calibri"/>
            <family val="34"/>
          </rPr>
          <t xml:space="preserve">
</t>
        </r>
        <r>
          <rPr>
            <sz val="14"/>
            <color rgb="FF000000"/>
            <rFont val="Times New Roman"/>
            <family val="18"/>
          </rPr>
          <t>ML 1968 IR 24 (1790) AL/TL – TL IR 24-&gt; MFWK-&gt; Nr. 4 (Belgrad 25/06/1790)</t>
        </r>
      </text>
    </comment>
    <comment ref="BH67" authorId="0" shapeId="0" xr:uid="{A4D9B061-F3E7-934F-85E4-AFEA043E4681}">
      <text>
        <r>
          <rPr>
            <sz val="14"/>
            <color rgb="FF000000"/>
            <rFont val="Calibri"/>
            <family val="34"/>
          </rPr>
          <t>MFWK (1789)</t>
        </r>
      </text>
    </comment>
    <comment ref="BF68" authorId="0" shapeId="0" xr:uid="{27ED2B23-D279-454F-B3FF-9496C90B1FF2}">
      <text>
        <r>
          <rPr>
            <sz val="14"/>
            <color rgb="FF000000"/>
            <rFont val="Times New Roman"/>
            <family val="18"/>
          </rPr>
          <t xml:space="preserve">[c. 07/1789] </t>
        </r>
        <r>
          <rPr>
            <i/>
            <sz val="14"/>
            <color rgb="FF000000"/>
            <rFont val="Times New Roman"/>
            <family val="18"/>
          </rPr>
          <t>Dient 1 Jahr und 6 Monat</t>
        </r>
        <r>
          <rPr>
            <sz val="14"/>
            <color rgb="FF000000"/>
            <rFont val="Times New Roman"/>
            <family val="18"/>
          </rPr>
          <t xml:space="preserve"> [TL Jan 1791]</t>
        </r>
        <r>
          <rPr>
            <sz val="14"/>
            <color rgb="FF000000"/>
            <rFont val="Calibri"/>
            <family val="34"/>
          </rPr>
          <t xml:space="preserve">
</t>
        </r>
        <r>
          <rPr>
            <sz val="14"/>
            <color rgb="FF000000"/>
            <rFont val="Times New Roman"/>
            <family val="18"/>
          </rPr>
          <t xml:space="preserve">31/10/1790 </t>
        </r>
        <r>
          <rPr>
            <i/>
            <sz val="14"/>
            <color rgb="FF000000"/>
            <rFont val="Times New Roman"/>
            <family val="18"/>
          </rPr>
          <t xml:space="preserve">Dient seit mindestens beim IR 39 Feld Bats an der Proviant Fuhrwesen </t>
        </r>
        <r>
          <rPr>
            <sz val="14"/>
            <color rgb="FF000000"/>
            <rFont val="Times New Roman"/>
            <family val="18"/>
          </rPr>
          <t>[ST Nov 1790]</t>
        </r>
        <r>
          <rPr>
            <sz val="14"/>
            <color rgb="FF000000"/>
            <rFont val="Calibri"/>
            <family val="34"/>
          </rPr>
          <t xml:space="preserve">
</t>
        </r>
        <r>
          <rPr>
            <sz val="14"/>
            <color rgb="FF000000"/>
            <rFont val="Times New Roman"/>
            <family val="18"/>
          </rPr>
          <t xml:space="preserve">05/01/1791 </t>
        </r>
        <r>
          <rPr>
            <i/>
            <sz val="14"/>
            <color rgb="FF000000"/>
            <rFont val="Times New Roman"/>
            <family val="18"/>
          </rPr>
          <t xml:space="preserve">Von Nasdasdy Feld Bat Proviant Fuhrwesen zum MFWK 17. Pro Cento Division transferiert </t>
        </r>
        <r>
          <rPr>
            <sz val="14"/>
            <color rgb="FF000000"/>
            <rFont val="Times New Roman"/>
            <family val="18"/>
          </rPr>
          <t>[TL Jan 1791]</t>
        </r>
        <r>
          <rPr>
            <sz val="14"/>
            <color rgb="FF000000"/>
            <rFont val="Calibri"/>
            <family val="34"/>
          </rPr>
          <t xml:space="preserve">
</t>
        </r>
      </text>
    </comment>
    <comment ref="BG68" authorId="0" shapeId="0" xr:uid="{4D923D82-F15B-134F-917B-D7BE7317F4C9}">
      <text>
        <r>
          <rPr>
            <sz val="14"/>
            <color rgb="FF000000"/>
            <rFont val="Times New Roman"/>
            <family val="18"/>
          </rPr>
          <t>ML 3529 IR 39 (1790) – ST Nov (28/01/1791)</t>
        </r>
        <r>
          <rPr>
            <sz val="14"/>
            <color rgb="FF000000"/>
            <rFont val="Calibri"/>
            <family val="34"/>
          </rPr>
          <t xml:space="preserve">
</t>
        </r>
        <r>
          <rPr>
            <sz val="14"/>
            <color rgb="FF000000"/>
            <rFont val="Times New Roman"/>
            <family val="18"/>
          </rPr>
          <t>ML 3531 IR 39 (1791) – TL IR 39-&gt;MFWK Nr. 2 (Belgrade 01/01/1791); ST Jan (Belgrade 18/02/1791)</t>
        </r>
        <r>
          <rPr>
            <sz val="14"/>
            <color rgb="FF000000"/>
            <rFont val="Calibri"/>
            <family val="34"/>
          </rPr>
          <t xml:space="preserve">
</t>
        </r>
      </text>
    </comment>
    <comment ref="BH68" authorId="0" shapeId="0" xr:uid="{8B42AAB2-C55F-CF46-83C6-58D1DBADDAE3}">
      <text>
        <r>
          <rPr>
            <sz val="14"/>
            <color rgb="FF000000"/>
            <rFont val="Calibri"/>
            <family val="34"/>
          </rPr>
          <t>MFWK (1789-1791)</t>
        </r>
      </text>
    </comment>
    <comment ref="BF69" authorId="0" shapeId="0" xr:uid="{3C49642E-83CD-124D-B70A-8A4F0FBA0F8E}">
      <text>
        <r>
          <rPr>
            <sz val="14"/>
            <color rgb="FF000000"/>
            <rFont val="Times New Roman"/>
            <family val="18"/>
          </rPr>
          <t xml:space="preserve">[c. 07/1789] </t>
        </r>
        <r>
          <rPr>
            <i/>
            <sz val="14"/>
            <color rgb="FF000000"/>
            <rFont val="Times New Roman"/>
            <family val="18"/>
          </rPr>
          <t>Dient ein 1 und 6 Monat</t>
        </r>
        <r>
          <rPr>
            <sz val="14"/>
            <color rgb="FF000000"/>
            <rFont val="Times New Roman"/>
            <family val="18"/>
          </rPr>
          <t xml:space="preserve"> [TL Jan 1791]</t>
        </r>
        <r>
          <rPr>
            <sz val="14"/>
            <color rgb="FF000000"/>
            <rFont val="Calibri"/>
            <family val="34"/>
          </rPr>
          <t xml:space="preserve">
</t>
        </r>
        <r>
          <rPr>
            <sz val="14"/>
            <color rgb="FF000000"/>
            <rFont val="Times New Roman"/>
            <family val="18"/>
          </rPr>
          <t xml:space="preserve">31/10/1790 </t>
        </r>
        <r>
          <rPr>
            <i/>
            <sz val="14"/>
            <color rgb="FF000000"/>
            <rFont val="Times New Roman"/>
            <family val="18"/>
          </rPr>
          <t xml:space="preserve">Dient seit mindestens beim IR 39 Feld Bats an der Proviant Fuhrwesen </t>
        </r>
        <r>
          <rPr>
            <sz val="14"/>
            <color rgb="FF000000"/>
            <rFont val="Times New Roman"/>
            <family val="18"/>
          </rPr>
          <t>[ST Nov 1790]</t>
        </r>
        <r>
          <rPr>
            <sz val="14"/>
            <color rgb="FF000000"/>
            <rFont val="Calibri"/>
            <family val="34"/>
          </rPr>
          <t xml:space="preserve">
</t>
        </r>
        <r>
          <rPr>
            <sz val="14"/>
            <color rgb="FF000000"/>
            <rFont val="Times New Roman"/>
            <family val="18"/>
          </rPr>
          <t xml:space="preserve">05/01/1791 </t>
        </r>
        <r>
          <rPr>
            <i/>
            <sz val="14"/>
            <color rgb="FF000000"/>
            <rFont val="Times New Roman"/>
            <family val="18"/>
          </rPr>
          <t xml:space="preserve">Von Nasdasdy Feld Bat Proviant Fuhrwesen zum MFWK 17. Pro Cento Division transferiert </t>
        </r>
        <r>
          <rPr>
            <sz val="14"/>
            <color rgb="FF000000"/>
            <rFont val="Times New Roman"/>
            <family val="18"/>
          </rPr>
          <t>[TL Jan 1791]</t>
        </r>
        <r>
          <rPr>
            <sz val="14"/>
            <color rgb="FF000000"/>
            <rFont val="Calibri"/>
            <family val="34"/>
          </rPr>
          <t xml:space="preserve">
</t>
        </r>
      </text>
    </comment>
    <comment ref="BG69" authorId="0" shapeId="0" xr:uid="{2B4A589C-4B4C-0B43-AC8E-31902615B1A1}">
      <text>
        <r>
          <rPr>
            <sz val="14"/>
            <color rgb="FF000000"/>
            <rFont val="Times New Roman"/>
            <family val="18"/>
          </rPr>
          <t>ML 3529 IR 39 (1790) – ST Nov (28/01/1791)</t>
        </r>
        <r>
          <rPr>
            <sz val="14"/>
            <color rgb="FF000000"/>
            <rFont val="Calibri"/>
            <family val="34"/>
          </rPr>
          <t xml:space="preserve">
</t>
        </r>
        <r>
          <rPr>
            <sz val="14"/>
            <color rgb="FF000000"/>
            <rFont val="Times New Roman"/>
            <family val="18"/>
          </rPr>
          <t xml:space="preserve">ML 3531 IR 39 (1791) – TL IR 39-&gt;MFWK Nr. 5 (Belgrade 01/01/1791); ST Jan (Belgrade 18/02/1791)
</t>
        </r>
      </text>
    </comment>
    <comment ref="BH69" authorId="0" shapeId="0" xr:uid="{EEC1ED9F-D1FC-AA49-A259-4F6DA3D72054}">
      <text>
        <r>
          <rPr>
            <sz val="14"/>
            <color rgb="FF000000"/>
            <rFont val="Calibri"/>
            <family val="34"/>
          </rPr>
          <t>MFWK (1789-1791)</t>
        </r>
      </text>
    </comment>
    <comment ref="BF70" authorId="0" shapeId="0" xr:uid="{05E6D181-9572-3B49-B716-58E7D500B44E}">
      <text>
        <r>
          <rPr>
            <i/>
            <sz val="14"/>
            <color rgb="FF000000"/>
            <rFont val="Times New Roman"/>
            <family val="18"/>
          </rPr>
          <t>Tag der Assentierung: Unbewusst, wurde nichts übergaben</t>
        </r>
        <r>
          <rPr>
            <sz val="14"/>
            <color rgb="FF000000"/>
            <rFont val="Times New Roman"/>
            <family val="18"/>
          </rPr>
          <t xml:space="preserve"> [TL June 1790 &amp; ST July 1789]</t>
        </r>
        <r>
          <rPr>
            <sz val="14"/>
            <color rgb="FF000000"/>
            <rFont val="Calibri"/>
            <family val="34"/>
          </rPr>
          <t xml:space="preserve">
</t>
        </r>
        <r>
          <rPr>
            <sz val="14"/>
            <color rgb="FF000000"/>
            <rFont val="Times New Roman"/>
            <family val="18"/>
          </rPr>
          <t xml:space="preserve">11/07/1789 </t>
        </r>
        <r>
          <rPr>
            <i/>
            <sz val="14"/>
            <color rgb="FF000000"/>
            <rFont val="Times New Roman"/>
            <family val="18"/>
          </rPr>
          <t xml:space="preserve">Von MFWK 50. Spanische Reiter Division zum IR 28 ‚Oberst Bataillon‘ transferiert uns zu, Proviant Fuhrwesen eigeteilt </t>
        </r>
        <r>
          <rPr>
            <sz val="14"/>
            <color rgb="FF000000"/>
            <rFont val="Times New Roman"/>
            <family val="18"/>
          </rPr>
          <t>[TL July 1789]</t>
        </r>
        <r>
          <rPr>
            <sz val="14"/>
            <color rgb="FF000000"/>
            <rFont val="Calibri"/>
            <family val="34"/>
          </rPr>
          <t xml:space="preserve">
</t>
        </r>
        <r>
          <rPr>
            <sz val="14"/>
            <color rgb="FF000000"/>
            <rFont val="Times New Roman"/>
            <family val="18"/>
          </rPr>
          <t xml:space="preserve">31/10/1789 </t>
        </r>
        <r>
          <rPr>
            <i/>
            <sz val="14"/>
            <color rgb="FF000000"/>
            <rFont val="Times New Roman"/>
            <family val="18"/>
          </rPr>
          <t>Zu Belgrad von IR 28 2 Feld Bataillons Proviant Fuhrwesen an den Fuhrwesens UnterLt. Petit Übergaben</t>
        </r>
        <r>
          <rPr>
            <sz val="14"/>
            <color rgb="FF000000"/>
            <rFont val="Times New Roman"/>
            <family val="18"/>
          </rPr>
          <t xml:space="preserve"> [TL July 1789]</t>
        </r>
        <r>
          <rPr>
            <sz val="14"/>
            <color rgb="FF000000"/>
            <rFont val="Calibri"/>
            <family val="34"/>
          </rPr>
          <t xml:space="preserve">
</t>
        </r>
      </text>
    </comment>
    <comment ref="BG70" authorId="0" shapeId="0" xr:uid="{39D54830-C3A3-1C48-BF1A-1C8F77BA50E5}">
      <text>
        <r>
          <rPr>
            <sz val="14"/>
            <color rgb="FF000000"/>
            <rFont val="Times New Roman"/>
            <family val="18"/>
          </rPr>
          <t xml:space="preserve">ML 2437 IR 28 (1789) </t>
        </r>
        <r>
          <rPr>
            <sz val="14"/>
            <color rgb="FF000000"/>
            <rFont val="Times New Roman"/>
            <family val="18"/>
          </rPr>
          <t>– ST July (Geyersberg 02/06/1790), Oct (Senfenberg 16/07/1790)</t>
        </r>
        <r>
          <rPr>
            <sz val="14"/>
            <color rgb="FF000000"/>
            <rFont val="Calibri"/>
            <family val="34"/>
          </rPr>
          <t xml:space="preserve">
</t>
        </r>
        <r>
          <rPr>
            <sz val="14"/>
            <color rgb="FF000000"/>
            <rFont val="Times New Roman"/>
            <family val="18"/>
          </rPr>
          <t>ML 2438 IR 28 (1789) AL/TL – TL MFWK-&gt;IR 28 Nr. 1 (Peterwardein 08/07/1789), TL MFWK-&gt;IR 28 Nr. 4 (Senftenberg 14/06/1790)</t>
        </r>
      </text>
    </comment>
    <comment ref="BH70" authorId="0" shapeId="0" xr:uid="{4886A44B-D739-DB4D-8C25-408CCA6ABD34}">
      <text>
        <r>
          <rPr>
            <sz val="14"/>
            <color rgb="FF000000"/>
            <rFont val="Calibri"/>
            <family val="34"/>
          </rPr>
          <t>MFWK (1789)</t>
        </r>
      </text>
    </comment>
    <comment ref="BF71" authorId="0" shapeId="0" xr:uid="{28F21C51-76E0-7C4D-8AF0-E03813C894E3}">
      <text>
        <r>
          <rPr>
            <sz val="14"/>
            <color rgb="FF000000"/>
            <rFont val="Times New Roman"/>
            <family val="18"/>
          </rPr>
          <t xml:space="preserve">17/07/1789 </t>
        </r>
        <r>
          <rPr>
            <i/>
            <sz val="14"/>
            <color rgb="FF000000"/>
            <rFont val="Times New Roman"/>
            <family val="18"/>
          </rPr>
          <t>Von MFWK 62. Artillerie Reserve Division zum IR 11 Leib Bataillon Artillerie Bespannung transferiert</t>
        </r>
        <r>
          <rPr>
            <sz val="14"/>
            <color rgb="FF000000"/>
            <rFont val="Times New Roman"/>
            <family val="18"/>
          </rPr>
          <t xml:space="preserve"> [TL July 1789 &amp; ST July 1789]</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Dienst bis mindestens</t>
        </r>
        <r>
          <rPr>
            <sz val="14"/>
            <color rgb="FF000000"/>
            <rFont val="Times New Roman"/>
            <family val="18"/>
          </rPr>
          <t xml:space="preserve"> [ST Oct 1789]</t>
        </r>
        <r>
          <rPr>
            <sz val="14"/>
            <color rgb="FF000000"/>
            <rFont val="Calibri"/>
            <family val="34"/>
          </rPr>
          <t xml:space="preserve">
</t>
        </r>
      </text>
    </comment>
    <comment ref="BG71" authorId="0" shapeId="0" xr:uid="{4D3AEFCA-628B-6247-9EE7-0B199CD0D22A}">
      <text>
        <r>
          <rPr>
            <sz val="14"/>
            <color rgb="FF000000"/>
            <rFont val="Times New Roman"/>
            <family val="18"/>
          </rPr>
          <t>ML 831 IR 11 (1789) – MFWK-&gt;IR 11 Nr. 1 (Feldlager beim Bellegisch 13/07/1789); ST July (Prague 03/05/1790), Oct (Hof 14/06/1790)</t>
        </r>
      </text>
    </comment>
    <comment ref="BH71" authorId="0" shapeId="0" xr:uid="{895938E5-FB03-814C-8826-2FCD996C758F}">
      <text>
        <r>
          <rPr>
            <sz val="14"/>
            <color rgb="FF000000"/>
            <rFont val="Calibri"/>
            <family val="34"/>
          </rPr>
          <t>MFWK (1789)</t>
        </r>
      </text>
    </comment>
    <comment ref="BF72" authorId="0" shapeId="0" xr:uid="{EA7B9EB5-E738-0144-9B28-BFA91D9B0368}">
      <text>
        <r>
          <rPr>
            <sz val="14"/>
            <color rgb="FF000000"/>
            <rFont val="Times New Roman"/>
            <family val="18"/>
          </rPr>
          <t xml:space="preserve">17/07/1789 </t>
        </r>
        <r>
          <rPr>
            <i/>
            <sz val="14"/>
            <color rgb="FF000000"/>
            <rFont val="Times New Roman"/>
            <family val="18"/>
          </rPr>
          <t>Von MFWK 62. Artillerie Reserve Division zum IR 11 Obrist Bataillon Artillerie Bespannung transferiert</t>
        </r>
        <r>
          <rPr>
            <sz val="14"/>
            <color rgb="FF000000"/>
            <rFont val="Times New Roman"/>
            <family val="18"/>
          </rPr>
          <t xml:space="preserve"> [TL July 1789 &amp; ST July 1789]</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Dienst bis mindestens</t>
        </r>
        <r>
          <rPr>
            <sz val="14"/>
            <color rgb="FF000000"/>
            <rFont val="Times New Roman"/>
            <family val="18"/>
          </rPr>
          <t xml:space="preserve"> [ST Oct 1789]</t>
        </r>
        <r>
          <rPr>
            <sz val="14"/>
            <color rgb="FF000000"/>
            <rFont val="Calibri"/>
            <family val="34"/>
          </rPr>
          <t xml:space="preserve">
</t>
        </r>
      </text>
    </comment>
    <comment ref="BG72" authorId="0" shapeId="0" xr:uid="{98DFD5D1-CCF6-1747-A365-5759027E3912}">
      <text>
        <r>
          <rPr>
            <sz val="14"/>
            <color rgb="FF000000"/>
            <rFont val="Times New Roman"/>
            <family val="18"/>
          </rPr>
          <t>ML 831 IR 11 (1789) – MFWK-&gt;IR 11 Nr. 1 (Feldlager beim Bellegisch 13/07/1789); ST July (Prague 03/05/1790); Oct (Hof 14/06/1790)</t>
        </r>
      </text>
    </comment>
    <comment ref="BH72" authorId="0" shapeId="0" xr:uid="{5D3ED6B9-D398-1A49-9B74-145B628F1AA9}">
      <text>
        <r>
          <rPr>
            <sz val="14"/>
            <color rgb="FF000000"/>
            <rFont val="Calibri"/>
            <family val="34"/>
          </rPr>
          <t>MFWK (1789)</t>
        </r>
      </text>
    </comment>
    <comment ref="BF73" authorId="0" shapeId="0" xr:uid="{CE03B12A-D87A-9843-AD00-585B3A62527C}">
      <text>
        <r>
          <rPr>
            <sz val="14"/>
            <color rgb="FF000000"/>
            <rFont val="Times New Roman"/>
            <family val="18"/>
          </rPr>
          <t xml:space="preserve">01/08/1789 </t>
        </r>
        <r>
          <rPr>
            <i/>
            <sz val="14"/>
            <color rgb="FF000000"/>
            <rFont val="Times New Roman"/>
            <family val="18"/>
          </rPr>
          <t>Assentiert</t>
        </r>
        <r>
          <rPr>
            <sz val="14"/>
            <color rgb="FF000000"/>
            <rFont val="Times New Roman"/>
            <family val="18"/>
          </rPr>
          <t xml:space="preserve"> [TL March 1790] </t>
        </r>
        <r>
          <rPr>
            <sz val="14"/>
            <color rgb="FF000000"/>
            <rFont val="Calibri"/>
            <family val="34"/>
          </rPr>
          <t xml:space="preserve">
</t>
        </r>
        <r>
          <rPr>
            <sz val="14"/>
            <color rgb="FF000000"/>
            <rFont val="Times New Roman"/>
            <family val="18"/>
          </rPr>
          <t xml:space="preserve">01/01/1790 </t>
        </r>
        <r>
          <rPr>
            <i/>
            <sz val="14"/>
            <color rgb="FF000000"/>
            <rFont val="Times New Roman"/>
            <family val="18"/>
          </rPr>
          <t>Von Lieb Komp. zum Reserve Division transferiert</t>
        </r>
        <r>
          <rPr>
            <sz val="14"/>
            <color rgb="FF000000"/>
            <rFont val="Times New Roman"/>
            <family val="18"/>
          </rPr>
          <t xml:space="preserve"> [ST Jan 1790]</t>
        </r>
        <r>
          <rPr>
            <sz val="14"/>
            <color rgb="FF000000"/>
            <rFont val="Calibri"/>
            <family val="34"/>
          </rPr>
          <t xml:space="preserve">
</t>
        </r>
        <r>
          <rPr>
            <sz val="14"/>
            <color rgb="FF000000"/>
            <rFont val="Times New Roman"/>
            <family val="18"/>
          </rPr>
          <t xml:space="preserve">11/01/1790 </t>
        </r>
        <r>
          <rPr>
            <i/>
            <sz val="14"/>
            <color rgb="FF000000"/>
            <rFont val="Times New Roman"/>
            <family val="18"/>
          </rPr>
          <t xml:space="preserve">Von anhero Marsche eingerückt in Reserve Division eingeruckt </t>
        </r>
        <r>
          <rPr>
            <sz val="14"/>
            <color rgb="FF000000"/>
            <rFont val="Times New Roman"/>
            <family val="18"/>
          </rPr>
          <t xml:space="preserve"> </t>
        </r>
        <r>
          <rPr>
            <sz val="14"/>
            <color rgb="FF000000"/>
            <rFont val="Calibri"/>
            <family val="34"/>
          </rPr>
          <t xml:space="preserve">
</t>
        </r>
        <r>
          <rPr>
            <sz val="14"/>
            <color rgb="FF000000"/>
            <rFont val="Times New Roman"/>
            <family val="18"/>
          </rPr>
          <t>31/03/1790</t>
        </r>
        <r>
          <rPr>
            <i/>
            <sz val="14"/>
            <color rgb="FF000000"/>
            <rFont val="Times New Roman"/>
            <family val="18"/>
          </rPr>
          <t xml:space="preserve"> Vermög hoher Hofkriegsrätlichen Verordnung dt. Wien 6. Marz 790 da selber zum Feuergewehr nicht anwendbar ist von IR 27 Reserve Division zum MFWK transferiert</t>
        </r>
        <r>
          <rPr>
            <sz val="14"/>
            <color rgb="FF000000"/>
            <rFont val="Times New Roman"/>
            <family val="18"/>
          </rPr>
          <t xml:space="preserve"> [TL March 1790 &amp; ST April 1790]</t>
        </r>
        <r>
          <rPr>
            <sz val="14"/>
            <color rgb="FF000000"/>
            <rFont val="Calibri"/>
            <family val="34"/>
          </rPr>
          <t xml:space="preserve">
</t>
        </r>
      </text>
    </comment>
    <comment ref="BG73" authorId="0" shapeId="0" xr:uid="{B59AC4DA-3764-6344-9EC7-495DBDCD95CD}">
      <text>
        <r>
          <rPr>
            <sz val="14"/>
            <color rgb="FF000000"/>
            <rFont val="Times New Roman"/>
            <family val="18"/>
          </rPr>
          <t xml:space="preserve">ML 2292 IR 1 (1790) – TL IR 27-&gt;MFWK Nr. 1 (Graz 231/03/1790); ST Jan ()April (Graz 20/04/1791) </t>
        </r>
      </text>
    </comment>
    <comment ref="BH73" authorId="0" shapeId="0" xr:uid="{200121A0-1B67-6042-8D79-78B1A3FA30DC}">
      <text>
        <r>
          <rPr>
            <sz val="14"/>
            <color rgb="FF000000"/>
            <rFont val="Calibri"/>
            <family val="34"/>
          </rPr>
          <t xml:space="preserve">IR 27 (1789-1790)
</t>
        </r>
        <r>
          <rPr>
            <sz val="14"/>
            <color rgb="FF000000"/>
            <rFont val="Calibri"/>
            <family val="34"/>
          </rPr>
          <t>MFWK (1790)</t>
        </r>
      </text>
    </comment>
    <comment ref="BF74" authorId="0" shapeId="0" xr:uid="{0F25FECB-64B0-564E-9021-A5D645A32F49}">
      <text>
        <r>
          <rPr>
            <sz val="14"/>
            <color rgb="FF000000"/>
            <rFont val="Times New Roman"/>
            <family val="18"/>
          </rPr>
          <t xml:space="preserve">04/08/1789 </t>
        </r>
        <r>
          <rPr>
            <i/>
            <sz val="14"/>
            <color rgb="FF000000"/>
            <rFont val="Times New Roman"/>
            <family val="18"/>
          </rPr>
          <t>Als Vagabund von Galizien a 3 Fl gestellte Recrout und ins 4 3. Bat Reserve Division assentiert und seitdem auf Anhero Marsch aus Galizien</t>
        </r>
        <r>
          <rPr>
            <sz val="14"/>
            <color rgb="FF000000"/>
            <rFont val="Times New Roman"/>
            <family val="18"/>
          </rPr>
          <t xml:space="preserve"> [AL Aug 1789 &amp; ST Oct 1789]</t>
        </r>
        <r>
          <rPr>
            <sz val="14"/>
            <color rgb="FF000000"/>
            <rFont val="Calibri"/>
            <family val="34"/>
          </rPr>
          <t xml:space="preserve">
</t>
        </r>
        <r>
          <rPr>
            <sz val="14"/>
            <color rgb="FF000000"/>
            <rFont val="Times New Roman"/>
            <family val="18"/>
          </rPr>
          <t xml:space="preserve">10/08/1789 </t>
        </r>
        <r>
          <rPr>
            <i/>
            <sz val="14"/>
            <color rgb="FF000000"/>
            <rFont val="Times New Roman"/>
            <family val="18"/>
          </rPr>
          <t>Vom anhero Marsch aus Galizien desertiert</t>
        </r>
        <r>
          <rPr>
            <sz val="14"/>
            <color rgb="FF000000"/>
            <rFont val="Times New Roman"/>
            <family val="18"/>
          </rPr>
          <t xml:space="preserve"> [ST Oct 1789]</t>
        </r>
        <r>
          <rPr>
            <sz val="14"/>
            <color rgb="FF000000"/>
            <rFont val="Calibri"/>
            <family val="34"/>
          </rPr>
          <t xml:space="preserve">
</t>
        </r>
      </text>
    </comment>
    <comment ref="BG74" authorId="0" shapeId="0" xr:uid="{491B597D-6AAF-F045-8813-9A6DB3B4E104}">
      <text>
        <r>
          <rPr>
            <sz val="14"/>
            <color rgb="FF000000"/>
            <rFont val="Times New Roman"/>
            <family val="18"/>
          </rPr>
          <t>ML 363 IR 4 (1789) – Oct (31/12/1789)</t>
        </r>
        <r>
          <rPr>
            <sz val="14"/>
            <color rgb="FF000000"/>
            <rFont val="Calibri"/>
            <family val="34"/>
          </rPr>
          <t xml:space="preserve">
</t>
        </r>
        <r>
          <rPr>
            <sz val="14"/>
            <color rgb="FF000000"/>
            <rFont val="Times New Roman"/>
            <family val="18"/>
          </rPr>
          <t>ML 364 IR 4 (1789) AL/TL – AL. Nr. 13 (??? 08/1789)</t>
        </r>
      </text>
    </comment>
    <comment ref="BH74" authorId="0" shapeId="0" xr:uid="{0379A0C0-5C9A-094D-9E99-30B47051A2B6}">
      <text>
        <r>
          <rPr>
            <sz val="14"/>
            <color rgb="FF000000"/>
            <rFont val="Calibri"/>
            <family val="34"/>
          </rPr>
          <t>IR 4 (1789)</t>
        </r>
      </text>
    </comment>
    <comment ref="BF75" authorId="0" shapeId="0" xr:uid="{16690B84-DA3B-9944-8247-B9026B970F32}">
      <text>
        <r>
          <rPr>
            <sz val="14"/>
            <color rgb="FF000000"/>
            <rFont val="Times New Roman"/>
            <family val="18"/>
          </rPr>
          <t xml:space="preserve">04/08/1789 </t>
        </r>
        <r>
          <rPr>
            <i/>
            <sz val="14"/>
            <color rgb="FF000000"/>
            <rFont val="Times New Roman"/>
            <family val="18"/>
          </rPr>
          <t>Als Vagabund von Galizien a 3 Fl gestellte Recrout und ins 4 3. Bat Reserve Division assentiert</t>
        </r>
        <r>
          <rPr>
            <sz val="14"/>
            <color rgb="FF000000"/>
            <rFont val="Times New Roman"/>
            <family val="18"/>
          </rPr>
          <t xml:space="preserve"> [AL Aug 1789]</t>
        </r>
        <r>
          <rPr>
            <sz val="14"/>
            <color rgb="FF000000"/>
            <rFont val="Calibri"/>
            <family val="34"/>
          </rPr>
          <t xml:space="preserve">
</t>
        </r>
        <r>
          <rPr>
            <sz val="14"/>
            <color rgb="FF000000"/>
            <rFont val="Times New Roman"/>
            <family val="18"/>
          </rPr>
          <t xml:space="preserve">12/10/1789 </t>
        </r>
        <r>
          <rPr>
            <i/>
            <sz val="14"/>
            <color rgb="FF000000"/>
            <rFont val="Times New Roman"/>
            <family val="18"/>
          </rPr>
          <t>In die Reserve Division eingerückt</t>
        </r>
        <r>
          <rPr>
            <sz val="14"/>
            <color rgb="FF000000"/>
            <rFont val="Times New Roman"/>
            <family val="18"/>
          </rPr>
          <t xml:space="preserve"> [ST Oct 1789]</t>
        </r>
        <r>
          <rPr>
            <sz val="14"/>
            <color rgb="FF000000"/>
            <rFont val="Calibri"/>
            <family val="34"/>
          </rPr>
          <t xml:space="preserve">
</t>
        </r>
        <r>
          <rPr>
            <sz val="14"/>
            <color rgb="FF000000"/>
            <rFont val="Times New Roman"/>
            <family val="18"/>
          </rPr>
          <t xml:space="preserve">31/08/1791 </t>
        </r>
        <r>
          <rPr>
            <i/>
            <sz val="14"/>
            <color rgb="FF000000"/>
            <rFont val="Times New Roman"/>
            <family val="18"/>
          </rPr>
          <t>Vermog Verordnung von 20 Aug. 791 mit Viatico gegen Renuncierung als untauglich nach abgehaltenen Superarbietrierung mit Abschied entlassen</t>
        </r>
        <r>
          <rPr>
            <sz val="14"/>
            <color rgb="FF000000"/>
            <rFont val="Times New Roman"/>
            <family val="18"/>
          </rPr>
          <t xml:space="preserve"> [ST Sept 1791]</t>
        </r>
        <r>
          <rPr>
            <sz val="14"/>
            <color rgb="FF000000"/>
            <rFont val="Calibri"/>
            <family val="34"/>
          </rPr>
          <t xml:space="preserve">
</t>
        </r>
      </text>
    </comment>
    <comment ref="BG75" authorId="0" shapeId="0" xr:uid="{9002E8E1-1288-2A4A-AB59-2841CE40ABC2}">
      <text>
        <r>
          <rPr>
            <sz val="14"/>
            <color rgb="FF000000"/>
            <rFont val="Times New Roman"/>
            <family val="18"/>
          </rPr>
          <t>ML 363 IR 4 (1789) – Oct (31/12/1789); AL/TL – AL. Nr. 12 (??? 08/1789)</t>
        </r>
        <r>
          <rPr>
            <sz val="14"/>
            <color rgb="FF000000"/>
            <rFont val="Calibri"/>
            <family val="34"/>
          </rPr>
          <t xml:space="preserve">
</t>
        </r>
        <r>
          <rPr>
            <sz val="14"/>
            <color rgb="FF000000"/>
            <rFont val="Times New Roman"/>
            <family val="18"/>
          </rPr>
          <t>ML 366 IR 4 (1791) – Sept (30/10/1792)</t>
        </r>
      </text>
    </comment>
    <comment ref="BH75" authorId="0" shapeId="0" xr:uid="{DB8A1750-32F6-8540-80A2-99AC59CDF28B}">
      <text>
        <r>
          <rPr>
            <sz val="14"/>
            <color rgb="FF000000"/>
            <rFont val="Calibri"/>
            <family val="34"/>
          </rPr>
          <t>IR 4 (1789-1791)</t>
        </r>
      </text>
    </comment>
    <comment ref="BF76" authorId="0" shapeId="0" xr:uid="{50864345-3709-9F4E-B4B8-55A41E64355D}">
      <text>
        <r>
          <rPr>
            <sz val="14"/>
            <color rgb="FF000000"/>
            <rFont val="Times New Roman"/>
            <family val="18"/>
          </rPr>
          <t xml:space="preserve">04/09/1789 </t>
        </r>
        <r>
          <rPr>
            <i/>
            <sz val="14"/>
            <color rgb="FF000000"/>
            <rFont val="Times New Roman"/>
            <family val="18"/>
          </rPr>
          <t>Von MFWK Spanische Reiter Division Nr, 57 zum IR 46 Feld Bats Spanische Reiter Personale transferiert</t>
        </r>
        <r>
          <rPr>
            <sz val="14"/>
            <color rgb="FF000000"/>
            <rFont val="Times New Roman"/>
            <family val="18"/>
          </rPr>
          <t xml:space="preserve"> [ST Sept 1789]</t>
        </r>
        <r>
          <rPr>
            <sz val="14"/>
            <color rgb="FF000000"/>
            <rFont val="Calibri"/>
            <family val="34"/>
          </rPr>
          <t xml:space="preserve">
</t>
        </r>
        <r>
          <rPr>
            <sz val="14"/>
            <color rgb="FF000000"/>
            <rFont val="Times New Roman"/>
            <family val="18"/>
          </rPr>
          <t xml:space="preserve">27/09/1789 </t>
        </r>
        <r>
          <rPr>
            <i/>
            <sz val="14"/>
            <color rgb="FF000000"/>
            <rFont val="Times New Roman"/>
            <family val="18"/>
          </rPr>
          <t xml:space="preserve">Als Krank in dem Feldspital zu Pasua von IR 46 Feld Bats zum MFWK spanische Reiter Division Nro 57 transferiert </t>
        </r>
        <r>
          <rPr>
            <sz val="14"/>
            <color rgb="FF000000"/>
            <rFont val="Times New Roman"/>
            <family val="18"/>
          </rPr>
          <t>[TL Jan 1790 &amp; ST Sept 1789]</t>
        </r>
        <r>
          <rPr>
            <sz val="14"/>
            <color rgb="FF000000"/>
            <rFont val="Calibri"/>
            <family val="34"/>
          </rPr>
          <t xml:space="preserve">
</t>
        </r>
      </text>
    </comment>
    <comment ref="BG76" authorId="0" shapeId="0" xr:uid="{5196B093-61AE-AF43-84DA-5A319AB19C56}">
      <text>
        <r>
          <rPr>
            <sz val="14"/>
            <color rgb="FF000000"/>
            <rFont val="Times New Roman"/>
            <family val="18"/>
          </rPr>
          <t>ML 10.425 IR 46 (1789) – TL IR 46-&gt;MFWK Nr. 2 (Vukovar 07/01/1789); ST Sept (02/09/1790)</t>
        </r>
        <r>
          <rPr>
            <sz val="14"/>
            <color rgb="FF000000"/>
            <rFont val="Calibri"/>
            <family val="2"/>
            <scheme val="minor"/>
          </rPr>
          <t xml:space="preserve"> </t>
        </r>
      </text>
    </comment>
    <comment ref="BH76" authorId="0" shapeId="0" xr:uid="{763094AE-B44B-274B-8B8D-0BF6C93F1A92}">
      <text>
        <r>
          <rPr>
            <sz val="14"/>
            <color rgb="FF000000"/>
            <rFont val="Calibri"/>
            <family val="34"/>
          </rPr>
          <t>MFWK (1789)</t>
        </r>
      </text>
    </comment>
    <comment ref="BF77" authorId="0" shapeId="0" xr:uid="{BA5884A6-7721-F34D-8179-66804271506C}">
      <text>
        <r>
          <rPr>
            <sz val="14"/>
            <color rgb="FF000000"/>
            <rFont val="Times New Roman"/>
            <family val="18"/>
          </rPr>
          <t xml:space="preserve">04/09/1789 </t>
        </r>
        <r>
          <rPr>
            <i/>
            <sz val="14"/>
            <color rgb="FF000000"/>
            <rFont val="Times New Roman"/>
            <family val="18"/>
          </rPr>
          <t>Von MFWK spanische Reiter Division Nr, 57 zum IR 46 Feld Bats spanische Reiter Personale transferiert</t>
        </r>
        <r>
          <rPr>
            <sz val="14"/>
            <color rgb="FF000000"/>
            <rFont val="Times New Roman"/>
            <family val="18"/>
          </rPr>
          <t xml:space="preserve"> [ST Sept 1789]</t>
        </r>
        <r>
          <rPr>
            <sz val="14"/>
            <color rgb="FF000000"/>
            <rFont val="Calibri"/>
            <family val="34"/>
          </rPr>
          <t xml:space="preserve">
</t>
        </r>
        <r>
          <rPr>
            <sz val="14"/>
            <color rgb="FF000000"/>
            <rFont val="Times New Roman"/>
            <family val="18"/>
          </rPr>
          <t xml:space="preserve">31/10/1789 [Bis mindestens] </t>
        </r>
        <r>
          <rPr>
            <i/>
            <sz val="14"/>
            <color rgb="FF000000"/>
            <rFont val="Times New Roman"/>
            <family val="18"/>
          </rPr>
          <t>Dient bei IR 46 Feld Bats spanische Reiter</t>
        </r>
        <r>
          <rPr>
            <sz val="14"/>
            <color rgb="FF000000"/>
            <rFont val="Times New Roman"/>
            <family val="18"/>
          </rPr>
          <t xml:space="preserve"> [ST Oct 1789]</t>
        </r>
        <r>
          <rPr>
            <sz val="14"/>
            <color rgb="FF000000"/>
            <rFont val="Calibri"/>
            <family val="34"/>
          </rPr>
          <t xml:space="preserve">
</t>
        </r>
      </text>
    </comment>
    <comment ref="BG77" authorId="0" shapeId="0" xr:uid="{36625DF1-FBE1-A741-BDB4-5192D4720DE4}">
      <text>
        <r>
          <rPr>
            <sz val="14"/>
            <color rgb="FF000000"/>
            <rFont val="Times New Roman"/>
            <family val="18"/>
          </rPr>
          <t>ML 10.425 IR 46 (1789) – ST Sept (01/02/1790), Oct (Wischikau 09/05/1790)</t>
        </r>
      </text>
    </comment>
    <comment ref="BH77" authorId="0" shapeId="0" xr:uid="{1F1EBD74-34EF-9945-90A0-EF1980BE7CD6}">
      <text>
        <r>
          <rPr>
            <sz val="14"/>
            <color rgb="FF000000"/>
            <rFont val="Calibri"/>
            <family val="34"/>
          </rPr>
          <t>MFWK (1789)</t>
        </r>
      </text>
    </comment>
    <comment ref="BF78" authorId="0" shapeId="0" xr:uid="{8D03A17A-723C-024D-8A38-DF7F72E5241B}">
      <text>
        <r>
          <rPr>
            <sz val="14"/>
            <color rgb="FF000000"/>
            <rFont val="Times New Roman"/>
            <family val="18"/>
          </rPr>
          <t xml:space="preserve">11/09/1789 </t>
        </r>
        <r>
          <rPr>
            <i/>
            <sz val="14"/>
            <color rgb="FF000000"/>
            <rFont val="Times New Roman"/>
            <family val="18"/>
          </rPr>
          <t>Von MFWK 19. Pro Cento Division 3. Abt. zum IR 11 Feld Bataillons Proviant Fuhrwesen transferiert</t>
        </r>
        <r>
          <rPr>
            <sz val="14"/>
            <color rgb="FF000000"/>
            <rFont val="Times New Roman"/>
            <family val="18"/>
          </rPr>
          <t xml:space="preserve"> [ST Sept 1789]</t>
        </r>
        <r>
          <rPr>
            <sz val="14"/>
            <color rgb="FF000000"/>
            <rFont val="Calibri"/>
            <family val="34"/>
          </rPr>
          <t xml:space="preserve">
</t>
        </r>
        <r>
          <rPr>
            <sz val="14"/>
            <color rgb="FF000000"/>
            <rFont val="Times New Roman"/>
            <family val="18"/>
          </rPr>
          <t xml:space="preserve">02/10/1789 Von </t>
        </r>
        <r>
          <rPr>
            <i/>
            <sz val="14"/>
            <color rgb="FF000000"/>
            <rFont val="Times New Roman"/>
            <family val="18"/>
          </rPr>
          <t>IR 11 Feld Bataillons Proviant Fuhrwesen zum MFWK 19. Pro Cento Division 1. Abt. transferiert und als Krank zum Armee Spital zu Bellegeisch übergeben</t>
        </r>
        <r>
          <rPr>
            <sz val="14"/>
            <color rgb="FF000000"/>
            <rFont val="Times New Roman"/>
            <family val="18"/>
          </rPr>
          <t xml:space="preserve"> [ST Oct 1789]</t>
        </r>
        <r>
          <rPr>
            <sz val="14"/>
            <color rgb="FF000000"/>
            <rFont val="Calibri"/>
            <family val="34"/>
          </rPr>
          <t xml:space="preserve">
</t>
        </r>
      </text>
    </comment>
    <comment ref="BG78" authorId="0" shapeId="0" xr:uid="{F015E16C-5B9B-6F49-9A90-E231B5293570}">
      <text>
        <r>
          <rPr>
            <sz val="14"/>
            <color rgb="FF000000"/>
            <rFont val="Times New Roman"/>
            <family val="18"/>
          </rPr>
          <t>ML 831 IR 11 (1789) – ST Sept (Hof 22/05/1789), Oct (Hof 14/06/1790)</t>
        </r>
      </text>
    </comment>
    <comment ref="BH78" authorId="0" shapeId="0" xr:uid="{180B2B28-DA77-A443-8F45-6468BC2F9CE8}">
      <text>
        <r>
          <rPr>
            <sz val="14"/>
            <color rgb="FF000000"/>
            <rFont val="Calibri"/>
            <family val="34"/>
          </rPr>
          <t>MFWK (1789)</t>
        </r>
      </text>
    </comment>
    <comment ref="T79" authorId="0" shapeId="0" xr:uid="{1A79492C-389B-8141-9DC0-59E881DC15DE}">
      <text>
        <r>
          <rPr>
            <b/>
            <sz val="14"/>
            <color rgb="FF000000"/>
            <rFont val="Calibri"/>
            <family val="34"/>
          </rPr>
          <t xml:space="preserve">5.1 [171.81 cm] (ML 1791)
</t>
        </r>
        <r>
          <rPr>
            <sz val="14"/>
            <color rgb="FF000000"/>
            <rFont val="Calibri"/>
            <family val="34"/>
          </rPr>
          <t>5.6.1 [174 cm] (MK 1792)</t>
        </r>
      </text>
    </comment>
    <comment ref="BF79" authorId="0" shapeId="0" xr:uid="{ACD65BEB-FBF7-3B4E-A4A0-9437E08A49A1}">
      <text>
        <r>
          <rPr>
            <sz val="14"/>
            <color rgb="FF000000"/>
            <rFont val="Times New Roman"/>
            <family val="18"/>
          </rPr>
          <t xml:space="preserve">14/09/1789 </t>
        </r>
        <r>
          <rPr>
            <i/>
            <sz val="14"/>
            <color rgb="FF000000"/>
            <rFont val="Times New Roman"/>
            <family val="18"/>
          </rPr>
          <t>Von Dominien a 3Fl Handgeld als Werbbezirk Recrout gestellt und zu Kuttenberg assentiert</t>
        </r>
        <r>
          <rPr>
            <sz val="14"/>
            <color rgb="FF000000"/>
            <rFont val="Times New Roman"/>
            <family val="18"/>
          </rPr>
          <t xml:space="preserve"> [ML 1791]</t>
        </r>
        <r>
          <rPr>
            <sz val="14"/>
            <color rgb="FF000000"/>
            <rFont val="Calibri"/>
            <family val="34"/>
          </rPr>
          <t xml:space="preserve">
</t>
        </r>
        <r>
          <rPr>
            <sz val="14"/>
            <color rgb="FF000000"/>
            <rFont val="Times New Roman"/>
            <family val="18"/>
          </rPr>
          <t xml:space="preserve">16/03/1790 </t>
        </r>
        <r>
          <rPr>
            <i/>
            <sz val="14"/>
            <color rgb="FF000000"/>
            <rFont val="Times New Roman"/>
            <family val="18"/>
          </rPr>
          <t>Von ObristLt zum Obrist Komp. transferiert</t>
        </r>
        <r>
          <rPr>
            <sz val="14"/>
            <color rgb="FF000000"/>
            <rFont val="Times New Roman"/>
            <family val="18"/>
          </rPr>
          <t xml:space="preserve"> [ML 1791]</t>
        </r>
        <r>
          <rPr>
            <sz val="14"/>
            <color rgb="FF000000"/>
            <rFont val="Calibri"/>
            <family val="34"/>
          </rPr>
          <t xml:space="preserve">
</t>
        </r>
        <r>
          <rPr>
            <sz val="14"/>
            <color rgb="FF000000"/>
            <rFont val="Times New Roman"/>
            <family val="18"/>
          </rPr>
          <t>02/09/1791 Muster: IR 28 Obrist Komp. Nr. 114</t>
        </r>
        <r>
          <rPr>
            <sz val="14"/>
            <color rgb="FF000000"/>
            <rFont val="Calibri"/>
            <family val="34"/>
          </rPr>
          <t xml:space="preserve">
</t>
        </r>
        <r>
          <rPr>
            <sz val="14"/>
            <color rgb="FF000000"/>
            <rFont val="Times New Roman"/>
            <family val="18"/>
          </rPr>
          <t>17/09/1792 Muster: IR 28 Obrist Komp. Nr. 61</t>
        </r>
        <r>
          <rPr>
            <sz val="14"/>
            <color rgb="FF000000"/>
            <rFont val="Calibri"/>
            <family val="34"/>
          </rPr>
          <t xml:space="preserve">
</t>
        </r>
        <r>
          <rPr>
            <sz val="14"/>
            <color rgb="FF000000"/>
            <rFont val="Times New Roman"/>
            <family val="18"/>
          </rPr>
          <t>24/12/1793 Revision: IR 28 Obrist Komp. Nr. 58 [</t>
        </r>
        <r>
          <rPr>
            <i/>
            <sz val="14"/>
            <color rgb="FF000000"/>
            <rFont val="Times New Roman"/>
            <family val="18"/>
          </rPr>
          <t>Krank in Spital zu Mons</t>
        </r>
        <r>
          <rPr>
            <sz val="14"/>
            <color rgb="FF000000"/>
            <rFont val="Times New Roman"/>
            <family val="18"/>
          </rPr>
          <t>]</t>
        </r>
        <r>
          <rPr>
            <sz val="14"/>
            <color rgb="FF000000"/>
            <rFont val="Calibri"/>
            <family val="34"/>
          </rPr>
          <t xml:space="preserve">
</t>
        </r>
      </text>
    </comment>
    <comment ref="BG79" authorId="0" shapeId="0" xr:uid="{8108488D-A902-E340-8F64-C3E786198DAA}">
      <text>
        <r>
          <rPr>
            <sz val="14"/>
            <color rgb="FF000000"/>
            <rFont val="Times New Roman"/>
            <family val="18"/>
          </rPr>
          <t xml:space="preserve">ML 2392/3 IR 28 (1791) </t>
        </r>
        <r>
          <rPr>
            <sz val="14"/>
            <color rgb="FF000000"/>
            <rFont val="Times New Roman"/>
            <family val="18"/>
          </rPr>
          <t>– Obrist Komp. Nr. 114 (Kuttenberg 02/09/1791)</t>
        </r>
        <r>
          <rPr>
            <sz val="14"/>
            <color rgb="FF000000"/>
            <rFont val="Calibri"/>
            <family val="34"/>
          </rPr>
          <t xml:space="preserve">
</t>
        </r>
        <r>
          <rPr>
            <sz val="14"/>
            <color rgb="FF000000"/>
            <rFont val="Times New Roman"/>
            <family val="18"/>
          </rPr>
          <t xml:space="preserve">ML 2394 IR 28 (1792) </t>
        </r>
        <r>
          <rPr>
            <sz val="14"/>
            <color rgb="FF000000"/>
            <rFont val="Times New Roman"/>
            <family val="18"/>
          </rPr>
          <t>– Obrist Komp. Nr. 61 (Kuttenberg 17/09/1792)</t>
        </r>
        <r>
          <rPr>
            <sz val="14"/>
            <color rgb="FF000000"/>
            <rFont val="Calibri"/>
            <family val="34"/>
          </rPr>
          <t xml:space="preserve">
</t>
        </r>
        <r>
          <rPr>
            <sz val="14"/>
            <color rgb="FF000000"/>
            <rFont val="Times New Roman"/>
            <family val="18"/>
          </rPr>
          <t xml:space="preserve">ML 2395 IR 28 (1793) – Obrist Komp. Nr. 58 (La Motte 24/12/1793)
</t>
        </r>
      </text>
    </comment>
    <comment ref="BH79" authorId="0" shapeId="0" xr:uid="{B84BD84B-FABE-4840-8B0D-BCE8E43392AB}">
      <text>
        <r>
          <rPr>
            <sz val="14"/>
            <color rgb="FF000000"/>
            <rFont val="Calibri"/>
            <family val="34"/>
          </rPr>
          <t>IR 28 (1789-1793)</t>
        </r>
      </text>
    </comment>
    <comment ref="BF80" authorId="0" shapeId="0" xr:uid="{BC28D81D-24AD-E049-B12D-07C2A2F4EC55}">
      <text>
        <r>
          <rPr>
            <sz val="14"/>
            <color rgb="FF000000"/>
            <rFont val="Times New Roman"/>
            <family val="18"/>
          </rPr>
          <t xml:space="preserve">24/09/1789 </t>
        </r>
        <r>
          <rPr>
            <i/>
            <sz val="14"/>
            <color rgb="FF000000"/>
            <rFont val="Times New Roman"/>
            <family val="18"/>
          </rPr>
          <t xml:space="preserve">Von Fuhrwesen Reserve ohne assentierungsliste zum IR 43 transferiert </t>
        </r>
        <r>
          <rPr>
            <sz val="14"/>
            <color rgb="FF000000"/>
            <rFont val="Times New Roman"/>
            <family val="18"/>
          </rPr>
          <t xml:space="preserve">[TL 1790]
</t>
        </r>
        <r>
          <rPr>
            <sz val="14"/>
            <color rgb="FF000000"/>
            <rFont val="Times New Roman"/>
            <family val="18"/>
          </rPr>
          <t xml:space="preserve">02/01/1790 </t>
        </r>
        <r>
          <rPr>
            <i/>
            <sz val="14"/>
            <color rgb="FF000000"/>
            <rFont val="Times New Roman"/>
            <family val="18"/>
          </rPr>
          <t xml:space="preserve">Von IR 43 Feld Battalions Proviant Fuhrwesen als kranke in Armee Spital befundigte Soldat ins MFWK 19. Pro Cento Division 3. Abtheilung transferiert </t>
        </r>
        <r>
          <rPr>
            <sz val="14"/>
            <color rgb="FF000000"/>
            <rFont val="Times New Roman"/>
            <family val="18"/>
          </rPr>
          <t xml:space="preserve">[ST Jan 1790]
</t>
        </r>
        <r>
          <rPr>
            <sz val="14"/>
            <color rgb="FF000000"/>
            <rFont val="Times New Roman"/>
            <family val="18"/>
          </rPr>
          <t xml:space="preserve">
</t>
        </r>
      </text>
    </comment>
    <comment ref="BG80" authorId="0" shapeId="0" xr:uid="{5C1D1083-028B-344B-BAF3-0496669D8CB2}">
      <text>
        <r>
          <rPr>
            <sz val="14"/>
            <color rgb="FF000000"/>
            <rFont val="Calibri"/>
            <family val="34"/>
          </rPr>
          <t xml:space="preserve">ML 10.296 IR 43 (1790) ST Jan FELD Proviant Fuhrwesen - Abgang (09/05/1790)
</t>
        </r>
        <r>
          <rPr>
            <sz val="14"/>
            <color rgb="FF000000"/>
            <rFont val="Calibri"/>
            <family val="34"/>
          </rPr>
          <t>ML 10.297 IR 43 (1790) AL/TL TL IR 43-&gt;MFWK Nr. 1 (05/05/1790)</t>
        </r>
      </text>
    </comment>
    <comment ref="BH80" authorId="0" shapeId="0" xr:uid="{4525BEC7-0403-474A-89A6-3146EE000FA9}">
      <text>
        <r>
          <rPr>
            <sz val="14"/>
            <color rgb="FF000000"/>
            <rFont val="Calibri"/>
            <family val="34"/>
          </rPr>
          <t>MFWK (1789-90)</t>
        </r>
      </text>
    </comment>
    <comment ref="BI80" authorId="0" shapeId="0" xr:uid="{1C7FD15E-C2B9-974D-9BFC-5619EB717A74}">
      <text>
        <r>
          <rPr>
            <sz val="14"/>
            <color rgb="FF000000"/>
            <rFont val="Calibri"/>
            <family val="34"/>
          </rPr>
          <t>1790: Gut</t>
        </r>
      </text>
    </comment>
    <comment ref="O81" authorId="0" shapeId="0" xr:uid="{36F54FDD-FCFA-134B-BD5B-F1E6A321A91C}">
      <text>
        <r>
          <rPr>
            <i/>
            <sz val="14"/>
            <color rgb="FF000000"/>
            <rFont val="Times New Roman"/>
            <family val="18"/>
          </rPr>
          <t xml:space="preserve">3 Kinder </t>
        </r>
        <r>
          <rPr>
            <sz val="14"/>
            <color rgb="FF000000"/>
            <rFont val="Times New Roman"/>
            <family val="18"/>
          </rPr>
          <t>[PL June 1790]</t>
        </r>
      </text>
    </comment>
    <comment ref="BF81" authorId="0" shapeId="0" xr:uid="{97581252-8B9D-B240-B830-5A4C1E90C524}">
      <text>
        <r>
          <rPr>
            <sz val="14"/>
            <color rgb="FF000000"/>
            <rFont val="Times New Roman"/>
            <family val="18"/>
          </rPr>
          <t xml:space="preserve">26/09/1789 </t>
        </r>
        <r>
          <rPr>
            <i/>
            <sz val="14"/>
            <color rgb="FF000000"/>
            <rFont val="Times New Roman"/>
            <family val="18"/>
          </rPr>
          <t>Von MFWK 19. Pro Cento Division 2. Abteilung zum IR 28 Feld Bats transferiert und zum Proviant Fuhrwesen eingeteilt</t>
        </r>
        <r>
          <rPr>
            <sz val="14"/>
            <color rgb="FF000000"/>
            <rFont val="Times New Roman"/>
            <family val="18"/>
          </rPr>
          <t xml:space="preserve"> [ST Sept 1789]</t>
        </r>
        <r>
          <rPr>
            <sz val="14"/>
            <color rgb="FF000000"/>
            <rFont val="Calibri"/>
            <family val="34"/>
          </rPr>
          <t xml:space="preserve">
</t>
        </r>
        <r>
          <rPr>
            <sz val="14"/>
            <color rgb="FF000000"/>
            <rFont val="Times New Roman"/>
            <family val="18"/>
          </rPr>
          <t xml:space="preserve">04/10/1789 </t>
        </r>
        <r>
          <rPr>
            <i/>
            <sz val="14"/>
            <color rgb="FF000000"/>
            <rFont val="Times New Roman"/>
            <family val="18"/>
          </rPr>
          <t>Wegen Krankheit von IR 28 2 Feld Bataillons zum MFWK Fuhrwesens Reserve transferiert</t>
        </r>
        <r>
          <rPr>
            <sz val="14"/>
            <color rgb="FF000000"/>
            <rFont val="Times New Roman"/>
            <family val="18"/>
          </rPr>
          <t xml:space="preserve"> [TL June 1790]</t>
        </r>
        <r>
          <rPr>
            <sz val="14"/>
            <color rgb="FF000000"/>
            <rFont val="Calibri"/>
            <family val="34"/>
          </rPr>
          <t xml:space="preserve">
</t>
        </r>
      </text>
    </comment>
    <comment ref="BG81" authorId="0" shapeId="0" xr:uid="{6F6FF87A-503A-4D49-8FEB-36647373722D}">
      <text>
        <r>
          <rPr>
            <sz val="14"/>
            <color rgb="FF000000"/>
            <rFont val="Times New Roman"/>
            <family val="18"/>
          </rPr>
          <t>ML 2437 IR 28 (1789) – ST Sept (Senftenberg 23/06/1790), Oct (Senfenberg 16/07/1790)</t>
        </r>
        <r>
          <rPr>
            <sz val="14"/>
            <color rgb="FF000000"/>
            <rFont val="Calibri"/>
            <family val="34"/>
          </rPr>
          <t xml:space="preserve">
</t>
        </r>
        <r>
          <rPr>
            <sz val="14"/>
            <color rgb="FF000000"/>
            <rFont val="Times New Roman"/>
            <family val="18"/>
          </rPr>
          <t xml:space="preserve">ML 2438 IR 28 (1789) AL/TL – TL IR 28-&gt;MFWK Nr. 7 (Senftenberg 17/06/1790)
</t>
        </r>
      </text>
    </comment>
    <comment ref="BH81" authorId="0" shapeId="0" xr:uid="{881C8611-DA3F-3F46-90EF-FB8A629B8AC6}">
      <text>
        <r>
          <rPr>
            <sz val="14"/>
            <color rgb="FF000000"/>
            <rFont val="Calibri"/>
            <family val="34"/>
          </rPr>
          <t>MFWK (1789)</t>
        </r>
      </text>
    </comment>
    <comment ref="I82" authorId="0" shapeId="0" xr:uid="{60E8CE34-F6E1-274B-A024-F1D3E9D3D6A9}">
      <text>
        <r>
          <rPr>
            <b/>
            <sz val="14"/>
            <color rgb="FF000000"/>
            <rFont val="Calibri"/>
            <family val="34"/>
          </rPr>
          <t xml:space="preserve">1767 [24 (ML 1791)]
</t>
        </r>
        <r>
          <rPr>
            <sz val="14"/>
            <color rgb="FF000000"/>
            <rFont val="Calibri"/>
            <family val="34"/>
          </rPr>
          <t xml:space="preserve">OR 
</t>
        </r>
        <r>
          <rPr>
            <sz val="14"/>
            <color rgb="FF000000"/>
            <rFont val="Calibri"/>
            <family val="34"/>
          </rPr>
          <t>1770 [36 (ML 1806)]</t>
        </r>
      </text>
    </comment>
    <comment ref="J82" authorId="0" shapeId="0" xr:uid="{512B533C-2725-4840-A34B-C632A45CF269}">
      <text>
        <r>
          <rPr>
            <sz val="14"/>
            <color rgb="FF000000"/>
            <rFont val="Calibri"/>
            <family val="34"/>
          </rPr>
          <t xml:space="preserve">Ledig (Bis 1802)
</t>
        </r>
        <r>
          <rPr>
            <sz val="14"/>
            <color rgb="FF000000"/>
            <rFont val="Calibri"/>
            <family val="34"/>
          </rPr>
          <t>Veheiratet (Seit 1803)</t>
        </r>
      </text>
    </comment>
    <comment ref="T82" authorId="0" shapeId="0" xr:uid="{7C4BB4C7-BF82-B64D-BE5D-C4E41AAD7A48}">
      <text>
        <r>
          <rPr>
            <b/>
            <sz val="14"/>
            <color rgb="FF000000"/>
            <rFont val="Calibri"/>
            <family val="34"/>
          </rPr>
          <t xml:space="preserve">5.2.2 [163.7 cm] (ML 1791)
</t>
        </r>
        <r>
          <rPr>
            <sz val="14"/>
            <color rgb="FF000000"/>
            <rFont val="Calibri"/>
            <family val="34"/>
          </rPr>
          <t>5.3.1 [166.11 cm] (ML 1806)</t>
        </r>
      </text>
    </comment>
    <comment ref="BF82" authorId="0" shapeId="0" xr:uid="{7CFA8296-F389-8F44-A6D7-BCEEFB7C2B12}">
      <text>
        <r>
          <rPr>
            <sz val="14"/>
            <color rgb="FF000000"/>
            <rFont val="Times New Roman"/>
            <family val="18"/>
          </rPr>
          <t xml:space="preserve">23/10/1789 </t>
        </r>
        <r>
          <rPr>
            <i/>
            <sz val="14"/>
            <color rgb="FF000000"/>
            <rFont val="Times New Roman"/>
            <family val="18"/>
          </rPr>
          <t>Von unbestimmten Urlaub eingebracht am Handgeld entgegen 3Fl</t>
        </r>
        <r>
          <rPr>
            <sz val="14"/>
            <color rgb="FF000000"/>
            <rFont val="Times New Roman"/>
            <family val="18"/>
          </rPr>
          <t xml:space="preserve"> [SIC!] ML 1791]</t>
        </r>
        <r>
          <rPr>
            <sz val="14"/>
            <color rgb="FF000000"/>
            <rFont val="Aptos"/>
            <family val="34"/>
          </rPr>
          <t xml:space="preserve">
</t>
        </r>
        <r>
          <rPr>
            <sz val="14"/>
            <color rgb="FF000000"/>
            <rFont val="Times New Roman"/>
            <family val="18"/>
          </rPr>
          <t xml:space="preserve">16/03/1790 </t>
        </r>
        <r>
          <rPr>
            <i/>
            <sz val="14"/>
            <color rgb="FF000000"/>
            <rFont val="Times New Roman"/>
            <family val="18"/>
          </rPr>
          <t>Von Willimowsky zum Gronsfeld Komp. transferiert</t>
        </r>
        <r>
          <rPr>
            <sz val="14"/>
            <color rgb="FF000000"/>
            <rFont val="Times New Roman"/>
            <family val="18"/>
          </rPr>
          <t xml:space="preserve"> [ML 1791]</t>
        </r>
        <r>
          <rPr>
            <sz val="14"/>
            <color rgb="FF000000"/>
            <rFont val="Aptos"/>
            <family val="34"/>
          </rPr>
          <t xml:space="preserve">
</t>
        </r>
        <r>
          <rPr>
            <sz val="14"/>
            <color rgb="FF000000"/>
            <rFont val="Times New Roman"/>
            <family val="18"/>
          </rPr>
          <t xml:space="preserve">26/04/1790 </t>
        </r>
        <r>
          <rPr>
            <i/>
            <sz val="14"/>
            <color rgb="FF000000"/>
            <rFont val="Times New Roman"/>
            <family val="18"/>
          </rPr>
          <t>Von Gronsfeld Komp. zum Artillerie Handlanger transferiert</t>
        </r>
        <r>
          <rPr>
            <sz val="14"/>
            <color rgb="FF000000"/>
            <rFont val="Times New Roman"/>
            <family val="18"/>
          </rPr>
          <t xml:space="preserve"> [ML 1791]</t>
        </r>
        <r>
          <rPr>
            <sz val="14"/>
            <color rgb="FF000000"/>
            <rFont val="Aptos"/>
            <family val="34"/>
          </rPr>
          <t xml:space="preserve">
</t>
        </r>
        <r>
          <rPr>
            <sz val="14"/>
            <color rgb="FF000000"/>
            <rFont val="Times New Roman"/>
            <family val="18"/>
          </rPr>
          <t xml:space="preserve">26/08/1790 </t>
        </r>
        <r>
          <rPr>
            <i/>
            <sz val="14"/>
            <color rgb="FF000000"/>
            <rFont val="Times New Roman"/>
            <family val="18"/>
          </rPr>
          <t>Von Artillerie Handleger zurück zum Gronsfeld Komp transferiert</t>
        </r>
        <r>
          <rPr>
            <sz val="14"/>
            <color rgb="FF000000"/>
            <rFont val="Times New Roman"/>
            <family val="18"/>
          </rPr>
          <t xml:space="preserve"> [ML 1791]</t>
        </r>
        <r>
          <rPr>
            <sz val="14"/>
            <color rgb="FF000000"/>
            <rFont val="Aptos"/>
            <family val="34"/>
          </rPr>
          <t xml:space="preserve">
</t>
        </r>
        <r>
          <rPr>
            <sz val="14"/>
            <color rgb="FF000000"/>
            <rFont val="Times New Roman"/>
            <family val="18"/>
          </rPr>
          <t>27/08/1791 Muster: IR 28 Haupt Gronsfeld Komp. Nr. 164</t>
        </r>
        <r>
          <rPr>
            <sz val="14"/>
            <color rgb="FF000000"/>
            <rFont val="Aptos"/>
            <family val="34"/>
          </rPr>
          <t xml:space="preserve">
</t>
        </r>
        <r>
          <rPr>
            <sz val="14"/>
            <color rgb="FF000000"/>
            <rFont val="Times New Roman"/>
            <family val="18"/>
          </rPr>
          <t xml:space="preserve">11/09/1791 </t>
        </r>
        <r>
          <rPr>
            <i/>
            <sz val="14"/>
            <color rgb="FF000000"/>
            <rFont val="Times New Roman"/>
            <family val="18"/>
          </rPr>
          <t xml:space="preserve">Auf unbestimmte Urlaub entlassen </t>
        </r>
        <r>
          <rPr>
            <sz val="14"/>
            <color rgb="FF000000"/>
            <rFont val="Times New Roman"/>
            <family val="18"/>
          </rPr>
          <t>[ML 1792]</t>
        </r>
        <r>
          <rPr>
            <sz val="14"/>
            <color rgb="FF000000"/>
            <rFont val="Aptos"/>
            <family val="34"/>
          </rPr>
          <t xml:space="preserve">
</t>
        </r>
        <r>
          <rPr>
            <sz val="14"/>
            <color rgb="FF000000"/>
            <rFont val="Times New Roman"/>
            <family val="18"/>
          </rPr>
          <t xml:space="preserve">20/11/1792 </t>
        </r>
        <r>
          <rPr>
            <i/>
            <sz val="14"/>
            <color rgb="FF000000"/>
            <rFont val="Times New Roman"/>
            <family val="18"/>
          </rPr>
          <t>Als Werbbezierk Recrout von unbestimmtem Urlaub eingebracht und zum Haupt Claus Komp eingeteilt</t>
        </r>
        <r>
          <rPr>
            <sz val="14"/>
            <color rgb="FF000000"/>
            <rFont val="Times New Roman"/>
            <family val="18"/>
          </rPr>
          <t xml:space="preserve"> [RL 1793]</t>
        </r>
        <r>
          <rPr>
            <sz val="14"/>
            <color rgb="FF000000"/>
            <rFont val="Aptos"/>
            <family val="34"/>
          </rPr>
          <t xml:space="preserve">
</t>
        </r>
        <r>
          <rPr>
            <sz val="14"/>
            <color rgb="FFFF0000"/>
            <rFont val="Times New Roman"/>
            <family val="18"/>
          </rPr>
          <t>20/11/1792 Dient seit [ML 1802]</t>
        </r>
        <r>
          <rPr>
            <sz val="14"/>
            <color rgb="FF000000"/>
            <rFont val="Aptos"/>
            <family val="34"/>
          </rPr>
          <t xml:space="preserve">
</t>
        </r>
        <r>
          <rPr>
            <sz val="14"/>
            <color rgb="FF000000"/>
            <rFont val="Times New Roman"/>
            <family val="18"/>
          </rPr>
          <t>24/12/1793 Revision: IR 28 Haupt Claus Komp. Nr. 137 [</t>
        </r>
        <r>
          <rPr>
            <i/>
            <sz val="14"/>
            <color rgb="FF000000"/>
            <rFont val="Times New Roman"/>
            <family val="18"/>
          </rPr>
          <t>Commandiert bei der Artillerie Reserve</t>
        </r>
        <r>
          <rPr>
            <sz val="14"/>
            <color rgb="FF000000"/>
            <rFont val="Times New Roman"/>
            <family val="18"/>
          </rPr>
          <t>]</t>
        </r>
        <r>
          <rPr>
            <sz val="14"/>
            <color rgb="FF000000"/>
            <rFont val="Aptos"/>
            <family val="34"/>
          </rPr>
          <t xml:space="preserve">
</t>
        </r>
        <r>
          <rPr>
            <sz val="14"/>
            <color rgb="FF000000"/>
            <rFont val="Times New Roman"/>
            <family val="18"/>
          </rPr>
          <t>18/09/1802 Muster: IR 28 Haupt Bannitza Komp. Nr. 36</t>
        </r>
        <r>
          <rPr>
            <sz val="14"/>
            <color rgb="FF000000"/>
            <rFont val="Aptos"/>
            <family val="34"/>
          </rPr>
          <t xml:space="preserve">
</t>
        </r>
        <r>
          <rPr>
            <sz val="14"/>
            <color rgb="FF000000"/>
            <rFont val="Times New Roman"/>
            <family val="18"/>
          </rPr>
          <t xml:space="preserve">26/10/1802 </t>
        </r>
        <r>
          <rPr>
            <i/>
            <sz val="14"/>
            <color rgb="FF000000"/>
            <rFont val="Times New Roman"/>
            <family val="18"/>
          </rPr>
          <t>Beurlaubt bis zur Einberufung</t>
        </r>
        <r>
          <rPr>
            <sz val="14"/>
            <color rgb="FF000000"/>
            <rFont val="Times New Roman"/>
            <family val="18"/>
          </rPr>
          <t xml:space="preserve"> [ML 1803]</t>
        </r>
        <r>
          <rPr>
            <sz val="14"/>
            <color rgb="FF000000"/>
            <rFont val="Aptos"/>
            <family val="34"/>
          </rPr>
          <t xml:space="preserve">
</t>
        </r>
        <r>
          <rPr>
            <sz val="14"/>
            <color rgb="FF000000"/>
            <rFont val="Times New Roman"/>
            <family val="18"/>
          </rPr>
          <t>19/09/1803 Muster: IR 28 Haupt Bannitz Komp. Nr. 136 [</t>
        </r>
        <r>
          <rPr>
            <i/>
            <sz val="14"/>
            <color rgb="FF000000"/>
            <rFont val="Times New Roman"/>
            <family val="18"/>
          </rPr>
          <t>Beurlaubt bis zur Einberufung in Polna in Böhmen</t>
        </r>
        <r>
          <rPr>
            <sz val="14"/>
            <color rgb="FF000000"/>
            <rFont val="Times New Roman"/>
            <family val="18"/>
          </rPr>
          <t xml:space="preserve">] </t>
        </r>
        <r>
          <rPr>
            <sz val="14"/>
            <color rgb="FF000000"/>
            <rFont val="Aptos"/>
            <family val="34"/>
          </rPr>
          <t xml:space="preserve">
</t>
        </r>
        <r>
          <rPr>
            <sz val="14"/>
            <color rgb="FF000000"/>
            <rFont val="Times New Roman"/>
            <family val="18"/>
          </rPr>
          <t xml:space="preserve">01/09/1805 </t>
        </r>
        <r>
          <rPr>
            <i/>
            <sz val="14"/>
            <color rgb="FF000000"/>
            <rFont val="Times New Roman"/>
            <family val="18"/>
          </rPr>
          <t>Von Haupt Schiawuza zum Artillerie Handlanger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 xml:space="preserve">20/10/1805 </t>
        </r>
        <r>
          <rPr>
            <i/>
            <sz val="14"/>
            <color rgb="FF000000"/>
            <rFont val="Times New Roman"/>
            <family val="18"/>
          </rPr>
          <t xml:space="preserve">Bei die </t>
        </r>
        <r>
          <rPr>
            <b/>
            <i/>
            <sz val="14"/>
            <color rgb="FF000000"/>
            <rFont val="Times New Roman"/>
            <family val="18"/>
          </rPr>
          <t xml:space="preserve">Übergabe von Ulm </t>
        </r>
        <r>
          <rPr>
            <i/>
            <sz val="14"/>
            <color rgb="FF000000"/>
            <rFont val="Times New Roman"/>
            <family val="18"/>
          </rPr>
          <t>Kriegsgefangenschaft Gefallen</t>
        </r>
        <r>
          <rPr>
            <sz val="14"/>
            <color rgb="FF000000"/>
            <rFont val="Times New Roman"/>
            <family val="18"/>
          </rPr>
          <t xml:space="preserve"> [ML 1806]</t>
        </r>
        <r>
          <rPr>
            <sz val="14"/>
            <color rgb="FF000000"/>
            <rFont val="Aptos"/>
            <family val="34"/>
          </rPr>
          <t xml:space="preserve">
</t>
        </r>
        <r>
          <rPr>
            <sz val="14"/>
            <color rgb="FF000000"/>
            <rFont val="Times New Roman"/>
            <family val="18"/>
          </rPr>
          <t xml:space="preserve">27/09/1806 </t>
        </r>
        <r>
          <rPr>
            <i/>
            <sz val="14"/>
            <color rgb="FF000000"/>
            <rFont val="Times New Roman"/>
            <family val="18"/>
          </rPr>
          <t xml:space="preserve">Aus der Kriegsgefangenschaft ausgeliefert und zum Haupt Lützow Komp eingeteilt </t>
        </r>
        <r>
          <rPr>
            <sz val="14"/>
            <color rgb="FF000000"/>
            <rFont val="Times New Roman"/>
            <family val="18"/>
          </rPr>
          <t>[ML 1806]</t>
        </r>
        <r>
          <rPr>
            <sz val="14"/>
            <color rgb="FF000000"/>
            <rFont val="Aptos"/>
            <family val="34"/>
          </rPr>
          <t xml:space="preserve">
</t>
        </r>
        <r>
          <rPr>
            <sz val="14"/>
            <color rgb="FF000000"/>
            <rFont val="Times New Roman"/>
            <family val="18"/>
          </rPr>
          <t xml:space="preserve">01/11/1806 </t>
        </r>
        <r>
          <rPr>
            <i/>
            <sz val="14"/>
            <color rgb="FF000000"/>
            <rFont val="Times New Roman"/>
            <family val="18"/>
          </rPr>
          <t>Von Haupt Lützow zum Artillerie Handlanger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22/12/1806 Muster: IR 28 Artillerie Handlanger Nr. 30</t>
        </r>
        <r>
          <rPr>
            <sz val="14"/>
            <color rgb="FF000000"/>
            <rFont val="Aptos"/>
            <family val="34"/>
          </rPr>
          <t xml:space="preserve">
</t>
        </r>
        <r>
          <rPr>
            <sz val="14"/>
            <color rgb="FF000000"/>
            <rFont val="Times New Roman"/>
            <family val="18"/>
          </rPr>
          <t xml:space="preserve">12/03/1807 </t>
        </r>
        <r>
          <rPr>
            <i/>
            <sz val="14"/>
            <color rgb="FF000000"/>
            <rFont val="Times New Roman"/>
            <family val="18"/>
          </rPr>
          <t>Von Artillerie Handlanger zum Haupt Berger Komp. transferiert</t>
        </r>
        <r>
          <rPr>
            <sz val="14"/>
            <color rgb="FF000000"/>
            <rFont val="Times New Roman"/>
            <family val="18"/>
          </rPr>
          <t xml:space="preserve"> [RL 1801]</t>
        </r>
        <r>
          <rPr>
            <sz val="14"/>
            <color rgb="FF000000"/>
            <rFont val="Aptos"/>
            <family val="34"/>
          </rPr>
          <t xml:space="preserve">
</t>
        </r>
        <r>
          <rPr>
            <sz val="14"/>
            <color rgb="FF000000"/>
            <rFont val="Times New Roman"/>
            <family val="18"/>
          </rPr>
          <t xml:space="preserve">27/04/1808 </t>
        </r>
        <r>
          <rPr>
            <i/>
            <sz val="14"/>
            <color rgb="FF000000"/>
            <rFont val="Times New Roman"/>
            <family val="18"/>
          </rPr>
          <t>Als ausgedienter Inländischer Veteran mit Abschied entlassen</t>
        </r>
        <r>
          <rPr>
            <sz val="14"/>
            <color rgb="FF000000"/>
            <rFont val="Times New Roman"/>
            <family val="18"/>
          </rPr>
          <t xml:space="preserve"> [TL 1808]</t>
        </r>
        <r>
          <rPr>
            <sz val="14"/>
            <color rgb="FF000000"/>
            <rFont val="Aptos"/>
            <family val="34"/>
          </rPr>
          <t xml:space="preserve">
</t>
        </r>
      </text>
    </comment>
    <comment ref="BG82" authorId="0" shapeId="0" xr:uid="{20F6529C-DD70-8740-94EB-DCD193FFE87D}">
      <text>
        <r>
          <rPr>
            <sz val="14"/>
            <color rgb="FF000000"/>
            <rFont val="Times New Roman"/>
            <family val="18"/>
          </rPr>
          <t>ML 2392/3 IR 28 (1791) – Haupt Gronsfeld Komp. Nr. 164 (Czaslau 27/08/1791)</t>
        </r>
        <r>
          <rPr>
            <sz val="14"/>
            <color rgb="FF000000"/>
            <rFont val="Aptos"/>
            <family val="34"/>
          </rPr>
          <t xml:space="preserve">
</t>
        </r>
        <r>
          <rPr>
            <sz val="14"/>
            <color rgb="FF000000"/>
            <rFont val="Times New Roman"/>
            <family val="18"/>
          </rPr>
          <t>ML 2394 IR 28 (1792) – Haupt Gronsfeld Komp. Abgang (Czaslau 15/09/1792)</t>
        </r>
        <r>
          <rPr>
            <sz val="14"/>
            <color rgb="FF000000"/>
            <rFont val="Aptos"/>
            <family val="34"/>
          </rPr>
          <t xml:space="preserve">
</t>
        </r>
        <r>
          <rPr>
            <sz val="14"/>
            <color rgb="FF000000"/>
            <rFont val="Times New Roman"/>
            <family val="18"/>
          </rPr>
          <t>ML 2401/2 IR 28 (1802) – Haupt Bannitza. Nr. 36 (Hloupetin 18/09/1802)</t>
        </r>
        <r>
          <rPr>
            <sz val="14"/>
            <color rgb="FF000000"/>
            <rFont val="Aptos"/>
            <family val="34"/>
          </rPr>
          <t xml:space="preserve">
</t>
        </r>
        <r>
          <rPr>
            <sz val="14"/>
            <color rgb="FF000000"/>
            <rFont val="Times New Roman"/>
            <family val="18"/>
          </rPr>
          <t>ML 2403 IR 28 (1803) – Haupt Bannitza. Nr. 136 (Czaslau 19/09/1803)</t>
        </r>
        <r>
          <rPr>
            <sz val="14"/>
            <color rgb="FF000000"/>
            <rFont val="Aptos"/>
            <family val="34"/>
          </rPr>
          <t xml:space="preserve">
</t>
        </r>
        <r>
          <rPr>
            <sz val="14"/>
            <color rgb="FF000000"/>
            <rFont val="Times New Roman"/>
            <family val="18"/>
          </rPr>
          <t>ML 2404-6 IR 28 (1806) – Artillerie Handlanger Nr. 30 (Kuttenberg 22/12/1806)</t>
        </r>
        <r>
          <rPr>
            <sz val="14"/>
            <color rgb="FF000000"/>
            <rFont val="Aptos"/>
            <family val="34"/>
          </rPr>
          <t xml:space="preserve">
</t>
        </r>
        <r>
          <rPr>
            <sz val="14"/>
            <color rgb="FF000000"/>
            <rFont val="Times New Roman"/>
            <family val="18"/>
          </rPr>
          <t>ML 2407 IR 28 (1808) – Haupt Berger Komp. Abgang (Czaslau 19/09/1808)</t>
        </r>
      </text>
    </comment>
    <comment ref="BH82" authorId="0" shapeId="0" xr:uid="{8A9B9025-D968-1B43-8B03-EE157346E028}">
      <text>
        <r>
          <rPr>
            <sz val="14"/>
            <color rgb="FF000000"/>
            <rFont val="Calibri"/>
            <family val="34"/>
          </rPr>
          <t>IR 28 (1789-1808)</t>
        </r>
      </text>
    </comment>
    <comment ref="BF83" authorId="0" shapeId="0" xr:uid="{85AEF392-3A1E-6642-BB8A-27419836C73C}">
      <text>
        <r>
          <rPr>
            <sz val="14"/>
            <color rgb="FF000000"/>
            <rFont val="Times New Roman"/>
            <family val="18"/>
          </rPr>
          <t xml:space="preserve">29/10/1789 </t>
        </r>
        <r>
          <rPr>
            <i/>
            <sz val="14"/>
            <color rgb="FF000000"/>
            <rFont val="Times New Roman"/>
            <family val="18"/>
          </rPr>
          <t>Von IR 3 2 Feld Bataillons Artillerie Bespannung zum MFWK transferiert</t>
        </r>
        <r>
          <rPr>
            <sz val="14"/>
            <color rgb="FF000000"/>
            <rFont val="Times New Roman"/>
            <family val="18"/>
          </rPr>
          <t xml:space="preserve"> [TL Jan 1790]</t>
        </r>
        <r>
          <rPr>
            <sz val="14"/>
            <color rgb="FF000000"/>
            <rFont val="Calibri"/>
            <family val="34"/>
          </rPr>
          <t xml:space="preserve">
</t>
        </r>
      </text>
    </comment>
    <comment ref="BG83" authorId="0" shapeId="0" xr:uid="{2834F734-6DF8-1B47-B6AA-32A6005AB1DD}">
      <text>
        <r>
          <rPr>
            <sz val="14"/>
            <color rgb="FF000000"/>
            <rFont val="Times New Roman"/>
            <family val="18"/>
          </rPr>
          <t>ML 260 IR 3 (1789) – TL IR 3-&gt;MFWK Nr. 2 (Karlowitz 27/01/1790); ST Nov (Peterwardein 21/01/1790)</t>
        </r>
      </text>
    </comment>
    <comment ref="BH83" authorId="0" shapeId="0" xr:uid="{98F8E967-BE89-1946-B601-4F77A17BCD62}">
      <text>
        <r>
          <rPr>
            <sz val="14"/>
            <color rgb="FF000000"/>
            <rFont val="Calibri"/>
            <family val="34"/>
          </rPr>
          <t>MFWK (1789)</t>
        </r>
      </text>
    </comment>
    <comment ref="BI83" authorId="0" shapeId="0" xr:uid="{69E89A23-097F-EE4A-80C1-DCBB35E3D2A6}">
      <text>
        <r>
          <rPr>
            <sz val="14"/>
            <color rgb="FF000000"/>
            <rFont val="Calibri"/>
            <family val="34"/>
          </rPr>
          <t xml:space="preserve">Gut [TL Jan 1790] </t>
        </r>
      </text>
    </comment>
    <comment ref="BF84" authorId="0" shapeId="0" xr:uid="{9045838B-96D2-C243-B3D0-9986BC33D7B3}">
      <text>
        <r>
          <rPr>
            <sz val="14"/>
            <color rgb="FF000000"/>
            <rFont val="Times New Roman"/>
            <family val="18"/>
          </rPr>
          <t xml:space="preserve">31/10/1789 [Seit Mindestens] </t>
        </r>
        <r>
          <rPr>
            <i/>
            <sz val="14"/>
            <color rgb="FF000000"/>
            <rFont val="Times New Roman"/>
            <family val="18"/>
          </rPr>
          <t xml:space="preserve">Dient bei IR 24 FELD Bats.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12/01/1790 Revision: IR 24 2. Bat Proviant Fuhrwesen Nr. 5</t>
        </r>
        <r>
          <rPr>
            <sz val="14"/>
            <color rgb="FF000000"/>
            <rFont val="Calibri"/>
            <family val="34"/>
          </rPr>
          <t xml:space="preserve">
</t>
        </r>
        <r>
          <rPr>
            <sz val="14"/>
            <color rgb="FF000000"/>
            <rFont val="Times New Roman"/>
            <family val="18"/>
          </rPr>
          <t xml:space="preserve">30/04/1790 [Bis Mindestens] </t>
        </r>
        <r>
          <rPr>
            <i/>
            <sz val="14"/>
            <color rgb="FF000000"/>
            <rFont val="Times New Roman"/>
            <family val="18"/>
          </rPr>
          <t xml:space="preserve">Dient bei IR 24 FELD Bats. Proviant Fuhrwesen </t>
        </r>
        <r>
          <rPr>
            <sz val="14"/>
            <color rgb="FF000000"/>
            <rFont val="Times New Roman"/>
            <family val="18"/>
          </rPr>
          <t>[ST April 1790]</t>
        </r>
        <r>
          <rPr>
            <sz val="14"/>
            <color rgb="FF000000"/>
            <rFont val="Calibri"/>
            <family val="34"/>
          </rPr>
          <t xml:space="preserve">
</t>
        </r>
      </text>
    </comment>
    <comment ref="BG84" authorId="0" shapeId="0" xr:uid="{0A554105-1812-C54A-925B-B8D82C19963F}">
      <text>
        <r>
          <rPr>
            <sz val="14"/>
            <color rgb="FF000000"/>
            <rFont val="Times New Roman"/>
            <family val="18"/>
          </rPr>
          <t>ML 1934 IR 24 (1790-1) – RL 1790 Proviant Fuhrwesen Nr. 5 (Semlin 12/01/1790)</t>
        </r>
        <r>
          <rPr>
            <sz val="14"/>
            <color rgb="FF000000"/>
            <rFont val="Calibri"/>
            <family val="34"/>
          </rPr>
          <t xml:space="preserve">
</t>
        </r>
        <r>
          <rPr>
            <sz val="14"/>
            <color rgb="FF000000"/>
            <rFont val="Times New Roman"/>
            <family val="18"/>
          </rPr>
          <t xml:space="preserve">ML 1966 IR 24 (1787-9) – FELD Bats: ST Nov Nr. 6 (Belgrade 16/07/1790) </t>
        </r>
        <r>
          <rPr>
            <sz val="14"/>
            <color rgb="FF000000"/>
            <rFont val="Calibri"/>
            <family val="34"/>
          </rPr>
          <t xml:space="preserve">
</t>
        </r>
        <r>
          <rPr>
            <sz val="14"/>
            <color rgb="FF000000"/>
            <rFont val="Times New Roman"/>
            <family val="18"/>
          </rPr>
          <t>ML 1967 IR 24 (1790) – ST April (Belgrade 23/08/1790)</t>
        </r>
      </text>
    </comment>
    <comment ref="BH84" authorId="0" shapeId="0" xr:uid="{BEE36469-F6E5-C646-BE44-C74990CC50C0}">
      <text>
        <r>
          <rPr>
            <sz val="14"/>
            <color rgb="FF000000"/>
            <rFont val="Calibri"/>
            <family val="34"/>
          </rPr>
          <t>MFWK (1789-1790)</t>
        </r>
      </text>
    </comment>
    <comment ref="BF85" authorId="0" shapeId="0" xr:uid="{9A1B048F-6A33-AC4A-A742-A77B6F93E4FD}">
      <text>
        <r>
          <rPr>
            <sz val="14"/>
            <color rgb="FF000000"/>
            <rFont val="Times New Roman"/>
            <family val="18"/>
          </rPr>
          <t xml:space="preserve">31/10/1789 </t>
        </r>
        <r>
          <rPr>
            <i/>
            <sz val="14"/>
            <color rgb="FF000000"/>
            <rFont val="Times New Roman"/>
            <family val="18"/>
          </rPr>
          <t xml:space="preserve">Dient seit mindestens IR 24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12/01/1790 Revision: IR 24 2. Bat Proviant Fuhrwesen Nr. 2</t>
        </r>
        <r>
          <rPr>
            <sz val="14"/>
            <color rgb="FF000000"/>
            <rFont val="Calibri"/>
            <family val="34"/>
          </rPr>
          <t xml:space="preserve">
</t>
        </r>
        <r>
          <rPr>
            <sz val="14"/>
            <color rgb="FF000000"/>
            <rFont val="Times New Roman"/>
            <family val="18"/>
          </rPr>
          <t xml:space="preserve">23/01/1790 </t>
        </r>
        <r>
          <rPr>
            <i/>
            <sz val="14"/>
            <color rgb="FF000000"/>
            <rFont val="Times New Roman"/>
            <family val="18"/>
          </rPr>
          <t>Von IR 24 Feld Bats. Proviant Fuhrwesen wegen Erkrankung zuruck zum MLFK Pro centro Div. Nr. 17 transferiert</t>
        </r>
        <r>
          <rPr>
            <sz val="14"/>
            <color rgb="FF000000"/>
            <rFont val="Times New Roman"/>
            <family val="18"/>
          </rPr>
          <t xml:space="preserve"> [TL June 1790 &amp; ST Jan 1790]</t>
        </r>
        <r>
          <rPr>
            <sz val="14"/>
            <color rgb="FF000000"/>
            <rFont val="Calibri"/>
            <family val="34"/>
          </rPr>
          <t xml:space="preserve">
</t>
        </r>
      </text>
    </comment>
    <comment ref="BG85" authorId="0" shapeId="0" xr:uid="{796FBA0F-1A5F-5149-AC3E-A6F7B08B4337}">
      <text>
        <r>
          <rPr>
            <sz val="14"/>
            <color rgb="FF000000"/>
            <rFont val="Times New Roman"/>
            <family val="18"/>
          </rPr>
          <t>ML 1934 IR 24 (1790-1) – RL 1790 Regiments Fuhrwesen Nr. 6 (Semlin 12/01/1790)</t>
        </r>
        <r>
          <rPr>
            <sz val="14"/>
            <color rgb="FF000000"/>
            <rFont val="Calibri"/>
            <family val="34"/>
          </rPr>
          <t xml:space="preserve">
</t>
        </r>
        <r>
          <rPr>
            <sz val="14"/>
            <color rgb="FF000000"/>
            <rFont val="Times New Roman"/>
            <family val="18"/>
          </rPr>
          <t xml:space="preserve">ML 1966 IR 24 (1787-9) – FELD Bats: ST Nov Nr. 13 (Belgrade 16/07/1790) </t>
        </r>
        <r>
          <rPr>
            <sz val="14"/>
            <color rgb="FF000000"/>
            <rFont val="Calibri"/>
            <family val="34"/>
          </rPr>
          <t xml:space="preserve">
</t>
        </r>
        <r>
          <rPr>
            <sz val="14"/>
            <color rgb="FF000000"/>
            <rFont val="Times New Roman"/>
            <family val="18"/>
          </rPr>
          <t>ML 1967 IR 24 (1790) – FELD Bats: ST Jan (Belgrade 27/07/1790)</t>
        </r>
        <r>
          <rPr>
            <sz val="14"/>
            <color rgb="FF000000"/>
            <rFont val="Calibri"/>
            <family val="34"/>
          </rPr>
          <t xml:space="preserve">
</t>
        </r>
        <r>
          <rPr>
            <sz val="14"/>
            <color rgb="FF000000"/>
            <rFont val="Times New Roman"/>
            <family val="18"/>
          </rPr>
          <t>ML 1968 IR 24 (1790) AL/TL – TL IR 24-&gt; MFWK Nr. 1 (Belgrad 25/06/1790)</t>
        </r>
      </text>
    </comment>
    <comment ref="BH85" authorId="0" shapeId="0" xr:uid="{D42BBAC2-F58A-2E48-997C-30FF645FDA46}">
      <text>
        <r>
          <rPr>
            <sz val="14"/>
            <color rgb="FF000000"/>
            <rFont val="Calibri"/>
            <family val="34"/>
          </rPr>
          <t>MFWK (1789-1790)</t>
        </r>
      </text>
    </comment>
    <comment ref="BF86" authorId="0" shapeId="0" xr:uid="{E1EDCC04-5FD3-6C4B-A63E-A01020509328}">
      <text>
        <r>
          <rPr>
            <sz val="14"/>
            <color rgb="FF000000"/>
            <rFont val="Times New Roman"/>
            <family val="18"/>
          </rPr>
          <t xml:space="preserve">31/10/1789 [Seit Mindestens] </t>
        </r>
        <r>
          <rPr>
            <i/>
            <sz val="14"/>
            <color rgb="FF000000"/>
            <rFont val="Times New Roman"/>
            <family val="18"/>
          </rPr>
          <t xml:space="preserve">Dient bei IR 24 FELD Bats.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12/01/1790 Revision: IR 24 2. Bat Proviant Fuhrwesen Nr. 13</t>
        </r>
        <r>
          <rPr>
            <sz val="14"/>
            <color rgb="FF000000"/>
            <rFont val="Calibri"/>
            <family val="34"/>
          </rPr>
          <t xml:space="preserve">
</t>
        </r>
        <r>
          <rPr>
            <sz val="14"/>
            <color rgb="FF000000"/>
            <rFont val="Times New Roman"/>
            <family val="18"/>
          </rPr>
          <t xml:space="preserve">30/04/1790 [Bis Mindestens] </t>
        </r>
        <r>
          <rPr>
            <i/>
            <sz val="14"/>
            <color rgb="FF000000"/>
            <rFont val="Times New Roman"/>
            <family val="18"/>
          </rPr>
          <t xml:space="preserve">Dient bei IR 24 FELD Bats. Proviant Fuhrwesen </t>
        </r>
        <r>
          <rPr>
            <sz val="14"/>
            <color rgb="FF000000"/>
            <rFont val="Times New Roman"/>
            <family val="18"/>
          </rPr>
          <t>[ST April 1790]</t>
        </r>
      </text>
    </comment>
    <comment ref="BG86" authorId="0" shapeId="0" xr:uid="{0C40A6DB-E412-6848-9FEE-CC19CBCCA809}">
      <text>
        <r>
          <rPr>
            <sz val="14"/>
            <color rgb="FF000000"/>
            <rFont val="Times New Roman"/>
            <family val="18"/>
          </rPr>
          <t>ML 1934 IR 24 (1790-1) – RL 1790 Regiments Fuhrwesen Nr. 13 (Semlin 12/01/1790)</t>
        </r>
        <r>
          <rPr>
            <sz val="14"/>
            <color rgb="FF000000"/>
            <rFont val="Calibri"/>
            <family val="34"/>
          </rPr>
          <t xml:space="preserve">
</t>
        </r>
        <r>
          <rPr>
            <sz val="14"/>
            <color rgb="FF000000"/>
            <rFont val="Times New Roman"/>
            <family val="18"/>
          </rPr>
          <t xml:space="preserve">ML 1966 IR 24 (1787-9) – FELD Bats: ST Nov Nr. 4 (Belgrade 16/07/1790) </t>
        </r>
        <r>
          <rPr>
            <sz val="14"/>
            <color rgb="FF000000"/>
            <rFont val="Calibri"/>
            <family val="34"/>
          </rPr>
          <t xml:space="preserve">
</t>
        </r>
        <r>
          <rPr>
            <sz val="14"/>
            <color rgb="FF000000"/>
            <rFont val="Times New Roman"/>
            <family val="18"/>
          </rPr>
          <t>ML 1967 IR 24 (1790) – ST April (Belgrade 23/08/1790)</t>
        </r>
      </text>
    </comment>
    <comment ref="BH86" authorId="0" shapeId="0" xr:uid="{B7D0944F-F36E-6D4E-88B9-06292F463F5C}">
      <text>
        <r>
          <rPr>
            <sz val="14"/>
            <color rgb="FF000000"/>
            <rFont val="Calibri"/>
            <family val="34"/>
          </rPr>
          <t>MFWK (1789-1790)</t>
        </r>
      </text>
    </comment>
    <comment ref="BF87" authorId="0" shapeId="0" xr:uid="{542B0C94-1A4D-3046-B5BB-426F391E1807}">
      <text>
        <r>
          <rPr>
            <sz val="14"/>
            <color rgb="FF000000"/>
            <rFont val="Times New Roman"/>
            <family val="18"/>
          </rPr>
          <t xml:space="preserve">31/10/1789 [Seit Mindestens] </t>
        </r>
        <r>
          <rPr>
            <i/>
            <sz val="14"/>
            <color rgb="FF000000"/>
            <rFont val="Times New Roman"/>
            <family val="18"/>
          </rPr>
          <t xml:space="preserve">Dient bei IR 24 FELD Bats.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12/01/1790 Revision: IR 24 2. Bat Proviant Fuhrwesen Nr. 14</t>
        </r>
        <r>
          <rPr>
            <sz val="14"/>
            <color rgb="FF000000"/>
            <rFont val="Calibri"/>
            <family val="34"/>
          </rPr>
          <t xml:space="preserve">
</t>
        </r>
        <r>
          <rPr>
            <sz val="14"/>
            <color rgb="FF000000"/>
            <rFont val="Times New Roman"/>
            <family val="18"/>
          </rPr>
          <t xml:space="preserve">30/04/1790 [Bis Mindestens] </t>
        </r>
        <r>
          <rPr>
            <i/>
            <sz val="14"/>
            <color rgb="FF000000"/>
            <rFont val="Times New Roman"/>
            <family val="18"/>
          </rPr>
          <t xml:space="preserve">Dient bei IR 24 FELD Bats. Proviant Fuhrwesen </t>
        </r>
        <r>
          <rPr>
            <sz val="14"/>
            <color rgb="FF000000"/>
            <rFont val="Times New Roman"/>
            <family val="18"/>
          </rPr>
          <t>[ST April 1790]</t>
        </r>
        <r>
          <rPr>
            <sz val="14"/>
            <color rgb="FF000000"/>
            <rFont val="Calibri"/>
            <family val="34"/>
          </rPr>
          <t xml:space="preserve">
</t>
        </r>
      </text>
    </comment>
    <comment ref="BG87" authorId="0" shapeId="0" xr:uid="{C68D44C1-856F-C746-A917-2F3E98838276}">
      <text>
        <r>
          <rPr>
            <sz val="14"/>
            <color rgb="FF000000"/>
            <rFont val="Times New Roman"/>
            <family val="18"/>
          </rPr>
          <t>ML 1934 IR 24 (1790-1) – RL 1790 Regiments Fuhrwesen Nr. 14 (Semlin 12/01/1790)</t>
        </r>
        <r>
          <rPr>
            <sz val="14"/>
            <color rgb="FF000000"/>
            <rFont val="Calibri"/>
            <family val="34"/>
          </rPr>
          <t xml:space="preserve">
</t>
        </r>
        <r>
          <rPr>
            <sz val="14"/>
            <color rgb="FF000000"/>
            <rFont val="Times New Roman"/>
            <family val="18"/>
          </rPr>
          <t xml:space="preserve">ML 1966 IR 24 (1787-9) – FELD Bats: ST Nov Nr. 14 (Belgrade 16/07/1790) </t>
        </r>
        <r>
          <rPr>
            <sz val="14"/>
            <color rgb="FF000000"/>
            <rFont val="Calibri"/>
            <family val="34"/>
          </rPr>
          <t xml:space="preserve">
</t>
        </r>
        <r>
          <rPr>
            <sz val="14"/>
            <color rgb="FF000000"/>
            <rFont val="Times New Roman"/>
            <family val="18"/>
          </rPr>
          <t>ML 1967 IR 24 (1790) – ST April (Belgrade 23/08/1790)</t>
        </r>
      </text>
    </comment>
    <comment ref="BH87" authorId="0" shapeId="0" xr:uid="{EA12A6AF-7506-DC4B-A857-5988A2A05EDC}">
      <text>
        <r>
          <rPr>
            <sz val="14"/>
            <color rgb="FF000000"/>
            <rFont val="Calibri"/>
            <family val="34"/>
          </rPr>
          <t>MFWK (1789-1790)</t>
        </r>
      </text>
    </comment>
    <comment ref="BF88" authorId="0" shapeId="0" xr:uid="{29CECD9F-86E4-3544-9AAA-B66275A29FAF}">
      <text>
        <r>
          <rPr>
            <i/>
            <sz val="14"/>
            <color rgb="FF000000"/>
            <rFont val="Times New Roman"/>
            <family val="18"/>
          </rPr>
          <t xml:space="preserve">Assentierungs tag unbekannt </t>
        </r>
        <r>
          <rPr>
            <sz val="14"/>
            <color rgb="FF000000"/>
            <rFont val="Times New Roman"/>
            <family val="18"/>
          </rPr>
          <t xml:space="preserve">[TL June 1790]
</t>
        </r>
        <r>
          <rPr>
            <sz val="14"/>
            <color rgb="FF000000"/>
            <rFont val="Times New Roman"/>
            <family val="18"/>
          </rPr>
          <t>31/10/1789 [Seit Mindestens] Dient in IR 24 Feld Bats Artillerie Bespannung [ST Nov 1789]</t>
        </r>
        <r>
          <rPr>
            <sz val="14"/>
            <color rgb="FF000000"/>
            <rFont val="Calibri"/>
            <family val="34"/>
          </rPr>
          <t xml:space="preserve">
</t>
        </r>
        <r>
          <rPr>
            <sz val="14"/>
            <color rgb="FF000000"/>
            <rFont val="Times New Roman"/>
            <family val="18"/>
          </rPr>
          <t xml:space="preserve">19/11/1789 </t>
        </r>
        <r>
          <rPr>
            <i/>
            <sz val="14"/>
            <color rgb="FF000000"/>
            <rFont val="Times New Roman"/>
            <family val="18"/>
          </rPr>
          <t xml:space="preserve">Von IR 24 2 Feld Bat Artillerie Bespannung wegen Erkrankung zur MFWK 17. Pro cento Division transferiert </t>
        </r>
        <r>
          <rPr>
            <sz val="14"/>
            <color rgb="FF000000"/>
            <rFont val="Times New Roman"/>
            <family val="18"/>
          </rPr>
          <t>[TL June 1790 &amp; ST Nov 1789]</t>
        </r>
        <r>
          <rPr>
            <sz val="14"/>
            <color rgb="FF000000"/>
            <rFont val="Calibri"/>
            <family val="34"/>
          </rPr>
          <t xml:space="preserve">
</t>
        </r>
      </text>
    </comment>
    <comment ref="BG88" authorId="0" shapeId="0" xr:uid="{106436A0-8CE3-8C4A-8FA3-57B8A26DB3DB}">
      <text>
        <r>
          <rPr>
            <sz val="14"/>
            <color rgb="FF000000"/>
            <rFont val="Times New Roman"/>
            <family val="18"/>
          </rPr>
          <t>ML 1966 IR 24 (1787-9) – FELD Bats: ST Nov (Belgrade 16/07/1790)</t>
        </r>
        <r>
          <rPr>
            <sz val="14"/>
            <color rgb="FF000000"/>
            <rFont val="Calibri"/>
            <family val="34"/>
          </rPr>
          <t xml:space="preserve">
</t>
        </r>
        <r>
          <rPr>
            <sz val="14"/>
            <color rgb="FF000000"/>
            <rFont val="Times New Roman"/>
            <family val="18"/>
          </rPr>
          <t>ML 1968 IR 24 (1790) AL/TL – TL IR 24-&gt; MFWK-&gt; Nr. 6 (Belgrad 25/06/1790)</t>
        </r>
      </text>
    </comment>
    <comment ref="BH88" authorId="0" shapeId="0" xr:uid="{47508286-4843-284B-A9C2-415E30D8EA54}">
      <text>
        <r>
          <rPr>
            <sz val="14"/>
            <color rgb="FF000000"/>
            <rFont val="Calibri"/>
            <family val="34"/>
          </rPr>
          <t>MFWK (1789-90)</t>
        </r>
      </text>
    </comment>
    <comment ref="BF89" authorId="0" shapeId="0" xr:uid="{BE8553CF-CBB1-6B4A-8B86-7E33DECFDF8F}">
      <text>
        <r>
          <rPr>
            <sz val="14"/>
            <color rgb="FF000000"/>
            <rFont val="Times New Roman"/>
            <family val="18"/>
          </rPr>
          <t xml:space="preserve">vor 31/10/1789 </t>
        </r>
        <r>
          <rPr>
            <i/>
            <sz val="14"/>
            <color rgb="FF000000"/>
            <rFont val="Times New Roman"/>
            <family val="18"/>
          </rPr>
          <t xml:space="preserve">Zum IR 43 Feld Battaillons transferiert und zum Proviant Fuhrwesen zugeteilt
</t>
        </r>
        <r>
          <rPr>
            <i/>
            <sz val="14"/>
            <color rgb="FF000000"/>
            <rFont val="Times New Roman"/>
            <family val="18"/>
          </rPr>
          <t xml:space="preserve">15/11/1789 iI Folge hoher Armee General Commando Verordnung von 09/11/1789 von 2. Feld Battalions von IR 43 ‘Thurn’ an das MLFK abgegeben </t>
        </r>
        <r>
          <rPr>
            <sz val="14"/>
            <color rgb="FF000000"/>
            <rFont val="Times New Roman"/>
            <family val="18"/>
          </rPr>
          <t xml:space="preserve">[ST Nov 1789]
</t>
        </r>
      </text>
    </comment>
    <comment ref="BG89" authorId="0" shapeId="0" xr:uid="{0FFEA69B-D63B-4047-9820-F11ED44B719B}">
      <text>
        <r>
          <rPr>
            <sz val="14"/>
            <color rgb="FF000000"/>
            <rFont val="Calibri"/>
            <family val="34"/>
          </rPr>
          <t xml:space="preserve">ML 10.294 IR 43 (1789) ST July FELD Proviant Fuhrwesen - Abgang (29/08/1789)
</t>
        </r>
        <r>
          <rPr>
            <sz val="14"/>
            <color rgb="FF000000"/>
            <rFont val="Calibri"/>
            <family val="34"/>
          </rPr>
          <t>ML 10.295 IR 43 (1789) AL/TL TL IR 43-&gt;MFWK Nr. 2 (Beschainer Observatorium 14/11/1789)</t>
        </r>
      </text>
    </comment>
    <comment ref="BH89" authorId="0" shapeId="0" xr:uid="{4113A268-EFC3-E940-A3D6-06A1EA94E7B2}">
      <text>
        <r>
          <rPr>
            <sz val="14"/>
            <color rgb="FF000000"/>
            <rFont val="Calibri"/>
            <family val="34"/>
          </rPr>
          <t>MFWK (1789)</t>
        </r>
      </text>
    </comment>
    <comment ref="BF90" authorId="0" shapeId="0" xr:uid="{8FCAA431-D524-3B46-92DE-480901533624}">
      <text>
        <r>
          <rPr>
            <sz val="14"/>
            <color rgb="FF000000"/>
            <rFont val="Times New Roman"/>
            <family val="18"/>
          </rPr>
          <t xml:space="preserve">31/10/1789 </t>
        </r>
        <r>
          <rPr>
            <i/>
            <sz val="14"/>
            <color rgb="FF000000"/>
            <rFont val="Times New Roman"/>
            <family val="18"/>
          </rPr>
          <t>Dient seit mindestens IR 24 Artillerie Bespannung</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24/12/1789 </t>
        </r>
        <r>
          <rPr>
            <i/>
            <sz val="14"/>
            <color rgb="FF000000"/>
            <rFont val="Times New Roman"/>
            <family val="18"/>
          </rPr>
          <t>In folge hoher General Commando Verordnung dtt. Belgrad den 20. Dez 789 von Preis 2 Feld Batts in die k.k. Artillerie Reserve zu Semlin transferiert</t>
        </r>
        <r>
          <rPr>
            <sz val="14"/>
            <color rgb="FF000000"/>
            <rFont val="Times New Roman"/>
            <family val="18"/>
          </rPr>
          <t xml:space="preserve"> [TL Dez 1789]</t>
        </r>
        <r>
          <rPr>
            <sz val="14"/>
            <color rgb="FF000000"/>
            <rFont val="Calibri"/>
            <family val="34"/>
          </rPr>
          <t xml:space="preserve">
</t>
        </r>
        <r>
          <rPr>
            <sz val="14"/>
            <color rgb="FF000000"/>
            <rFont val="Times New Roman"/>
            <family val="18"/>
          </rPr>
          <t xml:space="preserve">01/04/1790 </t>
        </r>
        <r>
          <rPr>
            <i/>
            <sz val="14"/>
            <color rgb="FF000000"/>
            <rFont val="Times New Roman"/>
            <family val="18"/>
          </rPr>
          <t xml:space="preserve">Von MLFK </t>
        </r>
        <r>
          <rPr>
            <sz val="14"/>
            <color rgb="FF000000"/>
            <rFont val="Times New Roman"/>
            <family val="18"/>
          </rPr>
          <t>4</t>
        </r>
        <r>
          <rPr>
            <i/>
            <sz val="14"/>
            <color rgb="FF000000"/>
            <rFont val="Times New Roman"/>
            <family val="18"/>
          </rPr>
          <t>. Artillerie Bespannung Division zur IR 24 Feld Bats. transferiert und zur Artillerie eingeteigt</t>
        </r>
        <r>
          <rPr>
            <sz val="14"/>
            <color rgb="FF000000"/>
            <rFont val="Times New Roman"/>
            <family val="18"/>
          </rPr>
          <t xml:space="preserve"> [TL March 1790]</t>
        </r>
        <r>
          <rPr>
            <sz val="14"/>
            <color rgb="FF000000"/>
            <rFont val="Calibri"/>
            <family val="34"/>
          </rPr>
          <t xml:space="preserve">
</t>
        </r>
        <r>
          <rPr>
            <sz val="14"/>
            <color rgb="FF000000"/>
            <rFont val="Times New Roman"/>
            <family val="18"/>
          </rPr>
          <t>06/01/1791 [Dient bis mindestens] Revision: IR 24 Feld Bats Artillerie Bespannung Nr. 18</t>
        </r>
        <r>
          <rPr>
            <sz val="14"/>
            <color rgb="FF000000"/>
            <rFont val="Calibri"/>
            <family val="34"/>
          </rPr>
          <t xml:space="preserve">
</t>
        </r>
      </text>
    </comment>
    <comment ref="BG90" authorId="0" shapeId="0" xr:uid="{A09DADDA-D107-4846-8254-2691809759E5}">
      <text>
        <r>
          <rPr>
            <sz val="14"/>
            <color rgb="FF000000"/>
            <rFont val="Times New Roman"/>
            <family val="18"/>
          </rPr>
          <t>ML 1934 IR 24 (1790/1) – FELD Bats Artillerie Bespannung Nr. 18 (Esseg 06/01/1791)</t>
        </r>
        <r>
          <rPr>
            <sz val="14"/>
            <color rgb="FF000000"/>
            <rFont val="Calibri"/>
            <family val="34"/>
          </rPr>
          <t xml:space="preserve">
</t>
        </r>
        <r>
          <rPr>
            <sz val="14"/>
            <color rgb="FF000000"/>
            <rFont val="Times New Roman"/>
            <family val="18"/>
          </rPr>
          <t xml:space="preserve">ML 1966 IR 24 (1787-9) – FELD Bats: TL IR 24-&gt; MFWK Nr. 11 (Semlin ??/12/1789); ST Nov Nr. 11 (Belgrade 16/07/1790), </t>
        </r>
        <r>
          <rPr>
            <sz val="14"/>
            <color rgb="FF000000"/>
            <rFont val="Calibri"/>
            <family val="34"/>
          </rPr>
          <t xml:space="preserve">
</t>
        </r>
        <r>
          <rPr>
            <sz val="14"/>
            <color rgb="FF000000"/>
            <rFont val="Times New Roman"/>
            <family val="18"/>
          </rPr>
          <t>ML 1967 ST April (Belgrad 23/08/1790)</t>
        </r>
        <r>
          <rPr>
            <sz val="14"/>
            <color rgb="FF000000"/>
            <rFont val="Calibri"/>
            <family val="34"/>
          </rPr>
          <t xml:space="preserve">
</t>
        </r>
        <r>
          <rPr>
            <sz val="14"/>
            <color rgb="FF000000"/>
            <rFont val="Times New Roman"/>
            <family val="18"/>
          </rPr>
          <t>ML 1968 IR 24 (1790) AL/TL – TL MFWK-&gt; IR 24 Nr. 17 (Semlin 31/03/1790)</t>
        </r>
      </text>
    </comment>
    <comment ref="BH90" authorId="0" shapeId="0" xr:uid="{F6E70FBA-F70B-A246-A1D6-C0F334C8E516}">
      <text>
        <r>
          <rPr>
            <sz val="14"/>
            <color rgb="FF000000"/>
            <rFont val="Calibri"/>
            <family val="34"/>
          </rPr>
          <t>MFWK (1789-1790)</t>
        </r>
      </text>
    </comment>
    <comment ref="BF91" authorId="0" shapeId="0" xr:uid="{959F0F42-A673-1F4B-B8EA-776C8BB26EE9}">
      <text>
        <r>
          <rPr>
            <sz val="14"/>
            <color rgb="FF000000"/>
            <rFont val="Times New Roman"/>
            <family val="18"/>
          </rPr>
          <t xml:space="preserve">01/11/1789 </t>
        </r>
        <r>
          <rPr>
            <i/>
            <sz val="14"/>
            <color rgb="FF000000"/>
            <rFont val="Times New Roman"/>
            <family val="18"/>
          </rPr>
          <t>Von MFWK Pro. Cento Division Nr. 19 zum IR 28 Feld Bats transferiert und zum Proviant Fuhrwesen eingeteilt</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23/11/1789 </t>
        </r>
        <r>
          <rPr>
            <i/>
            <sz val="14"/>
            <color rgb="FF000000"/>
            <rFont val="Times New Roman"/>
            <family val="18"/>
          </rPr>
          <t>Wegen Krankheit von IR 28 2 Feld Bataillons zum MFWK Fuhrwesen Reserve transferiert</t>
        </r>
        <r>
          <rPr>
            <sz val="14"/>
            <color rgb="FF000000"/>
            <rFont val="Times New Roman"/>
            <family val="18"/>
          </rPr>
          <t xml:space="preserve"> </t>
        </r>
        <r>
          <rPr>
            <i/>
            <sz val="14"/>
            <color rgb="FF000000"/>
            <rFont val="Times New Roman"/>
            <family val="18"/>
          </rPr>
          <t xml:space="preserve">NB: Wobei noch angemerkt wird, dass vorstehende Mannschaft bis all und Jede bis incl. den obgemerkte Abgangstagen Verpflegter der Spittal, und zwar erster zu Rumma </t>
        </r>
        <r>
          <rPr>
            <b/>
            <sz val="14"/>
            <color rgb="FF000000"/>
            <rFont val="Times New Roman"/>
            <family val="18"/>
          </rPr>
          <t>[Ruma, Serbia]</t>
        </r>
        <r>
          <rPr>
            <i/>
            <sz val="14"/>
            <color rgb="FF000000"/>
            <rFont val="Times New Roman"/>
            <family val="18"/>
          </rPr>
          <t xml:space="preserve"> und letzter zu Pest übergaben worden</t>
        </r>
        <r>
          <rPr>
            <sz val="14"/>
            <color rgb="FF000000"/>
            <rFont val="Times New Roman"/>
            <family val="18"/>
          </rPr>
          <t xml:space="preserve"> [TL June 1790 &amp; ST Nov 1789]</t>
        </r>
        <r>
          <rPr>
            <sz val="14"/>
            <color rgb="FF000000"/>
            <rFont val="Calibri"/>
            <family val="34"/>
          </rPr>
          <t xml:space="preserve">
</t>
        </r>
      </text>
    </comment>
    <comment ref="BG91" authorId="0" shapeId="0" xr:uid="{0A1D3278-C5E1-8947-8C1A-232EB3F2AA73}">
      <text>
        <r>
          <rPr>
            <sz val="14"/>
            <color rgb="FF000000"/>
            <rFont val="Times New Roman"/>
            <family val="18"/>
          </rPr>
          <t>ML 2437 IR 28 (1789) – ST Nov (Prague 19/12/1790)</t>
        </r>
        <r>
          <rPr>
            <sz val="14"/>
            <color rgb="FF000000"/>
            <rFont val="Calibri"/>
            <family val="34"/>
          </rPr>
          <t xml:space="preserve">
</t>
        </r>
        <r>
          <rPr>
            <sz val="14"/>
            <color rgb="FF000000"/>
            <rFont val="Times New Roman"/>
            <family val="18"/>
          </rPr>
          <t>ML 2438 IR 28 (1789) AL/TL – TL IR 28-&gt;MFWK Nr. 2 (Senftenberg 16/06/1789 [sic!])</t>
        </r>
      </text>
    </comment>
    <comment ref="BH91" authorId="0" shapeId="0" xr:uid="{223B81CD-97B6-C644-9571-24FE45B3A220}">
      <text>
        <r>
          <rPr>
            <sz val="14"/>
            <color rgb="FF000000"/>
            <rFont val="Calibri"/>
            <family val="34"/>
          </rPr>
          <t>MFWK (1789)</t>
        </r>
      </text>
    </comment>
    <comment ref="BF92" authorId="0" shapeId="0" xr:uid="{24BE5D30-717E-E74D-AA8F-6CA202D29954}">
      <text>
        <r>
          <rPr>
            <sz val="14"/>
            <color rgb="FF000000"/>
            <rFont val="Times New Roman"/>
            <family val="18"/>
          </rPr>
          <t xml:space="preserve">03/11/1789 </t>
        </r>
        <r>
          <rPr>
            <i/>
            <sz val="14"/>
            <color rgb="FF000000"/>
            <rFont val="Times New Roman"/>
            <family val="18"/>
          </rPr>
          <t xml:space="preserve">Von MFWK pro cento division nr. 17 zum IR 43 transferiert und zum Regiments provinat Bespannung zugeheilt </t>
        </r>
        <r>
          <rPr>
            <sz val="14"/>
            <color rgb="FF000000"/>
            <rFont val="Times New Roman"/>
            <family val="18"/>
          </rPr>
          <t xml:space="preserve">[ST Nov 1789]
</t>
        </r>
        <r>
          <rPr>
            <sz val="14"/>
            <color rgb="FF000000"/>
            <rFont val="Times New Roman"/>
            <family val="18"/>
          </rPr>
          <t xml:space="preserve">15/11/1789 </t>
        </r>
        <r>
          <rPr>
            <i/>
            <sz val="14"/>
            <color rgb="FF000000"/>
            <rFont val="Times New Roman"/>
            <family val="18"/>
          </rPr>
          <t xml:space="preserve">In Folge hoher Armee General Commando Verordnung von 09/11/1789 von 2. Feld Battailons proviant Fuhrwesen von IR 43 ‘Thurn’ an das MLFK abgegeben </t>
        </r>
        <r>
          <rPr>
            <sz val="14"/>
            <color rgb="FF000000"/>
            <rFont val="Times New Roman"/>
            <family val="18"/>
          </rPr>
          <t xml:space="preserve">[ST Nov 1789 &amp; TL 1789]
</t>
        </r>
      </text>
    </comment>
    <comment ref="BG92" authorId="0" shapeId="0" xr:uid="{AC37A7F2-0E5E-8648-B5F1-FE633C6B4F39}">
      <text>
        <r>
          <rPr>
            <sz val="14"/>
            <color rgb="FF000000"/>
            <rFont val="Calibri"/>
            <family val="34"/>
          </rPr>
          <t xml:space="preserve">ML 10.294 IR 43 (1789) ST July FELD Proviant Fuhrwesen - Abgang &amp; Zuwachs(29/08/1789)
</t>
        </r>
        <r>
          <rPr>
            <sz val="14"/>
            <color rgb="FF000000"/>
            <rFont val="Calibri"/>
            <family val="34"/>
          </rPr>
          <t>ML 10.295 IR 43 (1789) AL/TL TL IR 43-&gt;MFWK Nr. 1 (Beschainer Observatorium 14/11/1789)</t>
        </r>
      </text>
    </comment>
    <comment ref="BH92" authorId="0" shapeId="0" xr:uid="{1312F8B0-5EFD-CD48-8618-BF322D4AA5DD}">
      <text>
        <r>
          <rPr>
            <sz val="14"/>
            <color rgb="FF000000"/>
            <rFont val="Calibri"/>
            <family val="34"/>
          </rPr>
          <t>MFWK (1789)</t>
        </r>
      </text>
    </comment>
    <comment ref="BF93" authorId="0" shapeId="0" xr:uid="{63D33031-CAC7-EE44-A626-F9312CF68589}">
      <text>
        <r>
          <rPr>
            <sz val="14"/>
            <color rgb="FF000000"/>
            <rFont val="Times New Roman"/>
            <family val="18"/>
          </rPr>
          <t xml:space="preserve">06/11/1789 </t>
        </r>
        <r>
          <rPr>
            <i/>
            <sz val="14"/>
            <color rgb="FF000000"/>
            <rFont val="Times New Roman"/>
            <family val="18"/>
          </rPr>
          <t xml:space="preserve">Von Fuhrwesen Corps zum IR 1 ‚Kasier‘ Leib Batallion transferiert und zum Proviants Fuhrwesen zugeheilt </t>
        </r>
        <r>
          <rPr>
            <sz val="14"/>
            <color rgb="FF000000"/>
            <rFont val="Times New Roman"/>
            <family val="18"/>
          </rPr>
          <t>[ST Nov 1789]</t>
        </r>
        <r>
          <rPr>
            <sz val="14"/>
            <color rgb="FF000000"/>
            <rFont val="Calibri"/>
            <family val="34"/>
          </rPr>
          <t xml:space="preserve">
</t>
        </r>
        <r>
          <rPr>
            <sz val="14"/>
            <color rgb="FF000000"/>
            <rFont val="Times New Roman"/>
            <family val="18"/>
          </rPr>
          <t xml:space="preserve">05/12/1789 </t>
        </r>
        <r>
          <rPr>
            <i/>
            <sz val="14"/>
            <color rgb="FF000000"/>
            <rFont val="Times New Roman"/>
            <family val="18"/>
          </rPr>
          <t>Als in das Ofner GARNISIONS Spittal krank gebliebene von IR 1 Leib Bat Proviants Fuhrwesen zur MFWK transferiert</t>
        </r>
        <r>
          <rPr>
            <sz val="14"/>
            <color rgb="FF000000"/>
            <rFont val="Times New Roman"/>
            <family val="18"/>
          </rPr>
          <t xml:space="preserve"> [ST Dec 1789)</t>
        </r>
        <r>
          <rPr>
            <sz val="14"/>
            <color rgb="FF000000"/>
            <rFont val="Calibri"/>
            <family val="34"/>
          </rPr>
          <t xml:space="preserve">
</t>
        </r>
        <r>
          <rPr>
            <sz val="14"/>
            <color rgb="FF000000"/>
            <rFont val="+mn-lt"/>
            <charset val="1"/>
          </rPr>
          <t xml:space="preserve">
</t>
        </r>
      </text>
    </comment>
    <comment ref="BG93" authorId="0" shapeId="0" xr:uid="{07C733FA-A7ED-CC40-A34D-C47ED8A0B60B}">
      <text>
        <r>
          <rPr>
            <sz val="14"/>
            <color rgb="FF000000"/>
            <rFont val="Calibri"/>
            <family val="34"/>
          </rPr>
          <t xml:space="preserve">ML 10.294 IR 43 (1789) ST July FELD Proviant Fuhrwesen - Abgang &amp; Zuwachs(29/08/1789)
</t>
        </r>
        <r>
          <rPr>
            <sz val="14"/>
            <color rgb="FF000000"/>
            <rFont val="Calibri"/>
            <family val="34"/>
          </rPr>
          <t>ML 10.295 IR 43 (1789) AL/TL TL IR 43-&gt;MFWK Nr. 1 (Beschainer Observatorium 14/11/1789)</t>
        </r>
      </text>
    </comment>
    <comment ref="BH93" authorId="0" shapeId="0" xr:uid="{4F5A6797-3417-E445-9B9F-1F34AA39D25C}">
      <text>
        <r>
          <rPr>
            <sz val="14"/>
            <color rgb="FF000000"/>
            <rFont val="Calibri"/>
            <family val="34"/>
          </rPr>
          <t>MFWK (1789-1790)</t>
        </r>
      </text>
    </comment>
    <comment ref="BF94" authorId="0" shapeId="0" xr:uid="{0694517C-403C-AF46-97A3-B2AA9CFEB01D}">
      <text>
        <r>
          <rPr>
            <sz val="14"/>
            <color rgb="FF000000"/>
            <rFont val="Times New Roman"/>
            <family val="18"/>
          </rPr>
          <t xml:space="preserve">06/11/1789 06/11/1789 </t>
        </r>
        <r>
          <rPr>
            <i/>
            <sz val="14"/>
            <color rgb="FF000000"/>
            <rFont val="Times New Roman"/>
            <family val="18"/>
          </rPr>
          <t>Von Fuhrwesen Corps zum IR 1 ‚Kasier‘ Leib Batallion transferiert und zum Proviants Fuhrwesen zugeheilt</t>
        </r>
        <r>
          <rPr>
            <sz val="14"/>
            <color rgb="FF000000"/>
            <rFont val="Times New Roman"/>
            <family val="18"/>
          </rPr>
          <t>;</t>
        </r>
        <r>
          <rPr>
            <i/>
            <sz val="14"/>
            <color rgb="FF000000"/>
            <rFont val="Times New Roman"/>
            <family val="18"/>
          </rPr>
          <t xml:space="preserve"> In disgalligen Transferierungsliste ist keine assentierungstag enthalten</t>
        </r>
        <r>
          <rPr>
            <sz val="14"/>
            <color rgb="FF000000"/>
            <rFont val="Times New Roman"/>
            <family val="18"/>
          </rPr>
          <t xml:space="preserve"> [ST Nov 1789 &amp; TL Oct 1790]</t>
        </r>
        <r>
          <rPr>
            <sz val="14"/>
            <color rgb="FF000000"/>
            <rFont val="Calibri"/>
            <family val="34"/>
          </rPr>
          <t xml:space="preserve">
</t>
        </r>
        <r>
          <rPr>
            <sz val="14"/>
            <color rgb="FF000000"/>
            <rFont val="Times New Roman"/>
            <family val="18"/>
          </rPr>
          <t xml:space="preserve">20/10/1790 </t>
        </r>
        <r>
          <rPr>
            <i/>
            <sz val="14"/>
            <color rgb="FF000000"/>
            <rFont val="Times New Roman"/>
            <family val="18"/>
          </rPr>
          <t xml:space="preserve">Von Regiment Proviant Bespannung zurück ins MFWK transferiert </t>
        </r>
        <r>
          <rPr>
            <sz val="14"/>
            <color rgb="FF000000"/>
            <rFont val="Times New Roman"/>
            <family val="18"/>
          </rPr>
          <t>[TL Oct 1790 &amp; ST Oct 1790]</t>
        </r>
        <r>
          <rPr>
            <sz val="14"/>
            <color rgb="FF000000"/>
            <rFont val="Calibri"/>
            <family val="34"/>
          </rPr>
          <t xml:space="preserve">
</t>
        </r>
      </text>
    </comment>
    <comment ref="BG94" authorId="0" shapeId="0" xr:uid="{D7800DA1-1A7E-B74B-80A7-C55C1EEDC6B4}">
      <text>
        <r>
          <rPr>
            <sz val="14"/>
            <color rgb="FF000000"/>
            <rFont val="Times New Roman"/>
            <family val="18"/>
          </rPr>
          <t>ML 57 IR 1 (1789) – TL IR 1-&gt; MFWK Nr. 1 (Wischau 31/12/1789); ST Nov (03/01/1790), Dec (23/01/1790)</t>
        </r>
      </text>
    </comment>
    <comment ref="BH94" authorId="0" shapeId="0" xr:uid="{DE9C5E64-72AC-D345-AD07-2FF471F372CD}">
      <text>
        <r>
          <rPr>
            <sz val="14"/>
            <color rgb="FF000000"/>
            <rFont val="Calibri"/>
            <family val="34"/>
          </rPr>
          <t>MFWK (1789)</t>
        </r>
      </text>
    </comment>
    <comment ref="BF95" authorId="0" shapeId="0" xr:uid="{8741687E-07E1-154F-BE16-D639B999C598}">
      <text>
        <r>
          <rPr>
            <i/>
            <sz val="14"/>
            <color rgb="FF000000"/>
            <rFont val="Times New Roman"/>
            <family val="18"/>
          </rPr>
          <t>Assentierungs Tag unbekannt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25/11/1789 </t>
        </r>
        <r>
          <rPr>
            <i/>
            <sz val="14"/>
            <color rgb="FF000000"/>
            <rFont val="Times New Roman"/>
            <family val="18"/>
          </rPr>
          <t>Von den Fuhrwesen Procento Division nr. 17 3. Abt. Zum IR 24 transferiert und zur Proviant fuhrwesen eingetheilt</t>
        </r>
        <r>
          <rPr>
            <sz val="14"/>
            <color rgb="FF000000"/>
            <rFont val="Times New Roman"/>
            <family val="18"/>
          </rPr>
          <t xml:space="preserve"> [TL Nov 1789 &amp; ST Nov 1789]</t>
        </r>
        <r>
          <rPr>
            <sz val="14"/>
            <color rgb="FF000000"/>
            <rFont val="Calibri"/>
            <family val="34"/>
          </rPr>
          <t xml:space="preserve">
</t>
        </r>
        <r>
          <rPr>
            <sz val="14"/>
            <color rgb="FF000000"/>
            <rFont val="Times New Roman"/>
            <family val="18"/>
          </rPr>
          <t>06/12/1789</t>
        </r>
        <r>
          <rPr>
            <i/>
            <sz val="14"/>
            <color rgb="FF000000"/>
            <rFont val="Times New Roman"/>
            <family val="18"/>
          </rPr>
          <t xml:space="preserve"> Von IR 24 2 Feld Bat Provinat Fuhrwesen wegen Erkrankung zur MFWK 17. Pro cento Division transferiert </t>
        </r>
        <r>
          <rPr>
            <sz val="14"/>
            <color rgb="FF000000"/>
            <rFont val="Times New Roman"/>
            <family val="18"/>
          </rPr>
          <t>[TL June 1790]</t>
        </r>
        <r>
          <rPr>
            <sz val="14"/>
            <color rgb="FF000000"/>
            <rFont val="Calibri"/>
            <family val="34"/>
          </rPr>
          <t xml:space="preserve">
</t>
        </r>
        <r>
          <rPr>
            <sz val="14"/>
            <color rgb="FF000000"/>
            <rFont val="+mn-lt"/>
            <charset val="1"/>
          </rPr>
          <t xml:space="preserve">
</t>
        </r>
      </text>
    </comment>
    <comment ref="BG95" authorId="0" shapeId="0" xr:uid="{AE7D7A39-0BC7-8348-A020-6D2CD90A76FE}">
      <text>
        <r>
          <rPr>
            <sz val="14"/>
            <color rgb="FF000000"/>
            <rFont val="Times New Roman"/>
            <family val="18"/>
          </rPr>
          <t xml:space="preserve">ML 1966 IR 24 (1787-9) – FELD Bats: ST Nov Nr. 20 (Belgrade 16/07/1790) </t>
        </r>
        <r>
          <rPr>
            <sz val="14"/>
            <color rgb="FF000000"/>
            <rFont val="Calibri"/>
            <family val="34"/>
          </rPr>
          <t xml:space="preserve">
</t>
        </r>
        <r>
          <rPr>
            <sz val="14"/>
            <color rgb="FF000000"/>
            <rFont val="Times New Roman"/>
            <family val="18"/>
          </rPr>
          <t>ML 1968 IR 24 (1790) AL/TL – TL IR 24-&gt; MFWK-&gt; Nr. 1 (Belgrad 25/06/1790)</t>
        </r>
        <r>
          <rPr>
            <sz val="14"/>
            <color rgb="FF000000"/>
            <rFont val="Calibri"/>
            <family val="34"/>
          </rPr>
          <t xml:space="preserve">
</t>
        </r>
      </text>
    </comment>
    <comment ref="BH95" authorId="0" shapeId="0" xr:uid="{20CD5C9B-C8AB-0F45-AB3C-99F8D1451BEC}">
      <text>
        <r>
          <rPr>
            <sz val="14"/>
            <color rgb="FF000000"/>
            <rFont val="Calibri"/>
            <family val="34"/>
          </rPr>
          <t>MFWK (1789)</t>
        </r>
      </text>
    </comment>
    <comment ref="BF96" authorId="0" shapeId="0" xr:uid="{C12D8E76-E57A-9542-9AFE-1A808067323C}">
      <text>
        <r>
          <rPr>
            <sz val="14"/>
            <color rgb="FFFF0000"/>
            <rFont val="Times New Roman"/>
            <family val="18"/>
          </rPr>
          <t xml:space="preserve">1789 </t>
        </r>
        <r>
          <rPr>
            <i/>
            <sz val="14"/>
            <color rgb="FFFF0000"/>
            <rFont val="Times New Roman"/>
            <family val="18"/>
          </rPr>
          <t>Dienst seit anno</t>
        </r>
        <r>
          <rPr>
            <sz val="14"/>
            <color rgb="FFFF0000"/>
            <rFont val="Times New Roman"/>
            <family val="18"/>
          </rPr>
          <t xml:space="preserve"> [TL Dec 1790]</t>
        </r>
        <r>
          <rPr>
            <sz val="14"/>
            <color rgb="FF000000"/>
            <rFont val="Calibri"/>
            <family val="34"/>
          </rPr>
          <t xml:space="preserve">
</t>
        </r>
        <r>
          <rPr>
            <sz val="14"/>
            <color rgb="FF000000"/>
            <rFont val="Times New Roman"/>
            <family val="18"/>
          </rPr>
          <t xml:space="preserve">01/1790 </t>
        </r>
        <r>
          <rPr>
            <i/>
            <sz val="14"/>
            <color rgb="FF000000"/>
            <rFont val="Times New Roman"/>
            <family val="18"/>
          </rPr>
          <t>in Brunn assentiert</t>
        </r>
        <r>
          <rPr>
            <sz val="14"/>
            <color rgb="FF000000"/>
            <rFont val="Times New Roman"/>
            <family val="18"/>
          </rPr>
          <t xml:space="preserve"> [TL April 1790]</t>
        </r>
        <r>
          <rPr>
            <sz val="14"/>
            <color rgb="FF000000"/>
            <rFont val="Calibri"/>
            <family val="34"/>
          </rPr>
          <t xml:space="preserve">
</t>
        </r>
        <r>
          <rPr>
            <sz val="14"/>
            <color rgb="FF000000"/>
            <rFont val="Times New Roman"/>
            <family val="18"/>
          </rPr>
          <t xml:space="preserve">06/04/1790 </t>
        </r>
        <r>
          <rPr>
            <i/>
            <sz val="14"/>
            <color rgb="FF000000"/>
            <rFont val="Times New Roman"/>
            <family val="18"/>
          </rPr>
          <t>Von MFWK Pro Cento Div Nr. 18 zum IR 53 3. Bat transferiert</t>
        </r>
        <r>
          <rPr>
            <sz val="14"/>
            <color rgb="FF000000"/>
            <rFont val="Times New Roman"/>
            <family val="18"/>
          </rPr>
          <t xml:space="preserve"> [TL April 1790]</t>
        </r>
        <r>
          <rPr>
            <sz val="14"/>
            <color rgb="FF000000"/>
            <rFont val="Calibri"/>
            <family val="34"/>
          </rPr>
          <t xml:space="preserve">
</t>
        </r>
        <r>
          <rPr>
            <sz val="14"/>
            <color rgb="FF000000"/>
            <rFont val="Times New Roman"/>
            <family val="18"/>
          </rPr>
          <t xml:space="preserve">26/04/1790 </t>
        </r>
        <r>
          <rPr>
            <i/>
            <sz val="14"/>
            <color rgb="FF000000"/>
            <rFont val="Times New Roman"/>
            <family val="18"/>
          </rPr>
          <t>Un Aufmarsch zu Batallion von Goriza bei Kralstadt desertiert</t>
        </r>
        <r>
          <rPr>
            <sz val="14"/>
            <color rgb="FF000000"/>
            <rFont val="Times New Roman"/>
            <family val="18"/>
          </rPr>
          <t xml:space="preserve"> [TL April 1790]</t>
        </r>
        <r>
          <rPr>
            <sz val="14"/>
            <color rgb="FF000000"/>
            <rFont val="Calibri"/>
            <family val="34"/>
          </rPr>
          <t xml:space="preserve">
</t>
        </r>
        <r>
          <rPr>
            <sz val="14"/>
            <color rgb="FF212121"/>
            <rFont val="Times New Roman"/>
            <family val="18"/>
          </rPr>
          <t xml:space="preserve">27/04/1790 </t>
        </r>
        <r>
          <rPr>
            <i/>
            <sz val="14"/>
            <color rgb="FF212121"/>
            <rFont val="Times New Roman"/>
            <family val="18"/>
          </rPr>
          <t xml:space="preserve">A 6Fl Taglia eingebracht und zum Proviant Fuhrwesen eingeteilt </t>
        </r>
        <r>
          <rPr>
            <sz val="14"/>
            <color rgb="FF212121"/>
            <rFont val="Times New Roman"/>
            <family val="18"/>
          </rPr>
          <t>[ST April 1790]</t>
        </r>
        <r>
          <rPr>
            <sz val="14"/>
            <color rgb="FF000000"/>
            <rFont val="Calibri"/>
            <family val="34"/>
          </rPr>
          <t xml:space="preserve">
</t>
        </r>
        <r>
          <rPr>
            <sz val="14"/>
            <color rgb="FF000000"/>
            <rFont val="Times New Roman"/>
            <family val="18"/>
          </rPr>
          <t xml:space="preserve">31/12/1790 </t>
        </r>
        <r>
          <rPr>
            <i/>
            <sz val="14"/>
            <color rgb="FF000000"/>
            <rFont val="Times New Roman"/>
            <family val="18"/>
          </rPr>
          <t>Von IR 53 ‚Graf Palffy‘ 3. Bat Proviant Fuhrwesen zum MFWK Pro Cento Div Nr. 18 transferiert</t>
        </r>
        <r>
          <rPr>
            <sz val="14"/>
            <color rgb="FF000000"/>
            <rFont val="Times New Roman"/>
            <family val="18"/>
          </rPr>
          <t xml:space="preserve"> [TL Dec 1790 &amp; ST Jan 1791]</t>
        </r>
        <r>
          <rPr>
            <sz val="14"/>
            <color rgb="FF000000"/>
            <rFont val="Calibri"/>
            <family val="34"/>
          </rPr>
          <t xml:space="preserve">
</t>
        </r>
      </text>
    </comment>
    <comment ref="BG96" authorId="0" shapeId="0" xr:uid="{B74093B7-9F20-544A-B750-F47900A8B331}">
      <text>
        <r>
          <rPr>
            <sz val="14"/>
            <color rgb="FF212121"/>
            <rFont val="Times New Roman"/>
            <family val="18"/>
          </rPr>
          <t>ML 4513 IR 53 (1791) – RL 3. Bat Proviant Fuhrwesen Abgang (Warasdin 07/03/1791)</t>
        </r>
        <r>
          <rPr>
            <sz val="14"/>
            <color rgb="FF000000"/>
            <rFont val="Calibri"/>
            <family val="34"/>
          </rPr>
          <t xml:space="preserve">
</t>
        </r>
        <r>
          <rPr>
            <sz val="14"/>
            <color rgb="FF212121"/>
            <rFont val="Times New Roman"/>
            <family val="18"/>
          </rPr>
          <t>ML 4559 IR 53 (1790) – ST April (17/09/1805)</t>
        </r>
        <r>
          <rPr>
            <sz val="14"/>
            <color rgb="FF000000"/>
            <rFont val="Calibri"/>
            <family val="34"/>
          </rPr>
          <t xml:space="preserve">
</t>
        </r>
        <r>
          <rPr>
            <sz val="14"/>
            <color rgb="FF212121"/>
            <rFont val="Times New Roman"/>
            <family val="18"/>
          </rPr>
          <t>ML 4560 IR 53 (1790) – TL MFWK-&gt;IR 53 Nr. 6 (Karlstadt 02/04/1790)</t>
        </r>
        <r>
          <rPr>
            <sz val="14"/>
            <color rgb="FF000000"/>
            <rFont val="Calibri"/>
            <family val="34"/>
          </rPr>
          <t xml:space="preserve">
</t>
        </r>
        <r>
          <rPr>
            <sz val="14"/>
            <color rgb="FF212121"/>
            <rFont val="Times New Roman"/>
            <family val="18"/>
          </rPr>
          <t>ML 4561 IR 53 (1791) – TL IR 53-&gt; MFWK Nr. 2 (Warasdin 28/12/1790); ST Jan 1791 (05/10/1805)</t>
        </r>
        <r>
          <rPr>
            <sz val="14"/>
            <color rgb="FF000000"/>
            <rFont val="Calibri"/>
            <family val="34"/>
          </rPr>
          <t xml:space="preserve">
</t>
        </r>
      </text>
    </comment>
    <comment ref="BH96" authorId="0" shapeId="0" xr:uid="{59A38406-12BE-6A47-8B81-78D1E4A0E609}">
      <text>
        <r>
          <rPr>
            <sz val="14"/>
            <color rgb="FF000000"/>
            <rFont val="Calibri"/>
            <family val="34"/>
          </rPr>
          <t>IR 45 (1790-1791)</t>
        </r>
      </text>
    </comment>
    <comment ref="BF97" authorId="0" shapeId="0" xr:uid="{CA590001-F161-0E44-AAAD-67DC4FEDB043}">
      <text>
        <r>
          <rPr>
            <sz val="14"/>
            <color rgb="FF000000"/>
            <rFont val="Times New Roman"/>
            <family val="18"/>
          </rPr>
          <t xml:space="preserve">17/01/1790 </t>
        </r>
        <r>
          <rPr>
            <i/>
            <sz val="14"/>
            <color rgb="FF000000"/>
            <rFont val="Times New Roman"/>
            <family val="18"/>
          </rPr>
          <t>Von MFWK Pro Cento Div. Nr. 17 anhero tranferiert</t>
        </r>
        <r>
          <rPr>
            <sz val="14"/>
            <color rgb="FF000000"/>
            <rFont val="Times New Roman"/>
            <family val="18"/>
          </rPr>
          <t xml:space="preserve"> [RL 1790]</t>
        </r>
        <r>
          <rPr>
            <sz val="14"/>
            <color rgb="FF000000"/>
            <rFont val="Calibri"/>
            <family val="34"/>
          </rPr>
          <t xml:space="preserve">
</t>
        </r>
        <r>
          <rPr>
            <sz val="14"/>
            <color rgb="FF000000"/>
            <rFont val="Times New Roman"/>
            <family val="18"/>
          </rPr>
          <t>29/01/1790 Revision: Feld Bat Proviant F Nr. 10 [</t>
        </r>
        <r>
          <rPr>
            <i/>
            <sz val="14"/>
            <color rgb="FF000000"/>
            <rFont val="Times New Roman"/>
            <family val="18"/>
          </rPr>
          <t>Bailaufer</t>
        </r>
        <r>
          <rPr>
            <sz val="14"/>
            <color rgb="FF000000"/>
            <rFont val="Times New Roman"/>
            <family val="18"/>
          </rPr>
          <t>] [RL 1790]</t>
        </r>
        <r>
          <rPr>
            <sz val="14"/>
            <color rgb="FF000000"/>
            <rFont val="Calibri"/>
            <family val="34"/>
          </rPr>
          <t xml:space="preserve">
</t>
        </r>
        <r>
          <rPr>
            <sz val="14"/>
            <color rgb="FF000000"/>
            <rFont val="Times New Roman"/>
            <family val="18"/>
          </rPr>
          <t xml:space="preserve">15/11/1790 </t>
        </r>
        <r>
          <rPr>
            <i/>
            <sz val="14"/>
            <color rgb="FF000000"/>
            <rFont val="Times New Roman"/>
            <family val="18"/>
          </rPr>
          <t xml:space="preserve">Von IR 46 Regiments Fuhrwesen auf Unbesiegte Urlaub entlassen </t>
        </r>
        <r>
          <rPr>
            <sz val="14"/>
            <color rgb="FF000000"/>
            <rFont val="Times New Roman"/>
            <family val="18"/>
          </rPr>
          <t>[ST Nov 1797]</t>
        </r>
        <r>
          <rPr>
            <sz val="14"/>
            <color rgb="FF000000"/>
            <rFont val="Calibri"/>
            <family val="34"/>
          </rPr>
          <t xml:space="preserve">
</t>
        </r>
        <r>
          <rPr>
            <i/>
            <sz val="14"/>
            <color rgb="FF000000"/>
            <rFont val="Times New Roman"/>
            <family val="18"/>
          </rPr>
          <t>[Waren bis dahin mit Lohnung und von 1. bis 10 mit Brot in natura, dann von 11. bis 14. auf der Marche bis Linz a 2 Xr Brotgeld auf die lokalgebuhr Verpflegt; sind absonst zum Stainischen Infanterie Regiment zur weiteren Transportierung nach Wien übergeben, und ab von dort i ihr Vatterland abgeschickt worden</t>
        </r>
        <r>
          <rPr>
            <sz val="14"/>
            <color rgb="FF000000"/>
            <rFont val="Times New Roman"/>
            <family val="18"/>
          </rPr>
          <t xml:space="preserve"> [ML 1791 &amp; ST Nov 1790]</t>
        </r>
      </text>
    </comment>
    <comment ref="BG97" authorId="0" shapeId="0" xr:uid="{04EF76DC-FD66-8D4C-976D-5BCAD9D5DAB8}">
      <text>
        <r>
          <rPr>
            <sz val="14"/>
            <color rgb="FF000000"/>
            <rFont val="Times New Roman"/>
            <family val="18"/>
          </rPr>
          <t>ML 10.397 IR 46 (1788/90) – Proviant Fuhrwesen Nr. 10 (Esseg 29/01/1790)</t>
        </r>
        <r>
          <rPr>
            <sz val="14"/>
            <color rgb="FF000000"/>
            <rFont val="Calibri"/>
            <family val="34"/>
          </rPr>
          <t xml:space="preserve">
</t>
        </r>
        <r>
          <rPr>
            <sz val="14"/>
            <color rgb="FF000000"/>
            <rFont val="Times New Roman"/>
            <family val="18"/>
          </rPr>
          <t>ML 10.398 IR 46 (1791) – Proviant Fuhrwesen Abgang (Freiburg 07/09/1791)</t>
        </r>
        <r>
          <rPr>
            <sz val="14"/>
            <color rgb="FF000000"/>
            <rFont val="Calibri"/>
            <family val="34"/>
          </rPr>
          <t xml:space="preserve">
</t>
        </r>
        <r>
          <rPr>
            <sz val="14"/>
            <color rgb="FF000000"/>
            <rFont val="Times New Roman"/>
            <family val="18"/>
          </rPr>
          <t>ML 10.426 IR 46 (1790) – ST Nov (Innsbruck 06/02/1791)</t>
        </r>
      </text>
    </comment>
    <comment ref="BH97" authorId="0" shapeId="0" xr:uid="{84D9CE7B-EE4C-0747-B54E-64CCD1214644}">
      <text>
        <r>
          <rPr>
            <sz val="14"/>
            <color rgb="FF000000"/>
            <rFont val="Calibri"/>
            <family val="34"/>
          </rPr>
          <t>MFWK (1790)</t>
        </r>
      </text>
    </comment>
    <comment ref="BF98" authorId="0" shapeId="0" xr:uid="{1F11B98D-74F0-EA45-BA1F-CD2C4980C015}">
      <text>
        <r>
          <rPr>
            <sz val="14"/>
            <color rgb="FF000000"/>
            <rFont val="Times New Roman"/>
            <family val="18"/>
          </rPr>
          <t>21/01/1790 Revision: IR 50 Feld Bats Proviant Fuhrwesen Nr. 12</t>
        </r>
        <r>
          <rPr>
            <sz val="14"/>
            <color rgb="FF000000"/>
            <rFont val="Calibri"/>
            <family val="34"/>
          </rPr>
          <t xml:space="preserve">
</t>
        </r>
      </text>
    </comment>
    <comment ref="BG98" authorId="0" shapeId="0" xr:uid="{36B31689-8933-8E42-87AE-3FC58B9BA9DA}">
      <text>
        <r>
          <rPr>
            <sz val="14"/>
            <color rgb="FF000000"/>
            <rFont val="Times New Roman"/>
            <family val="18"/>
          </rPr>
          <t>ML 10.475 IR 50 (1788-1790) – RL Feld Bats Proviant Fuhrwesen Nr. 12 (Neu Arad 21/01/1790)</t>
        </r>
      </text>
    </comment>
    <comment ref="BH98" authorId="0" shapeId="0" xr:uid="{D7DF62B5-B847-D948-96DD-52A3C32996C8}">
      <text>
        <r>
          <rPr>
            <sz val="14"/>
            <color rgb="FF000000"/>
            <rFont val="Calibri"/>
            <family val="34"/>
          </rPr>
          <t>MFWK (1790)</t>
        </r>
      </text>
    </comment>
    <comment ref="O99" authorId="0" shapeId="0" xr:uid="{54B49670-C6D2-644A-8D41-AFD96A0430F2}">
      <text>
        <r>
          <rPr>
            <sz val="14"/>
            <color rgb="FF000000"/>
            <rFont val="Times New Roman"/>
            <family val="18"/>
          </rPr>
          <t>Tomeck  (1785)</t>
        </r>
      </text>
    </comment>
    <comment ref="P99" authorId="0" shapeId="0" xr:uid="{FEC88B8C-EAD2-B640-B7E2-8727AA58F729}">
      <text>
        <r>
          <rPr>
            <sz val="14"/>
            <color rgb="FF000000"/>
            <rFont val="Times New Roman"/>
            <family val="18"/>
          </rPr>
          <t>Dorothea (1788)</t>
        </r>
      </text>
    </comment>
    <comment ref="BF99" authorId="0" shapeId="0" xr:uid="{AF93BF9A-3EE2-D444-987F-2B2E50E54A57}">
      <text>
        <r>
          <rPr>
            <sz val="14"/>
            <color rgb="FF000000"/>
            <rFont val="Times New Roman"/>
            <family val="18"/>
          </rPr>
          <t xml:space="preserve">26/01/1790 </t>
        </r>
        <r>
          <rPr>
            <i/>
            <sz val="14"/>
            <color rgb="FF000000"/>
            <rFont val="Times New Roman"/>
            <family val="18"/>
          </rPr>
          <t>Als landständischer Recrout assentiert</t>
        </r>
        <r>
          <rPr>
            <sz val="14"/>
            <color rgb="FF000000"/>
            <rFont val="Times New Roman"/>
            <family val="18"/>
          </rPr>
          <t xml:space="preserve"> [ML 1792]</t>
        </r>
        <r>
          <rPr>
            <sz val="14"/>
            <color rgb="FF000000"/>
            <rFont val="Calibri"/>
            <family val="34"/>
          </rPr>
          <t xml:space="preserve">
</t>
        </r>
        <r>
          <rPr>
            <sz val="14"/>
            <color rgb="FF000000"/>
            <rFont val="Times New Roman"/>
            <family val="18"/>
          </rPr>
          <t xml:space="preserve">31/10/1790 </t>
        </r>
        <r>
          <rPr>
            <i/>
            <sz val="14"/>
            <color rgb="FF000000"/>
            <rFont val="Times New Roman"/>
            <family val="18"/>
          </rPr>
          <t>Von Reserve Division zum Barkasy Comp. Transferiert</t>
        </r>
        <r>
          <rPr>
            <sz val="14"/>
            <color rgb="FF000000"/>
            <rFont val="Times New Roman"/>
            <family val="18"/>
          </rPr>
          <t xml:space="preserve"> [ML 1792]</t>
        </r>
        <r>
          <rPr>
            <sz val="14"/>
            <color rgb="FF000000"/>
            <rFont val="Calibri"/>
            <family val="34"/>
          </rPr>
          <t xml:space="preserve">
</t>
        </r>
        <r>
          <rPr>
            <sz val="14"/>
            <color rgb="FF000000"/>
            <rFont val="Times New Roman"/>
            <family val="18"/>
          </rPr>
          <t>20/07/1792 Muster: IR 45 Haupt Rittern Komp. Nr. 102</t>
        </r>
        <r>
          <rPr>
            <sz val="14"/>
            <color rgb="FF000000"/>
            <rFont val="Calibri"/>
            <family val="34"/>
          </rPr>
          <t xml:space="preserve">
</t>
        </r>
        <r>
          <rPr>
            <sz val="14"/>
            <color rgb="FF000000"/>
            <rFont val="Times New Roman"/>
            <family val="18"/>
          </rPr>
          <t xml:space="preserve">14/01/1797 </t>
        </r>
        <r>
          <rPr>
            <i/>
            <sz val="14"/>
            <color rgb="FF000000"/>
            <rFont val="Times New Roman"/>
            <family val="18"/>
          </rPr>
          <t>Kriegsgefangen worden</t>
        </r>
        <r>
          <rPr>
            <sz val="14"/>
            <color rgb="FF000000"/>
            <rFont val="Times New Roman"/>
            <family val="18"/>
          </rPr>
          <t xml:space="preserve"> </t>
        </r>
        <r>
          <rPr>
            <b/>
            <sz val="14"/>
            <color rgb="FF000000"/>
            <rFont val="Times New Roman"/>
            <family val="18"/>
          </rPr>
          <t xml:space="preserve">[Battle of Rivoli] </t>
        </r>
        <r>
          <rPr>
            <sz val="14"/>
            <color rgb="FF000000"/>
            <rFont val="Times New Roman"/>
            <family val="18"/>
          </rPr>
          <t>[ML 1802]</t>
        </r>
        <r>
          <rPr>
            <sz val="14"/>
            <color rgb="FF000000"/>
            <rFont val="Calibri"/>
            <family val="34"/>
          </rPr>
          <t xml:space="preserve">
</t>
        </r>
        <r>
          <rPr>
            <sz val="14"/>
            <color rgb="FF000000"/>
            <rFont val="Times New Roman"/>
            <family val="18"/>
          </rPr>
          <t xml:space="preserve">10/07/1799 </t>
        </r>
        <r>
          <rPr>
            <i/>
            <sz val="14"/>
            <color rgb="FF000000"/>
            <rFont val="Times New Roman"/>
            <family val="18"/>
          </rPr>
          <t>Wieder zurückgelegt</t>
        </r>
        <r>
          <rPr>
            <sz val="14"/>
            <color rgb="FF000000"/>
            <rFont val="Times New Roman"/>
            <family val="18"/>
          </rPr>
          <t xml:space="preserve"> [ML 1802]</t>
        </r>
        <r>
          <rPr>
            <sz val="14"/>
            <color rgb="FF000000"/>
            <rFont val="Calibri"/>
            <family val="34"/>
          </rPr>
          <t xml:space="preserve">
</t>
        </r>
        <r>
          <rPr>
            <sz val="14"/>
            <color rgb="FF000000"/>
            <rFont val="Times New Roman"/>
            <family val="18"/>
          </rPr>
          <t>16/08/1802 Muster: IR 45 Haupt Mayer Komp. Nr. 40</t>
        </r>
        <r>
          <rPr>
            <sz val="14"/>
            <color rgb="FF000000"/>
            <rFont val="Calibri"/>
            <family val="34"/>
          </rPr>
          <t xml:space="preserve">
</t>
        </r>
        <r>
          <rPr>
            <sz val="14"/>
            <color rgb="FF000000"/>
            <rFont val="Times New Roman"/>
            <family val="18"/>
          </rPr>
          <t>21/09/1804 Muster: IR 45 Haupt Mayer Komp. Nr. 32 [</t>
        </r>
        <r>
          <rPr>
            <i/>
            <sz val="14"/>
            <color rgb="FF000000"/>
            <rFont val="Times New Roman"/>
            <family val="18"/>
          </rPr>
          <t>Beurlaubt bis zur Einberufung zu Sernic, Chelmer Kreis in West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Urlaub desertiert</t>
        </r>
        <r>
          <rPr>
            <sz val="14"/>
            <color rgb="FF000000"/>
            <rFont val="Times New Roman"/>
            <family val="18"/>
          </rPr>
          <t xml:space="preserve"> [ML 1806]
</t>
        </r>
      </text>
    </comment>
    <comment ref="BG99" authorId="0" shapeId="0" xr:uid="{17D3AF4B-159B-4D4D-856B-2C7F892FA79F}">
      <text>
        <r>
          <rPr>
            <sz val="14"/>
            <color rgb="FF000000"/>
            <rFont val="Times New Roman"/>
            <family val="18"/>
          </rPr>
          <t>ML 10.339/40 IR 45 (1792) – Haupt Rittern Komp. Nr. 102 (Leoben 20/07/1792)</t>
        </r>
        <r>
          <rPr>
            <sz val="14"/>
            <color rgb="FF000000"/>
            <rFont val="Calibri"/>
            <family val="34"/>
          </rPr>
          <t xml:space="preserve">
</t>
        </r>
        <r>
          <rPr>
            <sz val="14"/>
            <color rgb="FF000000"/>
            <rFont val="Times New Roman"/>
            <family val="18"/>
          </rPr>
          <t>ML 10.344 IR 45 (1802) – Haupt Mayer Komp. Nr. 40 (Zara 16/08/1802)</t>
        </r>
        <r>
          <rPr>
            <sz val="14"/>
            <color rgb="FF000000"/>
            <rFont val="Calibri"/>
            <family val="34"/>
          </rPr>
          <t xml:space="preserve">
</t>
        </r>
        <r>
          <rPr>
            <sz val="14"/>
            <color rgb="FF000000"/>
            <rFont val="Times New Roman"/>
            <family val="18"/>
          </rPr>
          <t>ML 10.345 IR 45 (1804) – Haupt Mayer Komp. Nr. 32 (Spalato 21/09/1804)</t>
        </r>
        <r>
          <rPr>
            <sz val="14"/>
            <color rgb="FF000000"/>
            <rFont val="Calibri"/>
            <family val="34"/>
          </rPr>
          <t xml:space="preserve">
</t>
        </r>
        <r>
          <rPr>
            <sz val="14"/>
            <color rgb="FF000000"/>
            <rFont val="Times New Roman"/>
            <family val="18"/>
          </rPr>
          <t xml:space="preserve">ML 10.346/7 (1806) – 14. Fus. Komp. Abgang (Leoben 18/12/1806)
</t>
        </r>
      </text>
    </comment>
    <comment ref="BH99" authorId="0" shapeId="0" xr:uid="{A3658D0D-64FE-4B47-A6BF-3C6A1BC1A924}">
      <text>
        <r>
          <rPr>
            <sz val="14"/>
            <color rgb="FF000000"/>
            <rFont val="Calibri"/>
            <family val="34"/>
          </rPr>
          <t>IR 45 (1790-1806)</t>
        </r>
      </text>
    </comment>
    <comment ref="CR99" authorId="0" shapeId="0" xr:uid="{68A07F88-87BF-9047-BA3C-5F21DA58A68E}">
      <text>
        <r>
          <rPr>
            <sz val="14"/>
            <color rgb="FF000000"/>
            <rFont val="Times New Roman"/>
            <family val="18"/>
          </rPr>
          <t xml:space="preserve">1792: Katolisch als Joseph JAMBROCHEK
</t>
        </r>
        <r>
          <rPr>
            <sz val="14"/>
            <color rgb="FF000000"/>
            <rFont val="Times New Roman"/>
            <family val="18"/>
          </rPr>
          <t>1802/4: detto 'Jüdisch' als Michael SAWITZ</t>
        </r>
      </text>
    </comment>
    <comment ref="BF100" authorId="0" shapeId="0" xr:uid="{C39516AC-AEBD-7140-A1C5-00191D6F82E2}">
      <text>
        <r>
          <rPr>
            <sz val="14"/>
            <color rgb="FF000000"/>
            <rFont val="Times New Roman"/>
            <family val="18"/>
          </rPr>
          <t xml:space="preserve">28/01/1790 </t>
        </r>
        <r>
          <rPr>
            <i/>
            <sz val="14"/>
            <color rgb="FF000000"/>
            <rFont val="Times New Roman"/>
            <family val="18"/>
          </rPr>
          <t xml:space="preserve">Als galizische landständische Recrout gegen 3 Fl Handgeld zum IR 23 Reserve Division der Feld Bats gestellt, seitdem auf anhero Marsch </t>
        </r>
        <r>
          <rPr>
            <sz val="14"/>
            <color rgb="FF000000"/>
            <rFont val="Times New Roman"/>
            <family val="18"/>
          </rPr>
          <t>[AL Feb 1790 &amp; ST April 1790]</t>
        </r>
        <r>
          <rPr>
            <sz val="14"/>
            <color rgb="FF000000"/>
            <rFont val="Calibri"/>
            <family val="34"/>
          </rPr>
          <t xml:space="preserve">
</t>
        </r>
        <r>
          <rPr>
            <sz val="14"/>
            <color rgb="FF000000"/>
            <rFont val="Times New Roman"/>
            <family val="18"/>
          </rPr>
          <t xml:space="preserve">08/04/1790 </t>
        </r>
        <r>
          <rPr>
            <i/>
            <sz val="14"/>
            <color rgb="FF000000"/>
            <rFont val="Times New Roman"/>
            <family val="18"/>
          </rPr>
          <t>Zum Reserve Division eingerückt</t>
        </r>
        <r>
          <rPr>
            <sz val="14"/>
            <color rgb="FF000000"/>
            <rFont val="Times New Roman"/>
            <family val="18"/>
          </rPr>
          <t xml:space="preserve"> [ST April 1790]</t>
        </r>
        <r>
          <rPr>
            <sz val="14"/>
            <color rgb="FF000000"/>
            <rFont val="Calibri"/>
            <family val="34"/>
          </rPr>
          <t xml:space="preserve">
</t>
        </r>
        <r>
          <rPr>
            <sz val="14"/>
            <color rgb="FF000000"/>
            <rFont val="Times New Roman"/>
            <family val="18"/>
          </rPr>
          <t xml:space="preserve">01/05/1790 </t>
        </r>
        <r>
          <rPr>
            <i/>
            <sz val="14"/>
            <color rgb="FF000000"/>
            <rFont val="Times New Roman"/>
            <family val="18"/>
          </rPr>
          <t>Von Reserve Division zum Haupt Beyer Komp. transferiert seitdem auf anhero Marsch</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15/05/1790 </t>
        </r>
        <r>
          <rPr>
            <i/>
            <sz val="14"/>
            <color rgb="FF000000"/>
            <rFont val="Times New Roman"/>
            <family val="18"/>
          </rPr>
          <t>Zum Kompanie eingerückt</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29/11/1790 </t>
        </r>
        <r>
          <rPr>
            <i/>
            <sz val="14"/>
            <color rgb="FF000000"/>
            <rFont val="Times New Roman"/>
            <family val="18"/>
          </rPr>
          <t>Krank in Pest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31/12/1790 [bis mindestens] </t>
        </r>
        <r>
          <rPr>
            <i/>
            <sz val="14"/>
            <color rgb="FF000000"/>
            <rFont val="Times New Roman"/>
            <family val="18"/>
          </rPr>
          <t>Krank in Pest</t>
        </r>
        <r>
          <rPr>
            <sz val="14"/>
            <color rgb="FF000000"/>
            <rFont val="Times New Roman"/>
            <family val="18"/>
          </rPr>
          <t xml:space="preserve"> [ST Dec 1790]</t>
        </r>
        <r>
          <rPr>
            <sz val="14"/>
            <color rgb="FF000000"/>
            <rFont val="Calibri"/>
            <family val="34"/>
          </rPr>
          <t xml:space="preserve">
</t>
        </r>
        <r>
          <rPr>
            <sz val="14"/>
            <color rgb="FF000000"/>
            <rFont val="Times New Roman"/>
            <family val="18"/>
          </rPr>
          <t xml:space="preserve">16/02/1791 </t>
        </r>
        <r>
          <rPr>
            <i/>
            <sz val="14"/>
            <color rgb="FF000000"/>
            <rFont val="Times New Roman"/>
            <family val="18"/>
          </rPr>
          <t xml:space="preserve">Rekonvalesziert </t>
        </r>
        <r>
          <rPr>
            <sz val="14"/>
            <color rgb="FF000000"/>
            <rFont val="Times New Roman"/>
            <family val="18"/>
          </rPr>
          <t>[ST Feb 1791]</t>
        </r>
        <r>
          <rPr>
            <sz val="14"/>
            <color rgb="FF000000"/>
            <rFont val="Calibri"/>
            <family val="34"/>
          </rPr>
          <t xml:space="preserve">
</t>
        </r>
        <r>
          <rPr>
            <sz val="14"/>
            <color rgb="FF000000"/>
            <rFont val="Times New Roman"/>
            <family val="18"/>
          </rPr>
          <t xml:space="preserve">15/04/1791 </t>
        </r>
        <r>
          <rPr>
            <i/>
            <sz val="14"/>
            <color rgb="FF000000"/>
            <rFont val="Times New Roman"/>
            <family val="18"/>
          </rPr>
          <t>Krank in Militär Spital zu Wien</t>
        </r>
        <r>
          <rPr>
            <sz val="14"/>
            <color rgb="FF000000"/>
            <rFont val="Times New Roman"/>
            <family val="18"/>
          </rPr>
          <t xml:space="preserve"> [ST April 1791]</t>
        </r>
        <r>
          <rPr>
            <sz val="14"/>
            <color rgb="FF000000"/>
            <rFont val="Calibri"/>
            <family val="34"/>
          </rPr>
          <t xml:space="preserve">
</t>
        </r>
        <r>
          <rPr>
            <sz val="14"/>
            <color rgb="FF000000"/>
            <rFont val="Times New Roman"/>
            <family val="18"/>
          </rPr>
          <t xml:space="preserve">16/05/1791 </t>
        </r>
        <r>
          <rPr>
            <i/>
            <sz val="14"/>
            <color rgb="FF000000"/>
            <rFont val="Times New Roman"/>
            <family val="18"/>
          </rPr>
          <t xml:space="preserve">Rekonvalesziert </t>
        </r>
        <r>
          <rPr>
            <sz val="14"/>
            <color rgb="FF000000"/>
            <rFont val="Times New Roman"/>
            <family val="18"/>
          </rPr>
          <t>[ST May 1791]</t>
        </r>
        <r>
          <rPr>
            <sz val="14"/>
            <color rgb="FF000000"/>
            <rFont val="Calibri"/>
            <family val="34"/>
          </rPr>
          <t xml:space="preserve">
</t>
        </r>
        <r>
          <rPr>
            <sz val="14"/>
            <color rgb="FF000000"/>
            <rFont val="Times New Roman"/>
            <family val="18"/>
          </rPr>
          <t>26/08/1791 Muster: IR 23 Haupt Bayer Komp. Nr. 170</t>
        </r>
        <r>
          <rPr>
            <sz val="14"/>
            <color rgb="FF000000"/>
            <rFont val="Calibri"/>
            <family val="34"/>
          </rPr>
          <t xml:space="preserve">
</t>
        </r>
        <r>
          <rPr>
            <sz val="14"/>
            <color rgb="FF000000"/>
            <rFont val="Times New Roman"/>
            <family val="18"/>
          </rPr>
          <t xml:space="preserve">31/10/1791 </t>
        </r>
        <r>
          <rPr>
            <i/>
            <sz val="14"/>
            <color rgb="FF000000"/>
            <rFont val="Times New Roman"/>
            <family val="18"/>
          </rPr>
          <t>Nach Galizien auf unbestimmten Urlaub entlassen</t>
        </r>
        <r>
          <rPr>
            <sz val="14"/>
            <color rgb="FF000000"/>
            <rFont val="Times New Roman"/>
            <family val="18"/>
          </rPr>
          <t xml:space="preserve"> [ML 1792 &amp; ST Nov 1791]</t>
        </r>
      </text>
    </comment>
    <comment ref="BG100" authorId="0" shapeId="0" xr:uid="{029EE0F1-8924-CF40-A837-BA1756983FE8}">
      <text>
        <r>
          <rPr>
            <sz val="14"/>
            <color rgb="FF000000"/>
            <rFont val="Times New Roman"/>
            <family val="18"/>
          </rPr>
          <t>ML 10.119 IR 23 (1791) – Haupt Bayer Komp. Nr. 170 (Vienna 26/08/1791)</t>
        </r>
        <r>
          <rPr>
            <sz val="14"/>
            <color rgb="FF000000"/>
            <rFont val="Calibri"/>
            <family val="34"/>
          </rPr>
          <t xml:space="preserve">
</t>
        </r>
        <r>
          <rPr>
            <sz val="14"/>
            <color rgb="FF000000"/>
            <rFont val="Times New Roman"/>
            <family val="18"/>
          </rPr>
          <t>ML 10.121 IR 23 (1791) – Haupt Hohenrain Komp. Abgang (Vienna 27/08/1792)</t>
        </r>
        <r>
          <rPr>
            <sz val="14"/>
            <color rgb="FF000000"/>
            <rFont val="Calibri"/>
            <family val="34"/>
          </rPr>
          <t xml:space="preserve">
</t>
        </r>
        <r>
          <rPr>
            <sz val="14"/>
            <color rgb="FF000000"/>
            <rFont val="Times New Roman"/>
            <family val="18"/>
          </rPr>
          <t>ML 10.151 IR 23 (1790) – ST April (Vienna 01/08/1792), May (Vienna 01/08/1792), Nov (Vienna 26/05/1793), (Dec 03/01/1805)</t>
        </r>
        <r>
          <rPr>
            <sz val="14"/>
            <color rgb="FF000000"/>
            <rFont val="Calibri"/>
            <family val="34"/>
          </rPr>
          <t xml:space="preserve">
</t>
        </r>
        <r>
          <rPr>
            <sz val="14"/>
            <color rgb="FF000000"/>
            <rFont val="Times New Roman"/>
            <family val="18"/>
          </rPr>
          <t>ML 10.152 IR 23 (1790) AL/TL – AL Nr. 144 (Zolkiew 04/02/1790)</t>
        </r>
        <r>
          <rPr>
            <sz val="14"/>
            <color rgb="FF000000"/>
            <rFont val="Calibri"/>
            <family val="34"/>
          </rPr>
          <t xml:space="preserve">
</t>
        </r>
        <r>
          <rPr>
            <sz val="14"/>
            <color rgb="FF000000"/>
            <rFont val="Times New Roman"/>
            <family val="18"/>
          </rPr>
          <t>ML 10.153 IR 23 (1791) – ST Feb (10/01/1805), April (01/04/1805), May (01/04/1805), Nov (23/04/1805)</t>
        </r>
      </text>
    </comment>
    <comment ref="BH100" authorId="0" shapeId="0" xr:uid="{C8964A1F-A80C-2F42-BBFC-8735C46AB2DC}">
      <text>
        <r>
          <rPr>
            <sz val="14"/>
            <color rgb="FF000000"/>
            <rFont val="Calibri"/>
            <family val="34"/>
          </rPr>
          <t>IR 23 (1790-1791)</t>
        </r>
      </text>
    </comment>
    <comment ref="BF101" authorId="0" shapeId="0" xr:uid="{9BD1B6CA-481C-0748-8F9C-E3604E50E8B0}">
      <text>
        <r>
          <rPr>
            <sz val="14"/>
            <color rgb="FF000000"/>
            <rFont val="Times New Roman"/>
            <family val="18"/>
          </rPr>
          <t xml:space="preserve">31/01/1790 </t>
        </r>
        <r>
          <rPr>
            <i/>
            <sz val="14"/>
            <color rgb="FF000000"/>
            <rFont val="Times New Roman"/>
            <family val="18"/>
          </rPr>
          <t xml:space="preserve">Dient seit mindesten beim IR 48 2 Feld Bats Proviant Fuhrwesen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01" authorId="0" shapeId="0" xr:uid="{E932D9A4-B653-8745-B05E-AF50E93E3875}">
      <text>
        <r>
          <rPr>
            <sz val="14"/>
            <color rgb="FF000000"/>
            <rFont val="Times New Roman"/>
            <family val="18"/>
          </rPr>
          <t>ML 10.005 IR 48 (1790) – TL IR 48-&gt;MFWK Nr. 7 (Groß Westernitz 22/08/1790); ST Feb (Milan 26/03/1791), Aug (Milan 23/04/1791)</t>
        </r>
        <r>
          <rPr>
            <sz val="14"/>
            <color rgb="FF000000"/>
            <rFont val="Calibri"/>
            <family val="34"/>
          </rPr>
          <t xml:space="preserve">
</t>
        </r>
      </text>
    </comment>
    <comment ref="BH101" authorId="0" shapeId="0" xr:uid="{21805C27-0864-E541-8C89-933999364F1A}">
      <text>
        <r>
          <rPr>
            <sz val="14"/>
            <color rgb="FF000000"/>
            <rFont val="Calibri"/>
            <family val="34"/>
          </rPr>
          <t xml:space="preserve">MFWK (1790)
</t>
        </r>
      </text>
    </comment>
    <comment ref="BF102" authorId="0" shapeId="0" xr:uid="{5A937BEC-4D6E-E542-91F5-6F5FB1545E79}">
      <text>
        <r>
          <rPr>
            <sz val="14"/>
            <color rgb="FF000000"/>
            <rFont val="Times New Roman"/>
            <family val="18"/>
          </rPr>
          <t xml:space="preserve">31/01/1790 </t>
        </r>
        <r>
          <rPr>
            <i/>
            <sz val="14"/>
            <color rgb="FF000000"/>
            <rFont val="Times New Roman"/>
            <family val="18"/>
          </rPr>
          <t xml:space="preserve">Dient seit mindesten beim IR 48 2 Feld Bats Artillerie Bespannung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25/03/1790 </t>
        </r>
        <r>
          <rPr>
            <i/>
            <sz val="14"/>
            <color rgb="FF000000"/>
            <rFont val="Times New Roman"/>
            <family val="18"/>
          </rPr>
          <t>Von IR 48 Feld Bat Artillerie Bespannung zum MFWK in Wien</t>
        </r>
        <r>
          <rPr>
            <sz val="14"/>
            <color rgb="FF000000"/>
            <rFont val="Times New Roman"/>
            <family val="18"/>
          </rPr>
          <t xml:space="preserve"> [TL March 1790 &amp; ST March 1790]</t>
        </r>
        <r>
          <rPr>
            <sz val="14"/>
            <color rgb="FF000000"/>
            <rFont val="Calibri"/>
            <family val="34"/>
          </rPr>
          <t xml:space="preserve">
</t>
        </r>
      </text>
    </comment>
    <comment ref="BG102" authorId="0" shapeId="0" xr:uid="{0CA8DF22-1CA7-8C44-A2C8-309D04961B49}">
      <text>
        <r>
          <rPr>
            <sz val="14"/>
            <color rgb="FF000000"/>
            <rFont val="Times New Roman"/>
            <family val="18"/>
          </rPr>
          <t>ML 10.005 IR 48 (1790) – TL IR 48-&gt;MFWK Nr. 4 (Preßburg 21/03/1790); ST Feb (Milan 26/03/1791), March (Milan 01/04/1791)</t>
        </r>
        <r>
          <rPr>
            <sz val="14"/>
            <color rgb="FF000000"/>
            <rFont val="Calibri"/>
            <family val="34"/>
          </rPr>
          <t xml:space="preserve">
</t>
        </r>
      </text>
    </comment>
    <comment ref="BH102" authorId="0" shapeId="0" xr:uid="{144364F6-B087-6546-9AB6-B838843FE176}">
      <text>
        <r>
          <rPr>
            <sz val="14"/>
            <color rgb="FF000000"/>
            <rFont val="Calibri"/>
            <family val="34"/>
          </rPr>
          <t xml:space="preserve">MFWK (1790)
</t>
        </r>
      </text>
    </comment>
    <comment ref="BF103" authorId="0" shapeId="0" xr:uid="{E145C1F9-4769-8B47-A071-CFB585904762}">
      <text>
        <r>
          <rPr>
            <sz val="14"/>
            <color rgb="FF000000"/>
            <rFont val="Times New Roman"/>
            <family val="18"/>
          </rPr>
          <t xml:space="preserve">31/01/1790 </t>
        </r>
        <r>
          <rPr>
            <i/>
            <sz val="14"/>
            <color rgb="FF000000"/>
            <rFont val="Times New Roman"/>
            <family val="18"/>
          </rPr>
          <t xml:space="preserve">Dient seit mindesten beim IR 48 2 Feld Bats Proviant Fuhrwesen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03" authorId="0" shapeId="0" xr:uid="{8CAB16AB-5D9B-EB4F-A252-19AB8089C4B3}">
      <text>
        <r>
          <rPr>
            <sz val="14"/>
            <color rgb="FF000000"/>
            <rFont val="Times New Roman"/>
            <family val="18"/>
          </rPr>
          <t>ML 10.005 IR 48 (1790) – TL IR 48-&gt;MFWK Nr. 5 (Groß Westernitz 22/08/1790); ST Feb (Milan 26/03/1791), Aug (Milan 23/04/1791)</t>
        </r>
        <r>
          <rPr>
            <sz val="14"/>
            <color rgb="FF000000"/>
            <rFont val="Calibri"/>
            <family val="34"/>
          </rPr>
          <t xml:space="preserve">
</t>
        </r>
      </text>
    </comment>
    <comment ref="BH103" authorId="0" shapeId="0" xr:uid="{F0159AC5-227C-DC46-ABA9-8E88AF81EE9A}">
      <text>
        <r>
          <rPr>
            <sz val="14"/>
            <color rgb="FF000000"/>
            <rFont val="Calibri"/>
            <family val="34"/>
          </rPr>
          <t xml:space="preserve">MFWK (1790)
</t>
        </r>
      </text>
    </comment>
    <comment ref="BF104" authorId="0" shapeId="0" xr:uid="{755873DC-266C-5C4A-90B9-34E3F7BD922F}">
      <text>
        <r>
          <rPr>
            <sz val="14"/>
            <color rgb="FF000000"/>
            <rFont val="Times New Roman"/>
            <family val="18"/>
          </rPr>
          <t xml:space="preserve">31/01/1790 </t>
        </r>
        <r>
          <rPr>
            <i/>
            <sz val="14"/>
            <color rgb="FF000000"/>
            <rFont val="Times New Roman"/>
            <family val="18"/>
          </rPr>
          <t xml:space="preserve">Dient seit mindesten beim IR 48 2 Feld Bats Proviant Fuhrwesen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04" authorId="0" shapeId="0" xr:uid="{FEEFB7C0-3715-214A-915E-13C81719FA10}">
      <text>
        <r>
          <rPr>
            <sz val="14"/>
            <color rgb="FF000000"/>
            <rFont val="Times New Roman"/>
            <family val="18"/>
          </rPr>
          <t>ML 10.005 IR 48 (1790) – TL IR 48-&gt;MFWK Nr. 9 (Groß Westernitz 22/08/1790); ST Feb (Milan 26/03/1791), Aug (Milan 23/04/1791)</t>
        </r>
        <r>
          <rPr>
            <sz val="14"/>
            <color rgb="FF000000"/>
            <rFont val="Calibri"/>
            <family val="34"/>
          </rPr>
          <t xml:space="preserve">
</t>
        </r>
      </text>
    </comment>
    <comment ref="BH104" authorId="0" shapeId="0" xr:uid="{71992C81-D407-F749-8785-BB4DE359186A}">
      <text>
        <r>
          <rPr>
            <sz val="14"/>
            <color rgb="FF000000"/>
            <rFont val="Calibri"/>
            <family val="34"/>
          </rPr>
          <t xml:space="preserve">MFWK (1790)
</t>
        </r>
      </text>
    </comment>
    <comment ref="BF105" authorId="0" shapeId="0" xr:uid="{3D6D7C92-27B2-9548-A451-EC769B3F7D06}">
      <text>
        <r>
          <rPr>
            <sz val="14"/>
            <color rgb="FF000000"/>
            <rFont val="Times New Roman"/>
            <family val="18"/>
          </rPr>
          <t xml:space="preserve">31/01/1790 </t>
        </r>
        <r>
          <rPr>
            <i/>
            <sz val="14"/>
            <color rgb="FF000000"/>
            <rFont val="Times New Roman"/>
            <family val="18"/>
          </rPr>
          <t xml:space="preserve">Dient seit mindesten beim IR 48 2 Feld Bats Proviant Fuhrwesen </t>
        </r>
        <r>
          <rPr>
            <sz val="14"/>
            <color rgb="FF000000"/>
            <rFont val="Times New Roman"/>
            <family val="18"/>
          </rPr>
          <t>[ST Feb 1790]</t>
        </r>
        <r>
          <rPr>
            <sz val="14"/>
            <color rgb="FF000000"/>
            <rFont val="Calibri"/>
            <family val="34"/>
          </rPr>
          <t xml:space="preserve">
</t>
        </r>
        <r>
          <rPr>
            <sz val="14"/>
            <color rgb="FF000000"/>
            <rFont val="Times New Roman"/>
            <family val="18"/>
          </rPr>
          <t xml:space="preserve">31/03/1790 </t>
        </r>
        <r>
          <rPr>
            <i/>
            <sz val="14"/>
            <color rgb="FF000000"/>
            <rFont val="Times New Roman"/>
            <family val="18"/>
          </rPr>
          <t>Zu Preßburg gestorben</t>
        </r>
        <r>
          <rPr>
            <sz val="14"/>
            <color rgb="FF000000"/>
            <rFont val="Times New Roman"/>
            <family val="18"/>
          </rPr>
          <t xml:space="preserve"> [ST March 1790]</t>
        </r>
        <r>
          <rPr>
            <sz val="14"/>
            <color rgb="FF000000"/>
            <rFont val="Calibri"/>
            <family val="34"/>
          </rPr>
          <t xml:space="preserve">
</t>
        </r>
      </text>
    </comment>
    <comment ref="BG105" authorId="0" shapeId="0" xr:uid="{BD71D1D6-E37A-1940-A089-1275F9720CAC}">
      <text>
        <r>
          <rPr>
            <sz val="14"/>
            <color rgb="FF000000"/>
            <rFont val="Times New Roman"/>
            <family val="18"/>
          </rPr>
          <t xml:space="preserve">ML 10.005 IR 48 (1790) –ST Feb (Milan 26/03/1791), March (Milan 01/04/1791)
</t>
        </r>
      </text>
    </comment>
    <comment ref="BH105" authorId="0" shapeId="0" xr:uid="{1EEF8089-6FB9-3240-94BD-5BD2437E48E4}">
      <text>
        <r>
          <rPr>
            <sz val="14"/>
            <color rgb="FF000000"/>
            <rFont val="Calibri"/>
            <family val="34"/>
          </rPr>
          <t xml:space="preserve">MFWK (1790)
</t>
        </r>
      </text>
    </comment>
    <comment ref="BF106" authorId="0" shapeId="0" xr:uid="{61BC4258-2BE2-134B-8E6C-F2E54FA84D16}">
      <text>
        <r>
          <rPr>
            <sz val="14"/>
            <color rgb="FF000000"/>
            <rFont val="Times New Roman"/>
            <family val="18"/>
          </rPr>
          <t xml:space="preserve">31/01/1790 </t>
        </r>
        <r>
          <rPr>
            <i/>
            <sz val="14"/>
            <color rgb="FF000000"/>
            <rFont val="Times New Roman"/>
            <family val="18"/>
          </rPr>
          <t xml:space="preserve">Dient seit mindesten beim IR 48 2 Feld Bats Artillerie Bespannung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25/03/1790 </t>
        </r>
        <r>
          <rPr>
            <i/>
            <sz val="14"/>
            <color rgb="FF000000"/>
            <rFont val="Times New Roman"/>
            <family val="18"/>
          </rPr>
          <t>Von IR 48 Feld Bat Artillerie Bespannung zum MFWK in Wien</t>
        </r>
        <r>
          <rPr>
            <sz val="14"/>
            <color rgb="FF000000"/>
            <rFont val="Times New Roman"/>
            <family val="18"/>
          </rPr>
          <t xml:space="preserve"> [TL March 1790 &amp; ST March 1790]</t>
        </r>
        <r>
          <rPr>
            <sz val="14"/>
            <color rgb="FF000000"/>
            <rFont val="Calibri"/>
            <family val="34"/>
          </rPr>
          <t xml:space="preserve">
</t>
        </r>
      </text>
    </comment>
    <comment ref="BG106" authorId="0" shapeId="0" xr:uid="{689007EB-0285-2545-8033-688227B70794}">
      <text>
        <r>
          <rPr>
            <sz val="14"/>
            <color rgb="FF000000"/>
            <rFont val="Times New Roman"/>
            <family val="18"/>
          </rPr>
          <t>ML 10.005 IR 48 (1790) – TL IR 48-&gt;MFWK Nr. 3 (Preßburg 21/03/1790); ST Feb (Milan 26/03/1791), March (Milan 01/04/1791)</t>
        </r>
        <r>
          <rPr>
            <sz val="14"/>
            <color rgb="FF000000"/>
            <rFont val="Calibri"/>
            <family val="34"/>
          </rPr>
          <t xml:space="preserve">
</t>
        </r>
      </text>
    </comment>
    <comment ref="BH106" authorId="0" shapeId="0" xr:uid="{00B6049B-F0AB-1640-B1AF-2E8078C50DBB}">
      <text>
        <r>
          <rPr>
            <sz val="14"/>
            <color rgb="FF000000"/>
            <rFont val="Calibri"/>
            <family val="34"/>
          </rPr>
          <t xml:space="preserve">MFWK (1790)
</t>
        </r>
      </text>
    </comment>
    <comment ref="BF107" authorId="0" shapeId="0" xr:uid="{6D52E70F-8E56-5F43-88D4-10E1DECE1EAB}">
      <text>
        <r>
          <rPr>
            <sz val="14"/>
            <color rgb="FF000000"/>
            <rFont val="Times New Roman"/>
            <family val="18"/>
          </rPr>
          <t xml:space="preserve">31/01/1790 </t>
        </r>
        <r>
          <rPr>
            <i/>
            <sz val="14"/>
            <color rgb="FF000000"/>
            <rFont val="Times New Roman"/>
            <family val="18"/>
          </rPr>
          <t xml:space="preserve">Dient seit mindesten beim IR 48 2 Feld Bats Proviant Fuhrwesen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07" authorId="0" shapeId="0" xr:uid="{07FB5990-32A0-314E-AADB-9C09082408ED}">
      <text>
        <r>
          <rPr>
            <sz val="14"/>
            <color rgb="FF000000"/>
            <rFont val="Times New Roman"/>
            <family val="18"/>
          </rPr>
          <t>ML 10.005 IR 48 (1790) – TL IR 48-&gt;MFWK Nr. 10 (Groß Westernitz 22/08/1790); ST Feb (Milan 26/03/1791), Aug (Milan 23/04/1791)</t>
        </r>
        <r>
          <rPr>
            <sz val="14"/>
            <color rgb="FF000000"/>
            <rFont val="Calibri"/>
            <family val="34"/>
          </rPr>
          <t xml:space="preserve">
</t>
        </r>
      </text>
    </comment>
    <comment ref="BH107" authorId="0" shapeId="0" xr:uid="{9C9638D0-31A6-1242-A8A1-D73B474DA7E3}">
      <text>
        <r>
          <rPr>
            <sz val="14"/>
            <color rgb="FF000000"/>
            <rFont val="Calibri"/>
            <family val="34"/>
          </rPr>
          <t xml:space="preserve">MFWK (1790)
</t>
        </r>
      </text>
    </comment>
    <comment ref="BF108" authorId="0" shapeId="0" xr:uid="{B84A30C0-7C9D-4D49-929E-987F0BF0C747}">
      <text>
        <r>
          <rPr>
            <sz val="14"/>
            <color rgb="FF000000"/>
            <rFont val="Times New Roman"/>
            <family val="18"/>
          </rPr>
          <t xml:space="preserve">02/1790 </t>
        </r>
        <r>
          <rPr>
            <i/>
            <sz val="14"/>
            <color rgb="FF000000"/>
            <rFont val="Times New Roman"/>
            <family val="18"/>
          </rPr>
          <t xml:space="preserve">Von Galizischen Ständen gestellt </t>
        </r>
        <r>
          <rPr>
            <sz val="14"/>
            <color rgb="FF000000"/>
            <rFont val="Times New Roman"/>
            <family val="18"/>
          </rPr>
          <t>[TL May 1790]</t>
        </r>
        <r>
          <rPr>
            <sz val="14"/>
            <color rgb="FF000000"/>
            <rFont val="Calibri"/>
            <family val="34"/>
          </rPr>
          <t xml:space="preserve">
</t>
        </r>
        <r>
          <rPr>
            <sz val="14"/>
            <color rgb="FF000000"/>
            <rFont val="Times New Roman"/>
            <family val="18"/>
          </rPr>
          <t xml:space="preserve">06/05/1790 </t>
        </r>
        <r>
          <rPr>
            <i/>
            <sz val="14"/>
            <color rgb="FF000000"/>
            <rFont val="Times New Roman"/>
            <family val="18"/>
          </rPr>
          <t>Von MFWK 19. Pro Cento Division 1. Abteilung zum IR 48 Feld Bat Artillerie Bespannung der Homburg Grenadier Division transferiert</t>
        </r>
        <r>
          <rPr>
            <sz val="14"/>
            <color rgb="FF000000"/>
            <rFont val="Times New Roman"/>
            <family val="18"/>
          </rPr>
          <t xml:space="preserve"> [TL May 1790]</t>
        </r>
        <r>
          <rPr>
            <sz val="14"/>
            <color rgb="FF000000"/>
            <rFont val="Calibri"/>
            <family val="34"/>
          </rPr>
          <t xml:space="preserve">
</t>
        </r>
        <r>
          <rPr>
            <sz val="14"/>
            <color rgb="FF000000"/>
            <rFont val="Times New Roman"/>
            <family val="18"/>
          </rPr>
          <t xml:space="preserve">01/06/1790 </t>
        </r>
        <r>
          <rPr>
            <i/>
            <sz val="14"/>
            <color rgb="FF000000"/>
            <rFont val="Times New Roman"/>
            <family val="18"/>
          </rPr>
          <t>Von IR 48 Feld Bataillons Artillerie Bespannung der Grenadier Division zum IR 44 Belgiojoso Feld Batallions Artillerie Bespannung der Grenadier Division abgegeben</t>
        </r>
        <r>
          <rPr>
            <sz val="14"/>
            <color rgb="FF000000"/>
            <rFont val="Times New Roman"/>
            <family val="18"/>
          </rPr>
          <t xml:space="preserve"> [ST June 1790]</t>
        </r>
        <r>
          <rPr>
            <sz val="14"/>
            <color rgb="FF000000"/>
            <rFont val="Calibri"/>
            <family val="34"/>
          </rPr>
          <t xml:space="preserve">
</t>
        </r>
        <r>
          <rPr>
            <sz val="14"/>
            <color rgb="FF000000"/>
            <rFont val="Times New Roman"/>
            <family val="18"/>
          </rPr>
          <t xml:space="preserve">25/08/1790 </t>
        </r>
        <r>
          <rPr>
            <i/>
            <sz val="14"/>
            <color rgb="FF000000"/>
            <rFont val="Times New Roman"/>
            <family val="18"/>
          </rPr>
          <t xml:space="preserve">Von IR 44 Feld Bats als zum Minkiwitszchen Grenadier Bataillon kommandierte zum MFWK Artillerie Reserve transferiert </t>
        </r>
        <r>
          <rPr>
            <sz val="14"/>
            <color rgb="FF000000"/>
            <rFont val="Times New Roman"/>
            <family val="18"/>
          </rPr>
          <t>[TL Aug 1790 &amp; ST Aug 1790]</t>
        </r>
        <r>
          <rPr>
            <sz val="14"/>
            <color rgb="FF000000"/>
            <rFont val="Calibri"/>
            <family val="34"/>
          </rPr>
          <t xml:space="preserve">
</t>
        </r>
      </text>
    </comment>
    <comment ref="BG108" authorId="0" shapeId="0" xr:uid="{DECE804E-C756-814D-B3DA-FAEC0A65B62A}">
      <text>
        <r>
          <rPr>
            <sz val="14"/>
            <color rgb="FF000000"/>
            <rFont val="Times New Roman"/>
            <family val="18"/>
          </rPr>
          <t>ML 10.005 IR 48 (1790-2) – TL MFWK-&gt;IR 48 Nr. 4 (Brünn 02/05/1790) TL IR 48-&gt;IR 44 Nr. 9 (Wisteritz 22/08/1790); ST June (Milan 12/04/1791)</t>
        </r>
        <r>
          <rPr>
            <sz val="14"/>
            <color rgb="FF000000"/>
            <rFont val="Calibri"/>
            <family val="34"/>
          </rPr>
          <t xml:space="preserve">
</t>
        </r>
        <r>
          <rPr>
            <sz val="14"/>
            <color rgb="FF000000"/>
            <rFont val="Times New Roman"/>
            <family val="18"/>
          </rPr>
          <t>ML 3932 IR 44 (1790) – TL IR 44-&gt;MFWK Nr. 13 (Leipnick 23/08/1790); ST May (Frazinesrie 29/06/1790); Aug (Tamesvar 08/12/1790)</t>
        </r>
      </text>
    </comment>
    <comment ref="BH108" authorId="0" shapeId="0" xr:uid="{741148CD-2EFA-C74E-A04F-6A8830B628F8}">
      <text>
        <r>
          <rPr>
            <sz val="14"/>
            <color rgb="FF000000"/>
            <rFont val="Calibri"/>
            <family val="34"/>
          </rPr>
          <t>MFWK (1790)</t>
        </r>
      </text>
    </comment>
    <comment ref="BI108" authorId="0" shapeId="0" xr:uid="{BBE0066D-DF22-DB4D-B4C1-5C3C08C48B5A}">
      <text>
        <r>
          <rPr>
            <i/>
            <sz val="14"/>
            <color rgb="FF000000"/>
            <rFont val="Times New Roman"/>
            <family val="18"/>
          </rPr>
          <t>Mittelmäßig</t>
        </r>
        <r>
          <rPr>
            <sz val="14"/>
            <color rgb="FF000000"/>
            <rFont val="Times New Roman"/>
            <family val="18"/>
          </rPr>
          <t xml:space="preserve"> [TL Aug 1790]</t>
        </r>
        <r>
          <rPr>
            <sz val="14"/>
            <color rgb="FF000000"/>
            <rFont val="Calibri"/>
            <family val="2"/>
            <scheme val="minor"/>
          </rPr>
          <t xml:space="preserve"> 
</t>
        </r>
      </text>
    </comment>
    <comment ref="BF109" authorId="0" shapeId="0" xr:uid="{14C27BEA-4E0D-F844-8333-017E0B9CE70A}">
      <text>
        <r>
          <rPr>
            <sz val="14"/>
            <color rgb="FF000000"/>
            <rFont val="Times New Roman"/>
            <family val="18"/>
          </rPr>
          <t xml:space="preserve">In 02/1790 </t>
        </r>
        <r>
          <rPr>
            <i/>
            <sz val="14"/>
            <color rgb="FF000000"/>
            <rFont val="Times New Roman"/>
            <family val="18"/>
          </rPr>
          <t xml:space="preserve">Von Gallizischen Standen gestellt </t>
        </r>
        <r>
          <rPr>
            <sz val="14"/>
            <color rgb="FF000000"/>
            <rFont val="Times New Roman"/>
            <family val="18"/>
          </rPr>
          <t xml:space="preserve">[TL April 1790]
</t>
        </r>
        <r>
          <rPr>
            <sz val="14"/>
            <color rgb="FF000000"/>
            <rFont val="Times New Roman"/>
            <family val="18"/>
          </rPr>
          <t xml:space="preserve">01/05/1790 </t>
        </r>
        <r>
          <rPr>
            <i/>
            <sz val="14"/>
            <color rgb="FF000000"/>
            <rFont val="Times New Roman"/>
            <family val="18"/>
          </rPr>
          <t xml:space="preserve">von MFWK pro Cento Division Nr. 19 zum IR 43 transferiert und zum Artillerie Bespannung zugeteilt </t>
        </r>
        <r>
          <rPr>
            <sz val="14"/>
            <color rgb="FF000000"/>
            <rFont val="Times New Roman"/>
            <family val="18"/>
          </rPr>
          <t xml:space="preserve">[TL April 1790 &amp; ST May 1790]
</t>
        </r>
        <r>
          <rPr>
            <sz val="14"/>
            <color rgb="FF000000"/>
            <rFont val="Times New Roman"/>
            <family val="18"/>
          </rPr>
          <t xml:space="preserve">22/08/1790 </t>
        </r>
        <r>
          <rPr>
            <i/>
            <sz val="14"/>
            <color rgb="FF000000"/>
            <rFont val="Times New Roman"/>
            <family val="18"/>
          </rPr>
          <t xml:space="preserve">Von IR 43 Artillerie Bespannung zum Konigl. Fuhrwesens artillerie Reserve abgegaben </t>
        </r>
        <r>
          <rPr>
            <sz val="14"/>
            <color rgb="FF000000"/>
            <rFont val="Times New Roman"/>
            <family val="18"/>
          </rPr>
          <t>[TL Aug 1790 &amp; ST Aug 1790]</t>
        </r>
        <r>
          <rPr>
            <sz val="14"/>
            <color rgb="FF000000"/>
            <rFont val="+mn-lt"/>
            <charset val="1"/>
          </rPr>
          <t xml:space="preserve">
</t>
        </r>
      </text>
    </comment>
    <comment ref="BG109" authorId="0" shapeId="0" xr:uid="{23A223E2-7D91-4746-B923-55B862063F12}">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15 (29/04/1790) &amp; TL IR 43-&gt; MFWK Nr. 14 (25/08/1790)</t>
        </r>
      </text>
    </comment>
    <comment ref="BH109" authorId="0" shapeId="0" xr:uid="{F956124F-F219-9F42-825F-8640F2421A4F}">
      <text>
        <r>
          <rPr>
            <sz val="14"/>
            <color rgb="FF000000"/>
            <rFont val="Calibri"/>
            <family val="34"/>
          </rPr>
          <t>MFWK (1790)</t>
        </r>
      </text>
    </comment>
    <comment ref="BF110" authorId="0" shapeId="0" xr:uid="{86549F23-69FF-5348-A72B-C1CAC1E5C3A5}">
      <text>
        <r>
          <rPr>
            <sz val="14"/>
            <color rgb="FF000000"/>
            <rFont val="Times New Roman"/>
            <family val="18"/>
          </rPr>
          <t xml:space="preserve">In 02/1790 </t>
        </r>
        <r>
          <rPr>
            <i/>
            <sz val="14"/>
            <color rgb="FF000000"/>
            <rFont val="Times New Roman"/>
            <family val="18"/>
          </rPr>
          <t xml:space="preserve">Von Gallizischen Standen gestellt </t>
        </r>
        <r>
          <rPr>
            <sz val="14"/>
            <color rgb="FF000000"/>
            <rFont val="Times New Roman"/>
            <family val="18"/>
          </rPr>
          <t xml:space="preserve">[TL April 1790]
</t>
        </r>
        <r>
          <rPr>
            <sz val="14"/>
            <color rgb="FF000000"/>
            <rFont val="Times New Roman"/>
            <family val="18"/>
          </rPr>
          <t xml:space="preserve">01/05/1790 </t>
        </r>
        <r>
          <rPr>
            <i/>
            <sz val="14"/>
            <color rgb="FF000000"/>
            <rFont val="Times New Roman"/>
            <family val="18"/>
          </rPr>
          <t xml:space="preserve">Von MFWK pro Cento Division Nr. 19 zum IR 43 transferiert und zum Artillerie Bespannung zugeteilt </t>
        </r>
        <r>
          <rPr>
            <sz val="14"/>
            <color rgb="FF000000"/>
            <rFont val="Times New Roman"/>
            <family val="18"/>
          </rPr>
          <t xml:space="preserve">[TL April 1790 &amp; ST May 1790]
</t>
        </r>
        <r>
          <rPr>
            <sz val="14"/>
            <color rgb="FF000000"/>
            <rFont val="Times New Roman"/>
            <family val="18"/>
          </rPr>
          <t xml:space="preserve">22/08/1790 </t>
        </r>
        <r>
          <rPr>
            <i/>
            <sz val="14"/>
            <color rgb="FF000000"/>
            <rFont val="Times New Roman"/>
            <family val="18"/>
          </rPr>
          <t xml:space="preserve">Von IR 43 Artillerie Bespannung zum Konigl. Fuhrwesens artillerie Reserve abgegaben </t>
        </r>
        <r>
          <rPr>
            <sz val="14"/>
            <color rgb="FF000000"/>
            <rFont val="Times New Roman"/>
            <family val="18"/>
          </rPr>
          <t xml:space="preserve">[TL Aug 1790 &amp; ST Aug 1790]
</t>
        </r>
        <r>
          <rPr>
            <sz val="14"/>
            <color rgb="FF000000"/>
            <rFont val="+mn-lt"/>
            <charset val="1"/>
          </rPr>
          <t xml:space="preserve">
</t>
        </r>
      </text>
    </comment>
    <comment ref="BG110" authorId="0" shapeId="0" xr:uid="{535716CF-2C0F-FC46-8739-1632694F3362}">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14 (29/04/1790) &amp; TL IR 43-&gt; MFWK Nr. 13 (25/08/1790)</t>
        </r>
      </text>
    </comment>
    <comment ref="BH110" authorId="0" shapeId="0" xr:uid="{1F0A9ED3-C3E7-C94D-9960-21165EBDAFE4}">
      <text>
        <r>
          <rPr>
            <sz val="14"/>
            <color rgb="FF000000"/>
            <rFont val="Calibri"/>
            <family val="34"/>
          </rPr>
          <t>MFWK (1790)</t>
        </r>
      </text>
    </comment>
    <comment ref="BF111" authorId="0" shapeId="0" xr:uid="{9B831623-15FB-D245-BA9F-E0E64B0AB602}">
      <text>
        <r>
          <rPr>
            <sz val="14"/>
            <color rgb="FF000000"/>
            <rFont val="Times New Roman"/>
            <family val="18"/>
          </rPr>
          <t xml:space="preserve">In 02/1790 </t>
        </r>
        <r>
          <rPr>
            <i/>
            <sz val="14"/>
            <color rgb="FF000000"/>
            <rFont val="Times New Roman"/>
            <family val="18"/>
          </rPr>
          <t xml:space="preserve">Von Gallizischen Standen gestellt </t>
        </r>
        <r>
          <rPr>
            <sz val="14"/>
            <color rgb="FF000000"/>
            <rFont val="Times New Roman"/>
            <family val="18"/>
          </rPr>
          <t xml:space="preserve">[TL April 1790]
</t>
        </r>
        <r>
          <rPr>
            <sz val="14"/>
            <color rgb="FF000000"/>
            <rFont val="Times New Roman"/>
            <family val="18"/>
          </rPr>
          <t xml:space="preserve">01/05/1790 </t>
        </r>
        <r>
          <rPr>
            <i/>
            <sz val="14"/>
            <color rgb="FF000000"/>
            <rFont val="Times New Roman"/>
            <family val="18"/>
          </rPr>
          <t>Von MFWK pro Cento Division Nr. 19 zum IR 43 transferiert und zum Artillerie Bespannung zugeteilt</t>
        </r>
        <r>
          <rPr>
            <sz val="14"/>
            <color rgb="FF000000"/>
            <rFont val="Times New Roman"/>
            <family val="18"/>
          </rPr>
          <t xml:space="preserve"> [TL April 1790 &amp; ST May 1790]
</t>
        </r>
        <r>
          <rPr>
            <sz val="14"/>
            <color rgb="FF000000"/>
            <rFont val="Times New Roman"/>
            <family val="18"/>
          </rPr>
          <t xml:space="preserve">22/08/1790 </t>
        </r>
        <r>
          <rPr>
            <i/>
            <sz val="14"/>
            <color rgb="FF000000"/>
            <rFont val="Times New Roman"/>
            <family val="18"/>
          </rPr>
          <t>Von IR 43 Artillerie Bespannung zum Konigl. Fuhrwesens artillerie Reserve abgegaben</t>
        </r>
        <r>
          <rPr>
            <sz val="14"/>
            <color rgb="FF000000"/>
            <rFont val="Times New Roman"/>
            <family val="18"/>
          </rPr>
          <t xml:space="preserve"> [TL Aug 1790 &amp; ST Aug 1790]
</t>
        </r>
      </text>
    </comment>
    <comment ref="BG111" authorId="0" shapeId="0" xr:uid="{314F1477-A599-1446-A605-D634C5E3D40C}">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16 (29/04/1790) &amp; TL IR 43-&gt; MFWK Nr. 15 (25/08/1790)</t>
        </r>
      </text>
    </comment>
    <comment ref="BH111" authorId="0" shapeId="0" xr:uid="{ECFF9269-0ED8-0E41-9024-9E96715F6B60}">
      <text>
        <r>
          <rPr>
            <sz val="14"/>
            <color rgb="FF000000"/>
            <rFont val="Calibri"/>
            <family val="34"/>
          </rPr>
          <t>MFWK (1790)</t>
        </r>
      </text>
    </comment>
    <comment ref="BF112" authorId="0" shapeId="0" xr:uid="{50B13116-895F-2F4E-A349-8F838A207EAF}">
      <text>
        <r>
          <rPr>
            <sz val="14"/>
            <color rgb="FF000000"/>
            <rFont val="Times New Roman"/>
            <family val="18"/>
          </rPr>
          <t xml:space="preserve">In 02/1790 </t>
        </r>
        <r>
          <rPr>
            <i/>
            <sz val="14"/>
            <color rgb="FF000000"/>
            <rFont val="Times New Roman"/>
            <family val="18"/>
          </rPr>
          <t>Von Galizischen Standen gestellt</t>
        </r>
        <r>
          <rPr>
            <sz val="14"/>
            <color rgb="FF000000"/>
            <rFont val="Times New Roman"/>
            <family val="18"/>
          </rPr>
          <t xml:space="preserve"> [TL April 1790]</t>
        </r>
        <r>
          <rPr>
            <sz val="14"/>
            <color rgb="FF000000"/>
            <rFont val="Calibri"/>
            <family val="34"/>
          </rPr>
          <t xml:space="preserve">
</t>
        </r>
        <r>
          <rPr>
            <sz val="14"/>
            <color rgb="FF000000"/>
            <rFont val="Times New Roman"/>
            <family val="18"/>
          </rPr>
          <t xml:space="preserve">01/05/1790 </t>
        </r>
        <r>
          <rPr>
            <i/>
            <sz val="14"/>
            <color rgb="FF000000"/>
            <rFont val="Times New Roman"/>
            <family val="18"/>
          </rPr>
          <t>Von MFWK pro Cento Division Nr. 19 zum IR 43 transferiert und zum Artillerie Bespannung eingeteilt</t>
        </r>
        <r>
          <rPr>
            <sz val="14"/>
            <color rgb="FF000000"/>
            <rFont val="Times New Roman"/>
            <family val="18"/>
          </rPr>
          <t xml:space="preserve"> [TL April 1790 &amp; ST May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 xml:space="preserve">Von IR 43 Artillerie Bespannung zum Konigl. Fuhrwesens artillerie Reserve abgegaben </t>
        </r>
        <r>
          <rPr>
            <sz val="14"/>
            <color rgb="FF000000"/>
            <rFont val="Times New Roman"/>
            <family val="18"/>
          </rPr>
          <t>[TL Aug 1790 &amp; ST Aug 1790]</t>
        </r>
        <r>
          <rPr>
            <sz val="14"/>
            <color rgb="FF000000"/>
            <rFont val="Calibri"/>
            <family val="34"/>
          </rPr>
          <t xml:space="preserve">
</t>
        </r>
      </text>
    </comment>
    <comment ref="BG112" authorId="0" shapeId="0" xr:uid="{6587E5BB-B289-0E47-8131-B782EDBBEFFD}">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12 (29/04/1790) &amp; TL IR 43-&gt; MFWK Nr. 11 (25/08/1790)</t>
        </r>
      </text>
    </comment>
    <comment ref="BH112" authorId="0" shapeId="0" xr:uid="{329169FB-4395-764C-8E4B-712E2E83D422}">
      <text>
        <r>
          <rPr>
            <sz val="14"/>
            <color rgb="FF000000"/>
            <rFont val="Calibri"/>
            <family val="34"/>
          </rPr>
          <t>MFWK (1790)</t>
        </r>
      </text>
    </comment>
    <comment ref="BF113" authorId="0" shapeId="0" xr:uid="{D48F9C40-159B-1B48-BD31-A0B6203D45F4}">
      <text>
        <r>
          <rPr>
            <sz val="14"/>
            <color rgb="FF000000"/>
            <rFont val="Times New Roman"/>
            <family val="18"/>
          </rPr>
          <t xml:space="preserve">??/??/?? </t>
        </r>
        <r>
          <rPr>
            <i/>
            <sz val="14"/>
            <color rgb="FF000000"/>
            <rFont val="Times New Roman"/>
            <family val="18"/>
          </rPr>
          <t>Als landständischer Recrout assentiert</t>
        </r>
        <r>
          <rPr>
            <sz val="14"/>
            <color rgb="FF000000"/>
            <rFont val="Times New Roman"/>
            <family val="18"/>
          </rPr>
          <t xml:space="preserve"> [TL May 1790]
</t>
        </r>
        <r>
          <rPr>
            <sz val="14"/>
            <color rgb="FF000000"/>
            <rFont val="Times New Roman"/>
            <family val="18"/>
          </rPr>
          <t xml:space="preserve">06/02/1790 </t>
        </r>
        <r>
          <rPr>
            <i/>
            <sz val="14"/>
            <color rgb="FF000000"/>
            <rFont val="Times New Roman"/>
            <family val="18"/>
          </rPr>
          <t>Von MFWK Pro. Cento Dic Nr. 19 1. Abt. zum IR 23 Feld Bats transferiert und beim Burger Grenadier Bataillon Artillerie Bespannung zugeteilt</t>
        </r>
        <r>
          <rPr>
            <sz val="14"/>
            <color rgb="FF000000"/>
            <rFont val="Times New Roman"/>
            <family val="18"/>
          </rPr>
          <t xml:space="preserve"> [TL May 1790 &amp; ST May 1790]
</t>
        </r>
        <r>
          <rPr>
            <sz val="14"/>
            <color rgb="FF000000"/>
            <rFont val="Times New Roman"/>
            <family val="18"/>
          </rPr>
          <t>25/08/1790</t>
        </r>
        <r>
          <rPr>
            <i/>
            <sz val="14"/>
            <color rgb="FF000000"/>
            <rFont val="Times New Roman"/>
            <family val="18"/>
          </rPr>
          <t xml:space="preserve"> Von IR 23 Feld Bats Artillerie Bespannung des Burgersichen Grenadier Bat zu der Artillerie Fuhrwesens Reserve abgegeben </t>
        </r>
        <r>
          <rPr>
            <sz val="14"/>
            <color rgb="FF000000"/>
            <rFont val="Times New Roman"/>
            <family val="18"/>
          </rPr>
          <t xml:space="preserve">[ST Aug 1790] 
</t>
        </r>
      </text>
    </comment>
    <comment ref="BG113" authorId="0" shapeId="0" xr:uid="{3D290387-14CE-3943-A85C-5CF3B80154DC}">
      <text>
        <r>
          <rPr>
            <sz val="14"/>
            <color rgb="FF000000"/>
            <rFont val="Times New Roman"/>
            <family val="18"/>
          </rPr>
          <t>ML 10.151 IR 23 (1790) – May (Vienna 01/08/1792), Aug (Vienna 01/08/1792)</t>
        </r>
        <r>
          <rPr>
            <sz val="14"/>
            <color rgb="FF000000"/>
            <rFont val="Times New Roman"/>
            <family val="18"/>
          </rPr>
          <t xml:space="preserve">
</t>
        </r>
        <r>
          <rPr>
            <sz val="14"/>
            <color rgb="FF000000"/>
            <rFont val="Times New Roman"/>
            <family val="18"/>
          </rPr>
          <t>ML 10.152 IR 23 (1790) AL/TL – TL MFWK-&gt;IR 23 Nr. 44 (Brünn 02/05/1790)</t>
        </r>
      </text>
    </comment>
    <comment ref="BH113" authorId="0" shapeId="0" xr:uid="{C50EA90A-C78F-2042-AAF0-3707C018842B}">
      <text>
        <r>
          <rPr>
            <sz val="14"/>
            <color rgb="FF000000"/>
            <rFont val="Calibri"/>
            <family val="34"/>
          </rPr>
          <t>MFWK (1790)</t>
        </r>
      </text>
    </comment>
    <comment ref="BF114" authorId="0" shapeId="0" xr:uid="{6DAAA9CC-6CEA-7C4B-AFC2-44B795286BF0}">
      <text>
        <r>
          <rPr>
            <sz val="14"/>
            <color rgb="FF000000"/>
            <rFont val="Times New Roman"/>
            <family val="18"/>
          </rPr>
          <t xml:space="preserve">16/02/1790 </t>
        </r>
        <r>
          <rPr>
            <i/>
            <sz val="14"/>
            <color rgb="FF000000"/>
            <rFont val="Times New Roman"/>
            <family val="18"/>
          </rPr>
          <t xml:space="preserve">Von MFWK Pester Posto zum IR 38 transferiert und zum Proviant Fuhrwesen zugeteilt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14" authorId="0" shapeId="0" xr:uid="{67261425-A60B-3347-A46B-B7EF1DD101B4}">
      <text>
        <r>
          <rPr>
            <sz val="14"/>
            <color rgb="FF000000"/>
            <rFont val="Times New Roman"/>
            <family val="18"/>
          </rPr>
          <t>ML 10.005 IR 48 (1790) – TL IR 48-&gt;MFWK Nr. 17 (Groß Westernitz 22/08/1790); ST Feb (Milan 26/03/1791), Aug (Milan 23/04/1791)</t>
        </r>
        <r>
          <rPr>
            <sz val="14"/>
            <color rgb="FF000000"/>
            <rFont val="Calibri"/>
            <family val="34"/>
          </rPr>
          <t xml:space="preserve">
</t>
        </r>
      </text>
    </comment>
    <comment ref="BH114" authorId="0" shapeId="0" xr:uid="{AD0324B8-B6ED-354D-9D02-C96715038964}">
      <text>
        <r>
          <rPr>
            <sz val="14"/>
            <color rgb="FF000000"/>
            <rFont val="Calibri"/>
            <family val="34"/>
          </rPr>
          <t xml:space="preserve">MFWK (1790)
</t>
        </r>
      </text>
    </comment>
    <comment ref="BF115" authorId="0" shapeId="0" xr:uid="{1BB92771-A847-044A-8A9B-BFFDC9950DF3}">
      <text>
        <r>
          <rPr>
            <sz val="14"/>
            <color rgb="FF000000"/>
            <rFont val="Times New Roman"/>
            <family val="18"/>
          </rPr>
          <t xml:space="preserve">16/02/1790 </t>
        </r>
        <r>
          <rPr>
            <i/>
            <sz val="14"/>
            <color rgb="FF000000"/>
            <rFont val="Times New Roman"/>
            <family val="18"/>
          </rPr>
          <t xml:space="preserve">Von MFWK Pester Posto zum IR 38 transferiert und zum Proviant Fuhrwesen zugeteilt </t>
        </r>
        <r>
          <rPr>
            <sz val="14"/>
            <color rgb="FF000000"/>
            <rFont val="Times New Roman"/>
            <family val="18"/>
          </rPr>
          <t>[ST Feb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15" authorId="0" shapeId="0" xr:uid="{9F40171F-9C29-5942-8B40-DFBB5F24C94D}">
      <text>
        <r>
          <rPr>
            <sz val="14"/>
            <color rgb="FF000000"/>
            <rFont val="Times New Roman"/>
            <family val="18"/>
          </rPr>
          <t>ML 10.005 IR 48 (1790) – TL IR 48-&gt;MFWK Nr. 18 (Groß Westernitz 22/08/1790); ST Feb (Milan 26/03/1791), Aug (Milan 23/04/1791)</t>
        </r>
        <r>
          <rPr>
            <sz val="14"/>
            <color rgb="FF000000"/>
            <rFont val="Calibri"/>
            <family val="34"/>
          </rPr>
          <t xml:space="preserve">
</t>
        </r>
      </text>
    </comment>
    <comment ref="BH115" authorId="0" shapeId="0" xr:uid="{0CD60360-0B3B-3847-BE5E-3FBC3EEECF9C}">
      <text>
        <r>
          <rPr>
            <sz val="14"/>
            <color rgb="FF000000"/>
            <rFont val="Calibri"/>
            <family val="34"/>
          </rPr>
          <t xml:space="preserve">MFWK (1790)
</t>
        </r>
      </text>
    </comment>
    <comment ref="BF116" authorId="0" shapeId="0" xr:uid="{DD15C715-8605-DB44-9CE6-5F4FC836EE32}">
      <text>
        <r>
          <rPr>
            <sz val="14"/>
            <color rgb="FF000000"/>
            <rFont val="Times New Roman"/>
            <family val="18"/>
          </rPr>
          <t xml:space="preserve">24/03/1790 </t>
        </r>
        <r>
          <rPr>
            <i/>
            <sz val="14"/>
            <color rgb="FF000000"/>
            <rFont val="Times New Roman"/>
            <family val="18"/>
          </rPr>
          <t xml:space="preserve">Laut General Commando Verordnung det. Lemberg 8. Marz 1790 ausgehoben und a 3Fl zum Lemberg ins IR 32 (H) Feld Bataillons assentiert. Seitdem auf anhero Marche </t>
        </r>
        <r>
          <rPr>
            <sz val="14"/>
            <color rgb="FF000000"/>
            <rFont val="Times New Roman"/>
            <family val="18"/>
          </rPr>
          <t xml:space="preserve">[AL &amp; ST Mai 1790]
</t>
        </r>
        <r>
          <rPr>
            <sz val="14"/>
            <color rgb="FF000000"/>
            <rFont val="Times New Roman"/>
            <family val="18"/>
          </rPr>
          <t xml:space="preserve">30/04/1790 </t>
        </r>
        <r>
          <rPr>
            <i/>
            <sz val="14"/>
            <color rgb="FF000000"/>
            <rFont val="Times New Roman"/>
            <family val="18"/>
          </rPr>
          <t>In Loco eingerückt und zum Proviant Fuhrwesen zugeheilt</t>
        </r>
        <r>
          <rPr>
            <sz val="14"/>
            <color rgb="FF000000"/>
            <rFont val="Times New Roman"/>
            <family val="18"/>
          </rPr>
          <t xml:space="preserve"> [ST May 1790]
</t>
        </r>
        <r>
          <rPr>
            <sz val="14"/>
            <color rgb="FF000000"/>
            <rFont val="Times New Roman"/>
            <family val="18"/>
          </rPr>
          <t xml:space="preserve">25/11/1790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text>
    </comment>
    <comment ref="BG116" authorId="0" shapeId="0" xr:uid="{6104C311-DFFC-274D-A28E-62D1A0D4D169}">
      <text>
        <r>
          <rPr>
            <sz val="14"/>
            <color rgb="FF000000"/>
            <rFont val="Times New Roman"/>
            <family val="18"/>
          </rPr>
          <t>ML 2871 IR 32 (1790) – ST April (Lemberg 01/07/1791), May (Lemberg 01/07/1791), Nov (Lemberg 26/09/1791)</t>
        </r>
        <r>
          <rPr>
            <sz val="14"/>
            <color rgb="FF000000"/>
            <rFont val="Calibri"/>
            <family val="34"/>
          </rPr>
          <t xml:space="preserve">
</t>
        </r>
        <r>
          <rPr>
            <sz val="14"/>
            <color rgb="FF000000"/>
            <rFont val="Times New Roman"/>
            <family val="18"/>
          </rPr>
          <t>ML 2872 IR 32 (1790) – AL IR 32 Nr. 3 (Zolkiew 30/03/1790)</t>
        </r>
      </text>
    </comment>
    <comment ref="BH116" authorId="0" shapeId="0" xr:uid="{44EEF2AE-7246-5E48-9BDF-AC764F6A27AC}">
      <text>
        <r>
          <rPr>
            <sz val="14"/>
            <color rgb="FF000000"/>
            <rFont val="Calibri"/>
            <family val="34"/>
          </rPr>
          <t>MFWK (1790)</t>
        </r>
      </text>
    </comment>
    <comment ref="BF117" authorId="0" shapeId="0" xr:uid="{9E454AD3-E969-7248-941C-E1F342CC484B}">
      <text>
        <r>
          <rPr>
            <sz val="14"/>
            <color rgb="FF000000"/>
            <rFont val="Times New Roman"/>
            <family val="18"/>
          </rPr>
          <t xml:space="preserve">24/03/1790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&amp; ST Mai 1790]
</t>
        </r>
        <r>
          <rPr>
            <sz val="14"/>
            <color rgb="FF000000"/>
            <rFont val="Times New Roman"/>
            <family val="18"/>
          </rPr>
          <t xml:space="preserve">30/04/1790 </t>
        </r>
        <r>
          <rPr>
            <i/>
            <sz val="14"/>
            <color rgb="FF000000"/>
            <rFont val="Times New Roman"/>
            <family val="18"/>
          </rPr>
          <t>In Loco eingerückt und zum Artillerie Bespannung zugeteilt</t>
        </r>
        <r>
          <rPr>
            <sz val="14"/>
            <color rgb="FF000000"/>
            <rFont val="Times New Roman"/>
            <family val="18"/>
          </rPr>
          <t xml:space="preserve"> [ST Mai 1790]
</t>
        </r>
        <r>
          <rPr>
            <sz val="14"/>
            <color rgb="FF000000"/>
            <rFont val="Times New Roman"/>
            <family val="18"/>
          </rPr>
          <t xml:space="preserve">16/07/1790 </t>
        </r>
        <r>
          <rPr>
            <i/>
            <sz val="14"/>
            <color rgb="FF000000"/>
            <rFont val="Times New Roman"/>
            <family val="18"/>
          </rPr>
          <t>Aus dem Station Brodi Desertiert</t>
        </r>
        <r>
          <rPr>
            <sz val="14"/>
            <color rgb="FF000000"/>
            <rFont val="Times New Roman"/>
            <family val="18"/>
          </rPr>
          <t xml:space="preserve"> [ST July 1790]
</t>
        </r>
      </text>
    </comment>
    <comment ref="BG117" authorId="0" shapeId="0" xr:uid="{BEFA5C22-81BB-ED49-A04C-6BEA25E7BC37}">
      <text>
        <r>
          <rPr>
            <sz val="14"/>
            <color rgb="FF000000"/>
            <rFont val="Times New Roman"/>
            <family val="18"/>
          </rPr>
          <t>ML 2871 IR 32 (1790) – ST May (Lemberg 01/07/1791), July (Lemberg 10/07/1791)</t>
        </r>
        <r>
          <rPr>
            <sz val="14"/>
            <color rgb="FF000000"/>
            <rFont val="Calibri"/>
            <family val="34"/>
          </rPr>
          <t xml:space="preserve">
</t>
        </r>
        <r>
          <rPr>
            <sz val="14"/>
            <color rgb="FF000000"/>
            <rFont val="Times New Roman"/>
            <family val="18"/>
          </rPr>
          <t>ML 2872 IR 32 (1790) – AL IR 32 Nr. 2 (Lemberg 12/04/1790)</t>
        </r>
      </text>
    </comment>
    <comment ref="BH117" authorId="0" shapeId="0" xr:uid="{B422B5A5-A8E8-AB46-9680-C925EBE4B7C9}">
      <text>
        <r>
          <rPr>
            <sz val="14"/>
            <color rgb="FF000000"/>
            <rFont val="Calibri"/>
            <family val="34"/>
          </rPr>
          <t>MFWK (1790)</t>
        </r>
      </text>
    </comment>
    <comment ref="BF118" authorId="0" shapeId="0" xr:uid="{0305F61F-A94E-A24E-B98B-1FC25302A61B}">
      <text>
        <r>
          <rPr>
            <sz val="14"/>
            <color rgb="FF000000"/>
            <rFont val="Times New Roman"/>
            <family val="18"/>
          </rPr>
          <t xml:space="preserve">24/03/1790 </t>
        </r>
        <r>
          <rPr>
            <i/>
            <sz val="14"/>
            <color rgb="FF000000"/>
            <rFont val="Times New Roman"/>
            <family val="18"/>
          </rPr>
          <t>Laut General Commando Verordnung det. Lemberg 18. Februari 1790 ausgehoben und a 3Fl zum Zolkiew ins IR 32 (H) Feld Bataillons assentiert. Seitdem auf anhero Marche</t>
        </r>
        <r>
          <rPr>
            <sz val="14"/>
            <color rgb="FF000000"/>
            <rFont val="Times New Roman"/>
            <family val="18"/>
          </rPr>
          <t xml:space="preserve"> [AL &amp; ST April 1790]
</t>
        </r>
        <r>
          <rPr>
            <sz val="14"/>
            <color rgb="FF000000"/>
            <rFont val="Times New Roman"/>
            <family val="18"/>
          </rPr>
          <t xml:space="preserve">11/04/1790 </t>
        </r>
        <r>
          <rPr>
            <i/>
            <sz val="14"/>
            <color rgb="FF000000"/>
            <rFont val="Times New Roman"/>
            <family val="18"/>
          </rPr>
          <t>In Loco eingerückt und ins Proviant Fuhrwesen Zugeheilt</t>
        </r>
        <r>
          <rPr>
            <sz val="14"/>
            <color rgb="FF000000"/>
            <rFont val="Times New Roman"/>
            <family val="18"/>
          </rPr>
          <t xml:space="preserve"> [ST April 1790]
</t>
        </r>
        <r>
          <rPr>
            <sz val="14"/>
            <color rgb="FF000000"/>
            <rFont val="Times New Roman"/>
            <family val="18"/>
          </rPr>
          <t xml:space="preserve">20/11/1790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
</t>
        </r>
      </text>
    </comment>
    <comment ref="BG118" authorId="0" shapeId="0" xr:uid="{C0B38B2F-06EA-8D40-9A65-3BDAA538FF2E}">
      <text>
        <r>
          <rPr>
            <sz val="14"/>
            <color rgb="FF000000"/>
            <rFont val="Times New Roman"/>
            <family val="18"/>
          </rPr>
          <t>ML 2871 IR 32 (1790) – ST April (Lemberg 01/07/1791), Nov (Lemberg 26/09/1791)</t>
        </r>
        <r>
          <rPr>
            <sz val="14"/>
            <color rgb="FF000000"/>
            <rFont val="Calibri"/>
            <family val="34"/>
          </rPr>
          <t xml:space="preserve">
</t>
        </r>
        <r>
          <rPr>
            <sz val="14"/>
            <color rgb="FF000000"/>
            <rFont val="Times New Roman"/>
            <family val="18"/>
          </rPr>
          <t>ML 2872 IR 32 (1790) – AL IR 32 Nr. 1 (Zolkiew 30/03/1790)</t>
        </r>
        <r>
          <rPr>
            <sz val="14"/>
            <color rgb="FF000000"/>
            <rFont val="Calibri"/>
            <family val="34"/>
          </rPr>
          <t xml:space="preserve">
</t>
        </r>
      </text>
    </comment>
    <comment ref="BH118" authorId="0" shapeId="0" xr:uid="{A31C9152-4063-9B46-B90A-FDA3B638CD8E}">
      <text>
        <r>
          <rPr>
            <sz val="14"/>
            <color rgb="FF000000"/>
            <rFont val="Calibri"/>
            <family val="34"/>
          </rPr>
          <t>MFWK (1790)</t>
        </r>
      </text>
    </comment>
    <comment ref="BF119" authorId="0" shapeId="0" xr:uid="{2C26B12D-CCF5-AE46-B0B8-93F6516BCAE1}">
      <text>
        <r>
          <rPr>
            <sz val="14"/>
            <color rgb="FF000000"/>
            <rFont val="Times New Roman"/>
            <family val="18"/>
          </rPr>
          <t xml:space="preserve">25/03/1790 </t>
        </r>
        <r>
          <rPr>
            <i/>
            <sz val="14"/>
            <color rgb="FF000000"/>
            <rFont val="Times New Roman"/>
            <family val="18"/>
          </rPr>
          <t>Laut General Commando Verordnung det. Lemberg 18. Februari 1790 ausgehoben und a 3Fl zum Zolkiew ins IR 32 (H) Feld Bataillons assentiert. Seitdem auf anhero Marche</t>
        </r>
        <r>
          <rPr>
            <sz val="14"/>
            <color rgb="FF000000"/>
            <rFont val="Times New Roman"/>
            <family val="18"/>
          </rPr>
          <t xml:space="preserve"> [AL &amp; ST April 1790]</t>
        </r>
        <r>
          <rPr>
            <sz val="14"/>
            <color rgb="FF000000"/>
            <rFont val="Calibri"/>
            <family val="34"/>
          </rPr>
          <t xml:space="preserve">
</t>
        </r>
        <r>
          <rPr>
            <sz val="14"/>
            <color rgb="FF000000"/>
            <rFont val="Times New Roman"/>
            <family val="18"/>
          </rPr>
          <t xml:space="preserve">11/04/1790 </t>
        </r>
        <r>
          <rPr>
            <i/>
            <sz val="14"/>
            <color rgb="FF000000"/>
            <rFont val="Times New Roman"/>
            <family val="18"/>
          </rPr>
          <t>In Loco eingerückt und ins Proviant Fuhrwesen zugeheilt</t>
        </r>
        <r>
          <rPr>
            <sz val="14"/>
            <color rgb="FF000000"/>
            <rFont val="Times New Roman"/>
            <family val="18"/>
          </rPr>
          <t xml:space="preserve"> [ST April 1790]</t>
        </r>
        <r>
          <rPr>
            <sz val="14"/>
            <color rgb="FF000000"/>
            <rFont val="Calibri"/>
            <family val="34"/>
          </rPr>
          <t xml:space="preserve">
</t>
        </r>
        <r>
          <rPr>
            <sz val="14"/>
            <color rgb="FF000000"/>
            <rFont val="Times New Roman"/>
            <family val="18"/>
          </rPr>
          <t xml:space="preserve">30/07/1790 [dienst bis mindestens] </t>
        </r>
        <r>
          <rPr>
            <i/>
            <sz val="14"/>
            <color rgb="FF000000"/>
            <rFont val="Times New Roman"/>
            <family val="18"/>
          </rPr>
          <t xml:space="preserve">Beim IR 32 Feld Bataillons Proviant Fuhrwesen </t>
        </r>
        <r>
          <rPr>
            <sz val="14"/>
            <color rgb="FF000000"/>
            <rFont val="Times New Roman"/>
            <family val="18"/>
          </rPr>
          <t>[ST July]</t>
        </r>
        <r>
          <rPr>
            <sz val="14"/>
            <color rgb="FF000000"/>
            <rFont val="Calibri"/>
            <family val="34"/>
          </rPr>
          <t xml:space="preserve">
</t>
        </r>
      </text>
    </comment>
    <comment ref="BG119" authorId="0" shapeId="0" xr:uid="{DD535222-8B30-CE47-B93D-29E4A7B2EAE1}">
      <text>
        <r>
          <rPr>
            <sz val="14"/>
            <color rgb="FF000000"/>
            <rFont val="Times New Roman"/>
            <family val="18"/>
          </rPr>
          <t>ML 2871 IR 32 (1790) – ST April (Lemberg 01/07/1791), July (Lemberg 10/07/1791)</t>
        </r>
        <r>
          <rPr>
            <sz val="14"/>
            <color rgb="FF000000"/>
            <rFont val="Calibri"/>
            <family val="34"/>
          </rPr>
          <t xml:space="preserve">
</t>
        </r>
        <r>
          <rPr>
            <sz val="14"/>
            <color rgb="FF000000"/>
            <rFont val="Times New Roman"/>
            <family val="18"/>
          </rPr>
          <t>ML 2872 IR 32 (1790) – AL. Nr. 3 (Zolkiew 30/03/1790)</t>
        </r>
        <r>
          <rPr>
            <sz val="14"/>
            <color rgb="FF000000"/>
            <rFont val="Calibri"/>
            <family val="34"/>
          </rPr>
          <t xml:space="preserve">
</t>
        </r>
      </text>
    </comment>
    <comment ref="BH119" authorId="0" shapeId="0" xr:uid="{8B1C4A3F-8AFD-BE42-8181-2875C86F595A}">
      <text>
        <r>
          <rPr>
            <sz val="14"/>
            <color rgb="FF000000"/>
            <rFont val="Calibri"/>
            <family val="34"/>
          </rPr>
          <t>MFWK (1790)</t>
        </r>
      </text>
    </comment>
    <comment ref="BF120" authorId="0" shapeId="0" xr:uid="{9D2A768B-E46E-044F-8555-87B6AC84D37C}">
      <text>
        <r>
          <rPr>
            <sz val="14"/>
            <color rgb="FF000000"/>
            <rFont val="Times New Roman"/>
            <family val="18"/>
          </rPr>
          <t xml:space="preserve">25/03/1790 </t>
        </r>
        <r>
          <rPr>
            <i/>
            <sz val="14"/>
            <color rgb="FF000000"/>
            <rFont val="Times New Roman"/>
            <family val="18"/>
          </rPr>
          <t>Laut General Commando Verordnung det. Lemberg 18. Februari 1790 ausgehoben und a 3Fl zum Zolkiew ins IR 32 (H) Feld Bataillons assentiert. Seitdem auf anhero Marche</t>
        </r>
        <r>
          <rPr>
            <sz val="14"/>
            <color rgb="FF000000"/>
            <rFont val="Times New Roman"/>
            <family val="18"/>
          </rPr>
          <t xml:space="preserve"> [AL &amp; ST April 1790]</t>
        </r>
        <r>
          <rPr>
            <sz val="14"/>
            <color rgb="FF000000"/>
            <rFont val="Calibri"/>
            <family val="34"/>
          </rPr>
          <t xml:space="preserve">
</t>
        </r>
        <r>
          <rPr>
            <sz val="14"/>
            <color rgb="FF000000"/>
            <rFont val="Times New Roman"/>
            <family val="18"/>
          </rPr>
          <t xml:space="preserve">11/04/1790 </t>
        </r>
        <r>
          <rPr>
            <i/>
            <sz val="14"/>
            <color rgb="FF000000"/>
            <rFont val="Times New Roman"/>
            <family val="18"/>
          </rPr>
          <t>In Loco eingerückt und ins Proviant Fuhrwesen zugeheilt</t>
        </r>
        <r>
          <rPr>
            <sz val="14"/>
            <color rgb="FF000000"/>
            <rFont val="Times New Roman"/>
            <family val="18"/>
          </rPr>
          <t xml:space="preserve"> [ST April 1790]</t>
        </r>
        <r>
          <rPr>
            <sz val="14"/>
            <color rgb="FF000000"/>
            <rFont val="Calibri"/>
            <family val="34"/>
          </rPr>
          <t xml:space="preserve">
</t>
        </r>
        <r>
          <rPr>
            <sz val="14"/>
            <color rgb="FF000000"/>
            <rFont val="Times New Roman"/>
            <family val="18"/>
          </rPr>
          <t xml:space="preserve">24/11/1790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 </t>
        </r>
      </text>
    </comment>
    <comment ref="BG120" authorId="0" shapeId="0" xr:uid="{8B2840E2-3D9A-FB4A-AD71-A5F9E17A5312}">
      <text>
        <r>
          <rPr>
            <sz val="14"/>
            <color rgb="FF000000"/>
            <rFont val="Times New Roman"/>
            <family val="18"/>
          </rPr>
          <t>ML 2871 IR 32 (1790) – ST April (Lemberg 01/07/1791), Nov (Lemberg 26/09/1791)</t>
        </r>
        <r>
          <rPr>
            <sz val="14"/>
            <color rgb="FF000000"/>
            <rFont val="Calibri"/>
            <family val="34"/>
          </rPr>
          <t xml:space="preserve">
</t>
        </r>
        <r>
          <rPr>
            <sz val="14"/>
            <color rgb="FF000000"/>
            <rFont val="Times New Roman"/>
            <family val="18"/>
          </rPr>
          <t>ML 2872 IR 32 (1790) – AL IR 32 Nr. 2 (Zolkiew 30/03/1790)</t>
        </r>
        <r>
          <rPr>
            <sz val="14"/>
            <color rgb="FF000000"/>
            <rFont val="Calibri"/>
            <family val="34"/>
          </rPr>
          <t xml:space="preserve">
</t>
        </r>
      </text>
    </comment>
    <comment ref="BH120" authorId="0" shapeId="0" xr:uid="{8272B8CE-999F-9D48-AC37-B08D2D7F56DA}">
      <text>
        <r>
          <rPr>
            <sz val="14"/>
            <color rgb="FF000000"/>
            <rFont val="Calibri"/>
            <family val="34"/>
          </rPr>
          <t>MFWK (1790)</t>
        </r>
      </text>
    </comment>
    <comment ref="BF121" authorId="0" shapeId="0" xr:uid="{BDFC5DE7-A85A-5C45-A406-A51AB180B93C}">
      <text>
        <r>
          <rPr>
            <sz val="14"/>
            <color rgb="FF000000"/>
            <rFont val="Times New Roman"/>
            <family val="18"/>
          </rPr>
          <t xml:space="preserve">26/03/1790 </t>
        </r>
        <r>
          <rPr>
            <i/>
            <sz val="14"/>
            <color rgb="FF000000"/>
            <rFont val="Times New Roman"/>
            <family val="18"/>
          </rPr>
          <t xml:space="preserve">Laut General Commando Verordnung det. Lemberg 8. Marz 1790 ausgehoben und a 3Fl zum Lemberg ins IR 32 (H) Feld Bataillons assentiert. Seitdem auf anhero Marche </t>
        </r>
        <r>
          <rPr>
            <sz val="14"/>
            <color rgb="FF000000"/>
            <rFont val="Times New Roman"/>
            <family val="18"/>
          </rPr>
          <t>[AL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Artillerie Bespannung zugeheilt</t>
        </r>
        <r>
          <rPr>
            <sz val="14"/>
            <color rgb="FF000000"/>
            <rFont val="Times New Roman"/>
            <family val="18"/>
          </rPr>
          <t xml:space="preserve"> [ST Mai 1790]</t>
        </r>
        <r>
          <rPr>
            <sz val="14"/>
            <color rgb="FF000000"/>
            <rFont val="Calibri"/>
            <family val="34"/>
          </rPr>
          <t xml:space="preserve">
</t>
        </r>
        <r>
          <rPr>
            <sz val="14"/>
            <color rgb="FF000000"/>
            <rFont val="Times New Roman"/>
            <family val="18"/>
          </rPr>
          <t xml:space="preserve">31/07/1790 [dienst bis mindestens] </t>
        </r>
        <r>
          <rPr>
            <i/>
            <sz val="14"/>
            <color rgb="FF000000"/>
            <rFont val="Times New Roman"/>
            <family val="18"/>
          </rPr>
          <t xml:space="preserve">Beim IR 32 Feld Bataillons Artillerie Bespannung </t>
        </r>
        <r>
          <rPr>
            <sz val="14"/>
            <color rgb="FF000000"/>
            <rFont val="Times New Roman"/>
            <family val="18"/>
          </rPr>
          <t>[ST July]</t>
        </r>
        <r>
          <rPr>
            <sz val="14"/>
            <color rgb="FF000000"/>
            <rFont val="Calibri"/>
            <family val="34"/>
          </rPr>
          <t xml:space="preserve">
</t>
        </r>
      </text>
    </comment>
    <comment ref="BG121" authorId="0" shapeId="0" xr:uid="{F31251E9-FEE6-5146-BC5A-D2BAF9F0DC49}">
      <text>
        <r>
          <rPr>
            <sz val="14"/>
            <color rgb="FF000000"/>
            <rFont val="Times New Roman"/>
            <family val="18"/>
          </rPr>
          <t>ML 2871 IR 32 (1790) – ST May (Lemberg 01/07/1791), July (Lemberg 10/07/1791)</t>
        </r>
        <r>
          <rPr>
            <sz val="14"/>
            <color rgb="FF000000"/>
            <rFont val="Calibri"/>
            <family val="34"/>
          </rPr>
          <t xml:space="preserve">
</t>
        </r>
        <r>
          <rPr>
            <sz val="14"/>
            <color rgb="FF000000"/>
            <rFont val="Times New Roman"/>
            <family val="18"/>
          </rPr>
          <t>ML 2872 IR 32 (1790) – AL IR 32 Nr. 4 (Lemberg 12/04/1790)</t>
        </r>
      </text>
    </comment>
    <comment ref="BH121" authorId="0" shapeId="0" xr:uid="{44F9DC20-DE83-B04D-B7C7-C15CA3141A95}">
      <text>
        <r>
          <rPr>
            <sz val="14"/>
            <color rgb="FF000000"/>
            <rFont val="Calibri"/>
            <family val="34"/>
          </rPr>
          <t>MFWK (1790)</t>
        </r>
      </text>
    </comment>
    <comment ref="BF122" authorId="0" shapeId="0" xr:uid="{F74DB8DA-74AF-E14E-8FC1-E8927D1C3A56}">
      <text>
        <r>
          <rPr>
            <sz val="14"/>
            <color rgb="FF000000"/>
            <rFont val="Times New Roman"/>
            <family val="18"/>
          </rPr>
          <t xml:space="preserve">26/03/1790 </t>
        </r>
        <r>
          <rPr>
            <i/>
            <sz val="14"/>
            <color rgb="FF000000"/>
            <rFont val="Times New Roman"/>
            <family val="18"/>
          </rPr>
          <t>Laut General Commando Verordnung det. Lemberg 8. Marz 1790 ausgehoben und a 3Fl zum Lemberg ins IR 32 (H) assentiert und zu 3. Bataillon zugeheilt</t>
        </r>
        <r>
          <rPr>
            <sz val="14"/>
            <color rgb="FF000000"/>
            <rFont val="Times New Roman"/>
            <family val="18"/>
          </rPr>
          <t xml:space="preserve"> [AL 1790]</t>
        </r>
        <r>
          <rPr>
            <sz val="14"/>
            <color rgb="FF000000"/>
            <rFont val="Calibri"/>
            <family val="34"/>
          </rPr>
          <t xml:space="preserve">
</t>
        </r>
        <r>
          <rPr>
            <sz val="14"/>
            <color rgb="FF000000"/>
            <rFont val="Times New Roman"/>
            <family val="18"/>
          </rPr>
          <t>11/04/1790 [Dient bis mindesten]</t>
        </r>
        <r>
          <rPr>
            <sz val="14"/>
            <color rgb="FF000000"/>
            <rFont val="Calibri"/>
            <family val="34"/>
          </rPr>
          <t xml:space="preserve">
</t>
        </r>
      </text>
    </comment>
    <comment ref="BG122" authorId="0" shapeId="0" xr:uid="{90EE5788-4B71-5D45-AB5E-7E13CF2E6BE6}">
      <text>
        <r>
          <rPr>
            <sz val="14"/>
            <color rgb="FF000000"/>
            <rFont val="Times New Roman"/>
            <family val="18"/>
          </rPr>
          <t xml:space="preserve">ML 2871 IR 32 (1790) – ST May (01/07/1791)
</t>
        </r>
        <r>
          <rPr>
            <sz val="14"/>
            <color rgb="FF000000"/>
            <rFont val="Times New Roman"/>
            <family val="18"/>
          </rPr>
          <t>ML 2872 IR 32 (1790) – AL IR 32 Nr. 6 (Lemberg 12/04/1790)</t>
        </r>
      </text>
    </comment>
    <comment ref="BH122" authorId="0" shapeId="0" xr:uid="{E0D9E1D3-390F-CE49-A692-8541806CBF66}">
      <text>
        <r>
          <rPr>
            <sz val="14"/>
            <color rgb="FF000000"/>
            <rFont val="Calibri"/>
            <family val="34"/>
          </rPr>
          <t>MFWK (1790)</t>
        </r>
      </text>
    </comment>
    <comment ref="BF123" authorId="0" shapeId="0" xr:uid="{EF9E68D2-A527-5B41-954A-AE775E52F938}">
      <text>
        <r>
          <rPr>
            <sz val="14"/>
            <color rgb="FF000000"/>
            <rFont val="Times New Roman"/>
            <family val="18"/>
          </rPr>
          <t xml:space="preserve">26/03/1790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Proviant Fuhrwesen zugeheilt</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23/11/1790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r>
          <rPr>
            <sz val="14"/>
            <color rgb="FF000000"/>
            <rFont val="Calibri"/>
            <family val="34"/>
          </rPr>
          <t xml:space="preserve">
</t>
        </r>
      </text>
    </comment>
    <comment ref="BG123" authorId="0" shapeId="0" xr:uid="{7F10BA9E-1953-FE4D-805D-6B0E97BF7B5E}">
      <text>
        <r>
          <rPr>
            <sz val="14"/>
            <color rgb="FF000000"/>
            <rFont val="Times New Roman"/>
            <family val="18"/>
          </rPr>
          <t>ML 2871 IR 32 (1790) – ST May (Lemberg 01/07/1791), Nov (Lemberg 26/09/1791)</t>
        </r>
        <r>
          <rPr>
            <sz val="14"/>
            <color rgb="FF000000"/>
            <rFont val="Calibri"/>
            <family val="34"/>
          </rPr>
          <t xml:space="preserve">
</t>
        </r>
        <r>
          <rPr>
            <sz val="14"/>
            <color rgb="FF000000"/>
            <rFont val="Times New Roman"/>
            <family val="18"/>
          </rPr>
          <t>ML 2872 IR 32 (1790) – AL IR 32 Nr. 3 (Lemberg 12/04/1790)</t>
        </r>
        <r>
          <rPr>
            <sz val="14"/>
            <color rgb="FF000000"/>
            <rFont val="Calibri"/>
            <family val="34"/>
          </rPr>
          <t xml:space="preserve">
</t>
        </r>
      </text>
    </comment>
    <comment ref="BH123" authorId="0" shapeId="0" xr:uid="{BDD7DCF5-DA78-D64A-A30C-D634A6E8ACCE}">
      <text>
        <r>
          <rPr>
            <sz val="14"/>
            <color rgb="FF000000"/>
            <rFont val="Calibri"/>
            <family val="34"/>
          </rPr>
          <t>MFWK (1790)</t>
        </r>
      </text>
    </comment>
    <comment ref="BF124" authorId="0" shapeId="0" xr:uid="{85EB16DA-D2C8-7948-BD5D-1EBE88DF0AB6}">
      <text>
        <r>
          <rPr>
            <sz val="14"/>
            <color rgb="FF000000"/>
            <rFont val="Times New Roman"/>
            <family val="18"/>
          </rPr>
          <t>26/03/1790</t>
        </r>
        <r>
          <rPr>
            <i/>
            <sz val="14"/>
            <color rgb="FF000000"/>
            <rFont val="Times New Roman"/>
            <family val="18"/>
          </rPr>
          <t xml:space="preserve"> Laut General Commando Verordnung det. Lemberg 8. Marz 1790 ausgehoben und a 3Fl zum Lemberg ins IR 32 (H) Feld Bataillons assentiert. Seitdem auf anhero Marche </t>
        </r>
        <r>
          <rPr>
            <sz val="14"/>
            <color rgb="FF000000"/>
            <rFont val="Times New Roman"/>
            <family val="18"/>
          </rPr>
          <t>[AL &amp; ST Mai 1790]</t>
        </r>
        <r>
          <rPr>
            <sz val="14"/>
            <color rgb="FF000000"/>
            <rFont val="Calibri"/>
            <family val="34"/>
          </rPr>
          <t xml:space="preserve">
</t>
        </r>
        <r>
          <rPr>
            <sz val="14"/>
            <color rgb="FF000000"/>
            <rFont val="Times New Roman"/>
            <family val="18"/>
          </rPr>
          <t>30/04/1790</t>
        </r>
        <r>
          <rPr>
            <i/>
            <sz val="14"/>
            <color rgb="FF000000"/>
            <rFont val="Times New Roman"/>
            <family val="18"/>
          </rPr>
          <t xml:space="preserve"> In Loco eingerückt und zum Proviant Fuhrwesen zugeheilt </t>
        </r>
        <r>
          <rPr>
            <sz val="14"/>
            <color rgb="FF000000"/>
            <rFont val="Times New Roman"/>
            <family val="18"/>
          </rPr>
          <t>[ST Mai 1790]</t>
        </r>
        <r>
          <rPr>
            <sz val="14"/>
            <color rgb="FF000000"/>
            <rFont val="Calibri"/>
            <family val="34"/>
          </rPr>
          <t xml:space="preserve">
</t>
        </r>
        <r>
          <rPr>
            <sz val="14"/>
            <color rgb="FF000000"/>
            <rFont val="Times New Roman"/>
            <family val="18"/>
          </rPr>
          <t>30/06/1790</t>
        </r>
        <r>
          <rPr>
            <i/>
            <sz val="14"/>
            <color rgb="FF000000"/>
            <rFont val="Times New Roman"/>
            <family val="18"/>
          </rPr>
          <t xml:space="preserve"> von Proviant Fuhrwesen zum Artillerie Bespannung transferiert </t>
        </r>
        <r>
          <rPr>
            <sz val="14"/>
            <color rgb="FF000000"/>
            <rFont val="Times New Roman"/>
            <family val="18"/>
          </rPr>
          <t>[ST Juli 1790]</t>
        </r>
        <r>
          <rPr>
            <sz val="14"/>
            <color rgb="FF000000"/>
            <rFont val="Calibri"/>
            <family val="34"/>
          </rPr>
          <t xml:space="preserve">
</t>
        </r>
        <r>
          <rPr>
            <sz val="14"/>
            <color rgb="FF000000"/>
            <rFont val="Times New Roman"/>
            <family val="18"/>
          </rPr>
          <t>20/11/1790</t>
        </r>
        <r>
          <rPr>
            <i/>
            <sz val="14"/>
            <color rgb="FF000000"/>
            <rFont val="Times New Roman"/>
            <family val="18"/>
          </rPr>
          <t xml:space="preserve"> Vermog hohe HKR Verordnung von 15/ Aug 1790 und General Commando Verordnung deto Lemberg den 22/08/1790 von IR 32 Feld Battalions Regiments Fuhrwesen auf Unbestimmte Urlaub abgelassen </t>
        </r>
        <r>
          <rPr>
            <sz val="14"/>
            <color rgb="FF000000"/>
            <rFont val="Times New Roman"/>
            <family val="18"/>
          </rPr>
          <t xml:space="preserve">[ST Nov 1790] </t>
        </r>
      </text>
    </comment>
    <comment ref="BG124" authorId="0" shapeId="0" xr:uid="{A36D557B-F54D-714A-B83F-5BC53C2F564F}">
      <text>
        <r>
          <rPr>
            <sz val="14"/>
            <color rgb="FF000000"/>
            <rFont val="Times New Roman"/>
            <family val="18"/>
          </rPr>
          <t>ML 2871 IR 32 (1790) – ST May (Lemberg 01/07/1791), Nov (Lemberg 26/09/1791)</t>
        </r>
        <r>
          <rPr>
            <sz val="14"/>
            <color rgb="FF000000"/>
            <rFont val="Calibri"/>
            <family val="34"/>
          </rPr>
          <t xml:space="preserve">
</t>
        </r>
        <r>
          <rPr>
            <sz val="14"/>
            <color rgb="FF000000"/>
            <rFont val="Times New Roman"/>
            <family val="18"/>
          </rPr>
          <t>ML 2872 IR 32 (1790) – AL IR 32 Nr. 5 (Lemberg 12/04/1790)</t>
        </r>
        <r>
          <rPr>
            <sz val="14"/>
            <color rgb="FF000000"/>
            <rFont val="Calibri"/>
            <family val="34"/>
          </rPr>
          <t xml:space="preserve">
</t>
        </r>
      </text>
    </comment>
    <comment ref="BH124" authorId="0" shapeId="0" xr:uid="{297C1C7F-5F7E-A149-AF45-31F27EEAD0C7}">
      <text>
        <r>
          <rPr>
            <sz val="14"/>
            <color rgb="FF000000"/>
            <rFont val="Calibri"/>
            <family val="34"/>
          </rPr>
          <t>MFWK (1790)</t>
        </r>
      </text>
    </comment>
    <comment ref="BF125" authorId="0" shapeId="0" xr:uid="{9970AA16-3685-E74B-9703-84BAF7166875}">
      <text>
        <r>
          <rPr>
            <sz val="14"/>
            <color rgb="FF000000"/>
            <rFont val="Times New Roman"/>
            <family val="18"/>
          </rPr>
          <t xml:space="preserve">01/04/1790 </t>
        </r>
        <r>
          <rPr>
            <i/>
            <sz val="14"/>
            <color rgb="FF000000"/>
            <rFont val="Times New Roman"/>
            <family val="18"/>
          </rPr>
          <t xml:space="preserve">Von MFWK zum IR 48 Feld Bats transferiert und zum Proviant Fuhrwesen eingeteilt </t>
        </r>
        <r>
          <rPr>
            <sz val="14"/>
            <color rgb="FF000000"/>
            <rFont val="Times New Roman"/>
            <family val="18"/>
          </rPr>
          <t>[ST April 1790]</t>
        </r>
        <r>
          <rPr>
            <sz val="14"/>
            <color rgb="FF000000"/>
            <rFont val="Calibri"/>
            <family val="34"/>
          </rPr>
          <t xml:space="preserve">
</t>
        </r>
        <r>
          <rPr>
            <sz val="14"/>
            <color rgb="FF000000"/>
            <rFont val="Times New Roman"/>
            <family val="18"/>
          </rPr>
          <t xml:space="preserve">22/08/1790 </t>
        </r>
        <r>
          <rPr>
            <i/>
            <sz val="14"/>
            <color rgb="FF000000"/>
            <rFont val="Times New Roman"/>
            <family val="18"/>
          </rPr>
          <t>In folge hohe Mährische General Kommando Verordnung deto Olmütz 19/08/1790 zum MFWK transferiert</t>
        </r>
        <r>
          <rPr>
            <sz val="14"/>
            <color rgb="FF000000"/>
            <rFont val="Times New Roman"/>
            <family val="18"/>
          </rPr>
          <t xml:space="preserve"> [TL August 1790]</t>
        </r>
        <r>
          <rPr>
            <sz val="14"/>
            <color rgb="FF000000"/>
            <rFont val="Calibri"/>
            <family val="34"/>
          </rPr>
          <t xml:space="preserve">
</t>
        </r>
      </text>
    </comment>
    <comment ref="BG125" authorId="0" shapeId="0" xr:uid="{BD43F46A-A3CC-EB44-8421-0561F3A759C4}">
      <text>
        <r>
          <rPr>
            <sz val="14"/>
            <color rgb="FF000000"/>
            <rFont val="Times New Roman"/>
            <family val="18"/>
          </rPr>
          <t>ML 10.005 IR 48 (1790) – TL IR 48-&gt;MFWK Nr. 19 (Groß Westernitz 22/08/1790); ST April (Milan 06/04/1791), Aug (Milan 23/04/1791)</t>
        </r>
        <r>
          <rPr>
            <sz val="14"/>
            <color rgb="FF000000"/>
            <rFont val="Calibri"/>
            <family val="34"/>
          </rPr>
          <t xml:space="preserve">
</t>
        </r>
      </text>
    </comment>
    <comment ref="BH125" authorId="0" shapeId="0" xr:uid="{D8A5E99F-5E2A-EE42-BCCB-D6D1AD1D0747}">
      <text>
        <r>
          <rPr>
            <sz val="14"/>
            <color rgb="FF000000"/>
            <rFont val="Calibri"/>
            <family val="34"/>
          </rPr>
          <t xml:space="preserve">MFWK (1790)
</t>
        </r>
      </text>
    </comment>
    <comment ref="BF126" authorId="0" shapeId="0" xr:uid="{F0E73204-BA99-D140-A5A8-72DF0ADD4CC1}">
      <text>
        <r>
          <rPr>
            <sz val="14"/>
            <color rgb="FF000000"/>
            <rFont val="Times New Roman"/>
            <family val="18"/>
          </rPr>
          <t xml:space="preserve">09/04/1790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1790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Proviant Fuhrwesen zugeheilt</t>
        </r>
        <r>
          <rPr>
            <sz val="14"/>
            <color rgb="FF000000"/>
            <rFont val="Times New Roman"/>
            <family val="18"/>
          </rPr>
          <t xml:space="preserve"> [ST Mai 1790]</t>
        </r>
        <r>
          <rPr>
            <sz val="14"/>
            <color rgb="FF000000"/>
            <rFont val="Calibri"/>
            <family val="34"/>
          </rPr>
          <t xml:space="preserve">
</t>
        </r>
        <r>
          <rPr>
            <sz val="14"/>
            <color rgb="FF000000"/>
            <rFont val="Times New Roman"/>
            <family val="18"/>
          </rPr>
          <t xml:space="preserve">23/11/1790 </t>
        </r>
        <r>
          <rPr>
            <i/>
            <sz val="14"/>
            <color rgb="FF000000"/>
            <rFont val="Times New Roman"/>
            <family val="18"/>
          </rPr>
          <t>vermog hohe HKR Verordnung von 15/ Aug 1790 und General Commando Verordnung deto Lemberg den 22/08/1790 von IR 32 Proviant Fuhrwesen auf Unbestimmte Urlaub abgelassen</t>
        </r>
        <r>
          <rPr>
            <sz val="14"/>
            <color rgb="FF000000"/>
            <rFont val="Times New Roman"/>
            <family val="18"/>
          </rPr>
          <t xml:space="preserve"> [ST Nov 1790] </t>
        </r>
      </text>
    </comment>
    <comment ref="BG126" authorId="0" shapeId="0" xr:uid="{3DFD91DE-FCA9-AE43-BA5F-A95D848025F4}">
      <text>
        <r>
          <rPr>
            <sz val="14"/>
            <color rgb="FF000000"/>
            <rFont val="Times New Roman"/>
            <family val="18"/>
          </rPr>
          <t>ML 2871 IR 32 (1790) – ST May (Lemberg 01/07/1791), Nov (Lemberg 26/09/1791)</t>
        </r>
        <r>
          <rPr>
            <sz val="14"/>
            <color rgb="FF000000"/>
            <rFont val="Calibri"/>
            <family val="34"/>
          </rPr>
          <t xml:space="preserve">
</t>
        </r>
        <r>
          <rPr>
            <sz val="14"/>
            <color rgb="FF000000"/>
            <rFont val="Times New Roman"/>
            <family val="18"/>
          </rPr>
          <t>ML 2872 IR 32 (1790) – AL IR 32 Nr. 8 (Lemberg 12/04/1790)</t>
        </r>
      </text>
    </comment>
    <comment ref="BH126" authorId="0" shapeId="0" xr:uid="{71B503A3-4041-9141-8003-04D4E9F2E3D0}">
      <text>
        <r>
          <rPr>
            <sz val="14"/>
            <color rgb="FF000000"/>
            <rFont val="Calibri"/>
            <family val="34"/>
          </rPr>
          <t>MFWK (1790)</t>
        </r>
      </text>
    </comment>
    <comment ref="BF127" authorId="0" shapeId="0" xr:uid="{C49608EF-86AB-8C48-A4EF-C6391955A682}">
      <text>
        <r>
          <rPr>
            <sz val="14"/>
            <color rgb="FF000000"/>
            <rFont val="Times New Roman"/>
            <family val="18"/>
          </rPr>
          <t xml:space="preserve">13/04/1790 </t>
        </r>
        <r>
          <rPr>
            <i/>
            <sz val="14"/>
            <color rgb="FF000000"/>
            <rFont val="Times New Roman"/>
            <family val="18"/>
          </rPr>
          <t>A 3Fl Handgeld assentiert</t>
        </r>
        <r>
          <rPr>
            <sz val="14"/>
            <color rgb="FF000000"/>
            <rFont val="Times New Roman"/>
            <family val="18"/>
          </rPr>
          <t xml:space="preserve"> [TL 1790]</t>
        </r>
        <r>
          <rPr>
            <sz val="14"/>
            <color rgb="FF000000"/>
            <rFont val="Calibri"/>
            <family val="34"/>
          </rPr>
          <t xml:space="preserve">
</t>
        </r>
        <r>
          <rPr>
            <sz val="14"/>
            <color rgb="FF000000"/>
            <rFont val="Times New Roman"/>
            <family val="18"/>
          </rPr>
          <t xml:space="preserve">30/06/1790 </t>
        </r>
        <r>
          <rPr>
            <i/>
            <sz val="14"/>
            <color rgb="FF000000"/>
            <rFont val="Times New Roman"/>
            <family val="18"/>
          </rPr>
          <t>von MWFK 19. procento Division 3. Abtheilung zum IR 32 3RD Bataillon als Stückknecht transferiert</t>
        </r>
        <r>
          <rPr>
            <sz val="14"/>
            <color rgb="FF000000"/>
            <rFont val="Times New Roman"/>
            <family val="18"/>
          </rPr>
          <t xml:space="preserve"> [TL 1790]</t>
        </r>
        <r>
          <rPr>
            <sz val="14"/>
            <color rgb="FF000000"/>
            <rFont val="Calibri"/>
            <family val="34"/>
          </rPr>
          <t xml:space="preserve">
</t>
        </r>
        <r>
          <rPr>
            <sz val="14"/>
            <color rgb="FF000000"/>
            <rFont val="Times New Roman"/>
            <family val="18"/>
          </rPr>
          <t>01/07/1790 [In Dienst bis mindestens]</t>
        </r>
        <r>
          <rPr>
            <sz val="14"/>
            <color rgb="FF000000"/>
            <rFont val="Calibri"/>
            <family val="34"/>
          </rPr>
          <t xml:space="preserve">
</t>
        </r>
      </text>
    </comment>
    <comment ref="BG127" authorId="0" shapeId="0" xr:uid="{84D5755E-480E-8247-B714-A0589493C44F}">
      <text>
        <r>
          <rPr>
            <sz val="14"/>
            <color rgb="FF000000"/>
            <rFont val="Calibri"/>
            <family val="34"/>
          </rPr>
          <t xml:space="preserve">ML 2872 IR 32 (1790) – AL IR 32 Nr. 1 (Lemberg 29/06/1790)
</t>
        </r>
      </text>
    </comment>
    <comment ref="BH127" authorId="0" shapeId="0" xr:uid="{24E63B3D-0E5C-7F49-B3E7-D078DC5B9800}">
      <text>
        <r>
          <rPr>
            <sz val="14"/>
            <color rgb="FF000000"/>
            <rFont val="Calibri"/>
            <family val="34"/>
          </rPr>
          <t>MFWK (1790)</t>
        </r>
      </text>
    </comment>
    <comment ref="BF128" authorId="0" shapeId="0" xr:uid="{D91EACC2-05CF-2E48-9ECF-A83A8F820CAE}">
      <text>
        <r>
          <rPr>
            <sz val="14"/>
            <color rgb="FF000000"/>
            <rFont val="Times New Roman"/>
            <family val="18"/>
          </rPr>
          <t xml:space="preserve">14/04/1790 </t>
        </r>
        <r>
          <rPr>
            <i/>
            <sz val="14"/>
            <color rgb="FF000000"/>
            <rFont val="Times New Roman"/>
            <family val="18"/>
          </rPr>
          <t>Dient Seit</t>
        </r>
        <r>
          <rPr>
            <sz val="14"/>
            <color rgb="FF000000"/>
            <rFont val="Times New Roman"/>
            <family val="18"/>
          </rPr>
          <t xml:space="preserve"> [TL May 1790]</t>
        </r>
        <r>
          <rPr>
            <sz val="14"/>
            <color rgb="FF000000"/>
            <rFont val="Calibri"/>
            <family val="34"/>
          </rPr>
          <t xml:space="preserve">
</t>
        </r>
        <r>
          <rPr>
            <sz val="14"/>
            <color rgb="FF000000"/>
            <rFont val="Times New Roman"/>
            <family val="18"/>
          </rPr>
          <t xml:space="preserve">01/05/1790 </t>
        </r>
        <r>
          <rPr>
            <i/>
            <sz val="14"/>
            <color rgb="FF000000"/>
            <rFont val="Times New Roman"/>
            <family val="18"/>
          </rPr>
          <t>Von MFWK Pro Cento Division Nro 19 3. Abteilung zum IR 37 Devinz transferiert und zum Artillerie Bespannung eingeteilt</t>
        </r>
        <r>
          <rPr>
            <sz val="14"/>
            <color rgb="FF000000"/>
            <rFont val="Times New Roman"/>
            <family val="18"/>
          </rPr>
          <t xml:space="preserve"> [TL May 1790 &amp; ST May 1790]</t>
        </r>
        <r>
          <rPr>
            <sz val="14"/>
            <color rgb="FF000000"/>
            <rFont val="Calibri"/>
            <family val="34"/>
          </rPr>
          <t xml:space="preserve">
</t>
        </r>
        <r>
          <rPr>
            <sz val="14"/>
            <color rgb="FF000000"/>
            <rFont val="Times New Roman"/>
            <family val="18"/>
          </rPr>
          <t xml:space="preserve">15/09/1790 </t>
        </r>
        <r>
          <rPr>
            <i/>
            <sz val="14"/>
            <color rgb="FF000000"/>
            <rFont val="Times New Roman"/>
            <family val="18"/>
          </rPr>
          <t xml:space="preserve">In Folge Hoher hofkriegsratlichen Rescript von 15. Aug 790 zu der Artillerie Fuhrwesen Reserve transferiert </t>
        </r>
        <r>
          <rPr>
            <sz val="14"/>
            <color rgb="FF000000"/>
            <rFont val="Times New Roman"/>
            <family val="18"/>
          </rPr>
          <t>[ST Sept 1790]</t>
        </r>
      </text>
    </comment>
    <comment ref="BG128" authorId="0" shapeId="0" xr:uid="{1EBDEC84-F1F4-5D45-8679-2DC6650C58AE}">
      <text>
        <r>
          <rPr>
            <sz val="14"/>
            <color rgb="FF000000"/>
            <rFont val="Times New Roman"/>
            <family val="18"/>
          </rPr>
          <t>ML 3417 IR 37 (1790) – May (Lemberg 27/07/1791), Sept (16/11/1791)</t>
        </r>
        <r>
          <rPr>
            <sz val="14"/>
            <color rgb="FF000000"/>
            <rFont val="Calibri"/>
            <family val="34"/>
          </rPr>
          <t xml:space="preserve">
</t>
        </r>
        <r>
          <rPr>
            <sz val="14"/>
            <color rgb="FF000000"/>
            <rFont val="Times New Roman"/>
            <family val="18"/>
          </rPr>
          <t>ML 3418 IR 37 (1790) AL/TL – MLWK-&gt;IR 37 Nr. 1 (Lemberg 01/05/1790)</t>
        </r>
        <r>
          <rPr>
            <sz val="14"/>
            <color rgb="FF000000"/>
            <rFont val="Calibri"/>
            <family val="34"/>
          </rPr>
          <t xml:space="preserve">
</t>
        </r>
      </text>
    </comment>
    <comment ref="BH128" authorId="0" shapeId="0" xr:uid="{453035C5-512D-1548-9B9C-898CFF88F8A4}">
      <text>
        <r>
          <rPr>
            <sz val="14"/>
            <color rgb="FF000000"/>
            <rFont val="Calibri"/>
            <family val="34"/>
          </rPr>
          <t>MFWK (1790)</t>
        </r>
      </text>
    </comment>
    <comment ref="BF129" authorId="0" shapeId="0" xr:uid="{9190DD34-7CF0-384C-AD0B-1752D15FD46C}">
      <text>
        <r>
          <rPr>
            <sz val="14"/>
            <color rgb="FF000000"/>
            <rFont val="Times New Roman"/>
            <family val="18"/>
          </rPr>
          <t xml:space="preserve">14/04/1790 </t>
        </r>
        <r>
          <rPr>
            <i/>
            <sz val="14"/>
            <color rgb="FF000000"/>
            <rFont val="Times New Roman"/>
            <family val="18"/>
          </rPr>
          <t xml:space="preserve">A 3Fl Handgeld assentiert </t>
        </r>
        <r>
          <rPr>
            <sz val="14"/>
            <color rgb="FF000000"/>
            <rFont val="Times New Roman"/>
            <family val="18"/>
          </rPr>
          <t>[TL April 1790]</t>
        </r>
        <r>
          <rPr>
            <sz val="14"/>
            <color rgb="FF000000"/>
            <rFont val="Calibri"/>
            <family val="34"/>
          </rPr>
          <t xml:space="preserve">
</t>
        </r>
        <r>
          <rPr>
            <sz val="14"/>
            <color rgb="FF000000"/>
            <rFont val="Times New Roman"/>
            <family val="18"/>
          </rPr>
          <t xml:space="preserve">01/05/1790 </t>
        </r>
        <r>
          <rPr>
            <i/>
            <sz val="14"/>
            <color rgb="FF000000"/>
            <rFont val="Times New Roman"/>
            <family val="18"/>
          </rPr>
          <t>Von MFWK Pro Cento Division Nro 19 3. Abteilung zum IR 37 Devinz transferiert und zum Proviant Fuhrwesen eingeteilt</t>
        </r>
        <r>
          <rPr>
            <sz val="14"/>
            <color rgb="FF000000"/>
            <rFont val="Times New Roman"/>
            <family val="18"/>
          </rPr>
          <t xml:space="preserve"> [TL April 1790 &amp; ST May 1790]</t>
        </r>
        <r>
          <rPr>
            <sz val="14"/>
            <color rgb="FF000000"/>
            <rFont val="Calibri"/>
            <family val="34"/>
          </rPr>
          <t xml:space="preserve">
</t>
        </r>
        <r>
          <rPr>
            <sz val="14"/>
            <color rgb="FF000000"/>
            <rFont val="Times New Roman"/>
            <family val="18"/>
          </rPr>
          <t xml:space="preserve">31/05/1790 </t>
        </r>
        <r>
          <rPr>
            <i/>
            <sz val="14"/>
            <color rgb="FF000000"/>
            <rFont val="Times New Roman"/>
            <family val="18"/>
          </rPr>
          <t>Von IR 37 Proviant Fuhrwesen zum Pro Cento Division Nro 19 transferiert</t>
        </r>
        <r>
          <rPr>
            <sz val="14"/>
            <color rgb="FF000000"/>
            <rFont val="Times New Roman"/>
            <family val="18"/>
          </rPr>
          <t xml:space="preserve"> [TL May 1790 &amp; ST May 1790]</t>
        </r>
      </text>
    </comment>
    <comment ref="BG129" authorId="0" shapeId="0" xr:uid="{A18B198C-9E4E-EB49-BE44-E2BE920F6475}">
      <text>
        <r>
          <rPr>
            <sz val="14"/>
            <color rgb="FF000000"/>
            <rFont val="Times New Roman"/>
            <family val="18"/>
          </rPr>
          <t>ML 3417 IR 37 (1790) – May (Lemberg 27/07/1791)</t>
        </r>
        <r>
          <rPr>
            <sz val="14"/>
            <color rgb="FF000000"/>
            <rFont val="Calibri"/>
            <family val="34"/>
          </rPr>
          <t xml:space="preserve">
</t>
        </r>
        <r>
          <rPr>
            <sz val="14"/>
            <color rgb="FF000000"/>
            <rFont val="Times New Roman"/>
            <family val="18"/>
          </rPr>
          <t xml:space="preserve">ML 3418 IR 37 (1790) AL/TL – MLWK-&gt;IR 37 Nr. 6 (Lemberg 30/04/1790), MLWK-&gt;IR 37 Nr. 3 (Lemberg 27/05/1790)
</t>
        </r>
      </text>
    </comment>
    <comment ref="BH129" authorId="0" shapeId="0" xr:uid="{9890EDB5-0359-0C42-B919-C4DA0A131719}">
      <text>
        <r>
          <rPr>
            <sz val="14"/>
            <color rgb="FF000000"/>
            <rFont val="Calibri"/>
            <family val="34"/>
          </rPr>
          <t>MFWK (1790)</t>
        </r>
      </text>
    </comment>
    <comment ref="BF130" authorId="0" shapeId="0" xr:uid="{D94A7C20-4121-F84C-87A0-4B404DE31C91}">
      <text>
        <r>
          <rPr>
            <sz val="14"/>
            <color rgb="FF000000"/>
            <rFont val="Times New Roman"/>
            <family val="18"/>
          </rPr>
          <t xml:space="preserve">15/04/1790 </t>
        </r>
        <r>
          <rPr>
            <i/>
            <sz val="14"/>
            <color rgb="FF000000"/>
            <rFont val="Times New Roman"/>
            <family val="18"/>
          </rPr>
          <t>A 3Fl Handgeld assentiert</t>
        </r>
        <r>
          <rPr>
            <sz val="14"/>
            <color rgb="FF000000"/>
            <rFont val="Times New Roman"/>
            <family val="18"/>
          </rPr>
          <t xml:space="preserve"> [TL 1790]</t>
        </r>
        <r>
          <rPr>
            <sz val="14"/>
            <color rgb="FF000000"/>
            <rFont val="Calibri"/>
            <family val="34"/>
          </rPr>
          <t xml:space="preserve">
</t>
        </r>
        <r>
          <rPr>
            <sz val="14"/>
            <color rgb="FF000000"/>
            <rFont val="Times New Roman"/>
            <family val="18"/>
          </rPr>
          <t xml:space="preserve">30/06/1790 </t>
        </r>
        <r>
          <rPr>
            <i/>
            <sz val="14"/>
            <color rgb="FF000000"/>
            <rFont val="Times New Roman"/>
            <family val="18"/>
          </rPr>
          <t>von MWFK 19. procento Division 3. Abtheilung zum IR 32 3RD Bataillon als Stückknecht transferiert</t>
        </r>
        <r>
          <rPr>
            <sz val="14"/>
            <color rgb="FF000000"/>
            <rFont val="Times New Roman"/>
            <family val="18"/>
          </rPr>
          <t xml:space="preserve"> [TL 1790]</t>
        </r>
        <r>
          <rPr>
            <sz val="14"/>
            <color rgb="FF000000"/>
            <rFont val="Calibri"/>
            <family val="34"/>
          </rPr>
          <t xml:space="preserve">
</t>
        </r>
        <r>
          <rPr>
            <sz val="14"/>
            <color rgb="FF000000"/>
            <rFont val="Times New Roman"/>
            <family val="18"/>
          </rPr>
          <t>01/07/1790 [In Dienst bis mindestens]</t>
        </r>
        <r>
          <rPr>
            <sz val="14"/>
            <color rgb="FF000000"/>
            <rFont val="Calibri"/>
            <family val="34"/>
          </rPr>
          <t xml:space="preserve">
</t>
        </r>
      </text>
    </comment>
    <comment ref="BG130" authorId="0" shapeId="0" xr:uid="{2661883B-EB52-934C-82B9-353C15E73EFD}">
      <text>
        <r>
          <rPr>
            <sz val="14"/>
            <color rgb="FF000000"/>
            <rFont val="Calibri"/>
            <family val="34"/>
          </rPr>
          <t xml:space="preserve">ML 2872 IR 32 (1790) – AL IR 32 Nr. 2 (Lemberg 29/06/1790)
</t>
        </r>
      </text>
    </comment>
    <comment ref="BH130" authorId="0" shapeId="0" xr:uid="{9E6BE1AD-0460-0C4C-B637-B0D895D803A8}">
      <text>
        <r>
          <rPr>
            <sz val="14"/>
            <color rgb="FF000000"/>
            <rFont val="Calibri"/>
            <family val="34"/>
          </rPr>
          <t>MFWK (1790)</t>
        </r>
      </text>
    </comment>
    <comment ref="BF131" authorId="0" shapeId="0" xr:uid="{0876C710-02F1-D94D-8F65-2A2787E2FE5A}">
      <text>
        <r>
          <rPr>
            <sz val="14"/>
            <color rgb="FF000000"/>
            <rFont val="Times New Roman"/>
            <family val="18"/>
          </rPr>
          <t xml:space="preserve">21/04/1790 </t>
        </r>
        <r>
          <rPr>
            <i/>
            <sz val="14"/>
            <color rgb="FF000000"/>
            <rFont val="Times New Roman"/>
            <family val="18"/>
          </rPr>
          <t xml:space="preserve">Von der MFWK Pro Cento Division Nro. 19 zum IR 13 Feld Bataillon transferiert und zum Proviant Fuhrwesen zugeteilt </t>
        </r>
        <r>
          <rPr>
            <sz val="14"/>
            <color rgb="FF000000"/>
            <rFont val="Times New Roman"/>
            <family val="18"/>
          </rPr>
          <t xml:space="preserve">[ST April 1790]
</t>
        </r>
        <r>
          <rPr>
            <sz val="14"/>
            <color rgb="FF000000"/>
            <rFont val="Times New Roman"/>
            <family val="18"/>
          </rPr>
          <t xml:space="preserve">12/11/1790 </t>
        </r>
        <r>
          <rPr>
            <i/>
            <sz val="14"/>
            <color rgb="FF000000"/>
            <rFont val="Times New Roman"/>
            <family val="18"/>
          </rPr>
          <t xml:space="preserve">In Folge General Commando Verordnung det. Herrmanstadt 23. 8bre 790 auf Unbestimmte Urlaub übersetzt </t>
        </r>
        <r>
          <rPr>
            <sz val="14"/>
            <color rgb="FF000000"/>
            <rFont val="Times New Roman"/>
            <family val="18"/>
          </rPr>
          <t>[ST Nov 1790]</t>
        </r>
      </text>
    </comment>
    <comment ref="BG131" authorId="0" shapeId="0" xr:uid="{72B87B4D-0170-A74B-B41C-C24700BBCC3F}">
      <text>
        <r>
          <rPr>
            <sz val="14"/>
            <color rgb="FF000000"/>
            <rFont val="Times New Roman"/>
            <family val="18"/>
          </rPr>
          <t xml:space="preserve">ML 10.070 IR 13 (1790) </t>
        </r>
        <r>
          <rPr>
            <sz val="14"/>
            <color rgb="FF000000"/>
            <rFont val="Times New Roman"/>
            <family val="18"/>
          </rPr>
          <t>– April (19/02/1791), Nov (23/05/1791)</t>
        </r>
      </text>
    </comment>
    <comment ref="BH131" authorId="0" shapeId="0" xr:uid="{75E74A12-7488-324F-89CA-5B77B3EBE074}">
      <text>
        <r>
          <rPr>
            <sz val="14"/>
            <color rgb="FF000000"/>
            <rFont val="Calibri"/>
            <family val="34"/>
          </rPr>
          <t>MFWK (1790)</t>
        </r>
      </text>
    </comment>
    <comment ref="BF132" authorId="0" shapeId="0" xr:uid="{0405799D-5E53-5E41-AB93-C604CCEBB3B3}">
      <text>
        <r>
          <rPr>
            <sz val="14"/>
            <color rgb="FF000000"/>
            <rFont val="Times New Roman"/>
            <family val="18"/>
          </rPr>
          <t xml:space="preserve">21/04/1790 </t>
        </r>
        <r>
          <rPr>
            <i/>
            <sz val="14"/>
            <color rgb="FF000000"/>
            <rFont val="Times New Roman"/>
            <family val="18"/>
          </rPr>
          <t xml:space="preserve">Von der MFWK Pro Cento Division Nro. 19 zum IR 13 Feld Bataillon transferiert und zum Proviant Fuhrwesen zugeteilt </t>
        </r>
        <r>
          <rPr>
            <sz val="14"/>
            <color rgb="FF000000"/>
            <rFont val="Times New Roman"/>
            <family val="18"/>
          </rPr>
          <t xml:space="preserve">[ST April 1790]
</t>
        </r>
        <r>
          <rPr>
            <sz val="14"/>
            <color rgb="FF000000"/>
            <rFont val="Times New Roman"/>
            <family val="18"/>
          </rPr>
          <t xml:space="preserve">12/11/1790 </t>
        </r>
        <r>
          <rPr>
            <i/>
            <sz val="14"/>
            <color rgb="FF000000"/>
            <rFont val="Times New Roman"/>
            <family val="18"/>
          </rPr>
          <t xml:space="preserve">In Folge General Commando Verordnung det. Herrmanstadt 23. 8bre 790 auf Unbestimmte Urlaub übersetzt </t>
        </r>
        <r>
          <rPr>
            <sz val="14"/>
            <color rgb="FF000000"/>
            <rFont val="Times New Roman"/>
            <family val="18"/>
          </rPr>
          <t>[ST Nov 1790]</t>
        </r>
      </text>
    </comment>
    <comment ref="BG132" authorId="0" shapeId="0" xr:uid="{571793CE-D2A0-A746-BE8B-CA82847F255B}">
      <text>
        <r>
          <rPr>
            <sz val="14"/>
            <color rgb="FF000000"/>
            <rFont val="Times New Roman"/>
            <family val="18"/>
          </rPr>
          <t xml:space="preserve">ML 10.070 IR 13 (1790) </t>
        </r>
        <r>
          <rPr>
            <sz val="14"/>
            <color rgb="FF000000"/>
            <rFont val="Times New Roman"/>
            <family val="18"/>
          </rPr>
          <t>– April (19/02/1791), Nov (23/05/1791)</t>
        </r>
      </text>
    </comment>
    <comment ref="BH132" authorId="0" shapeId="0" xr:uid="{DCD5ECC1-3C3F-7144-8630-17F97BA636F0}">
      <text>
        <r>
          <rPr>
            <sz val="14"/>
            <color rgb="FF000000"/>
            <rFont val="Calibri"/>
            <family val="34"/>
          </rPr>
          <t xml:space="preserve">MFWK (1790)
</t>
        </r>
      </text>
    </comment>
    <comment ref="BF133" authorId="0" shapeId="0" xr:uid="{08877C89-51EC-4141-BDE0-DBC293175E26}">
      <text>
        <r>
          <rPr>
            <sz val="14"/>
            <color rgb="FF000000"/>
            <rFont val="Times New Roman"/>
            <family val="18"/>
          </rPr>
          <t xml:space="preserve">30/04/1790 </t>
        </r>
        <r>
          <rPr>
            <i/>
            <sz val="14"/>
            <color rgb="FF000000"/>
            <rFont val="Times New Roman"/>
            <family val="18"/>
          </rPr>
          <t>Dient seit mindestens beim IR 33 Feld Bats Artillerie Bespannung</t>
        </r>
        <r>
          <rPr>
            <sz val="14"/>
            <color rgb="FF000000"/>
            <rFont val="Times New Roman"/>
            <family val="18"/>
          </rPr>
          <t xml:space="preserve"> [ST May 1790]</t>
        </r>
        <r>
          <rPr>
            <sz val="14"/>
            <color rgb="FF000000"/>
            <rFont val="Aptos"/>
            <family val="34"/>
          </rPr>
          <t xml:space="preserve">
</t>
        </r>
        <r>
          <rPr>
            <sz val="14"/>
            <color rgb="FF000000"/>
            <rFont val="Times New Roman"/>
            <family val="18"/>
          </rPr>
          <t xml:space="preserve">06/1790 </t>
        </r>
        <r>
          <rPr>
            <i/>
            <sz val="14"/>
            <color rgb="FF000000"/>
            <rFont val="Times New Roman"/>
            <family val="18"/>
          </rPr>
          <t>Montur Empfangen</t>
        </r>
        <r>
          <rPr>
            <sz val="14"/>
            <color rgb="FF000000"/>
            <rFont val="Times New Roman"/>
            <family val="18"/>
          </rPr>
          <t xml:space="preserve"> [TL June 1790]</t>
        </r>
        <r>
          <rPr>
            <sz val="14"/>
            <color rgb="FF000000"/>
            <rFont val="Aptos"/>
            <family val="34"/>
          </rPr>
          <t xml:space="preserve">
</t>
        </r>
        <r>
          <rPr>
            <sz val="14"/>
            <color rgb="FF000000"/>
            <rFont val="Times New Roman"/>
            <family val="18"/>
          </rPr>
          <t xml:space="preserve">27/06/1790 </t>
        </r>
        <r>
          <rPr>
            <i/>
            <sz val="14"/>
            <color rgb="FF000000"/>
            <rFont val="Times New Roman"/>
            <family val="18"/>
          </rPr>
          <t>Von loco desertiert</t>
        </r>
        <r>
          <rPr>
            <sz val="14"/>
            <color rgb="FF000000"/>
            <rFont val="Times New Roman"/>
            <family val="18"/>
          </rPr>
          <t xml:space="preserve"> [ST June 1790]</t>
        </r>
        <r>
          <rPr>
            <sz val="14"/>
            <color rgb="FF000000"/>
            <rFont val="Aptos"/>
            <family val="34"/>
          </rPr>
          <t xml:space="preserve">
</t>
        </r>
        <r>
          <rPr>
            <sz val="14"/>
            <color rgb="FF000000"/>
            <rFont val="Times New Roman"/>
            <family val="18"/>
          </rPr>
          <t xml:space="preserve">28/06/1790 </t>
        </r>
        <r>
          <rPr>
            <i/>
            <sz val="14"/>
            <color rgb="FF000000"/>
            <rFont val="Times New Roman"/>
            <family val="18"/>
          </rPr>
          <t>Per errorem in Abgang gebracht, jetzt wieder in Zuwachs</t>
        </r>
        <r>
          <rPr>
            <sz val="14"/>
            <color rgb="FF000000"/>
            <rFont val="Times New Roman"/>
            <family val="18"/>
          </rPr>
          <t xml:space="preserve"> [ST Oct 1790]</t>
        </r>
        <r>
          <rPr>
            <sz val="14"/>
            <color rgb="FF000000"/>
            <rFont val="Aptos"/>
            <family val="34"/>
          </rPr>
          <t xml:space="preserve">
</t>
        </r>
        <r>
          <rPr>
            <sz val="14"/>
            <color rgb="FF000000"/>
            <rFont val="Times New Roman"/>
            <family val="18"/>
          </rPr>
          <t xml:space="preserve">01/07/1790 </t>
        </r>
        <r>
          <rPr>
            <i/>
            <sz val="14"/>
            <color rgb="FF000000"/>
            <rFont val="Times New Roman"/>
            <family val="18"/>
          </rPr>
          <t>Ist mit auswärtiger Verpflegung bey der Artillerie Fuhrwesen Division Nro. 61 kommandiert</t>
        </r>
        <r>
          <rPr>
            <sz val="14"/>
            <color rgb="FF000000"/>
            <rFont val="Times New Roman"/>
            <family val="18"/>
          </rPr>
          <t xml:space="preserve"> [ST Oct 1790]</t>
        </r>
        <r>
          <rPr>
            <sz val="14"/>
            <color rgb="FF000000"/>
            <rFont val="Aptos"/>
            <family val="34"/>
          </rPr>
          <t xml:space="preserve">
</t>
        </r>
        <r>
          <rPr>
            <sz val="14"/>
            <color rgb="FF000000"/>
            <rFont val="Times New Roman"/>
            <family val="18"/>
          </rPr>
          <t xml:space="preserve">01/08/1790 </t>
        </r>
        <r>
          <rPr>
            <i/>
            <sz val="14"/>
            <color rgb="FF000000"/>
            <rFont val="Times New Roman"/>
            <family val="18"/>
          </rPr>
          <t>Wieder beim Regiment</t>
        </r>
        <r>
          <rPr>
            <sz val="14"/>
            <color rgb="FF000000"/>
            <rFont val="Times New Roman"/>
            <family val="18"/>
          </rPr>
          <t xml:space="preserve"> [ST Oct 1790]</t>
        </r>
        <r>
          <rPr>
            <sz val="14"/>
            <color rgb="FF000000"/>
            <rFont val="Aptos"/>
            <family val="34"/>
          </rPr>
          <t xml:space="preserve">
</t>
        </r>
        <r>
          <rPr>
            <sz val="14"/>
            <color rgb="FF000000"/>
            <rFont val="Times New Roman"/>
            <family val="18"/>
          </rPr>
          <t xml:space="preserve">15/08/1790 </t>
        </r>
        <r>
          <rPr>
            <i/>
            <sz val="14"/>
            <color rgb="FF000000"/>
            <rFont val="Times New Roman"/>
            <family val="18"/>
          </rPr>
          <t xml:space="preserve">Von IR 33 3. Bat. Artillerie Bespannung zum MFWK Artillerie Reserve transferiert </t>
        </r>
        <r>
          <rPr>
            <sz val="14"/>
            <color rgb="FF000000"/>
            <rFont val="Times New Roman"/>
            <family val="18"/>
          </rPr>
          <t>[ST Aug 1790]</t>
        </r>
      </text>
    </comment>
    <comment ref="BG133" authorId="0" shapeId="0" xr:uid="{B6CE2052-E292-AE4E-BDBF-1038EC57E1EE}">
      <text>
        <r>
          <rPr>
            <sz val="14"/>
            <color rgb="FF000000"/>
            <rFont val="Times New Roman"/>
            <family val="18"/>
          </rPr>
          <t>ML 2999 IR 30 (1790) – ST May (10/01/1792), June (Mecheln 07/02/1792), Oct (Mons 24/05/1791)</t>
        </r>
        <r>
          <rPr>
            <sz val="14"/>
            <color rgb="FF000000"/>
            <rFont val="Aptos"/>
            <family val="34"/>
          </rPr>
          <t xml:space="preserve">
</t>
        </r>
        <r>
          <rPr>
            <sz val="14"/>
            <color rgb="FF000000"/>
            <rFont val="Times New Roman"/>
            <family val="18"/>
          </rPr>
          <t>ML 3000 IR 33 (1790) AL/TL – TL IR 33-&gt;MLWK Nr. 3 (Wilitszka 16/08/1790)</t>
        </r>
        <r>
          <rPr>
            <sz val="14"/>
            <color rgb="FF000000"/>
            <rFont val="Aptos"/>
            <family val="34"/>
          </rPr>
          <t xml:space="preserve">
</t>
        </r>
      </text>
    </comment>
    <comment ref="BH133" authorId="0" shapeId="0" xr:uid="{EF3C9DD5-CB44-E54A-B88F-C321B5E6D096}">
      <text>
        <r>
          <rPr>
            <sz val="14"/>
            <color rgb="FF000000"/>
            <rFont val="Calibri"/>
            <family val="34"/>
          </rPr>
          <t>MFWK (1790)</t>
        </r>
      </text>
    </comment>
    <comment ref="BF134" authorId="0" shapeId="0" xr:uid="{5E14C3A8-4177-CA45-8C73-F0A0D1BB325E}">
      <text>
        <r>
          <rPr>
            <sz val="14"/>
            <color rgb="FF000000"/>
            <rFont val="Times New Roman"/>
            <family val="18"/>
          </rPr>
          <t xml:space="preserve">30/04/1790 </t>
        </r>
        <r>
          <rPr>
            <i/>
            <sz val="14"/>
            <color rgb="FF000000"/>
            <rFont val="Times New Roman"/>
            <family val="18"/>
          </rPr>
          <t>Dient Seit Mindestens bei IR 49 Feld Bats Proviant Fuhrwesen</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Von 49 Feld Bats Proviant Fuhrwesen zum MFWK transferiert</t>
        </r>
        <r>
          <rPr>
            <sz val="14"/>
            <color rgb="FF000000"/>
            <rFont val="Times New Roman"/>
            <family val="18"/>
          </rPr>
          <t xml:space="preserve"> [TL Oct 1790 &amp; ST Oct 1790</t>
        </r>
        <r>
          <rPr>
            <sz val="14"/>
            <color rgb="FF000000"/>
            <rFont val="+mn-lt"/>
            <charset val="1"/>
          </rPr>
          <t xml:space="preserve">]
</t>
        </r>
        <r>
          <rPr>
            <sz val="14"/>
            <color rgb="FF000000"/>
            <rFont val="+mn-lt"/>
            <charset val="1"/>
          </rPr>
          <t xml:space="preserve">
</t>
        </r>
      </text>
    </comment>
    <comment ref="BG134" authorId="0" shapeId="0" xr:uid="{2051F539-E3C7-3646-9D6F-3E8AFC10008A}">
      <text>
        <r>
          <rPr>
            <sz val="14"/>
            <color rgb="FF000000"/>
            <rFont val="Times New Roman"/>
            <family val="18"/>
          </rPr>
          <t>ML 4206 IR 49 (1790) – ST May (St Pölten 01/12/1792), Oct (30/10/1804)</t>
        </r>
        <r>
          <rPr>
            <sz val="14"/>
            <color rgb="FF000000"/>
            <rFont val="Calibri"/>
            <family val="34"/>
          </rPr>
          <t xml:space="preserve">
</t>
        </r>
        <r>
          <rPr>
            <sz val="14"/>
            <color rgb="FF000000"/>
            <rFont val="Times New Roman"/>
            <family val="18"/>
          </rPr>
          <t>ML 4207 IR 49 (1790) AL/TL – TL IR 49-&gt;MFWK Nr. 10 (Vienna 25/10/1790)</t>
        </r>
        <r>
          <rPr>
            <sz val="14"/>
            <color rgb="FF000000"/>
            <rFont val="Calibri"/>
            <family val="34"/>
          </rPr>
          <t xml:space="preserve">
</t>
        </r>
      </text>
    </comment>
    <comment ref="BH134" authorId="0" shapeId="0" xr:uid="{1501E04F-BFAD-8142-BD36-D6C4BB8AB447}">
      <text>
        <r>
          <rPr>
            <sz val="14"/>
            <color rgb="FF000000"/>
            <rFont val="Calibri"/>
            <family val="34"/>
          </rPr>
          <t>MFWK (1790)</t>
        </r>
      </text>
    </comment>
    <comment ref="BF135" authorId="0" shapeId="0" xr:uid="{B8A26F55-7C9C-BB48-8C12-08B8863EA235}">
      <text>
        <r>
          <rPr>
            <sz val="14"/>
            <color rgb="FF000000"/>
            <rFont val="Times New Roman"/>
            <family val="18"/>
          </rPr>
          <t xml:space="preserve">30/04/1790 </t>
        </r>
        <r>
          <rPr>
            <i/>
            <sz val="14"/>
            <color rgb="FF000000"/>
            <rFont val="Times New Roman"/>
            <family val="18"/>
          </rPr>
          <t>Dient seit mindestens beim IR 37 Feld Bats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15/09/1790 </t>
        </r>
        <r>
          <rPr>
            <i/>
            <sz val="14"/>
            <color rgb="FF000000"/>
            <rFont val="Times New Roman"/>
            <family val="18"/>
          </rPr>
          <t xml:space="preserve">In Folge Hoher hofkriegsratlichen Rescript von 15. Aug 790 zu der Artillerie Fuhrwesen Reserve transferiert </t>
        </r>
        <r>
          <rPr>
            <sz val="14"/>
            <color rgb="FF000000"/>
            <rFont val="Times New Roman"/>
            <family val="18"/>
          </rPr>
          <t>[ST Sept 1790]</t>
        </r>
        <r>
          <rPr>
            <sz val="14"/>
            <color rgb="FF000000"/>
            <rFont val="Calibri"/>
            <family val="34"/>
          </rPr>
          <t xml:space="preserve">
</t>
        </r>
      </text>
    </comment>
    <comment ref="BG135" authorId="0" shapeId="0" xr:uid="{2E595C8C-52D8-604A-942A-E797CBEBF760}">
      <text>
        <r>
          <rPr>
            <sz val="14"/>
            <color rgb="FF000000"/>
            <rFont val="Times New Roman"/>
            <family val="18"/>
          </rPr>
          <t xml:space="preserve">30/04/1790 </t>
        </r>
        <r>
          <rPr>
            <i/>
            <sz val="14"/>
            <color rgb="FF000000"/>
            <rFont val="Times New Roman"/>
            <family val="18"/>
          </rPr>
          <t>Dient seit mindestens beim IR 37 Feld Bats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15/09/1790 </t>
        </r>
        <r>
          <rPr>
            <i/>
            <sz val="14"/>
            <color rgb="FF000000"/>
            <rFont val="Times New Roman"/>
            <family val="18"/>
          </rPr>
          <t xml:space="preserve">In Folge Hoher hofkriegsratlichen Rescript von 15. Aug 790 zu der Artillerie Fuhrwesen Reserve transferiert </t>
        </r>
        <r>
          <rPr>
            <sz val="14"/>
            <color rgb="FF000000"/>
            <rFont val="Times New Roman"/>
            <family val="18"/>
          </rPr>
          <t>[ST Sept 1790]</t>
        </r>
        <r>
          <rPr>
            <sz val="14"/>
            <color rgb="FF000000"/>
            <rFont val="Calibri"/>
            <family val="34"/>
          </rPr>
          <t xml:space="preserve">
</t>
        </r>
      </text>
    </comment>
    <comment ref="BH135" authorId="0" shapeId="0" xr:uid="{99E06390-7FCF-5D4D-A4F6-CA2BB9C34BC0}">
      <text>
        <r>
          <rPr>
            <sz val="14"/>
            <color rgb="FF000000"/>
            <rFont val="Calibri"/>
            <family val="34"/>
          </rPr>
          <t>MFWK (1790)</t>
        </r>
      </text>
    </comment>
    <comment ref="BF136" authorId="0" shapeId="0" xr:uid="{11FD4EFD-E31A-E94D-8C36-C6CD1CDDBBE1}">
      <text>
        <r>
          <rPr>
            <sz val="14"/>
            <color rgb="FF000000"/>
            <rFont val="Times New Roman"/>
            <family val="18"/>
          </rPr>
          <t xml:space="preserve">30/04/1790 [Dient seit mindestens] </t>
        </r>
        <r>
          <rPr>
            <i/>
            <sz val="14"/>
            <color rgb="FF000000"/>
            <rFont val="Times New Roman"/>
            <family val="18"/>
          </rPr>
          <t>beim IR 29 3. Bataillon bei der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05/07/1790</t>
        </r>
        <r>
          <rPr>
            <i/>
            <sz val="14"/>
            <color rgb="FF000000"/>
            <rFont val="Times New Roman"/>
            <family val="18"/>
          </rPr>
          <t xml:space="preserve"> Krank im Spital zu Lemberg </t>
        </r>
        <r>
          <rPr>
            <sz val="14"/>
            <color rgb="FF000000"/>
            <rFont val="Times New Roman"/>
            <family val="18"/>
          </rPr>
          <t>[ST July 1790]</t>
        </r>
        <r>
          <rPr>
            <sz val="14"/>
            <color rgb="FF000000"/>
            <rFont val="Calibri"/>
            <family val="34"/>
          </rPr>
          <t xml:space="preserve">
</t>
        </r>
        <r>
          <rPr>
            <sz val="14"/>
            <color rgb="FF000000"/>
            <rFont val="Times New Roman"/>
            <family val="18"/>
          </rPr>
          <t xml:space="preserve">31/08/1790 </t>
        </r>
        <r>
          <rPr>
            <i/>
            <sz val="14"/>
            <color rgb="FF000000"/>
            <rFont val="Times New Roman"/>
            <family val="18"/>
          </rPr>
          <t xml:space="preserve">Zu folge Superarbitro und hierüber Entschließung H. G: T. O. G. Verordnung ddto Rzeszów am 19. August 790 mit Laufpaß entlassen </t>
        </r>
        <r>
          <rPr>
            <sz val="14"/>
            <color rgb="FF000000"/>
            <rFont val="Times New Roman"/>
            <family val="18"/>
          </rPr>
          <t>[TL Sept 1790]</t>
        </r>
        <r>
          <rPr>
            <sz val="14"/>
            <color rgb="FF000000"/>
            <rFont val="Calibri"/>
            <family val="34"/>
          </rPr>
          <t xml:space="preserve">
</t>
        </r>
      </text>
    </comment>
    <comment ref="BG136" authorId="0" shapeId="0" xr:uid="{EF34C37B-0572-C34D-B103-E58D31F1962B}">
      <text>
        <r>
          <rPr>
            <sz val="14"/>
            <color rgb="FF000000"/>
            <rFont val="Times New Roman"/>
            <family val="18"/>
          </rPr>
          <t xml:space="preserve">ML 2556 IR 29 (1790) </t>
        </r>
        <r>
          <rPr>
            <sz val="14"/>
            <color rgb="FF000000"/>
            <rFont val="Times New Roman"/>
            <family val="18"/>
          </rPr>
          <t>– ST May (Jarolsau 15/10/1790), July (09/09/1790), Sept (10/09/1790)</t>
        </r>
        <r>
          <rPr>
            <sz val="14"/>
            <color rgb="FF000000"/>
            <rFont val="Calibri"/>
            <family val="2"/>
            <scheme val="minor"/>
          </rPr>
          <t xml:space="preserve"> 
</t>
        </r>
      </text>
    </comment>
    <comment ref="BH136" authorId="0" shapeId="0" xr:uid="{455A7C47-6C11-AD40-844E-6A29B04D8DE0}">
      <text>
        <r>
          <rPr>
            <sz val="14"/>
            <color rgb="FF000000"/>
            <rFont val="Calibri"/>
            <family val="34"/>
          </rPr>
          <t>MFWK (1790)</t>
        </r>
      </text>
    </comment>
    <comment ref="BF137" authorId="0" shapeId="0" xr:uid="{C4CE9261-F750-8549-8DD4-CC1C0C872FD2}">
      <text>
        <r>
          <rPr>
            <sz val="14"/>
            <color rgb="FF000000"/>
            <rFont val="Times New Roman"/>
            <family val="18"/>
          </rPr>
          <t xml:space="preserve">30/04/1790 [Dient seit mindestens] </t>
        </r>
        <r>
          <rPr>
            <i/>
            <sz val="14"/>
            <color rgb="FF000000"/>
            <rFont val="Times New Roman"/>
            <family val="18"/>
          </rPr>
          <t>beim IR 29 3. Bataillon bei der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20/08/1790 </t>
        </r>
        <r>
          <rPr>
            <i/>
            <sz val="14"/>
            <color rgb="FF000000"/>
            <rFont val="Times New Roman"/>
            <family val="18"/>
          </rPr>
          <t xml:space="preserve">Krank im Spital zu Lemberg </t>
        </r>
        <r>
          <rPr>
            <sz val="14"/>
            <color rgb="FF000000"/>
            <rFont val="Times New Roman"/>
            <family val="18"/>
          </rPr>
          <t>[ST Aug 1790]</t>
        </r>
        <r>
          <rPr>
            <sz val="14"/>
            <color rgb="FF000000"/>
            <rFont val="Calibri"/>
            <family val="34"/>
          </rPr>
          <t xml:space="preserve">
</t>
        </r>
        <r>
          <rPr>
            <sz val="14"/>
            <color rgb="FF000000"/>
            <rFont val="Times New Roman"/>
            <family val="18"/>
          </rPr>
          <t xml:space="preserve">06/09/1790 </t>
        </r>
        <r>
          <rPr>
            <i/>
            <sz val="14"/>
            <color rgb="FF000000"/>
            <rFont val="Times New Roman"/>
            <family val="18"/>
          </rPr>
          <t>Rekonvalesziert</t>
        </r>
        <r>
          <rPr>
            <sz val="14"/>
            <color rgb="FF000000"/>
            <rFont val="Times New Roman"/>
            <family val="18"/>
          </rPr>
          <t xml:space="preserve"> [ST Sept 1790]</t>
        </r>
        <r>
          <rPr>
            <sz val="14"/>
            <color rgb="FF000000"/>
            <rFont val="Calibri"/>
            <family val="34"/>
          </rPr>
          <t xml:space="preserve">
</t>
        </r>
        <r>
          <rPr>
            <sz val="14"/>
            <color rgb="FF000000"/>
            <rFont val="Times New Roman"/>
            <family val="18"/>
          </rPr>
          <t xml:space="preserve">16/09/1790 </t>
        </r>
        <r>
          <rPr>
            <i/>
            <sz val="14"/>
            <color rgb="FF000000"/>
            <rFont val="Times New Roman"/>
            <family val="18"/>
          </rPr>
          <t xml:space="preserve">Zu Folge hohen galizischen Truppenkorps General Ober Kommando Verordnung ddto Rzeszów dem 22. August 790 Artillerie Fuhrwesen Bespannung Division Nr. 61 transferiert </t>
        </r>
        <r>
          <rPr>
            <sz val="14"/>
            <color rgb="FF000000"/>
            <rFont val="Times New Roman"/>
            <family val="18"/>
          </rPr>
          <t>[ST Sept 1790]</t>
        </r>
        <r>
          <rPr>
            <sz val="14"/>
            <color rgb="FF000000"/>
            <rFont val="Calibri"/>
            <family val="34"/>
          </rPr>
          <t xml:space="preserve">
</t>
        </r>
      </text>
    </comment>
    <comment ref="BG137" authorId="0" shapeId="0" xr:uid="{2D45FD17-0A70-EF4E-A9F6-48C26C10C835}">
      <text>
        <r>
          <rPr>
            <sz val="14"/>
            <color rgb="FF000000"/>
            <rFont val="Times New Roman"/>
            <family val="18"/>
          </rPr>
          <t>ML 2556 IR 29 (1790) – ST May (Jarolsau 15/10/1790), Aug (Jaroslau 25/11/1790), Sept (10/09/1790)</t>
        </r>
        <r>
          <rPr>
            <sz val="14"/>
            <color rgb="FF000000"/>
            <rFont val="Calibri"/>
            <family val="34"/>
          </rPr>
          <t xml:space="preserve">
</t>
        </r>
      </text>
    </comment>
    <comment ref="BH137" authorId="0" shapeId="0" xr:uid="{7D7B1503-30D4-5949-AD17-F72A30166BAE}">
      <text>
        <r>
          <rPr>
            <sz val="14"/>
            <color rgb="FF000000"/>
            <rFont val="Calibri"/>
            <family val="34"/>
          </rPr>
          <t>MFWK (1790)</t>
        </r>
      </text>
    </comment>
    <comment ref="BF138" authorId="0" shapeId="0" xr:uid="{B3BEC464-FAC0-A041-A264-81E2BCC2A646}">
      <text>
        <r>
          <rPr>
            <sz val="14"/>
            <color rgb="FF000000"/>
            <rFont val="Times New Roman"/>
            <family val="18"/>
          </rPr>
          <t xml:space="preserve">30/04/1790 </t>
        </r>
        <r>
          <rPr>
            <i/>
            <sz val="14"/>
            <color rgb="FF000000"/>
            <rFont val="Times New Roman"/>
            <family val="18"/>
          </rPr>
          <t>Dient seit mindestens beim IR 37 Feld Bats Proviant Fuhrwesen</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09/11/1790 </t>
        </r>
        <r>
          <rPr>
            <i/>
            <sz val="14"/>
            <color rgb="FF000000"/>
            <rFont val="Times New Roman"/>
            <family val="18"/>
          </rPr>
          <t>In loco Verpflegung auf dem Marsch desertiert</t>
        </r>
        <r>
          <rPr>
            <sz val="14"/>
            <color rgb="FF000000"/>
            <rFont val="Times New Roman"/>
            <family val="18"/>
          </rPr>
          <t xml:space="preserve"> [ST Nov 1790]</t>
        </r>
        <r>
          <rPr>
            <sz val="14"/>
            <color rgb="FF000000"/>
            <rFont val="+mn-lt"/>
            <charset val="1"/>
          </rPr>
          <t xml:space="preserve">
</t>
        </r>
      </text>
    </comment>
    <comment ref="BG138" authorId="0" shapeId="0" xr:uid="{BDA14A04-10ED-B846-998D-A77A91B96714}">
      <text>
        <r>
          <rPr>
            <sz val="14"/>
            <color rgb="FF000000"/>
            <rFont val="Times New Roman"/>
            <family val="18"/>
          </rPr>
          <t>ML 3417 IR 37 (1790) – May (Lemberg 27/07/1791), Nov (24/11/1791)</t>
        </r>
        <r>
          <rPr>
            <sz val="14"/>
            <color rgb="FF000000"/>
            <rFont val="Calibri"/>
            <family val="34"/>
          </rPr>
          <t xml:space="preserve">
</t>
        </r>
      </text>
    </comment>
    <comment ref="BH138" authorId="0" shapeId="0" xr:uid="{BBBB0951-C1A8-0843-BC85-8C8D16725185}">
      <text>
        <r>
          <rPr>
            <sz val="14"/>
            <color rgb="FF000000"/>
            <rFont val="Calibri"/>
            <family val="34"/>
          </rPr>
          <t>MFWK (1790)</t>
        </r>
      </text>
    </comment>
    <comment ref="BF139" authorId="0" shapeId="0" xr:uid="{0CE8839F-3B1A-C548-B815-84C8BFF8FFD5}">
      <text>
        <r>
          <rPr>
            <sz val="14"/>
            <color rgb="FF000000"/>
            <rFont val="Times New Roman"/>
            <family val="18"/>
          </rPr>
          <t xml:space="preserve">30/04/1790 </t>
        </r>
        <r>
          <rPr>
            <i/>
            <sz val="14"/>
            <color rgb="FF000000"/>
            <rFont val="Times New Roman"/>
            <family val="18"/>
          </rPr>
          <t>Dient seit mindestens beim IR 37 Feld Bats beim Grenadier Division Proviant Fuhrwesen</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20/08/1790 </t>
        </r>
        <r>
          <rPr>
            <i/>
            <sz val="14"/>
            <color rgb="FF000000"/>
            <rFont val="Times New Roman"/>
            <family val="18"/>
          </rPr>
          <t xml:space="preserve">Von Morzin Grenadier Bataillon zum MFWK Pro Cento Divisio Nro 92 transferiert </t>
        </r>
        <r>
          <rPr>
            <sz val="14"/>
            <color rgb="FF000000"/>
            <rFont val="Times New Roman"/>
            <family val="18"/>
          </rPr>
          <t>[TL Aug 1790]</t>
        </r>
        <r>
          <rPr>
            <sz val="14"/>
            <color rgb="FF000000"/>
            <rFont val="Calibri"/>
            <family val="34"/>
          </rPr>
          <t xml:space="preserve">
</t>
        </r>
      </text>
    </comment>
    <comment ref="BG139" authorId="0" shapeId="0" xr:uid="{3C7A74A8-316F-2B4B-BC70-BD13381BCFB5}">
      <text>
        <r>
          <rPr>
            <sz val="14"/>
            <color rgb="FF000000"/>
            <rFont val="Times New Roman"/>
            <family val="18"/>
          </rPr>
          <t xml:space="preserve">30/04/1790 </t>
        </r>
        <r>
          <rPr>
            <i/>
            <sz val="14"/>
            <color rgb="FF000000"/>
            <rFont val="Times New Roman"/>
            <family val="18"/>
          </rPr>
          <t>Dient seit mindestens beim IR 37 Feld Bats beim Grenadier Division Proviant Fuhrwesen</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20/08/1790 </t>
        </r>
        <r>
          <rPr>
            <i/>
            <sz val="14"/>
            <color rgb="FF000000"/>
            <rFont val="Times New Roman"/>
            <family val="18"/>
          </rPr>
          <t xml:space="preserve">Von Morzin Grenadier Bataillon zum MFWK Pro Cento Divisio Nro 92 transferiert </t>
        </r>
        <r>
          <rPr>
            <sz val="14"/>
            <color rgb="FF000000"/>
            <rFont val="Times New Roman"/>
            <family val="18"/>
          </rPr>
          <t>[TL Aug 1790]</t>
        </r>
        <r>
          <rPr>
            <sz val="14"/>
            <color rgb="FF000000"/>
            <rFont val="Calibri"/>
            <family val="34"/>
          </rPr>
          <t xml:space="preserve">
</t>
        </r>
      </text>
    </comment>
    <comment ref="BH139" authorId="0" shapeId="0" xr:uid="{BE6CAEF9-95AF-B64D-B527-05B720C5CDFD}">
      <text>
        <r>
          <rPr>
            <sz val="14"/>
            <color rgb="FF000000"/>
            <rFont val="Calibri"/>
            <family val="34"/>
          </rPr>
          <t>MFWK (1790)</t>
        </r>
      </text>
    </comment>
    <comment ref="BF140" authorId="0" shapeId="0" xr:uid="{4B4B043F-61C7-9040-86BD-D0FA928D59D3}">
      <text>
        <r>
          <rPr>
            <sz val="14"/>
            <color rgb="FF000000"/>
            <rFont val="Times New Roman"/>
            <family val="18"/>
          </rPr>
          <t xml:space="preserve">30/04/1790 [Dient seit mindestens] </t>
        </r>
        <r>
          <rPr>
            <i/>
            <sz val="14"/>
            <color rgb="FF000000"/>
            <rFont val="Times New Roman"/>
            <family val="18"/>
          </rPr>
          <t>beim IR 29 3. Bataillon bei der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??/08/1790 </t>
        </r>
        <r>
          <rPr>
            <i/>
            <sz val="14"/>
            <color rgb="FF000000"/>
            <rFont val="Times New Roman"/>
            <family val="18"/>
          </rPr>
          <t xml:space="preserve">Krank im Spital zu Lemberg </t>
        </r>
        <r>
          <rPr>
            <sz val="14"/>
            <color rgb="FF000000"/>
            <rFont val="Times New Roman"/>
            <family val="18"/>
          </rPr>
          <t>[ST Aug 1790]</t>
        </r>
        <r>
          <rPr>
            <sz val="14"/>
            <color rgb="FF000000"/>
            <rFont val="Calibri"/>
            <family val="34"/>
          </rPr>
          <t xml:space="preserve">
</t>
        </r>
        <r>
          <rPr>
            <sz val="14"/>
            <color rgb="FF000000"/>
            <rFont val="Times New Roman"/>
            <family val="18"/>
          </rPr>
          <t xml:space="preserve">31/08/1790 </t>
        </r>
        <r>
          <rPr>
            <i/>
            <sz val="14"/>
            <color rgb="FF000000"/>
            <rFont val="Times New Roman"/>
            <family val="18"/>
          </rPr>
          <t>Rekonvalesziert</t>
        </r>
        <r>
          <rPr>
            <sz val="14"/>
            <color rgb="FF000000"/>
            <rFont val="Times New Roman"/>
            <family val="18"/>
          </rPr>
          <t xml:space="preserve"> [ST Sept 1790]</t>
        </r>
        <r>
          <rPr>
            <sz val="14"/>
            <color rgb="FF000000"/>
            <rFont val="Calibri"/>
            <family val="34"/>
          </rPr>
          <t xml:space="preserve">
</t>
        </r>
        <r>
          <rPr>
            <sz val="14"/>
            <color rgb="FF000000"/>
            <rFont val="Times New Roman"/>
            <family val="18"/>
          </rPr>
          <t xml:space="preserve">16/09/1790 </t>
        </r>
        <r>
          <rPr>
            <i/>
            <sz val="14"/>
            <color rgb="FF000000"/>
            <rFont val="Times New Roman"/>
            <family val="18"/>
          </rPr>
          <t xml:space="preserve">Zu Folge hohen galizischen Truppenkorps General Ober Kommando Verordnung ddeto Rzeszów dem 22. August 790 Artillerie Fuhrwesen Bespannung Division Nr. 61 transferiert </t>
        </r>
        <r>
          <rPr>
            <sz val="14"/>
            <color rgb="FF000000"/>
            <rFont val="Times New Roman"/>
            <family val="18"/>
          </rPr>
          <t>[ST Sept 1790]</t>
        </r>
        <r>
          <rPr>
            <sz val="14"/>
            <color rgb="FF000000"/>
            <rFont val="Calibri"/>
            <family val="34"/>
          </rPr>
          <t xml:space="preserve">
</t>
        </r>
      </text>
    </comment>
    <comment ref="BG140" authorId="0" shapeId="0" xr:uid="{2FD7CC37-1723-5B4E-9EBD-D51782E4B511}">
      <text>
        <r>
          <rPr>
            <sz val="14"/>
            <color rgb="FF000000"/>
            <rFont val="Times New Roman"/>
            <family val="18"/>
          </rPr>
          <t xml:space="preserve">ML 2556 IR 29 (1790) </t>
        </r>
        <r>
          <rPr>
            <sz val="14"/>
            <color rgb="FF000000"/>
            <rFont val="Times New Roman"/>
            <family val="18"/>
          </rPr>
          <t>– ST May (Jarolsau 15/10/1790), Aug (Jaroslau 25/11/1790), Sept (10/09/1790)</t>
        </r>
        <r>
          <rPr>
            <sz val="14"/>
            <color rgb="FF000000"/>
            <rFont val="Calibri"/>
            <family val="34"/>
          </rPr>
          <t xml:space="preserve">
</t>
        </r>
      </text>
    </comment>
    <comment ref="BH140" authorId="0" shapeId="0" xr:uid="{98E67019-5F2F-354F-95AB-E9C6EE1E16CA}">
      <text>
        <r>
          <rPr>
            <sz val="14"/>
            <color rgb="FF000000"/>
            <rFont val="Calibri"/>
            <family val="34"/>
          </rPr>
          <t>MFWK (1790)</t>
        </r>
      </text>
    </comment>
    <comment ref="BF141" authorId="0" shapeId="0" xr:uid="{E3F5B554-E278-744C-BBF9-3791CB291DA0}">
      <text>
        <r>
          <rPr>
            <sz val="14"/>
            <color rgb="FF000000"/>
            <rFont val="Times New Roman"/>
            <family val="18"/>
          </rPr>
          <t xml:space="preserve">30/04/1790 </t>
        </r>
        <r>
          <rPr>
            <i/>
            <sz val="14"/>
            <color rgb="FF000000"/>
            <rFont val="Times New Roman"/>
            <family val="18"/>
          </rPr>
          <t xml:space="preserve">Dient Seit Mindestens bei IR 49 Feld Bats Proviant Fuhrwesen </t>
        </r>
        <r>
          <rPr>
            <sz val="14"/>
            <color rgb="FF000000"/>
            <rFont val="Times New Roman"/>
            <family val="18"/>
          </rPr>
          <t>[ST May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Von 49 Feld Bats Proviant Fuhrwesen zum MFWK transferiert</t>
        </r>
        <r>
          <rPr>
            <sz val="14"/>
            <color rgb="FF000000"/>
            <rFont val="Times New Roman"/>
            <family val="18"/>
          </rPr>
          <t xml:space="preserve"> [TL Oct 1790 &amp; ST Oct 1790]</t>
        </r>
        <r>
          <rPr>
            <sz val="14"/>
            <color rgb="FF000000"/>
            <rFont val="+mn-lt"/>
            <charset val="1"/>
          </rPr>
          <t xml:space="preserve">]
</t>
        </r>
      </text>
    </comment>
    <comment ref="BG141" authorId="0" shapeId="0" xr:uid="{5222FD37-42F2-3F43-89C9-4C2AC39603FF}">
      <text>
        <r>
          <rPr>
            <sz val="14"/>
            <color rgb="FF000000"/>
            <rFont val="Times New Roman"/>
            <family val="18"/>
          </rPr>
          <t>ML 4206 IR 49 (1790) – ST May (St Pölten 01/12/1792), Oct (30/10/1804)</t>
        </r>
        <r>
          <rPr>
            <sz val="14"/>
            <color rgb="FF000000"/>
            <rFont val="Calibri"/>
            <family val="34"/>
          </rPr>
          <t xml:space="preserve">
</t>
        </r>
        <r>
          <rPr>
            <sz val="14"/>
            <color rgb="FF000000"/>
            <rFont val="Times New Roman"/>
            <family val="18"/>
          </rPr>
          <t>ML 4207 IR 49 (1790) AL/TL – TL IR 49-&gt;MFWK Nr. 12 (Vienna 25/10/1790)</t>
        </r>
        <r>
          <rPr>
            <sz val="14"/>
            <color rgb="FF000000"/>
            <rFont val="Calibri"/>
            <family val="34"/>
          </rPr>
          <t xml:space="preserve">
</t>
        </r>
      </text>
    </comment>
    <comment ref="BH141" authorId="0" shapeId="0" xr:uid="{E86A0D8D-1850-484A-9EAA-D15A6A1F2C31}">
      <text>
        <r>
          <rPr>
            <sz val="14"/>
            <color rgb="FF000000"/>
            <rFont val="Calibri"/>
            <family val="34"/>
          </rPr>
          <t>MFWK (1790)</t>
        </r>
      </text>
    </comment>
    <comment ref="BF142" authorId="0" shapeId="0" xr:uid="{5783A799-9C10-6148-A6E2-342F421B0AA4}">
      <text>
        <r>
          <rPr>
            <sz val="14"/>
            <color rgb="FF000000"/>
            <rFont val="Times New Roman"/>
            <family val="18"/>
          </rPr>
          <t xml:space="preserve">30/04/1790 </t>
        </r>
        <r>
          <rPr>
            <i/>
            <sz val="14"/>
            <color rgb="FF000000"/>
            <rFont val="Times New Roman"/>
            <family val="18"/>
          </rPr>
          <t>Dient seit mindestens beim IR 33 Feld Bats Artillerie Bespannung</t>
        </r>
        <r>
          <rPr>
            <sz val="14"/>
            <color rgb="FF000000"/>
            <rFont val="Times New Roman"/>
            <family val="18"/>
          </rPr>
          <t xml:space="preserve"> [ST May 1790]</t>
        </r>
        <r>
          <rPr>
            <sz val="14"/>
            <color rgb="FF000000"/>
            <rFont val="Aptos"/>
            <family val="34"/>
          </rPr>
          <t xml:space="preserve">
</t>
        </r>
        <r>
          <rPr>
            <sz val="14"/>
            <color rgb="FF000000"/>
            <rFont val="Times New Roman"/>
            <family val="18"/>
          </rPr>
          <t xml:space="preserve">06/1790 </t>
        </r>
        <r>
          <rPr>
            <i/>
            <sz val="14"/>
            <color rgb="FF000000"/>
            <rFont val="Times New Roman"/>
            <family val="18"/>
          </rPr>
          <t>Montur Empfangen</t>
        </r>
        <r>
          <rPr>
            <sz val="14"/>
            <color rgb="FF000000"/>
            <rFont val="Times New Roman"/>
            <family val="18"/>
          </rPr>
          <t xml:space="preserve"> [TL June 1790]</t>
        </r>
        <r>
          <rPr>
            <sz val="14"/>
            <color rgb="FF000000"/>
            <rFont val="Aptos"/>
            <family val="34"/>
          </rPr>
          <t xml:space="preserve">
</t>
        </r>
        <r>
          <rPr>
            <sz val="14"/>
            <color rgb="FF000000"/>
            <rFont val="Times New Roman"/>
            <family val="18"/>
          </rPr>
          <t xml:space="preserve">30/06/1790 </t>
        </r>
        <r>
          <rPr>
            <i/>
            <sz val="14"/>
            <color rgb="FF000000"/>
            <rFont val="Times New Roman"/>
            <family val="18"/>
          </rPr>
          <t>Von IR 33 Feld Bats Artillerie Bespannung zum MFWK transferiert</t>
        </r>
        <r>
          <rPr>
            <sz val="14"/>
            <color rgb="FF000000"/>
            <rFont val="Times New Roman"/>
            <family val="18"/>
          </rPr>
          <t xml:space="preserve"> [ST July 1790]</t>
        </r>
        <r>
          <rPr>
            <sz val="14"/>
            <color rgb="FF000000"/>
            <rFont val="Aptos"/>
            <family val="34"/>
          </rPr>
          <t xml:space="preserve">
</t>
        </r>
        <r>
          <rPr>
            <sz val="14"/>
            <color rgb="FF000000"/>
            <rFont val="Times New Roman"/>
            <family val="18"/>
          </rPr>
          <t xml:space="preserve">01/07/1790 </t>
        </r>
        <r>
          <rPr>
            <i/>
            <sz val="14"/>
            <color rgb="FF000000"/>
            <rFont val="Times New Roman"/>
            <family val="18"/>
          </rPr>
          <t>Per errorem in Abgang gebracht, jetzt wieder in Zuwachs und ist mit auswärtiger Verpflegung bey der Artillerie Fuhrwesen Division Nro. 61 kommandiert</t>
        </r>
        <r>
          <rPr>
            <sz val="14"/>
            <color rgb="FF000000"/>
            <rFont val="Times New Roman"/>
            <family val="18"/>
          </rPr>
          <t xml:space="preserve"> [ST July 1790 &amp; ST Oct 1790]</t>
        </r>
        <r>
          <rPr>
            <sz val="14"/>
            <color rgb="FF000000"/>
            <rFont val="Aptos"/>
            <family val="34"/>
          </rPr>
          <t xml:space="preserve">
</t>
        </r>
        <r>
          <rPr>
            <sz val="14"/>
            <color rgb="FF000000"/>
            <rFont val="Times New Roman"/>
            <family val="18"/>
          </rPr>
          <t xml:space="preserve">01/08/1790 </t>
        </r>
        <r>
          <rPr>
            <i/>
            <sz val="14"/>
            <color rgb="FF000000"/>
            <rFont val="Times New Roman"/>
            <family val="18"/>
          </rPr>
          <t>Wieder beim Regiment</t>
        </r>
        <r>
          <rPr>
            <sz val="14"/>
            <color rgb="FF000000"/>
            <rFont val="Times New Roman"/>
            <family val="18"/>
          </rPr>
          <t xml:space="preserve"> [ST Oct 1790]</t>
        </r>
        <r>
          <rPr>
            <sz val="14"/>
            <color rgb="FF000000"/>
            <rFont val="Aptos"/>
            <family val="34"/>
          </rPr>
          <t xml:space="preserve">
</t>
        </r>
        <r>
          <rPr>
            <sz val="14"/>
            <color rgb="FF000000"/>
            <rFont val="Times New Roman"/>
            <family val="18"/>
          </rPr>
          <t xml:space="preserve">15/08/1790 </t>
        </r>
        <r>
          <rPr>
            <i/>
            <sz val="14"/>
            <color rgb="FF000000"/>
            <rFont val="Times New Roman"/>
            <family val="18"/>
          </rPr>
          <t xml:space="preserve">Von IR 33 3. Bat. Artillerie Bespannung zum MFWK Artillerie Reserve transferiert </t>
        </r>
        <r>
          <rPr>
            <sz val="14"/>
            <color rgb="FF000000"/>
            <rFont val="Times New Roman"/>
            <family val="18"/>
          </rPr>
          <t>[TL Aug 1790]</t>
        </r>
        <r>
          <rPr>
            <b/>
            <sz val="14"/>
            <color rgb="FF000000"/>
            <rFont val="Times New Roman"/>
            <family val="18"/>
          </rPr>
          <t xml:space="preserve"> </t>
        </r>
        <r>
          <rPr>
            <sz val="14"/>
            <color rgb="FF000000"/>
            <rFont val="Aptos"/>
            <family val="34"/>
          </rPr>
          <t xml:space="preserve">
</t>
        </r>
      </text>
    </comment>
    <comment ref="BG142" authorId="0" shapeId="0" xr:uid="{7C14CF84-E0B3-C44F-BF32-8E3DCEE23138}">
      <text>
        <r>
          <rPr>
            <sz val="14"/>
            <color rgb="FF000000"/>
            <rFont val="Times New Roman"/>
            <family val="18"/>
          </rPr>
          <t>ML 2999 IR 33 (1790) – ST May (10/01/1792), July (Malines 05/03/1792), Oct  (Mons 24/05/1791)</t>
        </r>
        <r>
          <rPr>
            <sz val="14"/>
            <color rgb="FF000000"/>
            <rFont val="Aptos"/>
            <family val="34"/>
          </rPr>
          <t xml:space="preserve">
</t>
        </r>
        <r>
          <rPr>
            <sz val="14"/>
            <color rgb="FF000000"/>
            <rFont val="Times New Roman"/>
            <family val="18"/>
          </rPr>
          <t>ML 3000 IR 33 (1790) AL/TL – TL IR 33-&gt;MLWK Nr. 4 (Wilitszka 16/08/1790)</t>
        </r>
        <r>
          <rPr>
            <sz val="14"/>
            <color rgb="FF000000"/>
            <rFont val="Aptos"/>
            <family val="34"/>
          </rPr>
          <t xml:space="preserve">
</t>
        </r>
      </text>
    </comment>
    <comment ref="BH142" authorId="0" shapeId="0" xr:uid="{4F578FE5-6E06-D542-BBC8-0636375460EF}">
      <text>
        <r>
          <rPr>
            <sz val="14"/>
            <color rgb="FF000000"/>
            <rFont val="Calibri"/>
            <family val="34"/>
          </rPr>
          <t>MFWK (1790)</t>
        </r>
      </text>
    </comment>
    <comment ref="BF143" authorId="0" shapeId="0" xr:uid="{440E508E-61A4-AE4A-9C3D-284C853EDFE8}">
      <text>
        <r>
          <rPr>
            <sz val="14"/>
            <color rgb="FF000000"/>
            <rFont val="Times New Roman"/>
            <family val="18"/>
          </rPr>
          <t xml:space="preserve">In 02/1790 </t>
        </r>
        <r>
          <rPr>
            <i/>
            <sz val="14"/>
            <color rgb="FF000000"/>
            <rFont val="Times New Roman"/>
            <family val="18"/>
          </rPr>
          <t xml:space="preserve">Von Gallizischen Standen gestellt </t>
        </r>
        <r>
          <rPr>
            <sz val="14"/>
            <color rgb="FF000000"/>
            <rFont val="Times New Roman"/>
            <family val="18"/>
          </rPr>
          <t xml:space="preserve">[TL April 1790]
</t>
        </r>
        <r>
          <rPr>
            <sz val="14"/>
            <color rgb="FF000000"/>
            <rFont val="Times New Roman"/>
            <family val="18"/>
          </rPr>
          <t xml:space="preserve">01/05/1790 </t>
        </r>
        <r>
          <rPr>
            <i/>
            <sz val="14"/>
            <color rgb="FF000000"/>
            <rFont val="Times New Roman"/>
            <family val="18"/>
          </rPr>
          <t>Von MFWK pro Cento Division Nr. 19 zum IR 43 transferiert und zum Artillerie Bespannung zugeteilt</t>
        </r>
        <r>
          <rPr>
            <sz val="14"/>
            <color rgb="FF000000"/>
            <rFont val="Times New Roman"/>
            <family val="18"/>
          </rPr>
          <t xml:space="preserve"> [TL April 1790 &amp; ST May 1790]
</t>
        </r>
        <r>
          <rPr>
            <sz val="14"/>
            <color rgb="FF000000"/>
            <rFont val="Times New Roman"/>
            <family val="18"/>
          </rPr>
          <t xml:space="preserve">22/08/1790 </t>
        </r>
        <r>
          <rPr>
            <i/>
            <sz val="14"/>
            <color rgb="FF000000"/>
            <rFont val="Times New Roman"/>
            <family val="18"/>
          </rPr>
          <t xml:space="preserve">Von IR 43 Artillerie Bespannung zum Konigl. Fuhrwesens artillerie Reserve abgegaben </t>
        </r>
        <r>
          <rPr>
            <sz val="14"/>
            <color rgb="FF000000"/>
            <rFont val="Times New Roman"/>
            <family val="18"/>
          </rPr>
          <t xml:space="preserve">[TL Aug 1790 &amp; ST Aug 1790]
</t>
        </r>
        <r>
          <rPr>
            <sz val="14"/>
            <color rgb="FF000000"/>
            <rFont val="+mn-lt"/>
            <charset val="1"/>
          </rPr>
          <t xml:space="preserve">]
</t>
        </r>
      </text>
    </comment>
    <comment ref="BG143" authorId="0" shapeId="0" xr:uid="{48C9B2FF-56E8-7640-A062-5710F0DE13D7}">
      <text>
        <r>
          <rPr>
            <sz val="14"/>
            <color rgb="FF000000"/>
            <rFont val="Calibri"/>
            <family val="34"/>
          </rPr>
          <t>ML 10.296 IR 43 (1790) ST Oct FELD Proviant Fuhrwesen - Abgang (19/12/1790)</t>
        </r>
      </text>
    </comment>
    <comment ref="BH143" authorId="0" shapeId="0" xr:uid="{1D8FCBDD-AFC4-7A43-A5B7-4D71F5F9CF9F}">
      <text>
        <r>
          <rPr>
            <sz val="14"/>
            <color rgb="FF000000"/>
            <rFont val="Calibri"/>
            <family val="34"/>
          </rPr>
          <t>MFWK (1790)</t>
        </r>
      </text>
    </comment>
    <comment ref="BF144" authorId="0" shapeId="0" xr:uid="{DD4A2D9C-5F4E-A84E-9E36-B55F35CC3E41}">
      <text>
        <r>
          <rPr>
            <sz val="14"/>
            <color rgb="FF000000"/>
            <rFont val="Times New Roman"/>
            <family val="18"/>
          </rPr>
          <t xml:space="preserve">09/05/1789 [SIC!] 1790 </t>
        </r>
        <r>
          <rPr>
            <i/>
            <sz val="14"/>
            <color rgb="FF000000"/>
            <rFont val="Times New Roman"/>
            <family val="18"/>
          </rPr>
          <t>Von MFWK 19. Pro Cento Division 3. Abteilung zum IR 19 Feld Bats transferiert und zum Proviant Bespannung zugeteilt</t>
        </r>
        <r>
          <rPr>
            <sz val="14"/>
            <color rgb="FF000000"/>
            <rFont val="Times New Roman"/>
            <family val="18"/>
          </rPr>
          <t xml:space="preserve"> [ST May 1790] </t>
        </r>
        <r>
          <rPr>
            <sz val="14"/>
            <color rgb="FF000000"/>
            <rFont val="Calibri"/>
            <family val="34"/>
          </rPr>
          <t xml:space="preserve">
</t>
        </r>
        <r>
          <rPr>
            <sz val="14"/>
            <color rgb="FF000000"/>
            <rFont val="Times New Roman"/>
            <family val="18"/>
          </rPr>
          <t xml:space="preserve">12/01/1791 </t>
        </r>
        <r>
          <rPr>
            <i/>
            <sz val="14"/>
            <color rgb="FF000000"/>
            <rFont val="Times New Roman"/>
            <family val="18"/>
          </rPr>
          <t>Von IR 19 Feld Bats Proviant Bespannung zum MFWK 17. Pro Cento Division transferiert</t>
        </r>
        <r>
          <rPr>
            <sz val="14"/>
            <color rgb="FF000000"/>
            <rFont val="Times New Roman"/>
            <family val="18"/>
          </rPr>
          <t xml:space="preserve"> [TL Jan 1791 &amp; ST Jan 1791]</t>
        </r>
        <r>
          <rPr>
            <sz val="14"/>
            <color rgb="FF000000"/>
            <rFont val="Calibri"/>
            <family val="34"/>
          </rPr>
          <t xml:space="preserve">
</t>
        </r>
        <r>
          <rPr>
            <sz val="14"/>
            <color rgb="FF000000"/>
            <rFont val="+mn-lt"/>
            <charset val="1"/>
          </rPr>
          <t xml:space="preserve">]
</t>
        </r>
      </text>
    </comment>
    <comment ref="BG144" authorId="0" shapeId="0" xr:uid="{3BA22FC8-D68D-364F-8D1C-24A5CE2551B7}">
      <text>
        <r>
          <rPr>
            <sz val="14"/>
            <color rgb="FF000000"/>
            <rFont val="Times New Roman"/>
            <family val="18"/>
          </rPr>
          <t>ML 1560 IR 19 (1790) – ST March (Belgrade 25/02/1791)</t>
        </r>
        <r>
          <rPr>
            <sz val="14"/>
            <color rgb="FF000000"/>
            <rFont val="Calibri"/>
            <family val="34"/>
          </rPr>
          <t xml:space="preserve">
</t>
        </r>
        <r>
          <rPr>
            <sz val="14"/>
            <color rgb="FF000000"/>
            <rFont val="Times New Roman"/>
            <family val="18"/>
          </rPr>
          <t>ML 1562 IR 19 (1791) – ST Jan (Belgrade 11/01/1791)</t>
        </r>
        <r>
          <rPr>
            <sz val="14"/>
            <color rgb="FF000000"/>
            <rFont val="Calibri"/>
            <family val="34"/>
          </rPr>
          <t xml:space="preserve">
</t>
        </r>
        <r>
          <rPr>
            <sz val="14"/>
            <color rgb="FF000000"/>
            <rFont val="Times New Roman"/>
            <family val="18"/>
          </rPr>
          <t>ML 1563 IR 19 (1791) AL/TL – TL IR 19-&gt;MFWK Nr. 1 (Belgrade 11/01/1791)</t>
        </r>
        <r>
          <rPr>
            <sz val="14"/>
            <color rgb="FF000000"/>
            <rFont val="Calibri"/>
            <family val="34"/>
          </rPr>
          <t xml:space="preserve">
</t>
        </r>
      </text>
    </comment>
    <comment ref="BH144" authorId="0" shapeId="0" xr:uid="{B2C52AAD-6D3A-A649-A6A5-83AF51EF12D5}">
      <text>
        <r>
          <rPr>
            <sz val="14"/>
            <color rgb="FF000000"/>
            <rFont val="Calibri"/>
            <family val="34"/>
          </rPr>
          <t>MFWK (1790-1791)</t>
        </r>
      </text>
    </comment>
    <comment ref="BF145" authorId="0" shapeId="0" xr:uid="{DB11C5C3-5742-8443-B241-D690B0A940CD}">
      <text>
        <r>
          <rPr>
            <sz val="14"/>
            <color rgb="FF000000"/>
            <rFont val="Times New Roman"/>
            <family val="18"/>
          </rPr>
          <t>09/05/1790 Vermög</t>
        </r>
        <r>
          <rPr>
            <i/>
            <sz val="14"/>
            <color rgb="FF000000"/>
            <rFont val="Times New Roman"/>
            <family val="18"/>
          </rPr>
          <t xml:space="preserve"> GENERAL COMMANDO Verordnung d. 15 Marz 1790 aus den Werbbzierk gehoben und zum IR 28 Wartensleben Reserve Division‘ gegen 3Fl Handgeld in Kuttenberg assentiert </t>
        </r>
        <r>
          <rPr>
            <sz val="14"/>
            <color rgb="FF000000"/>
            <rFont val="Times New Roman"/>
            <family val="18"/>
          </rPr>
          <t>[AL May 1790]</t>
        </r>
        <r>
          <rPr>
            <sz val="14"/>
            <color rgb="FF000000"/>
            <rFont val="Calibri"/>
            <family val="34"/>
          </rPr>
          <t xml:space="preserve">
</t>
        </r>
        <r>
          <rPr>
            <sz val="14"/>
            <color rgb="FF000000"/>
            <rFont val="Times New Roman"/>
            <family val="18"/>
          </rPr>
          <t xml:space="preserve">01/11/1790 </t>
        </r>
        <r>
          <rPr>
            <i/>
            <sz val="14"/>
            <color rgb="FF000000"/>
            <rFont val="Times New Roman"/>
            <family val="18"/>
          </rPr>
          <t xml:space="preserve">Von Reserve Division zum Haupt Lützow Komp. transferiert und sofort beurlaubt </t>
        </r>
        <r>
          <rPr>
            <sz val="14"/>
            <color rgb="FF000000"/>
            <rFont val="Times New Roman"/>
            <family val="18"/>
          </rPr>
          <t xml:space="preserve">[ST Nov 1790]
</t>
        </r>
        <r>
          <rPr>
            <sz val="14"/>
            <color rgb="FF000000"/>
            <rFont val="Times New Roman"/>
            <family val="18"/>
          </rPr>
          <t>02/09/1791 Muster: IR 28 Haupt Lützow Komp. Nr. 202 [</t>
        </r>
        <r>
          <rPr>
            <i/>
            <sz val="14"/>
            <color rgb="FF000000"/>
            <rFont val="Times New Roman"/>
            <family val="18"/>
          </rPr>
          <t>Beurlaubt in Seinem Geburtsort und dispensirt</t>
        </r>
        <r>
          <rPr>
            <sz val="14"/>
            <color rgb="FF000000"/>
            <rFont val="Times New Roman"/>
            <family val="18"/>
          </rPr>
          <t xml:space="preserve">]
</t>
        </r>
        <r>
          <rPr>
            <sz val="14"/>
            <color rgb="FF000000"/>
            <rFont val="Times New Roman"/>
            <family val="18"/>
          </rPr>
          <t xml:space="preserve">08/09/1791 </t>
        </r>
        <r>
          <rPr>
            <i/>
            <sz val="14"/>
            <color rgb="FF000000"/>
            <rFont val="Times New Roman"/>
            <family val="18"/>
          </rPr>
          <t>Auf Unbestimmte Urlaub entlassen</t>
        </r>
        <r>
          <rPr>
            <sz val="14"/>
            <color rgb="FF000000"/>
            <rFont val="Times New Roman"/>
            <family val="18"/>
          </rPr>
          <t xml:space="preserve"> [ML 1792]
</t>
        </r>
      </text>
    </comment>
    <comment ref="BG145" authorId="0" shapeId="0" xr:uid="{D5CFDE48-56C5-B743-95F5-1649CC7A14B6}">
      <text>
        <r>
          <rPr>
            <sz val="14"/>
            <color rgb="FF000000"/>
            <rFont val="Times New Roman"/>
            <family val="18"/>
          </rPr>
          <t xml:space="preserve">ML 2392/3 IR 28 (1791) – Haupt Lützow Komp. Nr. 202 (Kuttenberg 02/09/1791)
</t>
        </r>
        <r>
          <rPr>
            <sz val="14"/>
            <color rgb="FF000000"/>
            <rFont val="Times New Roman"/>
            <family val="18"/>
          </rPr>
          <t xml:space="preserve">ML 2394 IR 28 (1792) –Haupt Lützow Komp. Abgang (Kuttenberg 17/09/1792)
</t>
        </r>
        <r>
          <rPr>
            <sz val="14"/>
            <color rgb="FF000000"/>
            <rFont val="Times New Roman"/>
            <family val="18"/>
          </rPr>
          <t xml:space="preserve">ML 2439 IR 28 (1790) – ST Nov. [undated]
</t>
        </r>
        <r>
          <rPr>
            <sz val="14"/>
            <color rgb="FF000000"/>
            <rFont val="Times New Roman"/>
            <family val="18"/>
          </rPr>
          <t xml:space="preserve">ML 2440 IR 28 (1790) AL/TL– AL ‚Reserve Division‘ Nr. 14 (Kuttenberg 31/05/1790)
</t>
        </r>
      </text>
    </comment>
    <comment ref="BH145" authorId="0" shapeId="0" xr:uid="{77D91D62-6807-1A45-BDEA-2EF658CC229D}">
      <text>
        <r>
          <rPr>
            <sz val="14"/>
            <color rgb="FF000000"/>
            <rFont val="Calibri"/>
            <family val="34"/>
          </rPr>
          <t>IR 28 (1790-1791)</t>
        </r>
      </text>
    </comment>
    <comment ref="BF146" authorId="0" shapeId="0" xr:uid="{4C9BB59C-811A-2047-B260-6C6D821F8552}">
      <text>
        <r>
          <rPr>
            <sz val="14"/>
            <color rgb="FF000000"/>
            <rFont val="Times New Roman"/>
            <family val="18"/>
          </rPr>
          <t xml:space="preserve">11/05/1790 </t>
        </r>
        <r>
          <rPr>
            <i/>
            <sz val="14"/>
            <color rgb="FF000000"/>
            <rFont val="Times New Roman"/>
            <family val="18"/>
          </rPr>
          <t>Von dem 8. Artillerie Bespannung Division zum IR 44 ‚Caprara‘ 2 Feld Bataillons transferiert und zum Artillerie Fuhrwesen zugeteilt</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21/08/1790 </t>
        </r>
        <r>
          <rPr>
            <i/>
            <sz val="14"/>
            <color rgb="FF000000"/>
            <rFont val="Times New Roman"/>
            <family val="18"/>
          </rPr>
          <t xml:space="preserve">In folge hohe mährische General Commando Verordnung deto Olmütz 19/08/1790 unter von IR 48 2 Feld Bat Artillerie Bespannung zum MFWL Artillerie Fuhrwesen Reserve transferiert </t>
        </r>
        <r>
          <rPr>
            <sz val="14"/>
            <color rgb="FF000000"/>
            <rFont val="Times New Roman"/>
            <family val="18"/>
          </rPr>
          <t>[TL Aug 1790 &amp; ST August 1790]</t>
        </r>
        <r>
          <rPr>
            <sz val="14"/>
            <color rgb="FF000000"/>
            <rFont val="Calibri"/>
            <family val="34"/>
          </rPr>
          <t xml:space="preserve">
</t>
        </r>
        <r>
          <rPr>
            <sz val="14"/>
            <color rgb="FF000000"/>
            <rFont val="+mn-lt"/>
            <charset val="1"/>
          </rPr>
          <t xml:space="preserve">]
</t>
        </r>
      </text>
    </comment>
    <comment ref="BG146" authorId="0" shapeId="0" xr:uid="{F5CED438-A965-C146-BE94-7C6A0B34A2E5}">
      <text>
        <r>
          <rPr>
            <sz val="14"/>
            <color rgb="FF000000"/>
            <rFont val="Times New Roman"/>
            <family val="18"/>
          </rPr>
          <t>ML 10.005 IR 48 (1790) – TL IR 48-&gt;MFWK Nr. 18 (Groß Westernitz 21/08/1790); ST May (Milan 08/04/1791), Aug (Milan 23/04/1791)</t>
        </r>
        <r>
          <rPr>
            <sz val="14"/>
            <color rgb="FF000000"/>
            <rFont val="Calibri"/>
            <family val="34"/>
          </rPr>
          <t xml:space="preserve">
</t>
        </r>
      </text>
    </comment>
    <comment ref="BH146" authorId="0" shapeId="0" xr:uid="{9B7847DA-F95B-D844-A2C6-D8D4A34F4196}">
      <text>
        <r>
          <rPr>
            <sz val="14"/>
            <color rgb="FF000000"/>
            <rFont val="Calibri"/>
            <family val="34"/>
          </rPr>
          <t xml:space="preserve">MFWK (1790)
</t>
        </r>
      </text>
    </comment>
    <comment ref="BF147" authorId="0" shapeId="0" xr:uid="{A7FBD9D1-FD50-AE46-9900-70F60ABB8982}">
      <text>
        <r>
          <rPr>
            <sz val="14"/>
            <color rgb="FF000000"/>
            <rFont val="Times New Roman"/>
            <family val="18"/>
          </rPr>
          <t>12/05/1790 Vermög</t>
        </r>
        <r>
          <rPr>
            <i/>
            <sz val="14"/>
            <color rgb="FF000000"/>
            <rFont val="Times New Roman"/>
            <family val="18"/>
          </rPr>
          <t xml:space="preserve"> GENERAL COMMANDO Verordnung d. 15 Marz 1790 aus den Werbbzierk gehoben und zum IR 28 Wartensleben Reserve Division‘ gegen 3Fl Handgeld in Kuttenberg assentiert </t>
        </r>
        <r>
          <rPr>
            <sz val="14"/>
            <color rgb="FF000000"/>
            <rFont val="Times New Roman"/>
            <family val="18"/>
          </rPr>
          <t>[AL May 1790]</t>
        </r>
        <r>
          <rPr>
            <sz val="14"/>
            <color rgb="FF000000"/>
            <rFont val="Calibri"/>
            <family val="2"/>
          </rPr>
          <t xml:space="preserve">
</t>
        </r>
        <r>
          <rPr>
            <sz val="14"/>
            <color rgb="FF000000"/>
            <rFont val="Times New Roman"/>
            <family val="18"/>
          </rPr>
          <t xml:space="preserve">[AL May 1790]
</t>
        </r>
        <r>
          <rPr>
            <sz val="14"/>
            <color rgb="FF000000"/>
            <rFont val="Times New Roman"/>
            <family val="18"/>
          </rPr>
          <t xml:space="preserve">23/06/1790 </t>
        </r>
        <r>
          <rPr>
            <i/>
            <sz val="14"/>
            <color rgb="FF000000"/>
            <rFont val="Times New Roman"/>
            <family val="18"/>
          </rPr>
          <t>Krank in Garrisons Spital in Königgrätz</t>
        </r>
        <r>
          <rPr>
            <sz val="14"/>
            <color rgb="FF000000"/>
            <rFont val="Times New Roman"/>
            <family val="18"/>
          </rPr>
          <t xml:space="preserve"> [ST June 1790]
</t>
        </r>
        <r>
          <rPr>
            <sz val="14"/>
            <color rgb="FF000000"/>
            <rFont val="Times New Roman"/>
            <family val="18"/>
          </rPr>
          <t xml:space="preserve">31/08/1790 </t>
        </r>
        <r>
          <rPr>
            <i/>
            <sz val="14"/>
            <color rgb="FF000000"/>
            <rFont val="Times New Roman"/>
            <family val="18"/>
          </rPr>
          <t>Rekonvalesziert</t>
        </r>
        <r>
          <rPr>
            <sz val="14"/>
            <color rgb="FF000000"/>
            <rFont val="Times New Roman"/>
            <family val="18"/>
          </rPr>
          <t xml:space="preserve"> [ST August 1790]
</t>
        </r>
        <r>
          <rPr>
            <sz val="14"/>
            <color rgb="FF000000"/>
            <rFont val="Times New Roman"/>
            <family val="18"/>
          </rPr>
          <t xml:space="preserve">01/11/1790 </t>
        </r>
        <r>
          <rPr>
            <i/>
            <sz val="14"/>
            <color rgb="FF000000"/>
            <rFont val="Times New Roman"/>
            <family val="18"/>
          </rPr>
          <t>von Reserve Division zum Haupt Thiery Komp. transferiert</t>
        </r>
        <r>
          <rPr>
            <sz val="14"/>
            <color rgb="FF000000"/>
            <rFont val="Times New Roman"/>
            <family val="18"/>
          </rPr>
          <t xml:space="preserve"> [ST Nov 1790]
</t>
        </r>
        <r>
          <rPr>
            <sz val="14"/>
            <color rgb="FF000000"/>
            <rFont val="Times New Roman"/>
            <family val="18"/>
          </rPr>
          <t xml:space="preserve">02/09/1791 Muster: IR 28 Haupt Thiery Komp. Nr. 189
</t>
        </r>
        <r>
          <rPr>
            <sz val="14"/>
            <color rgb="FF000000"/>
            <rFont val="Times New Roman"/>
            <family val="18"/>
          </rPr>
          <t xml:space="preserve">20/09/1791 </t>
        </r>
        <r>
          <rPr>
            <i/>
            <sz val="14"/>
            <color rgb="FF000000"/>
            <rFont val="Times New Roman"/>
            <family val="18"/>
          </rPr>
          <t>Beurlaubt</t>
        </r>
        <r>
          <rPr>
            <sz val="14"/>
            <color rgb="FF000000"/>
            <rFont val="Times New Roman"/>
            <family val="18"/>
          </rPr>
          <t xml:space="preserve"> [ST Sept 1791]
</t>
        </r>
        <r>
          <rPr>
            <sz val="14"/>
            <color rgb="FF000000"/>
            <rFont val="Times New Roman"/>
            <family val="18"/>
          </rPr>
          <t xml:space="preserve">31/03/1792 </t>
        </r>
        <r>
          <rPr>
            <i/>
            <sz val="14"/>
            <color rgb="FF000000"/>
            <rFont val="Times New Roman"/>
            <family val="18"/>
          </rPr>
          <t>Als Untaglich mit Laufpa</t>
        </r>
        <r>
          <rPr>
            <i/>
            <sz val="14"/>
            <color rgb="FF000000"/>
            <rFont val="Calibri"/>
            <family val="34"/>
          </rPr>
          <t>ß</t>
        </r>
        <r>
          <rPr>
            <i/>
            <sz val="14"/>
            <color rgb="FF000000"/>
            <rFont val="Times New Roman"/>
            <family val="18"/>
          </rPr>
          <t xml:space="preserve"> entlassen </t>
        </r>
        <r>
          <rPr>
            <sz val="14"/>
            <color rgb="FF000000"/>
            <rFont val="Times New Roman"/>
            <family val="18"/>
          </rPr>
          <t>[ML 1792]</t>
        </r>
      </text>
    </comment>
    <comment ref="BG147" authorId="0" shapeId="0" xr:uid="{ADF685C4-E7C1-BE42-A2C0-68F6C504AC16}">
      <text>
        <r>
          <rPr>
            <sz val="14"/>
            <color rgb="FF000000"/>
            <rFont val="Times New Roman"/>
            <family val="18"/>
          </rPr>
          <t xml:space="preserve">ML 2392/3 IR 28 (1791) – Heft von Haupt Thiery Komp. Nr. 202 (Kuttenberg 02/09/1791)
</t>
        </r>
        <r>
          <rPr>
            <sz val="14"/>
            <color rgb="FF000000"/>
            <rFont val="Times New Roman"/>
            <family val="18"/>
          </rPr>
          <t xml:space="preserve">ML 2394 IR 28 (1792) – Heft von Haupt Thiery Komp. Abgang (Kuttenberg 17/09/1792)
</t>
        </r>
        <r>
          <rPr>
            <sz val="14"/>
            <color rgb="FF000000"/>
            <rFont val="Times New Roman"/>
            <family val="18"/>
          </rPr>
          <t xml:space="preserve">ML 2439 IR 28 (1790) – ST May-Aug, Nov. [undated]
</t>
        </r>
        <r>
          <rPr>
            <sz val="14"/>
            <color rgb="FF000000"/>
            <rFont val="Times New Roman"/>
            <family val="18"/>
          </rPr>
          <t xml:space="preserve">ML 2440 IR 28 (1790) AL/TL – AL ‚Reserve Division‘ Nr. 14 (Kuttenberg 31/05/1790)
</t>
        </r>
        <r>
          <rPr>
            <sz val="14"/>
            <color rgb="FF000000"/>
            <rFont val="Times New Roman"/>
            <family val="18"/>
          </rPr>
          <t xml:space="preserve">ML 2441 IR 28 (1791) – ST Sept [undated]
</t>
        </r>
        <r>
          <rPr>
            <sz val="14"/>
            <color rgb="FF000000"/>
            <rFont val="Times New Roman"/>
            <family val="18"/>
          </rPr>
          <t xml:space="preserve">ML 2444 IR 28 (1792) AL/TL – SUP Nr. 1 (Kuttenberg 06/03/1792) 
</t>
        </r>
      </text>
    </comment>
    <comment ref="BH147" authorId="0" shapeId="0" xr:uid="{4828BAC5-6B98-C744-A12B-580429397FEE}">
      <text>
        <r>
          <rPr>
            <sz val="14"/>
            <color rgb="FF000000"/>
            <rFont val="Calibri"/>
            <family val="34"/>
          </rPr>
          <t>IR 28 (1790-1792)</t>
        </r>
      </text>
    </comment>
    <comment ref="BF148" authorId="0" shapeId="0" xr:uid="{15827EDB-B432-4245-A2F6-DE16D5CEB959}">
      <text>
        <r>
          <rPr>
            <sz val="14"/>
            <color rgb="FF000000"/>
            <rFont val="Times New Roman"/>
            <family val="18"/>
          </rPr>
          <t xml:space="preserve">30/04/1790 </t>
        </r>
        <r>
          <rPr>
            <i/>
            <sz val="14"/>
            <color rgb="FF000000"/>
            <rFont val="Times New Roman"/>
            <family val="18"/>
          </rPr>
          <t>Dienst Seit mindestens beim IR 44 Feld Bataillons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15/06/1790 </t>
        </r>
        <r>
          <rPr>
            <i/>
            <sz val="14"/>
            <color rgb="FF000000"/>
            <rFont val="Times New Roman"/>
            <family val="18"/>
          </rPr>
          <t xml:space="preserve">Von IR 44 Feld Bats zum IR 3 3. Bataillon transferiert </t>
        </r>
        <r>
          <rPr>
            <sz val="14"/>
            <color rgb="FF000000"/>
            <rFont val="Times New Roman"/>
            <family val="18"/>
          </rPr>
          <t>[TL June 1790 &amp; ST June 1790]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 xml:space="preserve">Kam nie im Bataillon an
</t>
        </r>
      </text>
    </comment>
    <comment ref="BG148" authorId="0" shapeId="0" xr:uid="{B25D060F-F3DA-EF49-B53D-D405AE4BB2C7}">
      <text>
        <r>
          <rPr>
            <sz val="14"/>
            <color rgb="FF000000"/>
            <rFont val="Times New Roman"/>
            <family val="18"/>
          </rPr>
          <t>ML 3932 IR 44 (1790) – AL IR 44-&gt;MFWK Nr. 2 (Gurdesow am Berg 14/06/1790); ST May (Frazinesrie 29/06/1790); June (Sentesrie 29/07/1790)</t>
        </r>
        <r>
          <rPr>
            <sz val="14"/>
            <color rgb="FF000000"/>
            <rFont val="Times New Roman"/>
            <family val="18"/>
          </rPr>
          <t xml:space="preserve">
</t>
        </r>
        <r>
          <rPr>
            <sz val="14"/>
            <color rgb="FF000000"/>
            <rFont val="Times New Roman"/>
            <family val="18"/>
          </rPr>
          <t xml:space="preserve">ML 261 IR 3 (1790) – TL IR 44-&gt;IR 3 Nr. 2 (Giurczow 15/06/1790)
</t>
        </r>
      </text>
    </comment>
    <comment ref="BH148" authorId="0" shapeId="0" xr:uid="{147E516B-1F9E-9F43-B999-53BB613C0E89}">
      <text>
        <r>
          <rPr>
            <sz val="14"/>
            <color rgb="FF000000"/>
            <rFont val="Calibri"/>
            <family val="34"/>
          </rPr>
          <t>MFWK (1790)</t>
        </r>
      </text>
    </comment>
    <comment ref="BF149" authorId="0" shapeId="0" xr:uid="{DEE40D79-EED1-0340-824E-813FFFA21DCB}">
      <text>
        <r>
          <rPr>
            <sz val="14"/>
            <color rgb="FF000000"/>
            <rFont val="Times New Roman"/>
            <family val="18"/>
          </rPr>
          <t xml:space="preserve">30/04/1790 </t>
        </r>
        <r>
          <rPr>
            <i/>
            <sz val="14"/>
            <color rgb="FF000000"/>
            <rFont val="Times New Roman"/>
            <family val="18"/>
          </rPr>
          <t>Dienst Seit mindestens beim IR 44 Feld Bataillons Artillerie Bespannung</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15/06/1790 </t>
        </r>
        <r>
          <rPr>
            <i/>
            <sz val="14"/>
            <color rgb="FF000000"/>
            <rFont val="Times New Roman"/>
            <family val="18"/>
          </rPr>
          <t xml:space="preserve">Von IR 44 Feld Bats zum IR 3 3. Bataillon transferiert </t>
        </r>
        <r>
          <rPr>
            <sz val="14"/>
            <color rgb="FF000000"/>
            <rFont val="Times New Roman"/>
            <family val="18"/>
          </rPr>
          <t>[TL June 1790 &amp; ST June 1790]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 xml:space="preserve">Kam nie im Bataillon an
</t>
        </r>
      </text>
    </comment>
    <comment ref="BG149" authorId="0" shapeId="0" xr:uid="{9068B36A-4590-0741-8673-E582CC383DAA}">
      <text>
        <r>
          <rPr>
            <sz val="14"/>
            <color rgb="FF000000"/>
            <rFont val="Times New Roman"/>
            <family val="18"/>
          </rPr>
          <t>ML 3932 IR 44 (1790) – AL IR 44-&gt;MFWK Nr. 3 (Gurdesow am Berg 14/06/1790); ST May (Frazinesrie 29/06/1790); June (Sentesrie 29/07/1790)</t>
        </r>
        <r>
          <rPr>
            <sz val="14"/>
            <color rgb="FF000000"/>
            <rFont val="Times New Roman"/>
            <family val="18"/>
          </rPr>
          <t xml:space="preserve">
</t>
        </r>
        <r>
          <rPr>
            <sz val="14"/>
            <color rgb="FF000000"/>
            <rFont val="Times New Roman"/>
            <family val="18"/>
          </rPr>
          <t>ML 261 IR 3 (1790) – TL IR 44-&gt;IR 3 Nr. 3 (Giurczow 15/06/1790)</t>
        </r>
      </text>
    </comment>
    <comment ref="BH149" authorId="0" shapeId="0" xr:uid="{A3461008-5EE4-6745-A98F-E739987A6BBB}">
      <text>
        <r>
          <rPr>
            <sz val="14"/>
            <color rgb="FF000000"/>
            <rFont val="Calibri"/>
            <family val="34"/>
          </rPr>
          <t>MFWK (1790)</t>
        </r>
      </text>
    </comment>
    <comment ref="BF150" authorId="0" shapeId="0" xr:uid="{E0B30944-ABFC-A546-9B26-846C0649C3E4}">
      <text>
        <r>
          <rPr>
            <sz val="14"/>
            <color rgb="FF000000"/>
            <rFont val="Times New Roman"/>
            <family val="18"/>
          </rPr>
          <t xml:space="preserve">16/06/1790 </t>
        </r>
        <r>
          <rPr>
            <i/>
            <sz val="14"/>
            <color rgb="FF000000"/>
            <rFont val="Times New Roman"/>
            <family val="18"/>
          </rPr>
          <t xml:space="preserve">Von Belgiojoso [IR 44] 2 Feld Bats zum IR 12 3Rd Bat Proviant Fuhrwesen transferiert </t>
        </r>
        <r>
          <rPr>
            <sz val="14"/>
            <color rgb="FF000000"/>
            <rFont val="Times New Roman"/>
            <family val="18"/>
          </rPr>
          <t>[ST June 1790]</t>
        </r>
        <r>
          <rPr>
            <sz val="14"/>
            <color rgb="FF000000"/>
            <rFont val="Aptos"/>
            <family val="34"/>
          </rPr>
          <t xml:space="preserve">
</t>
        </r>
        <r>
          <rPr>
            <sz val="14"/>
            <color rgb="FF000000"/>
            <rFont val="Times New Roman"/>
            <family val="18"/>
          </rPr>
          <t xml:space="preserve">16/06/1790 </t>
        </r>
        <r>
          <rPr>
            <i/>
            <sz val="14"/>
            <color rgb="FF000000"/>
            <rFont val="Times New Roman"/>
            <family val="18"/>
          </rPr>
          <t>Vermog General Commando Befehl von 12 Juni 1790 von IR 12 Feld Bat Proviant Fuhrwesen zum MFWK 48. spanische Reiter Division transferiert</t>
        </r>
        <r>
          <rPr>
            <sz val="14"/>
            <color rgb="FF000000"/>
            <rFont val="Times New Roman"/>
            <family val="18"/>
          </rPr>
          <t xml:space="preserve"> [ST June 1790</t>
        </r>
        <r>
          <rPr>
            <sz val="14"/>
            <color rgb="FF000000"/>
            <rFont val="+mn-lt"/>
            <charset val="1"/>
          </rPr>
          <t xml:space="preserve">]
</t>
        </r>
      </text>
    </comment>
    <comment ref="BG150" authorId="0" shapeId="0" xr:uid="{61AE4C14-FF27-EE44-82E3-FB76E5D853AA}">
      <text>
        <r>
          <rPr>
            <sz val="14"/>
            <color rgb="FF000000"/>
            <rFont val="Times New Roman"/>
            <family val="18"/>
          </rPr>
          <t>ML 920 IR 12 (1790) – ST June (Lintece 29/07/1790)</t>
        </r>
        <r>
          <rPr>
            <sz val="14"/>
            <color rgb="FF000000"/>
            <rFont val="Aptos"/>
            <family val="34"/>
          </rPr>
          <t xml:space="preserve">
</t>
        </r>
      </text>
    </comment>
    <comment ref="BH150" authorId="0" shapeId="0" xr:uid="{492AE220-3AEA-CA40-BF9F-E93DC52F0FC6}">
      <text>
        <r>
          <rPr>
            <sz val="14"/>
            <color rgb="FF000000"/>
            <rFont val="Calibri"/>
            <family val="34"/>
          </rPr>
          <t>MFWK (1790)</t>
        </r>
      </text>
    </comment>
    <comment ref="BF151" authorId="0" shapeId="0" xr:uid="{A5FE8A70-BCA9-3749-B150-1A3E86728875}">
      <text>
        <r>
          <rPr>
            <sz val="14"/>
            <color rgb="FF000000"/>
            <rFont val="Times New Roman"/>
            <family val="18"/>
          </rPr>
          <t xml:space="preserve">31/07/1790 </t>
        </r>
        <r>
          <rPr>
            <i/>
            <sz val="14"/>
            <color rgb="FF000000"/>
            <rFont val="Times New Roman"/>
            <family val="18"/>
          </rPr>
          <t xml:space="preserve">dient seit mindestens bei der IR 8 Proviant Fuhrwesen </t>
        </r>
        <r>
          <rPr>
            <sz val="14"/>
            <color rgb="FF000000"/>
            <rFont val="Times New Roman"/>
            <family val="18"/>
          </rPr>
          <t>[ST Aug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Zu Folge hoher General Commando Verordnung ddo Brünn den 9. 8br. Auf unbestimmte Urlaub entlassen</t>
        </r>
        <r>
          <rPr>
            <sz val="14"/>
            <color rgb="FF000000"/>
            <rFont val="Times New Roman"/>
            <family val="18"/>
          </rPr>
          <t xml:space="preserve"> [ST Oct 1790]</t>
        </r>
        <r>
          <rPr>
            <sz val="14"/>
            <color rgb="FF000000"/>
            <rFont val="Calibri"/>
            <family val="34"/>
          </rPr>
          <t xml:space="preserve">
</t>
        </r>
      </text>
    </comment>
    <comment ref="BG151" authorId="0" shapeId="0" xr:uid="{2EE8F957-67BA-264A-9571-A48A4AF6B75A}">
      <text>
        <r>
          <rPr>
            <sz val="14"/>
            <color rgb="FF000000"/>
            <rFont val="Times New Roman"/>
            <family val="18"/>
          </rPr>
          <t xml:space="preserve">ML IR 8 (1789-89) – ST Aug (Znaim 26/10/1790), October (Znaim 31/12/1790) </t>
        </r>
      </text>
    </comment>
    <comment ref="BH151" authorId="0" shapeId="0" xr:uid="{DD2D52C6-23D7-7946-ACDD-81CD7514D06D}">
      <text>
        <r>
          <rPr>
            <sz val="14"/>
            <color rgb="FF000000"/>
            <rFont val="Calibri"/>
            <family val="34"/>
          </rPr>
          <t>MFWK (1790)</t>
        </r>
      </text>
    </comment>
    <comment ref="BF152" authorId="0" shapeId="0" xr:uid="{68D347EE-AB44-F740-9936-F0BC4AC2030E}">
      <text>
        <r>
          <rPr>
            <sz val="14"/>
            <color rgb="FF000000"/>
            <rFont val="Times New Roman"/>
            <family val="18"/>
          </rPr>
          <t xml:space="preserve">31/07/1790 </t>
        </r>
        <r>
          <rPr>
            <i/>
            <sz val="14"/>
            <color rgb="FF000000"/>
            <rFont val="Times New Roman"/>
            <family val="18"/>
          </rPr>
          <t xml:space="preserve">dient seit mindestens bei der IR 8 Proviant Fuhrwesen </t>
        </r>
        <r>
          <rPr>
            <sz val="14"/>
            <color rgb="FF000000"/>
            <rFont val="Times New Roman"/>
            <family val="18"/>
          </rPr>
          <t>[ST Aug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Zu Folge hoher General Commando Verordnung ddo Brünn den 9. 8br. Auf unbestimmte Urlaub entlassen</t>
        </r>
        <r>
          <rPr>
            <sz val="14"/>
            <color rgb="FF000000"/>
            <rFont val="Times New Roman"/>
            <family val="18"/>
          </rPr>
          <t xml:space="preserve"> [ST Oct 1790]</t>
        </r>
        <r>
          <rPr>
            <sz val="14"/>
            <color rgb="FF000000"/>
            <rFont val="Calibri"/>
            <family val="34"/>
          </rPr>
          <t xml:space="preserve">
</t>
        </r>
      </text>
    </comment>
    <comment ref="BG152" authorId="0" shapeId="0" xr:uid="{FD68CE6D-5ED8-7546-922C-13CEB48383FE}">
      <text>
        <r>
          <rPr>
            <sz val="14"/>
            <color rgb="FF000000"/>
            <rFont val="Times New Roman"/>
            <family val="18"/>
          </rPr>
          <t xml:space="preserve">ML IR 8 (1789-89) – ST Aug (Znaim 26/10/1790), October (Znaim 31/12/1790) </t>
        </r>
      </text>
    </comment>
    <comment ref="BH152" authorId="0" shapeId="0" xr:uid="{62EE4C2E-EDA1-304E-8BAA-B700C06A1309}">
      <text>
        <r>
          <rPr>
            <sz val="14"/>
            <color rgb="FF000000"/>
            <rFont val="Calibri"/>
            <family val="34"/>
          </rPr>
          <t>MFWK (1790)</t>
        </r>
      </text>
    </comment>
    <comment ref="BF153" authorId="0" shapeId="0" xr:uid="{E544A050-068B-B642-B03C-8D1B1AF0B459}">
      <text>
        <r>
          <rPr>
            <sz val="14"/>
            <color rgb="FF000000"/>
            <rFont val="Times New Roman"/>
            <family val="18"/>
          </rPr>
          <t xml:space="preserve">31/07/1790 </t>
        </r>
        <r>
          <rPr>
            <i/>
            <sz val="14"/>
            <color rgb="FF000000"/>
            <rFont val="Times New Roman"/>
            <family val="18"/>
          </rPr>
          <t xml:space="preserve">dient seit mindestens bei der IR 8 Proviant Fuhrwesen </t>
        </r>
        <r>
          <rPr>
            <sz val="14"/>
            <color rgb="FF000000"/>
            <rFont val="Times New Roman"/>
            <family val="18"/>
          </rPr>
          <t>[ST Aug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Zu Folge hoher General Commando Verordnung ddo Brünn den 9. 8br. Auf unbestimmte Urlaub entlassen</t>
        </r>
        <r>
          <rPr>
            <sz val="14"/>
            <color rgb="FF000000"/>
            <rFont val="Times New Roman"/>
            <family val="18"/>
          </rPr>
          <t xml:space="preserve"> [ST Oct 1790]</t>
        </r>
        <r>
          <rPr>
            <sz val="14"/>
            <color rgb="FF000000"/>
            <rFont val="Calibri"/>
            <family val="34"/>
          </rPr>
          <t xml:space="preserve">
</t>
        </r>
      </text>
    </comment>
    <comment ref="BG153" authorId="0" shapeId="0" xr:uid="{4766AFCA-58F2-2846-9CD9-B6B545C901FB}">
      <text>
        <r>
          <rPr>
            <sz val="14"/>
            <color rgb="FF000000"/>
            <rFont val="Times New Roman"/>
            <family val="18"/>
          </rPr>
          <t xml:space="preserve">ML IR 8 (1789-89) – ST Aug (Znaim 26/10/1790), October (Znaim 31/12/1790) </t>
        </r>
      </text>
    </comment>
    <comment ref="BH153" authorId="0" shapeId="0" xr:uid="{CEF6A6C7-B86E-3B47-9328-488AA82E035E}">
      <text>
        <r>
          <rPr>
            <sz val="14"/>
            <color rgb="FF000000"/>
            <rFont val="Calibri"/>
            <family val="34"/>
          </rPr>
          <t>MFWK (1790)</t>
        </r>
      </text>
    </comment>
    <comment ref="BF154" authorId="0" shapeId="0" xr:uid="{36389E5E-D97A-BA4D-B0A0-824999BD9969}">
      <text>
        <r>
          <rPr>
            <sz val="14"/>
            <color rgb="FF000000"/>
            <rFont val="Times New Roman"/>
            <family val="18"/>
          </rPr>
          <t xml:space="preserve">31/07/1790 </t>
        </r>
        <r>
          <rPr>
            <i/>
            <sz val="14"/>
            <color rgb="FF000000"/>
            <rFont val="Times New Roman"/>
            <family val="18"/>
          </rPr>
          <t xml:space="preserve">dient seit mindestens bei der IR 8 Proviant Fuhrwesen </t>
        </r>
        <r>
          <rPr>
            <sz val="14"/>
            <color rgb="FF000000"/>
            <rFont val="Times New Roman"/>
            <family val="18"/>
          </rPr>
          <t>[ST Aug 1790]</t>
        </r>
        <r>
          <rPr>
            <sz val="14"/>
            <color rgb="FF000000"/>
            <rFont val="Calibri"/>
            <family val="34"/>
          </rPr>
          <t xml:space="preserve">
</t>
        </r>
        <r>
          <rPr>
            <sz val="14"/>
            <color rgb="FF000000"/>
            <rFont val="Times New Roman"/>
            <family val="18"/>
          </rPr>
          <t xml:space="preserve">25/10/1790 </t>
        </r>
        <r>
          <rPr>
            <i/>
            <sz val="14"/>
            <color rgb="FF000000"/>
            <rFont val="Times New Roman"/>
            <family val="18"/>
          </rPr>
          <t>Zu Folge hoher General Commando Verordnung ddo Brünn den 9. 8br. Auf unbestimmte Urlaub entlassen</t>
        </r>
        <r>
          <rPr>
            <sz val="14"/>
            <color rgb="FF000000"/>
            <rFont val="Times New Roman"/>
            <family val="18"/>
          </rPr>
          <t xml:space="preserve"> [ST Oct 1790]</t>
        </r>
        <r>
          <rPr>
            <sz val="14"/>
            <color rgb="FF000000"/>
            <rFont val="Calibri"/>
            <family val="34"/>
          </rPr>
          <t xml:space="preserve">
</t>
        </r>
      </text>
    </comment>
    <comment ref="BG154" authorId="0" shapeId="0" xr:uid="{4F04CAEE-B84F-E641-BB95-D7777EAAC41F}">
      <text>
        <r>
          <rPr>
            <sz val="14"/>
            <color rgb="FF000000"/>
            <rFont val="Times New Roman"/>
            <family val="18"/>
          </rPr>
          <t xml:space="preserve">ML IR 8 (1789-89) – ST Aug (Znaim 26/10/1790), October (Znaim 31/12/1790) </t>
        </r>
      </text>
    </comment>
    <comment ref="BH154" authorId="0" shapeId="0" xr:uid="{3D3958B5-204E-0847-BB4C-C827CC72EF22}">
      <text>
        <r>
          <rPr>
            <sz val="14"/>
            <color rgb="FF000000"/>
            <rFont val="Calibri"/>
            <family val="34"/>
          </rPr>
          <t>MFWK (1790)</t>
        </r>
      </text>
    </comment>
    <comment ref="BF155" authorId="0" shapeId="0" xr:uid="{E0B64470-DF81-A341-9E68-3A97B8C82378}">
      <text>
        <r>
          <rPr>
            <sz val="14"/>
            <color rgb="FF000000"/>
            <rFont val="Times New Roman"/>
            <family val="18"/>
          </rPr>
          <t xml:space="preserve">31/07/1790 </t>
        </r>
        <r>
          <rPr>
            <i/>
            <sz val="14"/>
            <color rgb="FF000000"/>
            <rFont val="Times New Roman"/>
            <family val="18"/>
          </rPr>
          <t>Dient seit Mindestens als Proviant Fuhrkencht bei IR 51 3 FELD Bats Regiments Fuhrwesen</t>
        </r>
        <r>
          <rPr>
            <sz val="14"/>
            <color rgb="FF000000"/>
            <rFont val="Times New Roman"/>
            <family val="18"/>
          </rPr>
          <t xml:space="preserve"> [ST Aug 1790] </t>
        </r>
        <r>
          <rPr>
            <sz val="14"/>
            <color rgb="FF000000"/>
            <rFont val="Calibri"/>
            <family val="34"/>
          </rPr>
          <t xml:space="preserve">
</t>
        </r>
        <r>
          <rPr>
            <sz val="14"/>
            <color rgb="FF000000"/>
            <rFont val="Times New Roman"/>
            <family val="18"/>
          </rPr>
          <t xml:space="preserve">09/08/1790 </t>
        </r>
        <r>
          <rPr>
            <i/>
            <sz val="14"/>
            <color rgb="FF000000"/>
            <rFont val="Times New Roman"/>
            <family val="18"/>
          </rPr>
          <t xml:space="preserve">Von IR 51 3 Feld Bats Regiments Fuhrwesen zum 25. Fuhrwesens Division transferiert und in Rimmniker Spital </t>
        </r>
        <r>
          <rPr>
            <b/>
            <sz val="14"/>
            <color rgb="FF000000"/>
            <rFont val="Times New Roman"/>
            <family val="18"/>
          </rPr>
          <t>[</t>
        </r>
        <r>
          <rPr>
            <b/>
            <u/>
            <sz val="14"/>
            <color rgb="FF0563C1"/>
            <rFont val="Times New Roman"/>
            <family val="18"/>
          </rPr>
          <t>Râmnicul Sărat, Romania</t>
        </r>
        <r>
          <rPr>
            <b/>
            <sz val="14"/>
            <color rgb="FF000000"/>
            <rFont val="Times New Roman"/>
            <family val="18"/>
          </rPr>
          <t>]</t>
        </r>
        <r>
          <rPr>
            <i/>
            <sz val="14"/>
            <color rgb="FF000000"/>
            <rFont val="Times New Roman"/>
            <family val="18"/>
          </rPr>
          <t xml:space="preserve"> </t>
        </r>
        <r>
          <rPr>
            <sz val="14"/>
            <color rgb="FF000000"/>
            <rFont val="Times New Roman"/>
            <family val="18"/>
          </rPr>
          <t>[TL Oct 1790 &amp; ST Sept 1789]</t>
        </r>
        <r>
          <rPr>
            <sz val="14"/>
            <color rgb="FF000000"/>
            <rFont val="Calibri"/>
            <family val="34"/>
          </rPr>
          <t xml:space="preserve">
</t>
        </r>
      </text>
    </comment>
    <comment ref="BG155" authorId="0" shapeId="0" xr:uid="{AC49E68C-BE43-9A45-80B8-2721E20093CA}">
      <text>
        <r>
          <rPr>
            <sz val="14"/>
            <color rgb="FF000000"/>
            <rFont val="Times New Roman"/>
            <family val="18"/>
          </rPr>
          <t>ML 4333 IR 51 (1790) – ST Aug (Bucharest 17/11/1790), Oct (Bucharest 20/12/1790)</t>
        </r>
        <r>
          <rPr>
            <sz val="14"/>
            <color rgb="FF000000"/>
            <rFont val="Calibri"/>
            <family val="34"/>
          </rPr>
          <t xml:space="preserve">
</t>
        </r>
        <r>
          <rPr>
            <sz val="14"/>
            <color rgb="FF000000"/>
            <rFont val="Times New Roman"/>
            <family val="18"/>
          </rPr>
          <t>ML 4334 IR 51 (1790) AL/TL – TL IR 51-&gt;MFWK Nr. 3 (Bucharest 25/10/1790)</t>
        </r>
        <r>
          <rPr>
            <sz val="14"/>
            <color rgb="FF000000"/>
            <rFont val="Calibri"/>
            <family val="34"/>
          </rPr>
          <t xml:space="preserve">
</t>
        </r>
      </text>
    </comment>
    <comment ref="BH155" authorId="0" shapeId="0" xr:uid="{FB86D46D-80B2-1B4D-BEFD-F6330AE11790}">
      <text>
        <r>
          <rPr>
            <sz val="14"/>
            <color rgb="FF000000"/>
            <rFont val="Calibri"/>
            <family val="34"/>
          </rPr>
          <t>MFWK (1790)</t>
        </r>
      </text>
    </comment>
    <comment ref="BF156" authorId="0" shapeId="0" xr:uid="{BB72DDB5-4521-DD46-9621-0FE102622186}">
      <text>
        <r>
          <rPr>
            <sz val="14"/>
            <color rgb="FF000000"/>
            <rFont val="Times New Roman"/>
            <family val="18"/>
          </rPr>
          <t xml:space="preserve">31/07/1790 </t>
        </r>
        <r>
          <rPr>
            <i/>
            <sz val="14"/>
            <color rgb="FF000000"/>
            <rFont val="Times New Roman"/>
            <family val="18"/>
          </rPr>
          <t>Dient seit Mindestens als Proviant Fuhrkencht bei IR 51 3 FELD Bats Regiments Fuhrwesen</t>
        </r>
        <r>
          <rPr>
            <sz val="14"/>
            <color rgb="FF000000"/>
            <rFont val="Times New Roman"/>
            <family val="18"/>
          </rPr>
          <t xml:space="preserve"> [ST Aug 1790] </t>
        </r>
        <r>
          <rPr>
            <sz val="14"/>
            <color rgb="FF000000"/>
            <rFont val="Calibri"/>
            <family val="34"/>
          </rPr>
          <t xml:space="preserve">
</t>
        </r>
        <r>
          <rPr>
            <sz val="14"/>
            <color rgb="FF000000"/>
            <rFont val="Times New Roman"/>
            <family val="18"/>
          </rPr>
          <t xml:space="preserve">31/10/1791 </t>
        </r>
        <r>
          <rPr>
            <i/>
            <sz val="14"/>
            <color rgb="FF000000"/>
            <rFont val="Times New Roman"/>
            <family val="18"/>
          </rPr>
          <t>Von Baron Splenyschen 3 Feld Bataillons Regimentsfuhrwesen zum 3. Artillerie Bespannung Division transferiert</t>
        </r>
        <r>
          <rPr>
            <sz val="14"/>
            <color rgb="FF000000"/>
            <rFont val="Times New Roman"/>
            <family val="18"/>
          </rPr>
          <t xml:space="preserve"> [TL Nov 1790 &amp; ST Oct 1790]</t>
        </r>
        <r>
          <rPr>
            <sz val="14"/>
            <color rgb="FF000000"/>
            <rFont val="Calibri"/>
            <family val="34"/>
          </rPr>
          <t xml:space="preserve">
</t>
        </r>
      </text>
    </comment>
    <comment ref="BG156" authorId="0" shapeId="0" xr:uid="{41A1CCE8-DAB6-1C49-8B0A-11699E748D32}">
      <text>
        <r>
          <rPr>
            <sz val="14"/>
            <color rgb="FF000000"/>
            <rFont val="Times New Roman"/>
            <family val="18"/>
          </rPr>
          <t>ML 4333 IR 51 (1790) – ST Aug (Bucharest 17/11/1790), Oct (Bucharest 20/12/1790)</t>
        </r>
        <r>
          <rPr>
            <sz val="14"/>
            <color rgb="FF000000"/>
            <rFont val="Calibri"/>
            <family val="34"/>
          </rPr>
          <t xml:space="preserve">
</t>
        </r>
        <r>
          <rPr>
            <sz val="14"/>
            <color rgb="FF000000"/>
            <rFont val="Times New Roman"/>
            <family val="18"/>
          </rPr>
          <t>ML 4335 IR 51 (1791) – ST Oct (17/10/1791), TL IR 51-&gt;MFWK Nr. 22 (Mediasch 07/11/1791)</t>
        </r>
        <r>
          <rPr>
            <sz val="14"/>
            <color rgb="FF000000"/>
            <rFont val="Calibri"/>
            <family val="34"/>
          </rPr>
          <t xml:space="preserve">
</t>
        </r>
      </text>
    </comment>
    <comment ref="BH156" authorId="0" shapeId="0" xr:uid="{DDE63977-0111-8A4E-AA2E-CD739424D82F}">
      <text>
        <r>
          <rPr>
            <sz val="14"/>
            <color rgb="FF000000"/>
            <rFont val="Calibri"/>
            <family val="34"/>
          </rPr>
          <t>MFWK (1790-1791)</t>
        </r>
      </text>
    </comment>
    <comment ref="BF157" authorId="0" shapeId="0" xr:uid="{4DB9F5F6-CEAC-9941-872F-3541D9F497D3}">
      <text>
        <r>
          <rPr>
            <i/>
            <sz val="14"/>
            <color rgb="FF000000"/>
            <rFont val="Times New Roman"/>
            <family val="18"/>
          </rPr>
          <t>Assentierungstag unbewusst</t>
        </r>
        <r>
          <rPr>
            <sz val="14"/>
            <color rgb="FF000000"/>
            <rFont val="Calibri"/>
            <family val="34"/>
          </rPr>
          <t xml:space="preserve">
</t>
        </r>
        <r>
          <rPr>
            <sz val="14"/>
            <color rgb="FF000000"/>
            <rFont val="Times New Roman"/>
            <family val="18"/>
          </rPr>
          <t xml:space="preserve">31/07/1790 </t>
        </r>
        <r>
          <rPr>
            <i/>
            <sz val="14"/>
            <color rgb="FF000000"/>
            <rFont val="Times New Roman"/>
            <family val="18"/>
          </rPr>
          <t>Dient seit Mindestens als Proviant Fuhrkencht bei IR 51 3 FELD Bats Regiments Fuhrwesen</t>
        </r>
        <r>
          <rPr>
            <sz val="14"/>
            <color rgb="FF000000"/>
            <rFont val="Times New Roman"/>
            <family val="18"/>
          </rPr>
          <t xml:space="preserve"> [ST Aug 1790] </t>
        </r>
        <r>
          <rPr>
            <sz val="14"/>
            <color rgb="FF000000"/>
            <rFont val="Calibri"/>
            <family val="34"/>
          </rPr>
          <t xml:space="preserve">
</t>
        </r>
        <r>
          <rPr>
            <sz val="14"/>
            <color rgb="FF000000"/>
            <rFont val="Times New Roman"/>
            <family val="18"/>
          </rPr>
          <t xml:space="preserve">31/10/1791 </t>
        </r>
        <r>
          <rPr>
            <i/>
            <sz val="14"/>
            <color rgb="FF000000"/>
            <rFont val="Times New Roman"/>
            <family val="18"/>
          </rPr>
          <t>Von Baron Splenyschen 3 Feld Bataillons Regimentsfuhrwesen zum 3. Artillerie Bespannung Division transferiert</t>
        </r>
        <r>
          <rPr>
            <sz val="14"/>
            <color rgb="FF000000"/>
            <rFont val="Times New Roman"/>
            <family val="18"/>
          </rPr>
          <t xml:space="preserve"> [TL Nov 1790 &amp; ST Oct 1790]</t>
        </r>
        <r>
          <rPr>
            <sz val="14"/>
            <color rgb="FF000000"/>
            <rFont val="Calibri"/>
            <family val="34"/>
          </rPr>
          <t xml:space="preserve">
</t>
        </r>
      </text>
    </comment>
    <comment ref="BG157" authorId="0" shapeId="0" xr:uid="{26CB66AC-86AF-9445-B6A9-59F40FF4751C}">
      <text>
        <r>
          <rPr>
            <sz val="14"/>
            <color rgb="FF000000"/>
            <rFont val="Times New Roman"/>
            <family val="18"/>
          </rPr>
          <t>ML 4333 IR 51 (1790) – ST Aug (Bucharest 17/11/1790)</t>
        </r>
        <r>
          <rPr>
            <sz val="14"/>
            <color rgb="FF000000"/>
            <rFont val="Calibri"/>
            <family val="34"/>
          </rPr>
          <t xml:space="preserve">
</t>
        </r>
        <r>
          <rPr>
            <sz val="14"/>
            <color rgb="FF000000"/>
            <rFont val="Times New Roman"/>
            <family val="18"/>
          </rPr>
          <t>ML 4335 IR 51 (1791) – ST Oct (17/10/1791), TL IR 51-&gt;MFWK Nr. 23 (Mediasch 07/11/1791)</t>
        </r>
        <r>
          <rPr>
            <sz val="14"/>
            <color rgb="FF000000"/>
            <rFont val="Calibri"/>
            <family val="34"/>
          </rPr>
          <t xml:space="preserve">
</t>
        </r>
      </text>
    </comment>
    <comment ref="BH157" authorId="0" shapeId="0" xr:uid="{596CF718-3321-2E4A-9A9E-3A42A3C52A28}">
      <text>
        <r>
          <rPr>
            <sz val="14"/>
            <color rgb="FF000000"/>
            <rFont val="Calibri"/>
            <family val="34"/>
          </rPr>
          <t>MFWK (1790-1791)</t>
        </r>
      </text>
    </comment>
    <comment ref="BF158" authorId="0" shapeId="0" xr:uid="{B5A04DA2-3576-CF44-B641-42C6DFDDA5C9}">
      <text>
        <r>
          <rPr>
            <sz val="14"/>
            <color rgb="FF000000"/>
            <rFont val="Times New Roman"/>
            <family val="18"/>
          </rPr>
          <t xml:space="preserve">08/07/1790 </t>
        </r>
        <r>
          <rPr>
            <i/>
            <sz val="14"/>
            <color rgb="FF000000"/>
            <rFont val="Times New Roman"/>
            <family val="18"/>
          </rPr>
          <t>gegen 3Fl Handgeld gestellt Worden</t>
        </r>
        <r>
          <rPr>
            <sz val="14"/>
            <color rgb="FF000000"/>
            <rFont val="Times New Roman"/>
            <family val="18"/>
          </rPr>
          <t xml:space="preserve"> [TL Juli 1797]
</t>
        </r>
        <r>
          <rPr>
            <sz val="14"/>
            <color rgb="FF000000"/>
            <rFont val="Times New Roman"/>
            <family val="18"/>
          </rPr>
          <t xml:space="preserve">21/07/1790 </t>
        </r>
        <r>
          <rPr>
            <i/>
            <sz val="14"/>
            <color rgb="FF000000"/>
            <rFont val="Times New Roman"/>
            <family val="18"/>
          </rPr>
          <t xml:space="preserve">von MFWK Reserve 19 pro cento Division zum IR 32 (H) Feld Bataillon transferiert und zum Proviant Fuhrwesen zugeteilt </t>
        </r>
        <r>
          <rPr>
            <sz val="14"/>
            <color rgb="FF000000"/>
            <rFont val="Times New Roman"/>
            <family val="18"/>
          </rPr>
          <t xml:space="preserve">[TL Juli 1790 &amp; ST Juli 1790]
</t>
        </r>
        <r>
          <rPr>
            <sz val="14"/>
            <color rgb="FF000000"/>
            <rFont val="Times New Roman"/>
            <family val="18"/>
          </rPr>
          <t xml:space="preserve">28/11/1790 </t>
        </r>
        <r>
          <rPr>
            <i/>
            <sz val="14"/>
            <color rgb="FF000000"/>
            <rFont val="Times New Roman"/>
            <family val="18"/>
          </rPr>
          <t>vermog hohe HKR Verordnung von 15. Aug 1790 und General Commando Verordnung deto Lemberg den 22/08/1790 von IR 32 Proviant Fuhrwesen auf Unbestimmte Urlaub abgelassen</t>
        </r>
        <r>
          <rPr>
            <sz val="14"/>
            <color rgb="FF000000"/>
            <rFont val="Times New Roman"/>
            <family val="18"/>
          </rPr>
          <t xml:space="preserve"> [ST Nov 1790]</t>
        </r>
      </text>
    </comment>
    <comment ref="BG158" authorId="0" shapeId="0" xr:uid="{0100D814-AC70-FF45-9E57-6972203261BD}">
      <text>
        <r>
          <rPr>
            <sz val="14"/>
            <color rgb="FF000000"/>
            <rFont val="Times New Roman"/>
            <family val="18"/>
          </rPr>
          <t>ML 2871 IR 32 (1790) – ST July (Lemberg 10/07/1791), Nov (Lemberg 26/09/1791)</t>
        </r>
        <r>
          <rPr>
            <sz val="14"/>
            <color rgb="FF000000"/>
            <rFont val="Calibri"/>
            <family val="34"/>
          </rPr>
          <t xml:space="preserve">
</t>
        </r>
        <r>
          <rPr>
            <sz val="14"/>
            <color rgb="FF000000"/>
            <rFont val="Times New Roman"/>
            <family val="18"/>
          </rPr>
          <t>ML 2872 IR 32 (1790) – TL IR 32 Nr. 1 (Lemberg 18/07/1790)</t>
        </r>
      </text>
    </comment>
    <comment ref="BH158" authorId="0" shapeId="0" xr:uid="{E658B12C-F027-AA41-8238-D7EBA1C33EB9}">
      <text>
        <r>
          <rPr>
            <sz val="14"/>
            <color rgb="FF000000"/>
            <rFont val="Calibri"/>
            <family val="34"/>
          </rPr>
          <t>MFWK (1790)</t>
        </r>
      </text>
    </comment>
    <comment ref="BF159" authorId="0" shapeId="0" xr:uid="{AAE229D4-C7CD-F047-8DF9-7E93A818CEA0}">
      <text>
        <r>
          <rPr>
            <sz val="14"/>
            <color rgb="FF000000"/>
            <rFont val="Times New Roman"/>
            <family val="18"/>
          </rPr>
          <t xml:space="preserve">05/09/1790 </t>
        </r>
        <r>
          <rPr>
            <i/>
            <sz val="14"/>
            <color rgb="FF000000"/>
            <rFont val="Times New Roman"/>
            <family val="18"/>
          </rPr>
          <t>Von MFWK 19. Pro cento Division zum IR 50 Feld Bats transferiert und zu, Proviant Fuhrwesen eingeteilt</t>
        </r>
        <r>
          <rPr>
            <sz val="14"/>
            <color rgb="FF000000"/>
            <rFont val="Times New Roman"/>
            <family val="18"/>
          </rPr>
          <t xml:space="preserve"> [ST Sept 1790] </t>
        </r>
        <r>
          <rPr>
            <sz val="14"/>
            <color rgb="FF000000"/>
            <rFont val="Calibri"/>
            <family val="34"/>
          </rPr>
          <t xml:space="preserve">
</t>
        </r>
        <r>
          <rPr>
            <sz val="14"/>
            <color rgb="FF000000"/>
            <rFont val="Times New Roman"/>
            <family val="18"/>
          </rPr>
          <t xml:space="preserve">31/10/1790 [Dient bis mindestens] </t>
        </r>
      </text>
    </comment>
    <comment ref="BG159" authorId="0" shapeId="0" xr:uid="{B80A2845-85CC-4B49-A27A-8DD896746B57}">
      <text>
        <r>
          <rPr>
            <sz val="14"/>
            <color rgb="FF000000"/>
            <rFont val="Times New Roman"/>
            <family val="18"/>
          </rPr>
          <t>ML 10.501 IR 50 (1790) – ST Sept (12/05/1791), Oct (23/05/1791)</t>
        </r>
      </text>
    </comment>
    <comment ref="BH159" authorId="0" shapeId="0" xr:uid="{07F479BC-A3C1-7840-91B2-37223DD71477}">
      <text>
        <r>
          <rPr>
            <sz val="14"/>
            <color rgb="FF000000"/>
            <rFont val="Calibri"/>
            <family val="34"/>
          </rPr>
          <t>MFWK (1790)</t>
        </r>
      </text>
    </comment>
    <comment ref="BF160" authorId="0" shapeId="0" xr:uid="{E9117903-2044-874A-AA7D-5BA627245970}">
      <text>
        <r>
          <rPr>
            <sz val="14"/>
            <color rgb="FF212121"/>
            <rFont val="Times New Roman"/>
            <family val="18"/>
          </rPr>
          <t xml:space="preserve">21/09/1790 </t>
        </r>
        <r>
          <rPr>
            <i/>
            <sz val="14"/>
            <color rgb="FF212121"/>
            <rFont val="Times New Roman"/>
            <family val="18"/>
          </rPr>
          <t>Von MFWK Pro Cento Division Nr. 19 zum IR 53 transferiert und zum Feld Bat Artillerie Bespannung zugeteilt</t>
        </r>
        <r>
          <rPr>
            <sz val="14"/>
            <color rgb="FF212121"/>
            <rFont val="Times New Roman"/>
            <family val="18"/>
          </rPr>
          <t xml:space="preserve"> [TL Sept 1790 &amp; RL Jan 1791]</t>
        </r>
        <r>
          <rPr>
            <sz val="14"/>
            <color rgb="FF000000"/>
            <rFont val="Calibri"/>
            <family val="34"/>
          </rPr>
          <t xml:space="preserve">
</t>
        </r>
        <r>
          <rPr>
            <sz val="14"/>
            <color rgb="FF212121"/>
            <rFont val="Times New Roman"/>
            <family val="18"/>
          </rPr>
          <t>04/01/1791 Revision: IR 53 Feld Bats Artillerie Bespannung Nr. 11</t>
        </r>
        <r>
          <rPr>
            <sz val="14"/>
            <color rgb="FF000000"/>
            <rFont val="Calibri"/>
            <family val="34"/>
          </rPr>
          <t xml:space="preserve">
</t>
        </r>
      </text>
    </comment>
    <comment ref="BG160" authorId="0" shapeId="0" xr:uid="{281A6C5A-5EF6-CA45-95AA-BE5DB4711642}">
      <text>
        <r>
          <rPr>
            <sz val="14"/>
            <color rgb="FF212121"/>
            <rFont val="Times New Roman"/>
            <family val="18"/>
          </rPr>
          <t>ML 4513 IR 53 (1791) – RL Feld Bats Artillerie Bespannung Nr. 11 Cladova 06/01/1791)</t>
        </r>
        <r>
          <rPr>
            <sz val="14"/>
            <color rgb="FF000000"/>
            <rFont val="Calibri"/>
            <family val="34"/>
          </rPr>
          <t xml:space="preserve">
</t>
        </r>
        <r>
          <rPr>
            <sz val="14"/>
            <color rgb="FF212121"/>
            <rFont val="Times New Roman"/>
            <family val="18"/>
          </rPr>
          <t>ML 4560 IR 53 (1790) – TL MFWK-&gt;IR 53 Nr. 1 (Caraul 21/09/1790)</t>
        </r>
        <r>
          <rPr>
            <sz val="14"/>
            <color rgb="FF000000"/>
            <rFont val="Calibri"/>
            <family val="34"/>
          </rPr>
          <t xml:space="preserve">
</t>
        </r>
        <r>
          <rPr>
            <sz val="14"/>
            <color rgb="FF212121"/>
            <rFont val="Times New Roman"/>
            <family val="18"/>
          </rPr>
          <t>ML 4561 IR 53 (1791) – ST Oct 1791 (20/11/1805)</t>
        </r>
        <r>
          <rPr>
            <sz val="14"/>
            <color rgb="FF000000"/>
            <rFont val="Calibri"/>
            <family val="34"/>
          </rPr>
          <t xml:space="preserve">
</t>
        </r>
      </text>
    </comment>
    <comment ref="BH160" authorId="0" shapeId="0" xr:uid="{AD6C1538-8B2B-FB40-895E-D78BB6C070A8}">
      <text>
        <r>
          <rPr>
            <sz val="14"/>
            <color rgb="FF000000"/>
            <rFont val="Calibri"/>
            <family val="34"/>
          </rPr>
          <t>MFWK (1790-1791)</t>
        </r>
      </text>
    </comment>
    <comment ref="BF161" authorId="0" shapeId="0" xr:uid="{6453109E-01A0-3446-978C-978FF0409E17}">
      <text>
        <r>
          <rPr>
            <sz val="14"/>
            <color rgb="FF000000"/>
            <rFont val="Times New Roman"/>
            <family val="18"/>
          </rPr>
          <t xml:space="preserve">31/10/1790 </t>
        </r>
        <r>
          <rPr>
            <i/>
            <sz val="14"/>
            <color rgb="FF000000"/>
            <rFont val="Times New Roman"/>
            <family val="18"/>
          </rPr>
          <t>Dient seit Mindestens beim IR 14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31/10/1790 [Seit Mindestens] </t>
        </r>
        <r>
          <rPr>
            <i/>
            <sz val="14"/>
            <color rgb="FF000000"/>
            <rFont val="Times New Roman"/>
            <family val="18"/>
          </rPr>
          <t>Auf dem Marsch zu seiner Heimat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31/04/1791 [Bis Mindestens] </t>
        </r>
        <r>
          <rPr>
            <i/>
            <sz val="14"/>
            <color rgb="FF000000"/>
            <rFont val="Times New Roman"/>
            <family val="18"/>
          </rPr>
          <t>Auf dem Marsch zu seiner Heimat</t>
        </r>
        <r>
          <rPr>
            <sz val="14"/>
            <color rgb="FF000000"/>
            <rFont val="Times New Roman"/>
            <family val="18"/>
          </rPr>
          <t xml:space="preserve"> [ST April 1791]</t>
        </r>
      </text>
    </comment>
    <comment ref="BG161" authorId="0" shapeId="0" xr:uid="{3283DCC0-FBCF-1E43-BE5C-87814F3279E8}">
      <text>
        <r>
          <rPr>
            <sz val="14"/>
            <color rgb="FF000000"/>
            <rFont val="Times New Roman"/>
            <family val="18"/>
          </rPr>
          <t>ML 1023 IR 14 (1790) – ST Nov (Linz 15/03/1791)</t>
        </r>
        <r>
          <rPr>
            <sz val="14"/>
            <color rgb="FF000000"/>
            <rFont val="Calibri"/>
            <family val="34"/>
          </rPr>
          <t xml:space="preserve">
</t>
        </r>
        <r>
          <rPr>
            <sz val="14"/>
            <color rgb="FF000000"/>
            <rFont val="Times New Roman"/>
            <family val="18"/>
          </rPr>
          <t>ML 1024 IR 14 (1791) – ST April (Linz 04/06/1791)</t>
        </r>
      </text>
    </comment>
    <comment ref="BH161" authorId="0" shapeId="0" xr:uid="{93508ADA-99B1-9140-B46E-7EE34FF0AEC9}">
      <text>
        <r>
          <rPr>
            <sz val="14"/>
            <color rgb="FF000000"/>
            <rFont val="Calibri"/>
            <family val="34"/>
          </rPr>
          <t>MFWK (1790-1791)</t>
        </r>
      </text>
    </comment>
    <comment ref="BF162" authorId="0" shapeId="0" xr:uid="{1DE7BEA6-0867-B64B-B320-177CEE51BDD1}">
      <text>
        <r>
          <rPr>
            <sz val="14"/>
            <color rgb="FF000000"/>
            <rFont val="Times New Roman"/>
            <family val="18"/>
          </rPr>
          <t xml:space="preserve">31/10/1790 </t>
        </r>
        <r>
          <rPr>
            <i/>
            <sz val="14"/>
            <color rgb="FF000000"/>
            <rFont val="Times New Roman"/>
            <family val="18"/>
          </rPr>
          <t>Dienst seit mindestens beim IR 32 Feld Bats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20/11/1790 </t>
        </r>
        <r>
          <rPr>
            <i/>
            <sz val="14"/>
            <color rgb="FF000000"/>
            <rFont val="Times New Roman"/>
            <family val="18"/>
          </rPr>
          <t xml:space="preserve">Vermog hohe HKR Verordnung von 15/ Aug 1790 und General Commando Verordnung deto Lemberg den 22/08/1790 von IR 32 Regiments Fuhrwesen auf Unbestimmte Urlaub abgelassen </t>
        </r>
        <r>
          <rPr>
            <sz val="14"/>
            <color rgb="FF000000"/>
            <rFont val="Times New Roman"/>
            <family val="18"/>
          </rPr>
          <t>[ST Nov 1790]</t>
        </r>
        <r>
          <rPr>
            <sz val="14"/>
            <color rgb="FF000000"/>
            <rFont val="Calibri"/>
            <family val="34"/>
          </rPr>
          <t xml:space="preserve">
</t>
        </r>
      </text>
    </comment>
    <comment ref="BG162" authorId="0" shapeId="0" xr:uid="{CAD72A3D-92A3-FB48-8123-A425F86EA232}">
      <text>
        <r>
          <rPr>
            <sz val="14"/>
            <color rgb="FF000000"/>
            <rFont val="Times New Roman"/>
            <family val="18"/>
          </rPr>
          <t>ML 2871 IR 32 (1790) – ST Nov (Lemberg 26/09/1791)</t>
        </r>
      </text>
    </comment>
    <comment ref="BH162" authorId="0" shapeId="0" xr:uid="{A5290B07-4A73-EF4E-89EA-13F805ACDBA3}">
      <text>
        <r>
          <rPr>
            <sz val="14"/>
            <color rgb="FF000000"/>
            <rFont val="Calibri"/>
            <family val="34"/>
          </rPr>
          <t>MFWK (1790)</t>
        </r>
      </text>
    </comment>
    <comment ref="BF163" authorId="0" shapeId="0" xr:uid="{6E3D4021-87EE-8743-9A6A-D94B62B3D78C}">
      <text>
        <r>
          <rPr>
            <sz val="14"/>
            <color rgb="FF000000"/>
            <rFont val="Times New Roman"/>
            <family val="18"/>
          </rPr>
          <t xml:space="preserve">31/10/1790 </t>
        </r>
        <r>
          <rPr>
            <i/>
            <sz val="14"/>
            <color rgb="FF000000"/>
            <rFont val="Times New Roman"/>
            <family val="18"/>
          </rPr>
          <t>Dient seit Mindestens beim IR 14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31/10/1790 [Seit Mindestens] </t>
        </r>
        <r>
          <rPr>
            <i/>
            <sz val="14"/>
            <color rgb="FF000000"/>
            <rFont val="Times New Roman"/>
            <family val="18"/>
          </rPr>
          <t>Auf dem Marsch zu seiner Heimat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31/04/1791 [Bis Mindestens] </t>
        </r>
        <r>
          <rPr>
            <i/>
            <sz val="14"/>
            <color rgb="FF000000"/>
            <rFont val="Times New Roman"/>
            <family val="18"/>
          </rPr>
          <t>Auf dem Marsch zu seiner Heimat</t>
        </r>
        <r>
          <rPr>
            <sz val="14"/>
            <color rgb="FF000000"/>
            <rFont val="Times New Roman"/>
            <family val="18"/>
          </rPr>
          <t xml:space="preserve"> [ST April 1791]</t>
        </r>
      </text>
    </comment>
    <comment ref="BG163" authorId="0" shapeId="0" xr:uid="{08434B02-61F6-D640-8869-BD0DF4A57CF9}">
      <text>
        <r>
          <rPr>
            <sz val="14"/>
            <color rgb="FF000000"/>
            <rFont val="Times New Roman"/>
            <family val="18"/>
          </rPr>
          <t>ML 1023 IR 14 (1790) – ST Nov (Linz 15/03/1791)</t>
        </r>
        <r>
          <rPr>
            <sz val="14"/>
            <color rgb="FF000000"/>
            <rFont val="Calibri"/>
            <family val="34"/>
          </rPr>
          <t xml:space="preserve">
</t>
        </r>
        <r>
          <rPr>
            <sz val="14"/>
            <color rgb="FF000000"/>
            <rFont val="Times New Roman"/>
            <family val="18"/>
          </rPr>
          <t>ML 1024 IR 14 (1791) – ST April (Linz 04/06/1791)</t>
        </r>
      </text>
    </comment>
    <comment ref="BH163" authorId="0" shapeId="0" xr:uid="{3032FC10-8774-BA49-A424-330C7B9161F8}">
      <text>
        <r>
          <rPr>
            <sz val="14"/>
            <color rgb="FF000000"/>
            <rFont val="Calibri"/>
            <family val="34"/>
          </rPr>
          <t>MFWK (1790-1791)</t>
        </r>
      </text>
    </comment>
    <comment ref="BF164" authorId="0" shapeId="0" xr:uid="{EAF3B61B-543E-8348-8BD3-79FB36DE29A5}">
      <text>
        <r>
          <rPr>
            <sz val="14"/>
            <color rgb="FF000000"/>
            <rFont val="Times New Roman"/>
            <family val="18"/>
          </rPr>
          <t xml:space="preserve">31/10/1790 </t>
        </r>
        <r>
          <rPr>
            <i/>
            <sz val="14"/>
            <color rgb="FF000000"/>
            <rFont val="Times New Roman"/>
            <family val="18"/>
          </rPr>
          <t>Dient seit Mindestens beim IR 14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31/10/1790 [Seit Mindestens] </t>
        </r>
        <r>
          <rPr>
            <i/>
            <sz val="14"/>
            <color rgb="FF000000"/>
            <rFont val="Times New Roman"/>
            <family val="18"/>
          </rPr>
          <t>Auf dem Marsch zu seiner Heimat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31/04/1791 [Bis Mindestens] </t>
        </r>
        <r>
          <rPr>
            <i/>
            <sz val="14"/>
            <color rgb="FF000000"/>
            <rFont val="Times New Roman"/>
            <family val="18"/>
          </rPr>
          <t>Auf dem Marsch zu seiner Heimat</t>
        </r>
        <r>
          <rPr>
            <sz val="14"/>
            <color rgb="FF000000"/>
            <rFont val="Times New Roman"/>
            <family val="18"/>
          </rPr>
          <t xml:space="preserve"> [ST April 1791]</t>
        </r>
      </text>
    </comment>
    <comment ref="BG164" authorId="0" shapeId="0" xr:uid="{B12C44C4-04FC-274B-B348-8F64A7484640}">
      <text>
        <r>
          <rPr>
            <sz val="14"/>
            <color rgb="FF000000"/>
            <rFont val="Times New Roman"/>
            <family val="18"/>
          </rPr>
          <t>ML 1023 IR 14 (1790) – ST Nov (Linz 15/03/1791)</t>
        </r>
        <r>
          <rPr>
            <sz val="14"/>
            <color rgb="FF000000"/>
            <rFont val="Calibri"/>
            <family val="34"/>
          </rPr>
          <t xml:space="preserve">
</t>
        </r>
        <r>
          <rPr>
            <sz val="14"/>
            <color rgb="FF000000"/>
            <rFont val="Times New Roman"/>
            <family val="18"/>
          </rPr>
          <t>ML 1024 IR 14 (1791) – ST April (Linz 04/06/1791)</t>
        </r>
      </text>
    </comment>
    <comment ref="BH164" authorId="0" shapeId="0" xr:uid="{78C3DE34-B420-D544-A5E5-B7EFE2A79CAE}">
      <text>
        <r>
          <rPr>
            <sz val="14"/>
            <color rgb="FF000000"/>
            <rFont val="Calibri"/>
            <family val="34"/>
          </rPr>
          <t>MFWK (1790-1791)</t>
        </r>
      </text>
    </comment>
    <comment ref="BF165" authorId="0" shapeId="0" xr:uid="{30B9F0A6-0C83-B846-8BE7-DDC0A537AC81}">
      <text>
        <r>
          <rPr>
            <sz val="14"/>
            <color rgb="FF000000"/>
            <rFont val="Times New Roman"/>
            <family val="18"/>
          </rPr>
          <t xml:space="preserve">31/10/1790 </t>
        </r>
        <r>
          <rPr>
            <i/>
            <sz val="14"/>
            <color rgb="FF000000"/>
            <rFont val="Times New Roman"/>
            <family val="18"/>
          </rPr>
          <t>Dient seit Mindestens beim IR 14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31/10/1790 [Seit Mindestens] </t>
        </r>
        <r>
          <rPr>
            <i/>
            <sz val="14"/>
            <color rgb="FF000000"/>
            <rFont val="Times New Roman"/>
            <family val="18"/>
          </rPr>
          <t>Auf dem Marsch zu seiner Heimat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31/04/1791 [Bis Mindestens] </t>
        </r>
        <r>
          <rPr>
            <i/>
            <sz val="14"/>
            <color rgb="FF000000"/>
            <rFont val="Times New Roman"/>
            <family val="18"/>
          </rPr>
          <t>Auf dem Marsch zu seiner Heimat</t>
        </r>
        <r>
          <rPr>
            <sz val="14"/>
            <color rgb="FF000000"/>
            <rFont val="Times New Roman"/>
            <family val="18"/>
          </rPr>
          <t xml:space="preserve"> [ST April 1791]</t>
        </r>
      </text>
    </comment>
    <comment ref="BG165" authorId="0" shapeId="0" xr:uid="{593D7ACF-D51D-9E48-9B03-7DFD2459DF31}">
      <text>
        <r>
          <rPr>
            <sz val="14"/>
            <color rgb="FF000000"/>
            <rFont val="Times New Roman"/>
            <family val="18"/>
          </rPr>
          <t>ML 1023 IR 14 (1790) – ST Nov (Linz 15/03/1791)</t>
        </r>
        <r>
          <rPr>
            <sz val="14"/>
            <color rgb="FF000000"/>
            <rFont val="Calibri"/>
            <family val="34"/>
          </rPr>
          <t xml:space="preserve">
</t>
        </r>
        <r>
          <rPr>
            <sz val="14"/>
            <color rgb="FF000000"/>
            <rFont val="Times New Roman"/>
            <family val="18"/>
          </rPr>
          <t>ML 1024 IR 14 (1791) – ST April (Linz 04/06/1791)</t>
        </r>
      </text>
    </comment>
    <comment ref="BH165" authorId="0" shapeId="0" xr:uid="{0B322072-1392-EF47-B1F1-C2EEE1531153}">
      <text>
        <r>
          <rPr>
            <sz val="14"/>
            <color rgb="FF000000"/>
            <rFont val="Calibri"/>
            <family val="34"/>
          </rPr>
          <t>MFWK (1790-1791)</t>
        </r>
      </text>
    </comment>
    <comment ref="BF166" authorId="0" shapeId="0" xr:uid="{B0421C31-582B-994C-9358-C81AF0ECD534}">
      <text>
        <r>
          <rPr>
            <sz val="14"/>
            <color rgb="FF000000"/>
            <rFont val="Times New Roman"/>
            <family val="18"/>
          </rPr>
          <t xml:space="preserve">31/10/1790 </t>
        </r>
        <r>
          <rPr>
            <i/>
            <sz val="14"/>
            <color rgb="FF000000"/>
            <rFont val="Times New Roman"/>
            <family val="18"/>
          </rPr>
          <t>Dienst seit mindestens beim IR 32 Feld Bats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20/11/1790 </t>
        </r>
        <r>
          <rPr>
            <i/>
            <sz val="14"/>
            <color rgb="FF000000"/>
            <rFont val="Times New Roman"/>
            <family val="18"/>
          </rPr>
          <t xml:space="preserve">Vermog hohe HKR Verordnung von 15/ Aug 1790 und General Commando Verordnung deto Lemberg den 22/08/1790 von IR 32 Regiments Fuhrwesen auf Unbestimmte Urlaub abgelassen </t>
        </r>
        <r>
          <rPr>
            <sz val="14"/>
            <color rgb="FF000000"/>
            <rFont val="Times New Roman"/>
            <family val="18"/>
          </rPr>
          <t>[ST Nov 1790]</t>
        </r>
        <r>
          <rPr>
            <sz val="14"/>
            <color rgb="FF000000"/>
            <rFont val="Calibri"/>
            <family val="34"/>
          </rPr>
          <t xml:space="preserve">
</t>
        </r>
      </text>
    </comment>
    <comment ref="BG166" authorId="0" shapeId="0" xr:uid="{94D38A00-58F3-2B42-98B7-9F1BE3F15E9E}">
      <text>
        <r>
          <rPr>
            <sz val="14"/>
            <color rgb="FF000000"/>
            <rFont val="Times New Roman"/>
            <family val="18"/>
          </rPr>
          <t>ML 2871 IR 32 (1790) – ST Nov (Lemberg 26/09/1791)</t>
        </r>
      </text>
    </comment>
    <comment ref="BH166" authorId="0" shapeId="0" xr:uid="{148F6188-A726-8642-B464-9DD6BB685877}">
      <text>
        <r>
          <rPr>
            <sz val="14"/>
            <color rgb="FF000000"/>
            <rFont val="Calibri"/>
            <family val="34"/>
          </rPr>
          <t>MFWK (1790)</t>
        </r>
      </text>
    </comment>
    <comment ref="BF167" authorId="0" shapeId="0" xr:uid="{B3CCD22D-657C-CC48-8BA1-7835B5DFF7F1}">
      <text>
        <r>
          <rPr>
            <sz val="14"/>
            <color rgb="FF000000"/>
            <rFont val="Times New Roman"/>
            <family val="18"/>
          </rPr>
          <t xml:space="preserve">31/10/1790 </t>
        </r>
        <r>
          <rPr>
            <i/>
            <sz val="14"/>
            <color rgb="FF000000"/>
            <rFont val="Times New Roman"/>
            <family val="18"/>
          </rPr>
          <t xml:space="preserve">Dient seit mindestens beim IR 39 Feld Bats an der Proviant Fuhrwesen </t>
        </r>
        <r>
          <rPr>
            <sz val="14"/>
            <color rgb="FF000000"/>
            <rFont val="Times New Roman"/>
            <family val="18"/>
          </rPr>
          <t>[ST Nov 1790]</t>
        </r>
        <r>
          <rPr>
            <sz val="14"/>
            <color rgb="FF000000"/>
            <rFont val="Calibri"/>
            <family val="34"/>
          </rPr>
          <t xml:space="preserve">
</t>
        </r>
        <r>
          <rPr>
            <sz val="14"/>
            <color rgb="FF000000"/>
            <rFont val="Times New Roman"/>
            <family val="18"/>
          </rPr>
          <t xml:space="preserve">05/01/1791 </t>
        </r>
        <r>
          <rPr>
            <i/>
            <sz val="14"/>
            <color rgb="FF000000"/>
            <rFont val="Times New Roman"/>
            <family val="18"/>
          </rPr>
          <t xml:space="preserve">Von Nasdasdy Feld Bat Proviant Fuhrwesen zum 17. MFWK Pro Cento Division transferiert </t>
        </r>
        <r>
          <rPr>
            <sz val="14"/>
            <color rgb="FF000000"/>
            <rFont val="Times New Roman"/>
            <family val="18"/>
          </rPr>
          <t>[TL Jan 1791]</t>
        </r>
        <r>
          <rPr>
            <sz val="14"/>
            <color rgb="FF000000"/>
            <rFont val="Calibri"/>
            <family val="34"/>
          </rPr>
          <t xml:space="preserve">
</t>
        </r>
      </text>
    </comment>
    <comment ref="BG167" authorId="0" shapeId="0" xr:uid="{24C49AC9-F5AA-7D47-961B-98EDE5504039}">
      <text>
        <r>
          <rPr>
            <sz val="14"/>
            <color rgb="FF000000"/>
            <rFont val="Times New Roman"/>
            <family val="18"/>
          </rPr>
          <t>ML 3529 IR 39 (1790) – ST Nov (28/01/1791)</t>
        </r>
        <r>
          <rPr>
            <sz val="14"/>
            <color rgb="FF000000"/>
            <rFont val="Calibri"/>
            <family val="34"/>
          </rPr>
          <t xml:space="preserve">
</t>
        </r>
        <r>
          <rPr>
            <sz val="14"/>
            <color rgb="FF000000"/>
            <rFont val="Times New Roman"/>
            <family val="18"/>
          </rPr>
          <t>ML 3531 IR 39 (1791) – TL IR 39-&gt;MFWK Nr. 1 (Belgrade 01/01/1791)</t>
        </r>
      </text>
    </comment>
    <comment ref="BH167" authorId="0" shapeId="0" xr:uid="{6ED5C6B2-63D1-2B4E-BC4D-170E38D3CEE9}">
      <text>
        <r>
          <rPr>
            <sz val="14"/>
            <color rgb="FF000000"/>
            <rFont val="Calibri"/>
            <family val="34"/>
          </rPr>
          <t>MFWK (1790-1791)</t>
        </r>
      </text>
    </comment>
    <comment ref="BF168" authorId="0" shapeId="0" xr:uid="{6DCC7EEF-7471-4E4E-9FE5-EFA9C16A9977}">
      <text>
        <r>
          <rPr>
            <sz val="14"/>
            <color rgb="FF000000"/>
            <rFont val="Times New Roman"/>
            <family val="18"/>
          </rPr>
          <t xml:space="preserve">31/10/1790 </t>
        </r>
        <r>
          <rPr>
            <i/>
            <sz val="14"/>
            <color rgb="FF000000"/>
            <rFont val="Times New Roman"/>
            <family val="18"/>
          </rPr>
          <t>Dient seit Mindestens beim IR 14 Proviant Fuhrwesen</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31/10/1790 [Seit Mindestens] </t>
        </r>
        <r>
          <rPr>
            <i/>
            <sz val="14"/>
            <color rgb="FF000000"/>
            <rFont val="Times New Roman"/>
            <family val="18"/>
          </rPr>
          <t>Auf dem Marsch zu seiner Heimat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31/04/1791 [Bis Mindestens] </t>
        </r>
        <r>
          <rPr>
            <i/>
            <sz val="14"/>
            <color rgb="FF000000"/>
            <rFont val="Times New Roman"/>
            <family val="18"/>
          </rPr>
          <t>Auf dem Marsch zu seiner Heimat</t>
        </r>
        <r>
          <rPr>
            <sz val="14"/>
            <color rgb="FF000000"/>
            <rFont val="Times New Roman"/>
            <family val="18"/>
          </rPr>
          <t xml:space="preserve"> [ST April 1791]</t>
        </r>
      </text>
    </comment>
    <comment ref="BG168" authorId="0" shapeId="0" xr:uid="{1BB5E2B1-7A82-2142-8888-905947FB3AD5}">
      <text>
        <r>
          <rPr>
            <sz val="14"/>
            <color rgb="FF000000"/>
            <rFont val="Times New Roman"/>
            <family val="18"/>
          </rPr>
          <t>ML 1023 IR 14 (1790) – ST Nov (Linz 15/03/1791)</t>
        </r>
        <r>
          <rPr>
            <sz val="14"/>
            <color rgb="FF000000"/>
            <rFont val="Calibri"/>
            <family val="34"/>
          </rPr>
          <t xml:space="preserve">
</t>
        </r>
        <r>
          <rPr>
            <sz val="14"/>
            <color rgb="FF000000"/>
            <rFont val="Times New Roman"/>
            <family val="18"/>
          </rPr>
          <t>ML 1024 IR 14 (1791) – ST April (Linz 04/06/1791)</t>
        </r>
      </text>
    </comment>
    <comment ref="BH168" authorId="0" shapeId="0" xr:uid="{EA0FFF2A-D3B4-654E-9F14-B6818C8206C6}">
      <text>
        <r>
          <rPr>
            <sz val="14"/>
            <color rgb="FF000000"/>
            <rFont val="Calibri"/>
            <family val="34"/>
          </rPr>
          <t>MFWK (1790-1791)</t>
        </r>
      </text>
    </comment>
    <comment ref="BF169" authorId="0" shapeId="0" xr:uid="{A549D0B7-8CB6-AE44-AB9B-7BD73B67BCE6}">
      <text>
        <r>
          <rPr>
            <sz val="14"/>
            <color rgb="FF000000"/>
            <rFont val="Times New Roman"/>
            <family val="18"/>
          </rPr>
          <t xml:space="preserve">01/11/1790 </t>
        </r>
        <r>
          <rPr>
            <i/>
            <sz val="14"/>
            <color rgb="FF000000"/>
            <rFont val="Times New Roman"/>
            <family val="18"/>
          </rPr>
          <t>Von Die disolvierte 3. Bat reserve Division zum Haupt Prevost Komp transferiert, bleibt beim Feldbataillons zugeteilt</t>
        </r>
        <r>
          <rPr>
            <sz val="14"/>
            <color rgb="FF000000"/>
            <rFont val="Times New Roman"/>
            <family val="18"/>
          </rPr>
          <t xml:space="preserve">  [ST Nov 1790]</t>
        </r>
        <r>
          <rPr>
            <sz val="14"/>
            <color rgb="FF000000"/>
            <rFont val="Calibri"/>
            <family val="34"/>
          </rPr>
          <t xml:space="preserve">
</t>
        </r>
        <r>
          <rPr>
            <sz val="14"/>
            <color rgb="FF000000"/>
            <rFont val="Times New Roman"/>
            <family val="18"/>
          </rPr>
          <t xml:space="preserve">13/07/1791 </t>
        </r>
        <r>
          <rPr>
            <i/>
            <sz val="14"/>
            <color rgb="FF000000"/>
            <rFont val="Times New Roman"/>
            <family val="18"/>
          </rPr>
          <t>Laut hoher Hofkriegsratliche Verordnung von nämlichen Dato ohnetgeldich war beim Feld Bataillon zugeheilt, und mit dem Friedens Gebühr von 14. Jul ibis Ende Aug: hoc mense wider abgezogen wird und auswärts verplfegt und mit Abschied entlassen</t>
        </r>
        <r>
          <rPr>
            <sz val="14"/>
            <color rgb="FF000000"/>
            <rFont val="Times New Roman"/>
            <family val="18"/>
          </rPr>
          <t xml:space="preserve"> [ST September 1791]</t>
        </r>
      </text>
    </comment>
    <comment ref="BG169" authorId="0" shapeId="0" xr:uid="{F42F6D46-878B-F64A-BA86-61D91EC74B1D}">
      <text>
        <r>
          <rPr>
            <sz val="14"/>
            <color rgb="FF000000"/>
            <rFont val="Times New Roman"/>
            <family val="18"/>
          </rPr>
          <t>ML 364 IR 4 (1790) – ST Nov (21/01/1791)</t>
        </r>
        <r>
          <rPr>
            <sz val="14"/>
            <color rgb="FF000000"/>
            <rFont val="Calibri"/>
            <family val="34"/>
          </rPr>
          <t xml:space="preserve">
</t>
        </r>
        <r>
          <rPr>
            <sz val="14"/>
            <color rgb="FF000000"/>
            <rFont val="Times New Roman"/>
            <family val="18"/>
          </rPr>
          <t>ML 366 IR 4 (1791) - ST Sept (Vienna 17/12/1791)</t>
        </r>
      </text>
    </comment>
    <comment ref="BH169" authorId="0" shapeId="0" xr:uid="{D0514223-28AA-874C-ACBE-993C99127873}">
      <text>
        <r>
          <rPr>
            <sz val="14"/>
            <color rgb="FF000000"/>
            <rFont val="Calibri"/>
            <family val="34"/>
          </rPr>
          <t>IR 4 (1790-1791)</t>
        </r>
      </text>
    </comment>
    <comment ref="BF170" authorId="0" shapeId="0" xr:uid="{165BA82D-B893-8A43-B6A5-2CFA39CE2DB9}">
      <text>
        <r>
          <rPr>
            <sz val="14"/>
            <color rgb="FF000000"/>
            <rFont val="Times New Roman"/>
            <family val="18"/>
          </rPr>
          <t>06/01/1791 Revision: IR 53 Feld Bats Proviant Fuhrwesen Nr. 4</t>
        </r>
        <r>
          <rPr>
            <sz val="14"/>
            <color rgb="FF000000"/>
            <rFont val="Calibri"/>
            <family val="34"/>
          </rPr>
          <t xml:space="preserve">
</t>
        </r>
        <r>
          <rPr>
            <sz val="14"/>
            <color rgb="FF000000"/>
            <rFont val="Times New Roman"/>
            <family val="18"/>
          </rPr>
          <t xml:space="preserve">10/11/1791 </t>
        </r>
        <r>
          <rPr>
            <i/>
            <sz val="14"/>
            <color rgb="FF000000"/>
            <rFont val="Times New Roman"/>
            <family val="18"/>
          </rPr>
          <t>Von IR 53 Feld Bats Proviant Fuhrwesen zum MFWK 23. Division</t>
        </r>
        <r>
          <rPr>
            <sz val="14"/>
            <color rgb="FF000000"/>
            <rFont val="Times New Roman"/>
            <family val="18"/>
          </rPr>
          <t xml:space="preserve"> [ST Nov 1791]</t>
        </r>
        <r>
          <rPr>
            <sz val="14"/>
            <color rgb="FF000000"/>
            <rFont val="Calibri"/>
            <family val="34"/>
          </rPr>
          <t xml:space="preserve">
</t>
        </r>
      </text>
    </comment>
    <comment ref="BG170" authorId="0" shapeId="0" xr:uid="{F2320CB8-799B-684D-AD28-8C99070CC6EA}">
      <text>
        <r>
          <rPr>
            <sz val="14"/>
            <color rgb="FF212121"/>
            <rFont val="Times New Roman"/>
            <family val="18"/>
          </rPr>
          <t>ML 4513 IR 53 (1791) – RL Feld Bats Proviant Fuhrwesen Nr. 4 (Cladova 06/01/1791)</t>
        </r>
        <r>
          <rPr>
            <sz val="14"/>
            <color rgb="FF000000"/>
            <rFont val="Calibri"/>
            <family val="34"/>
          </rPr>
          <t xml:space="preserve">
</t>
        </r>
        <r>
          <rPr>
            <sz val="14"/>
            <color rgb="FF000000"/>
            <rFont val="Times New Roman"/>
            <family val="18"/>
          </rPr>
          <t xml:space="preserve">ML 4561 IR 53 (1791) </t>
        </r>
        <r>
          <rPr>
            <sz val="14"/>
            <color rgb="FF212121"/>
            <rFont val="Times New Roman"/>
            <family val="18"/>
          </rPr>
          <t>– ST Nov (29/06/1793)</t>
        </r>
      </text>
    </comment>
    <comment ref="BH170" authorId="0" shapeId="0" xr:uid="{61066B7F-186D-3D4B-BC6C-CC5CECF578FD}">
      <text>
        <r>
          <rPr>
            <sz val="14"/>
            <color rgb="FF000000"/>
            <rFont val="Calibri"/>
            <family val="34"/>
          </rPr>
          <t>MFWK (1791)</t>
        </r>
      </text>
    </comment>
    <comment ref="BF171" authorId="0" shapeId="0" xr:uid="{4F68EBB1-F6AB-6449-B865-0A060867B7DF}">
      <text>
        <r>
          <rPr>
            <sz val="14"/>
            <color rgb="FF000000"/>
            <rFont val="Times New Roman"/>
            <family val="18"/>
          </rPr>
          <t>06/01/1791 Revision: IR 53 Feld Bays Proviant Fuhrwesen Nr. 6</t>
        </r>
        <r>
          <rPr>
            <sz val="14"/>
            <color rgb="FF000000"/>
            <rFont val="Calibri"/>
            <family val="34"/>
          </rPr>
          <t xml:space="preserve">
</t>
        </r>
        <r>
          <rPr>
            <sz val="14"/>
            <color rgb="FF000000"/>
            <rFont val="Times New Roman"/>
            <family val="18"/>
          </rPr>
          <t xml:space="preserve">10/11/1791 </t>
        </r>
        <r>
          <rPr>
            <i/>
            <sz val="14"/>
            <color rgb="FF000000"/>
            <rFont val="Times New Roman"/>
            <family val="18"/>
          </rPr>
          <t>Von IR 53 Feld Bats Proviant Fuhrwesen zum MFWK 23. Division</t>
        </r>
        <r>
          <rPr>
            <sz val="14"/>
            <color rgb="FF000000"/>
            <rFont val="Times New Roman"/>
            <family val="18"/>
          </rPr>
          <t xml:space="preserve"> [ST Nov 1791]</t>
        </r>
        <r>
          <rPr>
            <sz val="14"/>
            <color rgb="FF000000"/>
            <rFont val="Calibri"/>
            <family val="34"/>
          </rPr>
          <t xml:space="preserve">
</t>
        </r>
      </text>
    </comment>
    <comment ref="BG171" authorId="0" shapeId="0" xr:uid="{1EBE1870-2FC6-A747-9EE7-6969BB5B0A9D}">
      <text>
        <r>
          <rPr>
            <sz val="14"/>
            <color rgb="FF212121"/>
            <rFont val="Times New Roman"/>
            <family val="18"/>
          </rPr>
          <t>ML 4513 IR 53 (1791) – RL Feld Bats Proviant Fuhrwesen Nr. 6 (Cladova 06/01/1791)</t>
        </r>
        <r>
          <rPr>
            <sz val="14"/>
            <color rgb="FF000000"/>
            <rFont val="Calibri"/>
            <family val="34"/>
          </rPr>
          <t xml:space="preserve">
</t>
        </r>
        <r>
          <rPr>
            <sz val="14"/>
            <color rgb="FF000000"/>
            <rFont val="Times New Roman"/>
            <family val="18"/>
          </rPr>
          <t xml:space="preserve">ML 4561 IR 53 (1791) </t>
        </r>
        <r>
          <rPr>
            <sz val="14"/>
            <color rgb="FF212121"/>
            <rFont val="Times New Roman"/>
            <family val="18"/>
          </rPr>
          <t>– ST Nov (29/06/1793)</t>
        </r>
      </text>
    </comment>
    <comment ref="BH171" authorId="0" shapeId="0" xr:uid="{409B2F61-B624-FD4D-892A-F754FDA92AA1}">
      <text>
        <r>
          <rPr>
            <sz val="14"/>
            <color rgb="FF000000"/>
            <rFont val="Calibri"/>
            <family val="34"/>
          </rPr>
          <t>MFWK (1791)</t>
        </r>
      </text>
    </comment>
    <comment ref="BF172" authorId="0" shapeId="0" xr:uid="{1BA0D4F8-6C81-B341-A570-863CBF78DA20}">
      <text>
        <r>
          <rPr>
            <sz val="14"/>
            <color rgb="FF000000"/>
            <rFont val="Times New Roman"/>
            <family val="18"/>
          </rPr>
          <t xml:space="preserve">??/??/???? </t>
        </r>
        <r>
          <rPr>
            <i/>
            <sz val="14"/>
            <color rgb="FF000000"/>
            <rFont val="Times New Roman"/>
            <family val="18"/>
          </rPr>
          <t>Krank in Loco</t>
        </r>
        <r>
          <rPr>
            <sz val="14"/>
            <color rgb="FF000000"/>
            <rFont val="Times New Roman"/>
            <family val="18"/>
          </rPr>
          <t xml:space="preserve"> [ST Feb 1791]</t>
        </r>
        <r>
          <rPr>
            <sz val="14"/>
            <color rgb="FF000000"/>
            <rFont val="Calibri"/>
            <family val="34"/>
          </rPr>
          <t xml:space="preserve">
</t>
        </r>
        <r>
          <rPr>
            <sz val="14"/>
            <color rgb="FF000000"/>
            <rFont val="Times New Roman"/>
            <family val="18"/>
          </rPr>
          <t xml:space="preserve">31/01/1791 </t>
        </r>
        <r>
          <rPr>
            <i/>
            <sz val="14"/>
            <color rgb="FF000000"/>
            <rFont val="Times New Roman"/>
            <family val="18"/>
          </rPr>
          <t>Rekonvalesziert</t>
        </r>
        <r>
          <rPr>
            <sz val="14"/>
            <color rgb="FF000000"/>
            <rFont val="Times New Roman"/>
            <family val="18"/>
          </rPr>
          <t xml:space="preserve"> [Dient seit mindestens als Proviant Fuhrknecht bei IR 26 Proviant Fuhrwesen] [ST Feb 1791]</t>
        </r>
        <r>
          <rPr>
            <sz val="14"/>
            <color rgb="FF000000"/>
            <rFont val="Calibri"/>
            <family val="34"/>
          </rPr>
          <t xml:space="preserve">
</t>
        </r>
        <r>
          <rPr>
            <sz val="14"/>
            <color rgb="FF000000"/>
            <rFont val="Times New Roman"/>
            <family val="18"/>
          </rPr>
          <t xml:space="preserve">28/02/1791 </t>
        </r>
        <r>
          <rPr>
            <i/>
            <sz val="14"/>
            <color rgb="FF000000"/>
            <rFont val="Times New Roman"/>
            <family val="18"/>
          </rPr>
          <t>Von IR 26 Regiments Proviant Fuhrwesen auf unbestimmten Urlaub entlassen</t>
        </r>
        <r>
          <rPr>
            <sz val="14"/>
            <color rgb="FF000000"/>
            <rFont val="Times New Roman"/>
            <family val="18"/>
          </rPr>
          <t xml:space="preserve"> [ST Feb 1791]</t>
        </r>
      </text>
    </comment>
    <comment ref="BG172" authorId="0" shapeId="0" xr:uid="{3B70590E-D78A-1545-9FE6-80EF51935A7D}">
      <text>
        <r>
          <rPr>
            <sz val="14"/>
            <color rgb="FF000000"/>
            <rFont val="Times New Roman"/>
            <family val="18"/>
          </rPr>
          <t>ML 2184 IR 26 (1790/1) – ST Feb (Innsbruck 12/05/1791)</t>
        </r>
      </text>
    </comment>
    <comment ref="BH172" authorId="0" shapeId="0" xr:uid="{930F7F48-5029-8645-9840-680795BB5AE8}">
      <text>
        <r>
          <rPr>
            <sz val="14"/>
            <color rgb="FF000000"/>
            <rFont val="Calibri"/>
            <family val="34"/>
          </rPr>
          <t>MFWK (1791)</t>
        </r>
      </text>
    </comment>
    <comment ref="C173" authorId="0" shapeId="0" xr:uid="{F50D7A7C-1A23-3D4D-A6C7-84D77ABC97EA}">
      <text>
        <r>
          <rPr>
            <sz val="14"/>
            <color rgb="FF000000"/>
            <rFont val="Times New Roman"/>
            <family val="18"/>
          </rPr>
          <t xml:space="preserve">hat aber des Decenium in Bielitz </t>
        </r>
        <r>
          <rPr>
            <b/>
            <sz val="14"/>
            <color rgb="FF000000"/>
            <rFont val="Times New Roman"/>
            <family val="18"/>
          </rPr>
          <t>[</t>
        </r>
        <r>
          <rPr>
            <b/>
            <u/>
            <sz val="14"/>
            <color rgb="FF0563C1"/>
            <rFont val="Times New Roman"/>
            <family val="18"/>
          </rPr>
          <t>Bielsko-Biała, Poland</t>
        </r>
        <r>
          <rPr>
            <b/>
            <sz val="14"/>
            <color rgb="FF000000"/>
            <rFont val="Times New Roman"/>
            <family val="18"/>
          </rPr>
          <t>]</t>
        </r>
        <r>
          <rPr>
            <sz val="14"/>
            <color rgb="FF000000"/>
            <rFont val="Times New Roman"/>
            <family val="18"/>
          </rPr>
          <t xml:space="preserve"> erreicht</t>
        </r>
        <r>
          <rPr>
            <sz val="14"/>
            <color rgb="FF000000"/>
            <rFont val="Calibri"/>
            <family val="2"/>
          </rPr>
          <t xml:space="preserve"> </t>
        </r>
      </text>
    </comment>
    <comment ref="T173" authorId="0" shapeId="0" xr:uid="{4DEACAEC-E488-964E-B50E-6CF0B5A4F78D}">
      <text>
        <r>
          <rPr>
            <b/>
            <sz val="14"/>
            <color rgb="FF000000"/>
            <rFont val="Calibri"/>
            <family val="34"/>
          </rPr>
          <t xml:space="preserve">5.1 [160.63 cm] (ML 1791)
</t>
        </r>
        <r>
          <rPr>
            <sz val="14"/>
            <color rgb="FF000000"/>
            <rFont val="Calibri"/>
            <family val="34"/>
          </rPr>
          <t>5.1.1 [163.85 cm] (ML 1792)</t>
        </r>
      </text>
    </comment>
    <comment ref="BF173" authorId="0" shapeId="0" xr:uid="{5BCD37D9-4A38-0B41-BF36-85C80CEAF031}">
      <text>
        <r>
          <rPr>
            <sz val="14"/>
            <color rgb="FF000000"/>
            <rFont val="Times New Roman"/>
            <family val="18"/>
          </rPr>
          <t xml:space="preserve">[29/05/1791 </t>
        </r>
        <r>
          <rPr>
            <i/>
            <sz val="14"/>
            <color rgb="FF000000"/>
            <rFont val="Times New Roman"/>
            <family val="18"/>
          </rPr>
          <t>Aus Mangel von Ernährung sich selbst gestellt</t>
        </r>
        <r>
          <rPr>
            <sz val="14"/>
            <color rgb="FF000000"/>
            <rFont val="Times New Roman"/>
            <family val="18"/>
          </rPr>
          <t xml:space="preserve"> [ML 1791]</t>
        </r>
        <r>
          <rPr>
            <sz val="14"/>
            <color rgb="FF000000"/>
            <rFont val="Calibri"/>
            <family val="34"/>
          </rPr>
          <t xml:space="preserve">
</t>
        </r>
        <r>
          <rPr>
            <sz val="14"/>
            <color rgb="FF000000"/>
            <rFont val="Times New Roman"/>
            <family val="18"/>
          </rPr>
          <t>24/08/1791 Muster: IR 56 Haupt Fichtel Komp. Nr. 237</t>
        </r>
        <r>
          <rPr>
            <sz val="14"/>
            <color rgb="FF000000"/>
            <rFont val="Calibri"/>
            <family val="34"/>
          </rPr>
          <t xml:space="preserve">
</t>
        </r>
        <r>
          <rPr>
            <sz val="14"/>
            <color rgb="FF000000"/>
            <rFont val="Times New Roman"/>
            <family val="18"/>
          </rPr>
          <t>20/08/1792 Muster: IR 56 Haupt Fichtel Komp. Nr. 146</t>
        </r>
        <r>
          <rPr>
            <sz val="14"/>
            <color rgb="FF000000"/>
            <rFont val="Calibri"/>
            <family val="34"/>
          </rPr>
          <t xml:space="preserve">
</t>
        </r>
        <r>
          <rPr>
            <sz val="14"/>
            <color rgb="FF000000"/>
            <rFont val="Times New Roman"/>
            <family val="18"/>
          </rPr>
          <t xml:space="preserve">01/09/1792 </t>
        </r>
        <r>
          <rPr>
            <i/>
            <sz val="14"/>
            <color rgb="FF000000"/>
            <rFont val="Times New Roman"/>
            <family val="18"/>
          </rPr>
          <t xml:space="preserve">Von Haupt Fichtel zum Haupt Oberburg Komp. transferiert </t>
        </r>
        <r>
          <rPr>
            <sz val="14"/>
            <color rgb="FF000000"/>
            <rFont val="Times New Roman"/>
            <family val="18"/>
          </rPr>
          <t>[RL 1793]</t>
        </r>
        <r>
          <rPr>
            <sz val="14"/>
            <color rgb="FF000000"/>
            <rFont val="Calibri"/>
            <family val="34"/>
          </rPr>
          <t xml:space="preserve">
</t>
        </r>
        <r>
          <rPr>
            <sz val="14"/>
            <color rgb="FF000000"/>
            <rFont val="Times New Roman"/>
            <family val="18"/>
          </rPr>
          <t>25/08/1793 Revision: IR 56 Haupt Oberburg Komp. Nr. 101</t>
        </r>
        <r>
          <rPr>
            <sz val="14"/>
            <color rgb="FF000000"/>
            <rFont val="Calibri"/>
            <family val="34"/>
          </rPr>
          <t xml:space="preserve">
</t>
        </r>
      </text>
    </comment>
    <comment ref="BG173" authorId="0" shapeId="0" xr:uid="{BF974488-5B94-BF4D-A99D-7056B4153372}">
      <text>
        <r>
          <rPr>
            <sz val="14"/>
            <color rgb="FF000000"/>
            <rFont val="Times New Roman"/>
            <family val="18"/>
          </rPr>
          <t>ML 4710 IR 56 (1791) – Haupt Fichter Komp. Nr. 237 (Olmütz 24/08/1791)</t>
        </r>
        <r>
          <rPr>
            <sz val="14"/>
            <color rgb="FF000000"/>
            <rFont val="Calibri"/>
            <family val="34"/>
          </rPr>
          <t xml:space="preserve">
</t>
        </r>
        <r>
          <rPr>
            <sz val="14"/>
            <color rgb="FF000000"/>
            <rFont val="Times New Roman"/>
            <family val="18"/>
          </rPr>
          <t>ML 4711 IR 56 (1792) – Haupt Fichter Komp. Nr. 237 (Olmütz 20/08/1792)</t>
        </r>
        <r>
          <rPr>
            <sz val="14"/>
            <color rgb="FF000000"/>
            <rFont val="Calibri"/>
            <family val="34"/>
          </rPr>
          <t xml:space="preserve">
</t>
        </r>
        <r>
          <rPr>
            <sz val="14"/>
            <color rgb="FF000000"/>
            <rFont val="Times New Roman"/>
            <family val="18"/>
          </rPr>
          <t>ML 4712 IR 56 (1793) – Haupt Oberburg Komp. Nr. 101 (Teschen 25/07/1793)</t>
        </r>
      </text>
    </comment>
    <comment ref="BH173" authorId="0" shapeId="0" xr:uid="{C2EB0AE4-80D2-1741-8065-08AA349674D0}">
      <text>
        <r>
          <rPr>
            <sz val="14"/>
            <color rgb="FF000000"/>
            <rFont val="Calibri"/>
            <family val="34"/>
          </rPr>
          <t>IR 56 (1791-1793)</t>
        </r>
      </text>
    </comment>
    <comment ref="CR173" authorId="0" shapeId="0" xr:uid="{0BD11FF7-0CCF-7945-87EC-722739B97302}">
      <text>
        <r>
          <rPr>
            <i/>
            <sz val="14"/>
            <color rgb="FF000000"/>
            <rFont val="Times New Roman"/>
            <family val="18"/>
          </rPr>
          <t xml:space="preserve">Convertirt, und war ein Jud </t>
        </r>
        <r>
          <rPr>
            <sz val="14"/>
            <color rgb="FF000000"/>
            <rFont val="Times New Roman"/>
            <family val="18"/>
          </rPr>
          <t>[ML 1791]</t>
        </r>
      </text>
    </comment>
    <comment ref="I174" authorId="0" shapeId="0" xr:uid="{FD6AA96B-A663-404A-AD70-D7D874E6BF26}">
      <text>
        <r>
          <rPr>
            <sz val="14"/>
            <color rgb="FF000000"/>
            <rFont val="Calibri"/>
            <family val="34"/>
          </rPr>
          <t xml:space="preserve">1757 [54 (1811)] 
</t>
        </r>
        <r>
          <rPr>
            <sz val="14"/>
            <color rgb="FF000000"/>
            <rFont val="Calibri"/>
            <family val="34"/>
          </rPr>
          <t xml:space="preserve">OR 
</t>
        </r>
        <r>
          <rPr>
            <sz val="14"/>
            <color rgb="FF000000"/>
            <rFont val="Calibri"/>
            <family val="34"/>
          </rPr>
          <t>1763 [39 (1802)]</t>
        </r>
      </text>
    </comment>
    <comment ref="BF174" authorId="0" shapeId="0" xr:uid="{78964EC3-3730-8546-8201-73750D1C3745}">
      <text>
        <r>
          <rPr>
            <sz val="14"/>
            <color rgb="FF000000"/>
            <rFont val="Times New Roman"/>
            <family val="18"/>
          </rPr>
          <t>??/06/1791 [</t>
        </r>
        <r>
          <rPr>
            <i/>
            <sz val="14"/>
            <color rgb="FF000000"/>
            <rFont val="Times New Roman"/>
            <family val="18"/>
          </rPr>
          <t>Diente in ‘Lattermann’ Infanterie 19 Jahr</t>
        </r>
        <r>
          <rPr>
            <sz val="14"/>
            <color rgb="FF000000"/>
            <rFont val="Times New Roman"/>
            <family val="18"/>
          </rPr>
          <t>] [ML 1811]</t>
        </r>
        <r>
          <rPr>
            <sz val="14"/>
            <color rgb="FF000000"/>
            <rFont val="Calibri"/>
            <family val="34"/>
          </rPr>
          <t xml:space="preserve">
</t>
        </r>
        <r>
          <rPr>
            <sz val="14"/>
            <color rgb="FF000000"/>
            <rFont val="Times New Roman"/>
            <family val="18"/>
          </rPr>
          <t xml:space="preserve">01/07/1798 </t>
        </r>
        <r>
          <rPr>
            <i/>
            <sz val="14"/>
            <color rgb="FF000000"/>
            <rFont val="Times New Roman"/>
            <family val="18"/>
          </rPr>
          <t>Dient seit bey Michael Wallis Inf</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 xml:space="preserve">Ohne Kapitulation </t>
        </r>
        <r>
          <rPr>
            <sz val="14"/>
            <color rgb="FF000000"/>
            <rFont val="Times New Roman"/>
            <family val="18"/>
          </rPr>
          <t>[ML 1802]</t>
        </r>
        <r>
          <rPr>
            <sz val="14"/>
            <color rgb="FF000000"/>
            <rFont val="Calibri"/>
            <family val="34"/>
          </rPr>
          <t xml:space="preserve">
</t>
        </r>
        <r>
          <rPr>
            <sz val="14"/>
            <color rgb="FF000000"/>
            <rFont val="Times New Roman"/>
            <family val="18"/>
          </rPr>
          <t xml:space="preserve">01/02/1799 </t>
        </r>
        <r>
          <rPr>
            <i/>
            <sz val="14"/>
            <color rgb="FF000000"/>
            <rFont val="Times New Roman"/>
            <family val="18"/>
          </rPr>
          <t>Von IR 11 zum IR 45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13/09/1802 Muster: IR 45 1. Grenadier Komp. Nr. 46</t>
        </r>
        <r>
          <rPr>
            <sz val="14"/>
            <color rgb="FF000000"/>
            <rFont val="Calibri"/>
            <family val="34"/>
          </rPr>
          <t xml:space="preserve">
</t>
        </r>
        <r>
          <rPr>
            <sz val="14"/>
            <color rgb="FF000000"/>
            <rFont val="Times New Roman"/>
            <family val="18"/>
          </rPr>
          <t xml:space="preserve">31/07/1810 </t>
        </r>
        <r>
          <rPr>
            <i/>
            <sz val="14"/>
            <color rgb="FF000000"/>
            <rFont val="Times New Roman"/>
            <family val="18"/>
          </rPr>
          <t>Von IR 45 Regiment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01/08/1811 </t>
        </r>
        <r>
          <rPr>
            <i/>
            <sz val="14"/>
            <color rgb="FF000000"/>
            <rFont val="Times New Roman"/>
            <family val="18"/>
          </rPr>
          <t>Ins Pager Invaliden Haus zur Verpflegung gekommen</t>
        </r>
        <r>
          <rPr>
            <sz val="14"/>
            <color rgb="FF000000"/>
            <rFont val="Times New Roman"/>
            <family val="18"/>
          </rPr>
          <t xml:space="preserve"> [ML 1811]</t>
        </r>
        <r>
          <rPr>
            <sz val="14"/>
            <color rgb="FF000000"/>
            <rFont val="Calibri"/>
            <family val="34"/>
          </rPr>
          <t xml:space="preserve">
</t>
        </r>
        <r>
          <rPr>
            <sz val="14"/>
            <color rgb="FF000000"/>
            <rFont val="Times New Roman"/>
            <family val="18"/>
          </rPr>
          <t>24/06/1811 Muster: 9. &amp; 10. Chambre Nr. 147 [</t>
        </r>
        <r>
          <rPr>
            <i/>
            <sz val="14"/>
            <color rgb="FF000000"/>
            <rFont val="Times New Roman"/>
            <family val="18"/>
          </rPr>
          <t>Für Dienst in Haus tauglich</t>
        </r>
        <r>
          <rPr>
            <sz val="14"/>
            <color rgb="FF000000"/>
            <rFont val="Times New Roman"/>
            <family val="18"/>
          </rPr>
          <t>]</t>
        </r>
      </text>
    </comment>
    <comment ref="BG174" authorId="0" shapeId="0" xr:uid="{C116BA51-F6D6-F943-B658-188ED5019EC1}">
      <text>
        <r>
          <rPr>
            <sz val="14"/>
            <color rgb="FF000000"/>
            <rFont val="Times New Roman"/>
            <family val="18"/>
          </rPr>
          <t>ML 10.344 IR 45 (1802) – 1. Grenadiers Comp Nr. 46 (Graz 13/09/1802)</t>
        </r>
        <r>
          <rPr>
            <sz val="14"/>
            <color rgb="FF000000"/>
            <rFont val="Calibri"/>
            <family val="34"/>
          </rPr>
          <t xml:space="preserve">
</t>
        </r>
        <r>
          <rPr>
            <sz val="14"/>
            <color rgb="FF000000"/>
            <rFont val="Times New Roman"/>
            <family val="18"/>
          </rPr>
          <t>ML 9664 InvH Prag (1811) –9. &amp; 10. Chambre Nr. 147 (Prag 24/06/1811)</t>
        </r>
      </text>
    </comment>
    <comment ref="BH174" authorId="0" shapeId="0" xr:uid="{E147AE10-118D-C84E-B196-0E2C2921A43B}">
      <text>
        <r>
          <rPr>
            <sz val="14"/>
            <color rgb="FF000000"/>
            <rFont val="Calibri"/>
            <family val="34"/>
          </rPr>
          <t xml:space="preserve">IR 11 (1791/8-1799)
</t>
        </r>
        <r>
          <rPr>
            <sz val="14"/>
            <color rgb="FF000000"/>
            <rFont val="Calibri"/>
            <family val="34"/>
          </rPr>
          <t xml:space="preserve">IR 45 (1799-1810)
</t>
        </r>
        <r>
          <rPr>
            <sz val="14"/>
            <color rgb="FF000000"/>
            <rFont val="Calibri"/>
            <family val="34"/>
          </rPr>
          <t>InvH Prag (1810-1811)</t>
        </r>
      </text>
    </comment>
    <comment ref="BJ174" authorId="0" shapeId="0" xr:uid="{2F13C88C-BCAE-2A40-B7C6-A4807C104783}">
      <text>
        <r>
          <rPr>
            <i/>
            <sz val="14"/>
            <color rgb="FF000000"/>
            <rFont val="Times New Roman"/>
            <family val="18"/>
          </rPr>
          <t xml:space="preserve">Alt und Steiff </t>
        </r>
        <r>
          <rPr>
            <sz val="14"/>
            <color rgb="FF000000"/>
            <rFont val="Times New Roman"/>
            <family val="18"/>
          </rPr>
          <t>[ML 1811]</t>
        </r>
      </text>
    </comment>
    <comment ref="BF175" authorId="0" shapeId="0" xr:uid="{769A45E5-C739-9349-AEE1-83F22783B31F}">
      <text>
        <r>
          <rPr>
            <sz val="14"/>
            <color rgb="FF000000"/>
            <rFont val="Times New Roman"/>
            <family val="18"/>
          </rPr>
          <t xml:space="preserve">[C. 07/1792] </t>
        </r>
        <r>
          <rPr>
            <i/>
            <sz val="14"/>
            <color rgb="FF000000"/>
            <rFont val="Times New Roman"/>
            <family val="18"/>
          </rPr>
          <t>Vor 8 Jahren unentgeltlich in Pzemisla</t>
        </r>
        <r>
          <rPr>
            <sz val="14"/>
            <color rgb="FF000000"/>
            <rFont val="Times New Roman"/>
            <family val="18"/>
          </rPr>
          <t xml:space="preserve"> </t>
        </r>
        <r>
          <rPr>
            <b/>
            <sz val="14"/>
            <color rgb="FF000000"/>
            <rFont val="Times New Roman"/>
            <family val="18"/>
          </rPr>
          <t>[Przemyśl, Poland]</t>
        </r>
        <r>
          <rPr>
            <i/>
            <sz val="14"/>
            <color rgb="FF000000"/>
            <rFont val="Times New Roman"/>
            <family val="18"/>
          </rPr>
          <t xml:space="preserve"> in Pohlen gestellt worden</t>
        </r>
        <r>
          <rPr>
            <sz val="14"/>
            <color rgb="FF000000"/>
            <rFont val="Calibri"/>
            <family val="34"/>
          </rPr>
          <t xml:space="preserve">
</t>
        </r>
        <r>
          <rPr>
            <sz val="14"/>
            <color rgb="FF000000"/>
            <rFont val="Times New Roman"/>
            <family val="18"/>
          </rPr>
          <t xml:space="preserve">06/07/1800 </t>
        </r>
        <r>
          <rPr>
            <i/>
            <sz val="14"/>
            <color rgb="FF000000"/>
            <rFont val="Times New Roman"/>
            <family val="18"/>
          </rPr>
          <t>Vor 14 Tagen bei Verona Desertiert</t>
        </r>
        <r>
          <rPr>
            <sz val="14"/>
            <color rgb="FF000000"/>
            <rFont val="Calibri"/>
            <family val="34"/>
          </rPr>
          <t xml:space="preserve">
</t>
        </r>
        <r>
          <rPr>
            <sz val="14"/>
            <color rgb="FF000000"/>
            <rFont val="Times New Roman"/>
            <family val="18"/>
          </rPr>
          <t>Montur: Seiner eigener montur</t>
        </r>
        <r>
          <rPr>
            <sz val="14"/>
            <color rgb="FF000000"/>
            <rFont val="Calibri"/>
            <family val="34"/>
          </rPr>
          <t xml:space="preserve">
</t>
        </r>
        <r>
          <rPr>
            <sz val="14"/>
            <color rgb="FF000000"/>
            <rFont val="Times New Roman"/>
            <family val="18"/>
          </rPr>
          <t xml:space="preserve">Ursache: </t>
        </r>
        <r>
          <rPr>
            <i/>
            <sz val="14"/>
            <color rgb="FF000000"/>
            <rFont val="Times New Roman"/>
            <family val="18"/>
          </rPr>
          <t>Er war mit Gewalt gezwungen worden 4 Pferde zu verfahren da selber aber zu schwach und nicht in Stande ist 4. Pferde ganz zu Ihnen und sie gehörig zu verpflegen, sich oberste gemeldet und ohrer nicht geglaubt worden dahero eingeweichten</t>
        </r>
        <r>
          <rPr>
            <sz val="14"/>
            <color rgb="FF000000"/>
            <rFont val="Times New Roman"/>
            <family val="18"/>
          </rPr>
          <t xml:space="preserve">  [?] </t>
        </r>
        <r>
          <rPr>
            <sz val="14"/>
            <color rgb="FF000000"/>
            <rFont val="Calibri"/>
            <family val="34"/>
          </rPr>
          <t xml:space="preserve">
</t>
        </r>
        <r>
          <rPr>
            <sz val="14"/>
            <color rgb="FF000000"/>
            <rFont val="Times New Roman"/>
            <family val="18"/>
          </rPr>
          <t xml:space="preserve">Wo arretiert: </t>
        </r>
        <r>
          <rPr>
            <i/>
            <sz val="14"/>
            <color rgb="FF000000"/>
            <rFont val="Times New Roman"/>
            <family val="18"/>
          </rPr>
          <t>2 Wochen in der</t>
        </r>
        <r>
          <rPr>
            <sz val="14"/>
            <color rgb="FF000000"/>
            <rFont val="Times New Roman"/>
            <family val="18"/>
          </rPr>
          <t xml:space="preserve"> [?] </t>
        </r>
        <r>
          <rPr>
            <i/>
            <sz val="14"/>
            <color rgb="FF000000"/>
            <rFont val="Times New Roman"/>
            <family val="18"/>
          </rPr>
          <t>und 3 auf der Straße über das Geburt gegen Ungarn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Arrest: </t>
        </r>
        <r>
          <rPr>
            <i/>
            <sz val="14"/>
            <color rgb="FF000000"/>
            <rFont val="Times New Roman"/>
            <family val="18"/>
          </rPr>
          <t xml:space="preserve">Ist auf dem Grenze auf Pfarr Joseph Kavagna im Dorf Creda angehalten und eingebracht worden </t>
        </r>
        <r>
          <rPr>
            <sz val="14"/>
            <color rgb="FF000000"/>
            <rFont val="Calibri"/>
            <family val="34"/>
          </rPr>
          <t xml:space="preserve">
</t>
        </r>
        <r>
          <rPr>
            <sz val="14"/>
            <color rgb="FF000000"/>
            <rFont val="+mn-lt"/>
            <charset val="1"/>
          </rPr>
          <t xml:space="preserve">]
</t>
        </r>
      </text>
    </comment>
    <comment ref="BG175" authorId="0" shapeId="0" xr:uid="{6FC50B45-1659-724B-B71F-901CB3F25B9E}">
      <text>
        <r>
          <rPr>
            <sz val="14"/>
            <color rgb="FF000000"/>
            <rFont val="Times New Roman"/>
            <family val="18"/>
          </rPr>
          <t>ML 10.082 IR 13 (1801) – PL 29. April 1800 bis Ende Sept 1801 Eintrag für 20. Juli 1800</t>
        </r>
      </text>
    </comment>
    <comment ref="BH175" authorId="0" shapeId="0" xr:uid="{FE13FAA3-C583-FF4D-B5AA-073AB0604FF6}">
      <text>
        <r>
          <rPr>
            <sz val="14"/>
            <color rgb="FF000000"/>
            <rFont val="Times New Roman"/>
            <family val="18"/>
          </rPr>
          <t>MFWK (1792-1800)</t>
        </r>
      </text>
    </comment>
    <comment ref="BF176" authorId="0" shapeId="0" xr:uid="{D0EAA361-93DF-E14A-9235-6EE9E8EFF606}">
      <text>
        <r>
          <rPr>
            <sz val="14"/>
            <color rgb="FF000000"/>
            <rFont val="Times New Roman"/>
            <family val="18"/>
          </rPr>
          <t xml:space="preserve">11/09/1791 </t>
        </r>
        <r>
          <rPr>
            <i/>
            <sz val="14"/>
            <color rgb="FF000000"/>
            <rFont val="Times New Roman"/>
            <family val="18"/>
          </rPr>
          <t xml:space="preserve">Von MFWK 2. Artillerie Reserve Division zum IR 40 3. Bataillon transferiert und zum Proviant Fuhrwesen eingeteilt </t>
        </r>
        <r>
          <rPr>
            <sz val="14"/>
            <color rgb="FF000000"/>
            <rFont val="Times New Roman"/>
            <family val="18"/>
          </rPr>
          <t>[TL Sept 1791 &amp; ST Sept 1791]</t>
        </r>
        <r>
          <rPr>
            <sz val="14"/>
            <color rgb="FF000000"/>
            <rFont val="Aptos"/>
            <family val="34"/>
          </rPr>
          <t xml:space="preserve">
</t>
        </r>
        <r>
          <rPr>
            <sz val="14"/>
            <color rgb="FF000000"/>
            <rFont val="Times New Roman"/>
            <family val="18"/>
          </rPr>
          <t xml:space="preserve">16/10/1791 </t>
        </r>
        <r>
          <rPr>
            <i/>
            <sz val="14"/>
            <color rgb="FF000000"/>
            <rFont val="Times New Roman"/>
            <family val="18"/>
          </rPr>
          <t>Im Garnison Spital zu Pest</t>
        </r>
        <r>
          <rPr>
            <sz val="14"/>
            <color rgb="FF000000"/>
            <rFont val="Times New Roman"/>
            <family val="18"/>
          </rPr>
          <t xml:space="preserve"> [ST Oct 1791]</t>
        </r>
        <r>
          <rPr>
            <sz val="14"/>
            <color rgb="FF000000"/>
            <rFont val="Aptos"/>
            <family val="34"/>
          </rPr>
          <t xml:space="preserve">
</t>
        </r>
        <r>
          <rPr>
            <sz val="14"/>
            <color rgb="FF000000"/>
            <rFont val="Times New Roman"/>
            <family val="18"/>
          </rPr>
          <t>31/10/1791 [Dient bis mindestens] [ST Oct 1791]</t>
        </r>
      </text>
    </comment>
    <comment ref="BG176" authorId="0" shapeId="0" xr:uid="{C44D5E14-4FFB-494C-B904-BC08990774C6}">
      <text>
        <r>
          <rPr>
            <sz val="14"/>
            <color rgb="FF000000"/>
            <rFont val="Times New Roman"/>
            <family val="18"/>
          </rPr>
          <t>ML 3613 IR 40 (1791) – TL MFWK-&gt;IR 40 Nr. 9 (Schard 04/09/1791); ST Sept (Kremsier 24/12/1791), Oct (Kremsier 02/12//1791)</t>
        </r>
      </text>
    </comment>
    <comment ref="BH176" authorId="0" shapeId="0" xr:uid="{89B8D09E-FD19-2B40-8E5E-FC5071C22C8C}">
      <text>
        <r>
          <rPr>
            <sz val="14"/>
            <color rgb="FF000000"/>
            <rFont val="Calibri"/>
            <family val="34"/>
          </rPr>
          <t>MFWK (1791)</t>
        </r>
      </text>
    </comment>
    <comment ref="BF177" authorId="0" shapeId="0" xr:uid="{A062FE85-29FE-324A-AEF5-FEFCDDCED1F7}">
      <text>
        <r>
          <rPr>
            <sz val="14"/>
            <color rgb="FF000000"/>
            <rFont val="Times New Roman"/>
            <family val="18"/>
          </rPr>
          <t xml:space="preserve">02/12/1792 </t>
        </r>
        <r>
          <rPr>
            <i/>
            <sz val="14"/>
            <color rgb="FF000000"/>
            <rFont val="Times New Roman"/>
            <family val="18"/>
          </rPr>
          <t>Von Böhmischen Ständen a 3Fl zur Staabs Infanterie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20/06/1795 </t>
        </r>
        <r>
          <rPr>
            <i/>
            <sz val="14"/>
            <color rgb="FF000000"/>
            <rFont val="Times New Roman"/>
            <family val="18"/>
          </rPr>
          <t>Von SInf zur IR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04/06/1796 </t>
        </r>
        <r>
          <rPr>
            <i/>
            <sz val="14"/>
            <color rgb="FF000000"/>
            <rFont val="Times New Roman"/>
            <family val="18"/>
          </rPr>
          <t xml:space="preserve">Bey </t>
        </r>
        <r>
          <rPr>
            <b/>
            <i/>
            <sz val="14"/>
            <color rgb="FF000000"/>
            <rFont val="Times New Roman"/>
            <family val="18"/>
          </rPr>
          <t>Alterkirchen</t>
        </r>
        <r>
          <rPr>
            <i/>
            <sz val="14"/>
            <color rgb="FF000000"/>
            <rFont val="Times New Roman"/>
            <family val="18"/>
          </rPr>
          <t xml:space="preserve"> gefangen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06/07/1796 </t>
        </r>
        <r>
          <rPr>
            <i/>
            <sz val="14"/>
            <color rgb="FF000000"/>
            <rFont val="Times New Roman"/>
            <family val="18"/>
          </rPr>
          <t>Gegen Austauschung ranzioniert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06/04/1800 </t>
        </r>
        <r>
          <rPr>
            <i/>
            <sz val="14"/>
            <color rgb="FF000000"/>
            <rFont val="Times New Roman"/>
            <family val="18"/>
          </rPr>
          <t xml:space="preserve">Bey </t>
        </r>
        <r>
          <rPr>
            <b/>
            <i/>
            <sz val="14"/>
            <color rgb="FF000000"/>
            <rFont val="Times New Roman"/>
            <family val="18"/>
          </rPr>
          <t>Genua</t>
        </r>
        <r>
          <rPr>
            <i/>
            <sz val="14"/>
            <color rgb="FF000000"/>
            <rFont val="Times New Roman"/>
            <family val="18"/>
          </rPr>
          <t xml:space="preserve"> Gefangen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14/04/1800 </t>
        </r>
        <r>
          <rPr>
            <i/>
            <sz val="14"/>
            <color rgb="FF000000"/>
            <rFont val="Times New Roman"/>
            <family val="18"/>
          </rPr>
          <t>Gegen Austauschung ranzioniert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Petrick Komp. Nr. 38 [</t>
        </r>
        <r>
          <rPr>
            <i/>
            <sz val="14"/>
            <color rgb="FF000000"/>
            <rFont val="Times New Roman"/>
            <family val="18"/>
          </rPr>
          <t>Commandiert Beurlaubt bey der Holzschreinerei zu Lubereck</t>
        </r>
        <r>
          <rPr>
            <sz val="14"/>
            <color rgb="FF000000"/>
            <rFont val="Times New Roman"/>
            <family val="18"/>
          </rPr>
          <t>]</t>
        </r>
        <r>
          <rPr>
            <sz val="14"/>
            <color rgb="FF000000"/>
            <rFont val="Calibri"/>
            <family val="34"/>
          </rPr>
          <t xml:space="preserve">
</t>
        </r>
        <r>
          <rPr>
            <sz val="14"/>
            <color rgb="FF000000"/>
            <rFont val="Times New Roman"/>
            <family val="18"/>
          </rPr>
          <t>03/09/1804 Muster: IR 59 Haupt Petrick Komp. Nr. 37 [</t>
        </r>
        <r>
          <rPr>
            <i/>
            <sz val="14"/>
            <color rgb="FF000000"/>
            <rFont val="Times New Roman"/>
            <family val="18"/>
          </rPr>
          <t>Beurlaubt in seinem Geburtsort bis zur Exerzierzeit</t>
        </r>
        <r>
          <rPr>
            <sz val="14"/>
            <color rgb="FF000000"/>
            <rFont val="Times New Roman"/>
            <family val="18"/>
          </rPr>
          <t>]</t>
        </r>
        <r>
          <rPr>
            <sz val="14"/>
            <color rgb="FF000000"/>
            <rFont val="Calibri"/>
            <family val="34"/>
          </rPr>
          <t xml:space="preserve">
</t>
        </r>
        <r>
          <rPr>
            <sz val="14"/>
            <color rgb="FF000000"/>
            <rFont val="Times New Roman"/>
            <family val="18"/>
          </rPr>
          <t>27/12/1806 Muster: IR 59 4. Fus. Komp. Nr. 40</t>
        </r>
        <r>
          <rPr>
            <sz val="14"/>
            <color rgb="FF000000"/>
            <rFont val="Calibri"/>
            <family val="34"/>
          </rPr>
          <t xml:space="preserve">
</t>
        </r>
        <r>
          <rPr>
            <sz val="14"/>
            <color rgb="FF000000"/>
            <rFont val="Times New Roman"/>
            <family val="18"/>
          </rPr>
          <t xml:space="preserve">29/02/1808 </t>
        </r>
        <r>
          <rPr>
            <i/>
            <sz val="14"/>
            <color rgb="FF000000"/>
            <rFont val="Times New Roman"/>
            <family val="18"/>
          </rPr>
          <t>Als Ausgedienter Inländer mit Abschied entlassen</t>
        </r>
        <r>
          <rPr>
            <sz val="14"/>
            <color rgb="FF000000"/>
            <rFont val="Times New Roman"/>
            <family val="18"/>
          </rPr>
          <t xml:space="preserve"> [RL 1808]</t>
        </r>
        <r>
          <rPr>
            <sz val="14"/>
            <color rgb="FF000000"/>
            <rFont val="Calibri"/>
            <family val="34"/>
          </rPr>
          <t xml:space="preserve">
</t>
        </r>
      </text>
    </comment>
    <comment ref="BG177" authorId="0" shapeId="0" xr:uid="{1C9FBA8E-0CDF-E445-8060-73B52BA86548}">
      <text>
        <r>
          <rPr>
            <sz val="14"/>
            <color rgb="FF000000"/>
            <rFont val="Times New Roman"/>
            <family val="18"/>
          </rPr>
          <t>ML 5015 IR 59 (1803) – Haupt Petrick Nr. 38 (Enns 29/08/1803)</t>
        </r>
        <r>
          <rPr>
            <sz val="14"/>
            <color rgb="FF000000"/>
            <rFont val="Calibri"/>
            <family val="34"/>
          </rPr>
          <t xml:space="preserve">
</t>
        </r>
        <r>
          <rPr>
            <sz val="14"/>
            <color rgb="FF000000"/>
            <rFont val="Times New Roman"/>
            <family val="18"/>
          </rPr>
          <t>ML 5016 IR 59 (1804) – Haupt Petrick Nr. 37 (Innsbruck 03/09/1804)</t>
        </r>
        <r>
          <rPr>
            <sz val="14"/>
            <color rgb="FF000000"/>
            <rFont val="Calibri"/>
            <family val="34"/>
          </rPr>
          <t xml:space="preserve">
</t>
        </r>
        <r>
          <rPr>
            <sz val="14"/>
            <color rgb="FF000000"/>
            <rFont val="Times New Roman"/>
            <family val="18"/>
          </rPr>
          <t>ML 5017/8 IR 59 (1806) – 4. Fus. Komp. Nr. 40 (Florian 27/12/1806)</t>
        </r>
        <r>
          <rPr>
            <sz val="14"/>
            <color rgb="FF000000"/>
            <rFont val="Calibri"/>
            <family val="34"/>
          </rPr>
          <t xml:space="preserve">
</t>
        </r>
        <r>
          <rPr>
            <sz val="14"/>
            <color rgb="FF000000"/>
            <rFont val="Times New Roman"/>
            <family val="18"/>
          </rPr>
          <t>ML 5019 IR 59 (1808-10) – RL 4. Fus. Komp. Abgang (Enns 05/09/1808)</t>
        </r>
        <r>
          <rPr>
            <sz val="14"/>
            <color rgb="FF000000"/>
            <rFont val="Calibri"/>
            <family val="34"/>
          </rPr>
          <t xml:space="preserve">
</t>
        </r>
      </text>
    </comment>
    <comment ref="BH177" authorId="0" shapeId="0" xr:uid="{EB147B9B-A6C6-FA43-A0F1-7D430E9B502A}">
      <text>
        <r>
          <rPr>
            <sz val="14"/>
            <color rgb="FF000000"/>
            <rFont val="Times New Roman"/>
            <family val="18"/>
          </rPr>
          <t xml:space="preserve">SInf (1792-1795)
</t>
        </r>
        <r>
          <rPr>
            <sz val="14"/>
            <color rgb="FF000000"/>
            <rFont val="Times New Roman"/>
            <family val="18"/>
          </rPr>
          <t>IR 59 (1795-1808)</t>
        </r>
      </text>
    </comment>
    <comment ref="BF178" authorId="0" shapeId="0" xr:uid="{DD5AC401-1859-1049-8CF6-EA4B83E04810}">
      <text>
        <r>
          <rPr>
            <sz val="14"/>
            <color rgb="FF000000"/>
            <rFont val="Times New Roman"/>
            <family val="18"/>
          </rPr>
          <t xml:space="preserve">13/06/1793 </t>
        </r>
        <r>
          <rPr>
            <i/>
            <sz val="14"/>
            <color rgb="FF000000"/>
            <rFont val="Times New Roman"/>
            <family val="18"/>
          </rPr>
          <t>A 3Fl auf Beständig zu Przemysl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04/06/1796 </t>
        </r>
        <r>
          <rPr>
            <i/>
            <sz val="14"/>
            <color rgb="FF000000"/>
            <rFont val="Times New Roman"/>
            <family val="18"/>
          </rPr>
          <t xml:space="preserve">Bey </t>
        </r>
        <r>
          <rPr>
            <b/>
            <i/>
            <sz val="14"/>
            <color rgb="FF000000"/>
            <rFont val="Times New Roman"/>
            <family val="18"/>
          </rPr>
          <t>Alterkirchen</t>
        </r>
        <r>
          <rPr>
            <i/>
            <sz val="14"/>
            <color rgb="FF000000"/>
            <rFont val="Times New Roman"/>
            <family val="18"/>
          </rPr>
          <t xml:space="preserve"> gefangen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11/01/1797 </t>
        </r>
        <r>
          <rPr>
            <i/>
            <sz val="14"/>
            <color rgb="FF000000"/>
            <rFont val="Times New Roman"/>
            <family val="18"/>
          </rPr>
          <t>Gegen Austauschung ranzioniert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06/04/1800 </t>
        </r>
        <r>
          <rPr>
            <i/>
            <sz val="14"/>
            <color rgb="FF000000"/>
            <rFont val="Times New Roman"/>
            <family val="18"/>
          </rPr>
          <t xml:space="preserve">Bey </t>
        </r>
        <r>
          <rPr>
            <b/>
            <i/>
            <sz val="14"/>
            <color rgb="FF000000"/>
            <rFont val="Times New Roman"/>
            <family val="18"/>
          </rPr>
          <t>Genua</t>
        </r>
        <r>
          <rPr>
            <i/>
            <sz val="14"/>
            <color rgb="FF000000"/>
            <rFont val="Times New Roman"/>
            <family val="18"/>
          </rPr>
          <t xml:space="preserve"> Gefangen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05/06/1800 </t>
        </r>
        <r>
          <rPr>
            <i/>
            <sz val="14"/>
            <color rgb="FF000000"/>
            <rFont val="Times New Roman"/>
            <family val="18"/>
          </rPr>
          <t>Gegen Austauschung ranzioniert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29/08/1803 Muster: IR 59 Haupt Harnack Komp. Nr. 49 </t>
        </r>
        <r>
          <rPr>
            <sz val="14"/>
            <color rgb="FF000000"/>
            <rFont val="Calibri"/>
            <family val="34"/>
          </rPr>
          <t xml:space="preserve">
</t>
        </r>
        <r>
          <rPr>
            <sz val="14"/>
            <color rgb="FF000000"/>
            <rFont val="Times New Roman"/>
            <family val="18"/>
          </rPr>
          <t>03/09/1804 Muster: IR 59 Haupt Harnack Komp. Nr. 162 [</t>
        </r>
        <r>
          <rPr>
            <i/>
            <sz val="14"/>
            <color rgb="FF000000"/>
            <rFont val="Times New Roman"/>
            <family val="18"/>
          </rPr>
          <t>Beurlaubt bis Exerzierzeit zu ZalskaWola Herrschaft Jaroslau, Przmysler Kreis,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26/09/1805 </t>
        </r>
        <r>
          <rPr>
            <i/>
            <sz val="14"/>
            <color rgb="FF000000"/>
            <rFont val="Times New Roman"/>
            <family val="18"/>
          </rPr>
          <t>Von. 13. Zur 9.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13. Fus. Komp. Nr. 103</t>
        </r>
        <r>
          <rPr>
            <sz val="14"/>
            <color rgb="FF000000"/>
            <rFont val="Calibri"/>
            <family val="34"/>
          </rPr>
          <t xml:space="preserve">
</t>
        </r>
        <r>
          <rPr>
            <sz val="14"/>
            <color rgb="FF000000"/>
            <rFont val="Times New Roman"/>
            <family val="18"/>
          </rPr>
          <t xml:space="preserve">28/03/1808 </t>
        </r>
        <r>
          <rPr>
            <i/>
            <sz val="14"/>
            <color rgb="FF000000"/>
            <rFont val="Times New Roman"/>
            <family val="18"/>
          </rPr>
          <t>In Folge N:O: General Commando Verordnung Wein von 19. Januar 808 V. Nr. 210 als ausgedienter Inländer Capitulant mit Abschied entlassen</t>
        </r>
        <r>
          <rPr>
            <sz val="14"/>
            <color rgb="FF000000"/>
            <rFont val="Times New Roman"/>
            <family val="18"/>
          </rPr>
          <t xml:space="preserve"> [RL 1808]</t>
        </r>
      </text>
    </comment>
    <comment ref="BG178" authorId="0" shapeId="0" xr:uid="{088A3076-ECB8-8A48-974C-B18FF2760179}">
      <text>
        <r>
          <rPr>
            <sz val="14"/>
            <color rgb="FF000000"/>
            <rFont val="Times New Roman"/>
            <family val="18"/>
          </rPr>
          <t>ML 5015 IR 59 (1803) – Haupt Harnack Komp. Nr. 49 (Enns 29/03/1803)</t>
        </r>
        <r>
          <rPr>
            <sz val="14"/>
            <color rgb="FF000000"/>
            <rFont val="Calibri"/>
            <family val="34"/>
          </rPr>
          <t xml:space="preserve">
</t>
        </r>
        <r>
          <rPr>
            <sz val="14"/>
            <color rgb="FF000000"/>
            <rFont val="Times New Roman"/>
            <family val="18"/>
          </rPr>
          <t>ML 5016 IR 59 (1804) – Haupt. Harnack Komp. Nr. 162 (Innsbruck 03/09/1804)</t>
        </r>
        <r>
          <rPr>
            <sz val="14"/>
            <color rgb="FF000000"/>
            <rFont val="Calibri"/>
            <family val="34"/>
          </rPr>
          <t xml:space="preserve">
</t>
        </r>
        <r>
          <rPr>
            <sz val="14"/>
            <color rgb="FF000000"/>
            <rFont val="Times New Roman"/>
            <family val="18"/>
          </rPr>
          <t>ML 5017/8 IR 59 (1806) – 13. Fus. Komp. Nr. 103 (Freistadt 22/12/1816)</t>
        </r>
        <r>
          <rPr>
            <sz val="14"/>
            <color rgb="FF000000"/>
            <rFont val="Calibri"/>
            <family val="34"/>
          </rPr>
          <t xml:space="preserve">
</t>
        </r>
        <r>
          <rPr>
            <sz val="14"/>
            <color rgb="FF000000"/>
            <rFont val="Times New Roman"/>
            <family val="18"/>
          </rPr>
          <t>ML 5019 IR 59 (1808-10) – RL 13. Fus. Komp. Abgang (Enns 05/09/1808)</t>
        </r>
        <r>
          <rPr>
            <sz val="14"/>
            <color rgb="FF000000"/>
            <rFont val="Calibri"/>
            <family val="34"/>
          </rPr>
          <t xml:space="preserve">
</t>
        </r>
      </text>
    </comment>
    <comment ref="BH178" authorId="0" shapeId="0" xr:uid="{758DCE4C-9B06-3F41-8560-D951D1DBD52C}">
      <text>
        <r>
          <rPr>
            <sz val="14"/>
            <color rgb="FF000000"/>
            <rFont val="Times New Roman"/>
            <family val="18"/>
          </rPr>
          <t>IR 59 (1793-1808)</t>
        </r>
      </text>
    </comment>
    <comment ref="CR178" authorId="0" shapeId="0" xr:uid="{B64EADD2-8085-DA4B-8BC7-E6C2E7ADC2B1}">
      <text>
        <r>
          <rPr>
            <sz val="14"/>
            <color rgb="FF000000"/>
            <rFont val="Calibri"/>
            <family val="34"/>
          </rPr>
          <t xml:space="preserve">1803: Katolisch
</t>
        </r>
        <r>
          <rPr>
            <sz val="14"/>
            <color rgb="FF000000"/>
            <rFont val="Calibri"/>
            <family val="34"/>
          </rPr>
          <t xml:space="preserve">1804: Griecisch
</t>
        </r>
        <r>
          <rPr>
            <sz val="14"/>
            <color rgb="FF000000"/>
            <rFont val="Calibri"/>
            <family val="34"/>
          </rPr>
          <t>1806: Jüdisch</t>
        </r>
      </text>
    </comment>
    <comment ref="BF179" authorId="0" shapeId="0" xr:uid="{AD363773-3B83-5C4C-82E7-2C1CF69A3E00}">
      <text>
        <r>
          <rPr>
            <sz val="14"/>
            <color rgb="FF000000"/>
            <rFont val="Times New Roman"/>
            <family val="18"/>
          </rPr>
          <t xml:space="preserve">16/08/1794 </t>
        </r>
        <r>
          <rPr>
            <i/>
            <sz val="14"/>
            <color rgb="FF000000"/>
            <rFont val="Times New Roman"/>
            <family val="18"/>
          </rPr>
          <t>Von MFWK 92. Artillerie Reserve Division zur IR 1 Kaiser 3. Bat transferiert und zur Proviant Fuhrwesen zugeheilt</t>
        </r>
        <r>
          <rPr>
            <sz val="14"/>
            <color rgb="FF000000"/>
            <rFont val="Times New Roman"/>
            <family val="18"/>
          </rPr>
          <t xml:space="preserve"> [TL Aug 1794]</t>
        </r>
        <r>
          <rPr>
            <sz val="14"/>
            <color rgb="FF000000"/>
            <rFont val="Calibri"/>
            <family val="34"/>
          </rPr>
          <t xml:space="preserve">
</t>
        </r>
        <r>
          <rPr>
            <sz val="14"/>
            <color rgb="FF000000"/>
            <rFont val="Times New Roman"/>
            <family val="18"/>
          </rPr>
          <t xml:space="preserve">01/03/1795 </t>
        </r>
        <r>
          <rPr>
            <i/>
            <sz val="14"/>
            <color rgb="FF000000"/>
            <rFont val="Times New Roman"/>
            <family val="18"/>
          </rPr>
          <t>Aus der Station Dubno desertiert</t>
        </r>
        <r>
          <rPr>
            <sz val="14"/>
            <color rgb="FF000000"/>
            <rFont val="Times New Roman"/>
            <family val="18"/>
          </rPr>
          <t xml:space="preserve"> [ST March 1795]</t>
        </r>
      </text>
    </comment>
    <comment ref="BG179" authorId="0" shapeId="0" xr:uid="{1F36D3BF-C0C7-0F4B-9B1D-1DA024601E47}">
      <text>
        <r>
          <rPr>
            <sz val="14"/>
            <color rgb="FF000000"/>
            <rFont val="Times New Roman"/>
            <family val="18"/>
          </rPr>
          <t>ML 60 IR (1794) – ST Aug (Czerkow 29/11/1794)</t>
        </r>
        <r>
          <rPr>
            <sz val="14"/>
            <color rgb="FF000000"/>
            <rFont val="Calibri"/>
            <family val="34"/>
          </rPr>
          <t xml:space="preserve">
</t>
        </r>
        <r>
          <rPr>
            <sz val="14"/>
            <color rgb="FF000000"/>
            <rFont val="Times New Roman"/>
            <family val="18"/>
          </rPr>
          <t>ML 62 IR 1 (1795) –March (25/03/1796)</t>
        </r>
        <r>
          <rPr>
            <sz val="14"/>
            <color rgb="FF000000"/>
            <rFont val="Calibri"/>
            <family val="34"/>
          </rPr>
          <t xml:space="preserve">
</t>
        </r>
      </text>
    </comment>
    <comment ref="BH179" authorId="0" shapeId="0" xr:uid="{CB7A435A-0430-EA48-AAF1-2A244638B81A}">
      <text>
        <r>
          <rPr>
            <sz val="14"/>
            <color rgb="FF000000"/>
            <rFont val="Times New Roman"/>
            <family val="18"/>
          </rPr>
          <t xml:space="preserve">MFWK (1794-1795)
</t>
        </r>
      </text>
    </comment>
    <comment ref="BF180" authorId="0" shapeId="0" xr:uid="{DF5FFD85-AA61-244B-B3A7-9CD7B31B5BA5}">
      <text>
        <r>
          <rPr>
            <sz val="14"/>
            <color rgb="FF000000"/>
            <rFont val="Times New Roman"/>
            <family val="18"/>
          </rPr>
          <t xml:space="preserve">21/10/1794 </t>
        </r>
        <r>
          <rPr>
            <i/>
            <sz val="14"/>
            <color rgb="FF000000"/>
            <rFont val="Times New Roman"/>
            <family val="18"/>
          </rPr>
          <t xml:space="preserve">Gegen 3Fl Handgeld zum MFWK </t>
        </r>
        <r>
          <rPr>
            <sz val="14"/>
            <color rgb="FF000000"/>
            <rFont val="Times New Roman"/>
            <family val="18"/>
          </rPr>
          <t>[99. Artillerie Reserve Division]</t>
        </r>
        <r>
          <rPr>
            <i/>
            <sz val="14"/>
            <color rgb="FF000000"/>
            <rFont val="Times New Roman"/>
            <family val="18"/>
          </rPr>
          <t xml:space="preserve"> assentiert und zum IR 1 Kaiser 3. Bataillon transferiert</t>
        </r>
        <r>
          <rPr>
            <sz val="14"/>
            <color rgb="FF000000"/>
            <rFont val="Times New Roman"/>
            <family val="18"/>
          </rPr>
          <t xml:space="preserve"> </t>
        </r>
        <r>
          <rPr>
            <i/>
            <sz val="14"/>
            <color rgb="FF000000"/>
            <rFont val="Times New Roman"/>
            <family val="18"/>
          </rPr>
          <t>und zur Proviant Fuhrwesen zugeheilt</t>
        </r>
        <r>
          <rPr>
            <sz val="14"/>
            <color rgb="FF000000"/>
            <rFont val="Times New Roman"/>
            <family val="18"/>
          </rPr>
          <t xml:space="preserve"> [TL Dec 1794 &amp; ST Oct 1794]</t>
        </r>
        <r>
          <rPr>
            <sz val="14"/>
            <color rgb="FF000000"/>
            <rFont val="Calibri"/>
            <family val="34"/>
          </rPr>
          <t xml:space="preserve">
</t>
        </r>
        <r>
          <rPr>
            <sz val="14"/>
            <color rgb="FF000000"/>
            <rFont val="Times New Roman"/>
            <family val="18"/>
          </rPr>
          <t xml:space="preserve">21/01/1795 </t>
        </r>
        <r>
          <rPr>
            <i/>
            <sz val="14"/>
            <color rgb="FF000000"/>
            <rFont val="Times New Roman"/>
            <family val="18"/>
          </rPr>
          <t>Krank in Battalion Spital zu Dubno</t>
        </r>
        <r>
          <rPr>
            <sz val="14"/>
            <color rgb="FF000000"/>
            <rFont val="Times New Roman"/>
            <family val="18"/>
          </rPr>
          <t xml:space="preserve"> [ST Jan 1795]</t>
        </r>
        <r>
          <rPr>
            <sz val="14"/>
            <color rgb="FF000000"/>
            <rFont val="Calibri"/>
            <family val="34"/>
          </rPr>
          <t xml:space="preserve">
</t>
        </r>
        <r>
          <rPr>
            <sz val="14"/>
            <color rgb="FF000000"/>
            <rFont val="Times New Roman"/>
            <family val="18"/>
          </rPr>
          <t xml:space="preserve">31/01/1795 </t>
        </r>
        <r>
          <rPr>
            <i/>
            <sz val="14"/>
            <color rgb="FF000000"/>
            <rFont val="Times New Roman"/>
            <family val="18"/>
          </rPr>
          <t>Rekonvalesziert</t>
        </r>
        <r>
          <rPr>
            <sz val="14"/>
            <color rgb="FF000000"/>
            <rFont val="Times New Roman"/>
            <family val="18"/>
          </rPr>
          <t xml:space="preserve"> [St Feb 1795]</t>
        </r>
        <r>
          <rPr>
            <sz val="14"/>
            <color rgb="FF000000"/>
            <rFont val="Calibri"/>
            <family val="34"/>
          </rPr>
          <t xml:space="preserve">
</t>
        </r>
        <r>
          <rPr>
            <sz val="14"/>
            <color rgb="FF000000"/>
            <rFont val="Times New Roman"/>
            <family val="18"/>
          </rPr>
          <t xml:space="preserve">01/03/1795 </t>
        </r>
        <r>
          <rPr>
            <i/>
            <sz val="14"/>
            <color rgb="FF000000"/>
            <rFont val="Times New Roman"/>
            <family val="18"/>
          </rPr>
          <t>Aus der Station Dubno desertiert</t>
        </r>
        <r>
          <rPr>
            <sz val="14"/>
            <color rgb="FF000000"/>
            <rFont val="Times New Roman"/>
            <family val="18"/>
          </rPr>
          <t xml:space="preserve"> [ST March 1795]</t>
        </r>
      </text>
    </comment>
    <comment ref="BG180" authorId="0" shapeId="0" xr:uid="{A4E48817-7CEA-A649-A77F-F89011FF94F5}">
      <text>
        <r>
          <rPr>
            <sz val="14"/>
            <color rgb="FF000000"/>
            <rFont val="Times New Roman"/>
            <family val="18"/>
          </rPr>
          <t>ML 60 IR 1 (1794) – ST Oct (Dubno 18/02/1795)</t>
        </r>
        <r>
          <rPr>
            <sz val="14"/>
            <color rgb="FF000000"/>
            <rFont val="Calibri"/>
            <family val="34"/>
          </rPr>
          <t xml:space="preserve">
</t>
        </r>
        <r>
          <rPr>
            <sz val="14"/>
            <color rgb="FF000000"/>
            <rFont val="Times New Roman"/>
            <family val="18"/>
          </rPr>
          <t>ML 61 IR 1 (1794) AL/TL – TL MFWK-&gt;IR 1 Nr. 1 (Zamosc 19/12/1794)</t>
        </r>
        <r>
          <rPr>
            <sz val="14"/>
            <color rgb="FF000000"/>
            <rFont val="Calibri"/>
            <family val="34"/>
          </rPr>
          <t xml:space="preserve">
</t>
        </r>
        <r>
          <rPr>
            <sz val="14"/>
            <color rgb="FF000000"/>
            <rFont val="Times New Roman"/>
            <family val="18"/>
          </rPr>
          <t>ML 62 IR 1 (1795) – ST Jan (29/06/1795), Feb (15/10/1795), March (25/03/1796)</t>
        </r>
        <r>
          <rPr>
            <sz val="14"/>
            <color rgb="FF000000"/>
            <rFont val="Calibri"/>
            <family val="34"/>
          </rPr>
          <t xml:space="preserve">
</t>
        </r>
      </text>
    </comment>
    <comment ref="BH180" authorId="0" shapeId="0" xr:uid="{B3E9E4CA-8614-1449-9877-1B3D6360DDF6}">
      <text>
        <r>
          <rPr>
            <sz val="14"/>
            <color rgb="FF000000"/>
            <rFont val="Times New Roman"/>
            <family val="18"/>
          </rPr>
          <t xml:space="preserve">MFWK (1794-1795)
</t>
        </r>
      </text>
    </comment>
    <comment ref="BF181" authorId="0" shapeId="0" xr:uid="{A766F993-4BB3-924E-BB37-6F8DC35F3736}">
      <text>
        <r>
          <rPr>
            <sz val="14"/>
            <color rgb="FF000000"/>
            <rFont val="Times New Roman"/>
            <family val="18"/>
          </rPr>
          <t xml:space="preserve">26/10/1794 </t>
        </r>
        <r>
          <rPr>
            <i/>
            <sz val="14"/>
            <color rgb="FF000000"/>
            <rFont val="Times New Roman"/>
            <family val="18"/>
          </rPr>
          <t>Gegen 15Fl auf die Kriegszeit in IR 44 Rauschberg Comp assentie</t>
        </r>
        <r>
          <rPr>
            <sz val="14"/>
            <color rgb="FF000000"/>
            <rFont val="Times New Roman"/>
            <family val="18"/>
          </rPr>
          <t xml:space="preserve">rt [ML 1795]
</t>
        </r>
        <r>
          <rPr>
            <sz val="14"/>
            <color rgb="FF000000"/>
            <rFont val="Times New Roman"/>
            <family val="18"/>
          </rPr>
          <t xml:space="preserve">20/05/1795 Muster: IR 44 Vacant Haupt Renschberg Comp Nr. 126 [Krank in Pavia]
</t>
        </r>
        <r>
          <rPr>
            <sz val="14"/>
            <color rgb="FF000000"/>
            <rFont val="Times New Roman"/>
            <family val="18"/>
          </rPr>
          <t xml:space="preserve">01/09/1795 </t>
        </r>
        <r>
          <rPr>
            <i/>
            <sz val="14"/>
            <color rgb="FF000000"/>
            <rFont val="Times New Roman"/>
            <family val="18"/>
          </rPr>
          <t xml:space="preserve">Krank in Pavia </t>
        </r>
        <r>
          <rPr>
            <sz val="14"/>
            <color rgb="FF000000"/>
            <rFont val="Times New Roman"/>
            <family val="18"/>
          </rPr>
          <t xml:space="preserve">[ST Sept 1795]
</t>
        </r>
        <r>
          <rPr>
            <sz val="14"/>
            <color rgb="FF000000"/>
            <rFont val="Times New Roman"/>
            <family val="18"/>
          </rPr>
          <t xml:space="preserve">18/11/1795 </t>
        </r>
        <r>
          <rPr>
            <i/>
            <sz val="14"/>
            <color rgb="FF000000"/>
            <rFont val="Times New Roman"/>
            <family val="18"/>
          </rPr>
          <t xml:space="preserve">In Pavia gestorben </t>
        </r>
        <r>
          <rPr>
            <sz val="14"/>
            <color rgb="FF000000"/>
            <rFont val="Times New Roman"/>
            <family val="18"/>
          </rPr>
          <t>[ST Nov 1795 &amp; ML 1798]</t>
        </r>
      </text>
    </comment>
    <comment ref="BG181" authorId="0" shapeId="0" xr:uid="{4DC6420C-86C4-1B4A-BC67-30684415B917}">
      <text>
        <r>
          <rPr>
            <sz val="14"/>
            <color rgb="FF000000"/>
            <rFont val="Calibri"/>
            <family val="34"/>
          </rPr>
          <t xml:space="preserve">ML 3906 IR 44 (1795) Heft von Vacant (Haupt Renschberg) Comp Nr. 126 (Pavia 21/05/1795)
</t>
        </r>
        <r>
          <rPr>
            <sz val="14"/>
            <color rgb="FF000000"/>
            <rFont val="Calibri"/>
            <family val="34"/>
          </rPr>
          <t xml:space="preserve">ML 3907 IR 44 (1798) Heft von Haupt Albanico Comp – Abgang (Triest 10/05/1798)
</t>
        </r>
        <r>
          <rPr>
            <sz val="14"/>
            <color rgb="FF000000"/>
            <rFont val="Calibri"/>
            <family val="34"/>
          </rPr>
          <t xml:space="preserve">ML 3938 IR 44 (1795) ST Haupt Jahn Sept (Milan 04/11/1795) und Nov (Milan 08/01/1796)
</t>
        </r>
      </text>
    </comment>
    <comment ref="BH181" authorId="0" shapeId="0" xr:uid="{CAF57A79-6834-4F4E-BD10-EFB1DF5FA48A}">
      <text>
        <r>
          <rPr>
            <sz val="14"/>
            <color rgb="FF000000"/>
            <rFont val="Calibri"/>
            <family val="34"/>
          </rPr>
          <t>IR 44 (1794-1795)</t>
        </r>
      </text>
    </comment>
    <comment ref="BF182" authorId="0" shapeId="0" xr:uid="{818A62EE-FA4E-2741-80F3-A3D686C50CCD}">
      <text>
        <r>
          <rPr>
            <sz val="14"/>
            <color rgb="FF000000"/>
            <rFont val="Times New Roman"/>
            <family val="18"/>
          </rPr>
          <t xml:space="preserve">10/09/1795 </t>
        </r>
        <r>
          <rPr>
            <i/>
            <sz val="14"/>
            <color rgb="FF000000"/>
            <rFont val="Times New Roman"/>
            <family val="18"/>
          </rPr>
          <t>A 3Fl Auf Beständig von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30/05/1796 </t>
        </r>
        <r>
          <rPr>
            <i/>
            <sz val="14"/>
            <color rgb="FF000000"/>
            <rFont val="Times New Roman"/>
            <family val="18"/>
          </rPr>
          <t xml:space="preserve">Zu Walegio </t>
        </r>
        <r>
          <rPr>
            <b/>
            <sz val="14"/>
            <color rgb="FF000000"/>
            <rFont val="Times New Roman"/>
            <family val="18"/>
          </rPr>
          <t>[Schlacht von Borghetto]</t>
        </r>
        <r>
          <rPr>
            <sz val="14"/>
            <color rgb="FF000000"/>
            <rFont val="Times New Roman"/>
            <family val="18"/>
          </rPr>
          <t xml:space="preserve"> </t>
        </r>
        <r>
          <rPr>
            <i/>
            <sz val="14"/>
            <color rgb="FF000000"/>
            <rFont val="Times New Roman"/>
            <family val="18"/>
          </rPr>
          <t>gefangen; Wahrend seine Gefangenschaft von deren Französen am Spanien Verkauft, wo solcher 6 Jahr dienen musste</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26/01/1803 </t>
        </r>
        <r>
          <rPr>
            <i/>
            <sz val="14"/>
            <color rgb="FF000000"/>
            <rFont val="Times New Roman"/>
            <family val="18"/>
          </rPr>
          <t>Ranzioniert und zur Eger Präsentiert</t>
        </r>
        <r>
          <rPr>
            <sz val="14"/>
            <color rgb="FF000000"/>
            <rFont val="Times New Roman"/>
            <family val="18"/>
          </rPr>
          <t xml:space="preserve"> [ML 1796]</t>
        </r>
        <r>
          <rPr>
            <sz val="14"/>
            <color rgb="FF000000"/>
            <rFont val="Calibri"/>
            <family val="34"/>
          </rPr>
          <t xml:space="preserve">
</t>
        </r>
        <r>
          <rPr>
            <sz val="14"/>
            <color rgb="FF000000"/>
            <rFont val="Times New Roman"/>
            <family val="18"/>
          </rPr>
          <t>30/08/1803 Muster: IR 59 Haupt Drohn Komp. Nr. 142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129 [</t>
        </r>
        <r>
          <rPr>
            <i/>
            <sz val="14"/>
            <color rgb="FF000000"/>
            <rFont val="Times New Roman"/>
            <family val="18"/>
          </rPr>
          <t>Beurlaubt in seinem Geburtsort bis zur Exercierzeit</t>
        </r>
        <r>
          <rPr>
            <sz val="14"/>
            <color rgb="FF000000"/>
            <rFont val="Times New Roman"/>
            <family val="18"/>
          </rPr>
          <t>]</t>
        </r>
        <r>
          <rPr>
            <sz val="14"/>
            <color rgb="FF000000"/>
            <rFont val="Calibri"/>
            <family val="34"/>
          </rPr>
          <t xml:space="preserve">
</t>
        </r>
        <r>
          <rPr>
            <sz val="14"/>
            <color rgb="FF000000"/>
            <rFont val="Times New Roman"/>
            <family val="18"/>
          </rPr>
          <t>31/08/1806</t>
        </r>
        <r>
          <rPr>
            <i/>
            <sz val="14"/>
            <color rgb="FF000000"/>
            <rFont val="Times New Roman"/>
            <family val="18"/>
          </rPr>
          <t xml:space="preserve"> Als auf Urlaub ausgebliebene als unwissend verloren in Abgang</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16/05/1807 </t>
        </r>
        <r>
          <rPr>
            <i/>
            <sz val="14"/>
            <color rgb="FF000000"/>
            <rFont val="Times New Roman"/>
            <family val="18"/>
          </rPr>
          <t>Beim Depot in Wells eingerückt und wieder in Stand und Gebühr genommen worden</t>
        </r>
        <r>
          <rPr>
            <sz val="14"/>
            <color rgb="FF000000"/>
            <rFont val="Times New Roman"/>
            <family val="18"/>
          </rPr>
          <t xml:space="preserve"> [ML 1806 &amp; RL 1808]</t>
        </r>
        <r>
          <rPr>
            <sz val="14"/>
            <color rgb="FF000000"/>
            <rFont val="Calibri"/>
            <family val="34"/>
          </rPr>
          <t xml:space="preserve">
</t>
        </r>
        <r>
          <rPr>
            <sz val="14"/>
            <color rgb="FF000000"/>
            <rFont val="Times New Roman"/>
            <family val="18"/>
          </rPr>
          <t xml:space="preserve">15/05/1808 </t>
        </r>
        <r>
          <rPr>
            <i/>
            <sz val="14"/>
            <color rgb="FF000000"/>
            <rFont val="Times New Roman"/>
            <family val="18"/>
          </rPr>
          <t xml:space="preserve">In Folge M:O:G: Verordnung von 21. April 808 zur Wiener Policey Wache transferiert </t>
        </r>
        <r>
          <rPr>
            <sz val="14"/>
            <color rgb="FF000000"/>
            <rFont val="Times New Roman"/>
            <family val="18"/>
          </rPr>
          <t xml:space="preserve">[RL 1808]  </t>
        </r>
      </text>
    </comment>
    <comment ref="BG182" authorId="0" shapeId="0" xr:uid="{604C4B56-20B1-3043-A53F-608A8C708081}">
      <text>
        <r>
          <rPr>
            <sz val="14"/>
            <color rgb="FF000000"/>
            <rFont val="Times New Roman"/>
            <family val="18"/>
          </rPr>
          <t>ML 5015 IR 59 (1803) – Haupt. Drohn Komp. Nr. 142 (Wells 30/08/1803)</t>
        </r>
        <r>
          <rPr>
            <sz val="14"/>
            <color rgb="FF000000"/>
            <rFont val="Calibri"/>
            <family val="34"/>
          </rPr>
          <t xml:space="preserve">
</t>
        </r>
        <r>
          <rPr>
            <sz val="14"/>
            <color rgb="FF000000"/>
            <rFont val="Times New Roman"/>
            <family val="18"/>
          </rPr>
          <t>ML 5016 IR 59 (1804) – Haupt. Drohn Komp. Nr. 129 (Mills bei Halls 05/09/1804)</t>
        </r>
        <r>
          <rPr>
            <sz val="14"/>
            <color rgb="FF000000"/>
            <rFont val="Calibri"/>
            <family val="34"/>
          </rPr>
          <t xml:space="preserve">
</t>
        </r>
        <r>
          <rPr>
            <sz val="14"/>
            <color rgb="FF000000"/>
            <rFont val="Times New Roman"/>
            <family val="18"/>
          </rPr>
          <t>ML 5017/8 IR 59 (1806) – Consc. Unwissend Verloren Nr. 678 (Linz 10/07/1807)</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text>
    </comment>
    <comment ref="BH182" authorId="0" shapeId="0" xr:uid="{710362E5-F79B-8E48-9C4F-9126082EA29D}">
      <text>
        <r>
          <rPr>
            <sz val="14"/>
            <color rgb="FF000000"/>
            <rFont val="Calibri"/>
            <family val="34"/>
          </rPr>
          <t xml:space="preserve">IR 59 (1795-1808)
</t>
        </r>
        <r>
          <rPr>
            <sz val="14"/>
            <color rgb="FF000000"/>
            <rFont val="Calibri"/>
            <family val="34"/>
          </rPr>
          <t>PW Wien (1808)</t>
        </r>
      </text>
    </comment>
    <comment ref="CR182" authorId="0" shapeId="0" xr:uid="{F47EC13D-CE47-AD4D-8369-C2900B00309D}">
      <text>
        <r>
          <rPr>
            <sz val="14"/>
            <color rgb="FF000000"/>
            <rFont val="Calibri"/>
            <family val="34"/>
          </rPr>
          <t xml:space="preserve">1803/4: Katolisch
</t>
        </r>
        <r>
          <rPr>
            <sz val="14"/>
            <color rgb="FF000000"/>
            <rFont val="Calibri"/>
            <family val="34"/>
          </rPr>
          <t>1806: 'detto' [Jüdisch]</t>
        </r>
      </text>
    </comment>
    <comment ref="BF183" authorId="0" shapeId="0" xr:uid="{C39EA2F4-C51A-A149-B893-719D03F4D85D}">
      <text>
        <r>
          <rPr>
            <sz val="14"/>
            <color rgb="FF000000"/>
            <rFont val="Times New Roman"/>
            <family val="18"/>
          </rPr>
          <t xml:space="preserve">17/09/1795 </t>
        </r>
        <r>
          <rPr>
            <i/>
            <sz val="14"/>
            <color rgb="FF000000"/>
            <rFont val="Times New Roman"/>
            <family val="18"/>
          </rPr>
          <t>Mit Versicherungschein assentiert</t>
        </r>
        <r>
          <rPr>
            <sz val="14"/>
            <color rgb="FF000000"/>
            <rFont val="Times New Roman"/>
            <family val="18"/>
          </rPr>
          <t xml:space="preserve"> [ML 1802]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t>
        </r>
        <r>
          <rPr>
            <sz val="14"/>
            <color rgb="FF000000"/>
            <rFont val="Times New Roman"/>
            <family val="18"/>
          </rPr>
          <t xml:space="preserve">15/06/1801 </t>
        </r>
        <r>
          <rPr>
            <i/>
            <sz val="14"/>
            <color rgb="FF000000"/>
            <rFont val="Times New Roman"/>
            <family val="18"/>
          </rPr>
          <t>Als Ranzioniert Worden</t>
        </r>
        <r>
          <rPr>
            <sz val="14"/>
            <color rgb="FF000000"/>
            <rFont val="Times New Roman"/>
            <family val="18"/>
          </rPr>
          <t xml:space="preserve"> [ML 1801]
</t>
        </r>
        <r>
          <rPr>
            <sz val="14"/>
            <color rgb="FF000000"/>
            <rFont val="Times New Roman"/>
            <family val="18"/>
          </rPr>
          <t>16/09/1802 Muster: IR 11 Haupt Baumgarten Komp. Nr. 132 [</t>
        </r>
        <r>
          <rPr>
            <i/>
            <sz val="14"/>
            <color rgb="FF000000"/>
            <rFont val="Times New Roman"/>
            <family val="18"/>
          </rPr>
          <t>Krank in Regimentsspital &amp; Reale Invalid</t>
        </r>
        <r>
          <rPr>
            <sz val="14"/>
            <color rgb="FF000000"/>
            <rFont val="Times New Roman"/>
            <family val="18"/>
          </rPr>
          <t xml:space="preserve">]
</t>
        </r>
        <r>
          <rPr>
            <sz val="14"/>
            <color rgb="FF000000"/>
            <rFont val="Times New Roman"/>
            <family val="18"/>
          </rPr>
          <t xml:space="preserve">31/10/1802 </t>
        </r>
        <r>
          <rPr>
            <i/>
            <sz val="14"/>
            <color rgb="FF000000"/>
            <rFont val="Times New Roman"/>
            <family val="18"/>
          </rPr>
          <t>Zu Folge Hoher Superatbitratio in Prag den 27 Oktober als anerkannter Reale Invalid ins Prager Invalidenhaus zur Versorgung</t>
        </r>
        <r>
          <rPr>
            <sz val="14"/>
            <color rgb="FF000000"/>
            <rFont val="Times New Roman"/>
            <family val="18"/>
          </rPr>
          <t xml:space="preserve"> [ST Nov 1802] </t>
        </r>
      </text>
    </comment>
    <comment ref="BG183" authorId="0" shapeId="0" xr:uid="{16FAD1C6-9CFE-1D42-AD46-93EE93C40494}">
      <text>
        <r>
          <rPr>
            <sz val="14"/>
            <color rgb="FF000000"/>
            <rFont val="Times New Roman"/>
            <family val="18"/>
          </rPr>
          <t>ML 804/5 IR 11 (1802) – Haupt Baumgarten Komp. Nr. 132 (Prague 16/09/1802)</t>
        </r>
        <r>
          <rPr>
            <sz val="14"/>
            <color rgb="FF000000"/>
            <rFont val="Times New Roman"/>
            <family val="18"/>
          </rPr>
          <t xml:space="preserve">
</t>
        </r>
        <r>
          <rPr>
            <sz val="14"/>
            <color rgb="FF000000"/>
            <rFont val="Times New Roman"/>
            <family val="18"/>
          </rPr>
          <t>ML 839 IR 11 (1802) – ST Nov (Prague 14/12/1802)</t>
        </r>
        <r>
          <rPr>
            <sz val="14"/>
            <color rgb="FF000000"/>
            <rFont val="Times New Roman"/>
            <family val="18"/>
          </rPr>
          <t xml:space="preserve">
</t>
        </r>
      </text>
    </comment>
    <comment ref="BH183" authorId="0" shapeId="0" xr:uid="{D900862E-56E7-6B40-9CD1-C709D93571B3}">
      <text>
        <r>
          <rPr>
            <sz val="14"/>
            <color rgb="FF000000"/>
            <rFont val="Calibri"/>
            <family val="34"/>
          </rPr>
          <t xml:space="preserve">IR 11 (1795-1802)
</t>
        </r>
        <r>
          <rPr>
            <sz val="14"/>
            <color rgb="FF000000"/>
            <rFont val="Calibri"/>
            <family val="34"/>
          </rPr>
          <t>InvH Prag (1802)</t>
        </r>
      </text>
    </comment>
    <comment ref="BF184" authorId="0" shapeId="0" xr:uid="{F17E2531-B63A-6F45-A7AF-82D6F4D45527}">
      <text>
        <r>
          <rPr>
            <sz val="14"/>
            <color rgb="FF000000"/>
            <rFont val="Times New Roman"/>
            <family val="18"/>
          </rPr>
          <t xml:space="preserve">25/09/1795 </t>
        </r>
        <r>
          <rPr>
            <i/>
            <sz val="14"/>
            <color rgb="FF000000"/>
            <rFont val="Times New Roman"/>
            <family val="18"/>
          </rPr>
          <t>Von Gallizische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Lieb. Komp. Nr. 88 [</t>
        </r>
        <r>
          <rPr>
            <i/>
            <sz val="14"/>
            <color rgb="FF000000"/>
            <rFont val="Times New Roman"/>
            <family val="18"/>
          </rPr>
          <t>Beurlaubt zu Hermanowitz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r>
          <rPr>
            <sz val="14"/>
            <color rgb="FF000000"/>
            <rFont val="Calibri"/>
            <family val="34"/>
          </rPr>
          <t xml:space="preserve">
</t>
        </r>
      </text>
    </comment>
    <comment ref="BG184" authorId="0" shapeId="0" xr:uid="{AE5A90BB-5708-5648-8794-48FDDBD17512}">
      <text>
        <r>
          <rPr>
            <sz val="14"/>
            <color rgb="FF000000"/>
            <rFont val="Times New Roman"/>
            <family val="18"/>
          </rPr>
          <t>ML 5015 IR 59 (1803) – Lieb Komp. Nr. 88 (Enns 29/08/1803)</t>
        </r>
        <r>
          <rPr>
            <sz val="14"/>
            <color rgb="FF000000"/>
            <rFont val="Calibri"/>
            <family val="34"/>
          </rPr>
          <t xml:space="preserve">
</t>
        </r>
        <r>
          <rPr>
            <sz val="14"/>
            <color rgb="FF000000"/>
            <rFont val="Times New Roman"/>
            <family val="18"/>
          </rPr>
          <t>ML 5016 IR 59 (1804) – Lieb Komp. Abgang (Innsbruck 03/09/1804)</t>
        </r>
        <r>
          <rPr>
            <sz val="14"/>
            <color rgb="FF000000"/>
            <rFont val="Calibri"/>
            <family val="34"/>
          </rPr>
          <t xml:space="preserve">
</t>
        </r>
      </text>
    </comment>
    <comment ref="BH184" authorId="0" shapeId="0" xr:uid="{F65B7E8E-2A5B-AC49-BB08-C47DE5D9E3C0}">
      <text>
        <r>
          <rPr>
            <sz val="14"/>
            <color rgb="FF000000"/>
            <rFont val="Calibri"/>
            <family val="34"/>
          </rPr>
          <t>IR 59 (1795-1803)</t>
        </r>
      </text>
    </comment>
    <comment ref="BF185" authorId="0" shapeId="0" xr:uid="{58E30D3F-8657-B14A-9D37-27547B05D35B}">
      <text>
        <r>
          <rPr>
            <sz val="14"/>
            <color rgb="FF000000"/>
            <rFont val="Times New Roman"/>
            <family val="18"/>
          </rPr>
          <t xml:space="preserve">1796 </t>
        </r>
        <r>
          <rPr>
            <i/>
            <sz val="14"/>
            <color rgb="FF000000"/>
            <rFont val="Times New Roman"/>
            <family val="18"/>
          </rPr>
          <t>Dient seit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21/10/1797 </t>
        </r>
        <r>
          <rPr>
            <i/>
            <sz val="14"/>
            <color rgb="FF000000"/>
            <rFont val="Times New Roman"/>
            <family val="18"/>
          </rPr>
          <t>Von MLFK I.Ö. Armee Reserve Commando zum IR 10 transferiert und zum Proviant Fuhrwesen eingeteilt</t>
        </r>
        <r>
          <rPr>
            <sz val="14"/>
            <color rgb="FF000000"/>
            <rFont val="Times New Roman"/>
            <family val="18"/>
          </rPr>
          <t xml:space="preserve"> [ST Oct ST &amp; TL 1797]</t>
        </r>
        <r>
          <rPr>
            <sz val="14"/>
            <color rgb="FF000000"/>
            <rFont val="Calibri"/>
            <family val="34"/>
          </rPr>
          <t xml:space="preserve">
</t>
        </r>
        <r>
          <rPr>
            <sz val="14"/>
            <color rgb="FF000000"/>
            <rFont val="Times New Roman"/>
            <family val="18"/>
          </rPr>
          <t>15/03/1798 Revision: IR 10 Proviant Fuhrwesen Nr. 25 [</t>
        </r>
        <r>
          <rPr>
            <i/>
            <sz val="14"/>
            <color rgb="FF000000"/>
            <rFont val="Times New Roman"/>
            <family val="18"/>
          </rPr>
          <t>Beilaufer</t>
        </r>
        <r>
          <rPr>
            <sz val="14"/>
            <color rgb="FF000000"/>
            <rFont val="Times New Roman"/>
            <family val="18"/>
          </rPr>
          <t>]</t>
        </r>
        <r>
          <rPr>
            <sz val="14"/>
            <color rgb="FF000000"/>
            <rFont val="Calibri"/>
            <family val="34"/>
          </rPr>
          <t xml:space="preserve">
</t>
        </r>
        <r>
          <rPr>
            <sz val="14"/>
            <color rgb="FF000000"/>
            <rFont val="Times New Roman"/>
            <family val="18"/>
          </rPr>
          <t>After 15/03/1798 UNBEKANNT: In Dienst IR 10 FELD Bat Provinat Fuhrwesen</t>
        </r>
      </text>
    </comment>
    <comment ref="BG185" authorId="0" shapeId="0" xr:uid="{0A9305E9-E515-1645-8B1B-97CDAD7C448C}">
      <text>
        <r>
          <rPr>
            <sz val="14"/>
            <color rgb="FF000000"/>
            <rFont val="Times New Roman"/>
            <family val="18"/>
          </rPr>
          <t>ML 711/2 IR 10 (1798) – Proviant Fuhrwesen Nr. 25 (Mestre 15/03/1798)</t>
        </r>
        <r>
          <rPr>
            <sz val="14"/>
            <color rgb="FF000000"/>
            <rFont val="Calibri"/>
            <family val="34"/>
          </rPr>
          <t xml:space="preserve">
</t>
        </r>
        <r>
          <rPr>
            <sz val="14"/>
            <color rgb="FF000000"/>
            <rFont val="Times New Roman"/>
            <family val="18"/>
          </rPr>
          <t>ML 745 IR 10 (1797) – TL MFWK-&gt;IR 10 Nr. 6 (Assello bey Laibach 24/10/1797); ST Oct</t>
        </r>
        <r>
          <rPr>
            <sz val="14"/>
            <color rgb="FF000000"/>
            <rFont val="Calibri"/>
            <family val="34"/>
          </rPr>
          <t xml:space="preserve">
</t>
        </r>
      </text>
    </comment>
    <comment ref="BH185" authorId="0" shapeId="0" xr:uid="{1D1AFF20-7C4A-F847-8B94-357994C9EFC7}">
      <text>
        <r>
          <rPr>
            <sz val="14"/>
            <color rgb="FF000000"/>
            <rFont val="Times New Roman"/>
            <family val="18"/>
          </rPr>
          <t xml:space="preserve">MFWK (1796-1798)
</t>
        </r>
      </text>
    </comment>
    <comment ref="BF186" authorId="0" shapeId="0" xr:uid="{6A5551CA-D56F-4342-9B5D-AE4AEBF287E6}">
      <text>
        <r>
          <rPr>
            <sz val="14"/>
            <color rgb="FF000000"/>
            <rFont val="Times New Roman"/>
            <family val="18"/>
          </rPr>
          <t xml:space="preserve">1796 </t>
        </r>
        <r>
          <rPr>
            <i/>
            <sz val="14"/>
            <color rgb="FF000000"/>
            <rFont val="Times New Roman"/>
            <family val="18"/>
          </rPr>
          <t>Dient seit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21/10/1797 </t>
        </r>
        <r>
          <rPr>
            <i/>
            <sz val="14"/>
            <color rgb="FF000000"/>
            <rFont val="Times New Roman"/>
            <family val="18"/>
          </rPr>
          <t>Von MLFK I.Ö. Armee Reserve Commando zum IR 10 transferiert und zum Proviant Fuhrwesen eingeteilt</t>
        </r>
        <r>
          <rPr>
            <sz val="14"/>
            <color rgb="FF000000"/>
            <rFont val="Times New Roman"/>
            <family val="18"/>
          </rPr>
          <t xml:space="preserve"> [ST Oct ST &amp; TL 1797]</t>
        </r>
        <r>
          <rPr>
            <sz val="14"/>
            <color rgb="FF000000"/>
            <rFont val="Calibri"/>
            <family val="34"/>
          </rPr>
          <t xml:space="preserve">
</t>
        </r>
        <r>
          <rPr>
            <sz val="14"/>
            <color rgb="FF000000"/>
            <rFont val="Times New Roman"/>
            <family val="18"/>
          </rPr>
          <t xml:space="preserve">15/03/1798 Revision: IR 10 Proviant Fuhrwesen Nr. 10 </t>
        </r>
        <r>
          <rPr>
            <sz val="14"/>
            <color rgb="FF000000"/>
            <rFont val="Calibri"/>
            <family val="34"/>
          </rPr>
          <t xml:space="preserve">
</t>
        </r>
        <r>
          <rPr>
            <sz val="14"/>
            <color rgb="FF000000"/>
            <rFont val="Times New Roman"/>
            <family val="18"/>
          </rPr>
          <t>After 15/03/1798 UNBEKANNT: In Dienst IR 10 FELD Bat Provinat Fuhrwesen</t>
        </r>
        <r>
          <rPr>
            <sz val="14"/>
            <color rgb="FF000000"/>
            <rFont val="Calibri"/>
            <family val="34"/>
          </rPr>
          <t xml:space="preserve">
</t>
        </r>
      </text>
    </comment>
    <comment ref="BG186" authorId="0" shapeId="0" xr:uid="{36155382-6670-F244-A919-69DEA9C41D8A}">
      <text>
        <r>
          <rPr>
            <sz val="14"/>
            <color rgb="FF000000"/>
            <rFont val="Times New Roman"/>
            <family val="18"/>
          </rPr>
          <t>ML 711/2 IR 10 (1798) – Proviant Fuhrwesen Nr. 10 (Mestre 15/03/1798)</t>
        </r>
        <r>
          <rPr>
            <sz val="14"/>
            <color rgb="FF000000"/>
            <rFont val="Calibri"/>
            <family val="34"/>
          </rPr>
          <t xml:space="preserve">
</t>
        </r>
        <r>
          <rPr>
            <sz val="14"/>
            <color rgb="FF000000"/>
            <rFont val="Times New Roman"/>
            <family val="18"/>
          </rPr>
          <t>ML 745 IR 10 (1797) – TL MFWK-&gt;IR 10 Nr. 3 (Assello bey Laibach 24/10/1797); ST Oct</t>
        </r>
        <r>
          <rPr>
            <sz val="14"/>
            <color rgb="FF000000"/>
            <rFont val="Calibri"/>
            <family val="34"/>
          </rPr>
          <t xml:space="preserve">
</t>
        </r>
      </text>
    </comment>
    <comment ref="BH186" authorId="0" shapeId="0" xr:uid="{3D5D93F0-A560-2745-A4B3-53C2EE735F9B}">
      <text>
        <r>
          <rPr>
            <sz val="14"/>
            <color rgb="FF000000"/>
            <rFont val="Times New Roman"/>
            <family val="18"/>
          </rPr>
          <t xml:space="preserve">MFWK (1796-1798)
</t>
        </r>
      </text>
    </comment>
    <comment ref="BF187" authorId="0" shapeId="0" xr:uid="{75E1E7C5-DED5-924F-B728-BD1BCF5A1EA0}">
      <text>
        <r>
          <rPr>
            <sz val="14"/>
            <color rgb="FF000000"/>
            <rFont val="Times New Roman"/>
            <family val="18"/>
          </rPr>
          <t xml:space="preserve">1796 </t>
        </r>
        <r>
          <rPr>
            <i/>
            <sz val="14"/>
            <color rgb="FF000000"/>
            <rFont val="Times New Roman"/>
            <family val="18"/>
          </rPr>
          <t>Dient seit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21/10/1797 </t>
        </r>
        <r>
          <rPr>
            <i/>
            <sz val="14"/>
            <color rgb="FF000000"/>
            <rFont val="Times New Roman"/>
            <family val="18"/>
          </rPr>
          <t>Von MLFK I.Ö. Armee Reserve Commando zum IR 10 transferiert und zum Proviant Fuhrwesen eingeteilt</t>
        </r>
        <r>
          <rPr>
            <sz val="14"/>
            <color rgb="FF000000"/>
            <rFont val="Times New Roman"/>
            <family val="18"/>
          </rPr>
          <t xml:space="preserve"> [ST Oct ST &amp; TL 1797]</t>
        </r>
        <r>
          <rPr>
            <sz val="14"/>
            <color rgb="FF000000"/>
            <rFont val="Calibri"/>
            <family val="34"/>
          </rPr>
          <t xml:space="preserve">
</t>
        </r>
        <r>
          <rPr>
            <sz val="14"/>
            <color rgb="FF000000"/>
            <rFont val="Times New Roman"/>
            <family val="18"/>
          </rPr>
          <t>15/03/1798 Revision: IR 10 Proviant Fuhrwesen Nr. 23 [</t>
        </r>
        <r>
          <rPr>
            <i/>
            <sz val="14"/>
            <color rgb="FF000000"/>
            <rFont val="Times New Roman"/>
            <family val="18"/>
          </rPr>
          <t>Beilaufer</t>
        </r>
        <r>
          <rPr>
            <sz val="14"/>
            <color rgb="FF000000"/>
            <rFont val="Times New Roman"/>
            <family val="18"/>
          </rPr>
          <t>]</t>
        </r>
        <r>
          <rPr>
            <sz val="14"/>
            <color rgb="FF000000"/>
            <rFont val="Calibri"/>
            <family val="34"/>
          </rPr>
          <t xml:space="preserve">
</t>
        </r>
        <r>
          <rPr>
            <sz val="14"/>
            <color rgb="FF000000"/>
            <rFont val="Times New Roman"/>
            <family val="18"/>
          </rPr>
          <t xml:space="preserve">27/03/1800 </t>
        </r>
        <r>
          <rPr>
            <i/>
            <sz val="14"/>
            <color rgb="FF000000"/>
            <rFont val="Times New Roman"/>
            <family val="18"/>
          </rPr>
          <t>Von IR 10 Proviant Fuhrwesen Krankheithalber zum MFWK transferiert</t>
        </r>
        <r>
          <rPr>
            <sz val="14"/>
            <color rgb="FF000000"/>
            <rFont val="Times New Roman"/>
            <family val="18"/>
          </rPr>
          <t xml:space="preserve"> [ST Nov 1799]</t>
        </r>
        <r>
          <rPr>
            <sz val="14"/>
            <color rgb="FF000000"/>
            <rFont val="+mn-lt"/>
            <charset val="1"/>
          </rPr>
          <t xml:space="preserve">
</t>
        </r>
      </text>
    </comment>
    <comment ref="BG187" authorId="0" shapeId="0" xr:uid="{4D1862AB-2A04-514D-B97E-193F4D40AED2}">
      <text>
        <r>
          <rPr>
            <sz val="14"/>
            <color rgb="FF000000"/>
            <rFont val="Times New Roman"/>
            <family val="18"/>
          </rPr>
          <t>ML 711/2 IR 10 (1798) – Proviant Fuhrwesen Nr. 23 (Mestre 15/03/1798)</t>
        </r>
        <r>
          <rPr>
            <sz val="14"/>
            <color rgb="FF000000"/>
            <rFont val="Calibri"/>
            <family val="34"/>
          </rPr>
          <t xml:space="preserve">
</t>
        </r>
        <r>
          <rPr>
            <sz val="14"/>
            <color rgb="FF000000"/>
            <rFont val="Times New Roman"/>
            <family val="18"/>
          </rPr>
          <t xml:space="preserve">ML 745 IR 10 (1797) – TL MFWK-&gt;IR 10 Nr. 2 (Assello bey Laibach 24/10/1797); ST Oct </t>
        </r>
        <r>
          <rPr>
            <sz val="14"/>
            <color rgb="FF000000"/>
            <rFont val="Calibri"/>
            <family val="34"/>
          </rPr>
          <t xml:space="preserve">
</t>
        </r>
        <r>
          <rPr>
            <sz val="14"/>
            <color rgb="FF000000"/>
            <rFont val="Times New Roman"/>
            <family val="18"/>
          </rPr>
          <t>ML 747 IR 10 (1800) – ST March (26/11/1800)</t>
        </r>
        <r>
          <rPr>
            <sz val="14"/>
            <color rgb="FF000000"/>
            <rFont val="Calibri"/>
            <family val="34"/>
          </rPr>
          <t xml:space="preserve">
</t>
        </r>
      </text>
    </comment>
    <comment ref="BH187" authorId="0" shapeId="0" xr:uid="{0D73AD23-5491-6042-BAC7-271740F4823F}">
      <text>
        <r>
          <rPr>
            <sz val="14"/>
            <color rgb="FF000000"/>
            <rFont val="Times New Roman"/>
            <family val="18"/>
          </rPr>
          <t xml:space="preserve">MFWK (1796-1800)
</t>
        </r>
      </text>
    </comment>
    <comment ref="C188" authorId="0" shapeId="0" xr:uid="{5F8151E8-5BA1-DD47-A20F-06EED4AEC942}">
      <text>
        <r>
          <rPr>
            <i/>
            <sz val="14"/>
            <color rgb="FF000000"/>
            <rFont val="Times New Roman"/>
            <family val="18"/>
          </rPr>
          <t>Krzemicz</t>
        </r>
        <r>
          <rPr>
            <sz val="14"/>
            <color rgb="FF000000"/>
            <rFont val="Times New Roman"/>
            <family val="18"/>
          </rPr>
          <t xml:space="preserve"> </t>
        </r>
        <r>
          <rPr>
            <b/>
            <sz val="14"/>
            <color rgb="FF000000"/>
            <rFont val="Times New Roman"/>
            <family val="18"/>
          </rPr>
          <t>[?]</t>
        </r>
        <r>
          <rPr>
            <sz val="14"/>
            <color rgb="FF000000"/>
            <rFont val="Times New Roman"/>
            <family val="18"/>
          </rPr>
          <t xml:space="preserve">
</t>
        </r>
        <r>
          <rPr>
            <sz val="14"/>
            <color rgb="FF000000"/>
            <rFont val="Times New Roman"/>
            <family val="18"/>
          </rPr>
          <t xml:space="preserve">OR
</t>
        </r>
        <r>
          <rPr>
            <i/>
            <sz val="14"/>
            <color rgb="FF000000"/>
            <rFont val="Times New Roman"/>
            <family val="18"/>
          </rPr>
          <t>Selleschzeck</t>
        </r>
        <r>
          <rPr>
            <sz val="14"/>
            <color rgb="FF000000"/>
            <rFont val="Times New Roman"/>
            <family val="18"/>
          </rPr>
          <t xml:space="preserve"> </t>
        </r>
        <r>
          <rPr>
            <b/>
            <sz val="14"/>
            <color rgb="FF000000"/>
            <rFont val="Times New Roman"/>
            <family val="18"/>
          </rPr>
          <t>[?]</t>
        </r>
        <r>
          <rPr>
            <sz val="14"/>
            <color rgb="FF000000"/>
            <rFont val="Times New Roman"/>
            <family val="18"/>
          </rPr>
          <t xml:space="preserve"> </t>
        </r>
      </text>
    </comment>
    <comment ref="O188" authorId="0" shapeId="0" xr:uid="{D55CCA17-C006-AD45-9BA1-750802BEBAE2}">
      <text>
        <r>
          <rPr>
            <sz val="14"/>
            <color rgb="FF000000"/>
            <rFont val="Times New Roman"/>
            <family val="18"/>
          </rPr>
          <t>Jakob (1799)</t>
        </r>
      </text>
    </comment>
    <comment ref="P188" authorId="0" shapeId="0" xr:uid="{E6CB396F-24C9-624F-AC1C-6F3702781505}">
      <text>
        <r>
          <rPr>
            <sz val="14"/>
            <color rgb="FF000000"/>
            <rFont val="Times New Roman"/>
            <family val="18"/>
          </rPr>
          <t>Lefka (1796)</t>
        </r>
      </text>
    </comment>
    <comment ref="BF188" authorId="0" shapeId="0" xr:uid="{9647D32B-9BEA-B74C-A694-F36C119A104C}">
      <text>
        <r>
          <rPr>
            <sz val="14"/>
            <color rgb="FF000000"/>
            <rFont val="Times New Roman"/>
            <family val="18"/>
          </rPr>
          <t xml:space="preserve">08/03/1796 </t>
        </r>
        <r>
          <rPr>
            <i/>
            <sz val="14"/>
            <color rgb="FF000000"/>
            <rFont val="Times New Roman"/>
            <family val="18"/>
          </rPr>
          <t>A 15Fl Werbgeld auf Beständig zu Lemberg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Obrist Komp. Nr. 63</t>
        </r>
        <r>
          <rPr>
            <sz val="14"/>
            <color rgb="FF000000"/>
            <rFont val="Calibri"/>
            <family val="34"/>
          </rPr>
          <t xml:space="preserve">
</t>
        </r>
        <r>
          <rPr>
            <sz val="14"/>
            <color rgb="FF000000"/>
            <rFont val="Times New Roman"/>
            <family val="18"/>
          </rPr>
          <t xml:space="preserve">31/10/1805 </t>
        </r>
        <r>
          <rPr>
            <i/>
            <sz val="14"/>
            <color rgb="FF000000"/>
            <rFont val="Times New Roman"/>
            <family val="18"/>
          </rPr>
          <t>Auf Urlaub ausgeblieben und desertiert</t>
        </r>
        <r>
          <rPr>
            <sz val="14"/>
            <color rgb="FF000000"/>
            <rFont val="Times New Roman"/>
            <family val="18"/>
          </rPr>
          <t xml:space="preserve"> [ML 1806]</t>
        </r>
        <r>
          <rPr>
            <sz val="14"/>
            <color rgb="FF000000"/>
            <rFont val="Calibri"/>
            <family val="34"/>
          </rPr>
          <t xml:space="preserve">
</t>
        </r>
      </text>
    </comment>
    <comment ref="BG188" authorId="0" shapeId="0" xr:uid="{A07306C5-87D6-3240-89F1-A2444FAFB961}">
      <text>
        <r>
          <rPr>
            <sz val="14"/>
            <color rgb="FF000000"/>
            <rFont val="Times New Roman"/>
            <family val="18"/>
          </rPr>
          <t>ML 348 IR 4 (1803) – Obrist Komp. Nr. 63 (Vienna 14/09/1803)</t>
        </r>
        <r>
          <rPr>
            <sz val="14"/>
            <color rgb="FF000000"/>
            <rFont val="Calibri"/>
            <family val="34"/>
          </rPr>
          <t xml:space="preserve">
</t>
        </r>
        <r>
          <rPr>
            <sz val="14"/>
            <color rgb="FF000000"/>
            <rFont val="Times New Roman"/>
            <family val="18"/>
          </rPr>
          <t>ML 349/50 IR 4 (1806) – 10. Fus. Komp. Abgang (Haimburg 27/12/1806)</t>
        </r>
        <r>
          <rPr>
            <sz val="14"/>
            <color rgb="FF000000"/>
            <rFont val="Calibri"/>
            <family val="34"/>
          </rPr>
          <t xml:space="preserve">
</t>
        </r>
      </text>
    </comment>
    <comment ref="BH188" authorId="0" shapeId="0" xr:uid="{86AF80D5-42A4-F740-96AF-AE6A992AB686}">
      <text>
        <r>
          <rPr>
            <sz val="14"/>
            <color rgb="FF000000"/>
            <rFont val="Calibri"/>
            <family val="34"/>
          </rPr>
          <t>IR 4 (1796-1805)</t>
        </r>
      </text>
    </comment>
    <comment ref="BF189" authorId="0" shapeId="0" xr:uid="{F6825C18-07B0-DD4E-B5D8-2106A3681F07}">
      <text>
        <r>
          <rPr>
            <sz val="14"/>
            <color rgb="FF000000"/>
            <rFont val="Times New Roman"/>
            <family val="18"/>
          </rPr>
          <t xml:space="preserve">21/03/1796 </t>
        </r>
        <r>
          <rPr>
            <i/>
            <sz val="14"/>
            <color rgb="FF000000"/>
            <rFont val="Times New Roman"/>
            <family val="18"/>
          </rPr>
          <t>Gegen 10 Gulden Werbgeld in Lemberg ins Grün Loudon Frey Corps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Quenaudon Komp. Nr. 119</t>
        </r>
        <r>
          <rPr>
            <sz val="14"/>
            <color rgb="FF000000"/>
            <rFont val="Calibri"/>
            <family val="34"/>
          </rPr>
          <t xml:space="preserve">
</t>
        </r>
        <r>
          <rPr>
            <sz val="14"/>
            <color rgb="FF000000"/>
            <rFont val="Times New Roman"/>
            <family val="18"/>
          </rPr>
          <t>07/03/1798 Revision: FK Grün Loudon Haupt Quenaudon Komp. Nr. 104</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4 Haupt Quenaudon Komp. Nr. 100 [</t>
        </r>
        <r>
          <rPr>
            <i/>
            <sz val="14"/>
            <color rgb="FF000000"/>
            <rFont val="Times New Roman"/>
            <family val="18"/>
          </rPr>
          <t>Auf der Vieh Wacht</t>
        </r>
        <r>
          <rPr>
            <sz val="14"/>
            <color rgb="FF000000"/>
            <rFont val="Times New Roman"/>
            <family val="18"/>
          </rPr>
          <t>]</t>
        </r>
        <r>
          <rPr>
            <sz val="14"/>
            <color rgb="FF000000"/>
            <rFont val="Calibri"/>
            <family val="34"/>
          </rPr>
          <t xml:space="preserve">
</t>
        </r>
        <r>
          <rPr>
            <sz val="14"/>
            <color rgb="FF000000"/>
            <rFont val="Times New Roman"/>
            <family val="18"/>
          </rPr>
          <t>22/01/1799 Revision: LB 4 Haupt Quenaudon Komp. Nr. 98 [</t>
        </r>
        <r>
          <rPr>
            <i/>
            <sz val="14"/>
            <color rgb="FF000000"/>
            <rFont val="Times New Roman"/>
            <family val="18"/>
          </rPr>
          <t>Commandiert beim Schlacht Vieh</t>
        </r>
        <r>
          <rPr>
            <sz val="14"/>
            <color rgb="FF000000"/>
            <rFont val="Times New Roman"/>
            <family val="18"/>
          </rPr>
          <t>]</t>
        </r>
        <r>
          <rPr>
            <sz val="14"/>
            <color rgb="FF000000"/>
            <rFont val="Calibri"/>
            <family val="34"/>
          </rPr>
          <t xml:space="preserve">
</t>
        </r>
        <r>
          <rPr>
            <sz val="14"/>
            <color rgb="FF000000"/>
            <rFont val="Times New Roman"/>
            <family val="18"/>
          </rPr>
          <t>03/04/1799 Revision: LB 4 Haupt Quenaudon Komp. Nr. 138 [</t>
        </r>
        <r>
          <rPr>
            <i/>
            <sz val="14"/>
            <color rgb="FF000000"/>
            <rFont val="Times New Roman"/>
            <family val="18"/>
          </rPr>
          <t>Krank in Spital</t>
        </r>
        <r>
          <rPr>
            <sz val="14"/>
            <color rgb="FF000000"/>
            <rFont val="Times New Roman"/>
            <family val="18"/>
          </rPr>
          <t>]</t>
        </r>
        <r>
          <rPr>
            <sz val="14"/>
            <color rgb="FF000000"/>
            <rFont val="Calibri"/>
            <family val="34"/>
          </rPr>
          <t xml:space="preserve">
</t>
        </r>
        <r>
          <rPr>
            <sz val="14"/>
            <color rgb="FF000000"/>
            <rFont val="Times New Roman"/>
            <family val="18"/>
          </rPr>
          <t xml:space="preserve">29/08/1800 </t>
        </r>
        <r>
          <rPr>
            <i/>
            <sz val="14"/>
            <color rgb="FF000000"/>
            <rFont val="Times New Roman"/>
            <family val="18"/>
          </rPr>
          <t>In Spital zu Este gestorben</t>
        </r>
        <r>
          <rPr>
            <sz val="14"/>
            <color rgb="FF000000"/>
            <rFont val="Times New Roman"/>
            <family val="18"/>
          </rPr>
          <t xml:space="preserve"> [RL 1801]</t>
        </r>
        <r>
          <rPr>
            <sz val="14"/>
            <color rgb="FF000000"/>
            <rFont val="Calibri"/>
            <family val="34"/>
          </rPr>
          <t xml:space="preserve">
</t>
        </r>
      </text>
    </comment>
    <comment ref="BG189" authorId="0" shapeId="0" xr:uid="{40CCFD3D-1EA5-204C-B2FD-B522D171BCCF}">
      <text>
        <r>
          <rPr>
            <sz val="14"/>
            <color rgb="FF000000"/>
            <rFont val="Times New Roman"/>
            <family val="18"/>
          </rPr>
          <t>ML 10.763 FK Grün Laudon (1797-98) – RL Haupt Quenaudon Komp. Nr. 119 (Maria Saal 19/06/1797); RL Haupt Quenaudon Komp. Nr. 104 (Rovigo 07/03/1798)</t>
        </r>
        <r>
          <rPr>
            <sz val="14"/>
            <color rgb="FF000000"/>
            <rFont val="Calibri"/>
            <family val="34"/>
          </rPr>
          <t xml:space="preserve">
</t>
        </r>
        <r>
          <rPr>
            <sz val="14"/>
            <color rgb="FF000000"/>
            <rFont val="Times New Roman"/>
            <family val="18"/>
          </rPr>
          <t xml:space="preserve">ML 10.630 LB 4 (1798-1801) – 1798 RL Haupt Quenaudon Komp. Nr. 100 (Rovigo 30/06/1798); 1799 RL Haupt Quenaudon Komp. Nr. 98 (Rovigo 22/01/1799); RL Haupt Quenaudon Nr. 138 (Pisa 04/03/1800); RL Haupt Löwel Abgang (Furracio 28/08/1801) </t>
        </r>
        <r>
          <rPr>
            <sz val="14"/>
            <color rgb="FF000000"/>
            <rFont val="Calibri"/>
            <family val="34"/>
          </rPr>
          <t xml:space="preserve">
</t>
        </r>
      </text>
    </comment>
    <comment ref="BH189" authorId="0" shapeId="0" xr:uid="{AD163473-FD20-6F42-9B15-F4B525F32E84}">
      <text>
        <r>
          <rPr>
            <sz val="14"/>
            <color rgb="FF000000"/>
            <rFont val="Times New Roman"/>
            <family val="18"/>
          </rPr>
          <t xml:space="preserve">FK Grün Loudon (1796-1798)
</t>
        </r>
        <r>
          <rPr>
            <sz val="14"/>
            <color rgb="FF000000"/>
            <rFont val="Times New Roman"/>
            <family val="18"/>
          </rPr>
          <t>LB 4 (1798-1800)</t>
        </r>
      </text>
    </comment>
    <comment ref="BF190" authorId="0" shapeId="0" xr:uid="{8284A445-F0C1-8049-B20C-0B0562F96E07}">
      <text>
        <r>
          <rPr>
            <sz val="14"/>
            <color rgb="FF000000"/>
            <rFont val="Times New Roman"/>
            <family val="18"/>
          </rPr>
          <t xml:space="preserve">21/03/1796 </t>
        </r>
        <r>
          <rPr>
            <i/>
            <sz val="14"/>
            <color rgb="FF000000"/>
            <rFont val="Times New Roman"/>
            <family val="18"/>
          </rPr>
          <t>Gegen 10 Gulden Werbgeld [5Fl Handgeld, 2Fl Anbringsgeld und 3Fl Sonstige Unkosten] in Brody ins Grün Loudon Frey Corps auf Beständig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29/07/1796 </t>
        </r>
        <r>
          <rPr>
            <i/>
            <sz val="14"/>
            <color rgb="FF000000"/>
            <rFont val="Times New Roman"/>
            <family val="18"/>
          </rPr>
          <t xml:space="preserve">Auf Marsch Desertiert </t>
        </r>
        <r>
          <rPr>
            <sz val="14"/>
            <color rgb="FF000000"/>
            <rFont val="Times New Roman"/>
            <family val="18"/>
          </rPr>
          <t>[RL June 1797]</t>
        </r>
        <r>
          <rPr>
            <sz val="14"/>
            <color rgb="FF000000"/>
            <rFont val="Calibri"/>
            <family val="34"/>
          </rPr>
          <t xml:space="preserve">
</t>
        </r>
      </text>
    </comment>
    <comment ref="BG190" authorId="0" shapeId="0" xr:uid="{3F72E6F2-A590-1743-9FFC-041487C6EA9F}">
      <text>
        <r>
          <rPr>
            <sz val="14"/>
            <color rgb="FF000000"/>
            <rFont val="Times New Roman"/>
            <family val="18"/>
          </rPr>
          <t>ML 10.763 FK Grün Laudon (1797-98) – RL Haupt Schligtig - Abgang (Maria Saal 19/06/1797)</t>
        </r>
        <r>
          <rPr>
            <sz val="14"/>
            <color rgb="FF000000"/>
            <rFont val="Calibri"/>
            <family val="34"/>
          </rPr>
          <t xml:space="preserve">
</t>
        </r>
        <r>
          <rPr>
            <sz val="14"/>
            <color rgb="FF000000"/>
            <rFont val="Times New Roman"/>
            <family val="18"/>
          </rPr>
          <t>ML 10.771 FK Grün Laudon (1796-7) – AL Nr. 1 (Brody 07/04/1796)</t>
        </r>
        <r>
          <rPr>
            <sz val="14"/>
            <color rgb="FF000000"/>
            <rFont val="Calibri"/>
            <family val="34"/>
          </rPr>
          <t xml:space="preserve">
</t>
        </r>
      </text>
    </comment>
    <comment ref="BH190" authorId="0" shapeId="0" xr:uid="{C41D6BAB-4917-8B4B-BBE8-9796DEFB9147}">
      <text>
        <r>
          <rPr>
            <sz val="14"/>
            <color rgb="FF000000"/>
            <rFont val="Times New Roman"/>
            <family val="18"/>
          </rPr>
          <t xml:space="preserve">FK Grün Loudon </t>
        </r>
        <r>
          <rPr>
            <sz val="14"/>
            <color rgb="FF000000"/>
            <rFont val="Calibri"/>
            <family val="34"/>
          </rPr>
          <t>(1796)</t>
        </r>
      </text>
    </comment>
    <comment ref="I191" authorId="0" shapeId="0" xr:uid="{0A1891DC-9B85-F846-A10B-A6E07EF9BD57}">
      <text>
        <r>
          <rPr>
            <sz val="14"/>
            <color rgb="FF000000"/>
            <rFont val="Calibri"/>
            <family val="34"/>
          </rPr>
          <t xml:space="preserve">1772 [30 (1802)] 
</t>
        </r>
        <r>
          <rPr>
            <sz val="14"/>
            <color rgb="FF000000"/>
            <rFont val="Calibri"/>
            <family val="34"/>
          </rPr>
          <t xml:space="preserve">OR 
</t>
        </r>
        <r>
          <rPr>
            <sz val="14"/>
            <color rgb="FF000000"/>
            <rFont val="Calibri"/>
            <family val="34"/>
          </rPr>
          <t>1776 [20 (1796)]</t>
        </r>
      </text>
    </comment>
    <comment ref="BF191" authorId="0" shapeId="0" xr:uid="{079BF680-BEDA-2541-A4A3-861411943067}">
      <text>
        <r>
          <rPr>
            <sz val="14"/>
            <color rgb="FF000000"/>
            <rFont val="Times New Roman"/>
            <family val="18"/>
          </rPr>
          <t xml:space="preserve">26/03/1796 </t>
        </r>
        <r>
          <rPr>
            <i/>
            <sz val="14"/>
            <color rgb="FF000000"/>
            <rFont val="Times New Roman"/>
            <family val="18"/>
          </rPr>
          <t xml:space="preserve">Gegen 10 Gulden Werbgeld [3Fl Handgeld, 2Fl Anbringsgeld und 5Fl Sonstige Unkosten] auf Beständig zu Brody </t>
        </r>
        <r>
          <rPr>
            <b/>
            <sz val="14"/>
            <color rgb="FF000000"/>
            <rFont val="Times New Roman"/>
            <family val="18"/>
          </rPr>
          <t>[</t>
        </r>
        <r>
          <rPr>
            <b/>
            <u/>
            <sz val="14"/>
            <color rgb="FF0563C1"/>
            <rFont val="Times New Roman"/>
            <family val="18"/>
          </rPr>
          <t>Brody, Ukraine</t>
        </r>
        <r>
          <rPr>
            <b/>
            <sz val="14"/>
            <color rgb="FF000000"/>
            <rFont val="Times New Roman"/>
            <family val="18"/>
          </rPr>
          <t>]</t>
        </r>
        <r>
          <rPr>
            <i/>
            <sz val="14"/>
            <color rgb="FF000000"/>
            <rFont val="Times New Roman"/>
            <family val="18"/>
          </rPr>
          <t xml:space="preserve"> ins Grün Loudon Frey Corps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19/06/1797 Revision: FK Grün Loudon Sichtig Comp Nr. 102</t>
        </r>
        <r>
          <rPr>
            <sz val="14"/>
            <color rgb="FF000000"/>
            <rFont val="Calibri"/>
            <family val="34"/>
          </rPr>
          <t xml:space="preserve">
</t>
        </r>
        <r>
          <rPr>
            <sz val="14"/>
            <color rgb="FF000000"/>
            <rFont val="Times New Roman"/>
            <family val="18"/>
          </rPr>
          <t xml:space="preserve">22/08/1797 </t>
        </r>
        <r>
          <rPr>
            <i/>
            <sz val="14"/>
            <color rgb="FF000000"/>
            <rFont val="Times New Roman"/>
            <family val="18"/>
          </rPr>
          <t xml:space="preserve">Zu Travis </t>
        </r>
        <r>
          <rPr>
            <b/>
            <sz val="14"/>
            <color rgb="FF000000"/>
            <rFont val="Times New Roman"/>
            <family val="18"/>
          </rPr>
          <t>[</t>
        </r>
        <r>
          <rPr>
            <b/>
            <u/>
            <sz val="14"/>
            <color rgb="FF0563C1"/>
            <rFont val="Times New Roman"/>
            <family val="18"/>
          </rPr>
          <t>Treviso, Italy</t>
        </r>
        <r>
          <rPr>
            <b/>
            <sz val="14"/>
            <color rgb="FF000000"/>
            <rFont val="Times New Roman"/>
            <family val="18"/>
          </rPr>
          <t>]</t>
        </r>
        <r>
          <rPr>
            <sz val="14"/>
            <color rgb="FF000000"/>
            <rFont val="Times New Roman"/>
            <family val="18"/>
          </rPr>
          <t xml:space="preserve"> </t>
        </r>
        <r>
          <rPr>
            <i/>
            <sz val="14"/>
            <color rgb="FF000000"/>
            <rFont val="Times New Roman"/>
            <family val="18"/>
          </rPr>
          <t>Superarbietriert</t>
        </r>
        <r>
          <rPr>
            <sz val="14"/>
            <color rgb="FF000000"/>
            <rFont val="Times New Roman"/>
            <family val="18"/>
          </rPr>
          <t xml:space="preserve">: </t>
        </r>
        <r>
          <rPr>
            <i/>
            <sz val="14"/>
            <color rgb="FF000000"/>
            <rFont val="Times New Roman"/>
            <family val="18"/>
          </rPr>
          <t>Auf die Linke Auge teils Blind und unvermögend Urin zu Halten</t>
        </r>
        <r>
          <rPr>
            <sz val="14"/>
            <color rgb="FF000000"/>
            <rFont val="Times New Roman"/>
            <family val="18"/>
          </rPr>
          <t xml:space="preserve"> [SUP 1797]</t>
        </r>
        <r>
          <rPr>
            <sz val="14"/>
            <color rgb="FF000000"/>
            <rFont val="Calibri"/>
            <family val="34"/>
          </rPr>
          <t xml:space="preserve">
</t>
        </r>
        <r>
          <rPr>
            <sz val="14"/>
            <color rgb="FF000000"/>
            <rFont val="Times New Roman"/>
            <family val="18"/>
          </rPr>
          <t xml:space="preserve">31/08/1797 </t>
        </r>
        <r>
          <rPr>
            <i/>
            <sz val="14"/>
            <color rgb="FF000000"/>
            <rFont val="Times New Roman"/>
            <family val="18"/>
          </rPr>
          <t>Von FK Grün Loudon Haupt Schligtig Comp. Zum</t>
        </r>
        <r>
          <rPr>
            <sz val="14"/>
            <color rgb="FF000000"/>
            <rFont val="Times New Roman"/>
            <family val="18"/>
          </rPr>
          <t xml:space="preserve"> </t>
        </r>
        <r>
          <rPr>
            <b/>
            <sz val="14"/>
            <color rgb="FF000000"/>
            <rFont val="Times New Roman"/>
            <family val="18"/>
          </rPr>
          <t>2. GarRgt</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Conduite: </t>
        </r>
        <r>
          <rPr>
            <i/>
            <sz val="14"/>
            <color rgb="FF000000"/>
            <rFont val="Times New Roman"/>
            <family val="18"/>
          </rPr>
          <t xml:space="preserve">Mittelmäßig </t>
        </r>
        <r>
          <rPr>
            <sz val="14"/>
            <color rgb="FF000000"/>
            <rFont val="Times New Roman"/>
            <family val="18"/>
          </rPr>
          <t>[RL 1798]</t>
        </r>
        <r>
          <rPr>
            <sz val="14"/>
            <color rgb="FF000000"/>
            <rFont val="Calibri"/>
            <family val="34"/>
          </rPr>
          <t xml:space="preserve">
</t>
        </r>
        <r>
          <rPr>
            <sz val="14"/>
            <color rgb="FF000000"/>
            <rFont val="Times New Roman"/>
            <family val="18"/>
          </rPr>
          <t xml:space="preserve">01/11/1798 </t>
        </r>
        <r>
          <rPr>
            <i/>
            <sz val="14"/>
            <color rgb="FF000000"/>
            <rFont val="Times New Roman"/>
            <family val="18"/>
          </rPr>
          <t>Von ObristLt Bataillon zum Haupt Maindel Komp. transferiert</t>
        </r>
        <r>
          <rPr>
            <sz val="14"/>
            <color rgb="FF000000"/>
            <rFont val="Times New Roman"/>
            <family val="18"/>
          </rPr>
          <t xml:space="preserve"> [GB 1798-1801]</t>
        </r>
        <r>
          <rPr>
            <sz val="14"/>
            <color rgb="FF000000"/>
            <rFont val="Calibri"/>
            <family val="34"/>
          </rPr>
          <t xml:space="preserve">
</t>
        </r>
        <r>
          <rPr>
            <sz val="14"/>
            <color rgb="FF000000"/>
            <rFont val="Times New Roman"/>
            <family val="18"/>
          </rPr>
          <t>26/02/1802 Muster: GR 2 Haupt Haupt Söhnel Komp. Nr. 122 [</t>
        </r>
        <r>
          <rPr>
            <i/>
            <sz val="14"/>
            <color rgb="FF000000"/>
            <rFont val="Times New Roman"/>
            <family val="18"/>
          </rPr>
          <t>Arrestant</t>
        </r>
        <r>
          <rPr>
            <sz val="14"/>
            <color rgb="FF000000"/>
            <rFont val="Times New Roman"/>
            <family val="18"/>
          </rPr>
          <t>]</t>
        </r>
        <r>
          <rPr>
            <sz val="14"/>
            <color rgb="FF000000"/>
            <rFont val="Calibri"/>
            <family val="34"/>
          </rPr>
          <t xml:space="preserve">
</t>
        </r>
        <r>
          <rPr>
            <sz val="14"/>
            <color rgb="FF000000"/>
            <rFont val="Times New Roman"/>
            <family val="18"/>
          </rPr>
          <t xml:space="preserve">10/11/1802 </t>
        </r>
        <r>
          <rPr>
            <i/>
            <sz val="14"/>
            <color rgb="FF000000"/>
            <rFont val="Times New Roman"/>
            <family val="18"/>
          </rPr>
          <t xml:space="preserve">Aus Tartakof  </t>
        </r>
        <r>
          <rPr>
            <b/>
            <sz val="14"/>
            <color rgb="FF000000"/>
            <rFont val="Times New Roman"/>
            <family val="18"/>
          </rPr>
          <t>[</t>
        </r>
        <r>
          <rPr>
            <b/>
            <u/>
            <sz val="14"/>
            <color rgb="FF0563C1"/>
            <rFont val="Times New Roman"/>
            <family val="18"/>
          </rPr>
          <t>Tartakiv, Ukraine</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191" authorId="0" shapeId="0" xr:uid="{96F125DF-A796-654C-8F1E-CBC52C98FE70}">
      <text>
        <r>
          <rPr>
            <sz val="14"/>
            <color rgb="FF000000"/>
            <rFont val="Times New Roman"/>
            <family val="18"/>
          </rPr>
          <t xml:space="preserve">ML 10.763 FK Grün Laudon (1797-98) – RL Haupt Schligtig Nr. 102 (Maria Saal 19/06/1797); RL Vacant [Schligtig] Komp. - Abgang (Rovigo 07/03/1798)
</t>
        </r>
        <r>
          <rPr>
            <sz val="14"/>
            <color rgb="FF000000"/>
            <rFont val="Times New Roman"/>
            <family val="18"/>
          </rPr>
          <t xml:space="preserve">ML 10.771 FK Grün Laudon (1796-7) – AL Nr. 4 (Brody 07/04/1796); TL FK GrLaud-&gt; GR 2. Nr. 25
</t>
        </r>
        <r>
          <rPr>
            <sz val="14"/>
            <color rgb="FF000000"/>
            <rFont val="Times New Roman"/>
            <family val="18"/>
          </rPr>
          <t xml:space="preserve">ML 11.183 GR 2 (1802) – Haupt Söhnel Komp. Nr. 122 (Sokal 26/08/1802)
</t>
        </r>
        <r>
          <rPr>
            <sz val="14"/>
            <color rgb="FF000000"/>
            <rFont val="Times New Roman"/>
            <family val="18"/>
          </rPr>
          <t xml:space="preserve">ML 11.184 GR 2 (1803) – Haupt Söhnel Komp. abgang (Sokal 01/09/1803)
</t>
        </r>
        <r>
          <rPr>
            <sz val="14"/>
            <color rgb="FF000000"/>
            <rFont val="Times New Roman"/>
            <family val="18"/>
          </rPr>
          <t xml:space="preserve">ML 11.211 GR 2 (1798-1801) – GB Litt. F ‚FURGEL, Simon‘
</t>
        </r>
      </text>
    </comment>
    <comment ref="BH191" authorId="0" shapeId="0" xr:uid="{EF49BB42-F2AD-4642-94B2-C49250BC0AD4}">
      <text>
        <r>
          <rPr>
            <sz val="14"/>
            <color rgb="FF000000"/>
            <rFont val="Times New Roman"/>
            <family val="18"/>
          </rPr>
          <t xml:space="preserve">FK Grün Loudon (1796-1797)
</t>
        </r>
        <r>
          <rPr>
            <sz val="14"/>
            <color rgb="FF000000"/>
            <rFont val="Times New Roman"/>
            <family val="18"/>
          </rPr>
          <t>GR 2 (1797-1802)</t>
        </r>
      </text>
    </comment>
    <comment ref="BF192" authorId="0" shapeId="0" xr:uid="{EBA17E30-A26C-9043-8817-F1F093868598}">
      <text>
        <r>
          <rPr>
            <sz val="14"/>
            <color rgb="FF000000"/>
            <rFont val="Times New Roman"/>
            <family val="18"/>
          </rPr>
          <t xml:space="preserve">26/03/1796 </t>
        </r>
        <r>
          <rPr>
            <i/>
            <sz val="14"/>
            <color rgb="FF000000"/>
            <rFont val="Times New Roman"/>
            <family val="18"/>
          </rPr>
          <t>Gegen 10 Gulden Werbgeld [3Fl Handgeld, 2Fl Anbringsgeld und 5Fl Sonstige Unkosten] auf Beständig zu Brody ins Grün Loudon Frey Corps Assentiert</t>
        </r>
        <r>
          <rPr>
            <sz val="14"/>
            <color rgb="FF000000"/>
            <rFont val="Times New Roman"/>
            <family val="18"/>
          </rPr>
          <t xml:space="preserve"> [AL April 1796]
</t>
        </r>
        <r>
          <rPr>
            <sz val="14"/>
            <color rgb="FF000000"/>
            <rFont val="Times New Roman"/>
            <family val="18"/>
          </rPr>
          <t xml:space="preserve">19/06/1797 Revision: FK Grün Laudon Sichtig Komp Nr. 100
</t>
        </r>
        <r>
          <rPr>
            <sz val="14"/>
            <color rgb="FF000000"/>
            <rFont val="Times New Roman"/>
            <family val="18"/>
          </rPr>
          <t xml:space="preserve">07/03/1798 Revision: FK Grün Laudon Vacant [Haupt Sichtig] Komp. Nr. 85
</t>
        </r>
        <r>
          <rPr>
            <sz val="14"/>
            <color rgb="FF000000"/>
            <rFont val="Times New Roman"/>
            <family val="18"/>
          </rPr>
          <t xml:space="preserve">01/07/1798 </t>
        </r>
        <r>
          <rPr>
            <i/>
            <sz val="14"/>
            <color rgb="FF000000"/>
            <rFont val="Times New Roman"/>
            <family val="18"/>
          </rPr>
          <t>Von FK Grün Laudon zum LB 4 transferiert</t>
        </r>
        <r>
          <rPr>
            <sz val="14"/>
            <color rgb="FF000000"/>
            <rFont val="Times New Roman"/>
            <family val="18"/>
          </rPr>
          <t xml:space="preserve"> [RL 1799]
</t>
        </r>
        <r>
          <rPr>
            <sz val="14"/>
            <color rgb="FF000000"/>
            <rFont val="Times New Roman"/>
            <family val="18"/>
          </rPr>
          <t xml:space="preserve">22/01/1799 Revision: LB 4 Haupt Schmiltz Komp. Nr. 84
</t>
        </r>
        <r>
          <rPr>
            <sz val="14"/>
            <color rgb="FF000000"/>
            <rFont val="Times New Roman"/>
            <family val="18"/>
          </rPr>
          <t xml:space="preserve">04/03/1800 Revision: LB 4 Haupt Schmiltz Komp. Nr. 44
</t>
        </r>
        <r>
          <rPr>
            <sz val="14"/>
            <color rgb="FF000000"/>
            <rFont val="Times New Roman"/>
            <family val="18"/>
          </rPr>
          <t>28/08/1801 Reduction: LB 4 Haupt Schmiltz Komp. Nr. 23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Dissolvierte LB 4 zum IR 13 transferiert und zur Haupt Niederreither Komp. eingeteilt</t>
        </r>
        <r>
          <rPr>
            <sz val="14"/>
            <color rgb="FF000000"/>
            <rFont val="Times New Roman"/>
            <family val="18"/>
          </rPr>
          <t xml:space="preserve"> [ML 1802]
</t>
        </r>
        <r>
          <rPr>
            <sz val="14"/>
            <color rgb="FF000000"/>
            <rFont val="Times New Roman"/>
            <family val="18"/>
          </rPr>
          <t>22/09/1802 Muster: IR 13 Haupt Niederreither Komp. Nr. 103 [</t>
        </r>
        <r>
          <rPr>
            <i/>
            <sz val="14"/>
            <color rgb="FF000000"/>
            <rFont val="Times New Roman"/>
            <family val="18"/>
          </rPr>
          <t>Krank zu Rovingo</t>
        </r>
        <r>
          <rPr>
            <sz val="14"/>
            <color rgb="FF000000"/>
            <rFont val="Times New Roman"/>
            <family val="18"/>
          </rPr>
          <t xml:space="preserve">]
</t>
        </r>
        <r>
          <rPr>
            <sz val="14"/>
            <color rgb="FF000000"/>
            <rFont val="Times New Roman"/>
            <family val="18"/>
          </rPr>
          <t>24/09/1803 Muster: IR 13 Haupt Niederreither Komp. Nr. 84 [</t>
        </r>
        <r>
          <rPr>
            <i/>
            <sz val="14"/>
            <color rgb="FF000000"/>
            <rFont val="Times New Roman"/>
            <family val="18"/>
          </rPr>
          <t>Auf unbestimmte Zeit beurlaubt in seinem Geburtsort</t>
        </r>
        <r>
          <rPr>
            <sz val="14"/>
            <color rgb="FF000000"/>
            <rFont val="Times New Roman"/>
            <family val="18"/>
          </rPr>
          <t xml:space="preserve">]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 </t>
        </r>
      </text>
    </comment>
    <comment ref="BG192" authorId="0" shapeId="0" xr:uid="{5BEF28A2-6A42-FE44-8BB6-58476EA15994}">
      <text>
        <r>
          <rPr>
            <sz val="14"/>
            <color rgb="FF000000"/>
            <rFont val="Times New Roman"/>
            <family val="18"/>
          </rPr>
          <t>ML 10.763 FK Grün Laudon (1797-98) – RL Haupt Platten Komp. Nr. 182 (Maria Saal 19/06/1797); RL Haupt Platten Nr. 151</t>
        </r>
        <r>
          <rPr>
            <sz val="14"/>
            <color rgb="FF000000"/>
            <rFont val="Calibri"/>
            <family val="34"/>
          </rPr>
          <t xml:space="preserve">
</t>
        </r>
        <r>
          <rPr>
            <sz val="14"/>
            <color rgb="FF000000"/>
            <rFont val="Times New Roman"/>
            <family val="18"/>
          </rPr>
          <t>ML 10.771 FK Grün Laudon (1796-7) – AL Nr. 3 (Brody 07/04/1796)</t>
        </r>
        <r>
          <rPr>
            <sz val="14"/>
            <color rgb="FF000000"/>
            <rFont val="Calibri"/>
            <family val="34"/>
          </rPr>
          <t xml:space="preserve">
</t>
        </r>
        <r>
          <rPr>
            <sz val="14"/>
            <color rgb="FF000000"/>
            <rFont val="Times New Roman"/>
            <family val="18"/>
          </rPr>
          <t>ML 10.630 LB 4 (1798-1801) – 1799 RL  Haupt Platten Komp. Nr. 129 (Rovigo 22/01/1799); RL Haupt Graurock Abgang (Pisa 04/03/1800)</t>
        </r>
        <r>
          <rPr>
            <sz val="14"/>
            <color rgb="FF000000"/>
            <rFont val="Calibri"/>
            <family val="34"/>
          </rPr>
          <t xml:space="preserve">
</t>
        </r>
      </text>
    </comment>
    <comment ref="BH192" authorId="0" shapeId="0" xr:uid="{F4F7D543-4A9E-9B4E-963F-9FF5DC80BE99}">
      <text>
        <r>
          <rPr>
            <sz val="14"/>
            <color rgb="FF000000"/>
            <rFont val="Times New Roman"/>
            <family val="18"/>
          </rPr>
          <t xml:space="preserve">FK Grün Loudon (1796-1798)
</t>
        </r>
        <r>
          <rPr>
            <sz val="14"/>
            <color rgb="FF000000"/>
            <rFont val="Times New Roman"/>
            <family val="18"/>
          </rPr>
          <t>LB 4 (1798-1799)</t>
        </r>
      </text>
    </comment>
    <comment ref="I193" authorId="0" shapeId="0" xr:uid="{E79CF420-F8C6-904B-B489-6AE06FC5F64B}">
      <text>
        <r>
          <rPr>
            <sz val="14"/>
            <color rgb="FF000000"/>
            <rFont val="Calibri"/>
            <family val="34"/>
          </rPr>
          <t xml:space="preserve">1768 [34 (1802)] 
</t>
        </r>
        <r>
          <rPr>
            <sz val="14"/>
            <color rgb="FF000000"/>
            <rFont val="Calibri"/>
            <family val="34"/>
          </rPr>
          <t xml:space="preserve">OR 
</t>
        </r>
        <r>
          <rPr>
            <sz val="14"/>
            <color rgb="FF000000"/>
            <rFont val="Calibri"/>
            <family val="34"/>
          </rPr>
          <t>1776 [20 (1796)]</t>
        </r>
      </text>
    </comment>
    <comment ref="T193" authorId="0" shapeId="0" xr:uid="{A1FB0640-E058-0644-9056-5E03CD836617}">
      <text>
        <r>
          <rPr>
            <sz val="14"/>
            <color rgb="FF000000"/>
            <rFont val="Calibri"/>
            <family val="34"/>
          </rPr>
          <t xml:space="preserve">4.11 [155.3 cm] (1802)
</t>
        </r>
        <r>
          <rPr>
            <sz val="14"/>
            <color rgb="FF000000"/>
            <rFont val="Calibri"/>
            <family val="34"/>
          </rPr>
          <t>5.2 [163.26 cm] (1796)</t>
        </r>
      </text>
    </comment>
    <comment ref="BF193" authorId="0" shapeId="0" xr:uid="{2BACEE25-DD62-0A49-8C0A-1C12F3420E09}">
      <text>
        <r>
          <rPr>
            <sz val="14"/>
            <color rgb="FF000000"/>
            <rFont val="Times New Roman"/>
            <family val="18"/>
          </rPr>
          <t xml:space="preserve">13/04/1796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 xml:space="preserve">[ML 1802]
</t>
        </r>
        <r>
          <rPr>
            <sz val="14"/>
            <color rgb="FF000000"/>
            <rFont val="Times New Roman"/>
            <family val="18"/>
          </rPr>
          <t xml:space="preserve">19/06/1797 Revision: FK Grün Loudon Haupt Platten Komp. Nr. 129
</t>
        </r>
        <r>
          <rPr>
            <sz val="14"/>
            <color rgb="FF000000"/>
            <rFont val="Times New Roman"/>
            <family val="18"/>
          </rPr>
          <t xml:space="preserve">07/03/1798 Revision: FK Grün Loudon Haupt Platten Komp. Nr. 115
</t>
        </r>
        <r>
          <rPr>
            <sz val="14"/>
            <color rgb="FF000000"/>
            <rFont val="Times New Roman"/>
            <family val="18"/>
          </rPr>
          <t xml:space="preserve">16/08/1798 </t>
        </r>
        <r>
          <rPr>
            <i/>
            <sz val="14"/>
            <color rgb="FF000000"/>
            <rFont val="Times New Roman"/>
            <family val="18"/>
          </rPr>
          <t xml:space="preserve">Von Haupt. Baron Platten Komp. Zum Abrichtungsdepot transferiert </t>
        </r>
        <r>
          <rPr>
            <sz val="14"/>
            <color rgb="FF000000"/>
            <rFont val="Times New Roman"/>
            <family val="18"/>
          </rPr>
          <t xml:space="preserve">[RL 1799]
</t>
        </r>
        <r>
          <rPr>
            <sz val="14"/>
            <color rgb="FF000000"/>
            <rFont val="Times New Roman"/>
            <family val="18"/>
          </rPr>
          <t xml:space="preserve">28/01/1799 Revision: LB 4 Abrichtungsdepot Nr. 5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
</t>
        </r>
        <r>
          <rPr>
            <sz val="14"/>
            <color rgb="FF000000"/>
            <rFont val="Times New Roman"/>
            <family val="18"/>
          </rPr>
          <t xml:space="preserve">26/07/1801 </t>
        </r>
        <r>
          <rPr>
            <i/>
            <sz val="14"/>
            <color rgb="FF000000"/>
            <rFont val="Times New Roman"/>
            <family val="18"/>
          </rPr>
          <t>Aus die Kriegsgefangenschaft gegen Auswechslung ranzioniert wieder in Stand</t>
        </r>
        <r>
          <rPr>
            <sz val="14"/>
            <color rgb="FF000000"/>
            <rFont val="Times New Roman"/>
            <family val="18"/>
          </rPr>
          <t xml:space="preserve"> [RL 1801]
</t>
        </r>
        <r>
          <rPr>
            <sz val="14"/>
            <color rgb="FF000000"/>
            <rFont val="Times New Roman"/>
            <family val="18"/>
          </rPr>
          <t>28/08/1801 Reduction: LB 4 Haupt Graurock Nr. 64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117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03/07/1803 </t>
        </r>
        <r>
          <rPr>
            <i/>
            <sz val="14"/>
            <color rgb="FF000000"/>
            <rFont val="Times New Roman"/>
            <family val="18"/>
          </rPr>
          <t>Von Urlaub desertiert</t>
        </r>
        <r>
          <rPr>
            <sz val="14"/>
            <color rgb="FF000000"/>
            <rFont val="Times New Roman"/>
            <family val="18"/>
          </rPr>
          <t xml:space="preserve"> [Als Joseph MAYER] [ML 1803] </t>
        </r>
      </text>
    </comment>
    <comment ref="BG193" authorId="0" shapeId="0" xr:uid="{8FDBBC61-0BDF-C447-8104-F625DA50B75E}">
      <text>
        <r>
          <rPr>
            <sz val="14"/>
            <color rgb="FF000000"/>
            <rFont val="Times New Roman"/>
            <family val="18"/>
          </rPr>
          <t xml:space="preserve">ML 10.763 FK Grün Laudon (1797-98) – RL Haupt Schligtig Nr. 100 (Maria Saal 19/06/1797); RL Vacant [Schligtig] Komp. Nr. 85 (Rovigo 07/03/1798)
</t>
        </r>
        <r>
          <rPr>
            <sz val="14"/>
            <color rgb="FF000000"/>
            <rFont val="Times New Roman"/>
            <family val="18"/>
          </rPr>
          <t xml:space="preserve">ML 10.771 FK Grün Laudon (1796-7) – AL Nr. 2 (Brody 07/04/1796)
</t>
        </r>
        <r>
          <rPr>
            <sz val="14"/>
            <color rgb="FF000000"/>
            <rFont val="Times New Roman"/>
            <family val="18"/>
          </rPr>
          <t xml:space="preserve">ML 10.630 LB 4 (1798-1801) – RL Haupt Schmiltz Komp. Nr. 84 (Rovigo 22/01/1799); RL Haupt Schmiltz Komp. Nr. 44 (Pisa 04/03/1800); DL Haupt Schmiltz Nr. 23 (Furriaco 28/08/1801)
</t>
        </r>
        <r>
          <rPr>
            <sz val="14"/>
            <color rgb="FF000000"/>
            <rFont val="Times New Roman"/>
            <family val="18"/>
          </rPr>
          <t xml:space="preserve">ML 10.632 LB 4 (1801) – TL LB 4-&gt;IR 13 Nr. 56 (Görz 30/09/1801)
</t>
        </r>
        <r>
          <rPr>
            <sz val="14"/>
            <color rgb="FF000000"/>
            <rFont val="Times New Roman"/>
            <family val="18"/>
          </rPr>
          <t xml:space="preserve">ML 10.045/6 IR 13 (1802): ML Haupt Niederreither Comp. Nr. 103 (Capo D’Istria 19/09/1802)
</t>
        </r>
        <r>
          <rPr>
            <sz val="14"/>
            <color rgb="FF000000"/>
            <rFont val="Times New Roman"/>
            <family val="18"/>
          </rPr>
          <t xml:space="preserve">ML 10.047/8 IR 13 (1803): ML Haupt Niederreither Comp. Nr. 84 (Capo D’Istria 24/09/1803)
</t>
        </r>
        <r>
          <rPr>
            <sz val="14"/>
            <color rgb="FF000000"/>
            <rFont val="Times New Roman"/>
            <family val="18"/>
          </rPr>
          <t xml:space="preserve">ML 10.089 IR 13 (1805): ST Juli (Zara 12/08/1805)
</t>
        </r>
      </text>
    </comment>
    <comment ref="BH193" authorId="0" shapeId="0" xr:uid="{42CB1449-7FC7-6F44-B207-9D3CB95CC01F}">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193" authorId="0" shapeId="0" xr:uid="{EDFF31DD-D3A6-0C46-AC7F-6EB0B4020133}">
      <text>
        <r>
          <rPr>
            <sz val="14"/>
            <color rgb="FF000000"/>
            <rFont val="Calibri"/>
            <family val="34"/>
          </rPr>
          <t>Gut (TL Nov 1801)</t>
        </r>
      </text>
    </comment>
    <comment ref="BF194" authorId="0" shapeId="0" xr:uid="{B72638A3-ADF9-D248-8077-032FE2BDDA3B}">
      <text>
        <r>
          <rPr>
            <sz val="14"/>
            <color rgb="FF000000"/>
            <rFont val="Times New Roman"/>
            <family val="18"/>
          </rPr>
          <t xml:space="preserve">28/03/1796 </t>
        </r>
        <r>
          <rPr>
            <i/>
            <sz val="14"/>
            <color rgb="FF000000"/>
            <rFont val="Times New Roman"/>
            <family val="18"/>
          </rPr>
          <t>Gegen 12 Gulden Werbgeld [5Fl Handgeld, 2Fl Anbringsgeld und 7Fl Sonstige Unkosten] in Brody ins Grün Loudon Frey Corps mit Sechs Jähriger Capitulation in Brody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29/07/1796 </t>
        </r>
        <r>
          <rPr>
            <i/>
            <sz val="14"/>
            <color rgb="FF000000"/>
            <rFont val="Times New Roman"/>
            <family val="18"/>
          </rPr>
          <t xml:space="preserve">Auf Marsch Desertiert </t>
        </r>
        <r>
          <rPr>
            <sz val="14"/>
            <color rgb="FF000000"/>
            <rFont val="Times New Roman"/>
            <family val="18"/>
          </rPr>
          <t>[RL June 1797]</t>
        </r>
        <r>
          <rPr>
            <sz val="14"/>
            <color rgb="FF000000"/>
            <rFont val="Calibri"/>
            <family val="34"/>
          </rPr>
          <t xml:space="preserve">
</t>
        </r>
        <r>
          <rPr>
            <sz val="14"/>
            <color rgb="FF000000"/>
            <rFont val="Calibri"/>
            <family val="34"/>
          </rPr>
          <t xml:space="preserve">
</t>
        </r>
      </text>
    </comment>
    <comment ref="BG194" authorId="0" shapeId="0" xr:uid="{253BF916-71DA-8A48-9878-78C9DED006D2}">
      <text>
        <r>
          <rPr>
            <sz val="14"/>
            <color rgb="FF000000"/>
            <rFont val="Times New Roman"/>
            <family val="18"/>
          </rPr>
          <t>ML 10.763 FK Grün Laudon (1797-98) – RL Haupt Schligtig - Abgang (Maria Saal 19/06/1797)</t>
        </r>
        <r>
          <rPr>
            <sz val="14"/>
            <color rgb="FF000000"/>
            <rFont val="Calibri"/>
            <family val="34"/>
          </rPr>
          <t xml:space="preserve">
</t>
        </r>
        <r>
          <rPr>
            <sz val="14"/>
            <color rgb="FF000000"/>
            <rFont val="Times New Roman"/>
            <family val="18"/>
          </rPr>
          <t>ML 10.771 FK Grün Laudon (1796-7) – AL Nr. 5 (Brody 07/04/1796)</t>
        </r>
        <r>
          <rPr>
            <sz val="14"/>
            <color rgb="FF000000"/>
            <rFont val="Calibri"/>
            <family val="34"/>
          </rPr>
          <t xml:space="preserve">
</t>
        </r>
      </text>
    </comment>
    <comment ref="BH194" authorId="0" shapeId="0" xr:uid="{E2045E4B-778F-2A49-B6E6-360A51BEBA29}">
      <text>
        <r>
          <rPr>
            <sz val="14"/>
            <color rgb="FF000000"/>
            <rFont val="Times New Roman"/>
            <family val="18"/>
          </rPr>
          <t xml:space="preserve">FK Grün Loudon </t>
        </r>
        <r>
          <rPr>
            <sz val="14"/>
            <color rgb="FF000000"/>
            <rFont val="Calibri"/>
            <family val="34"/>
          </rPr>
          <t>(1796)</t>
        </r>
      </text>
    </comment>
    <comment ref="I195" authorId="0" shapeId="0" xr:uid="{1A07FBB9-50E2-AB4E-8889-A7A46CB5DB1E}">
      <text>
        <r>
          <rPr>
            <sz val="14"/>
            <color rgb="FF000000"/>
            <rFont val="Calibri"/>
            <family val="34"/>
          </rPr>
          <t xml:space="preserve">1779 [23 (1802)] 
</t>
        </r>
        <r>
          <rPr>
            <sz val="14"/>
            <color rgb="FF000000"/>
            <rFont val="Calibri"/>
            <family val="34"/>
          </rPr>
          <t xml:space="preserve">OR 
</t>
        </r>
        <r>
          <rPr>
            <sz val="14"/>
            <color rgb="FF000000"/>
            <rFont val="Calibri"/>
            <family val="34"/>
          </rPr>
          <t>1781 [15 (1796)]</t>
        </r>
      </text>
    </comment>
    <comment ref="T195" authorId="0" shapeId="0" xr:uid="{CC7A8C87-1DEF-CD43-B12F-E4AD0D06AADB}">
      <text>
        <r>
          <rPr>
            <sz val="14"/>
            <color rgb="FF000000"/>
            <rFont val="Calibri"/>
            <family val="34"/>
          </rPr>
          <t xml:space="preserve">5.0.3 [158.66 cm] (1802)
</t>
        </r>
        <r>
          <rPr>
            <sz val="14"/>
            <color rgb="FF000000"/>
            <rFont val="Calibri"/>
            <family val="34"/>
          </rPr>
          <t>5.2 [163.26 cm] (1796)</t>
        </r>
      </text>
    </comment>
    <comment ref="BF195" authorId="0" shapeId="0" xr:uid="{6DD81808-2F13-1046-B6C8-F74359EA8899}">
      <text>
        <r>
          <rPr>
            <sz val="14"/>
            <color rgb="FF000000"/>
            <rFont val="Times New Roman"/>
            <family val="18"/>
          </rPr>
          <t xml:space="preserve">28/03/1796 </t>
        </r>
        <r>
          <rPr>
            <i/>
            <sz val="14"/>
            <color rgb="FF000000"/>
            <rFont val="Times New Roman"/>
            <family val="18"/>
          </rPr>
          <t>Gegen 10 Gulden Werbgeld [3Fl Handgeld, 2Fl Anbringsgeld und 5Fl Sonstige Unkosten] auf Beständig ins Grün Loudon Frey Corps Assentiert</t>
        </r>
        <r>
          <rPr>
            <sz val="14"/>
            <color rgb="FF000000"/>
            <rFont val="Times New Roman"/>
            <family val="18"/>
          </rPr>
          <t xml:space="preserve"> [AL April 1796]
</t>
        </r>
        <r>
          <rPr>
            <sz val="14"/>
            <color rgb="FF000000"/>
            <rFont val="Times New Roman"/>
            <family val="18"/>
          </rPr>
          <t xml:space="preserve">19/06/1797 Revision: FK Grün Loudon Haupt Platten Komp. Nr. 125
</t>
        </r>
        <r>
          <rPr>
            <sz val="14"/>
            <color rgb="FF000000"/>
            <rFont val="Times New Roman"/>
            <family val="18"/>
          </rPr>
          <t xml:space="preserve">07/03/1798 Revision: FK Grün Loudon Haupt Platten Komp. Nr. 107
</t>
        </r>
        <r>
          <rPr>
            <sz val="14"/>
            <color rgb="FF000000"/>
            <rFont val="Times New Roman"/>
            <family val="18"/>
          </rPr>
          <t xml:space="preserve">16/08/1798 </t>
        </r>
        <r>
          <rPr>
            <i/>
            <sz val="14"/>
            <color rgb="FF000000"/>
            <rFont val="Times New Roman"/>
            <family val="18"/>
          </rPr>
          <t>Von Haupt. Baron Platten Komp. zum Abrichtungsdepot transferiert</t>
        </r>
        <r>
          <rPr>
            <sz val="14"/>
            <color rgb="FF000000"/>
            <rFont val="Times New Roman"/>
            <family val="18"/>
          </rPr>
          <t xml:space="preserve"> [RL 1799]
</t>
        </r>
        <r>
          <rPr>
            <sz val="14"/>
            <color rgb="FF000000"/>
            <rFont val="Times New Roman"/>
            <family val="18"/>
          </rPr>
          <t xml:space="preserve">28/01/1799 Revision: LB 4 Abrichtungsdepot Nr. 6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01/12/1799 </t>
        </r>
        <r>
          <rPr>
            <i/>
            <sz val="14"/>
            <color rgb="FF000000"/>
            <rFont val="Times New Roman"/>
            <family val="18"/>
          </rPr>
          <t>Von Haupt Platten Komp. zu den Artillerie Handlangern transferiert</t>
        </r>
        <r>
          <rPr>
            <sz val="14"/>
            <color rgb="FF000000"/>
            <rFont val="Times New Roman"/>
            <family val="18"/>
          </rPr>
          <t xml:space="preserve"> [RL 1800]
</t>
        </r>
        <r>
          <rPr>
            <sz val="14"/>
            <color rgb="FF000000"/>
            <rFont val="Times New Roman"/>
            <family val="18"/>
          </rPr>
          <t xml:space="preserve">04/03/1800 Revision: LB 4 Artillerie Handlanger Nr. 6
</t>
        </r>
        <r>
          <rPr>
            <sz val="14"/>
            <color rgb="FF000000"/>
            <rFont val="Times New Roman"/>
            <family val="18"/>
          </rPr>
          <t xml:space="preserve">01/08/1800 </t>
        </r>
        <r>
          <rPr>
            <i/>
            <sz val="14"/>
            <color rgb="FF000000"/>
            <rFont val="Times New Roman"/>
            <family val="18"/>
          </rPr>
          <t xml:space="preserve">Von Artillerie Handlanger zur Haupt Graurock Komp. transferiert </t>
        </r>
        <r>
          <rPr>
            <sz val="14"/>
            <color rgb="FF000000"/>
            <rFont val="Times New Roman"/>
            <family val="18"/>
          </rPr>
          <t xml:space="preserve">[RL 1801]
</t>
        </r>
        <r>
          <rPr>
            <sz val="14"/>
            <color rgb="FF000000"/>
            <rFont val="Times New Roman"/>
            <family val="18"/>
          </rPr>
          <t>28/08/1801 Reduction: LB 4 Haupt Graurock Nr. 52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116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31/04/1804 Von Haupt Dombasle zum Haup Massberg Komp. Transferiert [ST Mai 1804]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
</t>
        </r>
      </text>
    </comment>
    <comment ref="BG195" authorId="0" shapeId="0" xr:uid="{8C1DD237-1CD7-CB43-8C98-5C6B37164891}">
      <text>
        <r>
          <rPr>
            <sz val="14"/>
            <color rgb="FF000000"/>
            <rFont val="Times New Roman"/>
            <family val="18"/>
          </rPr>
          <t>ML 10.763 FK Grün Laudon (1797-98) – RL Haupt Platten Komp. Nr. 125 (Maria Saal 19/06/1797); RL Haupt Platten Komp. Nr. 107 (Rovigo 07/03/1798)</t>
        </r>
        <r>
          <rPr>
            <sz val="14"/>
            <color rgb="FF000000"/>
            <rFont val="Times New Roman"/>
            <family val="18"/>
          </rPr>
          <t xml:space="preserve">
</t>
        </r>
        <r>
          <rPr>
            <sz val="14"/>
            <color rgb="FF000000"/>
            <rFont val="Times New Roman"/>
            <family val="18"/>
          </rPr>
          <t>ML 10.771 FK Grün Laudon (1796-7) – AL Nr. 6 (Brody 07/04/1796)</t>
        </r>
        <r>
          <rPr>
            <sz val="14"/>
            <color rgb="FF000000"/>
            <rFont val="Times New Roman"/>
            <family val="18"/>
          </rPr>
          <t xml:space="preserve">
</t>
        </r>
        <r>
          <rPr>
            <sz val="14"/>
            <color rgb="FF000000"/>
            <rFont val="Times New Roman"/>
            <family val="18"/>
          </rPr>
          <t>ML 10.630 LB 4 (1798-1801) – RL Abrichtungsdepot. Nr. 6 (Zemona 28/01/1799); RL Artillerie Handlanger (Pisa 04/03/1800); DL Haupt Graurock Komp. Nr. 52 (Furriaco 28/08/1801)</t>
        </r>
        <r>
          <rPr>
            <sz val="14"/>
            <color rgb="FF000000"/>
            <rFont val="Times New Roman"/>
            <family val="18"/>
          </rPr>
          <t xml:space="preserve">
</t>
        </r>
        <r>
          <rPr>
            <sz val="14"/>
            <color rgb="FF000000"/>
            <rFont val="Times New Roman"/>
            <family val="18"/>
          </rPr>
          <t>ML 10.632 LB 4 (1801) – TL LB 4-&gt;IR 13 Nr. 93 (G</t>
        </r>
        <r>
          <rPr>
            <sz val="14"/>
            <color rgb="FF000000"/>
            <rFont val="Times New Roman"/>
            <family val="18"/>
          </rPr>
          <t>ö</t>
        </r>
        <r>
          <rPr>
            <sz val="14"/>
            <color rgb="FF000000"/>
            <rFont val="Times New Roman"/>
            <family val="18"/>
          </rPr>
          <t>rz 30/09/1801)</t>
        </r>
        <r>
          <rPr>
            <sz val="14"/>
            <color rgb="FF000000"/>
            <rFont val="Times New Roman"/>
            <family val="18"/>
          </rPr>
          <t xml:space="preserve">
</t>
        </r>
        <r>
          <rPr>
            <sz val="14"/>
            <color rgb="FF000000"/>
            <rFont val="Times New Roman"/>
            <family val="18"/>
          </rPr>
          <t>ML 10.045/6 IR 13 (1802): Haupt Dombasle Komp. Nr. 116 (Görz 22/09/1802)</t>
        </r>
        <r>
          <rPr>
            <sz val="14"/>
            <color rgb="FF000000"/>
            <rFont val="Times New Roman"/>
            <family val="18"/>
          </rPr>
          <t xml:space="preserve">
</t>
        </r>
        <r>
          <rPr>
            <sz val="14"/>
            <color rgb="FF000000"/>
            <rFont val="Times New Roman"/>
            <family val="18"/>
          </rPr>
          <t>ML 10.087 IR 13 (1804): ST Mai (Triest 14/06/1804)</t>
        </r>
        <r>
          <rPr>
            <sz val="14"/>
            <color rgb="FF000000"/>
            <rFont val="Times New Roman"/>
            <family val="18"/>
          </rPr>
          <t xml:space="preserve">
</t>
        </r>
        <r>
          <rPr>
            <sz val="14"/>
            <color rgb="FF000000"/>
            <rFont val="Times New Roman"/>
            <family val="18"/>
          </rPr>
          <t>ML 10.089 IR 13 (1805): ST Juli (Zara 12/08/1805)</t>
        </r>
        <r>
          <rPr>
            <sz val="14"/>
            <color rgb="FF000000"/>
            <rFont val="Times New Roman"/>
            <family val="18"/>
          </rPr>
          <t xml:space="preserve">
</t>
        </r>
      </text>
    </comment>
    <comment ref="BH195" authorId="0" shapeId="0" xr:uid="{D082E170-8451-2C41-8B5F-C1148165D90C}">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195" authorId="0" shapeId="0" xr:uid="{AAA01886-6FC9-CF4F-A9BF-85EB6AAB4D3D}">
      <text>
        <r>
          <rPr>
            <sz val="14"/>
            <color rgb="FF000000"/>
            <rFont val="Times New Roman"/>
            <family val="18"/>
          </rPr>
          <t>Mittelmäßig</t>
        </r>
        <r>
          <rPr>
            <sz val="14"/>
            <color rgb="FF000000"/>
            <rFont val="Calibri"/>
            <family val="2"/>
          </rPr>
          <t xml:space="preserve"> </t>
        </r>
        <r>
          <rPr>
            <sz val="14"/>
            <color rgb="FF000000"/>
            <rFont val="Calibri"/>
            <family val="34"/>
          </rPr>
          <t xml:space="preserve"> (TL Nov 1801)</t>
        </r>
      </text>
    </comment>
    <comment ref="I196" authorId="0" shapeId="0" xr:uid="{F9CDCA69-8DFF-6B45-B171-DCCB10CE32DC}">
      <text>
        <r>
          <rPr>
            <sz val="14"/>
            <color rgb="FF000000"/>
            <rFont val="Calibri"/>
            <family val="34"/>
          </rPr>
          <t xml:space="preserve">1772 [24 (1796)] 
</t>
        </r>
        <r>
          <rPr>
            <sz val="14"/>
            <color rgb="FF000000"/>
            <rFont val="Calibri"/>
            <family val="34"/>
          </rPr>
          <t xml:space="preserve">OR 
</t>
        </r>
        <r>
          <rPr>
            <sz val="14"/>
            <color rgb="FF000000"/>
            <rFont val="Calibri"/>
            <family val="34"/>
          </rPr>
          <t>1802 [27 (1802)]</t>
        </r>
      </text>
    </comment>
    <comment ref="T196" authorId="0" shapeId="0" xr:uid="{2CB29970-F43F-0347-81FB-844ED86B4BBB}">
      <text>
        <r>
          <rPr>
            <sz val="14"/>
            <color rgb="FF000000"/>
            <rFont val="Calibri"/>
            <family val="34"/>
          </rPr>
          <t xml:space="preserve">5.3.3 [166.55 cm] (1802)
</t>
        </r>
        <r>
          <rPr>
            <sz val="14"/>
            <color rgb="FF000000"/>
            <rFont val="Calibri"/>
            <family val="34"/>
          </rPr>
          <t>5.4 [168.52 cm] (1796)</t>
        </r>
      </text>
    </comment>
    <comment ref="BF196" authorId="0" shapeId="0" xr:uid="{F8678026-BFD1-A141-9980-B3242BE0A996}">
      <text>
        <r>
          <rPr>
            <sz val="14"/>
            <color rgb="FF000000"/>
            <rFont val="Times New Roman"/>
            <family val="18"/>
          </rPr>
          <t xml:space="preserve">02/04/1796 </t>
        </r>
        <r>
          <rPr>
            <i/>
            <sz val="14"/>
            <color rgb="FF000000"/>
            <rFont val="Times New Roman"/>
            <family val="18"/>
          </rPr>
          <t>Gegen 10 Gulden Werbgeld [3Fl Handgeld, 2Fl Anbringsgeld und 5Fl Sonstige Unkosten] auf Beständig ins Grün Loudon Frey Corps Assentiert</t>
        </r>
        <r>
          <rPr>
            <sz val="14"/>
            <color rgb="FF000000"/>
            <rFont val="Times New Roman"/>
            <family val="18"/>
          </rPr>
          <t xml:space="preserve"> [AL April 1796]
</t>
        </r>
        <r>
          <rPr>
            <sz val="14"/>
            <color rgb="FF000000"/>
            <rFont val="Times New Roman"/>
            <family val="18"/>
          </rPr>
          <t xml:space="preserve">19/06/1797 Revision: FK Grün Loudon Sichtig Komp. Nr. 103
</t>
        </r>
        <r>
          <rPr>
            <sz val="14"/>
            <color rgb="FF000000"/>
            <rFont val="Times New Roman"/>
            <family val="18"/>
          </rPr>
          <t xml:space="preserve">07/03/1798 Revision: FK Grün Loudon Vacant [Haupt Sichtig] Komp. Nr. 87
</t>
        </r>
        <r>
          <rPr>
            <sz val="14"/>
            <color rgb="FF000000"/>
            <rFont val="Times New Roman"/>
            <family val="18"/>
          </rPr>
          <t xml:space="preserve">01/07/1798 </t>
        </r>
        <r>
          <rPr>
            <i/>
            <sz val="14"/>
            <color rgb="FF000000"/>
            <rFont val="Times New Roman"/>
            <family val="18"/>
          </rPr>
          <t>Von FK Grün Laudon zum LB 4 transferiert</t>
        </r>
        <r>
          <rPr>
            <sz val="14"/>
            <color rgb="FF000000"/>
            <rFont val="Times New Roman"/>
            <family val="18"/>
          </rPr>
          <t xml:space="preserve"> [RL 1799]
</t>
        </r>
        <r>
          <rPr>
            <sz val="14"/>
            <color rgb="FF000000"/>
            <rFont val="Times New Roman"/>
            <family val="18"/>
          </rPr>
          <t xml:space="preserve">22/01/1799 Revision: LB 4 Haupt Schmiltz Komp. Nr. 85 
</t>
        </r>
        <r>
          <rPr>
            <sz val="14"/>
            <color rgb="FF000000"/>
            <rFont val="Times New Roman"/>
            <family val="18"/>
          </rPr>
          <t xml:space="preserve">04/03/1800 Revision: LB Haupt Schmiltz Komp. Nr. 45
</t>
        </r>
        <r>
          <rPr>
            <sz val="14"/>
            <color rgb="FF000000"/>
            <rFont val="Times New Roman"/>
            <family val="18"/>
          </rPr>
          <t>28/08/1801 Reduction: LB 4 Haupt Schmiltz Komp. Nr. 23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114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31/04/1804 </t>
        </r>
        <r>
          <rPr>
            <i/>
            <sz val="14"/>
            <color rgb="FF000000"/>
            <rFont val="Times New Roman"/>
            <family val="18"/>
          </rPr>
          <t xml:space="preserve">Von Haupt Dombasle zum Haupt Massberg Komp. Transferiert </t>
        </r>
        <r>
          <rPr>
            <sz val="14"/>
            <color rgb="FF000000"/>
            <rFont val="Times New Roman"/>
            <family val="18"/>
          </rPr>
          <t xml:space="preserve">[ST Mai 1804]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 </t>
        </r>
      </text>
    </comment>
    <comment ref="BG196" authorId="0" shapeId="0" xr:uid="{668DC562-E1DD-034E-B7D1-341D8A91B701}">
      <text>
        <r>
          <rPr>
            <sz val="14"/>
            <color rgb="FF000000"/>
            <rFont val="Times New Roman"/>
            <family val="18"/>
          </rPr>
          <t xml:space="preserve">ML 10.763 FK Grün Laudon (1797-98) – RL Haupt Schligtig Nr. 103 (Maria Saal 19/06/1797); RL Vacant [Schligtig] Komp. Nr. 87 (Rovigo 07/03/1798)
</t>
        </r>
        <r>
          <rPr>
            <sz val="14"/>
            <color rgb="FF000000"/>
            <rFont val="Times New Roman"/>
            <family val="18"/>
          </rPr>
          <t xml:space="preserve">ML 10.771 FK Grün Laudon (1796-7) – AL Nr. 9 (Brody 07/04/1796)
</t>
        </r>
        <r>
          <rPr>
            <sz val="14"/>
            <color rgb="FF000000"/>
            <rFont val="Times New Roman"/>
            <family val="18"/>
          </rPr>
          <t xml:space="preserve">ML 10.630 LB 4 (1798-1801) – RL 1799 Haupt Schmiltz Komp. Nr. 85 (Rovigo 22/01/1799); RL Haupt Kestelitz Nr. 44 (Pisa 04/03/1800); DL Haupt Kestlitz Nr. 24 (Furriaco 28/08/1801)
</t>
        </r>
        <r>
          <rPr>
            <sz val="14"/>
            <color rgb="FF000000"/>
            <rFont val="Times New Roman"/>
            <family val="18"/>
          </rPr>
          <t xml:space="preserve">ML 10.632 LB 4 (1801) – TL LB 4-&gt;IR 13 Nr. 57 (Görz 30/09/1801)
</t>
        </r>
        <r>
          <rPr>
            <sz val="14"/>
            <color rgb="FF000000"/>
            <rFont val="Times New Roman"/>
            <family val="18"/>
          </rPr>
          <t xml:space="preserve">ML 10.045/6 IR 13 (1802): Haupt Dombasle Komp. Nr. 114 (Görz 22/09/1802)
</t>
        </r>
        <r>
          <rPr>
            <sz val="14"/>
            <color rgb="FF000000"/>
            <rFont val="Times New Roman"/>
            <family val="18"/>
          </rPr>
          <t xml:space="preserve">ML 10.087 IR 13 (1804): ST Mai (Triest 14/06/1804)
</t>
        </r>
        <r>
          <rPr>
            <sz val="14"/>
            <color rgb="FF000000"/>
            <rFont val="Times New Roman"/>
            <family val="18"/>
          </rPr>
          <t xml:space="preserve">ML 10.089 IR 13 (1805): ST Juli (Zara 12/08/1805)
</t>
        </r>
      </text>
    </comment>
    <comment ref="BH196" authorId="0" shapeId="0" xr:uid="{6292D948-D770-3C42-9DCE-3630D82BA73B}">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196" authorId="0" shapeId="0" xr:uid="{DE738576-47BF-9649-94A6-9E2E1C90FF62}">
      <text>
        <r>
          <rPr>
            <sz val="14"/>
            <color rgb="FF000000"/>
            <rFont val="Calibri"/>
            <family val="34"/>
          </rPr>
          <t>Gut (TL Nov 1801)</t>
        </r>
      </text>
    </comment>
    <comment ref="BF197" authorId="0" shapeId="0" xr:uid="{5C2E8A56-A2AD-B240-B057-B24990B54E90}">
      <text>
        <r>
          <rPr>
            <sz val="14"/>
            <color rgb="FF000000"/>
            <rFont val="Times New Roman"/>
            <family val="18"/>
          </rPr>
          <t xml:space="preserve">09/04/1796 </t>
        </r>
        <r>
          <rPr>
            <i/>
            <sz val="14"/>
            <color rgb="FF000000"/>
            <rFont val="Times New Roman"/>
            <family val="18"/>
          </rPr>
          <t>Gegen 10 Gulden Werbgeld [3Fl 30Xr Handgeld, 2Fl Anbringsgeld und 4 Fl 30Xr Sonstige Unkosten] ins Grün Loudon Frey Corps auf die Zeit des Krieges in Brody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12/04/1796 </t>
        </r>
        <r>
          <rPr>
            <i/>
            <sz val="14"/>
            <color rgb="FF000000"/>
            <rFont val="Times New Roman"/>
            <family val="18"/>
          </rPr>
          <t>auf dem Marsch Desertiert</t>
        </r>
        <r>
          <rPr>
            <sz val="14"/>
            <color rgb="FF000000"/>
            <rFont val="Times New Roman"/>
            <family val="18"/>
          </rPr>
          <t xml:space="preserve"> [RL June 1797]</t>
        </r>
        <r>
          <rPr>
            <sz val="14"/>
            <color rgb="FF000000"/>
            <rFont val="Calibri"/>
            <family val="34"/>
          </rPr>
          <t xml:space="preserve">
</t>
        </r>
        <r>
          <rPr>
            <sz val="14"/>
            <color rgb="FF000000"/>
            <rFont val="Calibri"/>
            <family val="34"/>
          </rPr>
          <t xml:space="preserve">
</t>
        </r>
      </text>
    </comment>
    <comment ref="BG197" authorId="0" shapeId="0" xr:uid="{6594D996-22B2-7B47-9E5B-F336B15354A6}">
      <text>
        <r>
          <rPr>
            <sz val="14"/>
            <color rgb="FF000000"/>
            <rFont val="Times New Roman"/>
            <family val="18"/>
          </rPr>
          <t xml:space="preserve">ML 10.763 FK Grün Laudon (1797-98) – RL Haupt Gasser Abgang (Maria Saal 19/06/1797)
</t>
        </r>
        <r>
          <rPr>
            <sz val="14"/>
            <color rgb="FF000000"/>
            <rFont val="Times New Roman"/>
            <family val="18"/>
          </rPr>
          <t xml:space="preserve">ML 10.771 FK Grün Laudon (1796-7) – AL Nr. 1 (Brody 09/04/1796)
</t>
        </r>
      </text>
    </comment>
    <comment ref="BH197" authorId="0" shapeId="0" xr:uid="{DE3AC693-9FBE-284C-9589-F2CF6B4DDA34}">
      <text>
        <r>
          <rPr>
            <sz val="14"/>
            <color rgb="FF000000"/>
            <rFont val="Times New Roman"/>
            <family val="18"/>
          </rPr>
          <t xml:space="preserve">FK Grün Loudon </t>
        </r>
        <r>
          <rPr>
            <sz val="14"/>
            <color rgb="FF000000"/>
            <rFont val="Calibri"/>
            <family val="34"/>
          </rPr>
          <t>(1796)</t>
        </r>
      </text>
    </comment>
    <comment ref="BF198" authorId="0" shapeId="0" xr:uid="{4BA8B44A-7895-1643-9EDE-F7E9185E8672}">
      <text>
        <r>
          <rPr>
            <sz val="14"/>
            <color rgb="FF000000"/>
            <rFont val="Times New Roman"/>
            <family val="18"/>
          </rPr>
          <t xml:space="preserve">11/04/1796 </t>
        </r>
        <r>
          <rPr>
            <i/>
            <sz val="14"/>
            <color rgb="FF000000"/>
            <rFont val="Times New Roman"/>
            <family val="18"/>
          </rPr>
          <t xml:space="preserve">A 10Fl Werbgeld zu Tarnopol assentiert </t>
        </r>
        <r>
          <rPr>
            <sz val="14"/>
            <color rgb="FF000000"/>
            <rFont val="Times New Roman"/>
            <family val="18"/>
          </rPr>
          <t>[RL 1796]</t>
        </r>
        <r>
          <rPr>
            <sz val="14"/>
            <color rgb="FF000000"/>
            <rFont val="Calibri"/>
            <family val="34"/>
          </rPr>
          <t xml:space="preserve">
</t>
        </r>
        <r>
          <rPr>
            <sz val="14"/>
            <color rgb="FF000000"/>
            <rFont val="Times New Roman"/>
            <family val="18"/>
          </rPr>
          <t>19/06/1797 Revision: FK Grün Laudon Gasser Komp. Nr. 126</t>
        </r>
        <r>
          <rPr>
            <sz val="14"/>
            <color rgb="FF000000"/>
            <rFont val="Calibri"/>
            <family val="34"/>
          </rPr>
          <t xml:space="preserve">
</t>
        </r>
        <r>
          <rPr>
            <sz val="14"/>
            <color rgb="FF000000"/>
            <rFont val="Times New Roman"/>
            <family val="18"/>
          </rPr>
          <t>07/03/1798 Revision: FK Grün Laudon Haupt Gasser Komp. Nr. 109</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 xml:space="preserve">LB 3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101</t>
        </r>
        <r>
          <rPr>
            <sz val="14"/>
            <color rgb="FF000000"/>
            <rFont val="Calibri"/>
            <family val="34"/>
          </rPr>
          <t xml:space="preserve">
</t>
        </r>
        <r>
          <rPr>
            <sz val="14"/>
            <color rgb="FF000000"/>
            <rFont val="Times New Roman"/>
            <family val="18"/>
          </rPr>
          <t>22/01/1799 Revision: LB 3 Haupt Gasser Komp. Nr. 95</t>
        </r>
        <r>
          <rPr>
            <sz val="14"/>
            <color rgb="FF000000"/>
            <rFont val="Calibri"/>
            <family val="34"/>
          </rPr>
          <t xml:space="preserve">
</t>
        </r>
        <r>
          <rPr>
            <sz val="14"/>
            <color rgb="FF000000"/>
            <rFont val="Times New Roman"/>
            <family val="18"/>
          </rPr>
          <t xml:space="preserve">21/11/1799 </t>
        </r>
        <r>
          <rPr>
            <i/>
            <sz val="14"/>
            <color rgb="FF000000"/>
            <rFont val="Times New Roman"/>
            <family val="18"/>
          </rPr>
          <t>Von Loco Desertiert</t>
        </r>
        <r>
          <rPr>
            <sz val="14"/>
            <color rgb="FF000000"/>
            <rFont val="Times New Roman"/>
            <family val="18"/>
          </rPr>
          <t xml:space="preserve"> [RL 1800]</t>
        </r>
        <r>
          <rPr>
            <sz val="14"/>
            <color rgb="FF000000"/>
            <rFont val="Calibri"/>
            <family val="34"/>
          </rPr>
          <t xml:space="preserve">
</t>
        </r>
        <r>
          <rPr>
            <sz val="14"/>
            <color rgb="FF000000"/>
            <rFont val="Times New Roman"/>
            <family val="18"/>
          </rPr>
          <t xml:space="preserve">01/05/1800 </t>
        </r>
        <r>
          <rPr>
            <i/>
            <sz val="14"/>
            <color rgb="FF000000"/>
            <rFont val="Times New Roman"/>
            <family val="18"/>
          </rPr>
          <t>Als selbst gemeldete Deserteur in Stand</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17/09/1800 </t>
        </r>
        <r>
          <rPr>
            <i/>
            <sz val="14"/>
            <color rgb="FF000000"/>
            <rFont val="Times New Roman"/>
            <family val="18"/>
          </rPr>
          <t>In Montagnana in Spital gestorben</t>
        </r>
        <r>
          <rPr>
            <sz val="14"/>
            <color rgb="FF000000"/>
            <rFont val="Times New Roman"/>
            <family val="18"/>
          </rPr>
          <t xml:space="preserve"> [DL 1801] 
</t>
        </r>
      </text>
    </comment>
    <comment ref="BG198" authorId="0" shapeId="0" xr:uid="{93CCAEE8-B7EF-0547-9240-9A1ED941AAB2}">
      <text>
        <r>
          <rPr>
            <sz val="14"/>
            <color rgb="FF000000"/>
            <rFont val="Times New Roman"/>
            <family val="18"/>
          </rPr>
          <t>ML 10.763 FK Grün Laudon (1797-98) – RL Haupt Gasser Nr. 126 (Maria Saal 19/06/1797); RL Haupt Gasser Nr. 109 (Rovigo 07/03/1798)</t>
        </r>
        <r>
          <rPr>
            <sz val="14"/>
            <color rgb="FF000000"/>
            <rFont val="Calibri"/>
            <family val="34"/>
          </rPr>
          <t xml:space="preserve">
</t>
        </r>
        <r>
          <rPr>
            <sz val="14"/>
            <color rgb="FF000000"/>
            <rFont val="Times New Roman"/>
            <family val="18"/>
          </rPr>
          <t>ML 10.624 LB 3 (1798-1801) – 1798 RL Haupt Gasser Komp. Nr. 101 (Rovigo 30/06/1798); 1799 RL Haupt Hauger Komp. Nr. 95 (Rovigo 22/01/1799); 1800 RL Haupt Gasser Komp. – Abgang (Livorno 04/03/1800); RL Haupt Schlick von Schottenthal (Cervignano 31/10/1801)</t>
        </r>
        <r>
          <rPr>
            <sz val="14"/>
            <color rgb="FF000000"/>
            <rFont val="Calibri"/>
            <family val="34"/>
          </rPr>
          <t xml:space="preserve">
</t>
        </r>
        <r>
          <rPr>
            <sz val="14"/>
            <color rgb="FF000000"/>
            <rFont val="Times New Roman"/>
            <family val="18"/>
          </rPr>
          <t>ML 10.625 LB (1799-1801) – GB Haupt. Gasser Komp.</t>
        </r>
        <r>
          <rPr>
            <sz val="14"/>
            <color rgb="FF000000"/>
            <rFont val="Calibri"/>
            <family val="34"/>
          </rPr>
          <t xml:space="preserve">
</t>
        </r>
      </text>
    </comment>
    <comment ref="BH198" authorId="0" shapeId="0" xr:uid="{FFD527A5-1DE6-C04C-926C-4BF4B4AF60C6}">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(1798-1800)</t>
        </r>
      </text>
    </comment>
    <comment ref="BF199" authorId="0" shapeId="0" xr:uid="{357B69F3-2D60-0C43-BA77-A07FC2013A0D}">
      <text>
        <r>
          <rPr>
            <sz val="14"/>
            <color rgb="FF000000"/>
            <rFont val="Times New Roman"/>
            <family val="18"/>
          </rPr>
          <t xml:space="preserve">11/04/1796 </t>
        </r>
        <r>
          <rPr>
            <i/>
            <sz val="14"/>
            <color rgb="FF000000"/>
            <rFont val="Times New Roman"/>
            <family val="18"/>
          </rPr>
          <t>A 10Fl Werbgeld zu Tarnopol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Gasser Komp. Nr. 128</t>
        </r>
        <r>
          <rPr>
            <sz val="14"/>
            <color rgb="FF000000"/>
            <rFont val="Calibri"/>
            <family val="34"/>
          </rPr>
          <t xml:space="preserve">
</t>
        </r>
        <r>
          <rPr>
            <sz val="14"/>
            <color rgb="FF000000"/>
            <rFont val="Times New Roman"/>
            <family val="18"/>
          </rPr>
          <t>07/03/1798 Revision: FK Grün Laudon Haupt Gasser Komp. Nr. 111</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t>
        </r>
        <r>
          <rPr>
            <sz val="14"/>
            <color rgb="FF000000"/>
            <rFont val="Times New Roman"/>
            <family val="18"/>
          </rPr>
          <t xml:space="preserve"> </t>
        </r>
        <r>
          <rPr>
            <b/>
            <sz val="14"/>
            <color rgb="FF000000"/>
            <rFont val="Times New Roman"/>
            <family val="18"/>
          </rPr>
          <t>LB 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103</t>
        </r>
        <r>
          <rPr>
            <sz val="14"/>
            <color rgb="FF000000"/>
            <rFont val="Calibri"/>
            <family val="34"/>
          </rPr>
          <t xml:space="preserve">
</t>
        </r>
        <r>
          <rPr>
            <sz val="14"/>
            <color rgb="FF000000"/>
            <rFont val="Times New Roman"/>
            <family val="18"/>
          </rPr>
          <t>22/01/1799 Revision: LB 3 Haupt Gasser Komp. Nr. 97</t>
        </r>
        <r>
          <rPr>
            <sz val="14"/>
            <color rgb="FF000000"/>
            <rFont val="Calibri"/>
            <family val="34"/>
          </rPr>
          <t xml:space="preserve">
</t>
        </r>
        <r>
          <rPr>
            <sz val="14"/>
            <color rgb="FF000000"/>
            <rFont val="Times New Roman"/>
            <family val="18"/>
          </rPr>
          <t xml:space="preserve">08/04/1799 </t>
        </r>
        <r>
          <rPr>
            <i/>
            <sz val="14"/>
            <color rgb="FF000000"/>
            <rFont val="Times New Roman"/>
            <family val="18"/>
          </rPr>
          <t>In die Kriegsgefangenschaft gefallen</t>
        </r>
        <r>
          <rPr>
            <sz val="14"/>
            <color rgb="FF000000"/>
            <rFont val="Times New Roman"/>
            <family val="18"/>
          </rPr>
          <t xml:space="preserve"> [RL 1800]</t>
        </r>
        <r>
          <rPr>
            <sz val="14"/>
            <color rgb="FF000000"/>
            <rFont val="Calibri"/>
            <family val="34"/>
          </rPr>
          <t xml:space="preserve">
</t>
        </r>
      </text>
    </comment>
    <comment ref="BG199" authorId="0" shapeId="0" xr:uid="{9D162461-F1EF-5C49-9214-C69774BC2107}">
      <text>
        <r>
          <rPr>
            <sz val="18"/>
            <color rgb="FF000000"/>
            <rFont val="Times New Roman"/>
            <family val="18"/>
          </rPr>
          <t>ML 10.763 FK Grün Laudon (1797-98) – RL Haupt Gasser Nr. 128 (Maria Saal 19/06/1797); RL Haupt Gasser Nr. 111 (Rovigo 07/03/1798)</t>
        </r>
        <r>
          <rPr>
            <sz val="18"/>
            <color rgb="FF000000"/>
            <rFont val="Calibri"/>
            <family val="34"/>
          </rPr>
          <t xml:space="preserve">
</t>
        </r>
        <r>
          <rPr>
            <sz val="18"/>
            <color rgb="FF000000"/>
            <rFont val="Times New Roman"/>
            <family val="18"/>
          </rPr>
          <t>ML 10.624 LB 3 (1798-1801) – 1798 RL Haupt Gasser Komp. Nr. 103 (Rovigo 30/06/1798); 1799 RL Haupt Gasser Komp. Nr. 97 (Rovigo 22/01/1799); 1800 RL Haupt Gasser – Abgang (Livorno 04/03/1800)</t>
        </r>
        <r>
          <rPr>
            <sz val="18"/>
            <color rgb="FF000000"/>
            <rFont val="Calibri"/>
            <family val="34"/>
          </rPr>
          <t xml:space="preserve">
</t>
        </r>
      </text>
    </comment>
    <comment ref="BH199" authorId="0" shapeId="0" xr:uid="{689CB632-4041-F24B-9CFB-A1B6B307377B}">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(1798-1799)</t>
        </r>
      </text>
    </comment>
    <comment ref="BF200" authorId="0" shapeId="0" xr:uid="{1C525648-1959-4A4F-B403-B97636C7455B}">
      <text>
        <r>
          <rPr>
            <sz val="14"/>
            <color rgb="FF000000"/>
            <rFont val="Times New Roman"/>
            <family val="18"/>
          </rPr>
          <t xml:space="preserve">11/04/1796 </t>
        </r>
        <r>
          <rPr>
            <i/>
            <sz val="14"/>
            <color rgb="FF000000"/>
            <rFont val="Times New Roman"/>
            <family val="18"/>
          </rPr>
          <t>A 10Fl Werbgeld zu Tarnopol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Gasser Komp. Nr. 127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07/03/1798 Revision: FK Grün Laudon Haupt Gasser Komp. Nr. 110</t>
        </r>
        <r>
          <rPr>
            <sz val="14"/>
            <color rgb="FF000000"/>
            <rFont val="Calibri"/>
            <family val="34"/>
          </rPr>
          <t xml:space="preserve">
</t>
        </r>
        <r>
          <rPr>
            <sz val="14"/>
            <color rgb="FF000000"/>
            <rFont val="Times New Roman"/>
            <family val="18"/>
          </rPr>
          <t xml:space="preserve">22/06/1798 </t>
        </r>
        <r>
          <rPr>
            <i/>
            <sz val="14"/>
            <color rgb="FF000000"/>
            <rFont val="Times New Roman"/>
            <family val="18"/>
          </rPr>
          <t>Als Angehörige von Haupt Gasser Comp. zu Rovigo Katholisch getauft, und bekam bei seiner Taufe dem Namen Lorenz Sebastian TERNAWSKY,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102</t>
        </r>
        <r>
          <rPr>
            <sz val="14"/>
            <color rgb="FF000000"/>
            <rFont val="Calibri"/>
            <family val="34"/>
          </rPr>
          <t xml:space="preserve">
</t>
        </r>
        <r>
          <rPr>
            <sz val="14"/>
            <color rgb="FF000000"/>
            <rFont val="Times New Roman"/>
            <family val="18"/>
          </rPr>
          <t>22/01/1799 Revision: LB 3 Haupt Gasser Komp. Nr. 96</t>
        </r>
        <r>
          <rPr>
            <sz val="14"/>
            <color rgb="FF000000"/>
            <rFont val="Calibri"/>
            <family val="34"/>
          </rPr>
          <t xml:space="preserve">
</t>
        </r>
        <r>
          <rPr>
            <sz val="14"/>
            <color rgb="FF000000"/>
            <rFont val="Times New Roman"/>
            <family val="18"/>
          </rPr>
          <t xml:space="preserve">27/10/1799 </t>
        </r>
        <r>
          <rPr>
            <i/>
            <sz val="14"/>
            <color rgb="FF000000"/>
            <rFont val="Times New Roman"/>
            <family val="18"/>
          </rPr>
          <t>In Spital zu Vicenza gestorben</t>
        </r>
        <r>
          <rPr>
            <sz val="14"/>
            <color rgb="FF000000"/>
            <rFont val="Times New Roman"/>
            <family val="18"/>
          </rPr>
          <t xml:space="preserve"> [RL 1800]</t>
        </r>
        <r>
          <rPr>
            <sz val="14"/>
            <color rgb="FF000000"/>
            <rFont val="Calibri"/>
            <family val="34"/>
          </rPr>
          <t xml:space="preserve">
</t>
        </r>
      </text>
    </comment>
    <comment ref="BG200" authorId="0" shapeId="0" xr:uid="{3FC179AD-8FE1-F645-A44C-01CC0D408FFD}">
      <text>
        <r>
          <rPr>
            <sz val="14"/>
            <color rgb="FF000000"/>
            <rFont val="Times New Roman"/>
            <family val="18"/>
          </rPr>
          <t xml:space="preserve">ML 10.763 FK Grün Laudon (1797-98) – RL Haupt Gasser Nr. 127 (Maria Saal 19/06/1797); RL Haupt Gasser Nr. 110 (Rovigo 07/03/1798)
</t>
        </r>
        <r>
          <rPr>
            <sz val="14"/>
            <color rgb="FF000000"/>
            <rFont val="Times New Roman"/>
            <family val="18"/>
          </rPr>
          <t xml:space="preserve">ML 10.772 (1798) FK Grün Laudon (1798) – June 1798 (Rovigo 04/08/1798)
</t>
        </r>
        <r>
          <rPr>
            <sz val="14"/>
            <color rgb="FF000000"/>
            <rFont val="Times New Roman"/>
            <family val="18"/>
          </rPr>
          <t xml:space="preserve">ML 10.624 LB 3 (1798-1801) – 1798 RL Haupt Gasser Komp. Nr. 102 (Rovigo 30/06/1798); 1799 RL Haupt Gasser Komp. Nr. 96 (Rovigo 22/01/1799); 1800 RL Haupt Gasser – Abgang (Livorno 04/03/1800)
</t>
        </r>
      </text>
    </comment>
    <comment ref="BH200" authorId="0" shapeId="0" xr:uid="{B77FE887-1223-F849-8A7F-8E35F204261A}">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(1798-1799)</t>
        </r>
      </text>
    </comment>
    <comment ref="BF201" authorId="0" shapeId="0" xr:uid="{E7609EF7-ABB2-6846-949B-E7C88E98243B}">
      <text>
        <r>
          <rPr>
            <sz val="14"/>
            <color rgb="FF000000"/>
            <rFont val="Times New Roman"/>
            <family val="18"/>
          </rPr>
          <t xml:space="preserve">02/05/1796 </t>
        </r>
        <r>
          <rPr>
            <i/>
            <sz val="14"/>
            <color rgb="FF000000"/>
            <rFont val="Times New Roman"/>
            <family val="18"/>
          </rPr>
          <t>a 10Fl in Tarnopol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Sichtig Comp Nr. 118</t>
        </r>
        <r>
          <rPr>
            <sz val="14"/>
            <color rgb="FF000000"/>
            <rFont val="Calibri"/>
            <family val="34"/>
          </rPr>
          <t xml:space="preserve">
</t>
        </r>
        <r>
          <rPr>
            <sz val="14"/>
            <color rgb="FF000000"/>
            <rFont val="Times New Roman"/>
            <family val="18"/>
          </rPr>
          <t xml:space="preserve">25/11/1797 </t>
        </r>
        <r>
          <rPr>
            <i/>
            <sz val="14"/>
            <color rgb="FF000000"/>
            <rFont val="Times New Roman"/>
            <family val="18"/>
          </rPr>
          <t xml:space="preserve">Von Haupt Schligtig Comp zum Artillerie Handlanger Transferiert </t>
        </r>
        <r>
          <rPr>
            <sz val="14"/>
            <color rgb="FF000000"/>
            <rFont val="Times New Roman"/>
            <family val="18"/>
          </rPr>
          <t>[RL 1798]</t>
        </r>
        <r>
          <rPr>
            <sz val="14"/>
            <color rgb="FF000000"/>
            <rFont val="Calibri"/>
            <family val="34"/>
          </rPr>
          <t xml:space="preserve">
</t>
        </r>
        <r>
          <rPr>
            <sz val="14"/>
            <color rgb="FF000000"/>
            <rFont val="Times New Roman"/>
            <family val="18"/>
          </rPr>
          <t>07/03/1798 Revision: FK Grün Loudon Artillerie Handlanger  Nr. 288</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Loudon zum LB 3 transferiert </t>
        </r>
        <r>
          <rPr>
            <sz val="14"/>
            <color rgb="FF000000"/>
            <rFont val="Times New Roman"/>
            <family val="18"/>
          </rPr>
          <t>[RL 1798]</t>
        </r>
        <r>
          <rPr>
            <sz val="14"/>
            <color rgb="FF000000"/>
            <rFont val="Calibri"/>
            <family val="34"/>
          </rPr>
          <t xml:space="preserve">
</t>
        </r>
        <r>
          <rPr>
            <sz val="14"/>
            <color rgb="FF000000"/>
            <rFont val="Times New Roman"/>
            <family val="18"/>
          </rPr>
          <t>01/07/1798 Revision: LB 3 Artillerie Handlanger Nr. 10</t>
        </r>
        <r>
          <rPr>
            <sz val="14"/>
            <color rgb="FF000000"/>
            <rFont val="Calibri"/>
            <family val="34"/>
          </rPr>
          <t xml:space="preserve">
</t>
        </r>
        <r>
          <rPr>
            <sz val="14"/>
            <color rgb="FF000000"/>
            <rFont val="Times New Roman"/>
            <family val="18"/>
          </rPr>
          <t>22/01/1799 Revision: LB 3 Artillerie Handlanger Nr. 11</t>
        </r>
        <r>
          <rPr>
            <sz val="14"/>
            <color rgb="FF000000"/>
            <rFont val="Calibri"/>
            <family val="34"/>
          </rPr>
          <t xml:space="preserve">
</t>
        </r>
        <r>
          <rPr>
            <sz val="14"/>
            <color rgb="FF000000"/>
            <rFont val="Times New Roman"/>
            <family val="18"/>
          </rPr>
          <t>04/03/1800 Revision: LB 3 Artillerie Handlanger Nr. 8</t>
        </r>
        <r>
          <rPr>
            <sz val="14"/>
            <color rgb="FF000000"/>
            <rFont val="Calibri"/>
            <family val="34"/>
          </rPr>
          <t xml:space="preserve">
</t>
        </r>
        <r>
          <rPr>
            <sz val="14"/>
            <color rgb="FF000000"/>
            <rFont val="Times New Roman"/>
            <family val="18"/>
          </rPr>
          <t xml:space="preserve">01/07/1800 </t>
        </r>
        <r>
          <rPr>
            <i/>
            <sz val="14"/>
            <color rgb="FF000000"/>
            <rFont val="Times New Roman"/>
            <family val="18"/>
          </rPr>
          <t xml:space="preserve">Von Artillerie Handlanger zu, Haupt Caroliny Transferiert </t>
        </r>
        <r>
          <rPr>
            <sz val="14"/>
            <color rgb="FF000000"/>
            <rFont val="Times New Roman"/>
            <family val="18"/>
          </rPr>
          <t>[RL 1801]</t>
        </r>
        <r>
          <rPr>
            <sz val="14"/>
            <color rgb="FF000000"/>
            <rFont val="Calibri"/>
            <family val="34"/>
          </rPr>
          <t xml:space="preserve">
</t>
        </r>
        <r>
          <rPr>
            <sz val="14"/>
            <color rgb="FF000000"/>
            <rFont val="Times New Roman"/>
            <family val="18"/>
          </rPr>
          <t>01/03/1801 Von Haupt Deherer zum Haupt Bouviez Comp Transferiert [RL 1801]</t>
        </r>
        <r>
          <rPr>
            <sz val="14"/>
            <color rgb="FF000000"/>
            <rFont val="Calibri"/>
            <family val="34"/>
          </rPr>
          <t xml:space="preserve">
</t>
        </r>
        <r>
          <rPr>
            <sz val="14"/>
            <color rgb="FF000000"/>
            <rFont val="Times New Roman"/>
            <family val="18"/>
          </rPr>
          <t>31/10/1801 Dissolvierung: LB 3 Haupt Bouviez Comp Nr. 47 [</t>
        </r>
        <r>
          <rPr>
            <i/>
            <sz val="14"/>
            <color rgb="FF000000"/>
            <rFont val="Times New Roman"/>
            <family val="18"/>
          </rPr>
          <t>Krank zu Udine</t>
        </r>
        <r>
          <rPr>
            <sz val="14"/>
            <color rgb="FF000000"/>
            <rFont val="Times New Roman"/>
            <family val="18"/>
          </rPr>
          <t>] [</t>
        </r>
        <r>
          <rPr>
            <i/>
            <sz val="14"/>
            <color rgb="FF000000"/>
            <rFont val="Times New Roman"/>
            <family val="18"/>
          </rPr>
          <t>Ins IR 44 Bellegarde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Vonn LB 3 Schlick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23/02/1802 </t>
        </r>
        <r>
          <rPr>
            <i/>
            <sz val="14"/>
            <color rgb="FF000000"/>
            <rFont val="Times New Roman"/>
            <family val="18"/>
          </rPr>
          <t xml:space="preserve">Auf Unbestimmte Zeit In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24 März 802 mit Abschied entlassen und ist für selbe, der in der Monat Tabella pro Junio 1802 bei Manzoni Companie in Zuwachs genommenen Recrout Anton Segatto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201" authorId="0" shapeId="0" xr:uid="{D219FEB0-F496-D74A-9F7A-9B31DAFAEAC0}">
      <text>
        <r>
          <rPr>
            <sz val="14"/>
            <color rgb="FF000000"/>
            <rFont val="Times New Roman"/>
            <family val="18"/>
          </rPr>
          <t>ML 10.763 FK Grün Laudon (1797-98) – RL Haupt Gasser Nr. 176 (Maria Saal 19/06/1797); RL Haupt Gasser Nr. 135 (Rovigo 07/03/1798)</t>
        </r>
        <r>
          <rPr>
            <sz val="14"/>
            <color rgb="FF000000"/>
            <rFont val="Calibri"/>
            <family val="34"/>
          </rPr>
          <t xml:space="preserve">
</t>
        </r>
        <r>
          <rPr>
            <sz val="14"/>
            <color rgb="FF000000"/>
            <rFont val="Times New Roman"/>
            <family val="18"/>
          </rPr>
          <t>ML 10.772 (1798) FK Grün Laudon (1798) – June 1798 (Rovigo 04/08/1798)</t>
        </r>
        <r>
          <rPr>
            <sz val="14"/>
            <color rgb="FF000000"/>
            <rFont val="Calibri"/>
            <family val="34"/>
          </rPr>
          <t xml:space="preserve">
</t>
        </r>
        <r>
          <rPr>
            <sz val="14"/>
            <color rgb="FF000000"/>
            <rFont val="Times New Roman"/>
            <family val="18"/>
          </rPr>
          <t>ML 10.624 LB 3 (1798-1801) – 1798 RL Haupt Gasser Komp. Nr. 125 (Rovigo 30/06/1798); 1799 RL Haupt Gasser Komp. Nr. 118 (Rovigo 22/01/1799); 1800 RL Haupt Gasser Nr. 31 (Livorno 04/03/1800); DL 1801 Haupt Bouviez Komp. Nr. 47 (Cervignano 31/10/1801)</t>
        </r>
        <r>
          <rPr>
            <sz val="14"/>
            <color rgb="FF000000"/>
            <rFont val="Calibri"/>
            <family val="34"/>
          </rPr>
          <t xml:space="preserve">
</t>
        </r>
        <r>
          <rPr>
            <sz val="14"/>
            <color rgb="FF000000"/>
            <rFont val="Times New Roman"/>
            <family val="18"/>
          </rPr>
          <t>ML 10.625 LB (1799-1801) – GB Haupt Gasser</t>
        </r>
        <r>
          <rPr>
            <sz val="14"/>
            <color rgb="FF000000"/>
            <rFont val="Calibri"/>
            <family val="34"/>
          </rPr>
          <t xml:space="preserve">
</t>
        </r>
        <r>
          <rPr>
            <sz val="14"/>
            <color rgb="FF000000"/>
            <rFont val="Times New Roman"/>
            <family val="18"/>
          </rPr>
          <t>ML 10.629 LB 3 (1801-2) – TL LB 3-&gt;IR 44 Nr. 91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201" authorId="0" shapeId="0" xr:uid="{31D4BDAA-BAA7-144B-874E-E71EDCF95681}">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(1801-1802)</t>
        </r>
      </text>
    </comment>
    <comment ref="BI201" authorId="0" shapeId="0" xr:uid="{E09055A3-FC1C-F047-AB81-501629A09509}">
      <text>
        <r>
          <rPr>
            <sz val="14"/>
            <color rgb="FF000000"/>
            <rFont val="Calibri"/>
            <family val="34"/>
          </rPr>
          <t>Gut (TL Nov 1801)</t>
        </r>
      </text>
    </comment>
    <comment ref="BF202" authorId="0" shapeId="0" xr:uid="{D0E11703-C825-C74E-998C-AA01F3E2B892}">
      <text>
        <r>
          <rPr>
            <sz val="14"/>
            <color rgb="FF000000"/>
            <rFont val="Times New Roman"/>
            <family val="18"/>
          </rPr>
          <t xml:space="preserve">12/04/1796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[RL June 1797]</t>
        </r>
        <r>
          <rPr>
            <sz val="14"/>
            <color rgb="FF000000"/>
            <rFont val="Calibri"/>
            <family val="34"/>
          </rPr>
          <t xml:space="preserve">
</t>
        </r>
        <r>
          <rPr>
            <sz val="14"/>
            <color rgb="FF000000"/>
            <rFont val="Times New Roman"/>
            <family val="18"/>
          </rPr>
          <t>19/06/1797 Revision: FK Grün Loudon Haupt Platten Komp. Nr. 127</t>
        </r>
        <r>
          <rPr>
            <sz val="14"/>
            <color rgb="FF000000"/>
            <rFont val="Calibri"/>
            <family val="34"/>
          </rPr>
          <t xml:space="preserve">
</t>
        </r>
        <r>
          <rPr>
            <sz val="14"/>
            <color rgb="FF000000"/>
            <rFont val="Times New Roman"/>
            <family val="18"/>
          </rPr>
          <t>07/03/1798 Revision: FK Grün Loudon Haupt Platten Comp Nr. 113</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Platen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4 Haupt Platten Komp Nr. 98</t>
        </r>
        <r>
          <rPr>
            <sz val="14"/>
            <color rgb="FF000000"/>
            <rFont val="Calibri"/>
            <family val="34"/>
          </rPr>
          <t xml:space="preserve">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t>
        </r>
        <r>
          <rPr>
            <sz val="14"/>
            <color rgb="FF000000"/>
            <rFont val="Calibri"/>
            <family val="34"/>
          </rPr>
          <t xml:space="preserve">
</t>
        </r>
      </text>
    </comment>
    <comment ref="BG202" authorId="0" shapeId="0" xr:uid="{D83E2E7D-6BE0-2E49-A346-867E6F3C4173}">
      <text>
        <r>
          <rPr>
            <sz val="14"/>
            <color rgb="FF000000"/>
            <rFont val="Times New Roman"/>
            <family val="18"/>
          </rPr>
          <t>ML 10.763 FK Grün Laudon (1797-98) – RL Haupt Platten Komp. Nr. 127 (Maria Saal 19/06/1797); RL Haupt Platten Komp. Nr. 113 (Rovigo 07/03/1798)</t>
        </r>
        <r>
          <rPr>
            <sz val="14"/>
            <color rgb="FF000000"/>
            <rFont val="Calibri"/>
            <family val="34"/>
          </rPr>
          <t xml:space="preserve">
</t>
        </r>
        <r>
          <rPr>
            <sz val="14"/>
            <color rgb="FF000000"/>
            <rFont val="Times New Roman"/>
            <family val="18"/>
          </rPr>
          <t>ML 10.630 LB 4 (1798-1801) –1799 RL Haupt Platen Komp. Nr. 98 (Rovigo 22/01/1799); RL Haupt Graurock Abgang (Pisa 04/03/1800)</t>
        </r>
        <r>
          <rPr>
            <sz val="14"/>
            <color rgb="FF000000"/>
            <rFont val="Calibri"/>
            <family val="34"/>
          </rPr>
          <t xml:space="preserve">
</t>
        </r>
      </text>
    </comment>
    <comment ref="BH202" authorId="0" shapeId="0" xr:uid="{A2BF1B93-B972-BC4A-9877-E63ACE18CFF3}">
      <text>
        <r>
          <rPr>
            <sz val="14"/>
            <color rgb="FF000000"/>
            <rFont val="Times New Roman"/>
            <family val="18"/>
          </rPr>
          <t xml:space="preserve">FK Grün Loudon (1796-98)
</t>
        </r>
        <r>
          <rPr>
            <sz val="14"/>
            <color rgb="FF000000"/>
            <rFont val="Times New Roman"/>
            <family val="18"/>
          </rPr>
          <t>LB 4 (1798-1799)</t>
        </r>
      </text>
    </comment>
    <comment ref="BF203" authorId="0" shapeId="0" xr:uid="{88550E3E-D26E-7045-A0AE-C459F454A467}">
      <text>
        <r>
          <rPr>
            <sz val="14"/>
            <color rgb="FF000000"/>
            <rFont val="Times New Roman"/>
            <family val="18"/>
          </rPr>
          <t xml:space="preserve">13/04/1796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 xml:space="preserve">[ML 1802]
</t>
        </r>
        <r>
          <rPr>
            <sz val="14"/>
            <color rgb="FF000000"/>
            <rFont val="Times New Roman"/>
            <family val="18"/>
          </rPr>
          <t xml:space="preserve">19/06/1797 Revision: FK Grün Loudon Haupt Platten Komp. Nr. 129
</t>
        </r>
        <r>
          <rPr>
            <sz val="14"/>
            <color rgb="FF000000"/>
            <rFont val="Times New Roman"/>
            <family val="18"/>
          </rPr>
          <t xml:space="preserve">07/03/1798 Revision: FK Grün Loudon Haupt Platten Komp. Nr. 115
</t>
        </r>
        <r>
          <rPr>
            <sz val="14"/>
            <color rgb="FF000000"/>
            <rFont val="Times New Roman"/>
            <family val="18"/>
          </rPr>
          <t xml:space="preserve">16/08/1798 </t>
        </r>
        <r>
          <rPr>
            <i/>
            <sz val="14"/>
            <color rgb="FF000000"/>
            <rFont val="Times New Roman"/>
            <family val="18"/>
          </rPr>
          <t xml:space="preserve">Von Haupt. Baron Platten Komp. Zum Abrichtungsdepot transferiert </t>
        </r>
        <r>
          <rPr>
            <sz val="14"/>
            <color rgb="FF000000"/>
            <rFont val="Times New Roman"/>
            <family val="18"/>
          </rPr>
          <t xml:space="preserve">[RL 1799]
</t>
        </r>
        <r>
          <rPr>
            <sz val="14"/>
            <color rgb="FF000000"/>
            <rFont val="Times New Roman"/>
            <family val="18"/>
          </rPr>
          <t xml:space="preserve">28/01/1799 Revision: LB 4 Abrichtungsdepot Nr. 5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
</t>
        </r>
        <r>
          <rPr>
            <sz val="14"/>
            <color rgb="FF000000"/>
            <rFont val="Times New Roman"/>
            <family val="18"/>
          </rPr>
          <t xml:space="preserve">26/07/1801 </t>
        </r>
        <r>
          <rPr>
            <i/>
            <sz val="14"/>
            <color rgb="FF000000"/>
            <rFont val="Times New Roman"/>
            <family val="18"/>
          </rPr>
          <t>Aus die Kriegsgefangenschaft gegen Auswechslung ranzioniert wieder in Stand</t>
        </r>
        <r>
          <rPr>
            <sz val="14"/>
            <color rgb="FF000000"/>
            <rFont val="Times New Roman"/>
            <family val="18"/>
          </rPr>
          <t xml:space="preserve"> [RL 1801]
</t>
        </r>
        <r>
          <rPr>
            <sz val="14"/>
            <color rgb="FF000000"/>
            <rFont val="Times New Roman"/>
            <family val="18"/>
          </rPr>
          <t>28/08/1801 Reduction: LB 4 Haupt Graurock Nr. 64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117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03/07/1803 </t>
        </r>
        <r>
          <rPr>
            <i/>
            <sz val="14"/>
            <color rgb="FF000000"/>
            <rFont val="Times New Roman"/>
            <family val="18"/>
          </rPr>
          <t>Von Urlaub desertiert</t>
        </r>
        <r>
          <rPr>
            <sz val="14"/>
            <color rgb="FF000000"/>
            <rFont val="Times New Roman"/>
            <family val="18"/>
          </rPr>
          <t xml:space="preserve"> [Als Joseph MAYER] [ML 1803] </t>
        </r>
      </text>
    </comment>
    <comment ref="BG203" authorId="0" shapeId="0" xr:uid="{91E873A2-5B10-624B-B0CC-8214614DC053}">
      <text>
        <r>
          <rPr>
            <sz val="14"/>
            <color rgb="FF000000"/>
            <rFont val="Times New Roman"/>
            <family val="18"/>
          </rPr>
          <t xml:space="preserve">ML 10.763 FK Grün Laudon (1797-98) – RL Haupt Platten Komp. Nr. 129 (Maria Saal 19/06/1797); RL Haupt Platten Komp. Nr. 115 (Rovigo 07/03/1798)
</t>
        </r>
        <r>
          <rPr>
            <sz val="14"/>
            <color rgb="FF000000"/>
            <rFont val="Times New Roman"/>
            <family val="18"/>
          </rPr>
          <t xml:space="preserve">ML 10.630 LB 4 (1798-1801) – RL Abrichtungsdepot. Nr. 5 (Zemona 28/01/1799); RL Haupt Graurock Abgang (Pisa 04/03/1800); DL Haupt Graurock Nr. 64 (Furriaco 28/08/1801)
</t>
        </r>
        <r>
          <rPr>
            <sz val="14"/>
            <color rgb="FF000000"/>
            <rFont val="Times New Roman"/>
            <family val="18"/>
          </rPr>
          <t xml:space="preserve">ML 10.632 LB 4 (1801) – TL LB 4-&gt;IR 13 Nr. 99 (Görz 30/09/1801)
</t>
        </r>
        <r>
          <rPr>
            <sz val="14"/>
            <color rgb="FF000000"/>
            <rFont val="Times New Roman"/>
            <family val="18"/>
          </rPr>
          <t xml:space="preserve">ML 10.045/6 IR 13 (1802) – ML Haupt Dombasle Comp. Nr. 117 (Görz 22/09/1802)
</t>
        </r>
        <r>
          <rPr>
            <sz val="14"/>
            <color rgb="FF000000"/>
            <rFont val="Times New Roman"/>
            <family val="18"/>
          </rPr>
          <t xml:space="preserve">ML 10.047/8 IR 13 (1803) – ML Haupt Dombasle Komp. Abgang (Exerzierlager bei St. Andra neben Görz 16/09/1803)
</t>
        </r>
      </text>
    </comment>
    <comment ref="BH203" authorId="0" shapeId="0" xr:uid="{8F98FE03-D2B6-3A40-8CBB-377AD3B04580}">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(1801-1803)</t>
        </r>
      </text>
    </comment>
    <comment ref="BI203" authorId="0" shapeId="0" xr:uid="{4517E04A-AFB2-E448-B96F-24845DBD2182}">
      <text>
        <r>
          <rPr>
            <sz val="14"/>
            <color rgb="FF000000"/>
            <rFont val="Calibri"/>
            <family val="34"/>
          </rPr>
          <t>Gut (TL Nov 1801)</t>
        </r>
      </text>
    </comment>
    <comment ref="BF204" authorId="0" shapeId="0" xr:uid="{148CFE82-797C-5740-AE3D-9E41F7968359}">
      <text>
        <r>
          <rPr>
            <sz val="14"/>
            <color rgb="FF000000"/>
            <rFont val="Times New Roman"/>
            <family val="18"/>
          </rPr>
          <t xml:space="preserve">19/04/1796 </t>
        </r>
        <r>
          <rPr>
            <i/>
            <sz val="14"/>
            <color rgb="FF000000"/>
            <rFont val="Times New Roman"/>
            <family val="18"/>
          </rPr>
          <t>Auf Beständig obligat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12/12/1796 </t>
        </r>
        <r>
          <rPr>
            <i/>
            <sz val="14"/>
            <color rgb="FF000000"/>
            <rFont val="Times New Roman"/>
            <family val="18"/>
          </rPr>
          <t>Von Wartensleben Inf</t>
        </r>
        <r>
          <rPr>
            <sz val="14"/>
            <color rgb="FF000000"/>
            <rFont val="Times New Roman"/>
            <family val="18"/>
          </rPr>
          <t xml:space="preserve"> </t>
        </r>
        <r>
          <rPr>
            <b/>
            <sz val="14"/>
            <color rgb="FF000000"/>
            <rFont val="Times New Roman"/>
            <family val="18"/>
          </rPr>
          <t>[IR 28]</t>
        </r>
        <r>
          <rPr>
            <sz val="14"/>
            <color rgb="FF000000"/>
            <rFont val="Times New Roman"/>
            <family val="18"/>
          </rPr>
          <t xml:space="preserve"> </t>
        </r>
        <r>
          <rPr>
            <i/>
            <sz val="14"/>
            <color rgb="FF000000"/>
            <rFont val="Times New Roman"/>
            <family val="18"/>
          </rPr>
          <t>anhero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10 ObristLt Komp. Nr. 43 [</t>
        </r>
        <r>
          <rPr>
            <i/>
            <sz val="14"/>
            <color rgb="FF000000"/>
            <rFont val="Times New Roman"/>
            <family val="18"/>
          </rPr>
          <t>Kommandiert auf Brief Ordnanz zu Linz</t>
        </r>
        <r>
          <rPr>
            <sz val="14"/>
            <color rgb="FF000000"/>
            <rFont val="Times New Roman"/>
            <family val="18"/>
          </rPr>
          <t>]</t>
        </r>
        <r>
          <rPr>
            <sz val="14"/>
            <color rgb="FF000000"/>
            <rFont val="Calibri"/>
            <family val="34"/>
          </rPr>
          <t xml:space="preserve">
</t>
        </r>
        <r>
          <rPr>
            <sz val="14"/>
            <color rgb="FF000000"/>
            <rFont val="Times New Roman"/>
            <family val="18"/>
          </rPr>
          <t>14/09/1803 Muster: IR 10 ObristLt Komp. Nr. 40</t>
        </r>
        <r>
          <rPr>
            <sz val="14"/>
            <color rgb="FF000000"/>
            <rFont val="Calibri"/>
            <family val="34"/>
          </rPr>
          <t xml:space="preserve">
</t>
        </r>
        <r>
          <rPr>
            <sz val="14"/>
            <color rgb="FF000000"/>
            <rFont val="Times New Roman"/>
            <family val="18"/>
          </rPr>
          <t xml:space="preserve">10/03/1804 </t>
        </r>
        <r>
          <rPr>
            <i/>
            <sz val="14"/>
            <color rgb="FF000000"/>
            <rFont val="Times New Roman"/>
            <family val="18"/>
          </rPr>
          <t>Zu folge hoher General Commando Verordnung deto Prag an 17. Februar von IR 10 ObristLt Komp. zum IR 28 Frehlich transferiert</t>
        </r>
        <r>
          <rPr>
            <sz val="14"/>
            <color rgb="FF000000"/>
            <rFont val="Times New Roman"/>
            <family val="18"/>
          </rPr>
          <t xml:space="preserve"> [ML 1804]</t>
        </r>
      </text>
    </comment>
    <comment ref="BG204" authorId="0" shapeId="0" xr:uid="{E2A630B0-3EB6-8641-B36F-AED2CF52CCA2}">
      <text>
        <r>
          <rPr>
            <sz val="14"/>
            <color rgb="FF000000"/>
            <rFont val="Times New Roman"/>
            <family val="18"/>
          </rPr>
          <t>ML 713 IR 10 (1802) – ObristLt Komp. Nr. 43 (Wells 16/09/1802)</t>
        </r>
        <r>
          <rPr>
            <sz val="14"/>
            <color rgb="FF000000"/>
            <rFont val="Calibri"/>
            <family val="34"/>
          </rPr>
          <t xml:space="preserve">
</t>
        </r>
        <r>
          <rPr>
            <sz val="14"/>
            <color rgb="FF000000"/>
            <rFont val="Times New Roman"/>
            <family val="18"/>
          </rPr>
          <t>ML 714 IR 10 (1803) – ObristLt Komp. Nr. 40 (Lischau 14/09/1803)</t>
        </r>
        <r>
          <rPr>
            <sz val="14"/>
            <color rgb="FF000000"/>
            <rFont val="Calibri"/>
            <family val="34"/>
          </rPr>
          <t xml:space="preserve">
</t>
        </r>
        <r>
          <rPr>
            <sz val="14"/>
            <color rgb="FF000000"/>
            <rFont val="Times New Roman"/>
            <family val="18"/>
          </rPr>
          <t>ML 715 IR 10 (1804) – ObristLt Komp. Abgang (Lischau 23/08/1804)</t>
        </r>
        <r>
          <rPr>
            <sz val="14"/>
            <color rgb="FF000000"/>
            <rFont val="Calibri"/>
            <family val="34"/>
          </rPr>
          <t xml:space="preserve">
</t>
        </r>
      </text>
    </comment>
    <comment ref="BH204" authorId="0" shapeId="0" xr:uid="{C5279550-30F4-1543-A51D-49BECA39B196}">
      <text>
        <r>
          <rPr>
            <sz val="14"/>
            <color rgb="FF000000"/>
            <rFont val="Calibri"/>
            <family val="34"/>
          </rPr>
          <t xml:space="preserve">IR 28 (1796)
</t>
        </r>
        <r>
          <rPr>
            <sz val="14"/>
            <color rgb="FF000000"/>
            <rFont val="Calibri"/>
            <family val="34"/>
          </rPr>
          <t xml:space="preserve">IR 10 (1796-1804)
</t>
        </r>
        <r>
          <rPr>
            <sz val="14"/>
            <color rgb="FF000000"/>
            <rFont val="Calibri"/>
            <family val="34"/>
          </rPr>
          <t>IR 28 (1804)</t>
        </r>
      </text>
    </comment>
    <comment ref="CR204" authorId="0" shapeId="0" xr:uid="{090165D5-A816-9C45-A2FC-AA203C0109BA}">
      <text>
        <r>
          <rPr>
            <sz val="14"/>
            <color rgb="FF000000"/>
            <rFont val="Times New Roman"/>
            <family val="18"/>
          </rPr>
          <t>1802:</t>
        </r>
        <r>
          <rPr>
            <i/>
            <sz val="14"/>
            <color rgb="FF000000"/>
            <rFont val="Times New Roman"/>
            <family val="18"/>
          </rPr>
          <t xml:space="preserve"> Jüdisch/ Griechisch 
</t>
        </r>
        <r>
          <rPr>
            <sz val="14"/>
            <color rgb="FF000000"/>
            <rFont val="Times New Roman"/>
            <family val="18"/>
          </rPr>
          <t xml:space="preserve">1803: </t>
        </r>
        <r>
          <rPr>
            <i/>
            <sz val="14"/>
            <color rgb="FF000000"/>
            <rFont val="Times New Roman"/>
            <family val="18"/>
          </rPr>
          <t>Altglauber</t>
        </r>
      </text>
    </comment>
    <comment ref="BF205" authorId="0" shapeId="0" xr:uid="{474DC257-A1E8-6B43-89E8-8A8053ADCC7B}">
      <text>
        <r>
          <rPr>
            <sz val="14"/>
            <color rgb="FF000000"/>
            <rFont val="Times New Roman"/>
            <family val="18"/>
          </rPr>
          <t xml:space="preserve">01/05/1796 </t>
        </r>
        <r>
          <rPr>
            <i/>
            <sz val="14"/>
            <color rgb="FF000000"/>
            <rFont val="Times New Roman"/>
            <family val="18"/>
          </rPr>
          <t>zu Lemberg a 12Fl Handgeld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Hauger Komp. Nr. 128</t>
        </r>
        <r>
          <rPr>
            <sz val="14"/>
            <color rgb="FF000000"/>
            <rFont val="Calibri"/>
            <family val="34"/>
          </rPr>
          <t xml:space="preserve">
</t>
        </r>
        <r>
          <rPr>
            <sz val="14"/>
            <color rgb="FF000000"/>
            <rFont val="Times New Roman"/>
            <family val="18"/>
          </rPr>
          <t>07/03/1798 Revision: FK Grün Loudon Haupt Hauger Komp. Nr. 98</t>
        </r>
        <r>
          <rPr>
            <sz val="14"/>
            <color rgb="FF000000"/>
            <rFont val="Calibri"/>
            <family val="34"/>
          </rPr>
          <t xml:space="preserve">
</t>
        </r>
        <r>
          <rPr>
            <sz val="14"/>
            <color rgb="FF000000"/>
            <rFont val="Times New Roman"/>
            <family val="18"/>
          </rPr>
          <t xml:space="preserve">28/06/1798 </t>
        </r>
        <r>
          <rPr>
            <i/>
            <sz val="14"/>
            <color rgb="FF000000"/>
            <rFont val="Times New Roman"/>
            <family val="18"/>
          </rPr>
          <t>Als Angehörige von Haupt Hauger Comp. zu Rovigo Katholisch getauft, und bekam bei seiner Taufe dem Namen Carl Franz PITKUMINSKY,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t>
        </r>
        <r>
          <rPr>
            <sz val="14"/>
            <color rgb="FF000000"/>
            <rFont val="Times New Roman"/>
            <family val="18"/>
          </rPr>
          <t xml:space="preserve"> </t>
        </r>
        <r>
          <rPr>
            <b/>
            <sz val="14"/>
            <color rgb="FF000000"/>
            <rFont val="Times New Roman"/>
            <family val="18"/>
          </rPr>
          <t xml:space="preserve">LB 3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Hauger Komp. Nr. 94</t>
        </r>
        <r>
          <rPr>
            <sz val="14"/>
            <color rgb="FF000000"/>
            <rFont val="Calibri"/>
            <family val="34"/>
          </rPr>
          <t xml:space="preserve">
</t>
        </r>
        <r>
          <rPr>
            <sz val="14"/>
            <color rgb="FF000000"/>
            <rFont val="Times New Roman"/>
            <family val="18"/>
          </rPr>
          <t>22/01/1799 Revision: LB 3 Haupt Hauger Komp. Nr. 92</t>
        </r>
        <r>
          <rPr>
            <sz val="14"/>
            <color rgb="FF000000"/>
            <rFont val="Calibri"/>
            <family val="34"/>
          </rPr>
          <t xml:space="preserve">
</t>
        </r>
        <r>
          <rPr>
            <sz val="14"/>
            <color rgb="FF000000"/>
            <rFont val="Times New Roman"/>
            <family val="18"/>
          </rPr>
          <t xml:space="preserve">22/11/1799 </t>
        </r>
        <r>
          <rPr>
            <b/>
            <sz val="14"/>
            <color rgb="FF000000"/>
            <rFont val="Times New Roman"/>
            <family val="18"/>
          </rPr>
          <t>[Vor Feind]</t>
        </r>
        <r>
          <rPr>
            <sz val="14"/>
            <color rgb="FF000000"/>
            <rFont val="Times New Roman"/>
            <family val="18"/>
          </rPr>
          <t xml:space="preserve"> </t>
        </r>
        <r>
          <rPr>
            <i/>
            <sz val="14"/>
            <color rgb="FF000000"/>
            <rFont val="Times New Roman"/>
            <family val="18"/>
          </rPr>
          <t>Unwissend Verloren</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11/07/1800 </t>
        </r>
        <r>
          <rPr>
            <i/>
            <sz val="14"/>
            <color rgb="FF000000"/>
            <rFont val="Times New Roman"/>
            <family val="18"/>
          </rPr>
          <t xml:space="preserve">Als selbst gemeldete Deserteur zu Kizingen </t>
        </r>
        <r>
          <rPr>
            <b/>
            <sz val="14"/>
            <color rgb="FF000000"/>
            <rFont val="Times New Roman"/>
            <family val="18"/>
          </rPr>
          <t>[Kizingen, Germany]</t>
        </r>
        <r>
          <rPr>
            <sz val="14"/>
            <color rgb="FF000000"/>
            <rFont val="Times New Roman"/>
            <family val="18"/>
          </rPr>
          <t xml:space="preserve"> </t>
        </r>
        <r>
          <rPr>
            <i/>
            <sz val="14"/>
            <color rgb="FF000000"/>
            <rFont val="Times New Roman"/>
            <family val="18"/>
          </rPr>
          <t>präsentiert</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30/04/1801 </t>
        </r>
        <r>
          <rPr>
            <i/>
            <sz val="14"/>
            <color rgb="FF000000"/>
            <rFont val="Times New Roman"/>
            <family val="18"/>
          </rPr>
          <t>Als unwissend verloren in Abgang</t>
        </r>
        <r>
          <rPr>
            <sz val="14"/>
            <color rgb="FF000000"/>
            <rFont val="Times New Roman"/>
            <family val="18"/>
          </rPr>
          <t xml:space="preserve"> [DL 1801]</t>
        </r>
        <r>
          <rPr>
            <sz val="14"/>
            <color rgb="FF000000"/>
            <rFont val="Calibri"/>
            <family val="34"/>
          </rPr>
          <t xml:space="preserve">
</t>
        </r>
      </text>
    </comment>
    <comment ref="BG205" authorId="0" shapeId="0" xr:uid="{791B1B16-4B4C-B946-8107-906D6A8933C4}">
      <text>
        <r>
          <rPr>
            <sz val="14"/>
            <color rgb="FF000000"/>
            <rFont val="Times New Roman"/>
            <family val="18"/>
          </rPr>
          <t>ML 10.763 FK Grün Laudon (1797-98) – RL Haupt Hauger Komp. Nr. 128 (Maria Saal 19/06/1797); RL Haupt Hauger Komp. Nr. 98 (Rovigo 07/03/1798)</t>
        </r>
        <r>
          <rPr>
            <sz val="14"/>
            <color rgb="FF000000"/>
            <rFont val="Calibri"/>
            <family val="34"/>
          </rPr>
          <t xml:space="preserve">
</t>
        </r>
        <r>
          <rPr>
            <sz val="14"/>
            <color rgb="FF000000"/>
            <rFont val="Times New Roman"/>
            <family val="18"/>
          </rPr>
          <t>ML 10.772 FK Grün Laudon (1798) – June (Rovigo 04/08/1798)</t>
        </r>
        <r>
          <rPr>
            <sz val="14"/>
            <color rgb="FF000000"/>
            <rFont val="Calibri"/>
            <family val="34"/>
          </rPr>
          <t xml:space="preserve">
</t>
        </r>
        <r>
          <rPr>
            <sz val="14"/>
            <color rgb="FF000000"/>
            <rFont val="Times New Roman"/>
            <family val="18"/>
          </rPr>
          <t>ML 10.624 LB 3 (1798-1801) – 1798 RL Haupt Hauger Komp. Nr. 94 (Rovigo 30/06/1798); 1799 RL Haupt Hauger Komp. Nr. 92 (Rovigo 22/01/1799); 1800 RL Haupt Bouviez –(Livorno 04/03/1800); DL 1801 Haupt Bouviez – Zuwachs &amp; Abgang (Cervignano 31/10/1801)</t>
        </r>
        <r>
          <rPr>
            <sz val="14"/>
            <color rgb="FF000000"/>
            <rFont val="Calibri"/>
            <family val="34"/>
          </rPr>
          <t xml:space="preserve">
</t>
        </r>
      </text>
    </comment>
    <comment ref="BH205" authorId="0" shapeId="0" xr:uid="{E010B9D3-E497-3F44-A56F-61229ECD2C87}">
      <text>
        <r>
          <rPr>
            <sz val="14"/>
            <color rgb="FF000000"/>
            <rFont val="Times New Roman"/>
            <family val="18"/>
          </rPr>
          <t xml:space="preserve">FK Grün Loudon (1796-98)
</t>
        </r>
        <r>
          <rPr>
            <sz val="14"/>
            <color rgb="FF000000"/>
            <rFont val="Times New Roman"/>
            <family val="18"/>
          </rPr>
          <t>LB 3 (1798-1801)</t>
        </r>
      </text>
    </comment>
    <comment ref="BF206" authorId="0" shapeId="0" xr:uid="{8789C1B0-A0F0-B249-B614-6D5F3052AF12}">
      <text>
        <r>
          <rPr>
            <sz val="14"/>
            <color rgb="FF000000"/>
            <rFont val="Times New Roman"/>
            <family val="18"/>
          </rPr>
          <t xml:space="preserve">12/04/1796 </t>
        </r>
        <r>
          <rPr>
            <i/>
            <sz val="14"/>
            <color rgb="FF000000"/>
            <rFont val="Times New Roman"/>
            <family val="18"/>
          </rPr>
          <t xml:space="preserve">A 10Fl Handgeld zu Tarnopol auf Kriegszeit assentiert </t>
        </r>
        <r>
          <rPr>
            <sz val="14"/>
            <color rgb="FF000000"/>
            <rFont val="Times New Roman"/>
            <family val="18"/>
          </rPr>
          <t>[RL 1796 &amp; GB 1799-1801]</t>
        </r>
        <r>
          <rPr>
            <sz val="14"/>
            <color rgb="FF000000"/>
            <rFont val="Calibri"/>
            <family val="34"/>
          </rPr>
          <t xml:space="preserve">
</t>
        </r>
        <r>
          <rPr>
            <sz val="14"/>
            <color rgb="FF000000"/>
            <rFont val="Times New Roman"/>
            <family val="18"/>
          </rPr>
          <t>19/06/1797 Revision: FK Grün Loudon Haupt Bach Senior Comp Nr. 135</t>
        </r>
        <r>
          <rPr>
            <sz val="14"/>
            <color rgb="FF000000"/>
            <rFont val="Calibri"/>
            <family val="34"/>
          </rPr>
          <t xml:space="preserve">
</t>
        </r>
        <r>
          <rPr>
            <sz val="14"/>
            <color rgb="FF000000"/>
            <rFont val="Times New Roman"/>
            <family val="18"/>
          </rPr>
          <t>07/03/1798 Revision: FK Grün Laudon Haupt Melcior Comp Nr. 84</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LB 3 transferiert </t>
        </r>
        <r>
          <rPr>
            <sz val="14"/>
            <color rgb="FF000000"/>
            <rFont val="Times New Roman"/>
            <family val="18"/>
          </rPr>
          <t>[RL 1798]</t>
        </r>
        <r>
          <rPr>
            <sz val="14"/>
            <color rgb="FF000000"/>
            <rFont val="Calibri"/>
            <family val="34"/>
          </rPr>
          <t xml:space="preserve">
</t>
        </r>
        <r>
          <rPr>
            <sz val="14"/>
            <color rgb="FF000000"/>
            <rFont val="Times New Roman"/>
            <family val="18"/>
          </rPr>
          <t>22/01/1799 Revision: LB 3 Haupt Melchior Comp Nr. 80</t>
        </r>
        <r>
          <rPr>
            <sz val="14"/>
            <color rgb="FF000000"/>
            <rFont val="Calibri"/>
            <family val="34"/>
          </rPr>
          <t xml:space="preserve">
</t>
        </r>
        <r>
          <rPr>
            <sz val="14"/>
            <color rgb="FF000000"/>
            <rFont val="Times New Roman"/>
            <family val="18"/>
          </rPr>
          <t>04/03/1800 Revision: LB Haupt Melchior Comp Nr. 101</t>
        </r>
        <r>
          <rPr>
            <sz val="14"/>
            <color rgb="FF000000"/>
            <rFont val="Calibri"/>
            <family val="34"/>
          </rPr>
          <t xml:space="preserve">
</t>
        </r>
        <r>
          <rPr>
            <sz val="14"/>
            <color rgb="FF000000"/>
            <rFont val="Times New Roman"/>
            <family val="18"/>
          </rPr>
          <t>31/10/1801 Dissolvierung: LB Haupt Melchior Comp Nr. 11 [</t>
        </r>
        <r>
          <rPr>
            <i/>
            <sz val="14"/>
            <color rgb="FF000000"/>
            <rFont val="Times New Roman"/>
            <family val="18"/>
          </rPr>
          <t>Zu IR 44 Bellegarde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Melchior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06/02/1802 </t>
        </r>
        <r>
          <rPr>
            <i/>
            <sz val="14"/>
            <color rgb="FF000000"/>
            <rFont val="Times New Roman"/>
            <family val="18"/>
          </rPr>
          <t xml:space="preserve">Auf Unbestimmte Zeit In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10 Februar 802 mit Abschied entlassen und ist für selbe, der in der Monat Tabella pro Februario 1802 bei Obrist Companie in Zuwachs genommenen Recrout Paolo Torlano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206" authorId="0" shapeId="0" xr:uid="{B55A7470-916A-794F-AFD4-202F63B33D50}">
      <text>
        <r>
          <rPr>
            <sz val="14"/>
            <color rgb="FF000000"/>
            <rFont val="Times New Roman"/>
            <family val="18"/>
          </rPr>
          <t>ML 10.763 FK Grün Laudon (1797-98) – RL Haupt Bach Sr. Komp. Nr. 135 (Maria Saal 19/06/1797); RL Haupt Melchior Komp. Nr. 84</t>
        </r>
        <r>
          <rPr>
            <sz val="14"/>
            <color rgb="FF000000"/>
            <rFont val="Calibri"/>
            <family val="34"/>
          </rPr>
          <t xml:space="preserve">
</t>
        </r>
        <r>
          <rPr>
            <sz val="14"/>
            <color rgb="FF000000"/>
            <rFont val="Times New Roman"/>
            <family val="18"/>
          </rPr>
          <t>ML 10.624 LB 3 (1798-1801) – 1799 RL Haupt Melchior Komp. Nr. 80 (Rovigo 22/01/1799); 1800 RL Haupt Melchior Nr. 130 (Livorno 04/03/1800) ); DL 1801 Haupt Melchior Nr. 11 (Cervignano 31/10/1801)</t>
        </r>
        <r>
          <rPr>
            <sz val="14"/>
            <color rgb="FF000000"/>
            <rFont val="Calibri"/>
            <family val="34"/>
          </rPr>
          <t xml:space="preserve">
</t>
        </r>
        <r>
          <rPr>
            <sz val="14"/>
            <color rgb="FF000000"/>
            <rFont val="Times New Roman"/>
            <family val="18"/>
          </rPr>
          <t>ML 10.625 LB 3 (1799-1801) – GB Haupt Melchior</t>
        </r>
        <r>
          <rPr>
            <sz val="14"/>
            <color rgb="FF000000"/>
            <rFont val="Calibri"/>
            <family val="34"/>
          </rPr>
          <t xml:space="preserve">
</t>
        </r>
        <r>
          <rPr>
            <sz val="14"/>
            <color rgb="FF000000"/>
            <rFont val="Times New Roman"/>
            <family val="18"/>
          </rPr>
          <t>ML 10.629 LB 3 (1801-2) – TL LB 3-&gt;IR 44 Nr. 32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206" authorId="0" shapeId="0" xr:uid="{2699FC75-4479-E84F-9393-3759629C14AD}">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(1801-1802)</t>
        </r>
      </text>
    </comment>
    <comment ref="BI206" authorId="0" shapeId="0" xr:uid="{BF624977-3EC1-014F-96CF-74881E7E17D4}">
      <text>
        <r>
          <rPr>
            <sz val="14"/>
            <color rgb="FF000000"/>
            <rFont val="Calibri"/>
            <family val="34"/>
          </rPr>
          <t>Gut (TL Nov 1801)</t>
        </r>
      </text>
    </comment>
    <comment ref="BF207" authorId="0" shapeId="0" xr:uid="{2DAD7C24-4841-9F4E-AA08-B3B3D21D19E1}">
      <text>
        <r>
          <rPr>
            <sz val="14"/>
            <color rgb="FF000000"/>
            <rFont val="Times New Roman"/>
            <family val="18"/>
          </rPr>
          <t xml:space="preserve">06/05/1796 </t>
        </r>
        <r>
          <rPr>
            <i/>
            <sz val="14"/>
            <color rgb="FF000000"/>
            <rFont val="Times New Roman"/>
            <family val="18"/>
          </rPr>
          <t>Gegen 12 Gulden Werbgeld [3Fl 30Xr Handgeld, 2Fl Anbringsgeld und 6 Fl 30Xr Sonstige Unkosten] in Brody ins Grün Loudon Frey Corps Assentiert</t>
        </r>
        <r>
          <rPr>
            <sz val="14"/>
            <color rgb="FF000000"/>
            <rFont val="Times New Roman"/>
            <family val="18"/>
          </rPr>
          <t xml:space="preserve"> [AL 1796]</t>
        </r>
        <r>
          <rPr>
            <sz val="14"/>
            <color rgb="FF000000"/>
            <rFont val="Calibri"/>
            <family val="34"/>
          </rPr>
          <t xml:space="preserve">
</t>
        </r>
        <r>
          <rPr>
            <sz val="14"/>
            <color rgb="FF000000"/>
            <rFont val="Times New Roman"/>
            <family val="18"/>
          </rPr>
          <t>19/06/1797 Revision: FK Grün Laudon Bach Junior Komp. Nr. 129 [</t>
        </r>
        <r>
          <rPr>
            <i/>
            <sz val="14"/>
            <color rgb="FF000000"/>
            <rFont val="Times New Roman"/>
            <family val="18"/>
          </rPr>
          <t>Auf Staab Wacht]</t>
        </r>
        <r>
          <rPr>
            <sz val="14"/>
            <color rgb="FF000000"/>
            <rFont val="Calibri"/>
            <family val="34"/>
          </rPr>
          <t xml:space="preserve">
</t>
        </r>
        <r>
          <rPr>
            <sz val="14"/>
            <color rgb="FF000000"/>
            <rFont val="Times New Roman"/>
            <family val="18"/>
          </rPr>
          <t>07/03/1798 Revision: FK Grün Laudon Caroliny Komp. Nr. 108 [</t>
        </r>
        <r>
          <rPr>
            <i/>
            <sz val="14"/>
            <color rgb="FF000000"/>
            <rFont val="Times New Roman"/>
            <family val="18"/>
          </rPr>
          <t>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Caroliny Comp Nr 113 [</t>
        </r>
        <r>
          <rPr>
            <i/>
            <sz val="14"/>
            <color rgb="FF000000"/>
            <rFont val="Times New Roman"/>
            <family val="18"/>
          </rPr>
          <t>Krank in Spital]</t>
        </r>
        <r>
          <rPr>
            <sz val="14"/>
            <color rgb="FF000000"/>
            <rFont val="Calibri"/>
            <family val="34"/>
          </rPr>
          <t xml:space="preserve">
</t>
        </r>
        <r>
          <rPr>
            <sz val="14"/>
            <color rgb="FF000000"/>
            <rFont val="Times New Roman"/>
            <family val="18"/>
          </rPr>
          <t xml:space="preserve">13/08/1798 </t>
        </r>
        <r>
          <rPr>
            <i/>
            <sz val="14"/>
            <color rgb="FF000000"/>
            <rFont val="Times New Roman"/>
            <family val="18"/>
          </rPr>
          <t>Am Canal zu Rovigo ertrunken</t>
        </r>
        <r>
          <rPr>
            <sz val="14"/>
            <color rgb="FF000000"/>
            <rFont val="Times New Roman"/>
            <family val="18"/>
          </rPr>
          <t xml:space="preserve"> [RL 1799]</t>
        </r>
        <r>
          <rPr>
            <sz val="14"/>
            <color rgb="FF000000"/>
            <rFont val="Calibri"/>
            <family val="34"/>
          </rPr>
          <t xml:space="preserve">
</t>
        </r>
        <r>
          <rPr>
            <sz val="14"/>
            <color rgb="FF000000"/>
            <rFont val="Calibri"/>
            <family val="34"/>
          </rPr>
          <t xml:space="preserve">
</t>
        </r>
      </text>
    </comment>
    <comment ref="BG207" authorId="0" shapeId="0" xr:uid="{FCC5C5DC-8A82-F04A-B94A-B2464B8E6AB9}">
      <text>
        <r>
          <rPr>
            <sz val="14"/>
            <color rgb="FF000000"/>
            <rFont val="Times New Roman"/>
            <family val="18"/>
          </rPr>
          <t>ML 10.763 FK Grün Laudon (1797-98) – RL Haupt Bach Jr. Nr. 129 (Maria Saal 19/06/1797); RL Haupt Caroliny Komp. Nr. 108 (Rovigo 07/03/1798)</t>
        </r>
        <r>
          <rPr>
            <sz val="14"/>
            <color rgb="FF000000"/>
            <rFont val="Calibri"/>
            <family val="34"/>
          </rPr>
          <t xml:space="preserve">
</t>
        </r>
        <r>
          <rPr>
            <sz val="14"/>
            <color rgb="FF000000"/>
            <rFont val="Times New Roman"/>
            <family val="18"/>
          </rPr>
          <t>ML 10.771 FK Grün Laudon (1796-7) – AL Nr. 3 (Brody 21/05/1796)</t>
        </r>
        <r>
          <rPr>
            <sz val="14"/>
            <color rgb="FF000000"/>
            <rFont val="Calibri"/>
            <family val="34"/>
          </rPr>
          <t xml:space="preserve">
</t>
        </r>
        <r>
          <rPr>
            <sz val="14"/>
            <color rgb="FF000000"/>
            <rFont val="Times New Roman"/>
            <family val="18"/>
          </rPr>
          <t>ML 10.624 LB 3 (1798) – RL Haupt Caroliny Komp. Nr. 108 (Rovigo 30/06/1798); RL 1799 Haupt Caroliny – Abgang (22/01/1799)</t>
        </r>
        <r>
          <rPr>
            <sz val="14"/>
            <color rgb="FF000000"/>
            <rFont val="Calibri"/>
            <family val="34"/>
          </rPr>
          <t xml:space="preserve">
</t>
        </r>
      </text>
    </comment>
    <comment ref="BH207" authorId="0" shapeId="0" xr:uid="{A7127F69-5333-864F-9425-5D1815445E8E}">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t>
        </r>
      </text>
    </comment>
    <comment ref="BF208" authorId="0" shapeId="0" xr:uid="{E430C989-334D-BF45-88AB-B5335C529876}">
      <text>
        <r>
          <rPr>
            <sz val="14"/>
            <color rgb="FF000000"/>
            <rFont val="Times New Roman"/>
            <family val="18"/>
          </rPr>
          <t xml:space="preserve">08/05/1796 </t>
        </r>
        <r>
          <rPr>
            <i/>
            <sz val="14"/>
            <color rgb="FF000000"/>
            <rFont val="Times New Roman"/>
            <family val="18"/>
          </rPr>
          <t>Gegen 10 Gulden Werbgeld in Tarnopol ins Grün Loudon Frey Corps Assentiert</t>
        </r>
        <r>
          <rPr>
            <sz val="14"/>
            <color rgb="FF000000"/>
            <rFont val="Times New Roman"/>
            <family val="18"/>
          </rPr>
          <t xml:space="preserve"> [RL 1797]
</t>
        </r>
        <r>
          <rPr>
            <sz val="14"/>
            <color rgb="FF000000"/>
            <rFont val="Times New Roman"/>
            <family val="18"/>
          </rPr>
          <t xml:space="preserve">19/06/1797 Revision: FK Grün Loudon Haupt Quenaudon Komp. Nr. 127
</t>
        </r>
        <r>
          <rPr>
            <sz val="14"/>
            <color rgb="FF000000"/>
            <rFont val="Times New Roman"/>
            <family val="18"/>
          </rPr>
          <t xml:space="preserve">07/03/1798 Revision: FK Grün Loudon Haupt Quenaudon Komp. Nr. 113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
</t>
        </r>
        <r>
          <rPr>
            <sz val="14"/>
            <color rgb="FF000000"/>
            <rFont val="Times New Roman"/>
            <family val="18"/>
          </rPr>
          <t xml:space="preserve">01/07/1798 Revision: LB 4 Haupt Quenaudon Komp Nr. 109
</t>
        </r>
        <r>
          <rPr>
            <sz val="14"/>
            <color rgb="FF000000"/>
            <rFont val="Times New Roman"/>
            <family val="18"/>
          </rPr>
          <t xml:space="preserve">19/01/1799 </t>
        </r>
        <r>
          <rPr>
            <i/>
            <sz val="14"/>
            <color rgb="FF000000"/>
            <rFont val="Times New Roman"/>
            <family val="18"/>
          </rPr>
          <t>Hat sich zu Rovigo unter den Namen Franciscus taufen lassen</t>
        </r>
        <r>
          <rPr>
            <sz val="14"/>
            <color rgb="FF000000"/>
            <rFont val="Times New Roman"/>
            <family val="18"/>
          </rPr>
          <t xml:space="preserve"> [TL Sept 1801]
</t>
        </r>
        <r>
          <rPr>
            <sz val="14"/>
            <color rgb="FF000000"/>
            <rFont val="Times New Roman"/>
            <family val="18"/>
          </rPr>
          <t>22/01/1799 Revision: LB 4 Haupt Quenaudon Komp. Nr. 107 [</t>
        </r>
        <r>
          <rPr>
            <i/>
            <sz val="14"/>
            <color rgb="FF000000"/>
            <rFont val="Times New Roman"/>
            <family val="18"/>
          </rPr>
          <t>als Franz Eusen eingetragen</t>
        </r>
        <r>
          <rPr>
            <sz val="14"/>
            <color rgb="FF000000"/>
            <rFont val="Times New Roman"/>
            <family val="18"/>
          </rPr>
          <t xml:space="preserve">]
</t>
        </r>
        <r>
          <rPr>
            <sz val="14"/>
            <color rgb="FF000000"/>
            <rFont val="Times New Roman"/>
            <family val="18"/>
          </rPr>
          <t xml:space="preserve">26/08/1799 </t>
        </r>
        <r>
          <rPr>
            <i/>
            <sz val="14"/>
            <color rgb="FF000000"/>
            <rFont val="Times New Roman"/>
            <family val="18"/>
          </rPr>
          <t>In die Kriegsgefangenschaft gefallen</t>
        </r>
        <r>
          <rPr>
            <sz val="14"/>
            <color rgb="FF000000"/>
            <rFont val="Times New Roman"/>
            <family val="18"/>
          </rPr>
          <t xml:space="preserve"> [TL Sept 1801]
</t>
        </r>
        <r>
          <rPr>
            <sz val="14"/>
            <color rgb="FF000000"/>
            <rFont val="Times New Roman"/>
            <family val="18"/>
          </rPr>
          <t>02/09/1799</t>
        </r>
        <r>
          <rPr>
            <i/>
            <sz val="14"/>
            <color rgb="FF000000"/>
            <rFont val="Times New Roman"/>
            <family val="18"/>
          </rPr>
          <t xml:space="preserve"> Zu Sestri gegen Auswechslung ranzioniert </t>
        </r>
        <r>
          <rPr>
            <sz val="14"/>
            <color rgb="FF000000"/>
            <rFont val="Times New Roman"/>
            <family val="18"/>
          </rPr>
          <t xml:space="preserve">[TL Sept 1801]
</t>
        </r>
        <r>
          <rPr>
            <sz val="14"/>
            <color rgb="FF000000"/>
            <rFont val="Times New Roman"/>
            <family val="18"/>
          </rPr>
          <t xml:space="preserve">12/11/1799 </t>
        </r>
        <r>
          <rPr>
            <i/>
            <sz val="14"/>
            <color rgb="FF000000"/>
            <rFont val="Times New Roman"/>
            <family val="18"/>
          </rPr>
          <t xml:space="preserve">Von loco Desertiert </t>
        </r>
        <r>
          <rPr>
            <sz val="14"/>
            <color rgb="FF000000"/>
            <rFont val="Times New Roman"/>
            <family val="18"/>
          </rPr>
          <t xml:space="preserve">[RL 1800]
</t>
        </r>
        <r>
          <rPr>
            <sz val="14"/>
            <color rgb="FF000000"/>
            <rFont val="Times New Roman"/>
            <family val="18"/>
          </rPr>
          <t xml:space="preserve">17/11/1799 </t>
        </r>
        <r>
          <rPr>
            <i/>
            <sz val="14"/>
            <color rgb="FF000000"/>
            <rFont val="Times New Roman"/>
            <family val="18"/>
          </rPr>
          <t>Von Militär attrappiert und zum Sarazana a 8Fl präsentiert</t>
        </r>
        <r>
          <rPr>
            <sz val="14"/>
            <color rgb="FF000000"/>
            <rFont val="Times New Roman"/>
            <family val="18"/>
          </rPr>
          <t xml:space="preserve"> [RL 1800] </t>
        </r>
        <r>
          <rPr>
            <i/>
            <sz val="14"/>
            <color rgb="FF000000"/>
            <rFont val="Times New Roman"/>
            <family val="18"/>
          </rPr>
          <t xml:space="preserve"> </t>
        </r>
        <r>
          <rPr>
            <sz val="14"/>
            <color rgb="FF000000"/>
            <rFont val="Times New Roman"/>
            <family val="18"/>
          </rPr>
          <t xml:space="preserve">
</t>
        </r>
        <r>
          <rPr>
            <sz val="14"/>
            <color rgb="FF000000"/>
            <rFont val="Times New Roman"/>
            <family val="18"/>
          </rPr>
          <t>04/03/1800 Revision: LB 4 Haupt Quenaudon Komp. Nr. 88 [</t>
        </r>
        <r>
          <rPr>
            <i/>
            <sz val="14"/>
            <color rgb="FF000000"/>
            <rFont val="Times New Roman"/>
            <family val="18"/>
          </rPr>
          <t>als Franz Eusen eingetragen</t>
        </r>
        <r>
          <rPr>
            <sz val="14"/>
            <color rgb="FF000000"/>
            <rFont val="Times New Roman"/>
            <family val="18"/>
          </rPr>
          <t xml:space="preserve">]
</t>
        </r>
        <r>
          <rPr>
            <sz val="14"/>
            <color rgb="FF000000"/>
            <rFont val="Times New Roman"/>
            <family val="18"/>
          </rPr>
          <t xml:space="preserve">09/06/1800 </t>
        </r>
        <r>
          <rPr>
            <i/>
            <sz val="14"/>
            <color rgb="FF000000"/>
            <rFont val="Times New Roman"/>
            <family val="18"/>
          </rPr>
          <t xml:space="preserve">In Kriegsgefangenschaft geraten </t>
        </r>
        <r>
          <rPr>
            <b/>
            <sz val="14"/>
            <color rgb="FF000000"/>
            <rFont val="Times New Roman"/>
            <family val="18"/>
          </rPr>
          <t xml:space="preserve">[Battle of Montebello] </t>
        </r>
        <r>
          <rPr>
            <sz val="14"/>
            <color rgb="FF000000"/>
            <rFont val="Times New Roman"/>
            <family val="18"/>
          </rPr>
          <t xml:space="preserve">[RL 1800]
</t>
        </r>
        <r>
          <rPr>
            <sz val="14"/>
            <color rgb="FF000000"/>
            <rFont val="Times New Roman"/>
            <family val="18"/>
          </rPr>
          <t xml:space="preserve">30/04/1801 </t>
        </r>
        <r>
          <rPr>
            <i/>
            <sz val="14"/>
            <color rgb="FF000000"/>
            <rFont val="Times New Roman"/>
            <family val="18"/>
          </rPr>
          <t>Zu Braunau gegen Auswechslung als ranzionierte präsentiert und seitdem auf anhero Marsch</t>
        </r>
        <r>
          <rPr>
            <sz val="14"/>
            <color rgb="FF000000"/>
            <rFont val="Times New Roman"/>
            <family val="18"/>
          </rPr>
          <t xml:space="preserve"> [RL 1801]
</t>
        </r>
        <r>
          <rPr>
            <sz val="14"/>
            <color rgb="FF000000"/>
            <rFont val="Times New Roman"/>
            <family val="18"/>
          </rPr>
          <t>15/07/</t>
        </r>
        <r>
          <rPr>
            <i/>
            <sz val="14"/>
            <color rgb="FF000000"/>
            <rFont val="Times New Roman"/>
            <family val="18"/>
          </rPr>
          <t>1801In Bataillon eingerückt</t>
        </r>
        <r>
          <rPr>
            <sz val="14"/>
            <color rgb="FF000000"/>
            <rFont val="Times New Roman"/>
            <family val="18"/>
          </rPr>
          <t xml:space="preserve"> [ST Juli 1801]
</t>
        </r>
        <r>
          <rPr>
            <sz val="14"/>
            <color rgb="FF000000"/>
            <rFont val="Times New Roman"/>
            <family val="18"/>
          </rPr>
          <t>28/08/1801 Reduction: LB 4 Haupt Löwel Nr. 50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Dissolvierte LB 4 zum IR 13 transferiert und zur Haupt Tuzzi Komp. eingeteilt</t>
        </r>
        <r>
          <rPr>
            <sz val="14"/>
            <color rgb="FF000000"/>
            <rFont val="Times New Roman"/>
            <family val="18"/>
          </rPr>
          <t xml:space="preserve"> [ML 1802]
</t>
        </r>
        <r>
          <rPr>
            <sz val="14"/>
            <color rgb="FF000000"/>
            <rFont val="Times New Roman"/>
            <family val="18"/>
          </rPr>
          <t xml:space="preserve">22/09/1802 Muster: IR 13 Haupt Tuzzi Komp. Nr. 104
</t>
        </r>
        <r>
          <rPr>
            <sz val="14"/>
            <color rgb="FF000000"/>
            <rFont val="Times New Roman"/>
            <family val="18"/>
          </rPr>
          <t xml:space="preserve">16/09/1803 Muster Muster: IR 13 Haupt Tuzzi Komp. Nr. 97
</t>
        </r>
        <r>
          <rPr>
            <sz val="14"/>
            <color rgb="FF000000"/>
            <rFont val="Times New Roman"/>
            <family val="18"/>
          </rPr>
          <t>16/01/1807 Muster: IR 13 Haupt. Niederreuther Komp. Nr. 53 [</t>
        </r>
        <r>
          <rPr>
            <i/>
            <sz val="14"/>
            <color rgb="FF000000"/>
            <rFont val="Times New Roman"/>
            <family val="18"/>
          </rPr>
          <t>Auf Rith nach Triest</t>
        </r>
        <r>
          <rPr>
            <sz val="14"/>
            <color rgb="FF000000"/>
            <rFont val="Times New Roman"/>
            <family val="18"/>
          </rPr>
          <t xml:space="preserve">]
</t>
        </r>
        <r>
          <rPr>
            <sz val="14"/>
            <color rgb="FF000000"/>
            <rFont val="Times New Roman"/>
            <family val="18"/>
          </rPr>
          <t xml:space="preserve">20/09/1808 Revision: IR 13 Haupt Bouchot Komp. Nr. 37
</t>
        </r>
        <r>
          <rPr>
            <sz val="14"/>
            <color rgb="FF000000"/>
            <rFont val="Times New Roman"/>
            <family val="18"/>
          </rPr>
          <t xml:space="preserve">16/12/1808 </t>
        </r>
        <r>
          <rPr>
            <i/>
            <sz val="14"/>
            <color rgb="FF000000"/>
            <rFont val="Times New Roman"/>
            <family val="18"/>
          </rPr>
          <t>Von IR 13 Haupt Buchot Komp. zum krainer-kärntnerischen Militar Cordon transferiert und zur 5. Haupt Braunitzer Komp. eingeteilt</t>
        </r>
        <r>
          <rPr>
            <sz val="14"/>
            <color rgb="FF000000"/>
            <rFont val="Times New Roman"/>
            <family val="18"/>
          </rPr>
          <t xml:space="preserve"> [ST Dez 1808 &amp; ST Jan 1809]
</t>
        </r>
        <r>
          <rPr>
            <sz val="14"/>
            <color rgb="FF000000"/>
            <rFont val="Times New Roman"/>
            <family val="18"/>
          </rPr>
          <t xml:space="preserve">05/01/1809 </t>
        </r>
        <r>
          <rPr>
            <i/>
            <sz val="14"/>
            <color rgb="FF000000"/>
            <rFont val="Times New Roman"/>
            <family val="18"/>
          </rPr>
          <t>In Krenzkordon eingerückt</t>
        </r>
        <r>
          <rPr>
            <sz val="14"/>
            <color rgb="FF000000"/>
            <rFont val="Times New Roman"/>
            <family val="18"/>
          </rPr>
          <t xml:space="preserve"> [ST Jan 1809]
</t>
        </r>
        <r>
          <rPr>
            <sz val="14"/>
            <color rgb="FF000000"/>
            <rFont val="Times New Roman"/>
            <family val="18"/>
          </rPr>
          <t xml:space="preserve">31/03/1809 </t>
        </r>
        <r>
          <rPr>
            <i/>
            <sz val="14"/>
            <color rgb="FF000000"/>
            <rFont val="Times New Roman"/>
            <family val="18"/>
          </rPr>
          <t>Von</t>
        </r>
        <r>
          <rPr>
            <sz val="14"/>
            <color rgb="FF000000"/>
            <rFont val="Times New Roman"/>
            <family val="18"/>
          </rPr>
          <t xml:space="preserve"> </t>
        </r>
        <r>
          <rPr>
            <i/>
            <sz val="14"/>
            <color rgb="FF000000"/>
            <rFont val="Times New Roman"/>
            <family val="18"/>
          </rPr>
          <t>krainer-kärntnerischen Militar Cordon zur Sanitäts Companie des 9. Armee Corps transferiert</t>
        </r>
        <r>
          <rPr>
            <sz val="14"/>
            <color rgb="FF000000"/>
            <rFont val="Times New Roman"/>
            <family val="18"/>
          </rPr>
          <t xml:space="preserve"> [ST April 1809]
</t>
        </r>
        <r>
          <rPr>
            <sz val="14"/>
            <color rgb="FF000000"/>
            <rFont val="Times New Roman"/>
            <family val="18"/>
          </rPr>
          <t xml:space="preserve">15/05/1809 </t>
        </r>
        <r>
          <rPr>
            <i/>
            <sz val="14"/>
            <color rgb="FF000000"/>
            <rFont val="Times New Roman"/>
            <family val="18"/>
          </rPr>
          <t>Während die Retirade aus Italien vermisst</t>
        </r>
        <r>
          <rPr>
            <sz val="14"/>
            <color rgb="FF000000"/>
            <rFont val="Times New Roman"/>
            <family val="18"/>
          </rPr>
          <t xml:space="preserve"> [ST Mai 1809]</t>
        </r>
        <r>
          <rPr>
            <sz val="14"/>
            <color rgb="FF000000"/>
            <rFont val="Calibri"/>
            <family val="34"/>
          </rPr>
          <t xml:space="preserve">
</t>
        </r>
        <r>
          <rPr>
            <sz val="14"/>
            <color rgb="FF000000"/>
            <rFont val="Calibri"/>
            <family val="34"/>
          </rPr>
          <t xml:space="preserve">
</t>
        </r>
      </text>
    </comment>
    <comment ref="BG208" authorId="0" shapeId="0" xr:uid="{0DC55828-0107-E44A-9894-83C6F3055BE7}">
      <text>
        <r>
          <rPr>
            <sz val="14"/>
            <color rgb="FF000000"/>
            <rFont val="Times New Roman"/>
            <family val="18"/>
          </rPr>
          <t xml:space="preserve">ML 10.763 FK Grün Laudon (1797-98) – RL Haupt Quenaudon Komp. Nr. 127 (Maria Saal 19/06/1797); RL Haupt Quenaudon Komp. Nr. 113 (Rovigo 07/03/1798)
</t>
        </r>
        <r>
          <rPr>
            <sz val="14"/>
            <color rgb="FF000000"/>
            <rFont val="Times New Roman"/>
            <family val="18"/>
          </rPr>
          <t xml:space="preserve">ML 10.630 LB 4 (1798-1801) – RL Haupt Quenaudon Komp. Nr. 109 (Rovigo 30/06/1798)
</t>
        </r>
        <r>
          <rPr>
            <sz val="14"/>
            <color rgb="FF000000"/>
            <rFont val="Times New Roman"/>
            <family val="18"/>
          </rPr>
          <t xml:space="preserve">RL Haupt Quenaudon Komp. Nr. 107 (Rovigo 22/01/1799); RL Haupt Quenaudon Komp. Nr. 88 (Pisa 04/03/1800); RL Haupt Löwel Nr. 50 (Furriaco 28/08/1801)
</t>
        </r>
        <r>
          <rPr>
            <sz val="14"/>
            <color rgb="FF000000"/>
            <rFont val="Times New Roman"/>
            <family val="18"/>
          </rPr>
          <t xml:space="preserve">ML 10.632 LB 4 (1801) – TL LB 4-&gt;IR 13 Nr. 126 (Görz 30/09/1801); ST Juli (Görz 05/10/1801)
</t>
        </r>
        <r>
          <rPr>
            <sz val="14"/>
            <color rgb="FF000000"/>
            <rFont val="Times New Roman"/>
            <family val="18"/>
          </rPr>
          <t xml:space="preserve">10.045/6 IR 13 (1802) – Haupt Tuzzi Komp. Nr. 104 (Görz 22/09/1802)
</t>
        </r>
        <r>
          <rPr>
            <sz val="14"/>
            <color rgb="FF000000"/>
            <rFont val="Times New Roman"/>
            <family val="18"/>
          </rPr>
          <t xml:space="preserve">ML 10.047/8 IR 13 (1803): ML Haupt Tuzzy Komp. Nr. 97 (Exerzierlager bei St. Andra neben Görz 16/09/1803)
</t>
        </r>
        <r>
          <rPr>
            <sz val="14"/>
            <color rgb="FF000000"/>
            <rFont val="Times New Roman"/>
            <family val="18"/>
          </rPr>
          <t xml:space="preserve">ML 10.050/1 IR 13 (1806): Haupt Niederreuther Komp. Nr. 53 (Grignano 16/01/1807)
</t>
        </r>
        <r>
          <rPr>
            <sz val="14"/>
            <color rgb="FF000000"/>
            <rFont val="Times New Roman"/>
            <family val="18"/>
          </rPr>
          <t xml:space="preserve">ML 10.052 IR 13 (1808-10): RL Haupt Bouchot Komp. 37 (Triest 20/09/1808)
</t>
        </r>
        <r>
          <rPr>
            <sz val="14"/>
            <color rgb="FF000000"/>
            <rFont val="Times New Roman"/>
            <family val="18"/>
          </rPr>
          <t xml:space="preserve">ML 10.094 IR 13 (1808): ST Dez (Triest 23/01/1809)
</t>
        </r>
        <r>
          <rPr>
            <sz val="14"/>
            <color rgb="FF000000"/>
            <rFont val="Times New Roman"/>
            <family val="18"/>
          </rPr>
          <t xml:space="preserve">ML 11.016 GK </t>
        </r>
        <r>
          <rPr>
            <i/>
            <sz val="14"/>
            <color rgb="FF000000"/>
            <rFont val="Times New Roman"/>
            <family val="18"/>
          </rPr>
          <t xml:space="preserve">Kr-Kärn </t>
        </r>
        <r>
          <rPr>
            <sz val="14"/>
            <color rgb="FF000000"/>
            <rFont val="Times New Roman"/>
            <family val="18"/>
          </rPr>
          <t xml:space="preserve">(1809): ST Jan (Laibach 14/02/1809), ST April (Graz 03/01/1811)
</t>
        </r>
        <r>
          <rPr>
            <sz val="14"/>
            <color rgb="FF000000"/>
            <rFont val="Times New Roman"/>
            <family val="18"/>
          </rPr>
          <t xml:space="preserve">ML 9954 Sanitäts-Komps. (1809) – ST 9. Komp. Mai (Graz 26/06/1810)
</t>
        </r>
      </text>
    </comment>
    <comment ref="BH208" authorId="0" shapeId="0" xr:uid="{FBF823BB-DB9C-854B-BAA3-D044C7D7A8A7}">
      <text>
        <r>
          <rPr>
            <sz val="14"/>
            <color rgb="FF000000"/>
            <rFont val="Times New Roman"/>
            <family val="18"/>
          </rPr>
          <t xml:space="preserve">FK Grün Loudon (1796-1798)
</t>
        </r>
        <r>
          <rPr>
            <sz val="14"/>
            <color rgb="FF000000"/>
            <rFont val="Times New Roman"/>
            <family val="18"/>
          </rPr>
          <t xml:space="preserve">LB 4 (1798-1801)
</t>
        </r>
        <r>
          <rPr>
            <sz val="14"/>
            <color rgb="FF000000"/>
            <rFont val="Times New Roman"/>
            <family val="18"/>
          </rPr>
          <t xml:space="preserve">IR 13 (1801-1808)
</t>
        </r>
        <r>
          <rPr>
            <sz val="14"/>
            <color rgb="FF000000"/>
            <rFont val="Times New Roman"/>
            <family val="18"/>
          </rPr>
          <t xml:space="preserve">GK KrKärn (1808-1809)
</t>
        </r>
        <r>
          <rPr>
            <sz val="14"/>
            <color rgb="FF000000"/>
            <rFont val="Times New Roman"/>
            <family val="18"/>
          </rPr>
          <t xml:space="preserve">Sänitats Komp. 9 (1809) 
</t>
        </r>
      </text>
    </comment>
    <comment ref="BF209" authorId="0" shapeId="0" xr:uid="{3A0FBD37-CDB6-2047-BCCE-9651F34C347B}">
      <text>
        <r>
          <rPr>
            <sz val="14"/>
            <color rgb="FF000000"/>
            <rFont val="Times New Roman"/>
            <family val="18"/>
          </rPr>
          <t xml:space="preserve">08/07/1796 </t>
        </r>
        <r>
          <rPr>
            <i/>
            <sz val="14"/>
            <color rgb="FF000000"/>
            <rFont val="Times New Roman"/>
            <family val="18"/>
          </rPr>
          <t xml:space="preserve">Auf 10 Fl Werbgeld (3Fl 30Xr Handgeld, 2Fl Angbringsgeld und 4Fl 30Xr Sonstige Umkosten) in Brody zur FK O’Donnel Assentiert </t>
        </r>
        <r>
          <rPr>
            <sz val="14"/>
            <color rgb="FF000000"/>
            <rFont val="Times New Roman"/>
            <family val="18"/>
          </rPr>
          <t xml:space="preserve">[AL July 1796]
</t>
        </r>
        <r>
          <rPr>
            <sz val="14"/>
            <color rgb="FF000000"/>
            <rFont val="Calibri"/>
            <family val="34"/>
          </rPr>
          <t xml:space="preserve">
</t>
        </r>
      </text>
    </comment>
    <comment ref="BG209" authorId="0" shapeId="0" xr:uid="{239156D4-BF22-0C44-833E-BF5C8C6BCF4E}">
      <text>
        <r>
          <rPr>
            <sz val="14"/>
            <color rgb="FF000000"/>
            <rFont val="Times New Roman"/>
            <family val="18"/>
          </rPr>
          <t xml:space="preserve">ML 10.761 FK O’Donnel (1793-6) – AL Brody Nr. 5 (14/07/1796)
</t>
        </r>
      </text>
    </comment>
    <comment ref="BH209" authorId="0" shapeId="0" xr:uid="{B25966CF-CA04-B040-8CDB-E01665F80B7A}">
      <text>
        <r>
          <rPr>
            <sz val="14"/>
            <color rgb="FF000000"/>
            <rFont val="Times New Roman"/>
            <family val="18"/>
          </rPr>
          <t xml:space="preserve">FK O'Donnel </t>
        </r>
        <r>
          <rPr>
            <sz val="14"/>
            <color rgb="FF000000"/>
            <rFont val="Calibri"/>
            <family val="34"/>
          </rPr>
          <t>(1796)</t>
        </r>
      </text>
    </comment>
    <comment ref="BF210" authorId="0" shapeId="0" xr:uid="{0EFE9133-A6DF-B747-A11D-BED5B92D880C}">
      <text>
        <r>
          <rPr>
            <sz val="14"/>
            <color rgb="FF000000"/>
            <rFont val="Times New Roman"/>
            <family val="18"/>
          </rPr>
          <t xml:space="preserve">12/07/1796 </t>
        </r>
        <r>
          <rPr>
            <i/>
            <sz val="14"/>
            <color rgb="FF000000"/>
            <rFont val="Times New Roman"/>
            <family val="18"/>
          </rPr>
          <t>Auf 12 Fl Werbgeld (3Fl 30Xr Handgeld, 2Fl Angbringsgeld und 6Fl 30Xr Sonstige Umkosten) aud die Zeit des Krieges in Brody zur FK O’Donnel Assentiert</t>
        </r>
        <r>
          <rPr>
            <sz val="14"/>
            <color rgb="FF000000"/>
            <rFont val="Times New Roman"/>
            <family val="18"/>
          </rPr>
          <t xml:space="preserve"> [AL July 1796]</t>
        </r>
        <r>
          <rPr>
            <sz val="14"/>
            <color rgb="FF000000"/>
            <rFont val="Calibri"/>
            <family val="34"/>
          </rPr>
          <t xml:space="preserve">
</t>
        </r>
        <r>
          <rPr>
            <sz val="14"/>
            <color rgb="FFFF0000"/>
            <rFont val="Times New Roman"/>
            <family val="18"/>
          </rPr>
          <t xml:space="preserve">14/06/1796 </t>
        </r>
        <r>
          <rPr>
            <i/>
            <sz val="14"/>
            <color rgb="FFFF0000"/>
            <rFont val="Times New Roman"/>
            <family val="18"/>
          </rPr>
          <t>In O’Donnel Freicorps auf die Kriegszeit assentiert</t>
        </r>
        <r>
          <rPr>
            <sz val="14"/>
            <color rgb="FFFF0000"/>
            <rFont val="Times New Roman"/>
            <family val="18"/>
          </rPr>
          <t xml:space="preserve"> [GB 1801]</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dissolvierte O’Donnel’s Freycorps ins LB 1 ‚Strozzi‘ transferiert und zum Haupt Reinisch Comp eingeteilt</t>
        </r>
        <r>
          <rPr>
            <sz val="14"/>
            <color rgb="FF000000"/>
            <rFont val="Times New Roman"/>
            <family val="18"/>
          </rPr>
          <t xml:space="preserve"> [GB 1801]</t>
        </r>
        <r>
          <rPr>
            <sz val="14"/>
            <color rgb="FF000000"/>
            <rFont val="Calibri"/>
            <family val="34"/>
          </rPr>
          <t xml:space="preserve">
</t>
        </r>
        <r>
          <rPr>
            <sz val="14"/>
            <color rgb="FF000000"/>
            <rFont val="Times New Roman"/>
            <family val="18"/>
          </rPr>
          <t xml:space="preserve">07/03/1799 </t>
        </r>
        <r>
          <rPr>
            <i/>
            <sz val="14"/>
            <color rgb="FF000000"/>
            <rFont val="Times New Roman"/>
            <family val="18"/>
          </rPr>
          <t>Ins Kriegsgefangenschaft Gefallen</t>
        </r>
        <r>
          <rPr>
            <sz val="14"/>
            <color rgb="FF000000"/>
            <rFont val="Times New Roman"/>
            <family val="18"/>
          </rPr>
          <t xml:space="preserve"> </t>
        </r>
        <r>
          <rPr>
            <b/>
            <sz val="14"/>
            <color rgb="FF000000"/>
            <rFont val="Times New Roman"/>
            <family val="18"/>
          </rPr>
          <t>[Battle near Chur]</t>
        </r>
        <r>
          <rPr>
            <sz val="14"/>
            <color rgb="FF000000"/>
            <rFont val="Times New Roman"/>
            <family val="18"/>
          </rPr>
          <t xml:space="preserve"> (ST March 1799)</t>
        </r>
        <r>
          <rPr>
            <sz val="14"/>
            <color rgb="FF000000"/>
            <rFont val="Calibri"/>
            <family val="34"/>
          </rPr>
          <t xml:space="preserve">
</t>
        </r>
      </text>
    </comment>
    <comment ref="BG210" authorId="0" shapeId="0" xr:uid="{363FC2A4-7C51-0B46-85D6-BE13D116E070}">
      <text>
        <r>
          <rPr>
            <sz val="14"/>
            <color rgb="FF000000"/>
            <rFont val="Times New Roman"/>
            <family val="18"/>
          </rPr>
          <t>ML 10.761 FK O’Donnel (1793-6) – AL Brody Nr. 5 (14/07/1796)</t>
        </r>
        <r>
          <rPr>
            <sz val="14"/>
            <color rgb="FF000000"/>
            <rFont val="Calibri"/>
            <family val="34"/>
          </rPr>
          <t xml:space="preserve">
</t>
        </r>
        <r>
          <rPr>
            <sz val="14"/>
            <color rgb="FF000000"/>
            <rFont val="Times New Roman"/>
            <family val="18"/>
          </rPr>
          <t>ML 10.614 LB 1 (1798-1801) – GB ‘Leibel MOSZKOWITZ‘</t>
        </r>
        <r>
          <rPr>
            <sz val="14"/>
            <color rgb="FF000000"/>
            <rFont val="Calibri"/>
            <family val="34"/>
          </rPr>
          <t xml:space="preserve">
</t>
        </r>
      </text>
    </comment>
    <comment ref="BH210" authorId="0" shapeId="0" xr:uid="{9D398AFE-5C42-954F-8E8B-DCF3E6D05F3B}">
      <text>
        <r>
          <rPr>
            <sz val="14"/>
            <color rgb="FF000000"/>
            <rFont val="Times New Roman"/>
            <family val="18"/>
          </rPr>
          <t xml:space="preserve">FK O'Donnel </t>
        </r>
        <r>
          <rPr>
            <sz val="14"/>
            <color rgb="FF000000"/>
            <rFont val="Calibri"/>
            <family val="34"/>
          </rPr>
          <t xml:space="preserve">(1796-98)
</t>
        </r>
        <r>
          <rPr>
            <sz val="14"/>
            <color rgb="FF000000"/>
            <rFont val="Calibri"/>
            <family val="34"/>
          </rPr>
          <t>LB 1 (1798-1799)</t>
        </r>
      </text>
    </comment>
    <comment ref="BF211" authorId="0" shapeId="0" xr:uid="{4064977A-5C47-B646-BD2F-9EB8C2C1699B}">
      <text>
        <r>
          <rPr>
            <sz val="14"/>
            <color rgb="FF000000"/>
            <rFont val="Times New Roman"/>
            <family val="18"/>
          </rPr>
          <t xml:space="preserve">18/07/1796 </t>
        </r>
        <r>
          <rPr>
            <i/>
            <sz val="14"/>
            <color rgb="FF000000"/>
            <rFont val="Times New Roman"/>
            <family val="18"/>
          </rPr>
          <t>Dient seit</t>
        </r>
        <r>
          <rPr>
            <sz val="14"/>
            <color rgb="FF000000"/>
            <rFont val="Times New Roman"/>
            <family val="18"/>
          </rPr>
          <t xml:space="preserve"> [ML 1802]
</t>
        </r>
        <r>
          <rPr>
            <i/>
            <sz val="14"/>
            <color rgb="FF000000"/>
            <rFont val="Times New Roman"/>
            <family val="18"/>
          </rPr>
          <t>2 mal Kriegsgefangen</t>
        </r>
        <r>
          <rPr>
            <sz val="14"/>
            <color rgb="FF000000"/>
            <rFont val="Times New Roman"/>
            <family val="18"/>
          </rPr>
          <t xml:space="preserve"> [ML 1802]
</t>
        </r>
        <r>
          <rPr>
            <sz val="14"/>
            <color rgb="FF000000"/>
            <rFont val="Times New Roman"/>
            <family val="18"/>
          </rPr>
          <t xml:space="preserve">21/04/1801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 xml:space="preserve">17/09/1802 Muster: IR 11 Obrist Komp. Nr. 148
</t>
        </r>
        <r>
          <rPr>
            <sz val="14"/>
            <color rgb="FF000000"/>
            <rFont val="Times New Roman"/>
            <family val="18"/>
          </rPr>
          <t>25/08/1804 Muster: IR 11 Obrist Komp. Nr. 105 [</t>
        </r>
        <r>
          <rPr>
            <i/>
            <sz val="14"/>
            <color rgb="FF000000"/>
            <rFont val="Times New Roman"/>
            <family val="18"/>
          </rPr>
          <t>Krank in Prager Regimentsspital</t>
        </r>
        <r>
          <rPr>
            <sz val="14"/>
            <color rgb="FF000000"/>
            <rFont val="Times New Roman"/>
            <family val="18"/>
          </rPr>
          <t xml:space="preserve">]
</t>
        </r>
        <r>
          <rPr>
            <sz val="14"/>
            <color rgb="FF000000"/>
            <rFont val="Times New Roman"/>
            <family val="18"/>
          </rPr>
          <t xml:space="preserve">31/08/1805 </t>
        </r>
        <r>
          <rPr>
            <i/>
            <sz val="14"/>
            <color rgb="FF000000"/>
            <rFont val="Times New Roman"/>
            <family val="18"/>
          </rPr>
          <t>In Prager Invaliden Haus zur Versorgung</t>
        </r>
        <r>
          <rPr>
            <sz val="14"/>
            <color rgb="FF000000"/>
            <rFont val="Times New Roman"/>
            <family val="18"/>
          </rPr>
          <t xml:space="preserve"> [ML 1806] </t>
        </r>
      </text>
    </comment>
    <comment ref="BG211" authorId="0" shapeId="0" xr:uid="{F4AA5609-B4C3-174E-8BF2-E98595974790}">
      <text>
        <r>
          <rPr>
            <sz val="14"/>
            <color rgb="FF000000"/>
            <rFont val="Times New Roman"/>
            <family val="18"/>
          </rPr>
          <t xml:space="preserve">ML 804/5 IR 11 (1802) – Obrist Komp. Nr. 148 (Wisotczan 17/09/1802)
</t>
        </r>
        <r>
          <rPr>
            <sz val="14"/>
            <color rgb="FF000000"/>
            <rFont val="Times New Roman"/>
            <family val="18"/>
          </rPr>
          <t xml:space="preserve">ML 806 IR 11 (1804) – Obrist Komp. Nr. 125 (Prague 25/08/1804)
</t>
        </r>
        <r>
          <rPr>
            <sz val="14"/>
            <color rgb="FF000000"/>
            <rFont val="Times New Roman"/>
            <family val="18"/>
          </rPr>
          <t xml:space="preserve">ML 807/8 IR 11 (1806) – 12. Fus. Komp. Abgang (Prague 23/12/1806)
</t>
        </r>
      </text>
    </comment>
    <comment ref="BH211" authorId="0" shapeId="0" xr:uid="{BEB55A10-11F2-2440-965C-244C9F167EBB}">
      <text>
        <r>
          <rPr>
            <sz val="14"/>
            <color rgb="FF000000"/>
            <rFont val="Calibri"/>
            <family val="34"/>
          </rPr>
          <t xml:space="preserve">IR 11 (1796-1805)
</t>
        </r>
        <r>
          <rPr>
            <sz val="14"/>
            <color rgb="FF000000"/>
            <rFont val="Calibri"/>
            <family val="34"/>
          </rPr>
          <t>InvH Prag (1805)</t>
        </r>
      </text>
    </comment>
    <comment ref="T212" authorId="0" shapeId="0" xr:uid="{875506F7-574B-4B41-B549-2AE4DF42A139}">
      <text>
        <r>
          <rPr>
            <b/>
            <sz val="14"/>
            <color rgb="FF000000"/>
            <rFont val="Calibri"/>
            <family val="34"/>
          </rPr>
          <t xml:space="preserve">5.5.1 [171.37 cm] (ML 1804)
</t>
        </r>
        <r>
          <rPr>
            <sz val="14"/>
            <color rgb="FF000000"/>
            <rFont val="Calibri"/>
            <family val="34"/>
          </rPr>
          <t>5.6.1 [164 cm] (ML 1802)</t>
        </r>
      </text>
    </comment>
    <comment ref="BF212" authorId="0" shapeId="0" xr:uid="{54366ACB-FFCE-6141-8C10-F7EAFAF472D7}">
      <text>
        <r>
          <rPr>
            <sz val="14"/>
            <color rgb="FF000000"/>
            <rFont val="Times New Roman"/>
            <family val="18"/>
          </rPr>
          <t xml:space="preserve">26/07/1796 </t>
        </r>
        <r>
          <rPr>
            <i/>
            <sz val="14"/>
            <color rgb="FF000000"/>
            <rFont val="Times New Roman"/>
            <family val="18"/>
          </rPr>
          <t>Auf Beständig assentiert</t>
        </r>
        <r>
          <rPr>
            <sz val="14"/>
            <color rgb="FF000000"/>
            <rFont val="Times New Roman"/>
            <family val="18"/>
          </rPr>
          <t xml:space="preserve"> [ML 1802]
</t>
        </r>
        <r>
          <rPr>
            <sz val="14"/>
            <color rgb="FF000000"/>
            <rFont val="Times New Roman"/>
            <family val="18"/>
          </rPr>
          <t xml:space="preserve">13/03/1797 </t>
        </r>
        <r>
          <rPr>
            <i/>
            <sz val="14"/>
            <color rgb="FF000000"/>
            <rFont val="Times New Roman"/>
            <family val="18"/>
          </rPr>
          <t>Gefangen</t>
        </r>
        <r>
          <rPr>
            <sz val="14"/>
            <color rgb="FF000000"/>
            <rFont val="Times New Roman"/>
            <family val="18"/>
          </rPr>
          <t xml:space="preserve"> [ML 1802]
</t>
        </r>
        <r>
          <rPr>
            <sz val="14"/>
            <color rgb="FF000000"/>
            <rFont val="Times New Roman"/>
            <family val="18"/>
          </rPr>
          <t xml:space="preserve">22/03/1797 </t>
        </r>
        <r>
          <rPr>
            <i/>
            <sz val="14"/>
            <color rgb="FF000000"/>
            <rFont val="Times New Roman"/>
            <family val="18"/>
          </rPr>
          <t>Sich selbst ranzioniert</t>
        </r>
        <r>
          <rPr>
            <sz val="14"/>
            <color rgb="FF000000"/>
            <rFont val="Times New Roman"/>
            <family val="18"/>
          </rPr>
          <t xml:space="preserve"> [ML 1802]
</t>
        </r>
        <r>
          <rPr>
            <sz val="14"/>
            <color rgb="FF000000"/>
            <rFont val="Times New Roman"/>
            <family val="18"/>
          </rPr>
          <t xml:space="preserve">17/09/1802 Muster: IR 11 Obrist Komp. Nr. 31
</t>
        </r>
        <r>
          <rPr>
            <sz val="14"/>
            <color rgb="FF000000"/>
            <rFont val="Times New Roman"/>
            <family val="18"/>
          </rPr>
          <t>25/08/1804 Muster: IR 11 Obrist Komp. Nr. 26 [</t>
        </r>
        <r>
          <rPr>
            <i/>
            <sz val="14"/>
            <color rgb="FF000000"/>
            <rFont val="Times New Roman"/>
            <family val="18"/>
          </rPr>
          <t>In Triest</t>
        </r>
        <r>
          <rPr>
            <sz val="14"/>
            <color rgb="FF000000"/>
            <rFont val="Times New Roman"/>
            <family val="18"/>
          </rPr>
          <t xml:space="preserve">]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
</t>
        </r>
        <r>
          <rPr>
            <sz val="14"/>
            <color rgb="FF000000"/>
            <rFont val="Times New Roman"/>
            <family val="18"/>
          </rPr>
          <t xml:space="preserve">01/09/1806 [Als Gefreiter] </t>
        </r>
        <r>
          <rPr>
            <i/>
            <sz val="14"/>
            <color rgb="FF000000"/>
            <rFont val="Times New Roman"/>
            <family val="18"/>
          </rPr>
          <t>Sich selbst ranzioniert und zum 6. Fus. Komp. eingeteilt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05/10/1806 </t>
        </r>
        <r>
          <rPr>
            <i/>
            <sz val="14"/>
            <color rgb="FF000000"/>
            <rFont val="Times New Roman"/>
            <family val="18"/>
          </rPr>
          <t xml:space="preserve">Ins Prager Invaliden hause zur Versorgung </t>
        </r>
        <r>
          <rPr>
            <sz val="14"/>
            <color rgb="FF000000"/>
            <rFont val="Times New Roman"/>
            <family val="18"/>
          </rPr>
          <t xml:space="preserve">[ML 1806] </t>
        </r>
        <r>
          <rPr>
            <sz val="14"/>
            <color rgb="FF000000"/>
            <rFont val="Times New Roman"/>
            <family val="18"/>
          </rPr>
          <t xml:space="preserve">
</t>
        </r>
        <r>
          <rPr>
            <sz val="14"/>
            <color rgb="FF000000"/>
            <rFont val="Times New Roman"/>
            <family val="18"/>
          </rPr>
          <t xml:space="preserve"> </t>
        </r>
      </text>
    </comment>
    <comment ref="BG212" authorId="0" shapeId="0" xr:uid="{B1CA03CC-9912-FE4F-AC75-543DEB2295C4}">
      <text>
        <r>
          <rPr>
            <sz val="14"/>
            <color rgb="FF000000"/>
            <rFont val="Times New Roman"/>
            <family val="18"/>
          </rPr>
          <t xml:space="preserve">ML 804/5 IR 11 (1802) – Obrist Komp. Nr. 31 (Wisotczan 17/09/1802)
</t>
        </r>
        <r>
          <rPr>
            <sz val="14"/>
            <color rgb="FF000000"/>
            <rFont val="Times New Roman"/>
            <family val="18"/>
          </rPr>
          <t xml:space="preserve">ML 806 IR 11 (1804) – Obrist Komp. Nr. 26 (Prague 25/08/1804)
</t>
        </r>
        <r>
          <rPr>
            <sz val="14"/>
            <color rgb="FF000000"/>
            <rFont val="Times New Roman"/>
            <family val="18"/>
          </rPr>
          <t xml:space="preserve">ML 807/8 IR 11 (1806) – 6. Fus. Komp. Abgang (Prague 23/12/1806)
</t>
        </r>
      </text>
    </comment>
    <comment ref="BH212" authorId="0" shapeId="0" xr:uid="{9FA926FE-FE61-B64C-9D91-F1350C67161C}">
      <text>
        <r>
          <rPr>
            <sz val="14"/>
            <color rgb="FF000000"/>
            <rFont val="Calibri"/>
            <family val="34"/>
          </rPr>
          <t xml:space="preserve">IR 11 (1796-1806)
</t>
        </r>
        <r>
          <rPr>
            <sz val="14"/>
            <color rgb="FF000000"/>
            <rFont val="Calibri"/>
            <family val="34"/>
          </rPr>
          <t>InvH Prag (1806)</t>
        </r>
      </text>
    </comment>
    <comment ref="I213" authorId="0" shapeId="0" xr:uid="{A1A2340B-B598-9C47-A76B-84B43380E72A}">
      <text>
        <r>
          <rPr>
            <b/>
            <sz val="14"/>
            <color rgb="FF000000"/>
            <rFont val="Calibri"/>
            <family val="34"/>
          </rPr>
          <t xml:space="preserve">1769 [30 (PL 1799)]
</t>
        </r>
        <r>
          <rPr>
            <sz val="14"/>
            <color rgb="FF000000"/>
            <rFont val="Calibri"/>
            <family val="34"/>
          </rPr>
          <t xml:space="preserve">OR 
</t>
        </r>
        <r>
          <rPr>
            <sz val="14"/>
            <color rgb="FF000000"/>
            <rFont val="Calibri"/>
            <family val="34"/>
          </rPr>
          <t>1771 [25 (AL 1796)]</t>
        </r>
      </text>
    </comment>
    <comment ref="O213" authorId="0" shapeId="0" xr:uid="{2D5AEB2E-DAA0-D945-98BA-67A6EC7A2BB5}">
      <text>
        <r>
          <rPr>
            <sz val="14"/>
            <color rgb="FF000000"/>
            <rFont val="Times New Roman"/>
            <family val="18"/>
          </rPr>
          <t>Mindestens ein Kind [PL May 1799]</t>
        </r>
      </text>
    </comment>
    <comment ref="BF213" authorId="0" shapeId="0" xr:uid="{41F7AF7A-9AB2-F544-B07B-03C5B46E5FB7}">
      <text>
        <r>
          <rPr>
            <sz val="14"/>
            <color rgb="FF000000"/>
            <rFont val="Times New Roman"/>
            <family val="18"/>
          </rPr>
          <t xml:space="preserve">03/08/1796 </t>
        </r>
        <r>
          <rPr>
            <i/>
            <sz val="14"/>
            <color rgb="FF000000"/>
            <rFont val="Times New Roman"/>
            <family val="18"/>
          </rPr>
          <t>Ohne Capitulation von Stadt Olmütz a conto einer künftigen Stellung a 3Fl Handgeld in IR 1 ‚Reserve Division‘ assentiert</t>
        </r>
        <r>
          <rPr>
            <sz val="14"/>
            <color rgb="FF000000"/>
            <rFont val="Times New Roman"/>
            <family val="18"/>
          </rPr>
          <t xml:space="preserve"> [TL Aug 1796]</t>
        </r>
        <r>
          <rPr>
            <sz val="14"/>
            <color rgb="FF000000"/>
            <rFont val="Calibri"/>
            <family val="34"/>
          </rPr>
          <t xml:space="preserve">
</t>
        </r>
        <r>
          <rPr>
            <sz val="14"/>
            <color rgb="FF000000"/>
            <rFont val="Times New Roman"/>
            <family val="18"/>
          </rPr>
          <t xml:space="preserve">25/08/1796 </t>
        </r>
        <r>
          <rPr>
            <i/>
            <sz val="14"/>
            <color rgb="FF000000"/>
            <rFont val="Times New Roman"/>
            <family val="18"/>
          </rPr>
          <t>Von Reserve Division zum 2 Feld Bats Haupt Forgatsch Komp. transferiert</t>
        </r>
        <r>
          <rPr>
            <sz val="14"/>
            <color rgb="FF000000"/>
            <rFont val="Times New Roman"/>
            <family val="18"/>
          </rPr>
          <t xml:space="preserve"> [TL Aug 1796)</t>
        </r>
        <r>
          <rPr>
            <sz val="14"/>
            <color rgb="FF000000"/>
            <rFont val="Calibri"/>
            <family val="34"/>
          </rPr>
          <t xml:space="preserve">
</t>
        </r>
        <r>
          <rPr>
            <sz val="14"/>
            <color rgb="FF000000"/>
            <rFont val="Times New Roman"/>
            <family val="18"/>
          </rPr>
          <t xml:space="preserve">20/09/1796 </t>
        </r>
        <r>
          <rPr>
            <i/>
            <sz val="14"/>
            <color rgb="FF000000"/>
            <rFont val="Times New Roman"/>
            <family val="18"/>
          </rPr>
          <t>Von Regensburg aus Ergänzung Transport zum Regiment desertiert</t>
        </r>
        <r>
          <rPr>
            <sz val="14"/>
            <color rgb="FF000000"/>
            <rFont val="Times New Roman"/>
            <family val="18"/>
          </rPr>
          <t xml:space="preserve">; Ursache: </t>
        </r>
        <r>
          <rPr>
            <i/>
            <sz val="14"/>
            <color rgb="FF000000"/>
            <rFont val="Times New Roman"/>
            <family val="18"/>
          </rPr>
          <t>Weil Ihn Versprochen worden daß sein Weib und Kinder Versorgt werden, welches aber nicht geschehen</t>
        </r>
        <r>
          <rPr>
            <sz val="14"/>
            <color rgb="FF000000"/>
            <rFont val="Times New Roman"/>
            <family val="18"/>
          </rPr>
          <t xml:space="preserve"> [PL May 1799]</t>
        </r>
        <r>
          <rPr>
            <sz val="14"/>
            <color rgb="FF000000"/>
            <rFont val="Calibri"/>
            <family val="34"/>
          </rPr>
          <t xml:space="preserve">
</t>
        </r>
        <r>
          <rPr>
            <i/>
            <sz val="14"/>
            <color rgb="FF000000"/>
            <rFont val="Times New Roman"/>
            <family val="18"/>
          </rPr>
          <t>Hat sich inzwischen aufgehalten in Königl. Preußischen Staates</t>
        </r>
        <r>
          <rPr>
            <sz val="14"/>
            <color rgb="FF000000"/>
            <rFont val="Times New Roman"/>
            <family val="18"/>
          </rPr>
          <t xml:space="preserve"> [PL May 1799]</t>
        </r>
        <r>
          <rPr>
            <sz val="14"/>
            <color rgb="FF000000"/>
            <rFont val="Calibri"/>
            <family val="34"/>
          </rPr>
          <t xml:space="preserve">
</t>
        </r>
        <r>
          <rPr>
            <sz val="14"/>
            <color rgb="FF000000"/>
            <rFont val="Times New Roman"/>
            <family val="18"/>
          </rPr>
          <t>17/05/1799</t>
        </r>
        <r>
          <rPr>
            <i/>
            <sz val="14"/>
            <color rgb="FF000000"/>
            <rFont val="Times New Roman"/>
            <family val="18"/>
          </rPr>
          <t xml:space="preserve"> Hat sich in Troppau beim IR 1 4. Bataillon selbst gemeldet und zum 2. Vacante Komp. eingeteilt, seitdem auf anhero Marsch </t>
        </r>
        <r>
          <rPr>
            <sz val="14"/>
            <color rgb="FF000000"/>
            <rFont val="Times New Roman"/>
            <family val="18"/>
          </rPr>
          <t>[PL May 1799 &amp; ST May 1799]</t>
        </r>
        <r>
          <rPr>
            <sz val="14"/>
            <color rgb="FF000000"/>
            <rFont val="Calibri"/>
            <family val="34"/>
          </rPr>
          <t xml:space="preserve">
</t>
        </r>
        <r>
          <rPr>
            <sz val="14"/>
            <color rgb="FF000000"/>
            <rFont val="Times New Roman"/>
            <family val="18"/>
          </rPr>
          <t xml:space="preserve">26/05/1799 </t>
        </r>
        <r>
          <rPr>
            <i/>
            <sz val="14"/>
            <color rgb="FF000000"/>
            <rFont val="Times New Roman"/>
            <family val="18"/>
          </rPr>
          <t>Ins Kompanie eingerückt und seitdem in Arrest</t>
        </r>
        <r>
          <rPr>
            <sz val="14"/>
            <color rgb="FF000000"/>
            <rFont val="Times New Roman"/>
            <family val="18"/>
          </rPr>
          <t xml:space="preserve"> [ST May 1799</t>
        </r>
        <r>
          <rPr>
            <sz val="14"/>
            <color rgb="FF000000"/>
            <rFont val="Calibri"/>
            <family val="34"/>
          </rPr>
          <t xml:space="preserve">
</t>
        </r>
        <r>
          <rPr>
            <sz val="14"/>
            <color rgb="FF000000"/>
            <rFont val="Times New Roman"/>
            <family val="18"/>
          </rPr>
          <t xml:space="preserve">04/06/1799 </t>
        </r>
        <r>
          <rPr>
            <i/>
            <sz val="14"/>
            <color rgb="FF000000"/>
            <rFont val="Times New Roman"/>
            <family val="18"/>
          </rPr>
          <t>Von Arrest Befreit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04/12/1799 </t>
        </r>
        <r>
          <rPr>
            <i/>
            <sz val="14"/>
            <color rgb="FF000000"/>
            <rFont val="Times New Roman"/>
            <family val="18"/>
          </rPr>
          <t>Von 4. Bat. 2. Vacante Komp. zum ObristLt Komp transferiert und seitdem auf anhero Marsch</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07/12/1799 </t>
        </r>
        <r>
          <rPr>
            <i/>
            <sz val="14"/>
            <color rgb="FF000000"/>
            <rFont val="Times New Roman"/>
            <family val="18"/>
          </rPr>
          <t xml:space="preserve">unter unbewusste dato von anehro Marsch desertiert </t>
        </r>
        <r>
          <rPr>
            <sz val="14"/>
            <color rgb="FF000000"/>
            <rFont val="Times New Roman"/>
            <family val="18"/>
          </rPr>
          <t>[ST Jan 1800]</t>
        </r>
        <r>
          <rPr>
            <sz val="14"/>
            <color rgb="FF000000"/>
            <rFont val="Calibri"/>
            <family val="34"/>
          </rPr>
          <t xml:space="preserve">
</t>
        </r>
      </text>
    </comment>
    <comment ref="BG213" authorId="0" shapeId="0" xr:uid="{743AA3CF-4110-FC40-B1D8-9585414AC5A5}">
      <text>
        <r>
          <rPr>
            <sz val="14"/>
            <color rgb="FF000000"/>
            <rFont val="Times New Roman"/>
            <family val="18"/>
          </rPr>
          <t>ML 65 IR 1 (1796) – ST Sept (Olmütz 06/??/????)</t>
        </r>
        <r>
          <rPr>
            <sz val="14"/>
            <color rgb="FF000000"/>
            <rFont val="Calibri"/>
            <family val="34"/>
          </rPr>
          <t xml:space="preserve">
</t>
        </r>
        <r>
          <rPr>
            <sz val="14"/>
            <color rgb="FF000000"/>
            <rFont val="Times New Roman"/>
            <family val="18"/>
          </rPr>
          <t>ML 66/7 IR 1 (1796) – AL Nr. 2 (Olmütz 29/08/1796); TL IR 1 Res. Div.-&gt; Feld Bats Nr. 179 (Olmütz 24/08/1796)</t>
        </r>
        <r>
          <rPr>
            <sz val="14"/>
            <color rgb="FF000000"/>
            <rFont val="Calibri"/>
            <family val="34"/>
          </rPr>
          <t xml:space="preserve">
</t>
        </r>
        <r>
          <rPr>
            <sz val="14"/>
            <color rgb="FF000000"/>
            <rFont val="Times New Roman"/>
            <family val="18"/>
          </rPr>
          <t>ML 72 IR 1 (1799) – ST May (Olmütz 25/09/1799), June (Olmütz 28/09/1799), ST Dec (Olmütz 10/03/1800)</t>
        </r>
        <r>
          <rPr>
            <sz val="14"/>
            <color rgb="FF000000"/>
            <rFont val="Calibri"/>
            <family val="34"/>
          </rPr>
          <t xml:space="preserve">
</t>
        </r>
        <r>
          <rPr>
            <sz val="14"/>
            <color rgb="FF000000"/>
            <rFont val="Times New Roman"/>
            <family val="18"/>
          </rPr>
          <t>ML 73 IR 1 (1799) – PL Nr. 1 (Olmütz 15/05/1799)</t>
        </r>
        <r>
          <rPr>
            <sz val="14"/>
            <color rgb="FF000000"/>
            <rFont val="Calibri"/>
            <family val="34"/>
          </rPr>
          <t xml:space="preserve">
</t>
        </r>
        <r>
          <rPr>
            <sz val="14"/>
            <color rgb="FF000000"/>
            <rFont val="Times New Roman"/>
            <family val="18"/>
          </rPr>
          <t>ML 74 IR 1 (1800) – ST Jan (Olmütz 03/04/1800)</t>
        </r>
        <r>
          <rPr>
            <sz val="14"/>
            <color rgb="FF000000"/>
            <rFont val="Calibri"/>
            <family val="34"/>
          </rPr>
          <t xml:space="preserve">
</t>
        </r>
      </text>
    </comment>
    <comment ref="BH213" authorId="0" shapeId="0" xr:uid="{436A5A1C-7296-7D47-B50B-7C2B79F66647}">
      <text>
        <r>
          <rPr>
            <sz val="14"/>
            <color rgb="FF000000"/>
            <rFont val="Calibri"/>
            <family val="34"/>
          </rPr>
          <t>IR 1 (1796-1799)</t>
        </r>
      </text>
    </comment>
    <comment ref="BF214" authorId="0" shapeId="0" xr:uid="{387A45E0-CB0C-C848-B555-38133C75931D}">
      <text>
        <r>
          <rPr>
            <sz val="14"/>
            <color rgb="FF000000"/>
            <rFont val="Times New Roman"/>
            <family val="18"/>
          </rPr>
          <t xml:space="preserve">07/08/1796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07/08/1796 </t>
        </r>
        <r>
          <rPr>
            <i/>
            <sz val="14"/>
            <color rgb="FF000000"/>
            <rFont val="Times New Roman"/>
            <family val="18"/>
          </rPr>
          <t>Von MFWK 99. Artillerie Reserve Division zu IR 1 3. Bat transferiert</t>
        </r>
        <r>
          <rPr>
            <sz val="14"/>
            <color rgb="FF000000"/>
            <rFont val="Times New Roman"/>
            <family val="18"/>
          </rPr>
          <t xml:space="preserve"> [TL Aug 1796]</t>
        </r>
        <r>
          <rPr>
            <sz val="14"/>
            <color rgb="FF000000"/>
            <rFont val="Calibri"/>
            <family val="34"/>
          </rPr>
          <t xml:space="preserve">
</t>
        </r>
        <r>
          <rPr>
            <sz val="14"/>
            <color rgb="FF000000"/>
            <rFont val="Times New Roman"/>
            <family val="18"/>
          </rPr>
          <t xml:space="preserve">20/11/1796 </t>
        </r>
        <r>
          <rPr>
            <i/>
            <sz val="14"/>
            <color rgb="FF000000"/>
            <rFont val="Times New Roman"/>
            <family val="18"/>
          </rPr>
          <t>Als Krank in das k:k: Aufnahme Spital zu Appenweyer Von IR 1 zum MFWK 79. Pro Cento Artillerie Division übergeben</t>
        </r>
        <r>
          <rPr>
            <sz val="14"/>
            <color rgb="FF000000"/>
            <rFont val="Times New Roman"/>
            <family val="18"/>
          </rPr>
          <t xml:space="preserve"> [TL July 1798]</t>
        </r>
        <r>
          <rPr>
            <sz val="14"/>
            <color rgb="FF000000"/>
            <rFont val="Calibri"/>
            <family val="34"/>
          </rPr>
          <t xml:space="preserve">
</t>
        </r>
        <r>
          <rPr>
            <sz val="14"/>
            <color rgb="FF000000"/>
            <rFont val="Calibri"/>
            <family val="34"/>
          </rPr>
          <t xml:space="preserve">
</t>
        </r>
      </text>
    </comment>
    <comment ref="BG214" authorId="0" shapeId="0" xr:uid="{5FF8965A-D72B-334E-A24C-96A0B977B4D7}">
      <text>
        <r>
          <rPr>
            <sz val="14"/>
            <color rgb="FF000000"/>
            <rFont val="Times New Roman"/>
            <family val="18"/>
          </rPr>
          <t>ML 65 IR 1 (1796) – ST Aug (29/11/1799), ST Nov (Olmütz 03/06/1802)</t>
        </r>
        <r>
          <rPr>
            <sz val="14"/>
            <color rgb="FF000000"/>
            <rFont val="Calibri"/>
            <family val="34"/>
          </rPr>
          <t xml:space="preserve">
</t>
        </r>
        <r>
          <rPr>
            <sz val="14"/>
            <color rgb="FF000000"/>
            <rFont val="Times New Roman"/>
            <family val="18"/>
          </rPr>
          <t>ML 66/7 IR 1 (1796) – TL MFWK-&gt;IR 1 Nr. 4 (Botschgardo 07/08/1796); TL IR 1-&gt; MFWK (Breisgau 20/07/1798)</t>
        </r>
        <r>
          <rPr>
            <sz val="14"/>
            <color rgb="FF000000"/>
            <rFont val="Calibri"/>
            <family val="34"/>
          </rPr>
          <t xml:space="preserve">
</t>
        </r>
      </text>
    </comment>
    <comment ref="BH214" authorId="0" shapeId="0" xr:uid="{FC39875C-6051-2F46-B163-496C16C76E43}">
      <text>
        <r>
          <rPr>
            <sz val="14"/>
            <color rgb="FF000000"/>
            <rFont val="Times New Roman"/>
            <family val="18"/>
          </rPr>
          <t>MFWK (1796)</t>
        </r>
      </text>
    </comment>
    <comment ref="BF215" authorId="0" shapeId="0" xr:uid="{26BC879C-C348-2747-94BE-4B9ABA27CBDD}">
      <text>
        <r>
          <rPr>
            <sz val="14"/>
            <color rgb="FF000000"/>
            <rFont val="Times New Roman"/>
            <family val="18"/>
          </rPr>
          <t xml:space="preserve">29/08/1796 </t>
        </r>
        <r>
          <rPr>
            <i/>
            <sz val="14"/>
            <color rgb="FF000000"/>
            <rFont val="Times New Roman"/>
            <family val="18"/>
          </rPr>
          <t>A 3Fl Handgeld gestellt und in IR 1 ‚Reserve Division‘ assentiert</t>
        </r>
        <r>
          <rPr>
            <sz val="14"/>
            <color rgb="FF000000"/>
            <rFont val="Times New Roman"/>
            <family val="18"/>
          </rPr>
          <t xml:space="preserve"> [AL Aug 1796]</t>
        </r>
        <r>
          <rPr>
            <sz val="14"/>
            <color rgb="FF000000"/>
            <rFont val="Calibri"/>
            <family val="34"/>
          </rPr>
          <t xml:space="preserve">
</t>
        </r>
        <r>
          <rPr>
            <sz val="14"/>
            <color rgb="FF000000"/>
            <rFont val="Times New Roman"/>
            <family val="18"/>
          </rPr>
          <t xml:space="preserve">11/02/1797 </t>
        </r>
        <r>
          <rPr>
            <i/>
            <sz val="14"/>
            <color rgb="FF000000"/>
            <rFont val="Times New Roman"/>
            <family val="18"/>
          </rPr>
          <t>Von Reserve Division zum Haupt Becceller Komp. transferiert und seitdem auf anhero Marsch</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09/04/1797 </t>
        </r>
        <r>
          <rPr>
            <i/>
            <sz val="14"/>
            <color rgb="FF000000"/>
            <rFont val="Times New Roman"/>
            <family val="18"/>
          </rPr>
          <t>Krank in Armee Spital</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15/07/1798 </t>
        </r>
        <r>
          <rPr>
            <i/>
            <sz val="14"/>
            <color rgb="FF000000"/>
            <rFont val="Times New Roman"/>
            <family val="18"/>
          </rPr>
          <t>Zu folge Hoher Verordnung als vermisst in Armee Spitäler als unwissend Verloren in Abgang gebracht</t>
        </r>
        <r>
          <rPr>
            <sz val="14"/>
            <color rgb="FF000000"/>
            <rFont val="Times New Roman"/>
            <family val="18"/>
          </rPr>
          <t xml:space="preserve"> [ST July 1798] </t>
        </r>
      </text>
    </comment>
    <comment ref="BG215" authorId="0" shapeId="0" xr:uid="{A9FF3AF9-B3A4-BD4D-AC04-F811E26218CF}">
      <text>
        <r>
          <rPr>
            <sz val="14"/>
            <color rgb="FF000000"/>
            <rFont val="Times New Roman"/>
            <family val="18"/>
          </rPr>
          <t>ML 66/7 IR 1 (1796) – AL Nr. 8 (Olmütz 29/08/1796)</t>
        </r>
        <r>
          <rPr>
            <sz val="14"/>
            <color rgb="FF000000"/>
            <rFont val="Calibri"/>
            <family val="34"/>
          </rPr>
          <t xml:space="preserve">
</t>
        </r>
        <r>
          <rPr>
            <sz val="14"/>
            <color rgb="FF000000"/>
            <rFont val="Times New Roman"/>
            <family val="18"/>
          </rPr>
          <t>ML 68 IR 1 (1797) – ST Feb (31/03/1802), April (Olmütz 04/03/1802)</t>
        </r>
        <r>
          <rPr>
            <sz val="14"/>
            <color rgb="FF000000"/>
            <rFont val="Calibri"/>
            <family val="34"/>
          </rPr>
          <t xml:space="preserve">
</t>
        </r>
        <r>
          <rPr>
            <sz val="14"/>
            <color rgb="FF000000"/>
            <rFont val="Times New Roman"/>
            <family val="18"/>
          </rPr>
          <t>ML 71 IR 1 (1798) – ST July (Brünn 05/07/1803)</t>
        </r>
        <r>
          <rPr>
            <sz val="14"/>
            <color rgb="FF000000"/>
            <rFont val="Calibri"/>
            <family val="34"/>
          </rPr>
          <t xml:space="preserve">
</t>
        </r>
      </text>
    </comment>
    <comment ref="BH215" authorId="0" shapeId="0" xr:uid="{878DFA03-3487-154C-A08D-0CA7B19090C6}">
      <text>
        <r>
          <rPr>
            <sz val="14"/>
            <color rgb="FF000000"/>
            <rFont val="Calibri"/>
            <family val="34"/>
          </rPr>
          <t>IR 1 (1796-1798)</t>
        </r>
      </text>
    </comment>
    <comment ref="T216" authorId="0" shapeId="0" xr:uid="{2D7AA10B-C158-854F-ABE2-CFD6ED35E1BA}">
      <text>
        <r>
          <rPr>
            <b/>
            <sz val="14"/>
            <color rgb="FF000000"/>
            <rFont val="Calibri"/>
            <family val="34"/>
          </rPr>
          <t xml:space="preserve">5.2.1 [163.48 cm] (ML 1802)
</t>
        </r>
        <r>
          <rPr>
            <sz val="14"/>
            <color rgb="FF000000"/>
            <rFont val="Calibri"/>
            <family val="34"/>
          </rPr>
          <t>5.2.2 [163.7 cm] (ML 1804)</t>
        </r>
      </text>
    </comment>
    <comment ref="BF216" authorId="0" shapeId="0" xr:uid="{31BEFB19-C503-F046-8632-B28128599475}">
      <text>
        <r>
          <rPr>
            <sz val="14"/>
            <color rgb="FF000000"/>
            <rFont val="Times New Roman"/>
            <family val="18"/>
          </rPr>
          <t xml:space="preserve">29/08/1796 </t>
        </r>
        <r>
          <rPr>
            <i/>
            <sz val="14"/>
            <color rgb="FF000000"/>
            <rFont val="Times New Roman"/>
            <family val="18"/>
          </rPr>
          <t>Dient seit</t>
        </r>
        <r>
          <rPr>
            <sz val="14"/>
            <color rgb="FF000000"/>
            <rFont val="Times New Roman"/>
            <family val="18"/>
          </rPr>
          <t xml:space="preserve"> [ML 1802]
</t>
        </r>
        <r>
          <rPr>
            <sz val="14"/>
            <color rgb="FF000000"/>
            <rFont val="Times New Roman"/>
            <family val="18"/>
          </rPr>
          <t xml:space="preserve">15/03/1799 </t>
        </r>
        <r>
          <rPr>
            <i/>
            <sz val="14"/>
            <color rgb="FF000000"/>
            <rFont val="Times New Roman"/>
            <family val="18"/>
          </rPr>
          <t>Gefangen</t>
        </r>
        <r>
          <rPr>
            <sz val="14"/>
            <color rgb="FF000000"/>
            <rFont val="Times New Roman"/>
            <family val="18"/>
          </rPr>
          <t xml:space="preserve"> [ML 1802]
</t>
        </r>
        <r>
          <rPr>
            <sz val="14"/>
            <color rgb="FF000000"/>
            <rFont val="Times New Roman"/>
            <family val="18"/>
          </rPr>
          <t xml:space="preserve">09/04/1799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 xml:space="preserve">16/09/1802 Muster: IR 11 Haupt Murrmann Komp. Nr. 42
</t>
        </r>
        <r>
          <rPr>
            <sz val="14"/>
            <color rgb="FF000000"/>
            <rFont val="Times New Roman"/>
            <family val="18"/>
          </rPr>
          <t>25/08/1804 Muster: IR 11 Haupt Murrmann Komp. Nr. 37 [</t>
        </r>
        <r>
          <rPr>
            <i/>
            <sz val="14"/>
            <color rgb="FF000000"/>
            <rFont val="Times New Roman"/>
            <family val="18"/>
          </rPr>
          <t>Beurlaubt zur Einberufung in seinem Geburtsort</t>
        </r>
        <r>
          <rPr>
            <sz val="14"/>
            <color rgb="FF000000"/>
            <rFont val="Times New Roman"/>
            <family val="18"/>
          </rPr>
          <t xml:space="preserve">]
</t>
        </r>
        <r>
          <rPr>
            <sz val="14"/>
            <color rgb="FF000000"/>
            <rFont val="Times New Roman"/>
            <family val="18"/>
          </rPr>
          <t xml:space="preserve">10/03/1805 </t>
        </r>
        <r>
          <rPr>
            <i/>
            <sz val="14"/>
            <color rgb="FF000000"/>
            <rFont val="Times New Roman"/>
            <family val="18"/>
          </rPr>
          <t>Ins Prager Invalidenhaus zur Versorgung</t>
        </r>
        <r>
          <rPr>
            <sz val="14"/>
            <color rgb="FF000000"/>
            <rFont val="Times New Roman"/>
            <family val="18"/>
          </rPr>
          <t xml:space="preserve"> [ML 1806] </t>
        </r>
      </text>
    </comment>
    <comment ref="BG216" authorId="0" shapeId="0" xr:uid="{54BBA27E-A4A6-0F45-8274-84ADD34ABEAC}">
      <text>
        <r>
          <rPr>
            <sz val="14"/>
            <color rgb="FF000000"/>
            <rFont val="Times New Roman"/>
            <family val="18"/>
          </rPr>
          <t xml:space="preserve">ML 804/5 IR 11 (1802) – Haupt Murmann Komp. Nr. 42 (Prague 16/09/1802)
</t>
        </r>
        <r>
          <rPr>
            <sz val="14"/>
            <color rgb="FF000000"/>
            <rFont val="Times New Roman"/>
            <family val="18"/>
          </rPr>
          <t xml:space="preserve">ML 806 IR 11 (1804) – Haupt Murmann Komp. Nr. 37 (Prague 25/08/1804)
</t>
        </r>
        <r>
          <rPr>
            <sz val="14"/>
            <color rgb="FF000000"/>
            <rFont val="Times New Roman"/>
            <family val="18"/>
          </rPr>
          <t xml:space="preserve">ML 807/8 IR 11 (1806) – 9. Fus. Komp. Abgang (Prague 23/12/1806)
</t>
        </r>
      </text>
    </comment>
    <comment ref="BH216" authorId="0" shapeId="0" xr:uid="{D4B0CCA9-4530-3D40-BB75-6983BAD35192}">
      <text>
        <r>
          <rPr>
            <sz val="14"/>
            <color rgb="FF000000"/>
            <rFont val="Calibri"/>
            <family val="34"/>
          </rPr>
          <t xml:space="preserve">IR 11 (1796-1805)
</t>
        </r>
        <r>
          <rPr>
            <sz val="14"/>
            <color rgb="FF000000"/>
            <rFont val="Calibri"/>
            <family val="34"/>
          </rPr>
          <t>InvH Prag (1805)</t>
        </r>
      </text>
    </comment>
    <comment ref="BF217" authorId="0" shapeId="0" xr:uid="{89E0CF52-61B3-0840-8084-6F562892D611}">
      <text>
        <r>
          <rPr>
            <sz val="14"/>
            <color rgb="FF000000"/>
            <rFont val="Times New Roman"/>
            <family val="18"/>
          </rPr>
          <t xml:space="preserve">05/09/1796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[Schlacht von Marengo]</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01/05/1801 </t>
        </r>
        <r>
          <rPr>
            <i/>
            <sz val="14"/>
            <color rgb="FF000000"/>
            <rFont val="Times New Roman"/>
            <family val="18"/>
          </rPr>
          <t>Ranzioniert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Sebnitz Komp. Nr. 156</t>
        </r>
        <r>
          <rPr>
            <sz val="14"/>
            <color rgb="FF000000"/>
            <rFont val="Times New Roman"/>
            <family val="18"/>
          </rPr>
          <t xml:space="preserve">
</t>
        </r>
        <r>
          <rPr>
            <sz val="14"/>
            <color rgb="FF000000"/>
            <rFont val="Times New Roman"/>
            <family val="18"/>
          </rPr>
          <t>25/08/1804 Muster: IR 11 Haupt Kraus Komp. Nr. 132</t>
        </r>
        <r>
          <rPr>
            <sz val="14"/>
            <color rgb="FF000000"/>
            <rFont val="Times New Roman"/>
            <family val="18"/>
          </rPr>
          <t xml:space="preserve">
</t>
        </r>
        <r>
          <rPr>
            <sz val="14"/>
            <color rgb="FF000000"/>
            <rFont val="Times New Roman"/>
            <family val="18"/>
          </rPr>
          <t xml:space="preserve">10/03/1805 </t>
        </r>
        <r>
          <rPr>
            <i/>
            <sz val="14"/>
            <color rgb="FF000000"/>
            <rFont val="Times New Roman"/>
            <family val="18"/>
          </rPr>
          <t>Gegen Renuncierung als Reale Invalid mit Dienst Gratiale von 19Fl 30Xr mit Abschied entlassen</t>
        </r>
        <r>
          <rPr>
            <sz val="14"/>
            <color rgb="FF000000"/>
            <rFont val="Times New Roman"/>
            <family val="18"/>
          </rPr>
          <t xml:space="preserve"> [ML 1806] </t>
        </r>
      </text>
    </comment>
    <comment ref="BG217" authorId="0" shapeId="0" xr:uid="{4C7EBBE7-DFAA-074A-97D2-16958B34B1B2}">
      <text>
        <r>
          <rPr>
            <sz val="14"/>
            <color rgb="FF000000"/>
            <rFont val="Times New Roman"/>
            <family val="18"/>
          </rPr>
          <t xml:space="preserve">ML 804/5 IR 11 (1802) – Haupt Sebnitz Komp. Nr. 156 (Wisotczan 17/09/1802)
</t>
        </r>
        <r>
          <rPr>
            <sz val="14"/>
            <color rgb="FF000000"/>
            <rFont val="Times New Roman"/>
            <family val="18"/>
          </rPr>
          <t xml:space="preserve">ML 806 IR 11 (1804) – Haupt Kraus Komp. Nr. 132 (Prague 25/08/1804)
</t>
        </r>
        <r>
          <rPr>
            <sz val="14"/>
            <color rgb="FF000000"/>
            <rFont val="Times New Roman"/>
            <family val="18"/>
          </rPr>
          <t xml:space="preserve">ML 807/8 IR 11 (1806) – 2. Fus. Komp. Komp. Abgang (Prague 23/12/1806)
</t>
        </r>
      </text>
    </comment>
    <comment ref="BH217" authorId="0" shapeId="0" xr:uid="{A7A7F59B-A436-3C41-A306-40F08FC536C0}">
      <text>
        <r>
          <rPr>
            <sz val="14"/>
            <color rgb="FF000000"/>
            <rFont val="Calibri"/>
            <family val="34"/>
          </rPr>
          <t>IR 11 (1796-1805)</t>
        </r>
      </text>
    </comment>
    <comment ref="I218" authorId="0" shapeId="0" xr:uid="{FCBC829F-31AF-B34D-9E5C-3B324B55AE05}">
      <text>
        <r>
          <rPr>
            <sz val="14"/>
            <color rgb="FF000000"/>
            <rFont val="Calibri"/>
            <family val="34"/>
          </rPr>
          <t xml:space="preserve">1771 [35 (ML 1806)]
</t>
        </r>
        <r>
          <rPr>
            <sz val="14"/>
            <color rgb="FF000000"/>
            <rFont val="Calibri"/>
            <family val="34"/>
          </rPr>
          <t xml:space="preserve">OR
</t>
        </r>
        <r>
          <rPr>
            <b/>
            <sz val="14"/>
            <color rgb="FF000000"/>
            <rFont val="Calibri"/>
            <family val="34"/>
          </rPr>
          <t>1772 [32 (ML 1804)</t>
        </r>
      </text>
    </comment>
    <comment ref="T218" authorId="0" shapeId="0" xr:uid="{E7BDF8BA-07BA-724F-AD57-E60806C85A26}">
      <text>
        <r>
          <rPr>
            <b/>
            <sz val="14"/>
            <color rgb="FF000000"/>
            <rFont val="Calibri"/>
            <family val="34"/>
          </rPr>
          <t xml:space="preserve">5.2.3 [163.92 cm (ML 1806)]
</t>
        </r>
        <r>
          <rPr>
            <sz val="14"/>
            <color rgb="FF000000"/>
            <rFont val="Calibri"/>
            <family val="34"/>
          </rPr>
          <t>5.3.1 [166.11 cm (ML 1802/4)]</t>
        </r>
      </text>
    </comment>
    <comment ref="BF218" authorId="0" shapeId="0" xr:uid="{F956DFBE-7C05-9F48-A73C-1FAD9204F27B}">
      <text>
        <r>
          <rPr>
            <sz val="14"/>
            <color rgb="FF000000"/>
            <rFont val="Times New Roman"/>
            <family val="18"/>
          </rPr>
          <t xml:space="preserve">12/09/1796 </t>
        </r>
        <r>
          <rPr>
            <i/>
            <sz val="14"/>
            <color rgb="FF000000"/>
            <rFont val="Times New Roman"/>
            <family val="18"/>
          </rPr>
          <t>Dient seit auf Beständig</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 xml:space="preserve">[Schlacht von Marengo]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14/12/1800 </t>
        </r>
        <r>
          <rPr>
            <i/>
            <sz val="14"/>
            <color rgb="FF000000"/>
            <rFont val="Times New Roman"/>
            <family val="18"/>
          </rPr>
          <t>Ranzioniert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11 Haupt Schloisingg Komp. Nr. 154</t>
        </r>
        <r>
          <rPr>
            <sz val="14"/>
            <color rgb="FF000000"/>
            <rFont val="Times New Roman"/>
            <family val="18"/>
          </rPr>
          <t xml:space="preserve">
</t>
        </r>
        <r>
          <rPr>
            <sz val="14"/>
            <color rgb="FF000000"/>
            <rFont val="Times New Roman"/>
            <family val="18"/>
          </rPr>
          <t>25/08/1804 Muster: IR 11 Haupt Schloisingg Komp. Nr. 135</t>
        </r>
        <r>
          <rPr>
            <sz val="14"/>
            <color rgb="FF000000"/>
            <rFont val="Times New Roman"/>
            <family val="18"/>
          </rPr>
          <t xml:space="preserve">
</t>
        </r>
        <r>
          <rPr>
            <sz val="14"/>
            <color rgb="FF000000"/>
            <rFont val="Times New Roman"/>
            <family val="18"/>
          </rPr>
          <t xml:space="preserve">31/10/1805 </t>
        </r>
        <r>
          <rPr>
            <i/>
            <sz val="14"/>
            <color rgb="FF000000"/>
            <rFont val="Times New Roman"/>
            <family val="18"/>
          </rPr>
          <t>In Kriegsgefangenschaft gefallen</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17/01/1806 </t>
        </r>
        <r>
          <rPr>
            <i/>
            <sz val="14"/>
            <color rgb="FF000000"/>
            <rFont val="Times New Roman"/>
            <family val="18"/>
          </rPr>
          <t>Sich selbst Ranzioniert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01/05/1806 </t>
        </r>
        <r>
          <rPr>
            <i/>
            <sz val="14"/>
            <color rgb="FF000000"/>
            <rFont val="Times New Roman"/>
            <family val="18"/>
          </rPr>
          <t>Von 16. zum 15. Fus.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19/12/1806 Muster: IR 11 15. Fus. Komp. Nr. 97</t>
        </r>
        <r>
          <rPr>
            <sz val="14"/>
            <color rgb="FF000000"/>
            <rFont val="Times New Roman"/>
            <family val="18"/>
          </rPr>
          <t xml:space="preserve">
</t>
        </r>
        <r>
          <rPr>
            <sz val="14"/>
            <color rgb="FF000000"/>
            <rFont val="Calibri"/>
            <family val="34"/>
          </rPr>
          <t xml:space="preserve">
</t>
        </r>
      </text>
    </comment>
    <comment ref="BG218" authorId="0" shapeId="0" xr:uid="{DE1F55C3-9809-7846-8DCE-79DE7A818B75}">
      <text>
        <r>
          <rPr>
            <sz val="14"/>
            <color rgb="FF000000"/>
            <rFont val="Times New Roman"/>
            <family val="18"/>
          </rPr>
          <t>ML 804/5 IR 11 (1802) – Haupt Schloisingg Komp. Nr. 154 (Prague 16/09/1802)</t>
        </r>
        <r>
          <rPr>
            <sz val="14"/>
            <color rgb="FF000000"/>
            <rFont val="Times New Roman"/>
            <family val="18"/>
          </rPr>
          <t xml:space="preserve">
</t>
        </r>
        <r>
          <rPr>
            <sz val="14"/>
            <color rgb="FF000000"/>
            <rFont val="Times New Roman"/>
            <family val="18"/>
          </rPr>
          <t>ML 806 IR 11 (1804) – Haupt Schloisingg Komp. Nr. 135 (Prague 25/08/1804)</t>
        </r>
        <r>
          <rPr>
            <sz val="14"/>
            <color rgb="FF000000"/>
            <rFont val="Times New Roman"/>
            <family val="18"/>
          </rPr>
          <t xml:space="preserve">
</t>
        </r>
        <r>
          <rPr>
            <sz val="14"/>
            <color rgb="FF000000"/>
            <rFont val="Times New Roman"/>
            <family val="18"/>
          </rPr>
          <t>ML 807/8 IR 11 (1806) – 15. Fus. Komp Nr. 97 (Königgrätz 19/12/1806)</t>
        </r>
        <r>
          <rPr>
            <sz val="14"/>
            <color rgb="FF000000"/>
            <rFont val="Times New Roman"/>
            <family val="18"/>
          </rPr>
          <t xml:space="preserve">
</t>
        </r>
      </text>
    </comment>
    <comment ref="BH218" authorId="0" shapeId="0" xr:uid="{CBA1B777-C2AB-A444-B547-C59A4C1FAF29}">
      <text>
        <r>
          <rPr>
            <sz val="14"/>
            <color rgb="FF000000"/>
            <rFont val="Calibri"/>
            <family val="34"/>
          </rPr>
          <t>IR 11 (1796-1806)</t>
        </r>
      </text>
    </comment>
    <comment ref="T219" authorId="0" shapeId="0" xr:uid="{8AC9A462-1A37-1E4F-9C08-D9C1AE3DE77D}">
      <text>
        <r>
          <rPr>
            <b/>
            <sz val="14"/>
            <color rgb="FF000000"/>
            <rFont val="Calibri"/>
            <family val="34"/>
          </rPr>
          <t xml:space="preserve">5.4 [168.52 cm] (ML 1802/3)
</t>
        </r>
        <r>
          <rPr>
            <sz val="14"/>
            <color rgb="FF000000"/>
            <rFont val="Calibri"/>
            <family val="34"/>
          </rPr>
          <t>5.4.2 [168.96 cm] (ML 1804/5)</t>
        </r>
      </text>
    </comment>
    <comment ref="BF219" authorId="0" shapeId="0" xr:uid="{38B11497-5061-0047-8F13-A03A9B9F4672}">
      <text>
        <r>
          <rPr>
            <sz val="14"/>
            <color rgb="FF000000"/>
            <rFont val="Times New Roman"/>
            <family val="18"/>
          </rPr>
          <t xml:space="preserve">12/09/1796 </t>
        </r>
        <r>
          <rPr>
            <i/>
            <sz val="14"/>
            <color rgb="FF000000"/>
            <rFont val="Times New Roman"/>
            <family val="18"/>
          </rPr>
          <t>Dient von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13/01/1797 </t>
        </r>
        <r>
          <rPr>
            <i/>
            <sz val="14"/>
            <color rgb="FF000000"/>
            <rFont val="Times New Roman"/>
            <family val="18"/>
          </rPr>
          <t>Von Franz Kinsky</t>
        </r>
        <r>
          <rPr>
            <sz val="14"/>
            <color rgb="FF000000"/>
            <rFont val="Times New Roman"/>
            <family val="18"/>
          </rPr>
          <t xml:space="preserve"> </t>
        </r>
        <r>
          <rPr>
            <b/>
            <sz val="14"/>
            <color rgb="FF000000"/>
            <rFont val="Times New Roman"/>
            <family val="18"/>
          </rPr>
          <t>Inf Regt Nr. 47</t>
        </r>
        <r>
          <rPr>
            <sz val="14"/>
            <color rgb="FF000000"/>
            <rFont val="Times New Roman"/>
            <family val="18"/>
          </rPr>
          <t xml:space="preserve"> </t>
        </r>
        <r>
          <rPr>
            <i/>
            <sz val="14"/>
            <color rgb="FF000000"/>
            <rFont val="Times New Roman"/>
            <family val="18"/>
          </rPr>
          <t>anhero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16/06/1800 </t>
        </r>
        <r>
          <rPr>
            <i/>
            <sz val="14"/>
            <color rgb="FF000000"/>
            <rFont val="Times New Roman"/>
            <family val="18"/>
          </rPr>
          <t>In Kriegsgefangenschaft gefallen</t>
        </r>
        <r>
          <rPr>
            <sz val="14"/>
            <color rgb="FF000000"/>
            <rFont val="Times New Roman"/>
            <family val="18"/>
          </rPr>
          <t xml:space="preserve"> </t>
        </r>
        <r>
          <rPr>
            <b/>
            <sz val="14"/>
            <color rgb="FF000000"/>
            <rFont val="Times New Roman"/>
            <family val="18"/>
          </rPr>
          <t>[?Rückzug von Marengo]</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11/06/1801 </t>
        </r>
        <r>
          <rPr>
            <i/>
            <sz val="14"/>
            <color rgb="FF000000"/>
            <rFont val="Times New Roman"/>
            <family val="18"/>
          </rPr>
          <t>Wieder zurück Gebracht gegen Austausch</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10 Haupt Scenus Komp. Nr. 90</t>
        </r>
        <r>
          <rPr>
            <sz val="14"/>
            <color rgb="FF000000"/>
            <rFont val="Calibri"/>
            <family val="34"/>
          </rPr>
          <t xml:space="preserve">
</t>
        </r>
        <r>
          <rPr>
            <sz val="14"/>
            <color rgb="FF000000"/>
            <rFont val="Times New Roman"/>
            <family val="18"/>
          </rPr>
          <t>14/09/1803 Muster: IR 10 Haupt Scenus Komp. Nr. 81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23/08/1804 Muster: IR 10 Haupt Scenus Komp. Nr. 78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16/05/1805 Muster: IR 10 Haupt Scenus Komp. Nr. 73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219" authorId="0" shapeId="0" xr:uid="{65D50958-667B-D949-9141-9C9FB01A7EAB}">
      <text>
        <r>
          <rPr>
            <sz val="14"/>
            <color rgb="FF000000"/>
            <rFont val="Times New Roman"/>
            <family val="18"/>
          </rPr>
          <t>ML 713 IR 10 (1802) – Haupt Scenus Komp. Nr. 90 (Wells 16/09/1802)</t>
        </r>
        <r>
          <rPr>
            <sz val="14"/>
            <color rgb="FF000000"/>
            <rFont val="Calibri"/>
            <family val="34"/>
          </rPr>
          <t xml:space="preserve">
</t>
        </r>
        <r>
          <rPr>
            <sz val="14"/>
            <color rgb="FF000000"/>
            <rFont val="Times New Roman"/>
            <family val="18"/>
          </rPr>
          <t>ML 714 IR 10 (1803) – Haupt Scenus Komp. Nr. 81 (Lischau 14/09/1803)</t>
        </r>
        <r>
          <rPr>
            <sz val="14"/>
            <color rgb="FF000000"/>
            <rFont val="Calibri"/>
            <family val="34"/>
          </rPr>
          <t xml:space="preserve">
</t>
        </r>
        <r>
          <rPr>
            <sz val="14"/>
            <color rgb="FF000000"/>
            <rFont val="Times New Roman"/>
            <family val="18"/>
          </rPr>
          <t>ML 715 IR 10 (1804) – Haupt Scenus Komp. Nr. 78 (Lischau 23/08/1804)</t>
        </r>
        <r>
          <rPr>
            <sz val="14"/>
            <color rgb="FF000000"/>
            <rFont val="Calibri"/>
            <family val="34"/>
          </rPr>
          <t xml:space="preserve">
</t>
        </r>
        <r>
          <rPr>
            <sz val="14"/>
            <color rgb="FF000000"/>
            <rFont val="Times New Roman"/>
            <family val="18"/>
          </rPr>
          <t>ML 716 IR 10 (1805) – Haupt Scenus Komp. Nr. 73 (Graz 16/05/1805)</t>
        </r>
        <r>
          <rPr>
            <sz val="14"/>
            <color rgb="FF000000"/>
            <rFont val="Calibri"/>
            <family val="34"/>
          </rPr>
          <t xml:space="preserve">
</t>
        </r>
        <r>
          <rPr>
            <sz val="14"/>
            <color rgb="FF000000"/>
            <rFont val="Times New Roman"/>
            <family val="18"/>
          </rPr>
          <t>)</t>
        </r>
      </text>
    </comment>
    <comment ref="BH219" authorId="0" shapeId="0" xr:uid="{A4351A8C-3704-4C42-93E4-E5D5C162FEC6}">
      <text>
        <r>
          <rPr>
            <sz val="14"/>
            <color rgb="FF000000"/>
            <rFont val="Calibri"/>
            <family val="34"/>
          </rPr>
          <t>IR 10 (1796-1805)</t>
        </r>
      </text>
    </comment>
    <comment ref="BF220" authorId="0" shapeId="0" xr:uid="{7EF43E75-2315-854A-8795-AEA521DDA3C5}">
      <text>
        <r>
          <rPr>
            <sz val="14"/>
            <color rgb="FF000000"/>
            <rFont val="Times New Roman"/>
            <family val="18"/>
          </rPr>
          <t xml:space="preserve">15/09/1796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1796]</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die Reserve Division eigeruckt</t>
        </r>
        <r>
          <rPr>
            <sz val="14"/>
            <color rgb="FF000000"/>
            <rFont val="Times New Roman"/>
            <family val="18"/>
          </rPr>
          <t xml:space="preserve"> [ST Dec 1796]</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auswärts mit Kriegsgebühr</t>
        </r>
        <r>
          <rPr>
            <sz val="14"/>
            <color rgb="FF000000"/>
            <rFont val="Times New Roman"/>
            <family val="18"/>
          </rPr>
          <t xml:space="preserve"> [ST Mai 1797]</t>
        </r>
        <r>
          <rPr>
            <sz val="14"/>
            <color rgb="FF000000"/>
            <rFont val="Calibri"/>
            <family val="34"/>
          </rPr>
          <t xml:space="preserve">
</t>
        </r>
        <r>
          <rPr>
            <sz val="14"/>
            <color rgb="FF000000"/>
            <rFont val="Times New Roman"/>
            <family val="18"/>
          </rPr>
          <t xml:space="preserve">31/10/1797 [bis Mindestens] </t>
        </r>
        <r>
          <rPr>
            <i/>
            <sz val="14"/>
            <color rgb="FF000000"/>
            <rFont val="Times New Roman"/>
            <family val="18"/>
          </rPr>
          <t>Krank auswärts mit Kriegsgebühr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31/10/1798 [Früher als] UNBEKANNT: vermutlich im Spital gestorben oder verloren gegangen [ML 1799]</t>
        </r>
        <r>
          <rPr>
            <sz val="14"/>
            <color rgb="FF000000"/>
            <rFont val="Calibri"/>
            <family val="34"/>
          </rPr>
          <t xml:space="preserve">
</t>
        </r>
      </text>
    </comment>
    <comment ref="BG220" authorId="0" shapeId="0" xr:uid="{94EC25CD-7C46-4849-9DB5-EBDDC7FF5089}">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r>
          <rPr>
            <sz val="14"/>
            <color rgb="FF000000"/>
            <rFont val="Calibri"/>
            <family val="34"/>
          </rPr>
          <t xml:space="preserve">
</t>
        </r>
        <r>
          <rPr>
            <sz val="14"/>
            <color rgb="FF000000"/>
            <rFont val="Times New Roman"/>
            <family val="18"/>
          </rPr>
          <t>ML 10.305 IR 43 (1797) – ST Feb (09/03/1802), ST Mai (01/06/1803) und Okt (31/05/1805)</t>
        </r>
      </text>
    </comment>
    <comment ref="BH220" authorId="0" shapeId="0" xr:uid="{5668B922-E236-ED4D-B8A7-2CA1E536921B}">
      <text>
        <r>
          <rPr>
            <sz val="14"/>
            <color rgb="FF000000"/>
            <rFont val="Calibri"/>
            <family val="34"/>
          </rPr>
          <t>IR 43 (1796-1797/8)</t>
        </r>
      </text>
    </comment>
    <comment ref="J221" authorId="0" shapeId="0" xr:uid="{8DC9C3F1-7067-7F46-80A0-A638804E13D2}">
      <text>
        <r>
          <rPr>
            <sz val="14"/>
            <color rgb="FF000000"/>
            <rFont val="Calibri"/>
            <family val="34"/>
          </rPr>
          <t xml:space="preserve">Ledig (bis 1803)
</t>
        </r>
        <r>
          <rPr>
            <sz val="14"/>
            <color rgb="FF000000"/>
            <rFont val="Calibri"/>
            <family val="34"/>
          </rPr>
          <t>Verheiratet (seit 1804)</t>
        </r>
      </text>
    </comment>
    <comment ref="P221" authorId="0" shapeId="0" xr:uid="{BD99D36B-ACE5-F248-A6D4-479EF32C72C1}">
      <text>
        <r>
          <rPr>
            <sz val="14"/>
            <color rgb="FF000000"/>
            <rFont val="Times New Roman"/>
            <family val="18"/>
          </rPr>
          <t>Franziska (1804)</t>
        </r>
      </text>
    </comment>
    <comment ref="T221" authorId="0" shapeId="0" xr:uid="{244B25ED-2042-654E-8C42-D22053BB36BB}">
      <text>
        <r>
          <rPr>
            <b/>
            <sz val="14"/>
            <color rgb="FF000000"/>
            <rFont val="Calibri"/>
            <family val="34"/>
          </rPr>
          <t xml:space="preserve">5.3.1 [166.11 cm] (ML 1804/5)
</t>
        </r>
        <r>
          <rPr>
            <sz val="14"/>
            <color rgb="FF000000"/>
            <rFont val="Calibri"/>
            <family val="34"/>
          </rPr>
          <t>5.3.3 [166.55 cm] (ML 1802/3)</t>
        </r>
      </text>
    </comment>
    <comment ref="BF221" authorId="0" shapeId="0" xr:uid="{3267B609-201B-CC4C-9C18-C22514028ECF}">
      <text>
        <r>
          <rPr>
            <sz val="14"/>
            <color rgb="FF000000"/>
            <rFont val="Times New Roman"/>
            <family val="18"/>
          </rPr>
          <t xml:space="preserve">21/09/1796 </t>
        </r>
        <r>
          <rPr>
            <i/>
            <sz val="14"/>
            <color rgb="FF000000"/>
            <rFont val="Times New Roman"/>
            <family val="18"/>
          </rPr>
          <t>Dient seit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10 Haupt Linsinger Komp. Nr. 41</t>
        </r>
        <r>
          <rPr>
            <sz val="14"/>
            <color rgb="FF000000"/>
            <rFont val="Calibri"/>
            <family val="34"/>
          </rPr>
          <t xml:space="preserve">
</t>
        </r>
        <r>
          <rPr>
            <sz val="14"/>
            <color rgb="FF000000"/>
            <rFont val="Times New Roman"/>
            <family val="18"/>
          </rPr>
          <t xml:space="preserve">05/03/1803 </t>
        </r>
        <r>
          <rPr>
            <i/>
            <sz val="14"/>
            <color rgb="FF000000"/>
            <rFont val="Times New Roman"/>
            <family val="18"/>
          </rPr>
          <t>Von der Jüdischen in die Katholische Religion übertreten und hat durch die Heiltauf den Vornamen Friedrich erhalten</t>
        </r>
        <r>
          <rPr>
            <sz val="14"/>
            <color rgb="FF000000"/>
            <rFont val="Times New Roman"/>
            <family val="18"/>
          </rPr>
          <t xml:space="preserve"> [ML 1804] </t>
        </r>
        <r>
          <rPr>
            <sz val="14"/>
            <color rgb="FF000000"/>
            <rFont val="Calibri"/>
            <family val="34"/>
          </rPr>
          <t xml:space="preserve">
</t>
        </r>
        <r>
          <rPr>
            <sz val="14"/>
            <color rgb="FF000000"/>
            <rFont val="Times New Roman"/>
            <family val="18"/>
          </rPr>
          <t>16/09/1803 Muster: IR 10 Haupt Linsinger Komp. Nr. 40</t>
        </r>
        <r>
          <rPr>
            <sz val="14"/>
            <color rgb="FF000000"/>
            <rFont val="Calibri"/>
            <family val="34"/>
          </rPr>
          <t xml:space="preserve">
</t>
        </r>
        <r>
          <rPr>
            <sz val="14"/>
            <color rgb="FF000000"/>
            <rFont val="Times New Roman"/>
            <family val="18"/>
          </rPr>
          <t>25/08/1804 Muster: IR 10 Haupt Planer Komp. Nr. 40</t>
        </r>
        <r>
          <rPr>
            <sz val="14"/>
            <color rgb="FF000000"/>
            <rFont val="Calibri"/>
            <family val="34"/>
          </rPr>
          <t xml:space="preserve">
</t>
        </r>
        <r>
          <rPr>
            <sz val="14"/>
            <color rgb="FF000000"/>
            <rFont val="Times New Roman"/>
            <family val="18"/>
          </rPr>
          <t>16/05/1805 Muster: IR 10 Haupt Planer Komp. Nr. 40</t>
        </r>
        <r>
          <rPr>
            <sz val="14"/>
            <color rgb="FF000000"/>
            <rFont val="Calibri"/>
            <family val="34"/>
          </rPr>
          <t xml:space="preserve">
</t>
        </r>
        <r>
          <rPr>
            <sz val="14"/>
            <color rgb="FF000000"/>
            <rFont val="Calibri"/>
            <family val="34"/>
          </rPr>
          <t xml:space="preserve">
</t>
        </r>
      </text>
    </comment>
    <comment ref="BG221" authorId="0" shapeId="0" xr:uid="{80091AE0-417A-0146-836D-46FAA9889B62}">
      <text>
        <r>
          <rPr>
            <sz val="14"/>
            <color rgb="FF000000"/>
            <rFont val="Times New Roman"/>
            <family val="18"/>
          </rPr>
          <t>ML 713 IR 10 (1802) – Haupt Linsinger Komp. Nr. 41 (Wells 16/09/1802)</t>
        </r>
        <r>
          <rPr>
            <sz val="14"/>
            <color rgb="FF000000"/>
            <rFont val="Calibri"/>
            <family val="34"/>
          </rPr>
          <t xml:space="preserve">
</t>
        </r>
        <r>
          <rPr>
            <sz val="14"/>
            <color rgb="FF000000"/>
            <rFont val="Times New Roman"/>
            <family val="18"/>
          </rPr>
          <t>ML 714 IR 10 (1803) – Haupt Linsinger Komp. Nr. 40 (Neuhaus 16/09/1803)</t>
        </r>
        <r>
          <rPr>
            <sz val="14"/>
            <color rgb="FF000000"/>
            <rFont val="Calibri"/>
            <family val="34"/>
          </rPr>
          <t xml:space="preserve">
</t>
        </r>
        <r>
          <rPr>
            <sz val="14"/>
            <color rgb="FF000000"/>
            <rFont val="Times New Roman"/>
            <family val="18"/>
          </rPr>
          <t>ML 715 IR 10 (1804) – Haupt Planer Komp. Nr. 40 (Neuhaus 25/08/1804)</t>
        </r>
        <r>
          <rPr>
            <sz val="14"/>
            <color rgb="FF000000"/>
            <rFont val="Calibri"/>
            <family val="34"/>
          </rPr>
          <t xml:space="preserve">
</t>
        </r>
        <r>
          <rPr>
            <sz val="14"/>
            <color rgb="FF000000"/>
            <rFont val="Times New Roman"/>
            <family val="18"/>
          </rPr>
          <t>ML 716 IR 10 (1805) – Haupt Planer Komp. Nr. 40 (Graz 16/05/1805)</t>
        </r>
      </text>
    </comment>
    <comment ref="BH221" authorId="0" shapeId="0" xr:uid="{F82743F1-3F39-9742-A343-5171662A2562}">
      <text>
        <r>
          <rPr>
            <sz val="14"/>
            <color rgb="FF000000"/>
            <rFont val="Calibri"/>
            <family val="34"/>
          </rPr>
          <t>IR 10 (1796-1805)</t>
        </r>
      </text>
    </comment>
    <comment ref="CR221" authorId="0" shapeId="0" xr:uid="{41ACA0A4-8BB0-B24D-8F49-3A43BE073E50}">
      <text>
        <r>
          <rPr>
            <sz val="14"/>
            <color rgb="FF000000"/>
            <rFont val="Times New Roman"/>
            <family val="18"/>
          </rPr>
          <t xml:space="preserve">05/03/1803 </t>
        </r>
        <r>
          <rPr>
            <i/>
            <sz val="14"/>
            <color rgb="FF000000"/>
            <rFont val="Times New Roman"/>
            <family val="18"/>
          </rPr>
          <t>Von der Jüdischen in die Katholische Revision übertreten und hat durch die Heiltauf den Vornamen Friedrich erhalten</t>
        </r>
        <r>
          <rPr>
            <sz val="14"/>
            <color rgb="FF000000"/>
            <rFont val="Times New Roman"/>
            <family val="18"/>
          </rPr>
          <t xml:space="preserve"> [ML 1804] </t>
        </r>
      </text>
    </comment>
    <comment ref="BF222" authorId="0" shapeId="0" xr:uid="{5FF0F212-C9E1-4945-9392-C33692D3CFA7}">
      <text>
        <r>
          <rPr>
            <sz val="14"/>
            <color rgb="FF000000"/>
            <rFont val="Times New Roman"/>
            <family val="18"/>
          </rPr>
          <t xml:space="preserve">24/09/1796 </t>
        </r>
        <r>
          <rPr>
            <i/>
            <sz val="14"/>
            <color rgb="FF000000"/>
            <rFont val="Times New Roman"/>
            <family val="18"/>
          </rPr>
          <t>Von galizischen Ständen gestellt und a 3Fl Handgeld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Lieb Komp. Nr. 63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10/02/1803 </t>
        </r>
        <r>
          <rPr>
            <i/>
            <sz val="14"/>
            <color rgb="FF000000"/>
            <rFont val="Times New Roman"/>
            <family val="18"/>
          </rPr>
          <t>Als Reale Invalid mit Laufpaß entlassen</t>
        </r>
        <r>
          <rPr>
            <sz val="14"/>
            <color rgb="FF000000"/>
            <rFont val="Times New Roman"/>
            <family val="18"/>
          </rPr>
          <t xml:space="preserve"> [ML 1803]</t>
        </r>
        <r>
          <rPr>
            <sz val="14"/>
            <color rgb="FF000000"/>
            <rFont val="Calibri"/>
            <family val="2"/>
          </rPr>
          <t xml:space="preserve"> </t>
        </r>
      </text>
    </comment>
    <comment ref="BG222" authorId="0" shapeId="0" xr:uid="{E75BD0BF-E84F-CC46-B335-B8BF0A28116F}">
      <text>
        <r>
          <rPr>
            <sz val="14"/>
            <color rgb="FF000000"/>
            <rFont val="Times New Roman"/>
            <family val="18"/>
          </rPr>
          <t>ML 10.124 IR 23 (1802) – Lieb Komp. Nr. 63 (Krems 09/09/1802)</t>
        </r>
        <r>
          <rPr>
            <sz val="14"/>
            <color rgb="FF000000"/>
            <rFont val="Calibri"/>
            <family val="34"/>
          </rPr>
          <t xml:space="preserve">
</t>
        </r>
        <r>
          <rPr>
            <sz val="14"/>
            <color rgb="FF000000"/>
            <rFont val="Times New Roman"/>
            <family val="18"/>
          </rPr>
          <t>ML 10.125 IR 23 (1802) – Lieb Komp. Abgang (Execierlager bei St Pölten 07/09/1803)</t>
        </r>
      </text>
    </comment>
    <comment ref="BH222" authorId="0" shapeId="0" xr:uid="{39E29BB4-F4E6-094F-806B-5898A9B784FA}">
      <text>
        <r>
          <rPr>
            <sz val="14"/>
            <color rgb="FF000000"/>
            <rFont val="Calibri"/>
            <family val="34"/>
          </rPr>
          <t>IR 23 (1796-1803)</t>
        </r>
      </text>
    </comment>
    <comment ref="BF223" authorId="0" shapeId="0" xr:uid="{F4540AA2-4D1B-AE41-8C31-3FB6A7F1B44B}">
      <text>
        <r>
          <rPr>
            <sz val="14"/>
            <color rgb="FF000000"/>
            <rFont val="Times New Roman"/>
            <family val="18"/>
          </rPr>
          <t xml:space="preserve">24/09/1796 </t>
        </r>
        <r>
          <rPr>
            <i/>
            <sz val="14"/>
            <color rgb="FF000000"/>
            <rFont val="Times New Roman"/>
            <family val="18"/>
          </rPr>
          <t>Von Ständen Gestellt und a 3Fl auf Kriegsdauer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74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64</t>
        </r>
        <r>
          <rPr>
            <sz val="14"/>
            <color rgb="FF000000"/>
            <rFont val="Calibri"/>
            <family val="34"/>
          </rPr>
          <t xml:space="preserve">
</t>
        </r>
        <r>
          <rPr>
            <sz val="14"/>
            <color rgb="FF000000"/>
            <rFont val="Times New Roman"/>
            <family val="18"/>
          </rPr>
          <t>13/09/1804 Muster: IR 23 Haupt Hochegg Nr. 62 [</t>
        </r>
        <r>
          <rPr>
            <i/>
            <sz val="14"/>
            <color rgb="FF000000"/>
            <rFont val="Times New Roman"/>
            <family val="18"/>
          </rPr>
          <t>Krank in Wien</t>
        </r>
        <r>
          <rPr>
            <sz val="14"/>
            <color rgb="FF000000"/>
            <rFont val="Times New Roman"/>
            <family val="18"/>
          </rPr>
          <t>]</t>
        </r>
        <r>
          <rPr>
            <sz val="14"/>
            <color rgb="FF000000"/>
            <rFont val="Calibri"/>
            <family val="34"/>
          </rPr>
          <t xml:space="preserve">
</t>
        </r>
        <r>
          <rPr>
            <sz val="14"/>
            <color rgb="FF000000"/>
            <rFont val="Times New Roman"/>
            <family val="18"/>
          </rPr>
          <t xml:space="preserve">20/06/1805 </t>
        </r>
        <r>
          <rPr>
            <i/>
            <sz val="14"/>
            <color rgb="FF000000"/>
            <rFont val="Times New Roman"/>
            <family val="18"/>
          </rPr>
          <t>Als ausgedienter Capitulant mit Abschied entlassen</t>
        </r>
        <r>
          <rPr>
            <sz val="14"/>
            <color rgb="FF000000"/>
            <rFont val="Times New Roman"/>
            <family val="18"/>
          </rPr>
          <t xml:space="preserve"> [ML 1807]</t>
        </r>
      </text>
    </comment>
    <comment ref="BG223" authorId="0" shapeId="0" xr:uid="{B09EF340-9FEA-434F-A469-1A312C352E26}">
      <text>
        <r>
          <rPr>
            <sz val="14"/>
            <color rgb="FF000000"/>
            <rFont val="Times New Roman"/>
            <family val="18"/>
          </rPr>
          <t>ML 10.124 IR 23 (1802) – Haupt Hochegg Komp. Nr. 74 (Krems 09/09/1802)</t>
        </r>
        <r>
          <rPr>
            <sz val="14"/>
            <color rgb="FF000000"/>
            <rFont val="Calibri"/>
            <family val="34"/>
          </rPr>
          <t xml:space="preserve">
</t>
        </r>
        <r>
          <rPr>
            <sz val="14"/>
            <color rgb="FF000000"/>
            <rFont val="Times New Roman"/>
            <family val="18"/>
          </rPr>
          <t>ML 10.125 IR 23 (1803) – Haupt Hochegg Komp. Nr. 64 (Execierlager bei St Pölten 07/09/1803)</t>
        </r>
        <r>
          <rPr>
            <sz val="14"/>
            <color rgb="FF000000"/>
            <rFont val="Calibri"/>
            <family val="34"/>
          </rPr>
          <t xml:space="preserve">
</t>
        </r>
        <r>
          <rPr>
            <sz val="14"/>
            <color rgb="FF000000"/>
            <rFont val="Times New Roman"/>
            <family val="18"/>
          </rPr>
          <t>10.126 IR 23 (1804) – Haupt Hochegg Komp. Nr. 62 (Vienna 13/09/1804)</t>
        </r>
        <r>
          <rPr>
            <sz val="14"/>
            <color rgb="FF000000"/>
            <rFont val="Calibri"/>
            <family val="34"/>
          </rPr>
          <t xml:space="preserve">
</t>
        </r>
        <r>
          <rPr>
            <sz val="14"/>
            <color rgb="FF000000"/>
            <rFont val="Times New Roman"/>
            <family val="18"/>
          </rPr>
          <t>ML 10.127/8 IR 23 (1807) – Haupt Della Torre Komp. Abgang (Korneuburg 24/01/1807)</t>
        </r>
      </text>
    </comment>
    <comment ref="BH223" authorId="0" shapeId="0" xr:uid="{D59B6871-9716-7B45-A162-FD2C9DDD2FFB}">
      <text>
        <r>
          <rPr>
            <sz val="14"/>
            <color rgb="FF000000"/>
            <rFont val="Calibri"/>
            <family val="34"/>
          </rPr>
          <t>IR 23 (1796-1805)</t>
        </r>
      </text>
    </comment>
    <comment ref="BF224" authorId="0" shapeId="0" xr:uid="{EA9F02CE-F34C-9644-B6BF-5CE77C20D4C2}">
      <text>
        <r>
          <rPr>
            <sz val="14"/>
            <color rgb="FF000000"/>
            <rFont val="Times New Roman"/>
            <family val="18"/>
          </rPr>
          <t xml:space="preserve">25/09/1796 </t>
        </r>
        <r>
          <rPr>
            <i/>
            <sz val="14"/>
            <color rgb="FF000000"/>
            <rFont val="Times New Roman"/>
            <family val="18"/>
          </rPr>
          <t>A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In die Gefangenschaft gefallen</t>
        </r>
        <r>
          <rPr>
            <sz val="14"/>
            <color rgb="FF000000"/>
            <rFont val="Times New Roman"/>
            <family val="18"/>
          </rPr>
          <t xml:space="preserve"> </t>
        </r>
        <r>
          <rPr>
            <b/>
            <sz val="14"/>
            <color rgb="FF000000"/>
            <rFont val="Times New Roman"/>
            <family val="18"/>
          </rPr>
          <t>[Bei Genua]</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12/04/1800 </t>
        </r>
        <r>
          <rPr>
            <i/>
            <sz val="14"/>
            <color rgb="FF000000"/>
            <rFont val="Times New Roman"/>
            <family val="18"/>
          </rPr>
          <t>gegen Auswechslung 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Nr. 36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r>
          <rPr>
            <sz val="14"/>
            <color rgb="FF000000"/>
            <rFont val="Calibri"/>
            <family val="34"/>
          </rPr>
          <t xml:space="preserve">
</t>
        </r>
      </text>
    </comment>
    <comment ref="BG224" authorId="0" shapeId="0" xr:uid="{6903BCB4-177E-CD4E-A382-B15658C5FF07}">
      <text>
        <r>
          <rPr>
            <sz val="14"/>
            <color rgb="FF000000"/>
            <rFont val="Times New Roman"/>
            <family val="18"/>
          </rPr>
          <t>ML 5015 IR 59 (1803) –Haupt Setlinger Komp. Nr. 36 (Enns 29/08/1803)</t>
        </r>
        <r>
          <rPr>
            <sz val="14"/>
            <color rgb="FF000000"/>
            <rFont val="Calibri"/>
            <family val="34"/>
          </rPr>
          <t xml:space="preserve">
</t>
        </r>
        <r>
          <rPr>
            <sz val="14"/>
            <color rgb="FF000000"/>
            <rFont val="Times New Roman"/>
            <family val="18"/>
          </rPr>
          <t>ML 5016 IR 59 (1804) –Haupt Setlinger Komp. Abgang (Innsbruck 03/09/1804)</t>
        </r>
      </text>
    </comment>
    <comment ref="BH224" authorId="0" shapeId="0" xr:uid="{A3DADFA7-2C06-3B49-A12C-24C02EEB5460}">
      <text>
        <r>
          <rPr>
            <sz val="14"/>
            <color rgb="FF000000"/>
            <rFont val="Calibri"/>
            <family val="34"/>
          </rPr>
          <t>IR 43 (1796-1803)</t>
        </r>
      </text>
    </comment>
    <comment ref="BF225" authorId="0" shapeId="0" xr:uid="{711292ED-D8EB-6248-BB78-E04FE01D4044}">
      <text>
        <r>
          <rPr>
            <sz val="14"/>
            <color rgb="FF000000"/>
            <rFont val="Times New Roman"/>
            <family val="18"/>
          </rPr>
          <t xml:space="preserve">26/09/1796 </t>
        </r>
        <r>
          <rPr>
            <i/>
            <sz val="14"/>
            <color rgb="FF000000"/>
            <rFont val="Times New Roman"/>
            <family val="18"/>
          </rPr>
          <t xml:space="preserve">Zu Stanislau gegen 3Fl auf Beständig assentiert </t>
        </r>
        <r>
          <rPr>
            <sz val="14"/>
            <color rgb="FF000000"/>
            <rFont val="Times New Roman"/>
            <family val="18"/>
          </rPr>
          <t>[ML 1802]</t>
        </r>
        <r>
          <rPr>
            <sz val="14"/>
            <color rgb="FF000000"/>
            <rFont val="Times New Roman"/>
            <family val="18"/>
          </rPr>
          <t xml:space="preserve">
</t>
        </r>
        <r>
          <rPr>
            <sz val="14"/>
            <color rgb="FF000000"/>
            <rFont val="Times New Roman"/>
            <family val="18"/>
          </rPr>
          <t>18/09/1802 Muster: IR 13 ObristLt Komp. Nr. 49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11/1802 </t>
        </r>
        <r>
          <rPr>
            <i/>
            <sz val="14"/>
            <color rgb="FF000000"/>
            <rFont val="Times New Roman"/>
            <family val="18"/>
          </rPr>
          <t>Vermog In- und oberost. Gral.Comdp Verordnung gegen Stellung eines uncapitulierten Ausländer Rekrutten und Erlag des Montouts Geld zu 26Fl 11xr als Halb Invalide mit Abschied entlassen</t>
        </r>
        <r>
          <rPr>
            <sz val="14"/>
            <color rgb="FF000000"/>
            <rFont val="Times New Roman"/>
            <family val="18"/>
          </rPr>
          <t xml:space="preserve"> [ML 1803] </t>
        </r>
      </text>
    </comment>
    <comment ref="BG225" authorId="0" shapeId="0" xr:uid="{C441D66C-3DDF-BB4C-A555-B834BF7ECF8A}">
      <text>
        <r>
          <rPr>
            <sz val="14"/>
            <color rgb="FF000000"/>
            <rFont val="Times New Roman"/>
            <family val="18"/>
          </rPr>
          <t xml:space="preserve">ML 10.045/6 IR 13 (1802) – ObristLt Komp. Nr. 49 (Capo D‘Istria 18/09/1802)
</t>
        </r>
        <r>
          <rPr>
            <sz val="14"/>
            <color rgb="FF000000"/>
            <rFont val="Times New Roman"/>
            <family val="18"/>
          </rPr>
          <t>ML 10.047/8 IR 13 (1803) – ObristLt. Komp. Abgang (Capo D‘Istria 24/09/1803)</t>
        </r>
      </text>
    </comment>
    <comment ref="BH225" authorId="0" shapeId="0" xr:uid="{935D8124-7120-DA48-B881-2C299F032398}">
      <text>
        <r>
          <rPr>
            <sz val="14"/>
            <color rgb="FF000000"/>
            <rFont val="Calibri"/>
            <family val="34"/>
          </rPr>
          <t>IR 13 (1796-1802)</t>
        </r>
      </text>
    </comment>
    <comment ref="BF226" authorId="0" shapeId="0" xr:uid="{8F82364D-BCE1-E742-925B-A5A7D69B9CB9}">
      <text>
        <r>
          <rPr>
            <sz val="14"/>
            <color rgb="FF000000"/>
            <rFont val="Times New Roman"/>
            <family val="18"/>
          </rPr>
          <t xml:space="preserve">26/09/1796 </t>
        </r>
        <r>
          <rPr>
            <i/>
            <sz val="14"/>
            <color rgb="FF000000"/>
            <rFont val="Times New Roman"/>
            <family val="18"/>
          </rPr>
          <t>Von Ständen gestellt und a 3Fl auf Kriegsdauer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65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64 [</t>
        </r>
        <r>
          <rPr>
            <i/>
            <sz val="14"/>
            <color rgb="FF000000"/>
            <rFont val="Times New Roman"/>
            <family val="18"/>
          </rPr>
          <t>Beurlaubt in seinem Geburtsort auf Bestimmte Zeit</t>
        </r>
        <r>
          <rPr>
            <sz val="14"/>
            <color rgb="FF000000"/>
            <rFont val="Times New Roman"/>
            <family val="18"/>
          </rPr>
          <t>]</t>
        </r>
        <r>
          <rPr>
            <sz val="14"/>
            <color rgb="FF000000"/>
            <rFont val="Calibri"/>
            <family val="34"/>
          </rPr>
          <t xml:space="preserve">
</t>
        </r>
        <r>
          <rPr>
            <sz val="14"/>
            <color rgb="FF000000"/>
            <rFont val="Times New Roman"/>
            <family val="18"/>
          </rPr>
          <t>13/09/1804 Muster: IR 23 Haupt Hochegg Nr. 63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 </t>
        </r>
      </text>
    </comment>
    <comment ref="BG226" authorId="0" shapeId="0" xr:uid="{6D459972-D37F-A540-AF95-89162D80C382}">
      <text>
        <r>
          <rPr>
            <sz val="14"/>
            <color rgb="FF000000"/>
            <rFont val="Times New Roman"/>
            <family val="18"/>
          </rPr>
          <t>ML 10.124 IR 23 (1802) – Haupt Hochegg Komp. Nr. 75 (Krems 09/09/1802)</t>
        </r>
        <r>
          <rPr>
            <sz val="14"/>
            <color rgb="FF000000"/>
            <rFont val="Calibri"/>
            <family val="34"/>
          </rPr>
          <t xml:space="preserve">
</t>
        </r>
        <r>
          <rPr>
            <sz val="14"/>
            <color rgb="FF000000"/>
            <rFont val="Times New Roman"/>
            <family val="18"/>
          </rPr>
          <t>ML 10.125 IR 23 (1803) – Haupt Hochegg Komp. Nr. 65 (Execierlager bei St Pölten 07/09/1803)</t>
        </r>
        <r>
          <rPr>
            <sz val="14"/>
            <color rgb="FF000000"/>
            <rFont val="Calibri"/>
            <family val="34"/>
          </rPr>
          <t xml:space="preserve">
</t>
        </r>
        <r>
          <rPr>
            <sz val="14"/>
            <color rgb="FF000000"/>
            <rFont val="Times New Roman"/>
            <family val="18"/>
          </rPr>
          <t>10.126 IR 23 (1804) – Haupt Hochegg Komp. Nr. 63 (Vienna 13/09/1804)</t>
        </r>
        <r>
          <rPr>
            <sz val="14"/>
            <color rgb="FF000000"/>
            <rFont val="Calibri"/>
            <family val="34"/>
          </rPr>
          <t xml:space="preserve">
</t>
        </r>
        <r>
          <rPr>
            <sz val="14"/>
            <color rgb="FF000000"/>
            <rFont val="Times New Roman"/>
            <family val="18"/>
          </rPr>
          <t>ML 10.127/8 IR 23 (1807) – Haupt Della Torre Komp. Abgang (Korneuburg 24/01/1807)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226" authorId="0" shapeId="0" xr:uid="{8E62DA36-B707-8A45-9B1C-2B88576BABA2}">
      <text>
        <r>
          <rPr>
            <sz val="14"/>
            <color rgb="FF000000"/>
            <rFont val="Calibri"/>
            <family val="34"/>
          </rPr>
          <t>IR 43 (1796-1806)</t>
        </r>
      </text>
    </comment>
    <comment ref="BF227" authorId="0" shapeId="0" xr:uid="{61C19F25-44A0-B342-A1BA-B6C7B84918D8}">
      <text>
        <r>
          <rPr>
            <sz val="14"/>
            <color rgb="FF000000"/>
            <rFont val="Times New Roman"/>
            <family val="18"/>
          </rPr>
          <t xml:space="preserve">26/09/1796 </t>
        </r>
        <r>
          <rPr>
            <i/>
            <sz val="14"/>
            <color rgb="FF000000"/>
            <rFont val="Times New Roman"/>
            <family val="18"/>
          </rPr>
          <t>a 3Fl von Gallizieshcne Ständen auf Beständig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31/07/1803</t>
        </r>
        <r>
          <rPr>
            <i/>
            <sz val="14"/>
            <color rgb="FF000000"/>
            <rFont val="Times New Roman"/>
            <family val="18"/>
          </rPr>
          <t xml:space="preserve"> Vermog Anzeige des Przemysl Werbbzirk Kommando während unbestimmten Urlaubs entwichen </t>
        </r>
        <r>
          <rPr>
            <sz val="14"/>
            <color rgb="FF000000"/>
            <rFont val="Times New Roman"/>
            <family val="18"/>
          </rPr>
          <t>[ML 1803 &amp; ST Aug 1803]</t>
        </r>
      </text>
    </comment>
    <comment ref="BG227" authorId="0" shapeId="0" xr:uid="{682B8189-9171-0442-B3C6-4666C8C06A43}">
      <text>
        <r>
          <rPr>
            <sz val="14"/>
            <color rgb="FF000000"/>
            <rFont val="Times New Roman"/>
            <family val="18"/>
          </rPr>
          <t>ML 5015 IR 59 (1803) – Haupt. Gollner Komp. Ohne Nummer zwischen 57 und 58 &amp; Abgang (Enns 29/08/1803)</t>
        </r>
        <r>
          <rPr>
            <sz val="14"/>
            <color rgb="FF000000"/>
            <rFont val="Calibri"/>
            <family val="34"/>
          </rPr>
          <t xml:space="preserve">
</t>
        </r>
        <r>
          <rPr>
            <sz val="14"/>
            <color rgb="FF000000"/>
            <rFont val="Times New Roman"/>
            <family val="18"/>
          </rPr>
          <t>ML 5062 IR 59 (1803) – ST Aug (23/09/1803)</t>
        </r>
        <r>
          <rPr>
            <sz val="14"/>
            <color rgb="FF000000"/>
            <rFont val="Calibri"/>
            <family val="34"/>
          </rPr>
          <t xml:space="preserve">
</t>
        </r>
      </text>
    </comment>
    <comment ref="BH227" authorId="0" shapeId="0" xr:uid="{90EE8C89-2AFA-2C41-B3E3-14272118D494}">
      <text>
        <r>
          <rPr>
            <sz val="14"/>
            <color rgb="FF000000"/>
            <rFont val="Calibri"/>
            <family val="34"/>
          </rPr>
          <t>IR 59 (1796-1803)</t>
        </r>
      </text>
    </comment>
    <comment ref="T228" authorId="0" shapeId="0" xr:uid="{3B3BC1CC-5377-A448-996C-7E24BA947FCB}">
      <text>
        <r>
          <rPr>
            <sz val="14"/>
            <color rgb="FF000000"/>
            <rFont val="Calibri"/>
            <family val="34"/>
          </rPr>
          <t xml:space="preserve">5.1.2 [161.07 cm] (ML 1802)
</t>
        </r>
        <r>
          <rPr>
            <sz val="14"/>
            <color rgb="FF000000"/>
            <rFont val="Calibri"/>
            <family val="34"/>
          </rPr>
          <t xml:space="preserve">5.2.2 [163.7 cm] (ML 1803)
</t>
        </r>
        <r>
          <rPr>
            <sz val="14"/>
            <color rgb="FF000000"/>
            <rFont val="Calibri"/>
            <family val="34"/>
          </rPr>
          <t>5.3.2 [166.33 cm] (ML 1806)</t>
        </r>
      </text>
    </comment>
    <comment ref="BF228" authorId="0" shapeId="0" xr:uid="{5DF262F0-1393-3149-BCB2-AF858CD7EC85}">
      <text>
        <r>
          <rPr>
            <sz val="14"/>
            <color rgb="FF000000"/>
            <rFont val="Times New Roman"/>
            <family val="18"/>
          </rPr>
          <t xml:space="preserve">26/09/1796 </t>
        </r>
        <r>
          <rPr>
            <i/>
            <sz val="14"/>
            <color rgb="FF000000"/>
            <rFont val="Times New Roman"/>
            <family val="18"/>
          </rPr>
          <t>Von Landständen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[Battle of Marengo]</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11/05/1801 </t>
        </r>
        <r>
          <rPr>
            <i/>
            <sz val="14"/>
            <color rgb="FF000000"/>
            <rFont val="Times New Roman"/>
            <family val="18"/>
          </rPr>
          <t>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dissolvierte Reserve Division zur Haupt Pappius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Pappius Komp Nr. 139 [</t>
        </r>
        <r>
          <rPr>
            <i/>
            <sz val="14"/>
            <color rgb="FF000000"/>
            <rFont val="Times New Roman"/>
            <family val="18"/>
          </rPr>
          <t>Commandiert in Laxenburg</t>
        </r>
        <r>
          <rPr>
            <sz val="14"/>
            <color rgb="FF000000"/>
            <rFont val="Times New Roman"/>
            <family val="18"/>
          </rPr>
          <t>]</t>
        </r>
        <r>
          <rPr>
            <sz val="14"/>
            <color rgb="FF000000"/>
            <rFont val="Calibri"/>
            <family val="34"/>
          </rPr>
          <t xml:space="preserve">
</t>
        </r>
        <r>
          <rPr>
            <sz val="14"/>
            <color rgb="FF000000"/>
            <rFont val="Times New Roman"/>
            <family val="18"/>
          </rPr>
          <t>13/09/1803 Muster: IR 23 Haupt Pappius Komp Nr. 116</t>
        </r>
        <r>
          <rPr>
            <sz val="14"/>
            <color rgb="FF000000"/>
            <rFont val="Calibri"/>
            <family val="34"/>
          </rPr>
          <t xml:space="preserve">
</t>
        </r>
        <r>
          <rPr>
            <sz val="14"/>
            <color rgb="FF000000"/>
            <rFont val="Times New Roman"/>
            <family val="18"/>
          </rPr>
          <t>06/09/1804 Muster: IR 23 Haupt Pappius Komp Nr. 109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Pappius Komp. zum Haupt Wagner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02/12/1805 </t>
        </r>
        <r>
          <rPr>
            <i/>
            <sz val="14"/>
            <color rgb="FF000000"/>
            <rFont val="Times New Roman"/>
            <family val="18"/>
          </rPr>
          <t>Gefangen</t>
        </r>
        <r>
          <rPr>
            <sz val="14"/>
            <color rgb="FF000000"/>
            <rFont val="Times New Roman"/>
            <family val="18"/>
          </rPr>
          <t xml:space="preserve"> </t>
        </r>
        <r>
          <rPr>
            <b/>
            <sz val="14"/>
            <color rgb="FF000000"/>
            <rFont val="Times New Roman"/>
            <family val="18"/>
          </rPr>
          <t>[Schlacht von Austerlitz]</t>
        </r>
        <r>
          <rPr>
            <sz val="14"/>
            <color rgb="FF000000"/>
            <rFont val="Times New Roman"/>
            <family val="18"/>
          </rPr>
          <t xml:space="preserve"> [ML 1807] </t>
        </r>
        <r>
          <rPr>
            <sz val="14"/>
            <color rgb="FF000000"/>
            <rFont val="Calibri"/>
            <family val="34"/>
          </rPr>
          <t xml:space="preserve">
</t>
        </r>
        <r>
          <rPr>
            <sz val="14"/>
            <color rgb="FF000000"/>
            <rFont val="Times New Roman"/>
            <family val="18"/>
          </rPr>
          <t xml:space="preserve">07/12/1805 </t>
        </r>
        <r>
          <rPr>
            <i/>
            <sz val="14"/>
            <color rgb="FF000000"/>
            <rFont val="Times New Roman"/>
            <family val="18"/>
          </rPr>
          <t>Von Kriegsgefangenschaft ranzioniert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26/01/1807 Muster: IR 23 Haupt Wagner Nr. 93</t>
        </r>
        <r>
          <rPr>
            <sz val="14"/>
            <color rgb="FF000000"/>
            <rFont val="Calibri"/>
            <family val="34"/>
          </rPr>
          <t xml:space="preserve">
</t>
        </r>
        <r>
          <rPr>
            <sz val="14"/>
            <color rgb="FF000000"/>
            <rFont val="Times New Roman"/>
            <family val="18"/>
          </rPr>
          <t xml:space="preserve">01/06/1808 </t>
        </r>
        <r>
          <rPr>
            <i/>
            <sz val="14"/>
            <color rgb="FF000000"/>
            <rFont val="Times New Roman"/>
            <family val="18"/>
          </rPr>
          <t>Von Haupt Wagner zum Haupt Balbus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23/09/1808 Muster: IR 23 Haupt Balbus Komp Nr. 164</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15. Fus Komp. zum Depot Division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 xml:space="preserve">Bei die </t>
        </r>
        <r>
          <rPr>
            <b/>
            <i/>
            <sz val="14"/>
            <color rgb="FF000000"/>
            <rFont val="Times New Roman"/>
            <family val="18"/>
          </rPr>
          <t xml:space="preserve">Erstürmung von Festung Zamosc </t>
        </r>
        <r>
          <rPr>
            <i/>
            <sz val="14"/>
            <color rgb="FF000000"/>
            <rFont val="Times New Roman"/>
            <family val="18"/>
          </rPr>
          <t>in polnische Kriegsgefangenschaft gefallen</t>
        </r>
        <r>
          <rPr>
            <sz val="14"/>
            <color rgb="FF000000"/>
            <rFont val="Times New Roman"/>
            <family val="18"/>
          </rPr>
          <t xml:space="preserve"> [SU June 1809] </t>
        </r>
      </text>
    </comment>
    <comment ref="BG228" authorId="0" shapeId="0" xr:uid="{7986E330-5538-CC45-97AC-3D07938652CD}">
      <text>
        <r>
          <rPr>
            <sz val="14"/>
            <color rgb="FF000000"/>
            <rFont val="Times New Roman"/>
            <family val="18"/>
          </rPr>
          <t>ML 10.124 IR 23 (1802) – Haupt Pappius Komp. Nr. 139 (Vienna 16/09/1802)</t>
        </r>
        <r>
          <rPr>
            <sz val="14"/>
            <color rgb="FF000000"/>
            <rFont val="Calibri"/>
            <family val="34"/>
          </rPr>
          <t xml:space="preserve">
</t>
        </r>
        <r>
          <rPr>
            <sz val="14"/>
            <color rgb="FF000000"/>
            <rFont val="Times New Roman"/>
            <family val="18"/>
          </rPr>
          <t>ML 10.125 IR 23 (1802) – Haupt Pappius Komp. Nr. 116 (Vienna 13/09/1803)</t>
        </r>
        <r>
          <rPr>
            <sz val="14"/>
            <color rgb="FF000000"/>
            <rFont val="Calibri"/>
            <family val="34"/>
          </rPr>
          <t xml:space="preserve">
</t>
        </r>
        <r>
          <rPr>
            <sz val="14"/>
            <color rgb="FF000000"/>
            <rFont val="Times New Roman"/>
            <family val="18"/>
          </rPr>
          <t>ML 10.126 IR 23 (1804) – Haupt Pappius Komp. Nr. 109 (Krems 06/09/1804)</t>
        </r>
        <r>
          <rPr>
            <sz val="14"/>
            <color rgb="FF000000"/>
            <rFont val="Calibri"/>
            <family val="34"/>
          </rPr>
          <t xml:space="preserve">
</t>
        </r>
        <r>
          <rPr>
            <sz val="14"/>
            <color rgb="FF000000"/>
            <rFont val="Times New Roman"/>
            <family val="18"/>
          </rPr>
          <t>ML 10.127/8 IR 23 (1807) – Haupt Wagner Komp. Nr. 93 (Poysdorf 26/01/1807)</t>
        </r>
        <r>
          <rPr>
            <sz val="14"/>
            <color rgb="FF000000"/>
            <rFont val="Calibri"/>
            <family val="34"/>
          </rPr>
          <t xml:space="preserve">
</t>
        </r>
        <r>
          <rPr>
            <sz val="14"/>
            <color rgb="FF000000"/>
            <rFont val="Times New Roman"/>
            <family val="18"/>
          </rPr>
          <t>ML 10.129 IR 23 (1808) – Haupt Balbus Komp. Nr. 164 (Zamosc 23/09/1808)</t>
        </r>
        <r>
          <rPr>
            <sz val="14"/>
            <color rgb="FF000000"/>
            <rFont val="Calibri"/>
            <family val="34"/>
          </rPr>
          <t xml:space="preserve">
</t>
        </r>
        <r>
          <rPr>
            <sz val="14"/>
            <color rgb="FF000000"/>
            <rFont val="Times New Roman"/>
            <family val="18"/>
          </rPr>
          <t>ML 10.181 IR 23 (1809) – ST March (Comorn 05/11/1810), ST June (??)</t>
        </r>
        <r>
          <rPr>
            <sz val="14"/>
            <color rgb="FF000000"/>
            <rFont val="Calibri"/>
            <family val="34"/>
          </rPr>
          <t xml:space="preserve">
</t>
        </r>
      </text>
    </comment>
    <comment ref="BH228" authorId="0" shapeId="0" xr:uid="{4761D32F-61F6-BE44-A19B-AF0E0E97DECD}">
      <text>
        <r>
          <rPr>
            <sz val="14"/>
            <color rgb="FF000000"/>
            <rFont val="Calibri"/>
            <family val="34"/>
          </rPr>
          <t>IR 59 (1796-1809)</t>
        </r>
      </text>
    </comment>
    <comment ref="BF229" authorId="0" shapeId="0" xr:uid="{C54DA22A-6F4B-CB44-B584-41D4DA083B58}">
      <text>
        <r>
          <rPr>
            <sz val="14"/>
            <color rgb="FF000000"/>
            <rFont val="Times New Roman"/>
            <family val="18"/>
          </rPr>
          <t xml:space="preserve">26/09/1796 </t>
        </r>
        <r>
          <rPr>
            <i/>
            <sz val="14"/>
            <color rgb="FF000000"/>
            <rFont val="Times New Roman"/>
            <family val="18"/>
          </rPr>
          <t>Zu Stanislau a 3Fl Handgeld auf Beständig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13 Haupt Brambilla Komp. Nr. 94 [</t>
        </r>
        <r>
          <rPr>
            <i/>
            <sz val="14"/>
            <color rgb="FF000000"/>
            <rFont val="Times New Roman"/>
            <family val="18"/>
          </rPr>
          <t>Auf Urlaub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01/06/1803 </t>
        </r>
        <r>
          <rPr>
            <i/>
            <sz val="14"/>
            <color rgb="FF000000"/>
            <rFont val="Times New Roman"/>
            <family val="18"/>
          </rPr>
          <t>Gegen Stellung zweier Ausländer Rekruten und Erlaag des doppelten Montur Geld a 52Fl 22xr mit Abschied entlassen</t>
        </r>
        <r>
          <rPr>
            <sz val="14"/>
            <color rgb="FF000000"/>
            <rFont val="Times New Roman"/>
            <family val="18"/>
          </rPr>
          <t xml:space="preserve"> [AL June 1803 &amp; ML 1803] </t>
        </r>
      </text>
    </comment>
    <comment ref="BG229" authorId="0" shapeId="0" xr:uid="{235755FB-29C2-6248-B03D-3FB2A5121CF9}">
      <text>
        <r>
          <rPr>
            <sz val="14"/>
            <color rgb="FF000000"/>
            <rFont val="Times New Roman"/>
            <family val="18"/>
          </rPr>
          <t>ML 10.045/6 IR 13 (1802) – Haupt Brambila Komp. Nr. 94 (Triest 16/09/1802)</t>
        </r>
        <r>
          <rPr>
            <sz val="14"/>
            <color rgb="FF000000"/>
            <rFont val="Times New Roman"/>
            <family val="18"/>
          </rPr>
          <t xml:space="preserve">
</t>
        </r>
        <r>
          <rPr>
            <sz val="14"/>
            <color rgb="FF000000"/>
            <rFont val="Times New Roman"/>
            <family val="18"/>
          </rPr>
          <t>ML 10.047/8 IR 13 (1803) – Haupt Brambila Komp. Abgang (Triest 21/09/1803)</t>
        </r>
        <r>
          <rPr>
            <sz val="14"/>
            <color rgb="FF000000"/>
            <rFont val="Times New Roman"/>
            <family val="18"/>
          </rPr>
          <t xml:space="preserve">
</t>
        </r>
        <r>
          <rPr>
            <sz val="14"/>
            <color rgb="FF000000"/>
            <rFont val="Times New Roman"/>
            <family val="18"/>
          </rPr>
          <t>ML 10.086 IR 13 (1803) AL/TL – AL of Leiser WEIGNER (</t>
        </r>
        <r>
          <rPr>
            <sz val="14"/>
            <color rgb="FF000000"/>
            <rFont val="Times New Roman"/>
            <family val="18"/>
          </rPr>
          <t>Nadworna 01/06/1803)</t>
        </r>
      </text>
    </comment>
    <comment ref="BH229" authorId="0" shapeId="0" xr:uid="{C8E954B4-E1A6-0E43-A908-EAD8839472C2}">
      <text>
        <r>
          <rPr>
            <sz val="14"/>
            <color rgb="FF000000"/>
            <rFont val="Calibri"/>
            <family val="34"/>
          </rPr>
          <t>IR 13 (1796-1803)</t>
        </r>
      </text>
    </comment>
    <comment ref="K230" authorId="0" shapeId="0" xr:uid="{37B40F44-EF62-0545-A72D-49F6B2696B73}">
      <text>
        <r>
          <rPr>
            <sz val="14"/>
            <color rgb="FF000000"/>
            <rFont val="Calibri"/>
            <family val="34"/>
          </rPr>
          <t xml:space="preserve">Barbier (1802)
</t>
        </r>
        <r>
          <rPr>
            <sz val="14"/>
            <color rgb="FF000000"/>
            <rFont val="Calibri"/>
            <family val="34"/>
          </rPr>
          <t>Ohne (1810)</t>
        </r>
      </text>
    </comment>
    <comment ref="T230" authorId="0" shapeId="0" xr:uid="{706FBC07-EF43-2A43-9188-648711838BB7}">
      <text>
        <r>
          <rPr>
            <b/>
            <sz val="14"/>
            <color rgb="FF000000"/>
            <rFont val="Calibri"/>
            <family val="34"/>
          </rPr>
          <t xml:space="preserve">5.2 [163.26 cm] (ML 1802)
</t>
        </r>
        <r>
          <rPr>
            <sz val="14"/>
            <color rgb="FF000000"/>
            <rFont val="Calibri"/>
            <family val="34"/>
          </rPr>
          <t>5.2.1 [163.48 cm] (TL 1810)</t>
        </r>
      </text>
    </comment>
    <comment ref="BF230" authorId="0" shapeId="0" xr:uid="{0E715AD8-E3CC-B247-BA13-7ABCF1DA15E0}">
      <text>
        <r>
          <rPr>
            <sz val="14"/>
            <color rgb="FF000000"/>
            <rFont val="Times New Roman"/>
            <family val="18"/>
          </rPr>
          <t xml:space="preserve">26/09/1796 </t>
        </r>
        <r>
          <rPr>
            <i/>
            <sz val="14"/>
            <color rgb="FF000000"/>
            <rFont val="Times New Roman"/>
            <family val="18"/>
          </rPr>
          <t>Zum</t>
        </r>
        <r>
          <rPr>
            <sz val="14"/>
            <color rgb="FF000000"/>
            <rFont val="Times New Roman"/>
            <family val="18"/>
          </rPr>
          <t xml:space="preserve"> </t>
        </r>
        <r>
          <rPr>
            <i/>
            <sz val="14"/>
            <color rgb="FF000000"/>
            <rFont val="Times New Roman"/>
            <family val="18"/>
          </rPr>
          <t xml:space="preserve">Chasteler Inf </t>
        </r>
        <r>
          <rPr>
            <b/>
            <sz val="14"/>
            <color rgb="FF000000"/>
            <rFont val="Times New Roman"/>
            <family val="18"/>
          </rPr>
          <t>[IR 46]</t>
        </r>
        <r>
          <rPr>
            <i/>
            <sz val="14"/>
            <color rgb="FF000000"/>
            <rFont val="Times New Roman"/>
            <family val="18"/>
          </rPr>
          <t xml:space="preserve"> auf eständig assentiert</t>
        </r>
        <r>
          <rPr>
            <sz val="14"/>
            <color rgb="FF000000"/>
            <rFont val="Times New Roman"/>
            <family val="18"/>
          </rPr>
          <t xml:space="preserve"> [ML 1802 &amp; TL 1810]
</t>
        </r>
        <r>
          <rPr>
            <sz val="14"/>
            <color rgb="FF000000"/>
            <rFont val="Times New Roman"/>
            <family val="18"/>
          </rPr>
          <t xml:space="preserve">22/04/1799 </t>
        </r>
        <r>
          <rPr>
            <i/>
            <sz val="14"/>
            <color rgb="FF000000"/>
            <rFont val="Times New Roman"/>
            <family val="18"/>
          </rPr>
          <t xml:space="preserve">Bei </t>
        </r>
        <r>
          <rPr>
            <b/>
            <i/>
            <sz val="14"/>
            <color rgb="FF000000"/>
            <rFont val="Times New Roman"/>
            <family val="18"/>
          </rPr>
          <t>Mannas</t>
        </r>
        <r>
          <rPr>
            <i/>
            <sz val="14"/>
            <color rgb="FF000000"/>
            <rFont val="Times New Roman"/>
            <family val="18"/>
          </rPr>
          <t xml:space="preserve"> gefangen</t>
        </r>
        <r>
          <rPr>
            <sz val="14"/>
            <color rgb="FF000000"/>
            <rFont val="Times New Roman"/>
            <family val="18"/>
          </rPr>
          <t xml:space="preserve"> [ML 1802]
</t>
        </r>
        <r>
          <rPr>
            <sz val="14"/>
            <color rgb="FF000000"/>
            <rFont val="Times New Roman"/>
            <family val="18"/>
          </rPr>
          <t xml:space="preserve">15/10/1801 </t>
        </r>
        <r>
          <rPr>
            <i/>
            <sz val="14"/>
            <color rgb="FF000000"/>
            <rFont val="Times New Roman"/>
            <family val="18"/>
          </rPr>
          <t>Sich selbst Ranzioniert</t>
        </r>
        <r>
          <rPr>
            <sz val="14"/>
            <color rgb="FF000000"/>
            <rFont val="Times New Roman"/>
            <family val="18"/>
          </rPr>
          <t xml:space="preserve"> [ML 1802]
</t>
        </r>
        <r>
          <rPr>
            <sz val="14"/>
            <color rgb="FF000000"/>
            <rFont val="Times New Roman"/>
            <family val="18"/>
          </rPr>
          <t xml:space="preserve">11/09/1802 Muster: IR 46 Haupt Taintinier Komp. Nr. 69
</t>
        </r>
        <r>
          <rPr>
            <sz val="14"/>
            <color rgb="FF000000"/>
            <rFont val="Times New Roman"/>
            <family val="18"/>
          </rPr>
          <t xml:space="preserve">01/04/1809 </t>
        </r>
        <r>
          <rPr>
            <i/>
            <sz val="14"/>
            <color rgb="FF000000"/>
            <rFont val="Times New Roman"/>
            <family val="18"/>
          </rPr>
          <t>Von R 46 zum ArtHandK transferriert</t>
        </r>
        <r>
          <rPr>
            <sz val="14"/>
            <color rgb="FF000000"/>
            <rFont val="Times New Roman"/>
            <family val="18"/>
          </rPr>
          <t xml:space="preserve"> [TL 1810]
</t>
        </r>
        <r>
          <rPr>
            <sz val="14"/>
            <color rgb="FF000000"/>
            <rFont val="Times New Roman"/>
            <family val="18"/>
          </rPr>
          <t xml:space="preserve">01/02/1810 </t>
        </r>
        <r>
          <rPr>
            <i/>
            <sz val="14"/>
            <color rgb="FF000000"/>
            <rFont val="Times New Roman"/>
            <family val="18"/>
          </rPr>
          <t>Von ArtHandK 20 Batterie Komp. zum IR 30 transferiert, seitdem auf anhero Marsch</t>
        </r>
        <r>
          <rPr>
            <sz val="14"/>
            <color rgb="FF000000"/>
            <rFont val="Times New Roman"/>
            <family val="18"/>
          </rPr>
          <t xml:space="preserve"> [TL 1810 &amp; ST March 1810]
</t>
        </r>
        <r>
          <rPr>
            <sz val="14"/>
            <color rgb="FF000000"/>
            <rFont val="Times New Roman"/>
            <family val="18"/>
          </rPr>
          <t xml:space="preserve">26/03/1810 </t>
        </r>
        <r>
          <rPr>
            <i/>
            <sz val="14"/>
            <color rgb="FF000000"/>
            <rFont val="Times New Roman"/>
            <family val="18"/>
          </rPr>
          <t>Eingerückt</t>
        </r>
        <r>
          <rPr>
            <sz val="14"/>
            <color rgb="FF000000"/>
            <rFont val="Times New Roman"/>
            <family val="18"/>
          </rPr>
          <t xml:space="preserve"> </t>
        </r>
        <r>
          <rPr>
            <i/>
            <sz val="14"/>
            <color rgb="FF000000"/>
            <rFont val="Times New Roman"/>
            <family val="18"/>
          </rPr>
          <t>und zum 13. Fus. Komp eingeteilt</t>
        </r>
        <r>
          <rPr>
            <sz val="14"/>
            <color rgb="FF000000"/>
            <rFont val="Times New Roman"/>
            <family val="18"/>
          </rPr>
          <t xml:space="preserve"> [ST March 1810]
</t>
        </r>
        <r>
          <rPr>
            <sz val="14"/>
            <color rgb="FF000000"/>
            <rFont val="Times New Roman"/>
            <family val="18"/>
          </rPr>
          <t xml:space="preserve">21/09/1810 </t>
        </r>
        <r>
          <rPr>
            <i/>
            <sz val="14"/>
            <color rgb="FF000000"/>
            <rFont val="Times New Roman"/>
            <family val="18"/>
          </rPr>
          <t>Von Dissolvierte 13 zum 1. Fus. Komp. transferiert</t>
        </r>
        <r>
          <rPr>
            <sz val="14"/>
            <color rgb="FF000000"/>
            <rFont val="Times New Roman"/>
            <family val="18"/>
          </rPr>
          <t xml:space="preserve"> [ST Sept 1810]
</t>
        </r>
        <r>
          <rPr>
            <sz val="14"/>
            <color rgb="FF000000"/>
            <rFont val="Times New Roman"/>
            <family val="18"/>
          </rPr>
          <t xml:space="preserve">01/10/1810 Revision: IR 30 1. Fus. Komp. Nr. 249
</t>
        </r>
        <r>
          <rPr>
            <sz val="14"/>
            <color rgb="FF000000"/>
            <rFont val="Times New Roman"/>
            <family val="18"/>
          </rPr>
          <t xml:space="preserve">25/10/1810 </t>
        </r>
        <r>
          <rPr>
            <i/>
            <sz val="14"/>
            <color rgb="FF000000"/>
            <rFont val="Times New Roman"/>
            <family val="18"/>
          </rPr>
          <t>In Folge hoher Hofkriegsratliche Reskript deto Wien am 7. Aug. 1810 R. No. 1919 als ausgedienter Veteran mit Abschied entlassen</t>
        </r>
        <r>
          <rPr>
            <sz val="14"/>
            <color rgb="FF000000"/>
            <rFont val="Times New Roman"/>
            <family val="18"/>
          </rPr>
          <t xml:space="preserve"> [ML 1811] 
</t>
        </r>
      </text>
    </comment>
    <comment ref="BG230" authorId="0" shapeId="0" xr:uid="{561FC6CB-DC84-D548-9D1B-12063D0FDF8C}">
      <text>
        <r>
          <rPr>
            <sz val="14"/>
            <color rgb="FF000000"/>
            <rFont val="Times New Roman"/>
            <family val="18"/>
          </rPr>
          <t>ML 10.402 IR 46 (1802) – Haupt Taintinier Komp. Nr. 69 (Meran 11/09/1802)</t>
        </r>
        <r>
          <rPr>
            <sz val="14"/>
            <color rgb="FF000000"/>
            <rFont val="Calibri"/>
            <family val="34"/>
          </rPr>
          <t xml:space="preserve">
</t>
        </r>
        <r>
          <rPr>
            <sz val="14"/>
            <color rgb="FF000000"/>
            <rFont val="Times New Roman"/>
            <family val="18"/>
          </rPr>
          <t>ML 11.865 AtHandK (1810) AL/TL – TL ArtHandK-&gt;IR 30 Nr. 66 (Vienna 24/12/1810)</t>
        </r>
        <r>
          <rPr>
            <sz val="14"/>
            <color rgb="FF000000"/>
            <rFont val="Calibri"/>
            <family val="34"/>
          </rPr>
          <t xml:space="preserve">
</t>
        </r>
        <r>
          <rPr>
            <sz val="14"/>
            <color rgb="FF000000"/>
            <rFont val="Times New Roman"/>
            <family val="18"/>
          </rPr>
          <t>ML 2632 IR 30 (1805-10) – RL 1. Fus. Komp. Nr. 249 (Stry 01/10/1810)</t>
        </r>
        <r>
          <rPr>
            <sz val="14"/>
            <color rgb="FF000000"/>
            <rFont val="Calibri"/>
            <family val="34"/>
          </rPr>
          <t xml:space="preserve">
</t>
        </r>
        <r>
          <rPr>
            <sz val="14"/>
            <color rgb="FF000000"/>
            <rFont val="Times New Roman"/>
            <family val="18"/>
          </rPr>
          <t>ML 2633 IR 30 (1811) – 1. Fus. Komp. – Abgang (Stanislau 21/09/1811)</t>
        </r>
        <r>
          <rPr>
            <sz val="14"/>
            <color rgb="FF000000"/>
            <rFont val="Calibri"/>
            <family val="34"/>
          </rPr>
          <t xml:space="preserve">
</t>
        </r>
        <r>
          <rPr>
            <sz val="14"/>
            <color rgb="FF000000"/>
            <rFont val="Times New Roman"/>
            <family val="18"/>
          </rPr>
          <t>ML 2684 IR 30 (1810) – ST March (Stanislau 30/04/1811), Sept (Stanislau 19/07/1811)</t>
        </r>
      </text>
    </comment>
    <comment ref="BH230" authorId="0" shapeId="0" xr:uid="{8C93BDEE-817C-3847-BFAD-6711CDD0824F}">
      <text>
        <r>
          <rPr>
            <sz val="14"/>
            <color rgb="FF000000"/>
            <rFont val="Times New Roman"/>
            <family val="18"/>
          </rPr>
          <t xml:space="preserve">IR 46 (1796-1809)
</t>
        </r>
        <r>
          <rPr>
            <sz val="14"/>
            <color rgb="FF000000"/>
            <rFont val="Times New Roman"/>
            <family val="18"/>
          </rPr>
          <t xml:space="preserve">ArtHandK (1809-1810)
</t>
        </r>
        <r>
          <rPr>
            <sz val="14"/>
            <color rgb="FF000000"/>
            <rFont val="Times New Roman"/>
            <family val="18"/>
          </rPr>
          <t>IR 30 (1810)</t>
        </r>
      </text>
    </comment>
    <comment ref="BF231" authorId="0" shapeId="0" xr:uid="{C917E62F-E678-4C46-8B31-BB2F5CD222E9}">
      <text>
        <r>
          <rPr>
            <sz val="14"/>
            <color rgb="FF000000"/>
            <rFont val="Times New Roman"/>
            <family val="18"/>
          </rPr>
          <t xml:space="preserve">26/09/1796 </t>
        </r>
        <r>
          <rPr>
            <i/>
            <sz val="14"/>
            <color rgb="FF000000"/>
            <rFont val="Times New Roman"/>
            <family val="18"/>
          </rPr>
          <t>von Ständen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 xml:space="preserve">[bei Genua] </t>
        </r>
        <r>
          <rPr>
            <sz val="14"/>
            <color rgb="FF000000"/>
            <rFont val="Times New Roman"/>
            <family val="18"/>
          </rPr>
          <t>[ML 1803]</t>
        </r>
        <r>
          <rPr>
            <sz val="14"/>
            <color rgb="FF000000"/>
            <rFont val="Calibri"/>
            <family val="34"/>
          </rPr>
          <t xml:space="preserve">
</t>
        </r>
        <r>
          <rPr>
            <sz val="14"/>
            <color rgb="FF000000"/>
            <rFont val="Times New Roman"/>
            <family val="18"/>
          </rPr>
          <t xml:space="preserve">12/04/1800 </t>
        </r>
        <r>
          <rPr>
            <i/>
            <sz val="14"/>
            <color rgb="FF000000"/>
            <rFont val="Times New Roman"/>
            <family val="18"/>
          </rPr>
          <t>Gegen Austauschung</t>
        </r>
        <r>
          <rPr>
            <sz val="14"/>
            <color rgb="FF000000"/>
            <rFont val="Times New Roman"/>
            <family val="18"/>
          </rPr>
          <t xml:space="preserve"> Ranzioniert [ML 1803]</t>
        </r>
        <r>
          <rPr>
            <sz val="14"/>
            <color rgb="FF000000"/>
            <rFont val="Calibri"/>
            <family val="34"/>
          </rPr>
          <t xml:space="preserve">
</t>
        </r>
        <r>
          <rPr>
            <sz val="14"/>
            <color rgb="FF000000"/>
            <rFont val="Times New Roman"/>
            <family val="18"/>
          </rPr>
          <t>29/08/1803 Muster: IR 59 Haupt Straka Nr. 37[</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30/09/1803 </t>
        </r>
        <r>
          <rPr>
            <i/>
            <sz val="14"/>
            <color rgb="FF000000"/>
            <rFont val="Times New Roman"/>
            <family val="18"/>
          </rPr>
          <t>Gegen stellung Anderer Mann mit Abschied entalssen</t>
        </r>
        <r>
          <rPr>
            <sz val="14"/>
            <color rgb="FF000000"/>
            <rFont val="Times New Roman"/>
            <family val="18"/>
          </rPr>
          <t xml:space="preserve"> [ML 1804]</t>
        </r>
        <r>
          <rPr>
            <sz val="14"/>
            <color rgb="FF000000"/>
            <rFont val="Calibri"/>
            <family val="34"/>
          </rPr>
          <t xml:space="preserve">
</t>
        </r>
      </text>
    </comment>
    <comment ref="BG231" authorId="0" shapeId="0" xr:uid="{6CCD7060-7832-F341-8E9E-28DA14F98281}">
      <text>
        <r>
          <rPr>
            <sz val="14"/>
            <color rgb="FF000000"/>
            <rFont val="Times New Roman"/>
            <family val="18"/>
          </rPr>
          <t>ML 5015 IR 59 (1803) –Haupt Straka Comp. Nr. 37 (Enns, 29/08/1803)</t>
        </r>
        <r>
          <rPr>
            <sz val="14"/>
            <color rgb="FF000000"/>
            <rFont val="Calibri"/>
            <family val="34"/>
          </rPr>
          <t xml:space="preserve">
</t>
        </r>
        <r>
          <rPr>
            <sz val="14"/>
            <color rgb="FF000000"/>
            <rFont val="Times New Roman"/>
            <family val="18"/>
          </rPr>
          <t>ML 5016 IR 59 (1804) –Haupt Straka Comp. Abgang (Innsbruck 03/09/1804)</t>
        </r>
      </text>
    </comment>
    <comment ref="BH231" authorId="0" shapeId="0" xr:uid="{7E0DAF47-1285-7A4B-9673-8803D5C2C8CA}">
      <text>
        <r>
          <rPr>
            <sz val="14"/>
            <color rgb="FF000000"/>
            <rFont val="Calibri"/>
            <family val="34"/>
          </rPr>
          <t>IR 59 (1796-1803)</t>
        </r>
      </text>
    </comment>
    <comment ref="T232" authorId="0" shapeId="0" xr:uid="{82503FDD-7684-114A-8AAF-2DAFA8792DD1}">
      <text>
        <r>
          <rPr>
            <b/>
            <sz val="14"/>
            <color rgb="FF000000"/>
            <rFont val="Calibri"/>
            <family val="34"/>
          </rPr>
          <t xml:space="preserve">5.3.1 [166.11 cm] (TL 1806)
</t>
        </r>
        <r>
          <rPr>
            <sz val="14"/>
            <color rgb="FF000000"/>
            <rFont val="Calibri"/>
            <family val="34"/>
          </rPr>
          <t>5.3.2 [166.33 cm] (TL 1808)</t>
        </r>
      </text>
    </comment>
    <comment ref="BF232" authorId="0" shapeId="0" xr:uid="{2F1663C0-8AEC-4A4F-9274-7269702B94A5}">
      <text>
        <r>
          <rPr>
            <sz val="14"/>
            <color rgb="FF000000"/>
            <rFont val="Times New Roman"/>
            <family val="18"/>
          </rPr>
          <t xml:space="preserve">26/09/1796 </t>
        </r>
        <r>
          <rPr>
            <i/>
            <sz val="14"/>
            <color rgb="FF000000"/>
            <rFont val="Times New Roman"/>
            <family val="18"/>
          </rPr>
          <t>a 3Fl für Beständig gestellt zu Stanislau</t>
        </r>
        <r>
          <rPr>
            <sz val="14"/>
            <color rgb="FF000000"/>
            <rFont val="Times New Roman"/>
            <family val="18"/>
          </rPr>
          <t xml:space="preserve"> [ML 1803] 
</t>
        </r>
        <r>
          <rPr>
            <sz val="14"/>
            <color rgb="FF000000"/>
            <rFont val="Times New Roman"/>
            <family val="18"/>
          </rPr>
          <t xml:space="preserve">29/08/1803 Muster: IR 59 Haupt Jordis Komp. Nr. 87
</t>
        </r>
        <r>
          <rPr>
            <sz val="14"/>
            <color rgb="FF000000"/>
            <rFont val="Times New Roman"/>
            <family val="18"/>
          </rPr>
          <t xml:space="preserve">26/04/1804 </t>
        </r>
        <r>
          <rPr>
            <i/>
            <sz val="14"/>
            <color rgb="FF000000"/>
            <rFont val="Times New Roman"/>
            <family val="18"/>
          </rPr>
          <t>Von Jordis zum 1. Major Komp. transferiert</t>
        </r>
        <r>
          <rPr>
            <sz val="14"/>
            <color rgb="FF000000"/>
            <rFont val="Times New Roman"/>
            <family val="18"/>
          </rPr>
          <t xml:space="preserve"> [ML 1804]
</t>
        </r>
        <r>
          <rPr>
            <sz val="14"/>
            <color rgb="FF000000"/>
            <rFont val="Times New Roman"/>
            <family val="18"/>
          </rPr>
          <t xml:space="preserve">16/05/1804 </t>
        </r>
        <r>
          <rPr>
            <i/>
            <sz val="14"/>
            <color rgb="FF000000"/>
            <rFont val="Times New Roman"/>
            <family val="18"/>
          </rPr>
          <t>Von 1. Major zu Jordis Komp. transferiert</t>
        </r>
        <r>
          <rPr>
            <sz val="14"/>
            <color rgb="FF000000"/>
            <rFont val="Times New Roman"/>
            <family val="18"/>
          </rPr>
          <t xml:space="preserve"> [ML 1804]
</t>
        </r>
        <r>
          <rPr>
            <sz val="14"/>
            <color rgb="FF000000"/>
            <rFont val="Times New Roman"/>
            <family val="18"/>
          </rPr>
          <t>03/09/1804 Muster: IR 59 Haupt Jordis, Komp. Nr. 165 [</t>
        </r>
        <r>
          <rPr>
            <i/>
            <sz val="14"/>
            <color rgb="FF000000"/>
            <rFont val="Times New Roman"/>
            <family val="18"/>
          </rPr>
          <t>Auf Ritt Ordnanz</t>
        </r>
        <r>
          <rPr>
            <sz val="14"/>
            <color rgb="FF000000"/>
            <rFont val="Times New Roman"/>
            <family val="18"/>
          </rPr>
          <t xml:space="preserve">] 
</t>
        </r>
        <r>
          <rPr>
            <sz val="14"/>
            <color rgb="FF000000"/>
            <rFont val="Times New Roman"/>
            <family val="18"/>
          </rPr>
          <t xml:space="preserve">27/12/1806 Muster: IR 59 9. Fus. Komp. Nr. 66 
</t>
        </r>
        <r>
          <rPr>
            <sz val="14"/>
            <color rgb="FF000000"/>
            <rFont val="Times New Roman"/>
            <family val="18"/>
          </rPr>
          <t xml:space="preserve">16/07/1808 </t>
        </r>
        <r>
          <rPr>
            <i/>
            <sz val="14"/>
            <color rgb="FF000000"/>
            <rFont val="Times New Roman"/>
            <family val="18"/>
          </rPr>
          <t xml:space="preserve">Von IR 59 9. Fus. Komp. zum neu errichtete ArtHandK transferiert, seitdem auf Anmarsch </t>
        </r>
        <r>
          <rPr>
            <sz val="14"/>
            <color rgb="FF000000"/>
            <rFont val="Times New Roman"/>
            <family val="18"/>
          </rPr>
          <t xml:space="preserve">[RL 1808 &amp; ST July 1808]
</t>
        </r>
        <r>
          <rPr>
            <sz val="14"/>
            <color rgb="FF000000"/>
            <rFont val="Times New Roman"/>
            <family val="18"/>
          </rPr>
          <t xml:space="preserve">26/08/1808 </t>
        </r>
        <r>
          <rPr>
            <i/>
            <sz val="14"/>
            <color rgb="FF000000"/>
            <rFont val="Times New Roman"/>
            <family val="18"/>
          </rPr>
          <t>In Korps eingerückt und zum zum Haupt Modler 1. Komp. zugeteilt</t>
        </r>
        <r>
          <rPr>
            <sz val="14"/>
            <color rgb="FF000000"/>
            <rFont val="Times New Roman"/>
            <family val="18"/>
          </rPr>
          <t xml:space="preserve"> [ST Aug 1808]
</t>
        </r>
        <r>
          <rPr>
            <sz val="14"/>
            <color rgb="FF000000"/>
            <rFont val="Times New Roman"/>
            <family val="18"/>
          </rPr>
          <t xml:space="preserve">01/02/1810 </t>
        </r>
        <r>
          <rPr>
            <i/>
            <sz val="14"/>
            <color rgb="FF000000"/>
            <rFont val="Times New Roman"/>
            <family val="18"/>
          </rPr>
          <t>Von ArtHandK 4. Pro Cento. Div. Zum IR 59 transferiert und seitdem auf anhero Marsch</t>
        </r>
        <r>
          <rPr>
            <sz val="14"/>
            <color rgb="FF000000"/>
            <rFont val="Times New Roman"/>
            <family val="18"/>
          </rPr>
          <t xml:space="preserve"> [TL Jan 1811 &amp; ST Feb 1810]
</t>
        </r>
        <r>
          <rPr>
            <sz val="14"/>
            <color rgb="FF000000"/>
            <rFont val="Times New Roman"/>
            <family val="18"/>
          </rPr>
          <t xml:space="preserve">15/02/1810 </t>
        </r>
        <r>
          <rPr>
            <i/>
            <sz val="14"/>
            <color rgb="FF000000"/>
            <rFont val="Times New Roman"/>
            <family val="18"/>
          </rPr>
          <t>In Regiment eingerückt und zum 9. Fus. Komp. wieder eingeheilt</t>
        </r>
        <r>
          <rPr>
            <sz val="14"/>
            <color rgb="FF000000"/>
            <rFont val="Times New Roman"/>
            <family val="18"/>
          </rPr>
          <t xml:space="preserve"> [ST Feb 1810]
</t>
        </r>
        <r>
          <rPr>
            <sz val="14"/>
            <color rgb="FF000000"/>
            <rFont val="Times New Roman"/>
            <family val="18"/>
          </rPr>
          <t xml:space="preserve">12/09/1810 </t>
        </r>
        <r>
          <rPr>
            <i/>
            <sz val="14"/>
            <color rgb="FF000000"/>
            <rFont val="Times New Roman"/>
            <family val="18"/>
          </rPr>
          <t>In Folge hoher N.Ö. General Commando Verordnung von 7. August 810 als ausgedienter Inländer Veteran Mit Abschied entlassen</t>
        </r>
        <r>
          <rPr>
            <sz val="14"/>
            <color rgb="FF000000"/>
            <rFont val="Times New Roman"/>
            <family val="18"/>
          </rPr>
          <t xml:space="preserve"> [ST Oct 1810]
</t>
        </r>
      </text>
    </comment>
    <comment ref="BG232" authorId="0" shapeId="0" xr:uid="{AD217EDA-C43E-0442-971B-39D940E6F0C0}">
      <text>
        <r>
          <rPr>
            <sz val="14"/>
            <color rgb="FF000000"/>
            <rFont val="Times New Roman"/>
            <family val="18"/>
          </rPr>
          <t xml:space="preserve">ML 5015 IR 59 (1803) – Haupt Jordis Komp. Nr. 87 (Enns 29/08/1803) 
</t>
        </r>
        <r>
          <rPr>
            <sz val="14"/>
            <color rgb="FF000000"/>
            <rFont val="Times New Roman"/>
            <family val="18"/>
          </rPr>
          <t xml:space="preserve">ML 5016 IR 59 (1804) – Haupt Jordis Komp. Nr. 168 (Innsbruck 03/09/1804)
</t>
        </r>
        <r>
          <rPr>
            <sz val="14"/>
            <color rgb="FF000000"/>
            <rFont val="Times New Roman"/>
            <family val="18"/>
          </rPr>
          <t xml:space="preserve">ML 5017/8 IR 59 (1806) – 9. Fus. Komp. Nr. 66 (Florian 27/12/1806)
</t>
        </r>
        <r>
          <rPr>
            <sz val="14"/>
            <color rgb="FF000000"/>
            <rFont val="Times New Roman"/>
            <family val="18"/>
          </rPr>
          <t xml:space="preserve">ML 5019 IR 59 (1808-10) – RL 9. Fus. Komp. Abgang (Enns 05/09/1808)
</t>
        </r>
        <r>
          <rPr>
            <sz val="14"/>
            <color rgb="FF000000"/>
            <rFont val="Times New Roman"/>
            <family val="18"/>
          </rPr>
          <t xml:space="preserve">ML 5077 IR 59 (1810) – RL Feb (10/11/1810), Oct (27/01/1811)
</t>
        </r>
        <r>
          <rPr>
            <sz val="14"/>
            <color rgb="FF000000"/>
            <rFont val="Times New Roman"/>
            <family val="18"/>
          </rPr>
          <t xml:space="preserve">ML 11.861 AtHandK (1808) – TL IR 59-&gt; ArtHandK Nr. 89 (Linz 30/07/1808); ST July (Kaiserebersdorf 13/09/1808), Aug (Kaiserebersdorf 22/11/1808)
</t>
        </r>
        <r>
          <rPr>
            <sz val="14"/>
            <color rgb="FF000000"/>
            <rFont val="Times New Roman"/>
            <family val="18"/>
          </rPr>
          <t xml:space="preserve">ML 11.865 AtHandK (1810) AL/TL – TL ArtHandK-&gt;IR 59 Nr. 30 (Vienna 30/12/1811)
</t>
        </r>
      </text>
    </comment>
    <comment ref="BH232" authorId="0" shapeId="0" xr:uid="{4765997D-99ED-F541-8480-7A1C759F46D0}">
      <text>
        <r>
          <rPr>
            <sz val="14"/>
            <color rgb="FF000000"/>
            <rFont val="Calibri"/>
            <family val="34"/>
          </rPr>
          <t xml:space="preserve">IR 59 (1796-1808)
</t>
        </r>
        <r>
          <rPr>
            <sz val="14"/>
            <color rgb="FF000000"/>
            <rFont val="Calibri"/>
            <family val="34"/>
          </rPr>
          <t xml:space="preserve">ArtHandK (1808-1810)
</t>
        </r>
        <r>
          <rPr>
            <sz val="14"/>
            <color rgb="FF000000"/>
            <rFont val="Calibri"/>
            <family val="34"/>
          </rPr>
          <t>IR 59</t>
        </r>
      </text>
    </comment>
    <comment ref="B233" authorId="0" shapeId="0" xr:uid="{5EEFC047-0515-CB4B-AB0B-79A06E69E398}">
      <text>
        <r>
          <rPr>
            <sz val="14"/>
            <color rgb="FF000000"/>
            <rFont val="Times New Roman"/>
            <family val="18"/>
          </rPr>
          <t>Abel/Aibel; PEUTTEL/ BAITEL (1802/4-5)/ BARTHEL (1803)/ BEITL (1806)</t>
        </r>
      </text>
    </comment>
    <comment ref="BF233" authorId="0" shapeId="0" xr:uid="{BDE566C0-E0EB-AC48-A70E-49ED4B722945}">
      <text>
        <r>
          <rPr>
            <sz val="14"/>
            <color rgb="FFFF0000"/>
            <rFont val="Times New Roman"/>
            <family val="18"/>
          </rPr>
          <t xml:space="preserve">04/09/1796 </t>
        </r>
        <r>
          <rPr>
            <i/>
            <sz val="14"/>
            <color rgb="FFFF0000"/>
            <rFont val="Times New Roman"/>
            <family val="18"/>
          </rPr>
          <t>Von Galizischen Ständen gestellt</t>
        </r>
        <r>
          <rPr>
            <sz val="14"/>
            <color rgb="FFFF0000"/>
            <rFont val="Times New Roman"/>
            <family val="18"/>
          </rPr>
          <t xml:space="preserve"> [ML 1802-5]</t>
        </r>
        <r>
          <rPr>
            <sz val="14"/>
            <color rgb="FF000000"/>
            <rFont val="Times New Roman"/>
            <family val="18"/>
          </rPr>
          <t xml:space="preserve">
</t>
        </r>
        <r>
          <rPr>
            <sz val="14"/>
            <color rgb="FF000000"/>
            <rFont val="Times New Roman"/>
            <family val="18"/>
          </rPr>
          <t xml:space="preserve">27/09/1796 </t>
        </r>
        <r>
          <rPr>
            <i/>
            <sz val="14"/>
            <color rgb="FF000000"/>
            <rFont val="Times New Roman"/>
            <family val="18"/>
          </rPr>
          <t>Von Galizischen Ständen gestellt und zum Tarnopol sssentiert; Seitdem auf Anmarsch mit Auswärtiger Verpflegung</t>
        </r>
        <r>
          <rPr>
            <sz val="14"/>
            <color rgb="FF000000"/>
            <rFont val="Times New Roman"/>
            <family val="18"/>
          </rPr>
          <t xml:space="preserve"> [ST Sept 1796]
</t>
        </r>
        <r>
          <rPr>
            <sz val="14"/>
            <color rgb="FFFF0000"/>
            <rFont val="Times New Roman"/>
            <family val="18"/>
          </rPr>
          <t xml:space="preserve">31/10/1796 </t>
        </r>
        <r>
          <rPr>
            <i/>
            <sz val="14"/>
            <color rgb="FFFF0000"/>
            <rFont val="Times New Roman"/>
            <family val="18"/>
          </rPr>
          <t>Mit Kriegsgebühr beim dem Obristbattalion transferiert</t>
        </r>
        <r>
          <rPr>
            <sz val="14"/>
            <color rgb="FFFF0000"/>
            <rFont val="Times New Roman"/>
            <family val="18"/>
          </rPr>
          <t xml:space="preserve"> </t>
        </r>
        <r>
          <rPr>
            <sz val="14"/>
            <color rgb="FF000000"/>
            <rFont val="Times New Roman"/>
            <family val="18"/>
          </rPr>
          <t xml:space="preserve">[ST Oct 1796]
</t>
        </r>
        <r>
          <rPr>
            <sz val="14"/>
            <color rgb="FF000000"/>
            <rFont val="Times New Roman"/>
            <family val="18"/>
          </rPr>
          <t xml:space="preserve">23/12/1796 </t>
        </r>
        <r>
          <rPr>
            <i/>
            <sz val="14"/>
            <color rgb="FF000000"/>
            <rFont val="Times New Roman"/>
            <family val="18"/>
          </rPr>
          <t xml:space="preserve">in die Reserve Division eingerückt </t>
        </r>
        <r>
          <rPr>
            <sz val="14"/>
            <color rgb="FF000000"/>
            <rFont val="Times New Roman"/>
            <family val="18"/>
          </rPr>
          <t xml:space="preserve">[vorige notiz war per Errorem] [ST Dec 1796]
</t>
        </r>
        <r>
          <rPr>
            <sz val="14"/>
            <color rgb="FF000000"/>
            <rFont val="Times New Roman"/>
            <family val="18"/>
          </rPr>
          <t xml:space="preserve">01/02/1797 </t>
        </r>
        <r>
          <rPr>
            <i/>
            <sz val="14"/>
            <color rgb="FF000000"/>
            <rFont val="Times New Roman"/>
            <family val="18"/>
          </rPr>
          <t>von Reserve Division zum ObristLT Comp. Transferiert</t>
        </r>
        <r>
          <rPr>
            <sz val="14"/>
            <color rgb="FF000000"/>
            <rFont val="Times New Roman"/>
            <family val="18"/>
          </rPr>
          <t xml:space="preserve"> [ST Feb 1797]
</t>
        </r>
        <r>
          <rPr>
            <sz val="14"/>
            <color rgb="FF000000"/>
            <rFont val="Times New Roman"/>
            <family val="18"/>
          </rPr>
          <t xml:space="preserve">16/02/1797 </t>
        </r>
        <r>
          <rPr>
            <i/>
            <sz val="14"/>
            <color rgb="FF000000"/>
            <rFont val="Times New Roman"/>
            <family val="18"/>
          </rPr>
          <t>Krank auswärts mit Kriegsgebühr</t>
        </r>
        <r>
          <rPr>
            <sz val="14"/>
            <color rgb="FF000000"/>
            <rFont val="Times New Roman"/>
            <family val="18"/>
          </rPr>
          <t xml:space="preserve"> [ST Feb 1797]
</t>
        </r>
        <r>
          <rPr>
            <sz val="14"/>
            <color rgb="FF000000"/>
            <rFont val="Times New Roman"/>
            <family val="18"/>
          </rPr>
          <t xml:space="preserve">01/03/1797 </t>
        </r>
        <r>
          <rPr>
            <i/>
            <sz val="14"/>
            <color rgb="FF000000"/>
            <rFont val="Times New Roman"/>
            <family val="18"/>
          </rPr>
          <t>von ObristLT zum Obrist Comp transferiert</t>
        </r>
        <r>
          <rPr>
            <sz val="14"/>
            <color rgb="FF000000"/>
            <rFont val="Times New Roman"/>
            <family val="18"/>
          </rPr>
          <t xml:space="preserve"> [ST March 1797]
</t>
        </r>
        <r>
          <rPr>
            <sz val="14"/>
            <color rgb="FF000000"/>
            <rFont val="Times New Roman"/>
            <family val="18"/>
          </rPr>
          <t xml:space="preserve">15/08/1797 </t>
        </r>
        <r>
          <rPr>
            <i/>
            <sz val="14"/>
            <color rgb="FF000000"/>
            <rFont val="Times New Roman"/>
            <family val="18"/>
          </rPr>
          <t>Reconvalesciert und von Obrist zum ObristLt Comp. Transferiert</t>
        </r>
        <r>
          <rPr>
            <sz val="14"/>
            <color rgb="FF000000"/>
            <rFont val="Times New Roman"/>
            <family val="18"/>
          </rPr>
          <t xml:space="preserve"> [ST Aug 1797]
</t>
        </r>
        <r>
          <rPr>
            <sz val="14"/>
            <color rgb="FF000000"/>
            <rFont val="Times New Roman"/>
            <family val="18"/>
          </rPr>
          <t xml:space="preserve">01/10/1797 [SIC!] [Seit] </t>
        </r>
        <r>
          <rPr>
            <i/>
            <sz val="14"/>
            <color rgb="FF000000"/>
            <rFont val="Times New Roman"/>
            <family val="18"/>
          </rPr>
          <t>Krank auswärts mit Kriegsgebühr</t>
        </r>
        <r>
          <rPr>
            <sz val="14"/>
            <color rgb="FF000000"/>
            <rFont val="Times New Roman"/>
            <family val="18"/>
          </rPr>
          <t xml:space="preserve"> [ST Oct Obrist Comp 1797]!
</t>
        </r>
        <r>
          <rPr>
            <sz val="14"/>
            <color rgb="FF000000"/>
            <rFont val="Times New Roman"/>
            <family val="18"/>
          </rPr>
          <t>26/01/1799 Revision: IR 43 Nr. 58 [</t>
        </r>
        <r>
          <rPr>
            <i/>
            <sz val="14"/>
            <color rgb="FF000000"/>
            <rFont val="Times New Roman"/>
            <family val="18"/>
          </rPr>
          <t>Auf Landes Exekution</t>
        </r>
        <r>
          <rPr>
            <sz val="14"/>
            <color rgb="FF000000"/>
            <rFont val="Times New Roman"/>
            <family val="18"/>
          </rPr>
          <t xml:space="preserve">] </t>
        </r>
        <r>
          <rPr>
            <sz val="14"/>
            <color rgb="FFFF0000"/>
            <rFont val="Times New Roman"/>
            <family val="18"/>
          </rPr>
          <t xml:space="preserve">(Crossed out) </t>
        </r>
        <r>
          <rPr>
            <sz val="14"/>
            <color rgb="FF000000"/>
            <rFont val="Times New Roman"/>
            <family val="18"/>
          </rPr>
          <t xml:space="preserve">
</t>
        </r>
        <r>
          <rPr>
            <sz val="14"/>
            <color rgb="FF000000"/>
            <rFont val="Times New Roman"/>
            <family val="18"/>
          </rPr>
          <t xml:space="preserve">01/07/1799 </t>
        </r>
        <r>
          <rPr>
            <i/>
            <sz val="14"/>
            <color rgb="FF000000"/>
            <rFont val="Times New Roman"/>
            <family val="18"/>
          </rPr>
          <t xml:space="preserve">zum Gefreyter avanciert </t>
        </r>
        <r>
          <rPr>
            <sz val="14"/>
            <color rgb="FF000000"/>
            <rFont val="Times New Roman"/>
            <family val="18"/>
          </rPr>
          <t xml:space="preserve">[ST July 1799]
</t>
        </r>
        <r>
          <rPr>
            <sz val="14"/>
            <color rgb="FF000000"/>
            <rFont val="Times New Roman"/>
            <family val="18"/>
          </rPr>
          <t xml:space="preserve">01/09/1799 </t>
        </r>
        <r>
          <rPr>
            <i/>
            <sz val="14"/>
            <color rgb="FF000000"/>
            <rFont val="Times New Roman"/>
            <family val="18"/>
          </rPr>
          <t>Krank auswärts Nach Bologna mit Kriegsgebühr</t>
        </r>
        <r>
          <rPr>
            <sz val="14"/>
            <color rgb="FF000000"/>
            <rFont val="Times New Roman"/>
            <family val="18"/>
          </rPr>
          <t xml:space="preserve"> [ST Sept 1799]
</t>
        </r>
        <r>
          <rPr>
            <sz val="14"/>
            <color rgb="FF000000"/>
            <rFont val="Times New Roman"/>
            <family val="18"/>
          </rPr>
          <t xml:space="preserve">30/09/1799 [Bis Mindestens] </t>
        </r>
        <r>
          <rPr>
            <i/>
            <sz val="14"/>
            <color rgb="FF000000"/>
            <rFont val="Times New Roman"/>
            <family val="18"/>
          </rPr>
          <t>Krank auswärts Nach Bologna mit Kriegsgebühr</t>
        </r>
        <r>
          <rPr>
            <sz val="14"/>
            <color rgb="FF000000"/>
            <rFont val="Times New Roman"/>
            <family val="18"/>
          </rPr>
          <t xml:space="preserve"> [ST Sept 1799]
</t>
        </r>
        <r>
          <rPr>
            <sz val="14"/>
            <color rgb="FF000000"/>
            <rFont val="Times New Roman"/>
            <family val="18"/>
          </rPr>
          <t xml:space="preserve">28/08/1802 Musterung: IR 43 ObristLt Comp Nr. 22
</t>
        </r>
        <r>
          <rPr>
            <sz val="14"/>
            <color rgb="FF000000"/>
            <rFont val="Times New Roman"/>
            <family val="18"/>
          </rPr>
          <t xml:space="preserve">02/11/1803 Musterung: IR 43 ObristLt Comp. Nr. 17
</t>
        </r>
        <r>
          <rPr>
            <sz val="14"/>
            <color rgb="FF000000"/>
            <rFont val="Times New Roman"/>
            <family val="18"/>
          </rPr>
          <t xml:space="preserve">05/10/1804 Musterung: IR 43 ObristLt Comp. Nr. 18
</t>
        </r>
        <r>
          <rPr>
            <sz val="14"/>
            <color rgb="FF000000"/>
            <rFont val="Times New Roman"/>
            <family val="18"/>
          </rPr>
          <t xml:space="preserve">31/10/1805 Musterung: IR 43 9. Fus Comp Nr. 20
</t>
        </r>
        <r>
          <rPr>
            <sz val="14"/>
            <color rgb="FF000000"/>
            <rFont val="Times New Roman"/>
            <family val="18"/>
          </rPr>
          <t xml:space="preserve">28/02/1806 </t>
        </r>
        <r>
          <rPr>
            <i/>
            <sz val="14"/>
            <color rgb="FF000000"/>
            <rFont val="Times New Roman"/>
            <family val="18"/>
          </rPr>
          <t>von Sonsten Desertiert</t>
        </r>
        <r>
          <rPr>
            <sz val="14"/>
            <color rgb="FF000000"/>
            <rFont val="Times New Roman"/>
            <family val="18"/>
          </rPr>
          <t xml:space="preserve"> [ML 1806]
</t>
        </r>
      </text>
    </comment>
    <comment ref="BG233" authorId="0" shapeId="0" xr:uid="{1A46074B-5DD5-AB47-A991-E20F8C3A95DC}">
      <text>
        <r>
          <rPr>
            <sz val="14"/>
            <color rgb="FF000000"/>
            <rFont val="Times New Roman"/>
            <family val="18"/>
          </rPr>
          <t xml:space="preserve">ML 10.271 IR 43 (1796-9) – RL ObristLt Comp Nr. 58 (Civitalle 26/01/1799)
</t>
        </r>
        <r>
          <rPr>
            <sz val="14"/>
            <color rgb="FF000000"/>
            <rFont val="Times New Roman"/>
            <family val="18"/>
          </rPr>
          <t xml:space="preserve">ML 10.272 IR 43 (1802) – Heft von ObristLt. Comp. Nr. 22 (Zara 11/09/1802)
</t>
        </r>
        <r>
          <rPr>
            <sz val="14"/>
            <color rgb="FF000000"/>
            <rFont val="Times New Roman"/>
            <family val="18"/>
          </rPr>
          <t xml:space="preserve">ML 10.273 IR 43 (1803) – Heft von ObristLt. Comp. Nr. 17 (Zara 28/09/1803)
</t>
        </r>
        <r>
          <rPr>
            <sz val="14"/>
            <color rgb="FF000000"/>
            <rFont val="Times New Roman"/>
            <family val="18"/>
          </rPr>
          <t xml:space="preserve">ML 10.274 IR 43 (1804) – Heft von ObristLt. Comp. Nr. 18 (Cattaro 07/10/1804)
</t>
        </r>
        <r>
          <rPr>
            <sz val="14"/>
            <color rgb="FF000000"/>
            <rFont val="Times New Roman"/>
            <family val="18"/>
          </rPr>
          <t xml:space="preserve">ML 10.275/6 IR 43 (1805) – Heft von 9. Fus Comp. Nr. 20 (Sebenico (31/10/1805))
</t>
        </r>
        <r>
          <rPr>
            <sz val="14"/>
            <color rgb="FF000000"/>
            <rFont val="Times New Roman"/>
            <family val="18"/>
          </rPr>
          <t xml:space="preserve">ML 10/277/8 IR 43 (1806) – Heft von 13. Fus Comp. Abgang (Laibach 01/12/1806)
</t>
        </r>
        <r>
          <rPr>
            <sz val="14"/>
            <color rgb="FF000000"/>
            <rFont val="Times New Roman"/>
            <family val="18"/>
          </rPr>
          <t xml:space="preserve">ML 10.304 IR 43 (1796) ST Sept (16/02/1799), Okt (16/02/1799) und Dez (02/03/1800)
</t>
        </r>
        <r>
          <rPr>
            <sz val="14"/>
            <color rgb="FF000000"/>
            <rFont val="Times New Roman"/>
            <family val="18"/>
          </rPr>
          <t xml:space="preserve">ML 10.305 IR 43 (1797) – ST Feb (09/03/1802), März (), und Okt (31/05/1805)
</t>
        </r>
        <r>
          <rPr>
            <sz val="14"/>
            <color rgb="FF000000"/>
            <rFont val="Times New Roman"/>
            <family val="18"/>
          </rPr>
          <t xml:space="preserve">ML 10.307 IR 43 (1799) – ST Sept (21/07/1800)
</t>
        </r>
        <r>
          <rPr>
            <sz val="14"/>
            <color rgb="FF000000"/>
            <rFont val="Times New Roman"/>
            <family val="18"/>
          </rPr>
          <t>ML 10.317 IR 43 (1806) – ST Okt (27/11/1806)</t>
        </r>
      </text>
    </comment>
    <comment ref="BH233" authorId="0" shapeId="0" xr:uid="{5A924F87-7B83-DC40-BBE6-D321C7B208CC}">
      <text>
        <r>
          <rPr>
            <sz val="14"/>
            <color rgb="FF000000"/>
            <rFont val="Calibri"/>
            <family val="34"/>
          </rPr>
          <t>IR 43 (1796-1806)</t>
        </r>
      </text>
    </comment>
    <comment ref="BF234" authorId="0" shapeId="0" xr:uid="{B39C2EB1-6E0C-E646-860E-217B1315BF45}">
      <text>
        <r>
          <rPr>
            <sz val="14"/>
            <color rgb="FF000000"/>
            <rFont val="Times New Roman"/>
            <family val="18"/>
          </rPr>
          <t xml:space="preserve">27/09/1796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Division eigeruckt</t>
        </r>
        <r>
          <rPr>
            <sz val="14"/>
            <color rgb="FF000000"/>
            <rFont val="Times New Roman"/>
            <family val="18"/>
          </rPr>
          <t xml:space="preserve"> [ST Dec 1797]</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ObristLT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25/01/1799 Revision: IR 43 Obrist Comp Nr. 48 [</t>
        </r>
        <r>
          <rPr>
            <i/>
            <sz val="14"/>
            <color rgb="FF000000"/>
            <rFont val="Times New Roman"/>
            <family val="18"/>
          </rPr>
          <t>Auf Kommando in Nespoletto</t>
        </r>
        <r>
          <rPr>
            <sz val="14"/>
            <color rgb="FF000000"/>
            <rFont val="Times New Roman"/>
            <family val="18"/>
          </rPr>
          <t>]</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ar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29/01/1800 </t>
        </r>
        <r>
          <rPr>
            <i/>
            <sz val="14"/>
            <color rgb="FF000000"/>
            <rFont val="Times New Roman"/>
            <family val="18"/>
          </rPr>
          <t>Reconvalescient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01/03/1800 </t>
        </r>
        <r>
          <rPr>
            <i/>
            <sz val="14"/>
            <color rgb="FF000000"/>
            <rFont val="Times New Roman"/>
            <family val="18"/>
          </rPr>
          <t>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31/03/1800 </t>
        </r>
        <r>
          <rPr>
            <i/>
            <sz val="14"/>
            <color rgb="FF000000"/>
            <rFont val="Times New Roman"/>
            <family val="18"/>
          </rPr>
          <t xml:space="preserve">Reconvalesciert </t>
        </r>
        <r>
          <rPr>
            <sz val="14"/>
            <color rgb="FF000000"/>
            <rFont val="Times New Roman"/>
            <family val="18"/>
          </rPr>
          <t>[ST April 1800]</t>
        </r>
        <r>
          <rPr>
            <sz val="14"/>
            <color rgb="FF000000"/>
            <rFont val="Calibri"/>
            <family val="34"/>
          </rPr>
          <t xml:space="preserve">
</t>
        </r>
        <r>
          <rPr>
            <sz val="14"/>
            <color rgb="FF000000"/>
            <rFont val="Times New Roman"/>
            <family val="18"/>
          </rPr>
          <t xml:space="preserve">05/04/1800 </t>
        </r>
        <r>
          <rPr>
            <i/>
            <sz val="14"/>
            <color rgb="FF000000"/>
            <rFont val="Times New Roman"/>
            <family val="18"/>
          </rPr>
          <t>Krank auswärts mit Kriegsgebühr</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Der Gemeiner Pietel BLUMGARTEN wurde mit Geld von 1. Marz bis 10. April, dann mit Brot von 1. Marz unrecht auswärts Gefuhrt, weil selbe auf dieser Zeit den Ober Lieutenant [Wolfgang] Kleinhaus verehrt [ST May 1800] [Compare with soldier Michael Horwath from 2. Major Comp]</t>
        </r>
        <r>
          <rPr>
            <sz val="14"/>
            <color rgb="FF000000"/>
            <rFont val="Calibri"/>
            <family val="34"/>
          </rPr>
          <t xml:space="preserve">
</t>
        </r>
        <r>
          <rPr>
            <sz val="14"/>
            <color rgb="FF000000"/>
            <rFont val="Times New Roman"/>
            <family val="18"/>
          </rPr>
          <t>07/06/1800 I</t>
        </r>
        <r>
          <rPr>
            <i/>
            <sz val="14"/>
            <color rgb="FF000000"/>
            <rFont val="Times New Roman"/>
            <family val="18"/>
          </rPr>
          <t>n die Kriegsgefangenschaft gefallen</t>
        </r>
        <r>
          <rPr>
            <sz val="14"/>
            <color rgb="FF000000"/>
            <rFont val="Times New Roman"/>
            <family val="18"/>
          </rPr>
          <t xml:space="preserve"> </t>
        </r>
        <r>
          <rPr>
            <b/>
            <sz val="14"/>
            <color rgb="FF000000"/>
            <rFont val="Times New Roman"/>
            <family val="18"/>
          </rPr>
          <t>[Action of Montalto]</t>
        </r>
        <r>
          <rPr>
            <sz val="14"/>
            <color rgb="FF000000"/>
            <rFont val="Times New Roman"/>
            <family val="18"/>
          </rPr>
          <t xml:space="preserve"> [ST June 1800]</t>
        </r>
        <r>
          <rPr>
            <sz val="14"/>
            <color rgb="FF000000"/>
            <rFont val="Calibri"/>
            <family val="34"/>
          </rPr>
          <t xml:space="preserve">
</t>
        </r>
      </text>
    </comment>
    <comment ref="BG234" authorId="0" shapeId="0" xr:uid="{F23A44A9-628F-BE44-AB2B-1D1C065550D7}">
      <text>
        <r>
          <rPr>
            <sz val="14"/>
            <color rgb="FF000000"/>
            <rFont val="Times New Roman"/>
            <family val="18"/>
          </rPr>
          <t>ML 10.271 IR 43 (1796-9) – RL Haupt Obrist Comp. Nr. 89 (Udine 25/01/1799)</t>
        </r>
        <r>
          <rPr>
            <sz val="14"/>
            <color rgb="FF000000"/>
            <rFont val="Calibri"/>
            <family val="34"/>
          </rPr>
          <t xml:space="preserve">
</t>
        </r>
        <r>
          <rPr>
            <sz val="14"/>
            <color rgb="FF000000"/>
            <rFont val="Times New Roman"/>
            <family val="18"/>
          </rPr>
          <t>ML 10.304 IR 43 (1796) ST Oct (16/02/1799) und Dez (02/03/1800)</t>
        </r>
        <r>
          <rPr>
            <sz val="14"/>
            <color rgb="FF000000"/>
            <rFont val="Calibri"/>
            <family val="34"/>
          </rPr>
          <t xml:space="preserve">
</t>
        </r>
        <r>
          <rPr>
            <sz val="14"/>
            <color rgb="FF000000"/>
            <rFont val="Times New Roman"/>
            <family val="18"/>
          </rPr>
          <t>ML 10.305 IR 43 (1797) – ST Feb (09/03/1802)</t>
        </r>
        <r>
          <rPr>
            <sz val="14"/>
            <color rgb="FF000000"/>
            <rFont val="Calibri"/>
            <family val="34"/>
          </rPr>
          <t xml:space="preserve">
</t>
        </r>
        <r>
          <rPr>
            <sz val="14"/>
            <color rgb="FF000000"/>
            <rFont val="Times New Roman"/>
            <family val="18"/>
          </rPr>
          <t>ML 10.307 IR 43 (1799) – ST Aug (06/03/1800)</t>
        </r>
        <r>
          <rPr>
            <sz val="14"/>
            <color rgb="FF000000"/>
            <rFont val="Calibri"/>
            <family val="34"/>
          </rPr>
          <t xml:space="preserve">
</t>
        </r>
        <r>
          <rPr>
            <sz val="14"/>
            <color rgb="FF000000"/>
            <rFont val="Times New Roman"/>
            <family val="18"/>
          </rPr>
          <t>ML 10.309 IR 43 (1800) – ST Feb (06/04/1801), März (04/10/1801), April (24/01/1802), Mai (??), und Juni (27/08/1803)</t>
        </r>
      </text>
    </comment>
    <comment ref="BH234" authorId="0" shapeId="0" xr:uid="{66DF6E89-9CA1-1940-AEB3-04CA52C96479}">
      <text>
        <r>
          <rPr>
            <sz val="14"/>
            <color rgb="FF000000"/>
            <rFont val="Calibri"/>
            <family val="34"/>
          </rPr>
          <t>IR 43 (1796-1800)</t>
        </r>
      </text>
    </comment>
    <comment ref="B235" authorId="0" shapeId="0" xr:uid="{CC400C73-BCBD-D045-AEC9-322B94ED2581}">
      <text>
        <r>
          <rPr>
            <sz val="14"/>
            <color rgb="FF000000"/>
            <rFont val="Times New Roman"/>
            <family val="18"/>
          </rPr>
          <t>Tobias/Thomas, FUCHSKEHL/FUCHSKELLER</t>
        </r>
      </text>
    </comment>
    <comment ref="BF235" authorId="0" shapeId="0" xr:uid="{0963ED51-BF5D-7940-B571-79916FC77FC7}">
      <text>
        <r>
          <rPr>
            <sz val="14"/>
            <color rgb="FF000000"/>
            <rFont val="Times New Roman"/>
            <family val="18"/>
          </rPr>
          <t xml:space="preserve">27/09/1796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1796]</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Reserve Division eigeruckt</t>
        </r>
        <r>
          <rPr>
            <sz val="14"/>
            <color rgb="FF000000"/>
            <rFont val="Times New Roman"/>
            <family val="18"/>
          </rPr>
          <t xml:space="preserve"> [ST Dec 1796]</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Haupt Moriz Schmoll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11/02/1797 </t>
        </r>
        <r>
          <rPr>
            <i/>
            <sz val="14"/>
            <color rgb="FF000000"/>
            <rFont val="Times New Roman"/>
            <family val="18"/>
          </rPr>
          <t>Krank Auswärts mit Kriegs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31/10/1797 [mindestens bis] </t>
        </r>
        <r>
          <rPr>
            <i/>
            <sz val="14"/>
            <color rgb="FF000000"/>
            <rFont val="Times New Roman"/>
            <family val="18"/>
          </rPr>
          <t>Krank Auswärts mit Kriegs Gebühr</t>
        </r>
        <r>
          <rPr>
            <sz val="14"/>
            <color rgb="FF000000"/>
            <rFont val="Times New Roman"/>
            <family val="18"/>
          </rPr>
          <t xml:space="preserve"> [ST October1797]</t>
        </r>
        <r>
          <rPr>
            <sz val="14"/>
            <color rgb="FF000000"/>
            <rFont val="Calibri"/>
            <family val="34"/>
          </rPr>
          <t xml:space="preserve">
</t>
        </r>
        <r>
          <rPr>
            <sz val="14"/>
            <color rgb="FF000000"/>
            <rFont val="Times New Roman"/>
            <family val="18"/>
          </rPr>
          <t xml:space="preserve">25/05/1798 [Früher als] UNBEKANNT: </t>
        </r>
        <r>
          <rPr>
            <i/>
            <sz val="14"/>
            <color rgb="FF000000"/>
            <rFont val="Times New Roman"/>
            <family val="18"/>
          </rPr>
          <t xml:space="preserve">vermutlich im Spital gestorben oder verloren gegangen </t>
        </r>
        <r>
          <rPr>
            <sz val="14"/>
            <color rgb="FF000000"/>
            <rFont val="Times New Roman"/>
            <family val="18"/>
          </rPr>
          <t>[ML 1799]</t>
        </r>
        <r>
          <rPr>
            <sz val="14"/>
            <color rgb="FF000000"/>
            <rFont val="Calibri"/>
            <family val="34"/>
          </rPr>
          <t xml:space="preserve">
</t>
        </r>
      </text>
    </comment>
    <comment ref="BG235" authorId="0" shapeId="0" xr:uid="{CF48F0CE-5ABA-CA44-A62A-8F27E9A59336}">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r>
          <rPr>
            <sz val="14"/>
            <color rgb="FF000000"/>
            <rFont val="Calibri"/>
            <family val="34"/>
          </rPr>
          <t xml:space="preserve">
</t>
        </r>
        <r>
          <rPr>
            <sz val="14"/>
            <color rgb="FF000000"/>
            <rFont val="Times New Roman"/>
            <family val="18"/>
          </rPr>
          <t>ML 10.305 IR 43 (1797) – ST Feb (09/03/1802) und Okt (31/05/1805)</t>
        </r>
        <r>
          <rPr>
            <sz val="14"/>
            <color rgb="FF000000"/>
            <rFont val="Calibri"/>
            <family val="34"/>
          </rPr>
          <t xml:space="preserve">
</t>
        </r>
      </text>
    </comment>
    <comment ref="BH235" authorId="0" shapeId="0" xr:uid="{DADA5668-F386-CC43-BFC2-9A37507D1F96}">
      <text>
        <r>
          <rPr>
            <sz val="14"/>
            <color rgb="FF000000"/>
            <rFont val="Calibri"/>
            <family val="34"/>
          </rPr>
          <t>IR 43 (1796-1797/8)</t>
        </r>
      </text>
    </comment>
    <comment ref="BF236" authorId="0" shapeId="0" xr:uid="{47ACB8C7-A7D3-6E42-85F5-1DC50E99CEA6}">
      <text>
        <r>
          <rPr>
            <sz val="14"/>
            <color rgb="FF000000"/>
            <rFont val="Times New Roman"/>
            <family val="18"/>
          </rPr>
          <t xml:space="preserve">27/09/1796 </t>
        </r>
        <r>
          <rPr>
            <i/>
            <sz val="14"/>
            <color rgb="FF000000"/>
            <rFont val="Times New Roman"/>
            <family val="18"/>
          </rPr>
          <t>Von Dominien gestellt und a 3Fl Handgeld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18/09/1802 Muster: IR 13 Haupt Ullmer Komp. Nr. 43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31/10/1802 </t>
        </r>
        <r>
          <rPr>
            <i/>
            <sz val="14"/>
            <color rgb="FF000000"/>
            <rFont val="Times New Roman"/>
            <family val="18"/>
          </rPr>
          <t>Von Urlaub desertiert</t>
        </r>
        <r>
          <rPr>
            <sz val="14"/>
            <color rgb="FF000000"/>
            <rFont val="Times New Roman"/>
            <family val="18"/>
          </rPr>
          <t xml:space="preserve"> [ML 1803] </t>
        </r>
      </text>
    </comment>
    <comment ref="BG236" authorId="0" shapeId="0" xr:uid="{6B05AA56-E18E-D540-A9CB-1C4ED349C20B}">
      <text>
        <r>
          <rPr>
            <sz val="14"/>
            <color rgb="FF000000"/>
            <rFont val="Times New Roman"/>
            <family val="18"/>
          </rPr>
          <t>ML 10.045/6 IR 13 (1802) – Haupt Ullmer Komp. Nr. 43 (Capo D‘Istria 18/09/1802)</t>
        </r>
        <r>
          <rPr>
            <sz val="14"/>
            <color rgb="FF000000"/>
            <rFont val="Times New Roman"/>
            <family val="18"/>
          </rPr>
          <t xml:space="preserve">
</t>
        </r>
        <r>
          <rPr>
            <sz val="14"/>
            <color rgb="FF000000"/>
            <rFont val="Times New Roman"/>
            <family val="18"/>
          </rPr>
          <t>ML 10.047/8 IR 13 (1803) – Haupt Ullmer Komp. Abgang (Capo D‘Istria 24/09/1803)</t>
        </r>
      </text>
    </comment>
    <comment ref="BH236" authorId="0" shapeId="0" xr:uid="{ECC8966E-E2CC-3148-8E65-821B5091EE60}">
      <text>
        <r>
          <rPr>
            <sz val="14"/>
            <color rgb="FF000000"/>
            <rFont val="Calibri"/>
            <family val="34"/>
          </rPr>
          <t>IR 43 (1796-1802)</t>
        </r>
      </text>
    </comment>
    <comment ref="BF237" authorId="0" shapeId="0" xr:uid="{1CB66390-90DA-5C47-9DB3-528864F37827}">
      <text>
        <r>
          <rPr>
            <sz val="14"/>
            <color rgb="FF000000"/>
            <rFont val="Times New Roman"/>
            <family val="18"/>
          </rPr>
          <t xml:space="preserve">27/09/1796 </t>
        </r>
        <r>
          <rPr>
            <i/>
            <sz val="14"/>
            <color rgb="FF000000"/>
            <rFont val="Times New Roman"/>
            <family val="18"/>
          </rPr>
          <t>A 3Fl Handgeld zu Zolkiew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Privat Diener zum Gemeinen übersetzt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2. Major Komp. Nr. 116</t>
        </r>
        <r>
          <rPr>
            <sz val="14"/>
            <color rgb="FF000000"/>
            <rFont val="Calibri"/>
            <family val="34"/>
          </rPr>
          <t xml:space="preserve">
</t>
        </r>
        <r>
          <rPr>
            <sz val="14"/>
            <color rgb="FF000000"/>
            <rFont val="Times New Roman"/>
            <family val="18"/>
          </rPr>
          <t xml:space="preserve">15/09/1805 </t>
        </r>
        <r>
          <rPr>
            <i/>
            <sz val="14"/>
            <color rgb="FF000000"/>
            <rFont val="Times New Roman"/>
            <family val="18"/>
          </rPr>
          <t>Von Haupt Till zum 4. Reserve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16/03/1806 </t>
        </r>
        <r>
          <rPr>
            <i/>
            <sz val="14"/>
            <color rgb="FF000000"/>
            <rFont val="Times New Roman"/>
            <family val="18"/>
          </rPr>
          <t>Von dissolvierte 4. Reserve Komp. zum 9.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20/06/1806 </t>
        </r>
        <r>
          <rPr>
            <i/>
            <sz val="14"/>
            <color rgb="FF000000"/>
            <rFont val="Times New Roman"/>
            <family val="18"/>
          </rPr>
          <t>Von IR 4 9. Fus. Haupt till Komp. zum Wiener Policey Wache transferiert</t>
        </r>
        <r>
          <rPr>
            <sz val="14"/>
            <color rgb="FF000000"/>
            <rFont val="Times New Roman"/>
            <family val="18"/>
          </rPr>
          <t xml:space="preserve"> [ML 1806] </t>
        </r>
        <r>
          <rPr>
            <sz val="14"/>
            <color rgb="FF000000"/>
            <rFont val="Calibri"/>
            <family val="34"/>
          </rPr>
          <t xml:space="preserve">
</t>
        </r>
        <r>
          <rPr>
            <sz val="14"/>
            <color rgb="FF000000"/>
            <rFont val="Times New Roman"/>
            <family val="18"/>
          </rPr>
          <t xml:space="preserve">03/09/1809 </t>
        </r>
        <r>
          <rPr>
            <i/>
            <sz val="14"/>
            <color rgb="FF000000"/>
            <rFont val="Times New Roman"/>
            <family val="18"/>
          </rPr>
          <t xml:space="preserve">Desertiert </t>
        </r>
        <r>
          <rPr>
            <sz val="14"/>
            <color rgb="FF000000"/>
            <rFont val="Times New Roman"/>
            <family val="18"/>
          </rPr>
          <t>[TL Feb 1810]</t>
        </r>
        <r>
          <rPr>
            <sz val="14"/>
            <color rgb="FF000000"/>
            <rFont val="Calibri"/>
            <family val="34"/>
          </rPr>
          <t xml:space="preserve">
</t>
        </r>
        <r>
          <rPr>
            <sz val="14"/>
            <color rgb="FF000000"/>
            <rFont val="Times New Roman"/>
            <family val="18"/>
          </rPr>
          <t xml:space="preserve">07/10/1809 </t>
        </r>
        <r>
          <rPr>
            <i/>
            <sz val="14"/>
            <color rgb="FF000000"/>
            <rFont val="Times New Roman"/>
            <family val="18"/>
          </rPr>
          <t>Auf General Pardon sich gemeldet</t>
        </r>
        <r>
          <rPr>
            <sz val="14"/>
            <color rgb="FF000000"/>
            <rFont val="Times New Roman"/>
            <family val="18"/>
          </rPr>
          <t xml:space="preserve"> [TL Feb 1810]</t>
        </r>
        <r>
          <rPr>
            <sz val="14"/>
            <color rgb="FF000000"/>
            <rFont val="Calibri"/>
            <family val="34"/>
          </rPr>
          <t xml:space="preserve">
</t>
        </r>
        <r>
          <rPr>
            <sz val="14"/>
            <color rgb="FF000000"/>
            <rFont val="Times New Roman"/>
            <family val="18"/>
          </rPr>
          <t xml:space="preserve">17/02/1810 </t>
        </r>
        <r>
          <rPr>
            <i/>
            <sz val="14"/>
            <color rgb="FF000000"/>
            <rFont val="Times New Roman"/>
            <family val="18"/>
          </rPr>
          <t>Von Wiener Militar Policey Wache zum IR 4 transferiert und zum 5. fus. Komp. eingeteilt</t>
        </r>
        <r>
          <rPr>
            <sz val="14"/>
            <color rgb="FF000000"/>
            <rFont val="Times New Roman"/>
            <family val="18"/>
          </rPr>
          <t xml:space="preserve"> [TL Feb 1810]</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ausgedienter Inländischer Capitulant gegen Renuncierung auf alle Militar  Beneficien mit Abschied entlassen</t>
        </r>
        <r>
          <rPr>
            <sz val="14"/>
            <color rgb="FF000000"/>
            <rFont val="Times New Roman"/>
            <family val="18"/>
          </rPr>
          <t xml:space="preserve"> [ST Aug 1810] </t>
        </r>
      </text>
    </comment>
    <comment ref="BG237" authorId="0" shapeId="0" xr:uid="{D7CE65AD-E205-7944-A402-DB8A8CE228C9}">
      <text>
        <r>
          <rPr>
            <sz val="14"/>
            <color rgb="FF000000"/>
            <rFont val="Times New Roman"/>
            <family val="18"/>
          </rPr>
          <t>ML 348 IR 4 (1803) – 2. Major Komp. Nr. 116 (Vienna 14/09/1803)</t>
        </r>
        <r>
          <rPr>
            <sz val="14"/>
            <color rgb="FF000000"/>
            <rFont val="Calibri"/>
            <family val="34"/>
          </rPr>
          <t xml:space="preserve">
</t>
        </r>
        <r>
          <rPr>
            <sz val="14"/>
            <color rgb="FF000000"/>
            <rFont val="Times New Roman"/>
            <family val="18"/>
          </rPr>
          <t>ML 349/50 IR 4 (1806) – 9. Fus. Komp. Abgang (Haimburg 27/12/1806)</t>
        </r>
        <r>
          <rPr>
            <sz val="14"/>
            <color rgb="FF000000"/>
            <rFont val="Calibri"/>
            <family val="34"/>
          </rPr>
          <t xml:space="preserve">
</t>
        </r>
        <r>
          <rPr>
            <sz val="14"/>
            <color rgb="FF000000"/>
            <rFont val="Times New Roman"/>
            <family val="18"/>
          </rPr>
          <t>ML 390 IR 4 (1806) AL/TL I-VIII – TL IR 4-&gt; Wiener PW Nr. 7 (Wiener Neustadt 12/07/1806)</t>
        </r>
        <r>
          <rPr>
            <sz val="14"/>
            <color rgb="FF000000"/>
            <rFont val="Calibri"/>
            <family val="34"/>
          </rPr>
          <t xml:space="preserve">
</t>
        </r>
        <r>
          <rPr>
            <sz val="14"/>
            <color rgb="FF000000"/>
            <rFont val="Times New Roman"/>
            <family val="18"/>
          </rPr>
          <t>ML 402 IR 4 (1810) – ST Sept (01/03/1811)</t>
        </r>
        <r>
          <rPr>
            <sz val="14"/>
            <color rgb="FF000000"/>
            <rFont val="Calibri"/>
            <family val="34"/>
          </rPr>
          <t xml:space="preserve">
</t>
        </r>
        <r>
          <rPr>
            <sz val="14"/>
            <color rgb="FF000000"/>
            <rFont val="Times New Roman"/>
            <family val="18"/>
          </rPr>
          <t xml:space="preserve">ML 403 IR 4 (1810) AL/TL I-VI – Wiener PW-&gt;IR 4 Nr. 1 (Vienna 17/02/1810) </t>
        </r>
        <r>
          <rPr>
            <sz val="14"/>
            <color rgb="FF000000"/>
            <rFont val="Calibri"/>
            <family val="34"/>
          </rPr>
          <t xml:space="preserve">
</t>
        </r>
      </text>
    </comment>
    <comment ref="BH237" authorId="0" shapeId="0" xr:uid="{0B27DB59-7B0A-F044-857C-46F925BEDB74}">
      <text>
        <r>
          <rPr>
            <sz val="14"/>
            <color rgb="FF000000"/>
            <rFont val="Calibri"/>
            <family val="34"/>
          </rPr>
          <t xml:space="preserve">IR 4 (1796-1806)
</t>
        </r>
        <r>
          <rPr>
            <sz val="14"/>
            <color rgb="FF000000"/>
            <rFont val="Calibri"/>
            <family val="34"/>
          </rPr>
          <t xml:space="preserve">PW Wien (1806-1810)
</t>
        </r>
        <r>
          <rPr>
            <sz val="14"/>
            <color rgb="FF000000"/>
            <rFont val="Calibri"/>
            <family val="34"/>
          </rPr>
          <t>IR 4 (1810)</t>
        </r>
      </text>
    </comment>
    <comment ref="BI237" authorId="0" shapeId="0" xr:uid="{63214D06-2628-0A4D-8018-E23AAAA97CD5}">
      <text>
        <r>
          <rPr>
            <i/>
            <sz val="14"/>
            <color rgb="FF000000"/>
            <rFont val="Times New Roman"/>
            <family val="18"/>
          </rPr>
          <t>Gute</t>
        </r>
        <r>
          <rPr>
            <sz val="14"/>
            <color rgb="FF000000"/>
            <rFont val="Times New Roman"/>
            <family val="18"/>
          </rPr>
          <t xml:space="preserve"> [TL July 1806]</t>
        </r>
        <r>
          <rPr>
            <sz val="14"/>
            <color rgb="FF000000"/>
            <rFont val="Calibri"/>
            <family val="2"/>
            <scheme val="minor"/>
          </rPr>
          <t xml:space="preserve"> </t>
        </r>
      </text>
    </comment>
    <comment ref="BF238" authorId="0" shapeId="0" xr:uid="{6E3D4831-EDDB-6E48-B178-054FDE60A146}">
      <text>
        <r>
          <rPr>
            <sz val="14"/>
            <color rgb="FF000000"/>
            <rFont val="Times New Roman"/>
            <family val="18"/>
          </rPr>
          <t xml:space="preserve">28/09/1796 </t>
        </r>
        <r>
          <rPr>
            <i/>
            <sz val="14"/>
            <color rgb="FF000000"/>
            <rFont val="Times New Roman"/>
            <family val="18"/>
          </rPr>
          <t>Von Domenien a 3Fl gestellt und zum Tarnopol Assentiert; Seit Assentierungs Datum auf Anmarsch mit Auswärtiger Verpflegung</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Reserve Division eigeruckt</t>
        </r>
        <r>
          <rPr>
            <sz val="14"/>
            <color rgb="FF000000"/>
            <rFont val="Times New Roman"/>
            <family val="18"/>
          </rPr>
          <t xml:space="preserve"> [Dec 1796]</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Haupt Moriz Schmoll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06/04/1797 </t>
        </r>
        <r>
          <rPr>
            <i/>
            <sz val="14"/>
            <color rgb="FF000000"/>
            <rFont val="Times New Roman"/>
            <family val="18"/>
          </rPr>
          <t>Krank auswärts mit Kriegs Gebühr</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Reconvalesciert</t>
        </r>
        <r>
          <rPr>
            <sz val="14"/>
            <color rgb="FF000000"/>
            <rFont val="Times New Roman"/>
            <family val="18"/>
          </rPr>
          <t xml:space="preserve"> [ST Mai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Haupt Moritz Schmoll Zum Stephan Schmoll Comp. transferiert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26/01/1798 </t>
        </r>
        <r>
          <rPr>
            <i/>
            <sz val="14"/>
            <color rgb="FF000000"/>
            <rFont val="Times New Roman"/>
            <family val="18"/>
          </rPr>
          <t>zu Sittich gestorben</t>
        </r>
        <r>
          <rPr>
            <sz val="14"/>
            <color rgb="FF000000"/>
            <rFont val="Times New Roman"/>
            <family val="18"/>
          </rPr>
          <t xml:space="preserve"> [ML Jan 1799]</t>
        </r>
        <r>
          <rPr>
            <sz val="14"/>
            <color rgb="FF000000"/>
            <rFont val="Calibri"/>
            <family val="34"/>
          </rPr>
          <t xml:space="preserve">
</t>
        </r>
      </text>
    </comment>
    <comment ref="BG238" authorId="0" shapeId="0" xr:uid="{A770CE2C-910F-2942-8219-985854BC19CE}">
      <text>
        <r>
          <rPr>
            <sz val="14"/>
            <color rgb="FF000000"/>
            <rFont val="Times New Roman"/>
            <family val="18"/>
          </rPr>
          <t>ML 10.271 IR 43 (1796-9) – RL Haupt Fischer Abgang (Udine 25/01/1799)</t>
        </r>
        <r>
          <rPr>
            <sz val="14"/>
            <color rgb="FF000000"/>
            <rFont val="Calibri"/>
            <family val="34"/>
          </rPr>
          <t xml:space="preserve">
</t>
        </r>
        <r>
          <rPr>
            <sz val="14"/>
            <color rgb="FF000000"/>
            <rFont val="Times New Roman"/>
            <family val="18"/>
          </rPr>
          <t>ML 10.304 IR 43 (1796) – ST Sept (03/12/1798) und Dez (02/03/1800)</t>
        </r>
        <r>
          <rPr>
            <sz val="14"/>
            <color rgb="FF000000"/>
            <rFont val="Calibri"/>
            <family val="34"/>
          </rPr>
          <t xml:space="preserve">
</t>
        </r>
        <r>
          <rPr>
            <sz val="14"/>
            <color rgb="FF000000"/>
            <rFont val="Times New Roman"/>
            <family val="18"/>
          </rPr>
          <t xml:space="preserve">ML 10.305 IR 43 (1797) – ST Feb (09/03/1802), April (24/05/1803), Mai (01/06/1803) </t>
        </r>
      </text>
    </comment>
    <comment ref="BH238" authorId="0" shapeId="0" xr:uid="{908E1CBB-E6F4-B148-91BC-9D5CB4752774}">
      <text>
        <r>
          <rPr>
            <sz val="14"/>
            <color rgb="FF000000"/>
            <rFont val="Calibri"/>
            <family val="34"/>
          </rPr>
          <t>IR 43 (1796-1798)</t>
        </r>
      </text>
    </comment>
    <comment ref="BF239" authorId="0" shapeId="0" xr:uid="{7C542C8D-D17E-7349-9331-83FB6142290B}">
      <text>
        <r>
          <rPr>
            <sz val="14"/>
            <color rgb="FF000000"/>
            <rFont val="Times New Roman"/>
            <family val="18"/>
          </rPr>
          <t xml:space="preserve">28/09/1796 </t>
        </r>
        <r>
          <rPr>
            <i/>
            <sz val="14"/>
            <color rgb="FF000000"/>
            <rFont val="Times New Roman"/>
            <family val="18"/>
          </rPr>
          <t xml:space="preserve">Von Dominien a 3Fl gestellt und zum Tarnopol Assentiert; Seit Assentierungs Datum auf Anmarsch mit Auswärtiger Verpflegung </t>
        </r>
        <r>
          <rPr>
            <sz val="14"/>
            <color rgb="FF000000"/>
            <rFont val="Times New Roman"/>
            <family val="18"/>
          </rPr>
          <t xml:space="preserve">[ST Sept 1796]
</t>
        </r>
        <r>
          <rPr>
            <sz val="14"/>
            <color rgb="FF000000"/>
            <rFont val="Times New Roman"/>
            <family val="18"/>
          </rPr>
          <t xml:space="preserve">23/12/1796 </t>
        </r>
        <r>
          <rPr>
            <i/>
            <sz val="14"/>
            <color rgb="FF000000"/>
            <rFont val="Times New Roman"/>
            <family val="18"/>
          </rPr>
          <t xml:space="preserve">in Division eigeruckt </t>
        </r>
        <r>
          <rPr>
            <sz val="14"/>
            <color rgb="FF000000"/>
            <rFont val="Times New Roman"/>
            <family val="18"/>
          </rPr>
          <t xml:space="preserve">[ST Dec 1796]
</t>
        </r>
        <r>
          <rPr>
            <sz val="14"/>
            <color rgb="FF000000"/>
            <rFont val="Times New Roman"/>
            <family val="18"/>
          </rPr>
          <t xml:space="preserve">31/10/1798 [Früher als] UNBEKANNT [ML 1799]
</t>
        </r>
      </text>
    </comment>
    <comment ref="BG239" authorId="0" shapeId="0" xr:uid="{EA9F5BA2-61D3-E64D-A101-685B5F032F7D}">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text>
    </comment>
    <comment ref="BH239" authorId="0" shapeId="0" xr:uid="{980C4823-F2AE-D945-9430-243868E22240}">
      <text>
        <r>
          <rPr>
            <sz val="14"/>
            <color rgb="FF000000"/>
            <rFont val="Calibri"/>
            <family val="34"/>
          </rPr>
          <t>IR 43 (1796-1797/8)</t>
        </r>
      </text>
    </comment>
    <comment ref="BF240" authorId="0" shapeId="0" xr:uid="{1EC2E4FE-A62E-B84D-91D4-87ECCFA0DB09}">
      <text>
        <r>
          <rPr>
            <sz val="14"/>
            <color rgb="FF000000"/>
            <rFont val="Times New Roman"/>
            <family val="18"/>
          </rPr>
          <t>28/09/1796</t>
        </r>
        <r>
          <rPr>
            <i/>
            <sz val="14"/>
            <color rgb="FF000000"/>
            <rFont val="Times New Roman"/>
            <family val="18"/>
          </rPr>
          <t xml:space="preserve"> A 3Fl Handgeld in IR 1 ‚Reserve Division‘ gestellt </t>
        </r>
        <r>
          <rPr>
            <sz val="14"/>
            <color rgb="FF000000"/>
            <rFont val="Times New Roman"/>
            <family val="18"/>
          </rPr>
          <t>[TL Aug 1796]</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240" authorId="0" shapeId="0" xr:uid="{3B0F4E2A-19C6-A74A-86A0-E29B4E0A8D80}">
      <text>
        <r>
          <rPr>
            <sz val="14"/>
            <color rgb="FF000000"/>
            <rFont val="Times New Roman"/>
            <family val="18"/>
          </rPr>
          <t>ML 66/7 IR 1 (1796) – AL. Nr. 140 (Hrubeiszow 18/10/1796)</t>
        </r>
        <r>
          <rPr>
            <sz val="14"/>
            <color rgb="FF000000"/>
            <rFont val="Calibri"/>
            <family val="34"/>
          </rPr>
          <t xml:space="preserve">
</t>
        </r>
        <r>
          <rPr>
            <sz val="14"/>
            <color rgb="FF000000"/>
            <rFont val="Times New Roman"/>
            <family val="18"/>
          </rPr>
          <t>ML 69/70 IR 1 (1797) AL/TL – TL IR 1-&gt;IR 56 Nr. 93 (Olmütz 20/08/1797)</t>
        </r>
      </text>
    </comment>
    <comment ref="BH240" authorId="0" shapeId="0" xr:uid="{EA4BE2B7-3860-B742-926C-AADF3446010A}">
      <text>
        <r>
          <rPr>
            <sz val="14"/>
            <color rgb="FF000000"/>
            <rFont val="Calibri"/>
            <family val="34"/>
          </rPr>
          <t xml:space="preserve">IR 1 (1797)
</t>
        </r>
        <r>
          <rPr>
            <sz val="14"/>
            <color rgb="FF000000"/>
            <rFont val="Calibri"/>
            <family val="34"/>
          </rPr>
          <t>IR 56 (1797)</t>
        </r>
      </text>
    </comment>
    <comment ref="T241" authorId="0" shapeId="0" xr:uid="{076341CE-9A10-DD43-B7F7-8A31E69B3555}">
      <text>
        <r>
          <rPr>
            <sz val="14"/>
            <color rgb="FF000000"/>
            <rFont val="Calibri"/>
            <family val="34"/>
          </rPr>
          <t xml:space="preserve">5.2.2 [163.7 cm] (1802)
</t>
        </r>
        <r>
          <rPr>
            <sz val="14"/>
            <color rgb="FF000000"/>
            <rFont val="Calibri"/>
            <family val="34"/>
          </rPr>
          <t>5.4 [168.7 cm] (1803-5)</t>
        </r>
      </text>
    </comment>
    <comment ref="BF241" authorId="0" shapeId="0" xr:uid="{79F27574-5EED-5D4D-B79E-206350877ACF}">
      <text>
        <r>
          <rPr>
            <sz val="14"/>
            <color rgb="FFFF0000"/>
            <rFont val="Times New Roman"/>
            <family val="18"/>
          </rPr>
          <t xml:space="preserve">23/03/1796 </t>
        </r>
        <r>
          <rPr>
            <i/>
            <sz val="14"/>
            <color rgb="FFFF0000"/>
            <rFont val="Times New Roman"/>
            <family val="18"/>
          </rPr>
          <t>Von Ständen Gestellt</t>
        </r>
        <r>
          <rPr>
            <sz val="14"/>
            <color rgb="FFFF0000"/>
            <rFont val="Times New Roman"/>
            <family val="18"/>
          </rPr>
          <t xml:space="preserve"> [ML 1802-5]</t>
        </r>
        <r>
          <rPr>
            <sz val="14"/>
            <color rgb="FF000000"/>
            <rFont val="Times New Roman"/>
            <family val="18"/>
          </rPr>
          <t xml:space="preserve">
</t>
        </r>
        <r>
          <rPr>
            <sz val="14"/>
            <color rgb="FF000000"/>
            <rFont val="Times New Roman"/>
            <family val="18"/>
          </rPr>
          <t xml:space="preserve">28/09/1796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1796]
</t>
        </r>
        <r>
          <rPr>
            <sz val="14"/>
            <color rgb="FF000000"/>
            <rFont val="Times New Roman"/>
            <family val="18"/>
          </rPr>
          <t xml:space="preserve">23/12/1796 </t>
        </r>
        <r>
          <rPr>
            <i/>
            <sz val="14"/>
            <color rgb="FF000000"/>
            <rFont val="Times New Roman"/>
            <family val="18"/>
          </rPr>
          <t>in Division eingerückt</t>
        </r>
        <r>
          <rPr>
            <sz val="14"/>
            <color rgb="FF000000"/>
            <rFont val="Times New Roman"/>
            <family val="18"/>
          </rPr>
          <t xml:space="preserve"> [ST Dec 1796]
</t>
        </r>
        <r>
          <rPr>
            <sz val="14"/>
            <color rgb="FF000000"/>
            <rFont val="Times New Roman"/>
            <family val="18"/>
          </rPr>
          <t xml:space="preserve">01/02/1797 </t>
        </r>
        <r>
          <rPr>
            <i/>
            <sz val="14"/>
            <color rgb="FF000000"/>
            <rFont val="Times New Roman"/>
            <family val="18"/>
          </rPr>
          <t>von Reserve Division zum 2. Major Comp. Transferiert</t>
        </r>
        <r>
          <rPr>
            <sz val="14"/>
            <color rgb="FF000000"/>
            <rFont val="Times New Roman"/>
            <family val="18"/>
          </rPr>
          <t xml:space="preserve"> [ST Feb 1797]
</t>
        </r>
        <r>
          <rPr>
            <sz val="14"/>
            <color rgb="FF000000"/>
            <rFont val="Times New Roman"/>
            <family val="18"/>
          </rPr>
          <t xml:space="preserve">25/01/1799 Revision: IR 43 2. Major Comp. Nr. 86
</t>
        </r>
        <r>
          <rPr>
            <sz val="14"/>
            <color rgb="FF000000"/>
            <rFont val="Times New Roman"/>
            <family val="18"/>
          </rPr>
          <t xml:space="preserve">06/07/1799 </t>
        </r>
        <r>
          <rPr>
            <i/>
            <sz val="14"/>
            <color rgb="FF000000"/>
            <rFont val="Times New Roman"/>
            <family val="18"/>
          </rPr>
          <t>Krank auswärts mit Kriegsgebühr</t>
        </r>
        <r>
          <rPr>
            <sz val="14"/>
            <color rgb="FF000000"/>
            <rFont val="Times New Roman"/>
            <family val="18"/>
          </rPr>
          <t xml:space="preserve"> [ST July 1799]
</t>
        </r>
        <r>
          <rPr>
            <sz val="14"/>
            <color rgb="FF000000"/>
            <rFont val="Times New Roman"/>
            <family val="18"/>
          </rPr>
          <t xml:space="preserve">31/071799 </t>
        </r>
        <r>
          <rPr>
            <i/>
            <sz val="14"/>
            <color rgb="FF000000"/>
            <rFont val="Times New Roman"/>
            <family val="18"/>
          </rPr>
          <t xml:space="preserve">Reconvalesciert </t>
        </r>
        <r>
          <rPr>
            <sz val="14"/>
            <color rgb="FF000000"/>
            <rFont val="Times New Roman"/>
            <family val="18"/>
          </rPr>
          <t xml:space="preserve">[ST Aus 1799]
</t>
        </r>
        <r>
          <rPr>
            <sz val="14"/>
            <color rgb="FF000000"/>
            <rFont val="Times New Roman"/>
            <family val="18"/>
          </rPr>
          <t xml:space="preserve">15/08/1799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
</t>
        </r>
        <r>
          <rPr>
            <sz val="14"/>
            <color rgb="FF000000"/>
            <rFont val="Times New Roman"/>
            <family val="18"/>
          </rPr>
          <t xml:space="preserve">25/09/1799 </t>
        </r>
        <r>
          <rPr>
            <i/>
            <sz val="14"/>
            <color rgb="FF000000"/>
            <rFont val="Times New Roman"/>
            <family val="18"/>
          </rPr>
          <t>Reconvalesciert</t>
        </r>
        <r>
          <rPr>
            <sz val="14"/>
            <color rgb="FF000000"/>
            <rFont val="Times New Roman"/>
            <family val="18"/>
          </rPr>
          <t xml:space="preserve"> [ST Sept 1799]
</t>
        </r>
        <r>
          <rPr>
            <sz val="14"/>
            <color rgb="FF000000"/>
            <rFont val="Times New Roman"/>
            <family val="18"/>
          </rPr>
          <t xml:space="preserve">07/06/1800 </t>
        </r>
        <r>
          <rPr>
            <b/>
            <i/>
            <sz val="14"/>
            <color rgb="FF000000"/>
            <rFont val="Times New Roman"/>
            <family val="18"/>
          </rPr>
          <t xml:space="preserve">Zu Piacenza </t>
        </r>
        <r>
          <rPr>
            <i/>
            <sz val="14"/>
            <color rgb="FF000000"/>
            <rFont val="Times New Roman"/>
            <family val="18"/>
          </rPr>
          <t>gefangen</t>
        </r>
        <r>
          <rPr>
            <sz val="14"/>
            <color rgb="FF000000"/>
            <rFont val="Times New Roman"/>
            <family val="18"/>
          </rPr>
          <t xml:space="preserve"> [ML 1802]
</t>
        </r>
        <r>
          <rPr>
            <sz val="14"/>
            <color rgb="FF000000"/>
            <rFont val="Times New Roman"/>
            <family val="18"/>
          </rPr>
          <t xml:space="preserve">08/06/1800 </t>
        </r>
        <r>
          <rPr>
            <i/>
            <sz val="14"/>
            <color rgb="FF000000"/>
            <rFont val="Times New Roman"/>
            <family val="18"/>
          </rPr>
          <t>Sich selbst ranzioniert</t>
        </r>
        <r>
          <rPr>
            <sz val="14"/>
            <color rgb="FF000000"/>
            <rFont val="Times New Roman"/>
            <family val="18"/>
          </rPr>
          <t xml:space="preserve"> [ML 1802]
</t>
        </r>
        <r>
          <rPr>
            <sz val="14"/>
            <color rgb="FF000000"/>
            <rFont val="Times New Roman"/>
            <family val="18"/>
          </rPr>
          <t xml:space="preserve">11/09/1802 Musterung: IR 43 2. Major Comp Nr. 43]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
</t>
        </r>
        <r>
          <rPr>
            <sz val="14"/>
            <color rgb="FF000000"/>
            <rFont val="Times New Roman"/>
            <family val="18"/>
          </rPr>
          <t xml:space="preserve">28/02/1803 </t>
        </r>
        <r>
          <rPr>
            <i/>
            <sz val="14"/>
            <color rgb="FF000000"/>
            <rFont val="Times New Roman"/>
            <family val="18"/>
          </rPr>
          <t>als Unbestimmt Beurlaubte in Gallizien eingerückt</t>
        </r>
        <r>
          <rPr>
            <sz val="14"/>
            <color rgb="FF000000"/>
            <rFont val="Times New Roman"/>
            <family val="18"/>
          </rPr>
          <t xml:space="preserve"> [ST March 1803]
</t>
        </r>
        <r>
          <rPr>
            <sz val="14"/>
            <color rgb="FF000000"/>
            <rFont val="Times New Roman"/>
            <family val="18"/>
          </rPr>
          <t>28/09/1803 Musterung: 2. Major Comp. Nr. 40 [</t>
        </r>
        <r>
          <rPr>
            <i/>
            <sz val="14"/>
            <color rgb="FF000000"/>
            <rFont val="Times New Roman"/>
            <family val="18"/>
          </rPr>
          <t>Beurlaubt bis Einberufung zu Zbaras in Ost Gallizien</t>
        </r>
        <r>
          <rPr>
            <sz val="14"/>
            <color rgb="FF000000"/>
            <rFont val="Times New Roman"/>
            <family val="18"/>
          </rPr>
          <t xml:space="preserve">]
</t>
        </r>
        <r>
          <rPr>
            <sz val="14"/>
            <color rgb="FF000000"/>
            <rFont val="Times New Roman"/>
            <family val="18"/>
          </rPr>
          <t>07/10/1804 Musterung: 2. Major Comp. Nr. 38 [</t>
        </r>
        <r>
          <rPr>
            <i/>
            <sz val="14"/>
            <color rgb="FF000000"/>
            <rFont val="Times New Roman"/>
            <family val="18"/>
          </rPr>
          <t>Beurlaubt bis Einberufung zu Zbaras in Ost Gallizien</t>
        </r>
        <r>
          <rPr>
            <sz val="14"/>
            <color rgb="FF000000"/>
            <rFont val="Times New Roman"/>
            <family val="18"/>
          </rPr>
          <t xml:space="preserve">]
</t>
        </r>
        <r>
          <rPr>
            <sz val="14"/>
            <color rgb="FF000000"/>
            <rFont val="Times New Roman"/>
            <family val="18"/>
          </rPr>
          <t>At Muster 01/10/1805 Musterung: 3. Fus Comp. Nr. 36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7. Fus Comp als unwissend Verloren in Abgang</t>
        </r>
        <r>
          <rPr>
            <sz val="14"/>
            <color rgb="FF000000"/>
            <rFont val="Times New Roman"/>
            <family val="18"/>
          </rPr>
          <t xml:space="preserve"> [ST Oct 1806 &amp; ML 1806]
</t>
        </r>
      </text>
    </comment>
    <comment ref="BG241" authorId="0" shapeId="0" xr:uid="{8640E685-A411-1E43-BB0D-FF0EA7D6070E}">
      <text>
        <r>
          <rPr>
            <sz val="14"/>
            <color rgb="FF000000"/>
            <rFont val="Times New Roman"/>
            <family val="18"/>
          </rPr>
          <t xml:space="preserve">ML 10.271 IR 43 (1796-9) – RL ObristLt Comp Nr. 58 (Civitalle 26/01/1799)
</t>
        </r>
        <r>
          <rPr>
            <sz val="14"/>
            <color rgb="FF000000"/>
            <rFont val="Times New Roman"/>
            <family val="18"/>
          </rPr>
          <t xml:space="preserve">ML 10.272 IR 43 (1802) – Heft von ObristLt. Comp. Nr. 22 (Zara 11/09/1802)
</t>
        </r>
        <r>
          <rPr>
            <sz val="14"/>
            <color rgb="FF000000"/>
            <rFont val="Times New Roman"/>
            <family val="18"/>
          </rPr>
          <t xml:space="preserve">ML 10.273 IR 43 (1803) – Heft von ObristLt. Comp. Nr. 17 (Zara 28/09/1803)
</t>
        </r>
        <r>
          <rPr>
            <sz val="14"/>
            <color rgb="FF000000"/>
            <rFont val="Times New Roman"/>
            <family val="18"/>
          </rPr>
          <t xml:space="preserve">ML 10.274 IR 43 (1804) – Heft von ObristLt. Comp. Nr. 18 (Cattaro 07/10/1804)
</t>
        </r>
        <r>
          <rPr>
            <sz val="14"/>
            <color rgb="FF000000"/>
            <rFont val="Times New Roman"/>
            <family val="18"/>
          </rPr>
          <t xml:space="preserve">ML 10.275/6 IR 43 (1805) – Heft von 9. Fus Comp. Nr. 20 (Sebenico (31/10/1805))
</t>
        </r>
        <r>
          <rPr>
            <sz val="14"/>
            <color rgb="FF000000"/>
            <rFont val="Times New Roman"/>
            <family val="18"/>
          </rPr>
          <t xml:space="preserve">ML 10/277/8 IR 43 (1806) – Heft von 13. Fus Comp. Abgang (Laibach 01/12/1806)
</t>
        </r>
        <r>
          <rPr>
            <sz val="14"/>
            <color rgb="FF000000"/>
            <rFont val="Times New Roman"/>
            <family val="18"/>
          </rPr>
          <t xml:space="preserve">ML 10.304 IR 43 (1796) ST Sept (16/02/1799), Okt (16/02/1799) und Dez (02/03/1800)
</t>
        </r>
        <r>
          <rPr>
            <sz val="14"/>
            <color rgb="FF000000"/>
            <rFont val="Times New Roman"/>
            <family val="18"/>
          </rPr>
          <t xml:space="preserve">ML 10.305 IR 43 (1797) – ST Feb (09/03/1802), März (), und Okt (31/05/1805)
</t>
        </r>
        <r>
          <rPr>
            <sz val="14"/>
            <color rgb="FF000000"/>
            <rFont val="Times New Roman"/>
            <family val="18"/>
          </rPr>
          <t xml:space="preserve">ML 10.307 IR 43 (1799) – ST Sept (21/07/1800)
</t>
        </r>
        <r>
          <rPr>
            <sz val="14"/>
            <color rgb="FF000000"/>
            <rFont val="Times New Roman"/>
            <family val="18"/>
          </rPr>
          <t>ML 10.317 IR 43 (1806) – ST Okt (27/11/1806)</t>
        </r>
      </text>
    </comment>
    <comment ref="BH241" authorId="0" shapeId="0" xr:uid="{38A693D2-8923-1447-8710-4AE864972376}">
      <text>
        <r>
          <rPr>
            <sz val="14"/>
            <color rgb="FF000000"/>
            <rFont val="Calibri"/>
            <family val="34"/>
          </rPr>
          <t>IR 43 (1796-1806)</t>
        </r>
      </text>
    </comment>
    <comment ref="BF242" authorId="0" shapeId="0" xr:uid="{D067D305-B2BA-ED4F-B91D-477D0A1123D9}">
      <text>
        <r>
          <rPr>
            <sz val="14"/>
            <color rgb="FF000000"/>
            <rFont val="Times New Roman"/>
            <family val="18"/>
          </rPr>
          <t xml:space="preserve">28/09/1796 </t>
        </r>
        <r>
          <rPr>
            <i/>
            <sz val="14"/>
            <color rgb="FF000000"/>
            <rFont val="Times New Roman"/>
            <family val="18"/>
          </rPr>
          <t>Von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Lieb Komp. Nr. 79 [</t>
        </r>
        <r>
          <rPr>
            <i/>
            <sz val="14"/>
            <color rgb="FF000000"/>
            <rFont val="Times New Roman"/>
            <family val="18"/>
          </rPr>
          <t>Commanidert bey Werbezierk in Gallizien</t>
        </r>
        <r>
          <rPr>
            <sz val="14"/>
            <color rgb="FF000000"/>
            <rFont val="Times New Roman"/>
            <family val="18"/>
          </rPr>
          <t>]</t>
        </r>
        <r>
          <rPr>
            <sz val="14"/>
            <color rgb="FF000000"/>
            <rFont val="Calibri"/>
            <family val="34"/>
          </rPr>
          <t xml:space="preserve">
</t>
        </r>
        <r>
          <rPr>
            <sz val="14"/>
            <color rgb="FF000000"/>
            <rFont val="Times New Roman"/>
            <family val="18"/>
          </rPr>
          <t xml:space="preserve">15/08/1804 </t>
        </r>
        <r>
          <rPr>
            <i/>
            <sz val="14"/>
            <color rgb="FF000000"/>
            <rFont val="Times New Roman"/>
            <family val="18"/>
          </rPr>
          <t>Gegen stellung Anderer Mann mit Abschied entalssen</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15/08/1804 </t>
        </r>
        <r>
          <rPr>
            <i/>
            <sz val="14"/>
            <color rgb="FF000000"/>
            <rFont val="Times New Roman"/>
            <family val="18"/>
          </rPr>
          <t>Per errorem in Abgang</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28/01/1805 </t>
        </r>
        <r>
          <rPr>
            <i/>
            <sz val="14"/>
            <color rgb="FF000000"/>
            <rFont val="Times New Roman"/>
            <family val="18"/>
          </rPr>
          <t>Gegen Stellung mit Abshied Entlassen</t>
        </r>
        <r>
          <rPr>
            <sz val="14"/>
            <color rgb="FF000000"/>
            <rFont val="Times New Roman"/>
            <family val="18"/>
          </rPr>
          <t xml:space="preserve"> [ML 1806]</t>
        </r>
        <r>
          <rPr>
            <sz val="14"/>
            <color rgb="FF000000"/>
            <rFont val="Calibri"/>
            <family val="34"/>
          </rPr>
          <t xml:space="preserve">
</t>
        </r>
      </text>
    </comment>
    <comment ref="BG242" authorId="0" shapeId="0" xr:uid="{6341D6B3-29DB-8B46-B24C-D2F02295D02B}">
      <text>
        <r>
          <rPr>
            <sz val="14"/>
            <color rgb="FF000000"/>
            <rFont val="Times New Roman"/>
            <family val="18"/>
          </rPr>
          <t>ML 5015 IR 59 (1803) – Lieb Komp. Nr. 79 (Enns 29/08/1803)</t>
        </r>
        <r>
          <rPr>
            <sz val="14"/>
            <color rgb="FF000000"/>
            <rFont val="Calibri"/>
            <family val="34"/>
          </rPr>
          <t xml:space="preserve">
</t>
        </r>
        <r>
          <rPr>
            <sz val="14"/>
            <color rgb="FF000000"/>
            <rFont val="Times New Roman"/>
            <family val="18"/>
          </rPr>
          <t>ML 5015 IR 59 (1804) – Lieb Komp Abgang (Innsbruck 03/09/1804)</t>
        </r>
        <r>
          <rPr>
            <sz val="14"/>
            <color rgb="FF000000"/>
            <rFont val="Calibri"/>
            <family val="34"/>
          </rPr>
          <t xml:space="preserve">
</t>
        </r>
        <r>
          <rPr>
            <sz val="14"/>
            <color rgb="FF000000"/>
            <rFont val="Times New Roman"/>
            <family val="18"/>
          </rPr>
          <t>ML 5017/8 IR 59 (1806) – Heft von Lieb Comp. Zuwachs &amp; Abgang (Linz 20/12/1806)</t>
        </r>
        <r>
          <rPr>
            <sz val="14"/>
            <color rgb="FF000000"/>
            <rFont val="Calibri"/>
            <family val="34"/>
          </rPr>
          <t xml:space="preserve">
</t>
        </r>
        <r>
          <rPr>
            <sz val="14"/>
            <color rgb="FF000000"/>
            <rFont val="Times New Roman"/>
            <family val="18"/>
          </rPr>
          <t xml:space="preserve">) </t>
        </r>
      </text>
    </comment>
    <comment ref="BH242" authorId="0" shapeId="0" xr:uid="{A9AD4DF3-A13E-484B-B641-02B6C8AC9131}">
      <text>
        <r>
          <rPr>
            <sz val="14"/>
            <color rgb="FF000000"/>
            <rFont val="Calibri"/>
            <family val="34"/>
          </rPr>
          <t>IR 43 (1796-1805)</t>
        </r>
      </text>
    </comment>
    <comment ref="BF243" authorId="0" shapeId="0" xr:uid="{170748A9-2223-D04C-9246-8E46A0312FF3}">
      <text>
        <r>
          <rPr>
            <sz val="14"/>
            <color rgb="FF000000"/>
            <rFont val="Times New Roman"/>
            <family val="18"/>
          </rPr>
          <t xml:space="preserve">30/09/1796 </t>
        </r>
        <r>
          <rPr>
            <i/>
            <sz val="14"/>
            <color rgb="FF000000"/>
            <rFont val="Times New Roman"/>
            <family val="18"/>
          </rPr>
          <t>Von Domenian gestellt und a 3 Fl zum Tarnopol Assentiert seitdem au Anmarsch mit Auswärtiger Verpflegung</t>
        </r>
        <r>
          <rPr>
            <sz val="14"/>
            <color rgb="FF000000"/>
            <rFont val="Times New Roman"/>
            <family val="18"/>
          </rPr>
          <t xml:space="preserve"> [ST Oct 1796]</t>
        </r>
        <r>
          <rPr>
            <sz val="14"/>
            <color rgb="FF000000"/>
            <rFont val="Calibri"/>
            <family val="34"/>
          </rPr>
          <t xml:space="preserve">
</t>
        </r>
        <r>
          <rPr>
            <sz val="14"/>
            <color rgb="FF000000"/>
            <rFont val="Times New Roman"/>
            <family val="18"/>
          </rPr>
          <t xml:space="preserve">12/12/1796 </t>
        </r>
        <r>
          <rPr>
            <i/>
            <sz val="14"/>
            <color rgb="FF000000"/>
            <rFont val="Times New Roman"/>
            <family val="18"/>
          </rPr>
          <t>zum Pest Gestorben</t>
        </r>
        <r>
          <rPr>
            <sz val="14"/>
            <color rgb="FF000000"/>
            <rFont val="Times New Roman"/>
            <family val="18"/>
          </rPr>
          <t xml:space="preserve"> [ST Dec 1797]</t>
        </r>
        <r>
          <rPr>
            <sz val="14"/>
            <color rgb="FF000000"/>
            <rFont val="Calibri"/>
            <family val="34"/>
          </rPr>
          <t xml:space="preserve">
</t>
        </r>
      </text>
    </comment>
    <comment ref="BG243" authorId="0" shapeId="0" xr:uid="{E506F6E0-62A4-3E42-B2DC-CB4A1343603A}">
      <text>
        <r>
          <rPr>
            <sz val="14"/>
            <color rgb="FF000000"/>
            <rFont val="Calibri"/>
            <family val="34"/>
          </rPr>
          <t>ML 10.304 IR 43 (1796) ST Oct (16/02/1799) und Dez (02/03/1800)</t>
        </r>
      </text>
    </comment>
    <comment ref="BH243" authorId="0" shapeId="0" xr:uid="{5B7F841D-4277-7E44-A281-F906BB2E1342}">
      <text>
        <r>
          <rPr>
            <sz val="14"/>
            <color rgb="FF000000"/>
            <rFont val="Calibri"/>
            <family val="34"/>
          </rPr>
          <t>IR 43 (1796)</t>
        </r>
      </text>
    </comment>
    <comment ref="BF244" authorId="0" shapeId="0" xr:uid="{76756946-91DD-124E-8A65-1C6203DD7E0A}">
      <text>
        <r>
          <rPr>
            <sz val="14"/>
            <color rgb="FF000000"/>
            <rFont val="Times New Roman"/>
            <family val="18"/>
          </rPr>
          <t xml:space="preserve">10/10/1796 </t>
        </r>
        <r>
          <rPr>
            <i/>
            <sz val="14"/>
            <color rgb="FF000000"/>
            <rFont val="Times New Roman"/>
            <family val="18"/>
          </rPr>
          <t>Dient Seit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10 Haupt Harnach Komp. Nr. 36</t>
        </r>
        <r>
          <rPr>
            <sz val="14"/>
            <color rgb="FF000000"/>
            <rFont val="Calibri"/>
            <family val="34"/>
          </rPr>
          <t xml:space="preserve">
</t>
        </r>
        <r>
          <rPr>
            <sz val="14"/>
            <color rgb="FF000000"/>
            <rFont val="Times New Roman"/>
            <family val="18"/>
          </rPr>
          <t>14/09/1803 Muster: IR 10 Haupt Harnach Komp. Nr. 33 [</t>
        </r>
        <r>
          <rPr>
            <i/>
            <sz val="14"/>
            <color rgb="FF000000"/>
            <rFont val="Times New Roman"/>
            <family val="18"/>
          </rPr>
          <t>Krank in Regimentspital zu Neuhaus – Reale Invalid</t>
        </r>
        <r>
          <rPr>
            <sz val="14"/>
            <color rgb="FF000000"/>
            <rFont val="Times New Roman"/>
            <family val="18"/>
          </rPr>
          <t>]</t>
        </r>
        <r>
          <rPr>
            <sz val="14"/>
            <color rgb="FF000000"/>
            <rFont val="Calibri"/>
            <family val="34"/>
          </rPr>
          <t xml:space="preserve">
</t>
        </r>
        <r>
          <rPr>
            <sz val="14"/>
            <color rgb="FF000000"/>
            <rFont val="Times New Roman"/>
            <family val="18"/>
          </rPr>
          <t xml:space="preserve">31/10/1803 </t>
        </r>
        <r>
          <rPr>
            <i/>
            <sz val="14"/>
            <color rgb="FF000000"/>
            <rFont val="Times New Roman"/>
            <family val="18"/>
          </rPr>
          <t>Gegen Renuncierung aud Alle Militar Beneficien mit Abschied entlassen</t>
        </r>
        <r>
          <rPr>
            <sz val="14"/>
            <color rgb="FF000000"/>
            <rFont val="Times New Roman"/>
            <family val="18"/>
          </rPr>
          <t xml:space="preserve"> [ML 1804] </t>
        </r>
      </text>
    </comment>
    <comment ref="BG244" authorId="0" shapeId="0" xr:uid="{4E7061BD-C4BA-D646-A3BB-738C3D5A21E9}">
      <text>
        <r>
          <rPr>
            <sz val="14"/>
            <color rgb="FF000000"/>
            <rFont val="Times New Roman"/>
            <family val="18"/>
          </rPr>
          <t xml:space="preserve">ML 713 IR 10 (1802) – Haupt Harnach Komp. Nr. 36 (Wells 16/09/1802)
</t>
        </r>
        <r>
          <rPr>
            <sz val="14"/>
            <color rgb="FF000000"/>
            <rFont val="Times New Roman"/>
            <family val="18"/>
          </rPr>
          <t xml:space="preserve">ML 714 IR 10 (1803) – Haupt Harnach Komp. Nr. 33 (Lischau 14/09/1803)
</t>
        </r>
        <r>
          <rPr>
            <sz val="14"/>
            <color rgb="FF000000"/>
            <rFont val="Times New Roman"/>
            <family val="18"/>
          </rPr>
          <t>ML 715 IR 10 (1804) – Haupt Harnach Komp. Abgang (Lischau 23/08/1804)</t>
        </r>
      </text>
    </comment>
    <comment ref="BH244" authorId="0" shapeId="0" xr:uid="{3CA2C4B4-C1B8-0E44-B8F2-5EA0DCEB84AE}">
      <text>
        <r>
          <rPr>
            <sz val="14"/>
            <color rgb="FF000000"/>
            <rFont val="Calibri"/>
            <family val="34"/>
          </rPr>
          <t>IR 10 (1796-1803)</t>
        </r>
      </text>
    </comment>
    <comment ref="BF245" authorId="0" shapeId="0" xr:uid="{AA13C79E-3EB5-9C49-826A-C651EEB6B1D2}">
      <text>
        <r>
          <rPr>
            <sz val="14"/>
            <color rgb="FF000000"/>
            <rFont val="Times New Roman"/>
            <family val="18"/>
          </rPr>
          <t xml:space="preserve">16/10/1796 </t>
        </r>
        <r>
          <rPr>
            <i/>
            <sz val="14"/>
            <color rgb="FF000000"/>
            <rFont val="Times New Roman"/>
            <family val="18"/>
          </rPr>
          <t>Gegen 10 Gulden Werbgeld in Krakau ins Grün Loudon Frey Corps Assentiert</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 xml:space="preserve">15/12/1796 [Als Thomas BLUM] </t>
        </r>
        <r>
          <rPr>
            <i/>
            <sz val="14"/>
            <color rgb="FF000000"/>
            <rFont val="Times New Roman"/>
            <family val="18"/>
          </rPr>
          <t>auf dem Marsch Desertiert</t>
        </r>
        <r>
          <rPr>
            <sz val="14"/>
            <color rgb="FF000000"/>
            <rFont val="Times New Roman"/>
            <family val="18"/>
          </rPr>
          <t xml:space="preserve"> [RL June 1797]</t>
        </r>
        <r>
          <rPr>
            <sz val="14"/>
            <color rgb="FF000000"/>
            <rFont val="Calibri"/>
            <family val="34"/>
          </rPr>
          <t xml:space="preserve">
</t>
        </r>
      </text>
    </comment>
    <comment ref="BG245" authorId="0" shapeId="0" xr:uid="{42F465C5-0537-364B-B88B-C66247E07542}">
      <text>
        <r>
          <rPr>
            <sz val="14"/>
            <color rgb="FF000000"/>
            <rFont val="Times New Roman"/>
            <family val="18"/>
          </rPr>
          <t>ML 10.763 FK Grün Loudon (1797-98) – RL Haupt Bach Jr. – Abgang (Maria Saal 19/06/1797)</t>
        </r>
        <r>
          <rPr>
            <sz val="14"/>
            <color rgb="FF000000"/>
            <rFont val="Calibri"/>
            <family val="34"/>
          </rPr>
          <t xml:space="preserve">
</t>
        </r>
      </text>
    </comment>
    <comment ref="BH245" authorId="0" shapeId="0" xr:uid="{C33847BE-32DF-DB42-BF4F-16AD08C96CF1}">
      <text>
        <r>
          <rPr>
            <sz val="14"/>
            <color rgb="FF000000"/>
            <rFont val="Times New Roman"/>
            <family val="18"/>
          </rPr>
          <t xml:space="preserve">FK Grün Loudon </t>
        </r>
        <r>
          <rPr>
            <sz val="14"/>
            <color rgb="FF000000"/>
            <rFont val="Calibri"/>
            <family val="34"/>
          </rPr>
          <t>(1796)</t>
        </r>
      </text>
    </comment>
    <comment ref="I246" authorId="0" shapeId="0" xr:uid="{A64DE36A-0517-3C43-95F4-AE89CC1A0DDB}">
      <text>
        <r>
          <rPr>
            <sz val="14"/>
            <color rgb="FF000000"/>
            <rFont val="Calibri"/>
            <family val="34"/>
          </rPr>
          <t xml:space="preserve">1773 [23 bei assent)]
</t>
        </r>
        <r>
          <rPr>
            <sz val="14"/>
            <color rgb="FF000000"/>
            <rFont val="Calibri"/>
            <family val="34"/>
          </rPr>
          <t xml:space="preserve">OR 
</t>
        </r>
        <r>
          <rPr>
            <sz val="14"/>
            <color rgb="FF000000"/>
            <rFont val="Calibri"/>
            <family val="34"/>
          </rPr>
          <t>1783 [23 (ML 1806)]</t>
        </r>
      </text>
    </comment>
    <comment ref="BF246" authorId="0" shapeId="0" xr:uid="{AA3C8415-87E3-3F41-8A6D-354F4C096B1D}">
      <text>
        <r>
          <rPr>
            <sz val="14"/>
            <color rgb="FF000000"/>
            <rFont val="Times New Roman"/>
            <family val="18"/>
          </rPr>
          <t xml:space="preserve">01/11/1796 </t>
        </r>
        <r>
          <rPr>
            <i/>
            <sz val="14"/>
            <color rgb="FF000000"/>
            <rFont val="Times New Roman"/>
            <family val="18"/>
          </rPr>
          <t>Als Landständischer Rekrut ohne capitulation</t>
        </r>
        <r>
          <rPr>
            <sz val="14"/>
            <color rgb="FF000000"/>
            <rFont val="Times New Roman"/>
            <family val="18"/>
          </rPr>
          <t xml:space="preserve"> [gestellt] [ML 1806]</t>
        </r>
        <r>
          <rPr>
            <sz val="14"/>
            <color rgb="FF000000"/>
            <rFont val="Calibri"/>
            <family val="34"/>
          </rPr>
          <t xml:space="preserve">
</t>
        </r>
        <r>
          <rPr>
            <sz val="14"/>
            <color rgb="FF000000"/>
            <rFont val="Times New Roman"/>
            <family val="18"/>
          </rPr>
          <t xml:space="preserve">06/10/1805 </t>
        </r>
        <r>
          <rPr>
            <i/>
            <sz val="14"/>
            <color rgb="FF000000"/>
            <rFont val="Times New Roman"/>
            <family val="18"/>
          </rPr>
          <t>Von 8. Füsilier. zu 1. Grenadier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08/10/1805 </t>
        </r>
        <r>
          <rPr>
            <b/>
            <sz val="14"/>
            <color rgb="FFFF0000"/>
            <rFont val="Times New Roman"/>
            <family val="18"/>
          </rPr>
          <t>bey Wertingen</t>
        </r>
        <r>
          <rPr>
            <sz val="14"/>
            <color rgb="FFFF0000"/>
            <rFont val="Times New Roman"/>
            <family val="18"/>
          </rPr>
          <t xml:space="preserve"> </t>
        </r>
        <r>
          <rPr>
            <sz val="14"/>
            <color rgb="FF000000"/>
            <rFont val="Times New Roman"/>
            <family val="18"/>
          </rPr>
          <t>in die Kriegsgefangenschaft [ML 1806]</t>
        </r>
        <r>
          <rPr>
            <sz val="14"/>
            <color rgb="FF000000"/>
            <rFont val="Calibri"/>
            <family val="34"/>
          </rPr>
          <t xml:space="preserve">
</t>
        </r>
        <r>
          <rPr>
            <sz val="14"/>
            <color rgb="FF000000"/>
            <rFont val="Times New Roman"/>
            <family val="18"/>
          </rPr>
          <t xml:space="preserve">13/02/1806 </t>
        </r>
        <r>
          <rPr>
            <i/>
            <sz val="14"/>
            <color rgb="FF000000"/>
            <rFont val="Times New Roman"/>
            <family val="18"/>
          </rPr>
          <t>Als selbst Ranzionierte zu Würzburg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1. Gren. Komp. Nr. 60 [</t>
        </r>
        <r>
          <rPr>
            <i/>
            <sz val="14"/>
            <color rgb="FF000000"/>
            <rFont val="Times New Roman"/>
            <family val="18"/>
          </rPr>
          <t>Krank in Prag</t>
        </r>
        <r>
          <rPr>
            <sz val="14"/>
            <color rgb="FF000000"/>
            <rFont val="Times New Roman"/>
            <family val="18"/>
          </rPr>
          <t>]</t>
        </r>
        <r>
          <rPr>
            <sz val="14"/>
            <color rgb="FF000000"/>
            <rFont val="Calibri"/>
            <family val="34"/>
          </rPr>
          <t xml:space="preserve">
</t>
        </r>
        <r>
          <rPr>
            <sz val="14"/>
            <color rgb="FF000000"/>
            <rFont val="Times New Roman"/>
            <family val="18"/>
          </rPr>
          <t xml:space="preserve">07/01/1807 </t>
        </r>
        <r>
          <rPr>
            <i/>
            <sz val="14"/>
            <color rgb="FF000000"/>
            <rFont val="Times New Roman"/>
            <family val="18"/>
          </rPr>
          <t>Als Real Invalid in das Prager Invaliden Haus zur Versorgung</t>
        </r>
        <r>
          <rPr>
            <sz val="14"/>
            <color rgb="FF000000"/>
            <rFont val="Times New Roman"/>
            <family val="18"/>
          </rPr>
          <t xml:space="preserve"> [TL Jan 1807 &amp; ML 1808]</t>
        </r>
        <r>
          <rPr>
            <sz val="14"/>
            <color rgb="FF000000"/>
            <rFont val="Calibri"/>
            <family val="34"/>
          </rPr>
          <t xml:space="preserve">
</t>
        </r>
      </text>
    </comment>
    <comment ref="BG246" authorId="0" shapeId="0" xr:uid="{923E1E9F-47AE-A042-BC83-C5208B109BF1}">
      <text>
        <r>
          <rPr>
            <sz val="14"/>
            <color rgb="FF000000"/>
            <rFont val="Times New Roman"/>
            <family val="18"/>
          </rPr>
          <t>ML 3500 IR 39 (1808-10) – RL 13. Fus. Komp. Nr. 201 (Lager bei Comorn 19/09/1808)</t>
        </r>
        <r>
          <rPr>
            <sz val="14"/>
            <color rgb="FF000000"/>
            <rFont val="Calibri"/>
            <family val="34"/>
          </rPr>
          <t xml:space="preserve">
</t>
        </r>
        <r>
          <rPr>
            <sz val="14"/>
            <color rgb="FF000000"/>
            <rFont val="Times New Roman"/>
            <family val="18"/>
          </rPr>
          <t>ML 9664 InvH Prag (1811) – Heft von 7. &amp; 8. Chambre Nr. 147 (Prag 24/06/1811)</t>
        </r>
        <r>
          <rPr>
            <sz val="14"/>
            <color rgb="FF000000"/>
            <rFont val="Calibri"/>
            <family val="34"/>
          </rPr>
          <t xml:space="preserve">
</t>
        </r>
      </text>
    </comment>
    <comment ref="BH246" authorId="0" shapeId="0" xr:uid="{C3A58CB1-1871-FD40-A69B-870305EF7F58}">
      <text>
        <r>
          <rPr>
            <sz val="14"/>
            <color rgb="FF000000"/>
            <rFont val="Calibri"/>
            <family val="34"/>
          </rPr>
          <t xml:space="preserve">IR 42 (1796-1807)
</t>
        </r>
        <r>
          <rPr>
            <sz val="14"/>
            <color rgb="FF000000"/>
            <rFont val="Calibri"/>
            <family val="34"/>
          </rPr>
          <t>InvH Prag (1807)</t>
        </r>
      </text>
    </comment>
    <comment ref="BI246" authorId="0" shapeId="0" xr:uid="{811CFDC7-2340-E945-8E9F-A09667151D24}">
      <text>
        <r>
          <rPr>
            <sz val="14"/>
            <color rgb="FF000000"/>
            <rFont val="Calibri"/>
            <family val="34"/>
          </rPr>
          <t>Gut [TL Jan 1807]</t>
        </r>
      </text>
    </comment>
    <comment ref="BJ246" authorId="0" shapeId="0" xr:uid="{6DCBB9A0-5DED-F14C-B984-AF7880EDF734}">
      <text>
        <r>
          <rPr>
            <i/>
            <sz val="14"/>
            <color rgb="FF000000"/>
            <rFont val="Times New Roman"/>
            <family val="18"/>
          </rPr>
          <t>Schwindel vom Kopf und Blut gieser</t>
        </r>
        <r>
          <rPr>
            <sz val="14"/>
            <color rgb="FF000000"/>
            <rFont val="Times New Roman"/>
            <family val="18"/>
          </rPr>
          <t>‘ [SUP Jan 1807]</t>
        </r>
      </text>
    </comment>
    <comment ref="BF247" authorId="0" shapeId="0" xr:uid="{88426DF5-C5C9-C04B-962C-6E5402569008}">
      <text>
        <r>
          <rPr>
            <sz val="14"/>
            <color rgb="FF000000"/>
            <rFont val="Times New Roman"/>
            <family val="18"/>
          </rPr>
          <t xml:space="preserve">09/11/1796 </t>
        </r>
        <r>
          <rPr>
            <i/>
            <sz val="14"/>
            <color rgb="FF000000"/>
            <rFont val="Times New Roman"/>
            <family val="18"/>
          </rPr>
          <t xml:space="preserve">zu Lublin a 10Fl Werbgeld assentiert und seitdem auf Anhero Marsch von Galizien </t>
        </r>
        <r>
          <rPr>
            <sz val="14"/>
            <color rgb="FF000000"/>
            <rFont val="Times New Roman"/>
            <family val="18"/>
          </rPr>
          <t xml:space="preserve"> [RL 1797 &amp; ST Aug 1797]</t>
        </r>
        <r>
          <rPr>
            <sz val="14"/>
            <color rgb="FF000000"/>
            <rFont val="Calibri"/>
            <family val="34"/>
          </rPr>
          <t xml:space="preserve">
</t>
        </r>
        <r>
          <rPr>
            <sz val="14"/>
            <color rgb="FF000000"/>
            <rFont val="Times New Roman"/>
            <family val="18"/>
          </rPr>
          <t>19/06/1797 Revision: FK Grün Loudon Major Komp. Nr. 146 [</t>
        </r>
        <r>
          <rPr>
            <i/>
            <sz val="14"/>
            <color rgb="FF000000"/>
            <rFont val="Times New Roman"/>
            <family val="18"/>
          </rPr>
          <t>Auf dem Marsch aus Gallizien</t>
        </r>
        <r>
          <rPr>
            <sz val="14"/>
            <color rgb="FF000000"/>
            <rFont val="Times New Roman"/>
            <family val="18"/>
          </rPr>
          <t>]</t>
        </r>
        <r>
          <rPr>
            <sz val="14"/>
            <color rgb="FF000000"/>
            <rFont val="Calibri"/>
            <family val="34"/>
          </rPr>
          <t xml:space="preserve">
</t>
        </r>
        <r>
          <rPr>
            <sz val="14"/>
            <color rgb="FF000000"/>
            <rFont val="Times New Roman"/>
            <family val="18"/>
          </rPr>
          <t>07/03/1798 Revision Grün Loudon ObristLt Komp. Nr. 112 [</t>
        </r>
        <r>
          <rPr>
            <i/>
            <sz val="14"/>
            <color rgb="FF000000"/>
            <rFont val="Times New Roman"/>
            <family val="18"/>
          </rPr>
          <t>Auf dem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Major Von Bach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4 ObristLt Major von Bach Komp. Nr. 99 [</t>
        </r>
        <r>
          <rPr>
            <i/>
            <sz val="14"/>
            <color rgb="FF000000"/>
            <rFont val="Times New Roman"/>
            <family val="18"/>
          </rPr>
          <t>Auf dem Anmarsch aus Galizien</t>
        </r>
        <r>
          <rPr>
            <sz val="14"/>
            <color rgb="FF000000"/>
            <rFont val="Times New Roman"/>
            <family val="18"/>
          </rPr>
          <t>]</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Major von Bach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4 Major von Bach Komp. Nr. 90 [</t>
        </r>
        <r>
          <rPr>
            <i/>
            <sz val="14"/>
            <color rgb="FF000000"/>
            <rFont val="Times New Roman"/>
            <family val="18"/>
          </rPr>
          <t>Auf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30/04/1799 </t>
        </r>
        <r>
          <rPr>
            <i/>
            <sz val="14"/>
            <color rgb="FF000000"/>
            <rFont val="Times New Roman"/>
            <family val="18"/>
          </rPr>
          <t>Vermog Revisions Standes Erledigung als unwissend verloren in</t>
        </r>
        <r>
          <rPr>
            <sz val="14"/>
            <color rgb="FF000000"/>
            <rFont val="Times New Roman"/>
            <family val="18"/>
          </rPr>
          <t xml:space="preserve"> </t>
        </r>
        <r>
          <rPr>
            <i/>
            <sz val="14"/>
            <color rgb="FF000000"/>
            <rFont val="Times New Roman"/>
            <family val="18"/>
          </rPr>
          <t>Abgang</t>
        </r>
        <r>
          <rPr>
            <sz val="14"/>
            <color rgb="FF000000"/>
            <rFont val="Times New Roman"/>
            <family val="18"/>
          </rPr>
          <t xml:space="preserve"> [RL 1800]</t>
        </r>
        <r>
          <rPr>
            <sz val="14"/>
            <color rgb="FF000000"/>
            <rFont val="Calibri"/>
            <family val="34"/>
          </rPr>
          <t xml:space="preserve">
</t>
        </r>
      </text>
    </comment>
    <comment ref="BG247" authorId="0" shapeId="0" xr:uid="{7A8CA252-9085-BC48-A809-2A2A5E6D86B0}">
      <text>
        <r>
          <rPr>
            <sz val="14"/>
            <color rgb="FF000000"/>
            <rFont val="Times New Roman"/>
            <family val="18"/>
          </rPr>
          <t xml:space="preserve">ML 10.763 FK Grün Laudon (1797-98) – RL Major Amade Komp. Nr. 146 (Maria Saal 19/06/1797); RL ObristLt  Komp. Nr. 112 (Rovigo 07/03/1798)
</t>
        </r>
        <r>
          <rPr>
            <sz val="14"/>
            <color rgb="FF000000"/>
            <rFont val="Times New Roman"/>
            <family val="18"/>
          </rPr>
          <t xml:space="preserve">ML 10.771 FK Grün Laudon (1796-97) – ST August 1797 (Rovigo 06/06/1798)
</t>
        </r>
        <r>
          <rPr>
            <sz val="14"/>
            <color rgb="FF000000"/>
            <rFont val="Times New Roman"/>
            <family val="18"/>
          </rPr>
          <t xml:space="preserve">ML 10.630 LB 4 (1798-1801) – RL (1798) Major Bach Komp. Nr. 99; 1799 RL Major Baron von Bach Komp. Nr. 90 (Rovigo 22/01/1799); Major Bach Komp. Abgang (Pisa 04/03/1800)
</t>
        </r>
      </text>
    </comment>
    <comment ref="BH247" authorId="0" shapeId="0" xr:uid="{25631E3B-84E2-4F41-BB25-7340025B3B89}">
      <text>
        <r>
          <rPr>
            <sz val="14"/>
            <color rgb="FF000000"/>
            <rFont val="Times New Roman"/>
            <family val="18"/>
          </rPr>
          <t xml:space="preserve">FK Grün Loudon (1796-1798)
</t>
        </r>
        <r>
          <rPr>
            <sz val="14"/>
            <color rgb="FF000000"/>
            <rFont val="Times New Roman"/>
            <family val="18"/>
          </rPr>
          <t>LB 4 (1798-1799)</t>
        </r>
      </text>
    </comment>
    <comment ref="BF248" authorId="0" shapeId="0" xr:uid="{C04DAB9F-DB89-F943-9586-469D86159217}">
      <text>
        <r>
          <rPr>
            <sz val="14"/>
            <color rgb="FF000000"/>
            <rFont val="Times New Roman"/>
            <family val="18"/>
          </rPr>
          <t xml:space="preserve">25/11/1796 </t>
        </r>
        <r>
          <rPr>
            <i/>
            <sz val="14"/>
            <color rgb="FF000000"/>
            <rFont val="Times New Roman"/>
            <family val="18"/>
          </rPr>
          <t>Wurde auf die Zeit der Gegenwärtigenkrieg beim Corps Wiener FW gestellt und zum 6. Komp. von Haupt Moser eingeheilt; wird des deren von der landständische Stadt Wienerisch Neustadt beigetragenen 3145Fl 28Xr erhalten und mundiert</t>
        </r>
        <r>
          <rPr>
            <sz val="14"/>
            <color rgb="FF000000"/>
            <rFont val="Times New Roman"/>
            <family val="18"/>
          </rPr>
          <t xml:space="preserve"> [AL Dec 1796 &amp; RL June 1797]</t>
        </r>
        <r>
          <rPr>
            <sz val="14"/>
            <color rgb="FF000000"/>
            <rFont val="Calibri"/>
            <family val="34"/>
          </rPr>
          <t xml:space="preserve">
</t>
        </r>
        <r>
          <rPr>
            <sz val="14"/>
            <color rgb="FF000000"/>
            <rFont val="Times New Roman"/>
            <family val="18"/>
          </rPr>
          <t xml:space="preserve">16/01/1797 </t>
        </r>
        <r>
          <rPr>
            <i/>
            <sz val="14"/>
            <color rgb="FF000000"/>
            <rFont val="Times New Roman"/>
            <family val="18"/>
          </rPr>
          <t>Bey St. Giorgio in Kriegsgefangenschaft geraten</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 xml:space="preserve">15/03/1797 </t>
        </r>
        <r>
          <rPr>
            <i/>
            <sz val="14"/>
            <color rgb="FF000000"/>
            <rFont val="Times New Roman"/>
            <family val="18"/>
          </rPr>
          <t xml:space="preserve">Aus der Kriegsgrfangenschaft selbst ranzioniert </t>
        </r>
        <r>
          <rPr>
            <sz val="14"/>
            <color rgb="FF000000"/>
            <rFont val="Times New Roman"/>
            <family val="18"/>
          </rPr>
          <t>[DL April 1797]</t>
        </r>
        <r>
          <rPr>
            <sz val="14"/>
            <color rgb="FF000000"/>
            <rFont val="Calibri"/>
            <family val="34"/>
          </rPr>
          <t xml:space="preserve">
</t>
        </r>
        <r>
          <rPr>
            <sz val="14"/>
            <color rgb="FF000000"/>
            <rFont val="Times New Roman"/>
            <family val="18"/>
          </rPr>
          <t xml:space="preserve">??/04/1797 </t>
        </r>
        <r>
          <rPr>
            <i/>
            <sz val="14"/>
            <color rgb="FF000000"/>
            <rFont val="Times New Roman"/>
            <family val="18"/>
          </rPr>
          <t>Im Monat April bey der Reserve in Wien aus der Kriegsgefangenschaft präsentiert , das fällige Zuwachs Documenten seid aber von daherro not nicht eingelegt</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 xml:space="preserve">16/09/1797 </t>
        </r>
        <r>
          <rPr>
            <i/>
            <sz val="14"/>
            <color rgb="FF000000"/>
            <rFont val="Times New Roman"/>
            <family val="18"/>
          </rPr>
          <t>Vermög Corps Befehl ddt. 21 dicti aud dem Stand der Dreywilligen Gemeine zum Gefreyter avanciert</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30/04/1798 </t>
        </r>
        <r>
          <rPr>
            <i/>
            <sz val="14"/>
            <color rgb="FF000000"/>
            <rFont val="Times New Roman"/>
            <family val="18"/>
          </rPr>
          <t>Zu Hofkriegsratlichen Verordnung ddt. Wien am 24. Marz 798 Mit Zertifikat entlassen</t>
        </r>
        <r>
          <rPr>
            <sz val="14"/>
            <color rgb="FF000000"/>
            <rFont val="Times New Roman"/>
            <family val="18"/>
          </rPr>
          <t xml:space="preserve"> [DL April 1798 &amp; ST/RT April 1798]</t>
        </r>
        <r>
          <rPr>
            <sz val="14"/>
            <color rgb="FF000000"/>
            <rFont val="Calibri"/>
            <family val="34"/>
          </rPr>
          <t xml:space="preserve">
</t>
        </r>
      </text>
    </comment>
    <comment ref="BG248" authorId="0" shapeId="0" xr:uid="{D6271598-4C29-EB44-8937-4CF24F0C089C}">
      <text>
        <r>
          <rPr>
            <sz val="14"/>
            <color rgb="FF000000"/>
            <rFont val="Times New Roman"/>
            <family val="18"/>
          </rPr>
          <t>ML 10.791 Korps Wiener FW (1797-8) – RL Haupt Moser (6.) Komp. – Zuwachs &amp; Abgang (Eich 17/06/1797), DL Perchtolsdorf (30/04/1798)</t>
        </r>
        <r>
          <rPr>
            <sz val="14"/>
            <color rgb="FF000000"/>
            <rFont val="Calibri"/>
            <family val="34"/>
          </rPr>
          <t xml:space="preserve">
</t>
        </r>
        <r>
          <rPr>
            <sz val="14"/>
            <color rgb="FF000000"/>
            <rFont val="Times New Roman"/>
            <family val="18"/>
          </rPr>
          <t>ML 10.792 Korps Wiener FW (1796-8) – AL Nr. 4 (Vienna 06/12/1793), 1796 ST Nov (??/??1797), 1797 ST Sept (Vienna 31/08/1799), 1798 RT (Vienna 24/11/1800)</t>
        </r>
      </text>
    </comment>
    <comment ref="BH248" authorId="0" shapeId="0" xr:uid="{2D5CB79E-DBE7-2A4D-86AF-7689A6D66F29}">
      <text>
        <r>
          <rPr>
            <sz val="14"/>
            <color rgb="FF000000"/>
            <rFont val="Calibri"/>
            <family val="34"/>
          </rPr>
          <t>Wiener FW  (1796-98)</t>
        </r>
      </text>
    </comment>
    <comment ref="BF249" authorId="0" shapeId="0" xr:uid="{82529889-9A54-3A4D-A44D-0186D9A56BE8}">
      <text>
        <r>
          <rPr>
            <sz val="14"/>
            <color rgb="FF000000"/>
            <rFont val="Times New Roman"/>
            <family val="18"/>
          </rPr>
          <t xml:space="preserve">04/12/1796 </t>
        </r>
        <r>
          <rPr>
            <i/>
            <sz val="14"/>
            <color rgb="FF000000"/>
            <rFont val="Times New Roman"/>
            <family val="18"/>
          </rPr>
          <t>A 10Fl Werbgeld zu Lemberg auf Dauer des Krieges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Loudon Gasser Komp. Nr. 176</t>
        </r>
        <r>
          <rPr>
            <sz val="14"/>
            <color rgb="FF000000"/>
            <rFont val="Calibri"/>
            <family val="34"/>
          </rPr>
          <t xml:space="preserve">
</t>
        </r>
        <r>
          <rPr>
            <sz val="14"/>
            <color rgb="FF000000"/>
            <rFont val="Times New Roman"/>
            <family val="18"/>
          </rPr>
          <t>07/03/1798 Revision: FK Grün Loudon Haupt Gasser Komp. Nr. 135</t>
        </r>
        <r>
          <rPr>
            <sz val="14"/>
            <color rgb="FF000000"/>
            <rFont val="Calibri"/>
            <family val="34"/>
          </rPr>
          <t xml:space="preserve">
</t>
        </r>
        <r>
          <rPr>
            <sz val="14"/>
            <color rgb="FF000000"/>
            <rFont val="Times New Roman"/>
            <family val="18"/>
          </rPr>
          <t xml:space="preserve">22/06/1798 </t>
        </r>
        <r>
          <rPr>
            <i/>
            <sz val="14"/>
            <color rgb="FF000000"/>
            <rFont val="Times New Roman"/>
            <family val="18"/>
          </rPr>
          <t>Als Angehörige von Haupt Gasser Comp. zu Rovigo Katholisch getauft, und bekam bei seiner Taufe dem Namen Lorenz ROSANSKY,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 LB 3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125</t>
        </r>
        <r>
          <rPr>
            <sz val="14"/>
            <color rgb="FF000000"/>
            <rFont val="Calibri"/>
            <family val="34"/>
          </rPr>
          <t xml:space="preserve">
</t>
        </r>
        <r>
          <rPr>
            <sz val="14"/>
            <color rgb="FF000000"/>
            <rFont val="Times New Roman"/>
            <family val="18"/>
          </rPr>
          <t>22/01/1799 Revision: LB 3 Haupt Gasser Komp. Nr. 118</t>
        </r>
        <r>
          <rPr>
            <sz val="14"/>
            <color rgb="FF000000"/>
            <rFont val="Calibri"/>
            <family val="34"/>
          </rPr>
          <t xml:space="preserve">
</t>
        </r>
        <r>
          <rPr>
            <sz val="14"/>
            <color rgb="FF000000"/>
            <rFont val="Times New Roman"/>
            <family val="18"/>
          </rPr>
          <t>04/03/1800 Revision LB 3 Haupt Gasser Komp. Nr. 31</t>
        </r>
        <r>
          <rPr>
            <sz val="14"/>
            <color rgb="FF000000"/>
            <rFont val="Calibri"/>
            <family val="34"/>
          </rPr>
          <t xml:space="preserve">
</t>
        </r>
        <r>
          <rPr>
            <sz val="14"/>
            <color rgb="FF000000"/>
            <rFont val="Times New Roman"/>
            <family val="18"/>
          </rPr>
          <t xml:space="preserve">10/04/1801 </t>
        </r>
        <r>
          <rPr>
            <i/>
            <sz val="14"/>
            <color rgb="FF000000"/>
            <rFont val="Times New Roman"/>
            <family val="18"/>
          </rPr>
          <t>in Loco Deseriert</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19/05/1801 </t>
        </r>
        <r>
          <rPr>
            <i/>
            <sz val="14"/>
            <color rgb="FF000000"/>
            <rFont val="Times New Roman"/>
            <family val="18"/>
          </rPr>
          <t>Zu Legnano als selbst gemeldet präsentier</t>
        </r>
        <r>
          <rPr>
            <sz val="14"/>
            <color rgb="FF000000"/>
            <rFont val="Times New Roman"/>
            <family val="18"/>
          </rPr>
          <t>t [DL 1801]</t>
        </r>
        <r>
          <rPr>
            <sz val="14"/>
            <color rgb="FF000000"/>
            <rFont val="Calibri"/>
            <family val="34"/>
          </rPr>
          <t xml:space="preserve">
</t>
        </r>
        <r>
          <rPr>
            <sz val="14"/>
            <color rgb="FF000000"/>
            <rFont val="Times New Roman"/>
            <family val="18"/>
          </rPr>
          <t>31/10/1801 Dissolvierung LB 3 Haupt Schlick Nr. 34 [</t>
        </r>
        <r>
          <rPr>
            <i/>
            <sz val="14"/>
            <color rgb="FF000000"/>
            <rFont val="Times New Roman"/>
            <family val="18"/>
          </rPr>
          <t>Ins IR 44 Bellegarde zu transferieren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Schlick Comp zum IR 44 Haupt Triulzy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22/11/1801 </t>
        </r>
        <r>
          <rPr>
            <i/>
            <sz val="14"/>
            <color rgb="FF000000"/>
            <rFont val="Times New Roman"/>
            <family val="18"/>
          </rPr>
          <t>Gegen 15 Fl auf weitere 6 Jahr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19/09/1803 Musterung: IR 44 Haupt Trivulzi Komp. Nr. 100</t>
        </r>
        <r>
          <rPr>
            <sz val="14"/>
            <color rgb="FF000000"/>
            <rFont val="Calibri"/>
            <family val="34"/>
          </rPr>
          <t xml:space="preserve">
</t>
        </r>
        <r>
          <rPr>
            <sz val="14"/>
            <color rgb="FF000000"/>
            <rFont val="Times New Roman"/>
            <family val="18"/>
          </rPr>
          <t>12/05/1804 Musterung: IR 44 Haupt Trivulzi Komp. Nr. 82</t>
        </r>
        <r>
          <rPr>
            <sz val="14"/>
            <color rgb="FF000000"/>
            <rFont val="Calibri"/>
            <family val="34"/>
          </rPr>
          <t xml:space="preserve">
</t>
        </r>
        <r>
          <rPr>
            <sz val="14"/>
            <color rgb="FF000000"/>
            <rFont val="Times New Roman"/>
            <family val="18"/>
          </rPr>
          <t xml:space="preserve">07/03/1805 </t>
        </r>
        <r>
          <rPr>
            <i/>
            <sz val="14"/>
            <color rgb="FF000000"/>
            <rFont val="Times New Roman"/>
            <family val="18"/>
          </rPr>
          <t>Gegen 24Fl auf weitere 6 Jahr reengagiert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01/09/1805 </t>
        </r>
        <r>
          <rPr>
            <i/>
            <sz val="14"/>
            <color rgb="FF000000"/>
            <rFont val="Times New Roman"/>
            <family val="18"/>
          </rPr>
          <t>Zum Gefreyter avanciert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01/02/1806 </t>
        </r>
        <r>
          <rPr>
            <i/>
            <sz val="14"/>
            <color rgb="FF000000"/>
            <rFont val="Times New Roman"/>
            <family val="18"/>
          </rPr>
          <t>Zum Corporal avanciert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Musterung: IR 43 Haupt Trivulzi Komp. Nr. 20 [</t>
        </r>
        <r>
          <rPr>
            <i/>
            <sz val="14"/>
            <color rgb="FF000000"/>
            <rFont val="Times New Roman"/>
            <family val="18"/>
          </rPr>
          <t>Commandiert auf der cannonier Chalupe</t>
        </r>
        <r>
          <rPr>
            <sz val="14"/>
            <color rgb="FF000000"/>
            <rFont val="Times New Roman"/>
            <family val="18"/>
          </rPr>
          <t>]</t>
        </r>
        <r>
          <rPr>
            <sz val="14"/>
            <color rgb="FF000000"/>
            <rFont val="Calibri"/>
            <family val="34"/>
          </rPr>
          <t xml:space="preserve">
</t>
        </r>
        <r>
          <rPr>
            <sz val="14"/>
            <color rgb="FF000000"/>
            <rFont val="Times New Roman"/>
            <family val="18"/>
          </rPr>
          <t xml:space="preserve">19/12/1806 </t>
        </r>
        <r>
          <rPr>
            <i/>
            <sz val="14"/>
            <color rgb="FF000000"/>
            <rFont val="Times New Roman"/>
            <family val="18"/>
          </rPr>
          <t>Von die Kannonier chapule desertiert</t>
        </r>
        <r>
          <rPr>
            <sz val="14"/>
            <color rgb="FF000000"/>
            <rFont val="Times New Roman"/>
            <family val="18"/>
          </rPr>
          <t xml:space="preserve"> [RL 1808] [Unter Marz 1807 eingetragen]</t>
        </r>
        <r>
          <rPr>
            <sz val="14"/>
            <color rgb="FF000000"/>
            <rFont val="Calibri"/>
            <family val="34"/>
          </rPr>
          <t xml:space="preserve">
</t>
        </r>
      </text>
    </comment>
    <comment ref="BG249" authorId="0" shapeId="0" xr:uid="{B87FE5B1-08D9-4949-987D-62120D02DE30}">
      <text>
        <r>
          <rPr>
            <sz val="14"/>
            <color rgb="FF000000"/>
            <rFont val="Times New Roman"/>
            <family val="18"/>
          </rPr>
          <t>ML 10.763 FK Grün Laudon (1797-98) – RL Haupt Gasser Nr. 176 (Maria Saal 19/06/1797); RL Haupt Gasser Nr. 135 (Rovigo 07/03/1798)</t>
        </r>
        <r>
          <rPr>
            <sz val="14"/>
            <color rgb="FF000000"/>
            <rFont val="Calibri"/>
            <family val="34"/>
          </rPr>
          <t xml:space="preserve">
</t>
        </r>
        <r>
          <rPr>
            <sz val="14"/>
            <color rgb="FF000000"/>
            <rFont val="Times New Roman"/>
            <family val="18"/>
          </rPr>
          <t>ML 10.772 (1798) FK Grün Laudon (1798) – June 1798 (Rovigo 04/08/1798)</t>
        </r>
        <r>
          <rPr>
            <sz val="14"/>
            <color rgb="FF000000"/>
            <rFont val="Calibri"/>
            <family val="34"/>
          </rPr>
          <t xml:space="preserve">
</t>
        </r>
        <r>
          <rPr>
            <sz val="14"/>
            <color rgb="FF000000"/>
            <rFont val="Times New Roman"/>
            <family val="18"/>
          </rPr>
          <t>ML 10.624 LB 3 (1798-1801) – 1798 RL Haupt Gasser Komp. Nr. 125 (Rovigo 30/06/1798); 1799 RL Haupt Gasser Komp. Nr. 118 (Rovigo 22/01/1799); 1800 RL Haupt Gasser Nr. 31 (Livorno 04/03/1800)</t>
        </r>
        <r>
          <rPr>
            <sz val="14"/>
            <color rgb="FF000000"/>
            <rFont val="Calibri"/>
            <family val="34"/>
          </rPr>
          <t xml:space="preserve">
</t>
        </r>
        <r>
          <rPr>
            <sz val="14"/>
            <color rgb="FF000000"/>
            <rFont val="Times New Roman"/>
            <family val="18"/>
          </rPr>
          <t>ML 10.625 LB (1799-1801) – GB Haupt Gasser</t>
        </r>
        <r>
          <rPr>
            <sz val="14"/>
            <color rgb="FF000000"/>
            <rFont val="Calibri"/>
            <family val="34"/>
          </rPr>
          <t xml:space="preserve">
</t>
        </r>
        <r>
          <rPr>
            <sz val="14"/>
            <color rgb="FF000000"/>
            <rFont val="Times New Roman"/>
            <family val="18"/>
          </rPr>
          <t>ML 3908 IR 44 (1803) – Haupt Trivulzi Komp. Nr. 100 (Vicenza 18/09/1803)</t>
        </r>
        <r>
          <rPr>
            <sz val="14"/>
            <color rgb="FF000000"/>
            <rFont val="Calibri"/>
            <family val="34"/>
          </rPr>
          <t xml:space="preserve">
</t>
        </r>
        <r>
          <rPr>
            <sz val="14"/>
            <color rgb="FF000000"/>
            <rFont val="Times New Roman"/>
            <family val="18"/>
          </rPr>
          <t>ML 3909 IR 44 (1804) – Haupt Trivulzi Komp. Nr. 82 (Vicenza 12/05/1804)</t>
        </r>
        <r>
          <rPr>
            <sz val="14"/>
            <color rgb="FF000000"/>
            <rFont val="Calibri"/>
            <family val="34"/>
          </rPr>
          <t xml:space="preserve">
</t>
        </r>
        <r>
          <rPr>
            <sz val="14"/>
            <color rgb="FF000000"/>
            <rFont val="Times New Roman"/>
            <family val="18"/>
          </rPr>
          <t>ML 3910 IR 44 (1806) – Haupt Trivulzi Komp. Nr. 20 (Fiume 10/12/1806)</t>
        </r>
        <r>
          <rPr>
            <sz val="14"/>
            <color rgb="FF000000"/>
            <rFont val="Calibri"/>
            <family val="34"/>
          </rPr>
          <t xml:space="preserve">
</t>
        </r>
        <r>
          <rPr>
            <sz val="14"/>
            <color rgb="FF000000"/>
            <rFont val="Times New Roman"/>
            <family val="18"/>
          </rPr>
          <t>ML 3911 IR 44 (1808) – Haupt Trivulzi Abgang (Comorn 19/09/1808)</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text>
    </comment>
    <comment ref="BH249" authorId="0" shapeId="0" xr:uid="{B9FFB1F6-BAE5-3542-9BFB-2CD29EC46C39}">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(1801-1806)</t>
        </r>
      </text>
    </comment>
    <comment ref="BF250" authorId="0" shapeId="0" xr:uid="{E9DD8D65-300F-0D44-8ED8-2B206D035B1B}">
      <text>
        <r>
          <rPr>
            <sz val="14"/>
            <color rgb="FF000000"/>
            <rFont val="Times New Roman"/>
            <family val="18"/>
          </rPr>
          <t xml:space="preserve">08/12/1796 </t>
        </r>
        <r>
          <rPr>
            <i/>
            <sz val="14"/>
            <color rgb="FF000000"/>
            <rFont val="Times New Roman"/>
            <family val="18"/>
          </rPr>
          <t>A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Seitlinger Komp. Nr. 27 [</t>
        </r>
        <r>
          <rPr>
            <i/>
            <sz val="14"/>
            <color rgb="FF000000"/>
            <rFont val="Times New Roman"/>
            <family val="18"/>
          </rPr>
          <t>Beurlaubt in Gallizien zu Przemysl</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text>
    </comment>
    <comment ref="BG250" authorId="0" shapeId="0" xr:uid="{027844EA-D351-3D4B-9C75-4AB640700452}">
      <text>
        <r>
          <rPr>
            <sz val="14"/>
            <color rgb="FF000000"/>
            <rFont val="Times New Roman"/>
            <family val="18"/>
          </rPr>
          <t>ML 5015 IR 59 (1803) – Haupt Setlinger Komp. Nr. 27 (Enns 29/08/1803)</t>
        </r>
        <r>
          <rPr>
            <sz val="14"/>
            <color rgb="FF000000"/>
            <rFont val="Calibri"/>
            <family val="34"/>
          </rPr>
          <t xml:space="preserve">
</t>
        </r>
        <r>
          <rPr>
            <sz val="14"/>
            <color rgb="FF000000"/>
            <rFont val="Times New Roman"/>
            <family val="18"/>
          </rPr>
          <t>ML 5016 IR 59 (1804) – Haupt Setlinger Komp. Abgang (Innsbruck 03/09/1804)</t>
        </r>
        <r>
          <rPr>
            <sz val="14"/>
            <color rgb="FF000000"/>
            <rFont val="Calibri"/>
            <family val="34"/>
          </rPr>
          <t xml:space="preserve">
</t>
        </r>
      </text>
    </comment>
    <comment ref="BH250" authorId="0" shapeId="0" xr:uid="{4CD34AE0-BDC0-FA4F-8B47-673B7236D9E4}">
      <text>
        <r>
          <rPr>
            <sz val="14"/>
            <color rgb="FF000000"/>
            <rFont val="Calibri"/>
            <family val="34"/>
          </rPr>
          <t>IR 59  (1796-1798)</t>
        </r>
      </text>
    </comment>
    <comment ref="BF251" authorId="0" shapeId="0" xr:uid="{97D63F19-97CB-7E43-90D4-AF4FAC0243B9}">
      <text>
        <r>
          <rPr>
            <sz val="14"/>
            <color rgb="FF000000"/>
            <rFont val="Times New Roman"/>
            <family val="18"/>
          </rPr>
          <t xml:space="preserve">13/12/1796 </t>
        </r>
        <r>
          <rPr>
            <i/>
            <sz val="14"/>
            <color rgb="FF000000"/>
            <rFont val="Times New Roman"/>
            <family val="18"/>
          </rPr>
          <t>zu Czortkow a 12Fl Handgeld ins FK Grün Loudon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Haupt Bach Senior Komp. Nr. 166 [</t>
        </r>
        <r>
          <rPr>
            <i/>
            <sz val="14"/>
            <color rgb="FF000000"/>
            <rFont val="Times New Roman"/>
            <family val="18"/>
          </rPr>
          <t>Auf dem Aufmarsch</t>
        </r>
        <r>
          <rPr>
            <sz val="14"/>
            <color rgb="FF000000"/>
            <rFont val="Times New Roman"/>
            <family val="18"/>
          </rPr>
          <t>]</t>
        </r>
        <r>
          <rPr>
            <sz val="14"/>
            <color rgb="FF000000"/>
            <rFont val="Calibri"/>
            <family val="34"/>
          </rPr>
          <t xml:space="preserve">
</t>
        </r>
        <r>
          <rPr>
            <sz val="14"/>
            <color rgb="FF000000"/>
            <rFont val="Times New Roman"/>
            <family val="18"/>
          </rPr>
          <t>07/03/1798 Revision: FK Grün Laudon Haupt Melchior Komp. Nr. 117</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3 Haupt Melchior Comp Nr. 98</t>
        </r>
        <r>
          <rPr>
            <sz val="14"/>
            <color rgb="FF000000"/>
            <rFont val="Calibri"/>
            <family val="34"/>
          </rPr>
          <t xml:space="preserve">
</t>
        </r>
        <r>
          <rPr>
            <sz val="14"/>
            <color rgb="FF000000"/>
            <rFont val="Times New Roman"/>
            <family val="18"/>
          </rPr>
          <t xml:space="preserve">08/05/1799 </t>
        </r>
        <r>
          <rPr>
            <i/>
            <sz val="14"/>
            <color rgb="FF000000"/>
            <rFont val="Times New Roman"/>
            <family val="18"/>
          </rPr>
          <t>Bey Stradella in die Kriegsgefangenschaft gefallen</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10/05/1799 </t>
        </r>
        <r>
          <rPr>
            <i/>
            <sz val="14"/>
            <color rgb="FF000000"/>
            <rFont val="Times New Roman"/>
            <family val="18"/>
          </rPr>
          <t>Gegen Austausch in Casa Laschi Presentiert</t>
        </r>
        <r>
          <rPr>
            <sz val="14"/>
            <color rgb="FF000000"/>
            <rFont val="Times New Roman"/>
            <family val="18"/>
          </rPr>
          <t xml:space="preserve"> [RL 1800]</t>
        </r>
        <r>
          <rPr>
            <sz val="14"/>
            <color rgb="FF000000"/>
            <rFont val="Calibri"/>
            <family val="34"/>
          </rPr>
          <t xml:space="preserve">
</t>
        </r>
        <r>
          <rPr>
            <sz val="14"/>
            <color rgb="FF000000"/>
            <rFont val="Times New Roman"/>
            <family val="18"/>
          </rPr>
          <t>04/03/1800 Revision: LB Haupt Melchior Comp Nr. 130</t>
        </r>
        <r>
          <rPr>
            <sz val="14"/>
            <color rgb="FF000000"/>
            <rFont val="Calibri"/>
            <family val="34"/>
          </rPr>
          <t xml:space="preserve">
</t>
        </r>
        <r>
          <rPr>
            <sz val="14"/>
            <color rgb="FF000000"/>
            <rFont val="Times New Roman"/>
            <family val="18"/>
          </rPr>
          <t xml:space="preserve">14/04/1800 </t>
        </r>
        <r>
          <rPr>
            <i/>
            <sz val="14"/>
            <color rgb="FF000000"/>
            <rFont val="Times New Roman"/>
            <family val="18"/>
          </rPr>
          <t>In Spital zu Padua gestorben</t>
        </r>
        <r>
          <rPr>
            <sz val="14"/>
            <color rgb="FF000000"/>
            <rFont val="Times New Roman"/>
            <family val="18"/>
          </rPr>
          <t xml:space="preserve"> [DL 1801]</t>
        </r>
        <r>
          <rPr>
            <sz val="14"/>
            <color rgb="FF000000"/>
            <rFont val="Calibri"/>
            <family val="34"/>
          </rPr>
          <t xml:space="preserve">
</t>
        </r>
      </text>
    </comment>
    <comment ref="BG251" authorId="0" shapeId="0" xr:uid="{1CE679C0-CE41-B146-A39E-ECE4C80799BE}">
      <text>
        <r>
          <rPr>
            <sz val="18"/>
            <color rgb="FF000000"/>
            <rFont val="Times New Roman"/>
            <family val="18"/>
          </rPr>
          <t>M</t>
        </r>
        <r>
          <rPr>
            <sz val="14"/>
            <color rgb="FF000000"/>
            <rFont val="Times New Roman"/>
            <family val="18"/>
          </rPr>
          <t xml:space="preserve">L 10.763 FK Grün Laudon (1797-98) – RL Haupt Bach Sr. Komp. Nr. 166 (Maria Saal 19/06/1797); RL Haupt Melchior Komp. Nr. 117
</t>
        </r>
        <r>
          <rPr>
            <sz val="14"/>
            <color rgb="FF000000"/>
            <rFont val="Times New Roman"/>
            <family val="18"/>
          </rPr>
          <t xml:space="preserve">ML 10.771 FK Grün Laudon (1796-97) – 1797 ST August (Rovigo 06/06/1798); October (Rovigo 06/06/1798)
</t>
        </r>
        <r>
          <rPr>
            <sz val="14"/>
            <color rgb="FF000000"/>
            <rFont val="Times New Roman"/>
            <family val="18"/>
          </rPr>
          <t xml:space="preserve">ML 10.624 LB 3 (1798-1801) – 1799 RL Haupt Melchior Komp. Nr. 98 (Rovigo 22/01/1799); 1800 RL Haupt Malchior Nr. 130 (Livorno 04/03/1800); DL 1801 Haupt Melchior – Abgang (Cervignano 31/10/1801)
</t>
        </r>
        <r>
          <rPr>
            <sz val="14"/>
            <color rgb="FF000000"/>
            <rFont val="Times New Roman"/>
            <family val="18"/>
          </rPr>
          <t xml:space="preserve">ML 10.625 LB (1799-1801) – GB Haupt Melchior
</t>
        </r>
      </text>
    </comment>
    <comment ref="BH251" authorId="0" shapeId="0" xr:uid="{E88A0E7D-A325-7143-A5A9-D5D8C6E1A0C9}">
      <text>
        <r>
          <rPr>
            <sz val="14"/>
            <color rgb="FF000000"/>
            <rFont val="Times New Roman"/>
            <family val="18"/>
          </rPr>
          <t xml:space="preserve">FK Grün Loudon </t>
        </r>
        <r>
          <rPr>
            <sz val="14"/>
            <color rgb="FF000000"/>
            <rFont val="Calibri"/>
            <family val="34"/>
          </rPr>
          <t xml:space="preserve">(1796-1798)
</t>
        </r>
        <r>
          <rPr>
            <sz val="14"/>
            <color rgb="FF000000"/>
            <rFont val="Calibri"/>
            <family val="34"/>
          </rPr>
          <t>LB 3 (1798-1800)</t>
        </r>
      </text>
    </comment>
    <comment ref="BF252" authorId="0" shapeId="0" xr:uid="{114C243B-C2D9-BA4F-8339-11D9E77C8AC3}">
      <text>
        <r>
          <rPr>
            <sz val="14"/>
            <color rgb="FF000000"/>
            <rFont val="Times New Roman"/>
            <family val="18"/>
          </rPr>
          <t xml:space="preserve">24/12/1796 </t>
        </r>
        <r>
          <rPr>
            <i/>
            <sz val="14"/>
            <color rgb="FF000000"/>
            <rFont val="Times New Roman"/>
            <family val="18"/>
          </rPr>
          <t>Gegen 10 Gulden Werbgeld in Lemberg ins Grün Loudon Frey Corps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Quenaudon Komp. Nr. 140 [</t>
        </r>
        <r>
          <rPr>
            <i/>
            <sz val="14"/>
            <color rgb="FF000000"/>
            <rFont val="Times New Roman"/>
            <family val="18"/>
          </rPr>
          <t>Auf Anhero Marsch</t>
        </r>
        <r>
          <rPr>
            <sz val="14"/>
            <color rgb="FF000000"/>
            <rFont val="Times New Roman"/>
            <family val="18"/>
          </rPr>
          <t>]</t>
        </r>
        <r>
          <rPr>
            <sz val="14"/>
            <color rgb="FF000000"/>
            <rFont val="Calibri"/>
            <family val="34"/>
          </rPr>
          <t xml:space="preserve">
</t>
        </r>
        <r>
          <rPr>
            <sz val="14"/>
            <color rgb="FF000000"/>
            <rFont val="Times New Roman"/>
            <family val="18"/>
          </rPr>
          <t>07/03/1798 Revision: FK Grün Loudon Haupt Quenaudon Komp. Nr. 129</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 xml:space="preserve">01/12/1798 </t>
        </r>
        <r>
          <rPr>
            <i/>
            <sz val="14"/>
            <color rgb="FF000000"/>
            <rFont val="Times New Roman"/>
            <family val="18"/>
          </rPr>
          <t>Zum Vice Corporal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22/01/1799 Revision: LB 4 Haupt Quenaudon Komp Nr. 17 [</t>
        </r>
        <r>
          <rPr>
            <i/>
            <sz val="14"/>
            <color rgb="FF000000"/>
            <rFont val="Times New Roman"/>
            <family val="18"/>
          </rPr>
          <t>Auf Commando nach Treviso</t>
        </r>
        <r>
          <rPr>
            <sz val="14"/>
            <color rgb="FF000000"/>
            <rFont val="Times New Roman"/>
            <family val="18"/>
          </rPr>
          <t>]</t>
        </r>
        <r>
          <rPr>
            <sz val="14"/>
            <color rgb="FF000000"/>
            <rFont val="Calibri"/>
            <family val="34"/>
          </rPr>
          <t xml:space="preserve">
</t>
        </r>
        <r>
          <rPr>
            <sz val="14"/>
            <color rgb="FF000000"/>
            <rFont val="Times New Roman"/>
            <family val="18"/>
          </rPr>
          <t xml:space="preserve">10/04/1799 </t>
        </r>
        <r>
          <rPr>
            <i/>
            <sz val="14"/>
            <color rgb="FF000000"/>
            <rFont val="Times New Roman"/>
            <family val="18"/>
          </rPr>
          <t>Zum Wirklicher Corporal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 xml:space="preserve">16/10/1799 </t>
        </r>
        <r>
          <rPr>
            <i/>
            <sz val="14"/>
            <color rgb="FF000000"/>
            <rFont val="Times New Roman"/>
            <family val="18"/>
          </rPr>
          <t>Zum 2. Feldwebel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04/03/1800 Revision: LB 4 Haupt Quenaudon Komp. nr. 6</t>
        </r>
        <r>
          <rPr>
            <sz val="14"/>
            <color rgb="FF000000"/>
            <rFont val="Calibri"/>
            <family val="34"/>
          </rPr>
          <t xml:space="preserve">
</t>
        </r>
        <r>
          <rPr>
            <sz val="14"/>
            <color rgb="FF000000"/>
            <rFont val="Times New Roman"/>
            <family val="18"/>
          </rPr>
          <t xml:space="preserve">07/12/1800 </t>
        </r>
        <r>
          <rPr>
            <i/>
            <sz val="14"/>
            <color rgb="FF000000"/>
            <rFont val="Times New Roman"/>
            <family val="18"/>
          </rPr>
          <t>Krank in Spital zu Montegano</t>
        </r>
        <r>
          <rPr>
            <sz val="14"/>
            <color rgb="FF000000"/>
            <rFont val="Times New Roman"/>
            <family val="18"/>
          </rPr>
          <t xml:space="preserve"> [ST Dez 1800]</t>
        </r>
        <r>
          <rPr>
            <sz val="14"/>
            <color rgb="FF000000"/>
            <rFont val="Calibri"/>
            <family val="34"/>
          </rPr>
          <t xml:space="preserve">
</t>
        </r>
        <r>
          <rPr>
            <sz val="14"/>
            <color rgb="FF000000"/>
            <rFont val="Times New Roman"/>
            <family val="18"/>
          </rPr>
          <t xml:space="preserve">25/03/1801 </t>
        </r>
        <r>
          <rPr>
            <i/>
            <sz val="14"/>
            <color rgb="FF000000"/>
            <rFont val="Times New Roman"/>
            <family val="18"/>
          </rPr>
          <t>Zur Kompanie eingerückt</t>
        </r>
        <r>
          <rPr>
            <sz val="14"/>
            <color rgb="FF000000"/>
            <rFont val="Times New Roman"/>
            <family val="18"/>
          </rPr>
          <t xml:space="preserve"> [ST Marz 1801]</t>
        </r>
        <r>
          <rPr>
            <sz val="14"/>
            <color rgb="FF000000"/>
            <rFont val="Calibri"/>
            <family val="34"/>
          </rPr>
          <t xml:space="preserve">
</t>
        </r>
        <r>
          <rPr>
            <sz val="14"/>
            <color rgb="FF000000"/>
            <rFont val="Times New Roman"/>
            <family val="18"/>
          </rPr>
          <t xml:space="preserve">01/04/1801 </t>
        </r>
        <r>
          <rPr>
            <i/>
            <sz val="14"/>
            <color rgb="FF000000"/>
            <rFont val="Times New Roman"/>
            <family val="18"/>
          </rPr>
          <t>Zum Wirklicher Feldwebel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28/08/1801 Reduction: LB 4 Haupt Löwel Nr. 5 [</t>
        </r>
        <r>
          <rPr>
            <i/>
            <sz val="14"/>
            <color rgb="FF000000"/>
            <rFont val="Times New Roman"/>
            <family val="18"/>
          </rPr>
          <t>Zu Oliver Wallis Inf.</t>
        </r>
        <r>
          <rPr>
            <sz val="14"/>
            <color rgb="FF000000"/>
            <rFont val="Times New Roman"/>
            <family val="18"/>
          </rPr>
          <t xml:space="preserve"> </t>
        </r>
        <r>
          <rPr>
            <b/>
            <sz val="14"/>
            <color rgb="FF000000"/>
            <rFont val="Times New Roman"/>
            <family val="18"/>
          </rPr>
          <t xml:space="preserve">IR 29 </t>
        </r>
        <r>
          <rPr>
            <i/>
            <sz val="14"/>
            <color rgb="FF000000"/>
            <rFont val="Times New Roman"/>
            <family val="18"/>
          </rPr>
          <t>Regt.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01/09/1801 </t>
        </r>
        <r>
          <rPr>
            <i/>
            <sz val="14"/>
            <color rgb="FF000000"/>
            <rFont val="Times New Roman"/>
            <family val="18"/>
          </rPr>
          <t>Von IR 13 Haupt Löwel Komp. Zum IR 29 Oliver Wallis transferiert und zur Haupt. Schröfel von Mannsberg Komp. Komp eingeteilt</t>
        </r>
        <r>
          <rPr>
            <sz val="14"/>
            <color rgb="FF000000"/>
            <rFont val="Times New Roman"/>
            <family val="18"/>
          </rPr>
          <t xml:space="preserve"> [TL Sept 1801 &amp; ML 1802]</t>
        </r>
        <r>
          <rPr>
            <sz val="14"/>
            <color rgb="FF000000"/>
            <rFont val="Calibri"/>
            <family val="34"/>
          </rPr>
          <t xml:space="preserve">
</t>
        </r>
        <r>
          <rPr>
            <sz val="14"/>
            <color rgb="FF000000"/>
            <rFont val="Times New Roman"/>
            <family val="18"/>
          </rPr>
          <t xml:space="preserve">10/02/1802 </t>
        </r>
        <r>
          <rPr>
            <i/>
            <sz val="14"/>
            <color rgb="FF000000"/>
            <rFont val="Times New Roman"/>
            <family val="18"/>
          </rPr>
          <t>Als auf die Kriegsdauer gestellte ausgedienter Capitulant mit Abschied entlassen</t>
        </r>
        <r>
          <rPr>
            <sz val="14"/>
            <color rgb="FF000000"/>
            <rFont val="Times New Roman"/>
            <family val="18"/>
          </rPr>
          <t xml:space="preserve"> [ML 1802]</t>
        </r>
        <r>
          <rPr>
            <sz val="14"/>
            <color rgb="FF000000"/>
            <rFont val="Calibri"/>
            <family val="34"/>
          </rPr>
          <t xml:space="preserve">
</t>
        </r>
      </text>
    </comment>
    <comment ref="BG252" authorId="0" shapeId="0" xr:uid="{0FE3AF00-5DD2-C94D-B9DE-6211D24BF03E}">
      <text>
        <r>
          <rPr>
            <sz val="18"/>
            <color rgb="FF000000"/>
            <rFont val="Times New Roman"/>
            <family val="18"/>
          </rPr>
          <t>ML 10.763 FK Grün Laudon (1797-98) – RL Haupt Quenaudon Komp. Nr. 140 (Maria Saal 19/06/1797); RL Haupt Quenaudon Komp. Nr. 129 (Rovigo 07/03/1798)</t>
        </r>
        <r>
          <rPr>
            <sz val="18"/>
            <color rgb="FF000000"/>
            <rFont val="Calibri"/>
            <family val="34"/>
          </rPr>
          <t xml:space="preserve">
</t>
        </r>
        <r>
          <rPr>
            <sz val="18"/>
            <color rgb="FF000000"/>
            <rFont val="Times New Roman"/>
            <family val="18"/>
          </rPr>
          <t>ML 10.630 LB 4 (1798-1801) – 1798 RL Haupt Quenaudon Komp. Nr. 123 (Rovigo 30/06/1798); RL Haupt Quenaudon Komp. Nr. 17 (Rovigo 22/01/1799); RL Haupt Quenaudon Komp. Nr. 6 (Pisa 04/03/1800); RL Haupt Löwel Nr. 5 (Furriaco 28/08/1801)</t>
        </r>
        <r>
          <rPr>
            <sz val="18"/>
            <color rgb="FF000000"/>
            <rFont val="Calibri"/>
            <family val="34"/>
          </rPr>
          <t xml:space="preserve">
</t>
        </r>
        <r>
          <rPr>
            <sz val="18"/>
            <color rgb="FF000000"/>
            <rFont val="Times New Roman"/>
            <family val="18"/>
          </rPr>
          <t>ML 10.631 LB (1798-1800) – 1800 ST Dez (Görz 16/07/1801)</t>
        </r>
        <r>
          <rPr>
            <sz val="18"/>
            <color rgb="FF000000"/>
            <rFont val="Calibri"/>
            <family val="34"/>
          </rPr>
          <t xml:space="preserve">
</t>
        </r>
        <r>
          <rPr>
            <sz val="18"/>
            <color rgb="FF000000"/>
            <rFont val="Times New Roman"/>
            <family val="18"/>
          </rPr>
          <t>ML 10.632 LB 4 (1801) – TL LB 4-&gt;IR 13 Nr. 1 (Görz 30/09/1801); ST März (Görz 25/07/1801)</t>
        </r>
        <r>
          <rPr>
            <sz val="18"/>
            <color rgb="FF000000"/>
            <rFont val="Calibri"/>
            <family val="34"/>
          </rPr>
          <t xml:space="preserve">
</t>
        </r>
        <r>
          <rPr>
            <sz val="18"/>
            <color rgb="FF000000"/>
            <rFont val="Times New Roman"/>
            <family val="18"/>
          </rPr>
          <t>ML 2522 IR 29 (1802) – Haupt. Schröfel von Mannsberg Komp. Zuwachs &amp; Abgang (Exerzierslager beim Brünn 27/08/1802)</t>
        </r>
        <r>
          <rPr>
            <sz val="18"/>
            <color rgb="FF000000"/>
            <rFont val="Calibri"/>
            <family val="34"/>
          </rPr>
          <t xml:space="preserve">
</t>
        </r>
      </text>
    </comment>
    <comment ref="BH252" authorId="0" shapeId="0" xr:uid="{6FA893EE-4AA2-554F-B998-448B900B16CC}">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(1801-1802)</t>
        </r>
      </text>
    </comment>
    <comment ref="BI252" authorId="0" shapeId="0" xr:uid="{F6F1BAE5-2E9B-9C42-BC17-16A6928282F6}">
      <text>
        <r>
          <rPr>
            <sz val="14"/>
            <color rgb="FF000000"/>
            <rFont val="Calibri"/>
            <family val="34"/>
          </rPr>
          <t>Sehr Gut (TL Sept 1801)</t>
        </r>
      </text>
    </comment>
    <comment ref="BF253" authorId="0" shapeId="0" xr:uid="{866413CE-866F-1D4A-B50E-6981DFFB9AB1}">
      <text>
        <r>
          <rPr>
            <sz val="14"/>
            <color rgb="FF000000"/>
            <rFont val="Times New Roman"/>
            <family val="18"/>
          </rPr>
          <t xml:space="preserve">1797 </t>
        </r>
        <r>
          <rPr>
            <i/>
            <sz val="14"/>
            <color rgb="FF000000"/>
            <rFont val="Times New Roman"/>
            <family val="18"/>
          </rPr>
          <t>Als Landständische Recrout assentiert</t>
        </r>
        <r>
          <rPr>
            <sz val="14"/>
            <color rgb="FF000000"/>
            <rFont val="Times New Roman"/>
            <family val="18"/>
          </rPr>
          <t xml:space="preserve"> [TL Oct 1811]</t>
        </r>
        <r>
          <rPr>
            <sz val="14"/>
            <color rgb="FF000000"/>
            <rFont val="Calibri"/>
            <family val="34"/>
          </rPr>
          <t xml:space="preserve">
</t>
        </r>
        <r>
          <rPr>
            <sz val="14"/>
            <color rgb="FF000000"/>
            <rFont val="Times New Roman"/>
            <family val="18"/>
          </rPr>
          <t xml:space="preserve">[15/08]1799 </t>
        </r>
        <r>
          <rPr>
            <i/>
            <sz val="14"/>
            <color rgb="FF000000"/>
            <rFont val="Times New Roman"/>
            <family val="18"/>
          </rPr>
          <t>Bei Novi in Italien gefangen worden</t>
        </r>
        <r>
          <rPr>
            <sz val="14"/>
            <color rgb="FF000000"/>
            <rFont val="Times New Roman"/>
            <family val="18"/>
          </rPr>
          <t xml:space="preserve"> [TL Oct 1811]</t>
        </r>
        <r>
          <rPr>
            <sz val="14"/>
            <color rgb="FF000000"/>
            <rFont val="Calibri"/>
            <family val="34"/>
          </rPr>
          <t xml:space="preserve">
</t>
        </r>
        <r>
          <rPr>
            <i/>
            <sz val="14"/>
            <color rgb="FF000000"/>
            <rFont val="Times New Roman"/>
            <family val="18"/>
          </rPr>
          <t xml:space="preserve">Hat bei dem Feind dienst genommen, aus dem er zurückkehrt </t>
        </r>
        <r>
          <rPr>
            <sz val="14"/>
            <color rgb="FF000000"/>
            <rFont val="Calibri"/>
            <family val="34"/>
          </rPr>
          <t xml:space="preserve">
</t>
        </r>
        <r>
          <rPr>
            <sz val="14"/>
            <color rgb="FF000000"/>
            <rFont val="Times New Roman"/>
            <family val="18"/>
          </rPr>
          <t xml:space="preserve">17/03/1811 </t>
        </r>
        <r>
          <rPr>
            <i/>
            <sz val="14"/>
            <color rgb="FF000000"/>
            <rFont val="Times New Roman"/>
            <family val="18"/>
          </rPr>
          <t xml:space="preserve">Hat sich bei IR 23 präsentiert und von dortige 1. Fus. Komp. zur IR 30 transferiert worden und zur 9. Fus. Komp. eingeteilt </t>
        </r>
        <r>
          <rPr>
            <sz val="14"/>
            <color rgb="FF000000"/>
            <rFont val="Times New Roman"/>
            <family val="18"/>
          </rPr>
          <t>[TL Oct 1811]</t>
        </r>
        <r>
          <rPr>
            <sz val="14"/>
            <color rgb="FF000000"/>
            <rFont val="Calibri"/>
            <family val="34"/>
          </rPr>
          <t xml:space="preserve">
</t>
        </r>
        <r>
          <rPr>
            <sz val="14"/>
            <color rgb="FF000000"/>
            <rFont val="Times New Roman"/>
            <family val="18"/>
          </rPr>
          <t xml:space="preserve">30/06/1811 </t>
        </r>
        <r>
          <rPr>
            <i/>
            <sz val="14"/>
            <color rgb="FF000000"/>
            <rFont val="Times New Roman"/>
            <family val="18"/>
          </rPr>
          <t>Laut Verordnung 14/06/1811 R: 5635 mit Laufpaß entlassen</t>
        </r>
        <r>
          <rPr>
            <sz val="14"/>
            <color rgb="FF000000"/>
            <rFont val="Times New Roman"/>
            <family val="18"/>
          </rPr>
          <t xml:space="preserve"> [ML 1811]</t>
        </r>
        <r>
          <rPr>
            <sz val="14"/>
            <color rgb="FF000000"/>
            <rFont val="Calibri"/>
            <family val="34"/>
          </rPr>
          <t xml:space="preserve">
</t>
        </r>
      </text>
    </comment>
    <comment ref="BG253" authorId="0" shapeId="0" xr:uid="{558BF938-D356-7E4B-89D5-9B6E3B50EDB8}">
      <text>
        <r>
          <rPr>
            <sz val="14"/>
            <color rgb="FF000000"/>
            <rFont val="Times New Roman"/>
            <family val="18"/>
          </rPr>
          <t>ML 10.183 IR 23 (1810-11) – TL IR 23-&gt;IR 30 Nr. 1 (Brünn 10/10/1811)</t>
        </r>
        <r>
          <rPr>
            <b/>
            <u/>
            <sz val="14"/>
            <color rgb="FF000000"/>
            <rFont val="Times New Roman"/>
            <family val="18"/>
          </rPr>
          <t xml:space="preserve">  </t>
        </r>
        <r>
          <rPr>
            <sz val="14"/>
            <color rgb="FF000000"/>
            <rFont val="Calibri"/>
            <family val="34"/>
          </rPr>
          <t xml:space="preserve">
</t>
        </r>
        <r>
          <rPr>
            <sz val="14"/>
            <color rgb="FF000000"/>
            <rFont val="Times New Roman"/>
            <family val="18"/>
          </rPr>
          <t>ML 2633 IR 30 (1811) – 9. Komp. Abgang (Czernowitz 11/09/1811)</t>
        </r>
        <r>
          <rPr>
            <sz val="14"/>
            <color rgb="FF000000"/>
            <rFont val="Calibri"/>
            <family val="34"/>
          </rPr>
          <t xml:space="preserve">
</t>
        </r>
      </text>
    </comment>
    <comment ref="BH253" authorId="0" shapeId="0" xr:uid="{A40790B4-F504-FA4C-898A-ADB61BC32DF4}">
      <text>
        <r>
          <rPr>
            <sz val="14"/>
            <color rgb="FF000000"/>
            <rFont val="Calibri"/>
            <family val="34"/>
          </rPr>
          <t xml:space="preserve">IR 23 (1797-1811)
</t>
        </r>
        <r>
          <rPr>
            <sz val="14"/>
            <color rgb="FF000000"/>
            <rFont val="Calibri"/>
            <family val="34"/>
          </rPr>
          <t>IR 30 (1811)</t>
        </r>
      </text>
    </comment>
    <comment ref="BJ253" authorId="0" shapeId="0" xr:uid="{1E9684CC-D7C8-B746-B4EB-3D73457C4E4D}">
      <text>
        <r>
          <rPr>
            <i/>
            <sz val="14"/>
            <color rgb="FF000000"/>
            <rFont val="Times New Roman"/>
            <family val="18"/>
          </rPr>
          <t>Ein Prellschuss gegen das Gesäß engbreisig, und allgemeine Schwäche ein ganzen Körpers, vorhin in feindliche Dienst erhalten</t>
        </r>
        <r>
          <rPr>
            <sz val="14"/>
            <color rgb="FF000000"/>
            <rFont val="Times New Roman"/>
            <family val="18"/>
          </rPr>
          <t xml:space="preserve"> [TL Okt 1811] </t>
        </r>
      </text>
    </comment>
    <comment ref="BF254" authorId="0" shapeId="0" xr:uid="{CADFAEFA-26CA-B34C-B597-747B30C23E7D}">
      <text>
        <r>
          <rPr>
            <sz val="14"/>
            <color rgb="FF000000"/>
            <rFont val="Times New Roman"/>
            <family val="18"/>
          </rPr>
          <t xml:space="preserve">09/01/1797 </t>
        </r>
        <r>
          <rPr>
            <i/>
            <sz val="14"/>
            <color rgb="FF000000"/>
            <rFont val="Times New Roman"/>
            <family val="18"/>
          </rPr>
          <t xml:space="preserve">Von der Juden Gemeinde Kojetaim </t>
        </r>
        <r>
          <rPr>
            <b/>
            <sz val="14"/>
            <color rgb="FF000000"/>
            <rFont val="Times New Roman"/>
            <family val="18"/>
          </rPr>
          <t>[</t>
        </r>
        <r>
          <rPr>
            <b/>
            <u/>
            <sz val="14"/>
            <color rgb="FF0563C1"/>
            <rFont val="Times New Roman"/>
            <family val="18"/>
          </rPr>
          <t>Kojetín, Czech Republic</t>
        </r>
        <r>
          <rPr>
            <b/>
            <sz val="14"/>
            <color rgb="FF000000"/>
            <rFont val="Times New Roman"/>
            <family val="18"/>
          </rPr>
          <t>]</t>
        </r>
        <r>
          <rPr>
            <i/>
            <sz val="14"/>
            <color rgb="FF000000"/>
            <rFont val="Times New Roman"/>
            <family val="18"/>
          </rPr>
          <t xml:space="preserve"> a 3Fl Handgeld ohne Capitulation gestellt und zum IR 1 Reserve Division assentiert</t>
        </r>
        <r>
          <rPr>
            <sz val="14"/>
            <color rgb="FF000000"/>
            <rFont val="Times New Roman"/>
            <family val="18"/>
          </rPr>
          <t xml:space="preserve"> [AL Jan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Höberlein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Köberlein Komp. zum Feld Bats transferiert und zum Haupt Horny Komp zugeteilt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19/08/1797 </t>
        </r>
        <r>
          <rPr>
            <i/>
            <sz val="14"/>
            <color rgb="FF000000"/>
            <rFont val="Times New Roman"/>
            <family val="18"/>
          </rPr>
          <t>Von Transport desertiert</t>
        </r>
        <r>
          <rPr>
            <sz val="14"/>
            <color rgb="FF000000"/>
            <rFont val="Times New Roman"/>
            <family val="18"/>
          </rPr>
          <t xml:space="preserve">; Ursache: </t>
        </r>
        <r>
          <rPr>
            <i/>
            <sz val="14"/>
            <color rgb="FF000000"/>
            <rFont val="Times New Roman"/>
            <family val="18"/>
          </rPr>
          <t>Weil er unschuldig Schlag bekommen</t>
        </r>
        <r>
          <rPr>
            <sz val="14"/>
            <color rgb="FF000000"/>
            <rFont val="Times New Roman"/>
            <family val="18"/>
          </rPr>
          <t xml:space="preserve"> [PL Aug 1797]</t>
        </r>
        <r>
          <rPr>
            <sz val="14"/>
            <color rgb="FF000000"/>
            <rFont val="Calibri"/>
            <family val="34"/>
          </rPr>
          <t xml:space="preserve">
</t>
        </r>
        <r>
          <rPr>
            <sz val="14"/>
            <color rgb="FF000000"/>
            <rFont val="Times New Roman"/>
            <family val="18"/>
          </rPr>
          <t xml:space="preserve">20/08/1797 Attrapiert: </t>
        </r>
        <r>
          <rPr>
            <i/>
            <sz val="14"/>
            <color rgb="FF000000"/>
            <rFont val="Times New Roman"/>
            <family val="18"/>
          </rPr>
          <t>Bei Freidberger Brücken war von der Bayrischen Wache aufgehalten, arrestiert und zu Kerpen Werbbkomando nach Augsburg ausgeliefert; Taglia von 20Fl und 1 Fl Transportgeld werden bezahlt; Seitdem in Arrest</t>
        </r>
        <r>
          <rPr>
            <sz val="14"/>
            <color rgb="FF000000"/>
            <rFont val="Times New Roman"/>
            <family val="18"/>
          </rPr>
          <t xml:space="preserve"> [PL Aug 1797 ST Sept 1797]</t>
        </r>
        <r>
          <rPr>
            <sz val="14"/>
            <color rgb="FF000000"/>
            <rFont val="Calibri"/>
            <family val="34"/>
          </rPr>
          <t xml:space="preserve">
</t>
        </r>
        <r>
          <rPr>
            <sz val="14"/>
            <color rgb="FF000000"/>
            <rFont val="Times New Roman"/>
            <family val="18"/>
          </rPr>
          <t xml:space="preserve">03/06/1799 [Als angehöriger von Horny Komp.] </t>
        </r>
        <r>
          <rPr>
            <i/>
            <sz val="14"/>
            <color rgb="FF000000"/>
            <rFont val="Times New Roman"/>
            <family val="18"/>
          </rPr>
          <t>Bei der Aktion bei Witikon</t>
        </r>
        <r>
          <rPr>
            <sz val="14"/>
            <color rgb="FF000000"/>
            <rFont val="Times New Roman"/>
            <family val="18"/>
          </rPr>
          <t xml:space="preserve"> </t>
        </r>
        <r>
          <rPr>
            <b/>
            <sz val="14"/>
            <color rgb="FF000000"/>
            <rFont val="Times New Roman"/>
            <family val="18"/>
          </rPr>
          <t>[1. Schlacht von Zurich]</t>
        </r>
        <r>
          <rPr>
            <sz val="14"/>
            <color rgb="FF000000"/>
            <rFont val="Times New Roman"/>
            <family val="18"/>
          </rPr>
          <t xml:space="preserve"> </t>
        </r>
        <r>
          <rPr>
            <i/>
            <sz val="14"/>
            <color rgb="FF000000"/>
            <rFont val="Times New Roman"/>
            <family val="18"/>
          </rPr>
          <t>in Kriegsgefangenschaft geraten</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22/03/1800 </t>
        </r>
        <r>
          <rPr>
            <i/>
            <sz val="14"/>
            <color rgb="FF000000"/>
            <rFont val="Times New Roman"/>
            <family val="18"/>
          </rPr>
          <t>Zu Würzburg präsentiert und seitdem auf anhero Marsch</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04/06/1800 </t>
        </r>
        <r>
          <rPr>
            <i/>
            <sz val="14"/>
            <color rgb="FF000000"/>
            <rFont val="Times New Roman"/>
            <family val="18"/>
          </rPr>
          <t xml:space="preserve">Aus der Station Brünst desertiert </t>
        </r>
        <r>
          <rPr>
            <sz val="14"/>
            <color rgb="FF000000"/>
            <rFont val="Times New Roman"/>
            <family val="18"/>
          </rPr>
          <t>[ST Aug 1800]</t>
        </r>
        <r>
          <rPr>
            <sz val="14"/>
            <color rgb="FF000000"/>
            <rFont val="Calibri"/>
            <family val="2"/>
          </rPr>
          <t xml:space="preserve"> </t>
        </r>
      </text>
    </comment>
    <comment ref="BG254" authorId="0" shapeId="0" xr:uid="{C079C450-0C03-9C45-8577-5A048A9770B2}">
      <text>
        <r>
          <rPr>
            <sz val="14"/>
            <color rgb="FF000000"/>
            <rFont val="Times New Roman"/>
            <family val="18"/>
          </rPr>
          <t>ML 68 IR 1 (1797) – ST Sept (??)</t>
        </r>
        <r>
          <rPr>
            <sz val="14"/>
            <color rgb="FF000000"/>
            <rFont val="Calibri"/>
            <family val="34"/>
          </rPr>
          <t xml:space="preserve">
</t>
        </r>
        <r>
          <rPr>
            <sz val="14"/>
            <color rgb="FF000000"/>
            <rFont val="Times New Roman"/>
            <family val="18"/>
          </rPr>
          <t>ML 69/70 IR 1 (1797) AL/TL – AL Nr. 1 (Olmütz 25/01/1797); TL IR 1 3 Feld Bats-&gt; 4. Bat Nr. 536 (Freiburg in Breisgau 29/18/1798); TL IR 1 4. Bat-&gt; 3 Feld Bats Nr. 197 (Olmütz 08/07/1799)</t>
        </r>
        <r>
          <rPr>
            <sz val="14"/>
            <color rgb="FF000000"/>
            <rFont val="Calibri"/>
            <family val="34"/>
          </rPr>
          <t xml:space="preserve">
</t>
        </r>
        <r>
          <rPr>
            <sz val="14"/>
            <color rgb="FF000000"/>
            <rFont val="Times New Roman"/>
            <family val="18"/>
          </rPr>
          <t>ML 72 IR 1 (1799) – ST June (Olmütz 28/09/1799)</t>
        </r>
        <r>
          <rPr>
            <sz val="14"/>
            <color rgb="FF000000"/>
            <rFont val="Calibri"/>
            <family val="34"/>
          </rPr>
          <t xml:space="preserve">
</t>
        </r>
        <r>
          <rPr>
            <sz val="14"/>
            <color rgb="FF000000"/>
            <rFont val="Times New Roman"/>
            <family val="18"/>
          </rPr>
          <t>ML 74 IR 1 (1800) – ST Aug (Olmütz 28/11/1800)</t>
        </r>
        <r>
          <rPr>
            <sz val="14"/>
            <color rgb="FF000000"/>
            <rFont val="Calibri"/>
            <family val="34"/>
          </rPr>
          <t xml:space="preserve">
</t>
        </r>
      </text>
    </comment>
    <comment ref="BH254" authorId="0" shapeId="0" xr:uid="{EE3BA369-9F63-BE46-BD41-5C96CA54B7F3}">
      <text>
        <r>
          <rPr>
            <sz val="14"/>
            <color rgb="FF000000"/>
            <rFont val="Calibri"/>
            <family val="34"/>
          </rPr>
          <t>IR 1 (1797-1800))</t>
        </r>
      </text>
    </comment>
    <comment ref="T255" authorId="0" shapeId="0" xr:uid="{C091E163-C19C-B94B-800C-959CF4617E9C}">
      <text>
        <r>
          <rPr>
            <b/>
            <sz val="14"/>
            <color rgb="FF000000"/>
            <rFont val="Calibri"/>
            <family val="34"/>
          </rPr>
          <t xml:space="preserve">5.2 [163.26 cm] (TL 1798)
</t>
        </r>
        <r>
          <rPr>
            <sz val="14"/>
            <color rgb="FF000000"/>
            <rFont val="Calibri"/>
            <family val="34"/>
          </rPr>
          <t>5.3.1 [166.11 cm] (AL 1797)</t>
        </r>
      </text>
    </comment>
    <comment ref="BF255" authorId="0" shapeId="0" xr:uid="{2FFC18B6-7A0A-A24C-8739-D97B5B803129}">
      <text>
        <r>
          <rPr>
            <sz val="14"/>
            <color rgb="FF000000"/>
            <rFont val="Times New Roman"/>
            <family val="18"/>
          </rPr>
          <t xml:space="preserve">17/01/1797 </t>
        </r>
        <r>
          <rPr>
            <i/>
            <sz val="14"/>
            <color rgb="FF000000"/>
            <rFont val="Times New Roman"/>
            <family val="18"/>
          </rPr>
          <t xml:space="preserve">Von der Juden Gemeinde Boskowitz </t>
        </r>
        <r>
          <rPr>
            <b/>
            <sz val="14"/>
            <color rgb="FF000000"/>
            <rFont val="Times New Roman"/>
            <family val="18"/>
          </rPr>
          <t>[</t>
        </r>
        <r>
          <rPr>
            <b/>
            <u/>
            <sz val="14"/>
            <color rgb="FF0563C1"/>
            <rFont val="Times New Roman"/>
            <family val="18"/>
          </rPr>
          <t>Boskovice, Czech Republic</t>
        </r>
        <r>
          <rPr>
            <b/>
            <sz val="14"/>
            <color rgb="FF000000"/>
            <rFont val="Times New Roman"/>
            <family val="18"/>
          </rPr>
          <t>]</t>
        </r>
        <r>
          <rPr>
            <i/>
            <sz val="14"/>
            <color rgb="FF000000"/>
            <rFont val="Times New Roman"/>
            <family val="18"/>
          </rPr>
          <t xml:space="preserve"> a 3Fl Handgeld gestellt und zum IR 1 Reserve Division assentiert</t>
        </r>
        <r>
          <rPr>
            <sz val="14"/>
            <color rgb="FF000000"/>
            <rFont val="Times New Roman"/>
            <family val="18"/>
          </rPr>
          <t xml:space="preserve"> [AL Jan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Köberlein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17/06/1798 </t>
        </r>
        <r>
          <rPr>
            <i/>
            <sz val="14"/>
            <color rgb="FF000000"/>
            <rFont val="Times New Roman"/>
            <family val="18"/>
          </rPr>
          <t>Von IR 4. Bat 3. Haupt von Ranger Komp zum Feld Bats transferiert und zur 2. Major Komp. zugeteilt</t>
        </r>
        <r>
          <rPr>
            <sz val="14"/>
            <color rgb="FF000000"/>
            <rFont val="Times New Roman"/>
            <family val="18"/>
          </rPr>
          <t xml:space="preserve"> [TL July 1798]</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2. Major zum Haupt Hardy Komp. transferiert und zum Gefreyter avanciert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15/07/1803 </t>
        </r>
        <r>
          <rPr>
            <i/>
            <sz val="14"/>
            <color rgb="FF000000"/>
            <rFont val="Times New Roman"/>
            <family val="18"/>
          </rPr>
          <t>Von bestimmte Urlaub auf steuerbare Wirtschaft mit Abschied entlassen</t>
        </r>
        <r>
          <rPr>
            <sz val="14"/>
            <color rgb="FF000000"/>
            <rFont val="Times New Roman"/>
            <family val="18"/>
          </rPr>
          <t xml:space="preserve"> [ST July 1803] </t>
        </r>
      </text>
    </comment>
    <comment ref="BG255" authorId="0" shapeId="0" xr:uid="{99ACCDD9-2CCA-2449-B664-B5DD3382FD72}">
      <text>
        <r>
          <rPr>
            <sz val="14"/>
            <color rgb="FF000000"/>
            <rFont val="Times New Roman"/>
            <family val="18"/>
          </rPr>
          <t>ML 29 IR 1 (1803) – Haupt Hardy Komp. Abgang (</t>
        </r>
        <r>
          <rPr>
            <sz val="14"/>
            <color rgb="FF000000"/>
            <rFont val="Times New Roman"/>
            <family val="18"/>
          </rPr>
          <t>Karthaus nächst Brünn 13/09/1803</t>
        </r>
        <r>
          <rPr>
            <sz val="14"/>
            <color rgb="FF000000"/>
            <rFont val="Times New Roman"/>
            <family val="18"/>
          </rPr>
          <t>)</t>
        </r>
        <r>
          <rPr>
            <sz val="14"/>
            <color rgb="FF000000"/>
            <rFont val="Calibri"/>
            <family val="34"/>
          </rPr>
          <t xml:space="preserve">
</t>
        </r>
        <r>
          <rPr>
            <sz val="14"/>
            <color rgb="FF000000"/>
            <rFont val="Times New Roman"/>
            <family val="18"/>
          </rPr>
          <t>ML 69/70 IR 1 (1797) AL/TL – AL Nr. 2 (Olmütz 25/01/1797); TL IR 1 3 Feld Bats-&gt; 4. Bat Nr. 762 (Freiburg in Breisgau 29/18/1798)</t>
        </r>
        <r>
          <rPr>
            <sz val="14"/>
            <color rgb="FF000000"/>
            <rFont val="Calibri"/>
            <family val="34"/>
          </rPr>
          <t xml:space="preserve">
</t>
        </r>
        <r>
          <rPr>
            <sz val="14"/>
            <color rgb="FF000000"/>
            <rFont val="Times New Roman"/>
            <family val="18"/>
          </rPr>
          <t>ML 71 IR 1 (1798) – TL IR 1 4. Bat-&gt;3 Feld Bats Nr. 137 (Olmütz 09/07/1798)</t>
        </r>
        <r>
          <rPr>
            <sz val="14"/>
            <color rgb="FF000000"/>
            <rFont val="Calibri"/>
            <family val="34"/>
          </rPr>
          <t xml:space="preserve">
</t>
        </r>
        <r>
          <rPr>
            <sz val="14"/>
            <color rgb="FF000000"/>
            <rFont val="Times New Roman"/>
            <family val="18"/>
          </rPr>
          <t>ML 74 IR 1 (1800) – ST Nov (Olmütz 13/02/1801)</t>
        </r>
        <r>
          <rPr>
            <sz val="14"/>
            <color rgb="FF000000"/>
            <rFont val="Calibri"/>
            <family val="34"/>
          </rPr>
          <t xml:space="preserve">
</t>
        </r>
        <r>
          <rPr>
            <sz val="14"/>
            <color rgb="FF000000"/>
            <rFont val="Times New Roman"/>
            <family val="18"/>
          </rPr>
          <t>ML 80 IR 1 (1803) – ST July (Proßnitz 13/08/1803)</t>
        </r>
        <r>
          <rPr>
            <sz val="14"/>
            <color rgb="FF000000"/>
            <rFont val="Calibri"/>
            <family val="34"/>
          </rPr>
          <t xml:space="preserve">
</t>
        </r>
      </text>
    </comment>
    <comment ref="BH255" authorId="0" shapeId="0" xr:uid="{18CF5C31-E799-9441-A774-8C55668E8196}">
      <text>
        <r>
          <rPr>
            <sz val="14"/>
            <color rgb="FF000000"/>
            <rFont val="Calibri"/>
            <family val="34"/>
          </rPr>
          <t>IR 1 (1797-1803)</t>
        </r>
      </text>
    </comment>
    <comment ref="BF256" authorId="0" shapeId="0" xr:uid="{7B251AE8-78E4-E043-B299-75C9919434C7}">
      <text>
        <r>
          <rPr>
            <sz val="14"/>
            <color rgb="FF000000"/>
            <rFont val="Times New Roman"/>
            <family val="18"/>
          </rPr>
          <t xml:space="preserve">17/01/1797 </t>
        </r>
        <r>
          <rPr>
            <i/>
            <sz val="14"/>
            <color rgb="FF000000"/>
            <rFont val="Times New Roman"/>
            <family val="18"/>
          </rPr>
          <t xml:space="preserve">Von der Juden Gemeinde Boskowitz </t>
        </r>
        <r>
          <rPr>
            <b/>
            <sz val="14"/>
            <color rgb="FF000000"/>
            <rFont val="Times New Roman"/>
            <family val="18"/>
          </rPr>
          <t>[</t>
        </r>
        <r>
          <rPr>
            <b/>
            <u/>
            <sz val="14"/>
            <color rgb="FF0563C1"/>
            <rFont val="Times New Roman"/>
            <family val="18"/>
          </rPr>
          <t>Boskovice, Czech Republic</t>
        </r>
        <r>
          <rPr>
            <b/>
            <sz val="14"/>
            <color rgb="FF000000"/>
            <rFont val="Times New Roman"/>
            <family val="18"/>
          </rPr>
          <t>]</t>
        </r>
        <r>
          <rPr>
            <i/>
            <sz val="14"/>
            <color rgb="FF000000"/>
            <rFont val="Times New Roman"/>
            <family val="18"/>
          </rPr>
          <t xml:space="preserve"> a 3Fl Handgeld gestellt und zum IR 1 Reserve Division assentiert</t>
        </r>
        <r>
          <rPr>
            <sz val="14"/>
            <color rgb="FF000000"/>
            <rFont val="Times New Roman"/>
            <family val="18"/>
          </rPr>
          <t xml:space="preserve"> [AL Jan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IR 1 Reserve Division zum 4. Bat. Transferiert und zum Haupt Köberlein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31/10/1797 UNBEKANNT: </t>
        </r>
        <r>
          <rPr>
            <i/>
            <sz val="14"/>
            <color rgb="FF000000"/>
            <rFont val="Times New Roman"/>
            <family val="18"/>
          </rPr>
          <t>Dienst bis mindestens an IR 1 4. Bat. Haupt Raimonval 2. Komp.</t>
        </r>
        <r>
          <rPr>
            <sz val="14"/>
            <color rgb="FF000000"/>
            <rFont val="Times New Roman"/>
            <family val="18"/>
          </rPr>
          <t xml:space="preserve"> [ST Oct 1797]</t>
        </r>
        <r>
          <rPr>
            <sz val="14"/>
            <color rgb="FF000000"/>
            <rFont val="Calibri"/>
            <family val="34"/>
          </rPr>
          <t xml:space="preserve">
</t>
        </r>
      </text>
    </comment>
    <comment ref="BG256" authorId="0" shapeId="0" xr:uid="{4951215C-12CA-DD45-86E2-2F0A97FA83C4}">
      <text>
        <r>
          <rPr>
            <sz val="14"/>
            <color rgb="FF000000"/>
            <rFont val="Times New Roman"/>
            <family val="18"/>
          </rPr>
          <t>ML 68 IR 1 (1797) – ST May (27/06/1797), Oct (Olmütz 27/11/1797)</t>
        </r>
        <r>
          <rPr>
            <sz val="14"/>
            <color rgb="FF000000"/>
            <rFont val="Calibri"/>
            <family val="34"/>
          </rPr>
          <t xml:space="preserve">
</t>
        </r>
        <r>
          <rPr>
            <sz val="14"/>
            <color rgb="FF000000"/>
            <rFont val="Times New Roman"/>
            <family val="18"/>
          </rPr>
          <t>ML 69/70 IR 3 (1797) AL/TL – AL Nr. 3 (Olmütz 25/01/1797); TL IR 1 3 Feld Bats-&gt; 4. Bat Nr. 761 (Freiburg in Breisgau 29/18/1798)</t>
        </r>
        <r>
          <rPr>
            <sz val="14"/>
            <color rgb="FF000000"/>
            <rFont val="Calibri"/>
            <family val="34"/>
          </rPr>
          <t xml:space="preserve">
</t>
        </r>
      </text>
    </comment>
    <comment ref="BH256" authorId="0" shapeId="0" xr:uid="{02E371DD-E525-DA4A-B14F-0D7BF01EC210}">
      <text>
        <r>
          <rPr>
            <sz val="14"/>
            <color rgb="FF000000"/>
            <rFont val="Calibri"/>
            <family val="34"/>
          </rPr>
          <t>IR 1 (1797)</t>
        </r>
      </text>
    </comment>
    <comment ref="BF257" authorId="0" shapeId="0" xr:uid="{C35A8B68-2659-0F41-8F90-ABF74E605760}">
      <text>
        <r>
          <rPr>
            <sz val="14"/>
            <color rgb="FF000000"/>
            <rFont val="Times New Roman"/>
            <family val="18"/>
          </rPr>
          <t xml:space="preserve">19/01/1797 </t>
        </r>
        <r>
          <rPr>
            <i/>
            <sz val="14"/>
            <color rgb="FF000000"/>
            <rFont val="Times New Roman"/>
            <family val="18"/>
          </rPr>
          <t xml:space="preserve">Von der Juden Gemeinde Prossnitz </t>
        </r>
        <r>
          <rPr>
            <b/>
            <sz val="14"/>
            <color rgb="FF000000"/>
            <rFont val="Times New Roman"/>
            <family val="18"/>
          </rPr>
          <t>[</t>
        </r>
        <r>
          <rPr>
            <b/>
            <u/>
            <sz val="14"/>
            <color rgb="FF0563C1"/>
            <rFont val="Times New Roman"/>
            <family val="18"/>
          </rPr>
          <t>Prostějov, Czech Republic</t>
        </r>
        <r>
          <rPr>
            <b/>
            <sz val="14"/>
            <color rgb="FF000000"/>
            <rFont val="Times New Roman"/>
            <family val="18"/>
          </rPr>
          <t>]</t>
        </r>
        <r>
          <rPr>
            <i/>
            <sz val="14"/>
            <color rgb="FF000000"/>
            <rFont val="Times New Roman"/>
            <family val="18"/>
          </rPr>
          <t xml:space="preserve"> a 3Fl Handgeld gestellt und zum IR 1 Reserve Division assentiert</t>
        </r>
        <r>
          <rPr>
            <sz val="14"/>
            <color rgb="FF000000"/>
            <rFont val="Times New Roman"/>
            <family val="18"/>
          </rPr>
          <t xml:space="preserve"> [AL Jan 1797]</t>
        </r>
        <r>
          <rPr>
            <sz val="14"/>
            <color rgb="FF000000"/>
            <rFont val="Calibri"/>
            <family val="34"/>
          </rPr>
          <t xml:space="preserve">
</t>
        </r>
        <r>
          <rPr>
            <sz val="14"/>
            <color rgb="FF000000"/>
            <rFont val="Times New Roman"/>
            <family val="18"/>
          </rPr>
          <t xml:space="preserve">15/08/1799 [Als Angehöriger von Haupt Khager Komp.] </t>
        </r>
        <r>
          <rPr>
            <i/>
            <sz val="14"/>
            <color rgb="FF000000"/>
            <rFont val="Times New Roman"/>
            <family val="18"/>
          </rPr>
          <t>In der Aktion bei Pfefficon</t>
        </r>
        <r>
          <rPr>
            <sz val="14"/>
            <color rgb="FF000000"/>
            <rFont val="Times New Roman"/>
            <family val="18"/>
          </rPr>
          <t xml:space="preserve"> </t>
        </r>
        <r>
          <rPr>
            <b/>
            <sz val="14"/>
            <color rgb="FF000000"/>
            <rFont val="Times New Roman"/>
            <family val="18"/>
          </rPr>
          <t>[Pfäffikon, Freienbach, Swizerland]</t>
        </r>
        <r>
          <rPr>
            <sz val="14"/>
            <color rgb="FF000000"/>
            <rFont val="Times New Roman"/>
            <family val="18"/>
          </rPr>
          <t xml:space="preserve"> </t>
        </r>
        <r>
          <rPr>
            <i/>
            <sz val="14"/>
            <color rgb="FF000000"/>
            <rFont val="Times New Roman"/>
            <family val="18"/>
          </rPr>
          <t xml:space="preserve">in die Kriegsgefangenschaft gefallen </t>
        </r>
        <r>
          <rPr>
            <sz val="14"/>
            <color rgb="FF000000"/>
            <rFont val="Times New Roman"/>
            <family val="18"/>
          </rPr>
          <t>[ST Sept 1799]</t>
        </r>
        <r>
          <rPr>
            <sz val="14"/>
            <color rgb="FF000000"/>
            <rFont val="Calibri"/>
            <family val="34"/>
          </rPr>
          <t xml:space="preserve">
</t>
        </r>
        <r>
          <rPr>
            <sz val="14"/>
            <color rgb="FF000000"/>
            <rFont val="Times New Roman"/>
            <family val="18"/>
          </rPr>
          <t xml:space="preserve">24/08/1800 </t>
        </r>
        <r>
          <rPr>
            <i/>
            <sz val="14"/>
            <color rgb="FF000000"/>
            <rFont val="Times New Roman"/>
            <family val="18"/>
          </rPr>
          <t>Vermog Revisions listen zu A[n]spach präsentiert und wieder in Kompanie eingerückt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15/02/1802 </t>
        </r>
        <r>
          <rPr>
            <i/>
            <sz val="14"/>
            <color rgb="FF000000"/>
            <rFont val="Times New Roman"/>
            <family val="18"/>
          </rPr>
          <t>zu Folge hoher k.k. General Militar Comando Verordnung ddt. Brünn am 20. Jänner als auf die Dauer des Krieges ausgedienter Capitulant von unbestimmtem Urlaub entlassen</t>
        </r>
        <r>
          <rPr>
            <sz val="14"/>
            <color rgb="FF000000"/>
            <rFont val="Times New Roman"/>
            <family val="18"/>
          </rPr>
          <t xml:space="preserve"> [ST Feb 1802] </t>
        </r>
      </text>
    </comment>
    <comment ref="BG257" authorId="0" shapeId="0" xr:uid="{059347CA-587A-6F40-878C-0C18F560DFD8}">
      <text>
        <r>
          <rPr>
            <sz val="14"/>
            <color rgb="FF000000"/>
            <rFont val="Times New Roman"/>
            <family val="18"/>
          </rPr>
          <t>ML 69/70 IR 3 (1797) AL/TL – AL Nr. 4 (Olmütz 25/01/1797)</t>
        </r>
        <r>
          <rPr>
            <sz val="14"/>
            <color rgb="FF000000"/>
            <rFont val="Calibri"/>
            <family val="34"/>
          </rPr>
          <t xml:space="preserve">
</t>
        </r>
        <r>
          <rPr>
            <sz val="14"/>
            <color rgb="FF000000"/>
            <rFont val="Times New Roman"/>
            <family val="18"/>
          </rPr>
          <t>ML 72 IR 1 (1799) – ST Aug (Olmütz 06/11/1799)</t>
        </r>
        <r>
          <rPr>
            <sz val="14"/>
            <color rgb="FF000000"/>
            <rFont val="Calibri"/>
            <family val="34"/>
          </rPr>
          <t xml:space="preserve">
</t>
        </r>
        <r>
          <rPr>
            <sz val="14"/>
            <color rgb="FF000000"/>
            <rFont val="Times New Roman"/>
            <family val="18"/>
          </rPr>
          <t>ML 74 IR 1 (1800) – ST Aug (Olmütz 28/11/1800)</t>
        </r>
        <r>
          <rPr>
            <sz val="14"/>
            <color rgb="FF000000"/>
            <rFont val="Calibri"/>
            <family val="34"/>
          </rPr>
          <t xml:space="preserve">
</t>
        </r>
        <r>
          <rPr>
            <sz val="14"/>
            <color rgb="FF000000"/>
            <rFont val="Times New Roman"/>
            <family val="18"/>
          </rPr>
          <t>ML 78 IR 1 (1802) – ST Feb (Olmütz 14/03/1802)</t>
        </r>
        <r>
          <rPr>
            <sz val="14"/>
            <color rgb="FF000000"/>
            <rFont val="Calibri"/>
            <family val="34"/>
          </rPr>
          <t xml:space="preserve">
</t>
        </r>
      </text>
    </comment>
    <comment ref="BH257" authorId="0" shapeId="0" xr:uid="{A8DB59C4-D35C-364E-86D1-27E257BDF8F1}">
      <text>
        <r>
          <rPr>
            <sz val="14"/>
            <color rgb="FF000000"/>
            <rFont val="Calibri"/>
            <family val="34"/>
          </rPr>
          <t>IR 1 (1797-1802)</t>
        </r>
      </text>
    </comment>
    <comment ref="BF258" authorId="0" shapeId="0" xr:uid="{8F66DE77-6C9A-984D-9DE2-AD288713078A}">
      <text>
        <r>
          <rPr>
            <sz val="14"/>
            <color rgb="FF000000"/>
            <rFont val="Times New Roman"/>
            <family val="18"/>
          </rPr>
          <t xml:space="preserve">19/01/1797 </t>
        </r>
        <r>
          <rPr>
            <i/>
            <sz val="14"/>
            <color rgb="FF000000"/>
            <rFont val="Times New Roman"/>
            <family val="18"/>
          </rPr>
          <t xml:space="preserve">Von der Juden Gemeinde Prossnitz </t>
        </r>
        <r>
          <rPr>
            <b/>
            <sz val="14"/>
            <color rgb="FF000000"/>
            <rFont val="Times New Roman"/>
            <family val="18"/>
          </rPr>
          <t>[</t>
        </r>
        <r>
          <rPr>
            <b/>
            <u/>
            <sz val="14"/>
            <color rgb="FF0563C1"/>
            <rFont val="Times New Roman"/>
            <family val="18"/>
          </rPr>
          <t>Prostějov, Czech Republic</t>
        </r>
        <r>
          <rPr>
            <b/>
            <sz val="14"/>
            <color rgb="FF000000"/>
            <rFont val="Times New Roman"/>
            <family val="18"/>
          </rPr>
          <t>]</t>
        </r>
        <r>
          <rPr>
            <i/>
            <sz val="14"/>
            <color rgb="FF000000"/>
            <rFont val="Times New Roman"/>
            <family val="18"/>
          </rPr>
          <t xml:space="preserve"> a 3Fl Handgeld gestellt und zum IR 1 Reserve Division assentiert</t>
        </r>
        <r>
          <rPr>
            <sz val="14"/>
            <color rgb="FF000000"/>
            <rFont val="Times New Roman"/>
            <family val="18"/>
          </rPr>
          <t xml:space="preserve"> [AL Jan 1797]</t>
        </r>
        <r>
          <rPr>
            <sz val="14"/>
            <color rgb="FF000000"/>
            <rFont val="Calibri"/>
            <family val="34"/>
          </rPr>
          <t xml:space="preserve">
</t>
        </r>
        <r>
          <rPr>
            <sz val="14"/>
            <color rgb="FF000000"/>
            <rFont val="Times New Roman"/>
            <family val="18"/>
          </rPr>
          <t xml:space="preserve">06/04/1799 </t>
        </r>
        <r>
          <rPr>
            <i/>
            <sz val="14"/>
            <color rgb="FF000000"/>
            <rFont val="Times New Roman"/>
            <family val="18"/>
          </rPr>
          <t>Krank in Armee Spital</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05/07/1799 [Als Angehöriger von Folseis Komp.] </t>
        </r>
        <r>
          <rPr>
            <i/>
            <sz val="14"/>
            <color rgb="FF000000"/>
            <rFont val="Times New Roman"/>
            <family val="18"/>
          </rPr>
          <t>Rekonvalesziert</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14/08/1799 </t>
        </r>
        <r>
          <rPr>
            <i/>
            <sz val="14"/>
            <color rgb="FF000000"/>
            <rFont val="Times New Roman"/>
            <family val="18"/>
          </rPr>
          <t>In den Aktion bei Schindelegy</t>
        </r>
        <r>
          <rPr>
            <sz val="14"/>
            <color rgb="FF000000"/>
            <rFont val="Times New Roman"/>
            <family val="18"/>
          </rPr>
          <t xml:space="preserve"> </t>
        </r>
        <r>
          <rPr>
            <b/>
            <sz val="14"/>
            <color rgb="FF000000"/>
            <rFont val="Times New Roman"/>
            <family val="18"/>
          </rPr>
          <t>[Schindellegi Feusisberg, Switzerland]</t>
        </r>
        <r>
          <rPr>
            <sz val="14"/>
            <color rgb="FF000000"/>
            <rFont val="Times New Roman"/>
            <family val="18"/>
          </rPr>
          <t xml:space="preserve"> </t>
        </r>
        <r>
          <rPr>
            <i/>
            <sz val="14"/>
            <color rgb="FF000000"/>
            <rFont val="Times New Roman"/>
            <family val="18"/>
          </rPr>
          <t xml:space="preserve">blesiert und seitdem krank in der Armee Spital </t>
        </r>
        <r>
          <rPr>
            <sz val="14"/>
            <color rgb="FF000000"/>
            <rFont val="Times New Roman"/>
            <family val="18"/>
          </rPr>
          <t>[ST Aug 1799]</t>
        </r>
        <r>
          <rPr>
            <sz val="14"/>
            <color rgb="FF000000"/>
            <rFont val="Calibri"/>
            <family val="34"/>
          </rPr>
          <t xml:space="preserve">
</t>
        </r>
        <r>
          <rPr>
            <sz val="14"/>
            <color rgb="FF000000"/>
            <rFont val="Times New Roman"/>
            <family val="18"/>
          </rPr>
          <t xml:space="preserve">30/01/1802 </t>
        </r>
        <r>
          <rPr>
            <i/>
            <sz val="14"/>
            <color rgb="FF000000"/>
            <rFont val="Times New Roman"/>
            <family val="18"/>
          </rPr>
          <t>Zu Folge hoher k.k. General Militar Comando Verordnung ddt. Brünn am 23. Dezember als in Spital verblieben als unwissend verloren in Abgang gebracht</t>
        </r>
        <r>
          <rPr>
            <sz val="14"/>
            <color rgb="FF000000"/>
            <rFont val="Times New Roman"/>
            <family val="18"/>
          </rPr>
          <t xml:space="preserve"> [ST Jan 1802]</t>
        </r>
        <r>
          <rPr>
            <sz val="14"/>
            <color rgb="FF000000"/>
            <rFont val="Calibri"/>
            <family val="34"/>
          </rPr>
          <t xml:space="preserve">
</t>
        </r>
      </text>
    </comment>
    <comment ref="BG258" authorId="0" shapeId="0" xr:uid="{D879D9BB-4541-2E42-9A01-73751F7FDE4A}">
      <text>
        <r>
          <rPr>
            <sz val="14"/>
            <color rgb="FF000000"/>
            <rFont val="Times New Roman"/>
            <family val="18"/>
          </rPr>
          <t>ML 69/70 IR 1 (1797) AL/TL – AL Nr. 5 (Olmütz 25/01/1797)</t>
        </r>
        <r>
          <rPr>
            <sz val="14"/>
            <color rgb="FF000000"/>
            <rFont val="Calibri"/>
            <family val="34"/>
          </rPr>
          <t xml:space="preserve">
</t>
        </r>
        <r>
          <rPr>
            <sz val="14"/>
            <color rgb="FF000000"/>
            <rFont val="Times New Roman"/>
            <family val="18"/>
          </rPr>
          <t>ML 72 IR 1 (1799) – ST April (Olmütz 02/09/1799), July (Olmütz 12/09/1799), Aug (Olmütz 06/11/1799)</t>
        </r>
        <r>
          <rPr>
            <sz val="14"/>
            <color rgb="FF000000"/>
            <rFont val="Calibri"/>
            <family val="34"/>
          </rPr>
          <t xml:space="preserve">
</t>
        </r>
        <r>
          <rPr>
            <sz val="14"/>
            <color rgb="FF000000"/>
            <rFont val="Times New Roman"/>
            <family val="18"/>
          </rPr>
          <t>ML 78 IR 1 (1802) – ST Jan (Olmütz 12/02/1802)</t>
        </r>
        <r>
          <rPr>
            <sz val="14"/>
            <color rgb="FF000000"/>
            <rFont val="Calibri"/>
            <family val="34"/>
          </rPr>
          <t xml:space="preserve">
</t>
        </r>
      </text>
    </comment>
    <comment ref="BH258" authorId="0" shapeId="0" xr:uid="{1485DB35-63D6-E047-954A-677EC8E0EF67}">
      <text>
        <r>
          <rPr>
            <sz val="14"/>
            <color rgb="FF000000"/>
            <rFont val="Calibri"/>
            <family val="34"/>
          </rPr>
          <t>IR 1 (1797-1802)</t>
        </r>
      </text>
    </comment>
    <comment ref="BF259" authorId="0" shapeId="0" xr:uid="{3A619350-1000-514D-B222-308982213755}">
      <text>
        <r>
          <rPr>
            <sz val="14"/>
            <color rgb="FF000000"/>
            <rFont val="Times New Roman"/>
            <family val="18"/>
          </rPr>
          <t xml:space="preserve">19/01/1797 </t>
        </r>
        <r>
          <rPr>
            <i/>
            <sz val="14"/>
            <color rgb="FF000000"/>
            <rFont val="Times New Roman"/>
            <family val="18"/>
          </rPr>
          <t xml:space="preserve">Von der Juden Gemeinde Eywanowitz </t>
        </r>
        <r>
          <rPr>
            <b/>
            <sz val="14"/>
            <color rgb="FF000000"/>
            <rFont val="Times New Roman"/>
            <family val="18"/>
          </rPr>
          <t>[</t>
        </r>
        <r>
          <rPr>
            <b/>
            <u/>
            <sz val="14"/>
            <color rgb="FF0563C1"/>
            <rFont val="Times New Roman"/>
            <family val="18"/>
          </rPr>
          <t>Ivanovice na Hané, Czech Republic</t>
        </r>
        <r>
          <rPr>
            <b/>
            <sz val="14"/>
            <color rgb="FF000000"/>
            <rFont val="Times New Roman"/>
            <family val="18"/>
          </rPr>
          <t>]</t>
        </r>
        <r>
          <rPr>
            <i/>
            <sz val="14"/>
            <color rgb="FF000000"/>
            <rFont val="Times New Roman"/>
            <family val="18"/>
          </rPr>
          <t xml:space="preserve"> a 3Fl Handgeld ohne Capitulation gestellt und zum IR 1 Reserve Division assentiert</t>
        </r>
        <r>
          <rPr>
            <sz val="14"/>
            <color rgb="FF000000"/>
            <rFont val="Times New Roman"/>
            <family val="18"/>
          </rPr>
          <t xml:space="preserve"> [AL Jan 1797]</t>
        </r>
        <r>
          <rPr>
            <sz val="14"/>
            <color rgb="FF000000"/>
            <rFont val="Calibri"/>
            <family val="34"/>
          </rPr>
          <t xml:space="preserve">
</t>
        </r>
        <r>
          <rPr>
            <sz val="14"/>
            <color rgb="FFFF0000"/>
            <rFont val="Times New Roman"/>
            <family val="18"/>
          </rPr>
          <t xml:space="preserve">25/01/1797 </t>
        </r>
        <r>
          <rPr>
            <i/>
            <sz val="14"/>
            <color rgb="FFFF0000"/>
            <rFont val="Times New Roman"/>
            <family val="18"/>
          </rPr>
          <t>Ohne Capitulation assentiert</t>
        </r>
        <r>
          <rPr>
            <sz val="14"/>
            <color rgb="FFFF0000"/>
            <rFont val="Times New Roman"/>
            <family val="18"/>
          </rPr>
          <t xml:space="preserve"> [TL March 1800]</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Raimonval Komp. zum Feld Bats transferiert</t>
        </r>
        <r>
          <rPr>
            <sz val="14"/>
            <color rgb="FF000000"/>
            <rFont val="Times New Roman"/>
            <family val="18"/>
          </rPr>
          <t xml:space="preserve"> [TL July 1797]
</t>
        </r>
        <r>
          <rPr>
            <sz val="14"/>
            <color rgb="FF000000"/>
            <rFont val="Times New Roman"/>
            <family val="18"/>
          </rPr>
          <t xml:space="preserve">08/07/1797 </t>
        </r>
        <r>
          <rPr>
            <i/>
            <sz val="14"/>
            <color rgb="FF000000"/>
            <rFont val="Times New Roman"/>
            <family val="18"/>
          </rPr>
          <t>Von 4. Bat Haupt Raimonval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21/03/1799 </t>
        </r>
        <r>
          <rPr>
            <b/>
            <sz val="14"/>
            <color rgb="FF000000"/>
            <rFont val="Times New Roman"/>
            <family val="18"/>
          </rPr>
          <t xml:space="preserve">[Bei der Affaire von Ostrach] </t>
        </r>
        <r>
          <rPr>
            <i/>
            <sz val="14"/>
            <color rgb="FF000000"/>
            <rFont val="Times New Roman"/>
            <family val="18"/>
          </rPr>
          <t>blessiert und seitdem krank in Arme Spital</t>
        </r>
        <r>
          <rPr>
            <sz val="14"/>
            <color rgb="FF000000"/>
            <rFont val="Times New Roman"/>
            <family val="18"/>
          </rPr>
          <t xml:space="preserve"> [ST March 1799] </t>
        </r>
        <r>
          <rPr>
            <sz val="14"/>
            <color rgb="FF000000"/>
            <rFont val="Calibri"/>
            <family val="34"/>
          </rPr>
          <t xml:space="preserve">
</t>
        </r>
        <r>
          <rPr>
            <sz val="14"/>
            <color rgb="FF000000"/>
            <rFont val="Times New Roman"/>
            <family val="18"/>
          </rPr>
          <t xml:space="preserve">24/10/1799 </t>
        </r>
        <r>
          <rPr>
            <i/>
            <sz val="14"/>
            <color rgb="FF000000"/>
            <rFont val="Times New Roman"/>
            <family val="18"/>
          </rPr>
          <t xml:space="preserve">Von 2. Major Komp. zum 4. Bat. 2. Vacante Komp. transferiert </t>
        </r>
        <r>
          <rPr>
            <sz val="14"/>
            <color rgb="FF000000"/>
            <rFont val="Times New Roman"/>
            <family val="18"/>
          </rPr>
          <t>[ST Oct 1799]</t>
        </r>
        <r>
          <rPr>
            <sz val="14"/>
            <color rgb="FF000000"/>
            <rFont val="Calibri"/>
            <family val="34"/>
          </rPr>
          <t xml:space="preserve">
</t>
        </r>
        <r>
          <rPr>
            <sz val="14"/>
            <color rgb="FF000000"/>
            <rFont val="Times New Roman"/>
            <family val="18"/>
          </rPr>
          <t xml:space="preserve">08/03/1800 </t>
        </r>
        <r>
          <rPr>
            <i/>
            <sz val="14"/>
            <color rgb="FF000000"/>
            <rFont val="Times New Roman"/>
            <family val="18"/>
          </rPr>
          <t>Von IR 1 4. Bataillon Vacant Komp. zum InvH Wien transferiert</t>
        </r>
        <r>
          <rPr>
            <sz val="14"/>
            <color rgb="FF000000"/>
            <rFont val="Times New Roman"/>
            <family val="18"/>
          </rPr>
          <t xml:space="preserve">; </t>
        </r>
        <r>
          <rPr>
            <i/>
            <sz val="14"/>
            <color rgb="FF000000"/>
            <rFont val="Times New Roman"/>
            <family val="18"/>
          </rPr>
          <t>Bittet in seinem Geburts</t>
        </r>
        <r>
          <rPr>
            <sz val="14"/>
            <color rgb="FF000000"/>
            <rFont val="Times New Roman"/>
            <family val="18"/>
          </rPr>
          <t>[Ort]</t>
        </r>
        <r>
          <rPr>
            <i/>
            <sz val="14"/>
            <color rgb="FF000000"/>
            <rFont val="Times New Roman"/>
            <family val="18"/>
          </rPr>
          <t xml:space="preserve"> Eiwanowitz mit dem Patental Gehalt angewiesen zu werden</t>
        </r>
        <r>
          <rPr>
            <sz val="14"/>
            <color rgb="FF000000"/>
            <rFont val="Times New Roman"/>
            <family val="18"/>
          </rPr>
          <t xml:space="preserve"> [TL March 1800]</t>
        </r>
        <r>
          <rPr>
            <sz val="14"/>
            <color rgb="FF000000"/>
            <rFont val="Calibri"/>
            <family val="34"/>
          </rPr>
          <t xml:space="preserve">
</t>
        </r>
      </text>
    </comment>
    <comment ref="BG259" authorId="0" shapeId="0" xr:uid="{AB4A2743-FFCB-D147-BAE5-3955A2B43CF4}">
      <text>
        <r>
          <rPr>
            <sz val="14"/>
            <color rgb="FF000000"/>
            <rFont val="Times New Roman"/>
            <family val="18"/>
          </rPr>
          <t>ML 69/70 IR 3 (1797) AL/TL – AL Nr. 6 (Olmütz 25/01/1797); TL IR 1 3 Feld Bats-&gt; 4. Bat Nr. 422 (Freiburg in Breisgau 29/18/1798); TL IR 1 4. Bat-&gt; 3 Feld Bats Nr. 90 (Olmütz 08/07/1799)</t>
        </r>
        <r>
          <rPr>
            <sz val="14"/>
            <color rgb="FF000000"/>
            <rFont val="Calibri"/>
            <family val="34"/>
          </rPr>
          <t xml:space="preserve">
</t>
        </r>
        <r>
          <rPr>
            <sz val="14"/>
            <color rgb="FF000000"/>
            <rFont val="Times New Roman"/>
            <family val="18"/>
          </rPr>
          <t>ML 72 IR 1 (1799) – ST March (Olmütz 03/08/1799), Oct (Olmütz 26/06/1800)</t>
        </r>
        <r>
          <rPr>
            <sz val="14"/>
            <color rgb="FF000000"/>
            <rFont val="Calibri"/>
            <family val="34"/>
          </rPr>
          <t xml:space="preserve">
</t>
        </r>
        <r>
          <rPr>
            <sz val="14"/>
            <color rgb="FF000000"/>
            <rFont val="Times New Roman"/>
            <family val="18"/>
          </rPr>
          <t>ML 74 IR 1 (1800) – March (06/06/1800)</t>
        </r>
        <r>
          <rPr>
            <sz val="14"/>
            <color rgb="FF000000"/>
            <rFont val="Calibri"/>
            <family val="34"/>
          </rPr>
          <t xml:space="preserve">
</t>
        </r>
        <r>
          <rPr>
            <sz val="14"/>
            <color rgb="FF000000"/>
            <rFont val="Times New Roman"/>
            <family val="18"/>
          </rPr>
          <t>ML 75 IR 1 (1800) – TL IR 1-&gt; InvH Wien Nr. 3 (Olmütz 05/03/1800)</t>
        </r>
        <r>
          <rPr>
            <sz val="14"/>
            <color rgb="FF000000"/>
            <rFont val="Calibri"/>
            <family val="34"/>
          </rPr>
          <t xml:space="preserve">
</t>
        </r>
      </text>
    </comment>
    <comment ref="BH259" authorId="0" shapeId="0" xr:uid="{8423E7F1-A427-A544-AC88-33B65927B060}">
      <text>
        <r>
          <rPr>
            <sz val="14"/>
            <color rgb="FF000000"/>
            <rFont val="Calibri"/>
            <family val="34"/>
          </rPr>
          <t xml:space="preserve">IR 1 (1797-1800)
</t>
        </r>
        <r>
          <rPr>
            <sz val="14"/>
            <color rgb="FF000000"/>
            <rFont val="Calibri"/>
            <family val="34"/>
          </rPr>
          <t>InvH Wien (1800)</t>
        </r>
      </text>
    </comment>
    <comment ref="BI259" authorId="0" shapeId="0" xr:uid="{F465EB6C-FE85-C943-8A53-61E02D821B4C}">
      <text>
        <r>
          <rPr>
            <sz val="14"/>
            <color rgb="FF000000"/>
            <rFont val="Calibri"/>
            <family val="34"/>
          </rPr>
          <t>Gut [TL March 1800]</t>
        </r>
      </text>
    </comment>
    <comment ref="BJ259" authorId="0" shapeId="0" xr:uid="{ED533F67-E900-9E4A-A734-5533856D8B39}">
      <text>
        <r>
          <rPr>
            <i/>
            <sz val="14"/>
            <color rgb="FF000000"/>
            <rFont val="Times New Roman"/>
            <family val="18"/>
          </rPr>
          <t>Durch eine Blessur vor dem Feind geleinten Linken Arm</t>
        </r>
        <r>
          <rPr>
            <sz val="14"/>
            <color rgb="FF000000"/>
            <rFont val="Times New Roman"/>
            <family val="18"/>
          </rPr>
          <t xml:space="preserve"> [TL March 1800]</t>
        </r>
        <r>
          <rPr>
            <sz val="14"/>
            <color rgb="FF000000"/>
            <rFont val="Calibri"/>
            <family val="2"/>
          </rPr>
          <t xml:space="preserve"> </t>
        </r>
      </text>
    </comment>
    <comment ref="BF260" authorId="0" shapeId="0" xr:uid="{BB437C7E-FC89-1F4D-BF85-D68835E16D0D}">
      <text>
        <r>
          <rPr>
            <sz val="14"/>
            <color rgb="FF000000"/>
            <rFont val="Times New Roman"/>
            <family val="18"/>
          </rPr>
          <t xml:space="preserve">23/01/1797 </t>
        </r>
        <r>
          <rPr>
            <i/>
            <sz val="14"/>
            <color rgb="FF000000"/>
            <rFont val="Times New Roman"/>
            <family val="18"/>
          </rPr>
          <t>Dient seit für Beständig</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 xml:space="preserve">[Schlacht von Marengo]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25/06/1801 </t>
        </r>
        <r>
          <rPr>
            <i/>
            <sz val="14"/>
            <color rgb="FF000000"/>
            <rFont val="Times New Roman"/>
            <family val="18"/>
          </rPr>
          <t>Ranzioniert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2. Major Komp. Nr. 135</t>
        </r>
        <r>
          <rPr>
            <sz val="14"/>
            <color rgb="FF000000"/>
            <rFont val="Times New Roman"/>
            <family val="18"/>
          </rPr>
          <t xml:space="preserve">
</t>
        </r>
        <r>
          <rPr>
            <sz val="14"/>
            <color rgb="FF000000"/>
            <rFont val="Times New Roman"/>
            <family val="18"/>
          </rPr>
          <t>25/08/1804 Muster: IR 11 2. Major Komp. Nr. 113 [</t>
        </r>
        <r>
          <rPr>
            <i/>
            <sz val="14"/>
            <color rgb="FF000000"/>
            <rFont val="Times New Roman"/>
            <family val="18"/>
          </rPr>
          <t>Beurlaubt bis Einberufung zu</t>
        </r>
        <r>
          <rPr>
            <sz val="14"/>
            <color rgb="FF000000"/>
            <rFont val="Times New Roman"/>
            <family val="18"/>
          </rPr>
          <t xml:space="preserve"> </t>
        </r>
        <r>
          <rPr>
            <i/>
            <sz val="14"/>
            <color rgb="FF000000"/>
            <rFont val="Times New Roman"/>
            <family val="18"/>
          </rPr>
          <t>Schwarz Kostelletz</t>
        </r>
        <r>
          <rPr>
            <sz val="14"/>
            <color rgb="FF000000"/>
            <rFont val="Times New Roman"/>
            <family val="18"/>
          </rPr>
          <t xml:space="preserve"> </t>
        </r>
        <r>
          <rPr>
            <b/>
            <sz val="14"/>
            <color rgb="FF000000"/>
            <rFont val="Times New Roman"/>
            <family val="18"/>
          </rPr>
          <t>[</t>
        </r>
        <r>
          <rPr>
            <b/>
            <u/>
            <sz val="14"/>
            <color rgb="FF0000FF"/>
            <rFont val="Times New Roman"/>
            <family val="18"/>
          </rPr>
          <t>Kostelec nad Černými lesy, Czech Republic</t>
        </r>
        <r>
          <rPr>
            <b/>
            <sz val="14"/>
            <color rgb="FF000000"/>
            <rFont val="Times New Roman"/>
            <family val="18"/>
          </rPr>
          <t>]</t>
        </r>
        <r>
          <rPr>
            <sz val="14"/>
            <color rgb="FF000000"/>
            <rFont val="Times New Roman"/>
            <family val="18"/>
          </rPr>
          <t xml:space="preserve"> </t>
        </r>
        <r>
          <rPr>
            <i/>
            <sz val="14"/>
            <color rgb="FF000000"/>
            <rFont val="Times New Roman"/>
            <family val="18"/>
          </rPr>
          <t>in Böhmen</t>
        </r>
        <r>
          <rPr>
            <sz val="14"/>
            <color rgb="FF000000"/>
            <rFont val="Times New Roman"/>
            <family val="18"/>
          </rPr>
          <t>]</t>
        </r>
        <r>
          <rPr>
            <sz val="14"/>
            <color rgb="FF000000"/>
            <rFont val="Times New Roman"/>
            <family val="18"/>
          </rPr>
          <t xml:space="preserve">
</t>
        </r>
        <r>
          <rPr>
            <sz val="14"/>
            <color rgb="FF000000"/>
            <rFont val="Times New Roman"/>
            <family val="18"/>
          </rPr>
          <t xml:space="preserve">15/08/1805 </t>
        </r>
        <r>
          <rPr>
            <i/>
            <sz val="14"/>
            <color rgb="FF000000"/>
            <rFont val="Times New Roman"/>
            <family val="18"/>
          </rPr>
          <t>Gegen Erlaag des Montur Geldes und Stellung eines anderen Mannes mit Abschied entlassen</t>
        </r>
        <r>
          <rPr>
            <sz val="14"/>
            <color rgb="FF000000"/>
            <rFont val="Times New Roman"/>
            <family val="18"/>
          </rPr>
          <t xml:space="preserve"> [ML 1806] </t>
        </r>
      </text>
    </comment>
    <comment ref="BG260" authorId="0" shapeId="0" xr:uid="{C502C119-FB1E-D24E-86D7-6C96EEDDE73E}">
      <text>
        <r>
          <rPr>
            <sz val="14"/>
            <color rgb="FF000000"/>
            <rFont val="Times New Roman"/>
            <family val="18"/>
          </rPr>
          <t>ML 804/5 IR 11 (1802) – 1. Major Komp. Nr. 135 (Wisotczan 17/09/1802)</t>
        </r>
        <r>
          <rPr>
            <sz val="14"/>
            <color rgb="FF000000"/>
            <rFont val="Times New Roman"/>
            <family val="18"/>
          </rPr>
          <t xml:space="preserve">
</t>
        </r>
        <r>
          <rPr>
            <sz val="14"/>
            <color rgb="FF000000"/>
            <rFont val="Times New Roman"/>
            <family val="18"/>
          </rPr>
          <t>ML 806 IR 11 (1804) – 2. Major Komp. Nr. 111 (Prague 25/08/1804)</t>
        </r>
        <r>
          <rPr>
            <sz val="14"/>
            <color rgb="FF000000"/>
            <rFont val="Times New Roman"/>
            <family val="18"/>
          </rPr>
          <t xml:space="preserve">
</t>
        </r>
        <r>
          <rPr>
            <sz val="14"/>
            <color rgb="FF000000"/>
            <rFont val="Times New Roman"/>
            <family val="18"/>
          </rPr>
          <t>ML 807/86 IR 11 (1806) – 7. Fus. Komp. Abgang (Prague 23/12/1806)</t>
        </r>
        <r>
          <rPr>
            <sz val="14"/>
            <color rgb="FF000000"/>
            <rFont val="Times New Roman"/>
            <family val="18"/>
          </rPr>
          <t xml:space="preserve">
</t>
        </r>
      </text>
    </comment>
    <comment ref="BH260" authorId="0" shapeId="0" xr:uid="{9FAFC2B6-1A21-4848-87EB-DADE5A75D09E}">
      <text>
        <r>
          <rPr>
            <sz val="14"/>
            <color rgb="FF000000"/>
            <rFont val="Calibri"/>
            <family val="34"/>
          </rPr>
          <t>IR 11 (1797-1805)</t>
        </r>
      </text>
    </comment>
    <comment ref="BF261" authorId="0" shapeId="0" xr:uid="{7A0EB7B9-2FCD-FA40-8A69-A52C25B20347}">
      <text>
        <r>
          <rPr>
            <sz val="14"/>
            <color rgb="FF000000"/>
            <rFont val="Times New Roman"/>
            <family val="18"/>
          </rPr>
          <t xml:space="preserve">01/02/1797 </t>
        </r>
        <r>
          <rPr>
            <i/>
            <sz val="14"/>
            <color rgb="FF000000"/>
            <rFont val="Times New Roman"/>
            <family val="18"/>
          </rPr>
          <t>Dient seit auf die Kriegsdauer</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21/12/1801 </t>
        </r>
        <r>
          <rPr>
            <i/>
            <sz val="14"/>
            <color rgb="FF000000"/>
            <rFont val="Times New Roman"/>
            <family val="18"/>
          </rPr>
          <t>Von Stecher Companie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2. Gren Komp. Nr. 133</t>
        </r>
        <r>
          <rPr>
            <sz val="14"/>
            <color rgb="FF000000"/>
            <rFont val="Times New Roman"/>
            <family val="18"/>
          </rPr>
          <t xml:space="preserve">
</t>
        </r>
        <r>
          <rPr>
            <sz val="14"/>
            <color rgb="FF000000"/>
            <rFont val="Times New Roman"/>
            <family val="18"/>
          </rPr>
          <t>25/08/1804 Muster: IR 11 2. Gren Komp. Nr. 119</t>
        </r>
        <r>
          <rPr>
            <sz val="14"/>
            <color rgb="FF000000"/>
            <rFont val="Times New Roman"/>
            <family val="18"/>
          </rPr>
          <t xml:space="preserve">
</t>
        </r>
        <r>
          <rPr>
            <sz val="14"/>
            <color rgb="FF000000"/>
            <rFont val="Times New Roman"/>
            <family val="18"/>
          </rPr>
          <t xml:space="preserve">22/06/1805 </t>
        </r>
        <r>
          <rPr>
            <i/>
            <sz val="14"/>
            <color rgb="FF000000"/>
            <rFont val="Times New Roman"/>
            <family val="18"/>
          </rPr>
          <t xml:space="preserve">Als Capitulant auf Kriegsdauer vermog Verordnung mit Abschied entlassen </t>
        </r>
        <r>
          <rPr>
            <sz val="14"/>
            <color rgb="FF000000"/>
            <rFont val="Times New Roman"/>
            <family val="18"/>
          </rPr>
          <t xml:space="preserve">[ML 1806] </t>
        </r>
      </text>
    </comment>
    <comment ref="BG261" authorId="0" shapeId="0" xr:uid="{BA58187F-3A1C-3949-AA2B-73BE5AFC413B}">
      <text>
        <r>
          <rPr>
            <sz val="14"/>
            <color rgb="FF000000"/>
            <rFont val="Times New Roman"/>
            <family val="18"/>
          </rPr>
          <t>ML 804/5 IR 11 (1802) – 2. Gren. Komp. Nr. 133 (Wisotczan 17/09/1802)</t>
        </r>
        <r>
          <rPr>
            <sz val="14"/>
            <color rgb="FF000000"/>
            <rFont val="Times New Roman"/>
            <family val="18"/>
          </rPr>
          <t xml:space="preserve">
</t>
        </r>
        <r>
          <rPr>
            <sz val="14"/>
            <color rgb="FF000000"/>
            <rFont val="Times New Roman"/>
            <family val="18"/>
          </rPr>
          <t>ML 806 IR 11 (1804) – 2. Gren. Komp. Nr. 119 (Prague 25/08/1804)</t>
        </r>
        <r>
          <rPr>
            <sz val="14"/>
            <color rgb="FF000000"/>
            <rFont val="Times New Roman"/>
            <family val="18"/>
          </rPr>
          <t xml:space="preserve">
</t>
        </r>
        <r>
          <rPr>
            <sz val="14"/>
            <color rgb="FF000000"/>
            <rFont val="Times New Roman"/>
            <family val="18"/>
          </rPr>
          <t>ML 807/8 IR 11 (1806) – 2. Gren. Komp. abgang (Prague 23/12/1806)</t>
        </r>
        <r>
          <rPr>
            <sz val="14"/>
            <color rgb="FF000000"/>
            <rFont val="Times New Roman"/>
            <family val="18"/>
          </rPr>
          <t xml:space="preserve">
</t>
        </r>
      </text>
    </comment>
    <comment ref="BH261" authorId="0" shapeId="0" xr:uid="{BDA93A3D-37EB-AB4D-A32D-FA1E8A67AF30}">
      <text>
        <r>
          <rPr>
            <sz val="14"/>
            <color rgb="FF000000"/>
            <rFont val="Calibri"/>
            <family val="34"/>
          </rPr>
          <t>IR 11 (1797-1805)</t>
        </r>
      </text>
    </comment>
    <comment ref="BF262" authorId="0" shapeId="0" xr:uid="{4E0109FB-DB72-8D44-BE1D-1B39CF7829A6}">
      <text>
        <r>
          <rPr>
            <sz val="14"/>
            <color rgb="FF000000"/>
            <rFont val="Times New Roman"/>
            <family val="18"/>
          </rPr>
          <t xml:space="preserve">01/02/1797 </t>
        </r>
        <r>
          <rPr>
            <i/>
            <sz val="14"/>
            <color rgb="FF000000"/>
            <rFont val="Times New Roman"/>
            <family val="18"/>
          </rPr>
          <t xml:space="preserve">Von Lande a 3Fl Handgeld zu, IR 3 Reserve Division 2. Abtheilung gestellt </t>
        </r>
        <r>
          <rPr>
            <sz val="14"/>
            <color rgb="FF000000"/>
            <rFont val="Times New Roman"/>
            <family val="18"/>
          </rPr>
          <t>[AL Feb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24 ‚Reserve Division‘ Transferiert</t>
        </r>
        <r>
          <rPr>
            <sz val="14"/>
            <color rgb="FF000000"/>
            <rFont val="Times New Roman"/>
            <family val="18"/>
          </rPr>
          <t xml:space="preserve"> [TL May 1797]</t>
        </r>
        <r>
          <rPr>
            <sz val="14"/>
            <color rgb="FF000000"/>
            <rFont val="Calibri"/>
            <family val="34"/>
          </rPr>
          <t xml:space="preserve">
</t>
        </r>
      </text>
    </comment>
    <comment ref="BG262" authorId="0" shapeId="0" xr:uid="{2CA30F3F-A46D-CE4A-829B-C5231F2C2955}">
      <text>
        <r>
          <rPr>
            <sz val="14"/>
            <color rgb="FF000000"/>
            <rFont val="Times New Roman"/>
            <family val="18"/>
          </rPr>
          <t xml:space="preserve">ML 269 IR 3 (1797) AL/TL – AL. Nr. 1 (Sandomierz 05/02/1797), TL IR 3-&gt; IR 24 Nr. 250 (Vienna 11/05/1797)
</t>
        </r>
      </text>
    </comment>
    <comment ref="BH262" authorId="0" shapeId="0" xr:uid="{3FE166B8-A578-144B-85B6-6DB69440C351}">
      <text>
        <r>
          <rPr>
            <sz val="14"/>
            <color rgb="FF000000"/>
            <rFont val="Calibri"/>
            <family val="34"/>
          </rPr>
          <t xml:space="preserve">IR 3 (1797)
</t>
        </r>
        <r>
          <rPr>
            <sz val="14"/>
            <color rgb="FF000000"/>
            <rFont val="Calibri"/>
            <family val="34"/>
          </rPr>
          <t>IR 24 (1797)</t>
        </r>
      </text>
    </comment>
    <comment ref="BI262" authorId="0" shapeId="0" xr:uid="{78D8AB4A-7AFE-C04D-AF99-6D2C1EBADAC9}">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63" authorId="0" shapeId="0" xr:uid="{317958C1-C5B5-4D4F-8F48-12B265CF9FA5}">
      <text>
        <r>
          <rPr>
            <sz val="14"/>
            <color rgb="FF000000"/>
            <rFont val="Times New Roman"/>
            <family val="18"/>
          </rPr>
          <t xml:space="preserve">01/02/1797 </t>
        </r>
        <r>
          <rPr>
            <i/>
            <sz val="14"/>
            <color rgb="FF000000"/>
            <rFont val="Times New Roman"/>
            <family val="18"/>
          </rPr>
          <t>Dient seit auf Dauer des Krieges</t>
        </r>
        <r>
          <rPr>
            <sz val="14"/>
            <color rgb="FF000000"/>
            <rFont val="Times New Roman"/>
            <family val="18"/>
          </rPr>
          <t xml:space="preserve"> [ML 1802]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[ML 1802]
</t>
        </r>
        <r>
          <rPr>
            <i/>
            <sz val="14"/>
            <color rgb="FF000000"/>
            <rFont val="Times New Roman"/>
            <family val="18"/>
          </rPr>
          <t>Enlicher Jahr sich selbst ranzioniert</t>
        </r>
        <r>
          <rPr>
            <sz val="14"/>
            <color rgb="FF000000"/>
            <rFont val="Times New Roman"/>
            <family val="18"/>
          </rPr>
          <t xml:space="preserve"> [ML 1802]
</t>
        </r>
        <r>
          <rPr>
            <sz val="14"/>
            <color rgb="FF000000"/>
            <rFont val="Times New Roman"/>
            <family val="18"/>
          </rPr>
          <t xml:space="preserve">16/09/1802 Muster: IR 11 Haupt Murrmann Komp. Nr. 54
</t>
        </r>
        <r>
          <rPr>
            <sz val="14"/>
            <color rgb="FF000000"/>
            <rFont val="Times New Roman"/>
            <family val="18"/>
          </rPr>
          <t xml:space="preserve">31/07/1803 </t>
        </r>
        <r>
          <rPr>
            <i/>
            <sz val="14"/>
            <color rgb="FF000000"/>
            <rFont val="Times New Roman"/>
            <family val="18"/>
          </rPr>
          <t xml:space="preserve">Zu Folge hoher Verordnung ddeto Prag den 20. Juni 803 als auf die Dauer der Krieges gestellte und zu Hause bei der Wirtschaft nötiger mit Abschied von unbestimmte Urlaub entlassen </t>
        </r>
        <r>
          <rPr>
            <sz val="14"/>
            <color rgb="FF000000"/>
            <rFont val="Times New Roman"/>
            <family val="18"/>
          </rPr>
          <t xml:space="preserve">[ST Aug 1803] </t>
        </r>
      </text>
    </comment>
    <comment ref="BG263" authorId="0" shapeId="0" xr:uid="{8974F67D-09B9-784F-B235-80B209031E1A}">
      <text>
        <r>
          <rPr>
            <sz val="14"/>
            <color rgb="FF000000"/>
            <rFont val="Times New Roman"/>
            <family val="18"/>
          </rPr>
          <t>ML 804/5 IR 11 (1802) – Haupt Murmann Komp. Nr. 54 (Prague 16/09/1802)</t>
        </r>
        <r>
          <rPr>
            <sz val="14"/>
            <color rgb="FF000000"/>
            <rFont val="Times New Roman"/>
            <family val="18"/>
          </rPr>
          <t xml:space="preserve">
</t>
        </r>
        <r>
          <rPr>
            <sz val="14"/>
            <color rgb="FF000000"/>
            <rFont val="Times New Roman"/>
            <family val="18"/>
          </rPr>
          <t>ML 841 IR 11 (1803) – ST Aug (Prague 11/09/1803)</t>
        </r>
        <r>
          <rPr>
            <sz val="14"/>
            <color rgb="FF000000"/>
            <rFont val="Times New Roman"/>
            <family val="18"/>
          </rPr>
          <t xml:space="preserve">
</t>
        </r>
      </text>
    </comment>
    <comment ref="BH263" authorId="0" shapeId="0" xr:uid="{9D3110F4-64B4-BD45-8AC8-02127E1A0945}">
      <text>
        <r>
          <rPr>
            <sz val="14"/>
            <color rgb="FF000000"/>
            <rFont val="Calibri"/>
            <family val="34"/>
          </rPr>
          <t>IR 11 (1797-1803)</t>
        </r>
      </text>
    </comment>
    <comment ref="BF264" authorId="0" shapeId="0" xr:uid="{EB1A6D92-BAE5-AE43-9797-7CA267C1B7FF}">
      <text>
        <r>
          <rPr>
            <sz val="14"/>
            <color rgb="FF000000"/>
            <rFont val="Times New Roman"/>
            <family val="18"/>
          </rPr>
          <t xml:space="preserve">01/02/1797 </t>
        </r>
        <r>
          <rPr>
            <i/>
            <sz val="14"/>
            <color rgb="FF000000"/>
            <rFont val="Times New Roman"/>
            <family val="18"/>
          </rPr>
          <t>Von Lande a 3Fl Handgeld zum IR 3 Reserve Div 2. Abtheilungauf Kriegsdauer gestellt</t>
        </r>
        <r>
          <rPr>
            <sz val="14"/>
            <color rgb="FF000000"/>
            <rFont val="Times New Roman"/>
            <family val="18"/>
          </rPr>
          <t xml:space="preserve"> [AL Feb 1799 &amp; TL Aug 1797]</t>
        </r>
        <r>
          <rPr>
            <sz val="14"/>
            <color rgb="FF000000"/>
            <rFont val="Calibri"/>
            <family val="34"/>
          </rPr>
          <t xml:space="preserve">
</t>
        </r>
        <r>
          <rPr>
            <sz val="14"/>
            <color rgb="FF000000"/>
            <rFont val="Times New Roman"/>
            <family val="18"/>
          </rPr>
          <t xml:space="preserve">31/07/1797 </t>
        </r>
        <r>
          <rPr>
            <i/>
            <sz val="14"/>
            <color rgb="FF000000"/>
            <rFont val="Times New Roman"/>
            <family val="18"/>
          </rPr>
          <t>Von IR 3 ‘Reserve Division’ zu IR 4 ‘Deutschmeister‘ transferiert</t>
        </r>
        <r>
          <rPr>
            <sz val="14"/>
            <color rgb="FF000000"/>
            <rFont val="Times New Roman"/>
            <family val="18"/>
          </rPr>
          <t xml:space="preserve"> [TL Aug 1797]</t>
        </r>
        <r>
          <rPr>
            <sz val="14"/>
            <color rgb="FF000000"/>
            <rFont val="Calibri"/>
            <family val="34"/>
          </rPr>
          <t xml:space="preserve">
</t>
        </r>
      </text>
    </comment>
    <comment ref="BG264" authorId="0" shapeId="0" xr:uid="{B9EE0862-AB06-8A48-A098-29BADBFE029D}">
      <text>
        <r>
          <rPr>
            <sz val="14"/>
            <color rgb="FF000000"/>
            <rFont val="Times New Roman"/>
            <family val="18"/>
          </rPr>
          <t>ML 269 IR 3 (1797) AL/TL – AL. Nr. 5 (Sandomierz 05/02/1797), TL IR 3-&gt;IR 4 Nr. 62 (Korneuburg 03/08/1797)</t>
        </r>
        <r>
          <rPr>
            <sz val="14"/>
            <color rgb="FF000000"/>
            <rFont val="Calibri"/>
            <family val="34"/>
          </rPr>
          <t xml:space="preserve">
</t>
        </r>
      </text>
    </comment>
    <comment ref="BH264" authorId="0" shapeId="0" xr:uid="{D1F974F3-BEAD-E049-85D1-585650122C44}">
      <text>
        <r>
          <rPr>
            <sz val="14"/>
            <color rgb="FF000000"/>
            <rFont val="Calibri"/>
            <family val="34"/>
          </rPr>
          <t xml:space="preserve">IR 3 (1797)
</t>
        </r>
        <r>
          <rPr>
            <sz val="14"/>
            <color rgb="FF000000"/>
            <rFont val="Calibri"/>
            <family val="34"/>
          </rPr>
          <t>IR 4 (1797)</t>
        </r>
      </text>
    </comment>
    <comment ref="BI264" authorId="0" shapeId="0" xr:uid="{848ADF87-EF99-F749-99BA-2F325214FFF2}">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I265" authorId="0" shapeId="0" xr:uid="{4D48F19B-8C5C-BE4F-825B-6959FFFCD319}">
      <text>
        <r>
          <rPr>
            <b/>
            <sz val="14"/>
            <color rgb="FF000000"/>
            <rFont val="Calibri"/>
            <family val="34"/>
          </rPr>
          <t xml:space="preserve">1775 [22 (AL 1797)] 
</t>
        </r>
        <r>
          <rPr>
            <sz val="14"/>
            <color rgb="FF000000"/>
            <rFont val="Calibri"/>
            <family val="34"/>
          </rPr>
          <t xml:space="preserve">OR
</t>
        </r>
        <r>
          <rPr>
            <sz val="14"/>
            <color rgb="FF000000"/>
            <rFont val="Calibri"/>
            <family val="34"/>
          </rPr>
          <t>1778 [26 (ML 1804)]</t>
        </r>
      </text>
    </comment>
    <comment ref="BF265" authorId="0" shapeId="0" xr:uid="{DC2F99F0-61EB-C241-8107-AB2C560AD932}">
      <text>
        <r>
          <rPr>
            <sz val="14"/>
            <color rgb="FF000000"/>
            <rFont val="Times New Roman"/>
            <family val="18"/>
          </rPr>
          <t xml:space="preserve">01/02/1797 </t>
        </r>
        <r>
          <rPr>
            <i/>
            <sz val="14"/>
            <color rgb="FF000000"/>
            <rFont val="Times New Roman"/>
            <family val="18"/>
          </rPr>
          <t xml:space="preserve">A 3Fl Von Land gestellt und zum IR 21 Gemmingen ‚Reserve Division‘ assentiert </t>
        </r>
        <r>
          <rPr>
            <sz val="14"/>
            <color rgb="FF000000"/>
            <rFont val="Times New Roman"/>
            <family val="18"/>
          </rPr>
          <t>[AL Feb 1797]</t>
        </r>
        <r>
          <rPr>
            <sz val="14"/>
            <color rgb="FF000000"/>
            <rFont val="Times New Roman"/>
            <family val="18"/>
          </rPr>
          <t xml:space="preserve">
</t>
        </r>
        <r>
          <rPr>
            <sz val="14"/>
            <color rgb="FF000000"/>
            <rFont val="Times New Roman"/>
            <family val="18"/>
          </rPr>
          <t xml:space="preserve">10/07/1797 </t>
        </r>
        <r>
          <rPr>
            <i/>
            <sz val="14"/>
            <color rgb="FF000000"/>
            <rFont val="Times New Roman"/>
            <family val="18"/>
          </rPr>
          <t xml:space="preserve">Von IR 21 4. Bat. Haupt Engelthal Komp. zum IR 11 ‚Michael Wallis‘ transferiert </t>
        </r>
        <r>
          <rPr>
            <sz val="14"/>
            <color rgb="FF000000"/>
            <rFont val="Times New Roman"/>
            <family val="18"/>
          </rPr>
          <t>[TL Aug 1797]</t>
        </r>
        <r>
          <rPr>
            <sz val="14"/>
            <color rgb="FF000000"/>
            <rFont val="Times New Roman"/>
            <family val="18"/>
          </rPr>
          <t xml:space="preserve">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21/10/1803 </t>
        </r>
        <r>
          <rPr>
            <i/>
            <sz val="14"/>
            <color rgb="FF000000"/>
            <rFont val="Times New Roman"/>
            <family val="18"/>
          </rPr>
          <t xml:space="preserve">Von der Gefangenschaft als attrapierter Deserteur gegen 8Fl Taglia präsentiert </t>
        </r>
        <r>
          <rPr>
            <sz val="14"/>
            <color rgb="FF000000"/>
            <rFont val="Times New Roman"/>
            <family val="18"/>
          </rPr>
          <t>[ML 1804]</t>
        </r>
        <r>
          <rPr>
            <sz val="14"/>
            <color rgb="FF000000"/>
            <rFont val="Times New Roman"/>
            <family val="18"/>
          </rPr>
          <t xml:space="preserve">
</t>
        </r>
        <r>
          <rPr>
            <sz val="14"/>
            <color rgb="FF000000"/>
            <rFont val="Times New Roman"/>
            <family val="18"/>
          </rPr>
          <t>25/08/1804 Muster: IR 11 ObristLt. Komp. Nr. 146</t>
        </r>
        <r>
          <rPr>
            <sz val="14"/>
            <color rgb="FF000000"/>
            <rFont val="Times New Roman"/>
            <family val="18"/>
          </rPr>
          <t xml:space="preserve">
</t>
        </r>
        <r>
          <rPr>
            <sz val="14"/>
            <color rgb="FF000000"/>
            <rFont val="Times New Roman"/>
            <family val="18"/>
          </rPr>
          <t xml:space="preserve">22/06/1805 </t>
        </r>
        <r>
          <rPr>
            <i/>
            <sz val="14"/>
            <color rgb="FF000000"/>
            <rFont val="Times New Roman"/>
            <family val="18"/>
          </rPr>
          <t>Als Kriegscapitulant mit Abschied entlassen</t>
        </r>
        <r>
          <rPr>
            <sz val="14"/>
            <color rgb="FF000000"/>
            <rFont val="Times New Roman"/>
            <family val="18"/>
          </rPr>
          <t xml:space="preserve"> [ML 1806] </t>
        </r>
      </text>
    </comment>
    <comment ref="BG265" authorId="0" shapeId="0" xr:uid="{23F7B7EC-5543-D840-BC75-F3584E375EEF}">
      <text>
        <r>
          <rPr>
            <sz val="14"/>
            <color rgb="FF000000"/>
            <rFont val="Times New Roman"/>
            <family val="18"/>
          </rPr>
          <t> </t>
        </r>
        <r>
          <rPr>
            <sz val="14"/>
            <color rgb="FF000000"/>
            <rFont val="Times New Roman"/>
            <family val="18"/>
          </rPr>
          <t>ML 1755 IR 21 (1797) AL/TL – AL Nr. 6 (Lublin 01/02/1797), TL IR 21-&gt;IR 11 Nr. 103 (Königgrätz 04/08/1797)</t>
        </r>
        <r>
          <rPr>
            <sz val="14"/>
            <color rgb="FF000000"/>
            <rFont val="Times New Roman"/>
            <family val="18"/>
          </rPr>
          <t xml:space="preserve">
</t>
        </r>
        <r>
          <rPr>
            <sz val="14"/>
            <color rgb="FF000000"/>
            <rFont val="Times New Roman"/>
            <family val="18"/>
          </rPr>
          <t>ML 806 IR 11 (1804) – ObristLt. Komp. Nr. 146 (Prag 25/08/1804)</t>
        </r>
        <r>
          <rPr>
            <sz val="14"/>
            <color rgb="FF000000"/>
            <rFont val="Times New Roman"/>
            <family val="18"/>
          </rPr>
          <t xml:space="preserve">
</t>
        </r>
        <r>
          <rPr>
            <sz val="14"/>
            <color rgb="FF000000"/>
            <rFont val="Times New Roman"/>
            <family val="18"/>
          </rPr>
          <t>ML 807/8 IR 11 (1806) – 13. Fus. Komp. Abgang (Königgrätz 19/12/1806)</t>
        </r>
        <r>
          <rPr>
            <sz val="14"/>
            <color rgb="FF000000"/>
            <rFont val="Times New Roman"/>
            <family val="18"/>
          </rPr>
          <t xml:space="preserve">
</t>
        </r>
      </text>
    </comment>
    <comment ref="BH265" authorId="0" shapeId="0" xr:uid="{7451EB75-EC27-4A4E-A99B-05B857629F08}">
      <text>
        <r>
          <rPr>
            <sz val="14"/>
            <color rgb="FF000000"/>
            <rFont val="Calibri"/>
            <family val="34"/>
          </rPr>
          <t xml:space="preserve">IR 21 (1797)
</t>
        </r>
        <r>
          <rPr>
            <sz val="14"/>
            <color rgb="FF000000"/>
            <rFont val="Calibri"/>
            <family val="34"/>
          </rPr>
          <t>IR 11 (1797-1805)</t>
        </r>
      </text>
    </comment>
    <comment ref="BI265" authorId="0" shapeId="0" xr:uid="{9A61BDB0-7345-1F4E-802E-4D3F10EE2B32}">
      <text>
        <r>
          <rPr>
            <i/>
            <sz val="14"/>
            <color rgb="FF000000"/>
            <rFont val="Times New Roman"/>
            <family val="18"/>
          </rPr>
          <t>Gut</t>
        </r>
        <r>
          <rPr>
            <sz val="14"/>
            <color rgb="FF000000"/>
            <rFont val="Times New Roman"/>
            <family val="18"/>
          </rPr>
          <t xml:space="preserve"> [TL Aug 1797]</t>
        </r>
        <r>
          <rPr>
            <sz val="14"/>
            <color rgb="FF000000"/>
            <rFont val="Calibri"/>
            <family val="2"/>
          </rPr>
          <t xml:space="preserve"> </t>
        </r>
      </text>
    </comment>
    <comment ref="I266" authorId="0" shapeId="0" xr:uid="{FAB9ADCB-6871-3946-A2D0-25546A4D2CD1}">
      <text>
        <r>
          <rPr>
            <b/>
            <sz val="14"/>
            <color rgb="FF000000"/>
            <rFont val="Calibri"/>
            <family val="34"/>
          </rPr>
          <t>1770 [24 (ML 1804)]</t>
        </r>
        <r>
          <rPr>
            <sz val="14"/>
            <color rgb="FF000000"/>
            <rFont val="Calibri"/>
            <family val="34"/>
          </rPr>
          <t xml:space="preserve">
</t>
        </r>
        <r>
          <rPr>
            <sz val="14"/>
            <color rgb="FF000000"/>
            <rFont val="Calibri"/>
            <family val="34"/>
          </rPr>
          <t xml:space="preserve">OR
</t>
        </r>
        <r>
          <rPr>
            <sz val="14"/>
            <color rgb="FF000000"/>
            <rFont val="Calibri"/>
            <family val="34"/>
          </rPr>
          <t xml:space="preserve">1780 [26 (ML 1806)] 
</t>
        </r>
      </text>
    </comment>
    <comment ref="BF266" authorId="0" shapeId="0" xr:uid="{505E261E-40BE-6741-B0D4-E5BB650BF9C3}">
      <text>
        <r>
          <rPr>
            <sz val="14"/>
            <color rgb="FF000000"/>
            <rFont val="Times New Roman"/>
            <family val="18"/>
          </rPr>
          <t xml:space="preserve">01/02/1797 </t>
        </r>
        <r>
          <rPr>
            <i/>
            <sz val="14"/>
            <color rgb="FF000000"/>
            <rFont val="Times New Roman"/>
            <family val="18"/>
          </rPr>
          <t>A 3Fl Von Land gestellt und zum</t>
        </r>
        <r>
          <rPr>
            <sz val="14"/>
            <color rgb="FF000000"/>
            <rFont val="Times New Roman"/>
            <family val="18"/>
          </rPr>
          <t xml:space="preserve"> </t>
        </r>
        <r>
          <rPr>
            <b/>
            <sz val="14"/>
            <color rgb="FF000000"/>
            <rFont val="Times New Roman"/>
            <family val="18"/>
          </rPr>
          <t>IR 21</t>
        </r>
        <r>
          <rPr>
            <sz val="14"/>
            <color rgb="FF000000"/>
            <rFont val="Times New Roman"/>
            <family val="18"/>
          </rPr>
          <t xml:space="preserve"> </t>
        </r>
        <r>
          <rPr>
            <i/>
            <sz val="14"/>
            <color rgb="FF000000"/>
            <rFont val="Times New Roman"/>
            <family val="18"/>
          </rPr>
          <t xml:space="preserve">‚Reserve Division‘ Assentiert </t>
        </r>
        <r>
          <rPr>
            <sz val="14"/>
            <color rgb="FF000000"/>
            <rFont val="Times New Roman"/>
            <family val="18"/>
          </rPr>
          <t xml:space="preserve">[AL Feb 1797]
</t>
        </r>
        <r>
          <rPr>
            <sz val="14"/>
            <color rgb="FF000000"/>
            <rFont val="Times New Roman"/>
            <family val="18"/>
          </rPr>
          <t xml:space="preserve">11/07/1797 </t>
        </r>
        <r>
          <rPr>
            <i/>
            <sz val="14"/>
            <color rgb="FF000000"/>
            <rFont val="Times New Roman"/>
            <family val="18"/>
          </rPr>
          <t>Von</t>
        </r>
        <r>
          <rPr>
            <sz val="14"/>
            <color rgb="FF000000"/>
            <rFont val="Times New Roman"/>
            <family val="18"/>
          </rPr>
          <t xml:space="preserve"> </t>
        </r>
        <r>
          <rPr>
            <b/>
            <sz val="14"/>
            <color rgb="FF000000"/>
            <rFont val="Times New Roman"/>
            <family val="18"/>
          </rPr>
          <t>IR 21</t>
        </r>
        <r>
          <rPr>
            <sz val="14"/>
            <color rgb="FF000000"/>
            <rFont val="Times New Roman"/>
            <family val="18"/>
          </rPr>
          <t xml:space="preserve"> </t>
        </r>
        <r>
          <rPr>
            <i/>
            <sz val="14"/>
            <color rgb="FF000000"/>
            <rFont val="Times New Roman"/>
            <family val="18"/>
          </rPr>
          <t>Obrist Komp. zum IR 11 ‚Michael Wallis‘ transferiert</t>
        </r>
        <r>
          <rPr>
            <sz val="14"/>
            <color rgb="FF000000"/>
            <rFont val="Times New Roman"/>
            <family val="18"/>
          </rPr>
          <t xml:space="preserve"> [TL Aug 1797]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t>
        </r>
        <r>
          <rPr>
            <sz val="14"/>
            <color rgb="FF000000"/>
            <rFont val="Times New Roman"/>
            <family val="18"/>
          </rPr>
          <t xml:space="preserve">14/04/1801 </t>
        </r>
        <r>
          <rPr>
            <i/>
            <sz val="14"/>
            <color rgb="FF000000"/>
            <rFont val="Times New Roman"/>
            <family val="18"/>
          </rPr>
          <t>Ranzioniert</t>
        </r>
        <r>
          <rPr>
            <sz val="14"/>
            <color rgb="FF000000"/>
            <rFont val="Times New Roman"/>
            <family val="18"/>
          </rPr>
          <t xml:space="preserve">
</t>
        </r>
        <r>
          <rPr>
            <sz val="14"/>
            <color rgb="FF000000"/>
            <rFont val="Times New Roman"/>
            <family val="18"/>
          </rPr>
          <t xml:space="preserve">17/09/1802 Muster: IR 11 Haupt Czwig Komp. Nr. 105
</t>
        </r>
        <r>
          <rPr>
            <sz val="14"/>
            <color rgb="FF000000"/>
            <rFont val="Times New Roman"/>
            <family val="18"/>
          </rPr>
          <t xml:space="preserve">25/08/1804 Muster: IR 11 Haupt Czwig Komp. Nr. 91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
</t>
        </r>
        <r>
          <rPr>
            <sz val="14"/>
            <color rgb="FF000000"/>
            <rFont val="Times New Roman"/>
            <family val="18"/>
          </rPr>
          <t xml:space="preserve">06/05/1806 [Als Franz MOSCHKOWITZ] </t>
        </r>
        <r>
          <rPr>
            <i/>
            <sz val="14"/>
            <color rgb="FF000000"/>
            <rFont val="Times New Roman"/>
            <family val="18"/>
          </rPr>
          <t>ranzioniert</t>
        </r>
        <r>
          <rPr>
            <sz val="14"/>
            <color rgb="FF000000"/>
            <rFont val="Times New Roman"/>
            <family val="18"/>
          </rPr>
          <t xml:space="preserve"> [ML 1806]
</t>
        </r>
        <r>
          <rPr>
            <sz val="14"/>
            <color rgb="FF000000"/>
            <rFont val="Times New Roman"/>
            <family val="18"/>
          </rPr>
          <t xml:space="preserve">23/12/1806 Muster: IR 11 4. Fus. Komp. Nr. 107
</t>
        </r>
      </text>
    </comment>
    <comment ref="BG266" authorId="0" shapeId="0" xr:uid="{FDD83631-1245-F948-AFEB-B7FFB71A7A0D}">
      <text>
        <r>
          <rPr>
            <sz val="14"/>
            <color rgb="FF000000"/>
            <rFont val="Times New Roman"/>
            <family val="18"/>
          </rPr>
          <t xml:space="preserve">ML 1755 IR 21 (1797) AL/TL – AL Nr. 1 (Lublin 01/02/1797), TL IR 21-&gt;IR 11 Nr. 5 (Königgrätz 04/08/1797)
</t>
        </r>
        <r>
          <rPr>
            <sz val="14"/>
            <color rgb="FF000000"/>
            <rFont val="Times New Roman"/>
            <family val="18"/>
          </rPr>
          <t xml:space="preserve">ML 804/5 IR 11 (1802) – Haupt Czwieg Komp. Nr. 105 (Wisotczan 17/09/1802)
</t>
        </r>
        <r>
          <rPr>
            <sz val="14"/>
            <color rgb="FF000000"/>
            <rFont val="Times New Roman"/>
            <family val="18"/>
          </rPr>
          <t xml:space="preserve">ML 806 IR 11 (1804) – Haupt Czwieg Komp. Nr. 91 (Prague 25/08/1804)
</t>
        </r>
        <r>
          <rPr>
            <sz val="14"/>
            <color rgb="FF000000"/>
            <rFont val="Times New Roman"/>
            <family val="18"/>
          </rPr>
          <t xml:space="preserve">ML 807/8 IR 11 (1806) – 4. Fus. Komp. Nr. 107 (Prague 23/12/1806)
</t>
        </r>
      </text>
    </comment>
    <comment ref="BH266" authorId="0" shapeId="0" xr:uid="{958C2CFA-438A-D941-9609-268BFB88977F}">
      <text>
        <r>
          <rPr>
            <sz val="14"/>
            <color rgb="FF000000"/>
            <rFont val="Calibri"/>
            <family val="34"/>
          </rPr>
          <t xml:space="preserve">IR 21 (1797)
</t>
        </r>
        <r>
          <rPr>
            <sz val="14"/>
            <color rgb="FF000000"/>
            <rFont val="Calibri"/>
            <family val="34"/>
          </rPr>
          <t>IR 11 (1797-1806)</t>
        </r>
      </text>
    </comment>
    <comment ref="BI266" authorId="0" shapeId="0" xr:uid="{6E9AD203-B983-6B46-96B6-4E10F4D5E411}">
      <text>
        <r>
          <rPr>
            <i/>
            <sz val="14"/>
            <color rgb="FF000000"/>
            <rFont val="Times New Roman"/>
            <family val="18"/>
          </rPr>
          <t>Gut</t>
        </r>
        <r>
          <rPr>
            <sz val="14"/>
            <color rgb="FF000000"/>
            <rFont val="Times New Roman"/>
            <family val="18"/>
          </rPr>
          <t xml:space="preserve"> [TL Aug 1797]</t>
        </r>
        <r>
          <rPr>
            <sz val="14"/>
            <color rgb="FF000000"/>
            <rFont val="Calibri"/>
            <family val="2"/>
          </rPr>
          <t xml:space="preserve"> </t>
        </r>
      </text>
    </comment>
    <comment ref="CR266" authorId="0" shapeId="0" xr:uid="{9F223F6A-D7E4-7F49-A40A-1B0A6ED5D363}">
      <text>
        <r>
          <rPr>
            <sz val="14"/>
            <color rgb="FF000000"/>
            <rFont val="Calibri"/>
            <family val="34"/>
          </rPr>
          <t xml:space="preserve">1802: Jüdisch 
</t>
        </r>
        <r>
          <rPr>
            <sz val="14"/>
            <color rgb="FF000000"/>
            <rFont val="Calibri"/>
            <family val="34"/>
          </rPr>
          <t xml:space="preserve">1804: 'detto' [Katolisch]
</t>
        </r>
        <r>
          <rPr>
            <sz val="14"/>
            <color rgb="FF000000"/>
            <rFont val="Calibri"/>
            <family val="34"/>
          </rPr>
          <t xml:space="preserve">1806: Katolisch
</t>
        </r>
      </text>
    </comment>
    <comment ref="H267" authorId="0" shapeId="0" xr:uid="{E7BF2F4A-C317-CE49-B426-54923D65B97A}">
      <text>
        <r>
          <rPr>
            <i/>
            <sz val="12"/>
            <color rgb="FF000000"/>
            <rFont val="+mn-lt"/>
            <charset val="1"/>
          </rPr>
          <t>Naturalisierter habsburgischer Untertan</t>
        </r>
      </text>
    </comment>
    <comment ref="I267" authorId="0" shapeId="0" xr:uid="{E38BFCC2-1243-464B-975A-CED14CCF83C2}">
      <text>
        <r>
          <rPr>
            <b/>
            <sz val="14"/>
            <color rgb="FF000000"/>
            <rFont val="Calibri"/>
            <family val="34"/>
          </rPr>
          <t>1778 [26 (ML 1804)]</t>
        </r>
        <r>
          <rPr>
            <sz val="14"/>
            <color rgb="FF000000"/>
            <rFont val="Calibri"/>
            <family val="34"/>
          </rPr>
          <t xml:space="preserve">
</t>
        </r>
        <r>
          <rPr>
            <sz val="14"/>
            <color rgb="FF000000"/>
            <rFont val="Calibri"/>
            <family val="34"/>
          </rPr>
          <t xml:space="preserve">OR
</t>
        </r>
        <r>
          <rPr>
            <sz val="14"/>
            <color rgb="FF000000"/>
            <rFont val="Calibri"/>
            <family val="34"/>
          </rPr>
          <t xml:space="preserve">1781 [22 (ML 1803)] 
</t>
        </r>
      </text>
    </comment>
    <comment ref="J267" authorId="0" shapeId="0" xr:uid="{162FA871-82E1-964E-84E4-B88CCCA91B50}">
      <text>
        <r>
          <rPr>
            <sz val="14"/>
            <color rgb="FF000000"/>
            <rFont val="Calibri"/>
            <family val="34"/>
          </rPr>
          <t xml:space="preserve">Veheiratet (1803)
</t>
        </r>
        <r>
          <rPr>
            <sz val="14"/>
            <color rgb="FF000000"/>
            <rFont val="Calibri"/>
            <family val="34"/>
          </rPr>
          <t>Ledig (1804)</t>
        </r>
      </text>
    </comment>
    <comment ref="BF267" authorId="0" shapeId="0" xr:uid="{3755DE69-C4AC-5448-923D-5BDD83DC00EB}">
      <text>
        <r>
          <rPr>
            <sz val="14"/>
            <color rgb="FF000000"/>
            <rFont val="Times New Roman"/>
            <family val="18"/>
          </rPr>
          <t xml:space="preserve">01/02/1797 </t>
        </r>
        <r>
          <rPr>
            <i/>
            <sz val="14"/>
            <color rgb="FF000000"/>
            <rFont val="Times New Roman"/>
            <family val="18"/>
          </rPr>
          <t>von Ständen a 3Fl ohne Capitulation gestellt, da er sich schon breits über 10 Jahren im Land aufgehalten</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05/03/1797 </t>
        </r>
        <r>
          <rPr>
            <i/>
            <sz val="14"/>
            <color rgb="FFFF0000"/>
            <rFont val="Times New Roman"/>
            <family val="18"/>
          </rPr>
          <t xml:space="preserve">Zu Klatz </t>
        </r>
        <r>
          <rPr>
            <sz val="14"/>
            <color rgb="FFFF0000"/>
            <rFont val="Times New Roman"/>
            <family val="18"/>
          </rPr>
          <t>[Kielce]</t>
        </r>
        <r>
          <rPr>
            <i/>
            <sz val="14"/>
            <color rgb="FFFF0000"/>
            <rFont val="Times New Roman"/>
            <family val="18"/>
          </rPr>
          <t xml:space="preserve"> a 3Fl assentiert </t>
        </r>
        <r>
          <rPr>
            <sz val="14"/>
            <color rgb="FFFF0000"/>
            <rFont val="Times New Roman"/>
            <family val="18"/>
          </rPr>
          <t>[ML 1803]</t>
        </r>
        <r>
          <rPr>
            <sz val="14"/>
            <color rgb="FF000000"/>
            <rFont val="Calibri"/>
            <family val="34"/>
          </rPr>
          <t xml:space="preserve">
</t>
        </r>
        <r>
          <rPr>
            <sz val="14"/>
            <color rgb="FF000000"/>
            <rFont val="Times New Roman"/>
            <family val="18"/>
          </rPr>
          <t>29/08/1803 Muster: IR 59 Lieb Komp. Nr. 96 [</t>
        </r>
        <r>
          <rPr>
            <i/>
            <sz val="14"/>
            <color rgb="FF000000"/>
            <rFont val="Times New Roman"/>
            <family val="18"/>
          </rPr>
          <t xml:space="preserve">Beurlaubt in seinem Geburtsort in Panzow </t>
        </r>
        <r>
          <rPr>
            <b/>
            <sz val="14"/>
            <color rgb="FF000000"/>
            <rFont val="Times New Roman"/>
            <family val="18"/>
          </rPr>
          <t>[</t>
        </r>
        <r>
          <rPr>
            <b/>
            <u/>
            <sz val="14"/>
            <color rgb="FF0563C1"/>
            <rFont val="Times New Roman"/>
            <family val="18"/>
          </rPr>
          <t>Pińczów, Poland</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03/09/1804 Muster: IR 59 Lieb Komp. Nr. 84 [</t>
        </r>
        <r>
          <rPr>
            <i/>
            <sz val="14"/>
            <color rgb="FF000000"/>
            <rFont val="Times New Roman"/>
            <family val="18"/>
          </rPr>
          <t>Beurlaubt bis zur Einberufung zu Krakau in West Gallizein</t>
        </r>
        <r>
          <rPr>
            <sz val="14"/>
            <color rgb="FF000000"/>
            <rFont val="Times New Roman"/>
            <family val="18"/>
          </rPr>
          <t>]</t>
        </r>
        <r>
          <rPr>
            <sz val="14"/>
            <color rgb="FF000000"/>
            <rFont val="Calibri"/>
            <family val="34"/>
          </rPr>
          <t xml:space="preserve">
</t>
        </r>
        <r>
          <rPr>
            <sz val="14"/>
            <color rgb="FF000000"/>
            <rFont val="Times New Roman"/>
            <family val="18"/>
          </rPr>
          <t xml:space="preserve">03/09/1804 [Nach] UNBEKANNT: </t>
        </r>
        <r>
          <rPr>
            <i/>
            <sz val="14"/>
            <color rgb="FF000000"/>
            <rFont val="Times New Roman"/>
            <family val="18"/>
          </rPr>
          <t>Der Soldat verschwindet aus allen weiteren Dokumenten</t>
        </r>
        <r>
          <rPr>
            <sz val="14"/>
            <color rgb="FF000000"/>
            <rFont val="Calibri"/>
            <family val="34"/>
          </rPr>
          <t xml:space="preserve">
</t>
        </r>
      </text>
    </comment>
    <comment ref="BG267" authorId="0" shapeId="0" xr:uid="{9A9C6B48-18BE-CA43-BA30-39AFE6036209}">
      <text>
        <r>
          <rPr>
            <sz val="14"/>
            <color rgb="FF000000"/>
            <rFont val="Times New Roman"/>
            <family val="18"/>
          </rPr>
          <t> ML 5015 IR 59 (1803) – Leib Komp. Nr. 96 (Enns 29/08/1803)</t>
        </r>
        <r>
          <rPr>
            <sz val="14"/>
            <color rgb="FF000000"/>
            <rFont val="Calibri"/>
            <family val="34"/>
          </rPr>
          <t xml:space="preserve">
</t>
        </r>
        <r>
          <rPr>
            <sz val="14"/>
            <color rgb="FF000000"/>
            <rFont val="Times New Roman"/>
            <family val="18"/>
          </rPr>
          <t>ML 5016 IR 59 (1804) – Lieb Komp. Nr. 84 (Innsbruck 29/08/1804)</t>
        </r>
        <r>
          <rPr>
            <sz val="14"/>
            <color rgb="FF000000"/>
            <rFont val="Calibri"/>
            <family val="34"/>
          </rPr>
          <t xml:space="preserve">
</t>
        </r>
        <r>
          <rPr>
            <sz val="14"/>
            <color rgb="FF000000"/>
            <rFont val="Times New Roman"/>
            <family val="18"/>
          </rPr>
          <t>ML 5017/8 IR 59 (1806) – 1. Fus. Komp. (Linz 20/12/1806)</t>
        </r>
        <r>
          <rPr>
            <sz val="14"/>
            <color rgb="FF000000"/>
            <rFont val="Calibri"/>
            <family val="34"/>
          </rPr>
          <t xml:space="preserve">
</t>
        </r>
      </text>
    </comment>
    <comment ref="BH267" authorId="0" shapeId="0" xr:uid="{DAA060E1-E9E6-0049-8488-C7A6A95E3ED1}">
      <text>
        <r>
          <rPr>
            <sz val="14"/>
            <color rgb="FF000000"/>
            <rFont val="Calibri"/>
            <family val="34"/>
          </rPr>
          <t>IR 3 (1797-1804)</t>
        </r>
      </text>
    </comment>
    <comment ref="I268" authorId="0" shapeId="0" xr:uid="{B1FD42DA-8790-7746-890C-993CD7DF95F4}">
      <text>
        <r>
          <rPr>
            <b/>
            <sz val="14"/>
            <color rgb="FF000000"/>
            <rFont val="Calibri"/>
            <family val="34"/>
          </rPr>
          <t xml:space="preserve">1762 [35 (TL 1797)] 
</t>
        </r>
        <r>
          <rPr>
            <sz val="14"/>
            <color rgb="FF000000"/>
            <rFont val="Calibri"/>
            <family val="34"/>
          </rPr>
          <t xml:space="preserve">OR 
</t>
        </r>
        <r>
          <rPr>
            <sz val="14"/>
            <color rgb="FF000000"/>
            <rFont val="Calibri"/>
            <family val="34"/>
          </rPr>
          <t xml:space="preserve">1777 [20 (AL 1797)]
</t>
        </r>
      </text>
    </comment>
    <comment ref="T268" authorId="0" shapeId="0" xr:uid="{14990ADF-E0D0-8A45-A6BD-2AC3445FFC3F}">
      <text>
        <r>
          <rPr>
            <b/>
            <sz val="14"/>
            <color rgb="FF000000"/>
            <rFont val="Calibri"/>
            <family val="34"/>
          </rPr>
          <t xml:space="preserve">5.1 [160.63 cm] (TL 1797)
</t>
        </r>
        <r>
          <rPr>
            <sz val="14"/>
            <color rgb="FF000000"/>
            <rFont val="Calibri"/>
            <family val="34"/>
          </rPr>
          <t>5.2.2 [163.7 cm] (AL 1797)</t>
        </r>
      </text>
    </comment>
    <comment ref="BF268" authorId="0" shapeId="0" xr:uid="{60E30D65-B55C-AA48-A38E-1024CE74A2D5}">
      <text>
        <r>
          <rPr>
            <sz val="14"/>
            <color rgb="FF000000"/>
            <rFont val="Times New Roman"/>
            <family val="18"/>
          </rPr>
          <t xml:space="preserve">01/02/1797 </t>
        </r>
        <r>
          <rPr>
            <i/>
            <sz val="14"/>
            <color rgb="FF000000"/>
            <rFont val="Times New Roman"/>
            <family val="18"/>
          </rPr>
          <t xml:space="preserve">Von Lande a 3Fl Handgeld zu, IR 3 Reserve Division 2. Abtheilung gestellt </t>
        </r>
        <r>
          <rPr>
            <sz val="14"/>
            <color rgb="FF000000"/>
            <rFont val="Times New Roman"/>
            <family val="18"/>
          </rPr>
          <t>[AL Feb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24 ‚Reserve Division‘ Transferiert</t>
        </r>
        <r>
          <rPr>
            <sz val="14"/>
            <color rgb="FF000000"/>
            <rFont val="Times New Roman"/>
            <family val="18"/>
          </rPr>
          <t xml:space="preserve"> [TL May 1797]</t>
        </r>
        <r>
          <rPr>
            <sz val="14"/>
            <color rgb="FF000000"/>
            <rFont val="Calibri"/>
            <family val="34"/>
          </rPr>
          <t xml:space="preserve">
</t>
        </r>
      </text>
    </comment>
    <comment ref="BG268" authorId="0" shapeId="0" xr:uid="{D8B89F88-196F-5F4A-8F83-FE0915D9CD87}">
      <text>
        <r>
          <rPr>
            <sz val="14"/>
            <color rgb="FF000000"/>
            <rFont val="Times New Roman"/>
            <family val="18"/>
          </rPr>
          <t>ML 269 IR 3 (1797) AL/TL – AL. Nr. 3 (Sandomierz 05/02/1797), TL IR 3-&gt; IR 24 Nr. 248 (Vienna 05/05/1797)</t>
        </r>
        <r>
          <rPr>
            <sz val="14"/>
            <color rgb="FF000000"/>
            <rFont val="Calibri"/>
            <family val="34"/>
          </rPr>
          <t xml:space="preserve">
</t>
        </r>
      </text>
    </comment>
    <comment ref="BH268" authorId="0" shapeId="0" xr:uid="{CDABC871-CD2A-E244-BFCF-95F06319FB14}">
      <text>
        <r>
          <rPr>
            <sz val="14"/>
            <color rgb="FF000000"/>
            <rFont val="Calibri"/>
            <family val="34"/>
          </rPr>
          <t xml:space="preserve">IR 3 (1797)
</t>
        </r>
        <r>
          <rPr>
            <sz val="14"/>
            <color rgb="FF000000"/>
            <rFont val="Calibri"/>
            <family val="34"/>
          </rPr>
          <t>IR 24 (1797)</t>
        </r>
      </text>
    </comment>
    <comment ref="BI268" authorId="0" shapeId="0" xr:uid="{9F515C07-CA38-BC4C-B07A-F1E591DE7BD8}">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T269" authorId="0" shapeId="0" xr:uid="{FDA5B438-4ED5-7B44-BF8E-FB255268F914}">
      <text>
        <r>
          <rPr>
            <b/>
            <sz val="14"/>
            <color rgb="FF000000"/>
            <rFont val="Calibri"/>
            <family val="34"/>
          </rPr>
          <t xml:space="preserve">5.3 [165.89 cm] (AL Feb 1797)
</t>
        </r>
        <r>
          <rPr>
            <sz val="14"/>
            <color rgb="FF000000"/>
            <rFont val="Calibri"/>
            <family val="34"/>
          </rPr>
          <t>5.3.1 [166.11 cm] (TL Aug 1797)</t>
        </r>
      </text>
    </comment>
    <comment ref="BF269" authorId="0" shapeId="0" xr:uid="{344C7672-6192-0046-8FC7-FA18F1E584E7}">
      <text>
        <r>
          <rPr>
            <sz val="14"/>
            <color rgb="FF000000"/>
            <rFont val="Times New Roman"/>
            <family val="18"/>
          </rPr>
          <t xml:space="preserve">01/02/1797 </t>
        </r>
        <r>
          <rPr>
            <i/>
            <sz val="14"/>
            <color rgb="FF000000"/>
            <rFont val="Times New Roman"/>
            <family val="18"/>
          </rPr>
          <t xml:space="preserve">A 3Fl Von Land gestellt und zum IR 21 ‚Reserve Division‘ assentiert </t>
        </r>
        <r>
          <rPr>
            <sz val="14"/>
            <color rgb="FF000000"/>
            <rFont val="Times New Roman"/>
            <family val="18"/>
          </rPr>
          <t>[1797 AL]</t>
        </r>
        <r>
          <rPr>
            <sz val="14"/>
            <color rgb="FF000000"/>
            <rFont val="Times New Roman"/>
            <family val="18"/>
          </rPr>
          <t xml:space="preserve">
</t>
        </r>
        <r>
          <rPr>
            <sz val="14"/>
            <color rgb="FF000000"/>
            <rFont val="Times New Roman"/>
            <family val="18"/>
          </rPr>
          <t xml:space="preserve">10/07/1797 </t>
        </r>
        <r>
          <rPr>
            <i/>
            <sz val="14"/>
            <color rgb="FF000000"/>
            <rFont val="Times New Roman"/>
            <family val="18"/>
          </rPr>
          <t>Von IR 21 Vacant Comp. zum IR 11 ‚Michael Wallis‘ transferiert</t>
        </r>
        <r>
          <rPr>
            <sz val="14"/>
            <color rgb="FF000000"/>
            <rFont val="Times New Roman"/>
            <family val="18"/>
          </rPr>
          <t xml:space="preserve"> [1797 TL]</t>
        </r>
        <r>
          <rPr>
            <sz val="14"/>
            <color rgb="FF000000"/>
            <rFont val="Times New Roman"/>
            <family val="18"/>
          </rPr>
          <t xml:space="preserve">
</t>
        </r>
        <r>
          <rPr>
            <sz val="14"/>
            <color rgb="FF000000"/>
            <rFont val="Times New Roman"/>
            <family val="18"/>
          </rPr>
          <t xml:space="preserve">10/05/1801 </t>
        </r>
        <r>
          <rPr>
            <i/>
            <sz val="14"/>
            <color rgb="FF000000"/>
            <rFont val="Times New Roman"/>
            <family val="18"/>
          </rPr>
          <t>Aus die Kriegsgefangenschaft</t>
        </r>
        <r>
          <rPr>
            <sz val="14"/>
            <color rgb="FF000000"/>
            <rFont val="Times New Roman"/>
            <family val="18"/>
          </rPr>
          <t xml:space="preserve"> [zurück] [ML 1802]</t>
        </r>
        <r>
          <rPr>
            <sz val="14"/>
            <color rgb="FF000000"/>
            <rFont val="Times New Roman"/>
            <family val="18"/>
          </rPr>
          <t xml:space="preserve">
</t>
        </r>
        <r>
          <rPr>
            <sz val="14"/>
            <color rgb="FF000000"/>
            <rFont val="Times New Roman"/>
            <family val="18"/>
          </rPr>
          <t xml:space="preserve">01/11/1801 </t>
        </r>
        <r>
          <rPr>
            <i/>
            <sz val="14"/>
            <color rgb="FF000000"/>
            <rFont val="Times New Roman"/>
            <family val="18"/>
          </rPr>
          <t>Von Haupt Strauss zum Haupt Murmann Komp.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31/06/1802 </t>
        </r>
        <r>
          <rPr>
            <i/>
            <sz val="14"/>
            <color rgb="FF000000"/>
            <rFont val="Times New Roman"/>
            <family val="18"/>
          </rPr>
          <t>Von IR 11 Haupt Murmann Komp. zum</t>
        </r>
        <r>
          <rPr>
            <sz val="14"/>
            <color rgb="FF000000"/>
            <rFont val="Times New Roman"/>
            <family val="18"/>
          </rPr>
          <t xml:space="preserve"> EH Rudolf </t>
        </r>
        <r>
          <rPr>
            <b/>
            <sz val="14"/>
            <color rgb="FF000000"/>
            <rFont val="Times New Roman"/>
            <family val="18"/>
          </rPr>
          <t>IR 16</t>
        </r>
        <r>
          <rPr>
            <sz val="14"/>
            <color rgb="FF000000"/>
            <rFont val="Times New Roman"/>
            <family val="18"/>
          </rPr>
          <t xml:space="preserve"> </t>
        </r>
        <r>
          <rPr>
            <i/>
            <sz val="14"/>
            <color rgb="FF000000"/>
            <rFont val="Times New Roman"/>
            <family val="18"/>
          </rPr>
          <t>Regt. transferiert</t>
        </r>
        <r>
          <rPr>
            <sz val="14"/>
            <color rgb="FF000000"/>
            <rFont val="Times New Roman"/>
            <family val="18"/>
          </rPr>
          <t xml:space="preserve"> [ML 1802]</t>
        </r>
        <r>
          <rPr>
            <sz val="14"/>
            <color rgb="FF000000"/>
            <rFont val="Times New Roman"/>
            <family val="18"/>
          </rPr>
          <t xml:space="preserve">
</t>
        </r>
      </text>
    </comment>
    <comment ref="BG269" authorId="0" shapeId="0" xr:uid="{88362F06-3AD8-604F-ADC8-A48630B25575}">
      <text>
        <r>
          <rPr>
            <sz val="14"/>
            <color rgb="FF000000"/>
            <rFont val="Times New Roman"/>
            <family val="18"/>
          </rPr>
          <t xml:space="preserve">ML 1755 IR 21 (1797) AL/TL – AL Nr. 9 (Lublin 01/02/1797), TL IR 21-&gt;IR 11 Nr. 137 (Königgrätz 04/08/1797)
</t>
        </r>
        <r>
          <rPr>
            <sz val="14"/>
            <color rgb="FF000000"/>
            <rFont val="Times New Roman"/>
            <family val="18"/>
          </rPr>
          <t xml:space="preserve">ML 804/5 IR 11 (1802) – Haupt Murrman Komp. Abgang (Prague 16/09/1802)
</t>
        </r>
      </text>
    </comment>
    <comment ref="BH269" authorId="0" shapeId="0" xr:uid="{E3F1EBE3-E067-A540-9A6A-4F9F138FC584}">
      <text>
        <r>
          <rPr>
            <sz val="14"/>
            <color rgb="FF000000"/>
            <rFont val="Calibri"/>
            <family val="34"/>
          </rPr>
          <t xml:space="preserve">IR 21 (1797)
</t>
        </r>
        <r>
          <rPr>
            <sz val="14"/>
            <color rgb="FF000000"/>
            <rFont val="Calibri"/>
            <family val="34"/>
          </rPr>
          <t xml:space="preserve">IR 11 (1797-1802)
</t>
        </r>
        <r>
          <rPr>
            <sz val="14"/>
            <color rgb="FF000000"/>
            <rFont val="Calibri"/>
            <family val="34"/>
          </rPr>
          <t>IR 16 (1802)</t>
        </r>
      </text>
    </comment>
    <comment ref="BI269" authorId="0" shapeId="0" xr:uid="{382B08F6-0DD7-034F-AD2A-EB6DF8D6F645}">
      <text>
        <r>
          <rPr>
            <i/>
            <sz val="14"/>
            <color rgb="FF000000"/>
            <rFont val="Times New Roman"/>
            <family val="18"/>
          </rPr>
          <t>Gut</t>
        </r>
        <r>
          <rPr>
            <sz val="14"/>
            <color rgb="FF000000"/>
            <rFont val="Times New Roman"/>
            <family val="18"/>
          </rPr>
          <t xml:space="preserve"> [TL Aug 1797]</t>
        </r>
        <r>
          <rPr>
            <sz val="14"/>
            <color rgb="FF000000"/>
            <rFont val="Calibri"/>
            <family val="2"/>
          </rPr>
          <t xml:space="preserve"> </t>
        </r>
      </text>
    </comment>
    <comment ref="K270" authorId="0" shapeId="0" xr:uid="{908951D8-23C0-CE45-BE67-122DC2A02D21}">
      <text>
        <r>
          <rPr>
            <sz val="14"/>
            <color rgb="FF000000"/>
            <rFont val="Calibri"/>
            <family val="34"/>
          </rPr>
          <t xml:space="preserve">Schneider  (1797)
</t>
        </r>
        <r>
          <rPr>
            <sz val="14"/>
            <color rgb="FF000000"/>
            <rFont val="Calibri"/>
            <family val="34"/>
          </rPr>
          <t>Ohne (1797-1805)</t>
        </r>
      </text>
    </comment>
    <comment ref="T270" authorId="0" shapeId="0" xr:uid="{0D17A4E9-CE62-4549-B7C9-F5AAB28B09F1}">
      <text>
        <r>
          <rPr>
            <sz val="14"/>
            <color rgb="FF000000"/>
            <rFont val="Calibri"/>
            <family val="34"/>
          </rPr>
          <t xml:space="preserve">5.3 [165.89 cm] (1797)
</t>
        </r>
        <r>
          <rPr>
            <sz val="14"/>
            <color rgb="FF000000"/>
            <rFont val="Calibri"/>
            <family val="34"/>
          </rPr>
          <t>5.3.1 [166.11 cm] (1802-1805)</t>
        </r>
      </text>
    </comment>
    <comment ref="BF270" authorId="0" shapeId="0" xr:uid="{BD6245D4-E970-C14E-8381-7D3655E33CEC}">
      <text>
        <r>
          <rPr>
            <sz val="14"/>
            <color rgb="FF000000"/>
            <rFont val="Times New Roman"/>
            <family val="18"/>
          </rPr>
          <t xml:space="preserve">01/02/1797 </t>
        </r>
        <r>
          <rPr>
            <i/>
            <sz val="14"/>
            <color rgb="FF000000"/>
            <rFont val="Times New Roman"/>
            <family val="18"/>
          </rPr>
          <t>Mit Versicherungsschein auf Kriegsdauer von Ständen zum IR 21 ‚Reserve Division‘ gestellt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4. Bataillon Haupt von Willmovsky Komp. zum IR 43 Haupt Selmbach Comp. transferiert; Seitdem auf anhero Marsch mit Friedensgebühr</t>
        </r>
        <r>
          <rPr>
            <sz val="14"/>
            <color rgb="FF000000"/>
            <rFont val="Times New Roman"/>
            <family val="18"/>
          </rPr>
          <t xml:space="preserve"> [TL Oct 1797 &amp; ST Oct 1797]</t>
        </r>
        <r>
          <rPr>
            <sz val="14"/>
            <color rgb="FF000000"/>
            <rFont val="Calibri"/>
            <family val="34"/>
          </rPr>
          <t xml:space="preserve">
</t>
        </r>
        <r>
          <rPr>
            <sz val="14"/>
            <color rgb="FF000000"/>
            <rFont val="Times New Roman"/>
            <family val="18"/>
          </rPr>
          <t xml:space="preserve">25/01/1799 Revision: IR 43 Haupt Selmbach Nr. 118 </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2nd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Rekonvalesziert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 xml:space="preserve">Rekonvalesziert </t>
        </r>
        <r>
          <rPr>
            <sz val="14"/>
            <color rgb="FF000000"/>
            <rFont val="Times New Roman"/>
            <family val="18"/>
          </rPr>
          <t>[ST July 1800]</t>
        </r>
        <r>
          <rPr>
            <sz val="14"/>
            <color rgb="FF000000"/>
            <rFont val="Calibri"/>
            <family val="34"/>
          </rPr>
          <t xml:space="preserve">
</t>
        </r>
        <r>
          <rPr>
            <sz val="14"/>
            <color rgb="FF000000"/>
            <rFont val="Times New Roman"/>
            <family val="18"/>
          </rPr>
          <t>24/08/1802 Muster: IR 43 Haupt Selmbach Komp. Nr. 50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16/09/1802 </t>
        </r>
        <r>
          <rPr>
            <i/>
            <sz val="14"/>
            <color rgb="FF000000"/>
            <rFont val="Times New Roman"/>
            <family val="18"/>
          </rPr>
          <t>Mit deutscher Gebühr und Teuerungsbeitrag bis 20. und ungarische Gebühr ohne Teuerungsbeitrag verpflegt und auf bestimmten Urlaub entlassen</t>
        </r>
        <r>
          <rPr>
            <sz val="14"/>
            <color rgb="FF000000"/>
            <rFont val="Times New Roman"/>
            <family val="18"/>
          </rPr>
          <t xml:space="preserve"> [ST Sept 1802] </t>
        </r>
        <r>
          <rPr>
            <sz val="14"/>
            <color rgb="FF000000"/>
            <rFont val="Calibri"/>
            <family val="34"/>
          </rPr>
          <t xml:space="preserve">
</t>
        </r>
        <r>
          <rPr>
            <sz val="14"/>
            <color rgb="FF000000"/>
            <rFont val="Times New Roman"/>
            <family val="18"/>
          </rPr>
          <t>04/11/1803 Muster: IR 43 Haupt Selmbach Komp. Nr. 47 [</t>
        </r>
        <r>
          <rPr>
            <i/>
            <sz val="14"/>
            <color rgb="FF000000"/>
            <rFont val="Times New Roman"/>
            <family val="18"/>
          </rPr>
          <t>Beurlaubt in seinem Geburtsort bis zur Einberufung</t>
        </r>
        <r>
          <rPr>
            <sz val="14"/>
            <color rgb="FF000000"/>
            <rFont val="Times New Roman"/>
            <family val="18"/>
          </rPr>
          <t>[sic!]]</t>
        </r>
        <r>
          <rPr>
            <sz val="14"/>
            <color rgb="FF000000"/>
            <rFont val="Calibri"/>
            <family val="34"/>
          </rPr>
          <t xml:space="preserve">
</t>
        </r>
        <r>
          <rPr>
            <sz val="14"/>
            <color rgb="FF000000"/>
            <rFont val="Times New Roman"/>
            <family val="18"/>
          </rPr>
          <t>15/09/1804 Muster: IR 43 Haupt Selmbach Komp. Nr. 49 [</t>
        </r>
        <r>
          <rPr>
            <i/>
            <sz val="14"/>
            <color rgb="FF000000"/>
            <rFont val="Times New Roman"/>
            <family val="18"/>
          </rPr>
          <t>Beurlaubt in seinem Geburtsort bis zur Exerzierzeit</t>
        </r>
        <r>
          <rPr>
            <sz val="14"/>
            <color rgb="FF000000"/>
            <rFont val="Times New Roman"/>
            <family val="18"/>
          </rPr>
          <t>]</t>
        </r>
        <r>
          <rPr>
            <sz val="14"/>
            <color rgb="FF000000"/>
            <rFont val="Calibri"/>
            <family val="34"/>
          </rPr>
          <t xml:space="preserve">
</t>
        </r>
        <r>
          <rPr>
            <sz val="14"/>
            <color rgb="FF000000"/>
            <rFont val="Times New Roman"/>
            <family val="18"/>
          </rPr>
          <t>01/10/1805 Muster: IR 43 13. Fus Komp. Nr. 49 [</t>
        </r>
        <r>
          <rPr>
            <i/>
            <sz val="14"/>
            <color rgb="FF000000"/>
            <rFont val="Times New Roman"/>
            <family val="18"/>
          </rPr>
          <t>Beurlaubt bis zur Exerzierzeit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30/09/1805 </t>
        </r>
        <r>
          <rPr>
            <i/>
            <sz val="14"/>
            <color rgb="FF000000"/>
            <rFont val="Times New Roman"/>
            <family val="18"/>
          </rPr>
          <t>Von unbestimmte Urlaub desertiert</t>
        </r>
        <r>
          <rPr>
            <sz val="14"/>
            <color rgb="FF000000"/>
            <rFont val="Times New Roman"/>
            <family val="18"/>
          </rPr>
          <t xml:space="preserve"> [ST Ort 1805 &amp; ML 1806]</t>
        </r>
        <r>
          <rPr>
            <sz val="14"/>
            <color rgb="FF000000"/>
            <rFont val="Calibri"/>
            <family val="34"/>
          </rPr>
          <t xml:space="preserve">
</t>
        </r>
      </text>
    </comment>
    <comment ref="BG270" authorId="0" shapeId="0" xr:uid="{F63281B9-C41D-934C-9FF5-ACE922064EE8}">
      <text>
        <r>
          <rPr>
            <sz val="14"/>
            <color rgb="FF000000"/>
            <rFont val="Calibri"/>
            <family val="34"/>
          </rPr>
          <t xml:space="preserve">ML 1755 IR 21 (1797) – AL Nr. 2 (Lublin 01/02/1797) &amp; TL IR 21-&gt;IR 43 Nr. 13 (Königgrätz 21/10/1797)
</t>
        </r>
        <r>
          <rPr>
            <sz val="14"/>
            <color rgb="FF000000"/>
            <rFont val="Calibri"/>
            <family val="34"/>
          </rPr>
          <t xml:space="preserve">ML 10.271 IR 43 (1799) – RL Selmbach Komp. Nr. 118 (Udine 25/01/1799)
</t>
        </r>
        <r>
          <rPr>
            <sz val="14"/>
            <color rgb="FF000000"/>
            <rFont val="Calibri"/>
            <family val="34"/>
          </rPr>
          <t xml:space="preserve">ML 10.272 IR 43 (1802) – Haupt Selmbach Komp. Nr. 50 (Budua 24/08/1802)
</t>
        </r>
        <r>
          <rPr>
            <sz val="14"/>
            <color rgb="FF000000"/>
            <rFont val="Calibri"/>
            <family val="34"/>
          </rPr>
          <t xml:space="preserve">ML 10.273 IR 43 (1803) – Haupt Selmbach Komp. Nr. 47 (Knin 04/11/1803)
</t>
        </r>
        <r>
          <rPr>
            <sz val="14"/>
            <color rgb="FF000000"/>
            <rFont val="Calibri"/>
            <family val="34"/>
          </rPr>
          <t xml:space="preserve">ML 10.274 IR 43 (1804) – Haupt Selmbach Komp. Nr. 49 (Zara 15/09/1804)
</t>
        </r>
        <r>
          <rPr>
            <sz val="14"/>
            <color rgb="FF000000"/>
            <rFont val="Calibri"/>
            <family val="34"/>
          </rPr>
          <t xml:space="preserve">ML 10.275/6 IR 43 (1805) –13. Fus. Komp. Nr. 49 (Zara 01/10/1805)
</t>
        </r>
        <r>
          <rPr>
            <sz val="14"/>
            <color rgb="FF000000"/>
            <rFont val="Calibri"/>
            <family val="34"/>
          </rPr>
          <t xml:space="preserve">ML 10/277/8 IR 43 (1806) – 3. Fus Komp. Abgang (Laibach 01/12/1806)
</t>
        </r>
        <r>
          <rPr>
            <sz val="14"/>
            <color rgb="FF000000"/>
            <rFont val="Calibri"/>
            <family val="34"/>
          </rPr>
          <t xml:space="preserve">ML 10.305 IR 43 (1797) – ST Okt (31/05/1805)
</t>
        </r>
        <r>
          <rPr>
            <sz val="14"/>
            <color rgb="FF000000"/>
            <rFont val="Calibri"/>
            <family val="34"/>
          </rPr>
          <t xml:space="preserve">ML 10.307 IR 43 (1799) – ST Aug (06/03/1800)
</t>
        </r>
        <r>
          <rPr>
            <sz val="14"/>
            <color rgb="FF000000"/>
            <rFont val="Calibri"/>
            <family val="34"/>
          </rPr>
          <t xml:space="preserve">ML 10.309 IR 43 (1800) – ST Jan (26/02/1801), Juni (27/08/1803), Juli (24/10/1804)
</t>
        </r>
        <r>
          <rPr>
            <sz val="14"/>
            <color rgb="FF000000"/>
            <rFont val="Calibri"/>
            <family val="34"/>
          </rPr>
          <t xml:space="preserve">ML 10.312 IR 43 (1802) – ST Sept (15/10/1802)
</t>
        </r>
        <r>
          <rPr>
            <sz val="14"/>
            <color rgb="FF000000"/>
            <rFont val="Calibri"/>
            <family val="34"/>
          </rPr>
          <t>ML 10.315 IR 43 (1805) – ST Okt (22/05/1806)</t>
        </r>
      </text>
    </comment>
    <comment ref="BH270" authorId="0" shapeId="0" xr:uid="{095BE89C-629C-354D-9F9E-E38F76CCFBAD}">
      <text>
        <r>
          <rPr>
            <sz val="14"/>
            <color rgb="FF000000"/>
            <rFont val="Calibri"/>
            <family val="34"/>
          </rPr>
          <t xml:space="preserve">IR 21 (1797)
</t>
        </r>
        <r>
          <rPr>
            <sz val="14"/>
            <color rgb="FF000000"/>
            <rFont val="Calibri"/>
            <family val="34"/>
          </rPr>
          <t>IR 43 (1797-1805)</t>
        </r>
      </text>
    </comment>
    <comment ref="BF271" authorId="0" shapeId="0" xr:uid="{724130F8-F3E7-9040-A066-5B33AEDEBC29}">
      <text>
        <r>
          <rPr>
            <sz val="14"/>
            <color rgb="FF000000"/>
            <rFont val="Times New Roman"/>
            <family val="18"/>
          </rPr>
          <t xml:space="preserve">01/02/1797 </t>
        </r>
        <r>
          <rPr>
            <i/>
            <sz val="14"/>
            <color rgb="FF000000"/>
            <rFont val="Times New Roman"/>
            <family val="18"/>
          </rPr>
          <t xml:space="preserve">Von Lande a 3Fl Handgeld zu, IR 3 Reserve Div 3. Abteilung gestellt </t>
        </r>
        <r>
          <rPr>
            <sz val="14"/>
            <color rgb="FF000000"/>
            <rFont val="Times New Roman"/>
            <family val="18"/>
          </rPr>
          <t>[AL Feb 1797]</t>
        </r>
        <r>
          <rPr>
            <sz val="14"/>
            <color rgb="FF000000"/>
            <rFont val="Calibri"/>
            <family val="34"/>
          </rPr>
          <t xml:space="preserve">
</t>
        </r>
        <r>
          <rPr>
            <sz val="14"/>
            <color rgb="FFFF0000"/>
            <rFont val="Times New Roman"/>
            <family val="18"/>
          </rPr>
          <t>[02/03/1797] Desertiert [Mit Beleistift notiert – Erscheint nicht am TL von April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3. Abtehilung zu IR 24 ‚Reserve Division‘ transferiert</t>
        </r>
        <r>
          <rPr>
            <sz val="14"/>
            <color rgb="FF000000"/>
            <rFont val="Times New Roman"/>
            <family val="18"/>
          </rPr>
          <t xml:space="preserve"> [TL May 1797]</t>
        </r>
        <r>
          <rPr>
            <sz val="14"/>
            <color rgb="FF000000"/>
            <rFont val="Calibri"/>
            <family val="34"/>
          </rPr>
          <t xml:space="preserve">
</t>
        </r>
        <r>
          <rPr>
            <sz val="14"/>
            <color rgb="FF000000"/>
            <rFont val="Times New Roman"/>
            <family val="18"/>
          </rPr>
          <t xml:space="preserve">12/02/1800 [seit mindestens] </t>
        </r>
        <r>
          <rPr>
            <i/>
            <sz val="14"/>
            <color rgb="FF000000"/>
            <rFont val="Times New Roman"/>
            <family val="18"/>
          </rPr>
          <t>Dient bei IR 24 Haupt Chupay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26/03/1800 </t>
        </r>
        <r>
          <rPr>
            <i/>
            <sz val="14"/>
            <color rgb="FF000000"/>
            <rFont val="Times New Roman"/>
            <family val="18"/>
          </rPr>
          <t>Als Fourierschütz von Haupt Mayer zur Haupt Chupay Komp. transferiert</t>
        </r>
        <r>
          <rPr>
            <sz val="14"/>
            <color rgb="FF000000"/>
            <rFont val="Times New Roman"/>
            <family val="18"/>
          </rPr>
          <t xml:space="preserve"> [ML 1802] </t>
        </r>
        <r>
          <rPr>
            <sz val="14"/>
            <color rgb="FF000000"/>
            <rFont val="Calibri"/>
            <family val="34"/>
          </rPr>
          <t xml:space="preserve">
</t>
        </r>
        <r>
          <rPr>
            <sz val="14"/>
            <color rgb="FF000000"/>
            <rFont val="Times New Roman"/>
            <family val="18"/>
          </rPr>
          <t xml:space="preserve">01/06/1800 </t>
        </r>
        <r>
          <rPr>
            <i/>
            <sz val="14"/>
            <color rgb="FF000000"/>
            <rFont val="Times New Roman"/>
            <family val="18"/>
          </rPr>
          <t>Von Haupt Chupay zur Weisenwolf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11/03/1801 </t>
        </r>
        <r>
          <rPr>
            <i/>
            <sz val="14"/>
            <color rgb="FF000000"/>
            <rFont val="Times New Roman"/>
            <family val="18"/>
          </rPr>
          <t>Von Haupt Weisenwoelf</t>
        </r>
        <r>
          <rPr>
            <sz val="14"/>
            <color rgb="FF000000"/>
            <rFont val="Times New Roman"/>
            <family val="18"/>
          </rPr>
          <t xml:space="preserve"> zur </t>
        </r>
        <r>
          <rPr>
            <i/>
            <sz val="14"/>
            <color rgb="FF000000"/>
            <rFont val="Times New Roman"/>
            <family val="18"/>
          </rPr>
          <t>Haupt Chupay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31/08/1802 </t>
        </r>
        <r>
          <rPr>
            <i/>
            <sz val="14"/>
            <color rgb="FF000000"/>
            <rFont val="Times New Roman"/>
            <family val="18"/>
          </rPr>
          <t xml:space="preserve">Als Gemeiner gegen Renuncierung als Reale Invalid mit Abschied </t>
        </r>
        <r>
          <rPr>
            <sz val="14"/>
            <color rgb="FF000000"/>
            <rFont val="Times New Roman"/>
            <family val="18"/>
          </rPr>
          <t>[ML 1802]</t>
        </r>
        <r>
          <rPr>
            <sz val="14"/>
            <color rgb="FF000000"/>
            <rFont val="Calibri"/>
            <family val="34"/>
          </rPr>
          <t xml:space="preserve">
</t>
        </r>
      </text>
    </comment>
    <comment ref="BG271" authorId="0" shapeId="0" xr:uid="{C89539C4-D19E-6947-9AA2-F337CACDB71F}">
      <text>
        <r>
          <rPr>
            <sz val="14"/>
            <color rgb="FF000000"/>
            <rFont val="Times New Roman"/>
            <family val="18"/>
          </rPr>
          <t>ML 269 IR 3 (1797) – AL Nr. 2 (Sandomierz 05/02/1797); TL IR 3-&gt;IR 24 Nr. 247 (Wien 11/05/1797)</t>
        </r>
        <r>
          <rPr>
            <sz val="14"/>
            <color rgb="FF000000"/>
            <rFont val="Calibri"/>
            <family val="34"/>
          </rPr>
          <t xml:space="preserve">
</t>
        </r>
        <r>
          <rPr>
            <sz val="14"/>
            <color rgb="FF000000"/>
            <rFont val="Times New Roman"/>
            <family val="18"/>
          </rPr>
          <t>ML 1937 IR 24 (1802) – Haupt Chupay Abgang (Vienna 16/09/1802)</t>
        </r>
      </text>
    </comment>
    <comment ref="BH271" authorId="0" shapeId="0" xr:uid="{C6F28A34-4704-BF4A-BBF6-73350B6CF08F}">
      <text>
        <r>
          <rPr>
            <sz val="14"/>
            <color rgb="FF000000"/>
            <rFont val="Calibri"/>
            <family val="34"/>
          </rPr>
          <t xml:space="preserve">IR 3 (1797)
</t>
        </r>
        <r>
          <rPr>
            <sz val="14"/>
            <color rgb="FF000000"/>
            <rFont val="Calibri"/>
            <family val="34"/>
          </rPr>
          <t>IR 24 (1797-1802)</t>
        </r>
      </text>
    </comment>
    <comment ref="BI271" authorId="0" shapeId="0" xr:uid="{6A9F03DB-1F76-BC4E-B682-E8AFA22800DA}">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72" authorId="0" shapeId="0" xr:uid="{BDC697F8-8C50-9E49-80DC-E51182D357CC}">
      <text>
        <r>
          <rPr>
            <sz val="14"/>
            <color rgb="FF000000"/>
            <rFont val="Times New Roman"/>
            <family val="18"/>
          </rPr>
          <t xml:space="preserve">01/02/1797 </t>
        </r>
        <r>
          <rPr>
            <i/>
            <sz val="14"/>
            <color rgb="FF000000"/>
            <rFont val="Times New Roman"/>
            <family val="18"/>
          </rPr>
          <t>Von Lande a 3Fl Handgeld ohne Capitulation zum IR 3 Reserve Div 2. Abtheilung gestellt</t>
        </r>
        <r>
          <rPr>
            <sz val="14"/>
            <color rgb="FF000000"/>
            <rFont val="Times New Roman"/>
            <family val="18"/>
          </rPr>
          <t xml:space="preserve"> [AL Feb 1799]</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4 transferiert</t>
        </r>
        <r>
          <rPr>
            <sz val="14"/>
            <color rgb="FF000000"/>
            <rFont val="Times New Roman"/>
            <family val="18"/>
          </rPr>
          <t xml:space="preserve"> [TL May 1797]</t>
        </r>
        <r>
          <rPr>
            <sz val="14"/>
            <color rgb="FF000000"/>
            <rFont val="Calibri"/>
            <family val="34"/>
          </rPr>
          <t xml:space="preserve">
</t>
        </r>
      </text>
    </comment>
    <comment ref="BG272" authorId="0" shapeId="0" xr:uid="{5118DA19-C0DE-E843-B9FB-2A25EADD13CD}">
      <text>
        <r>
          <rPr>
            <sz val="14"/>
            <color rgb="FF000000"/>
            <rFont val="Times New Roman"/>
            <family val="18"/>
          </rPr>
          <t>ML 269 IR 3 (1797) AL/TL – AL. Nr. 4 (Sandomierz 05/02/1797), TL IR 3-&gt;IR 4 Nr. 249 (Vienna 09/05/1797)</t>
        </r>
        <r>
          <rPr>
            <sz val="14"/>
            <color rgb="FF000000"/>
            <rFont val="Calibri"/>
            <family val="34"/>
          </rPr>
          <t xml:space="preserve">
</t>
        </r>
      </text>
    </comment>
    <comment ref="BH272" authorId="0" shapeId="0" xr:uid="{E1BC666D-76A7-2849-BC76-F2774DB61025}">
      <text>
        <r>
          <rPr>
            <sz val="14"/>
            <color rgb="FF000000"/>
            <rFont val="Calibri"/>
            <family val="34"/>
          </rPr>
          <t xml:space="preserve">IR 3 (1797)
</t>
        </r>
        <r>
          <rPr>
            <sz val="14"/>
            <color rgb="FF000000"/>
            <rFont val="Calibri"/>
            <family val="34"/>
          </rPr>
          <t>IR 4 (1797)</t>
        </r>
      </text>
    </comment>
    <comment ref="BI272" authorId="0" shapeId="0" xr:uid="{3C3D8E55-8CE5-CA4C-98D4-1B60A8DBCAFC}">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73" authorId="0" shapeId="0" xr:uid="{361C1242-EE8D-C740-B5A7-E52A3D616754}">
      <text>
        <r>
          <rPr>
            <sz val="14"/>
            <color rgb="FF000000"/>
            <rFont val="Times New Roman"/>
            <family val="18"/>
          </rPr>
          <t xml:space="preserve">02/02/1797 </t>
        </r>
        <r>
          <rPr>
            <i/>
            <sz val="14"/>
            <color rgb="FF000000"/>
            <rFont val="Times New Roman"/>
            <family val="18"/>
          </rPr>
          <t>Dient seit mit Versicherungsschein</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Ü</t>
        </r>
        <r>
          <rPr>
            <i/>
            <sz val="14"/>
            <color rgb="FF000000"/>
            <rFont val="Times New Roman"/>
            <family val="18"/>
          </rPr>
          <t>ber ein Jahr absent als in Spital verbliebene unwissend verloren in Abgang</t>
        </r>
        <r>
          <rPr>
            <sz val="14"/>
            <color rgb="FF000000"/>
            <rFont val="Times New Roman"/>
            <family val="18"/>
          </rPr>
          <t xml:space="preserve"> [ST Nov 1801]</t>
        </r>
        <r>
          <rPr>
            <sz val="14"/>
            <color rgb="FF000000"/>
            <rFont val="Times New Roman"/>
            <family val="18"/>
          </rPr>
          <t xml:space="preserve">
</t>
        </r>
        <r>
          <rPr>
            <i/>
            <sz val="14"/>
            <color rgb="FF000000"/>
            <rFont val="Times New Roman"/>
            <family val="18"/>
          </rPr>
          <t>Vor Gefangen, hat Frankreich 9 Monat gedient von dort desertiert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06/05/1804 </t>
        </r>
        <r>
          <rPr>
            <i/>
            <sz val="14"/>
            <color rgb="FF000000"/>
            <rFont val="Times New Roman"/>
            <family val="18"/>
          </rPr>
          <t>Von Landmann ohne Taglia eingebracht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25/08/1804 Muster: IR 11 ObristLt. Komp. Nr. 162</t>
        </r>
        <r>
          <rPr>
            <sz val="14"/>
            <color rgb="FF000000"/>
            <rFont val="Times New Roman"/>
            <family val="18"/>
          </rPr>
          <t xml:space="preserve">
</t>
        </r>
        <r>
          <rPr>
            <sz val="14"/>
            <color rgb="FF000000"/>
            <rFont val="Times New Roman"/>
            <family val="18"/>
          </rPr>
          <t xml:space="preserve">22/06/1805 </t>
        </r>
        <r>
          <rPr>
            <i/>
            <sz val="14"/>
            <color rgb="FF000000"/>
            <rFont val="Times New Roman"/>
            <family val="18"/>
          </rPr>
          <t>Als Kriegscapitulant mit Abschied entlassen</t>
        </r>
        <r>
          <rPr>
            <sz val="14"/>
            <color rgb="FF000000"/>
            <rFont val="Times New Roman"/>
            <family val="18"/>
          </rPr>
          <t xml:space="preserve"> [ML 1806]</t>
        </r>
        <r>
          <rPr>
            <sz val="14"/>
            <color rgb="FF000000"/>
            <rFont val="Times New Roman"/>
            <family val="18"/>
          </rPr>
          <t xml:space="preserve">
</t>
        </r>
      </text>
    </comment>
    <comment ref="BG273" authorId="0" shapeId="0" xr:uid="{CD242A33-223C-454E-BD1E-64BFA05EE2A0}">
      <text>
        <r>
          <rPr>
            <sz val="14"/>
            <color rgb="FF000000"/>
            <rFont val="Times New Roman"/>
            <family val="18"/>
          </rPr>
          <t>ML 804/5 IR 11 (1802) – ObristLt. Komp. Abgang (Prag 16/09/1802)</t>
        </r>
        <r>
          <rPr>
            <sz val="14"/>
            <color rgb="FF000000"/>
            <rFont val="Times New Roman"/>
            <family val="18"/>
          </rPr>
          <t xml:space="preserve">
</t>
        </r>
        <r>
          <rPr>
            <sz val="14"/>
            <color rgb="FF000000"/>
            <rFont val="Times New Roman"/>
            <family val="18"/>
          </rPr>
          <t>ML 806 IR 11 (1804) – ObristLt. Komp. Nr. 162 (Prag 25/08/1804)</t>
        </r>
        <r>
          <rPr>
            <sz val="14"/>
            <color rgb="FF000000"/>
            <rFont val="Times New Roman"/>
            <family val="18"/>
          </rPr>
          <t xml:space="preserve">
</t>
        </r>
        <r>
          <rPr>
            <sz val="14"/>
            <color rgb="FF000000"/>
            <rFont val="Times New Roman"/>
            <family val="18"/>
          </rPr>
          <t>ML 807/8 IR 11 (1806) – 13. Fus. Komp. Abgang (Königgrätz 19/12/1806)</t>
        </r>
        <r>
          <rPr>
            <sz val="14"/>
            <color rgb="FF000000"/>
            <rFont val="Times New Roman"/>
            <family val="18"/>
          </rPr>
          <t xml:space="preserve">
</t>
        </r>
        <r>
          <rPr>
            <sz val="14"/>
            <color rgb="FF000000"/>
            <rFont val="Times New Roman"/>
            <family val="18"/>
          </rPr>
          <t>ML 838 IR 11 (1801) – ST Nov (Kuttenberg 14/12/1801)</t>
        </r>
        <r>
          <rPr>
            <sz val="14"/>
            <color rgb="FF000000"/>
            <rFont val="Times New Roman"/>
            <family val="18"/>
          </rPr>
          <t xml:space="preserve">
</t>
        </r>
      </text>
    </comment>
    <comment ref="BH273" authorId="0" shapeId="0" xr:uid="{78890D88-B088-2B40-A543-2004A20086F7}">
      <text>
        <r>
          <rPr>
            <sz val="14"/>
            <color rgb="FF000000"/>
            <rFont val="Calibri"/>
            <family val="34"/>
          </rPr>
          <t>IR 11 (1797-1805)</t>
        </r>
      </text>
    </comment>
    <comment ref="BF274" authorId="0" shapeId="0" xr:uid="{D0B7FD67-EA31-CF41-9FE2-4882246CFC51}">
      <text>
        <r>
          <rPr>
            <sz val="14"/>
            <color rgb="FF000000"/>
            <rFont val="Times New Roman"/>
            <family val="18"/>
          </rPr>
          <t xml:space="preserve">02/02/1797 [dient seit] </t>
        </r>
        <r>
          <rPr>
            <i/>
            <sz val="14"/>
            <color rgb="FF000000"/>
            <rFont val="Times New Roman"/>
            <family val="18"/>
          </rPr>
          <t>Bei Frohlich</t>
        </r>
        <r>
          <rPr>
            <sz val="14"/>
            <color rgb="FF000000"/>
            <rFont val="Times New Roman"/>
            <family val="18"/>
          </rPr>
          <t xml:space="preserve"> </t>
        </r>
        <r>
          <rPr>
            <b/>
            <sz val="14"/>
            <color rgb="FF000000"/>
            <rFont val="Times New Roman"/>
            <family val="18"/>
          </rPr>
          <t>[IR 28]</t>
        </r>
        <r>
          <rPr>
            <sz val="14"/>
            <color rgb="FF000000"/>
            <rFont val="Times New Roman"/>
            <family val="18"/>
          </rPr>
          <t xml:space="preserve">
</t>
        </r>
        <r>
          <rPr>
            <sz val="14"/>
            <color rgb="FF000000"/>
            <rFont val="Times New Roman"/>
            <family val="18"/>
          </rPr>
          <t xml:space="preserve">03/04/1797 </t>
        </r>
        <r>
          <rPr>
            <i/>
            <sz val="14"/>
            <color rgb="FF000000"/>
            <rFont val="Times New Roman"/>
            <family val="18"/>
          </rPr>
          <t>Von Fohlich anhero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04/04/1799 </t>
        </r>
        <r>
          <rPr>
            <i/>
            <sz val="14"/>
            <color rgb="FF000000"/>
            <rFont val="Times New Roman"/>
            <family val="18"/>
          </rPr>
          <t>Gefangen</t>
        </r>
        <r>
          <rPr>
            <sz val="14"/>
            <color rgb="FF000000"/>
            <rFont val="Times New Roman"/>
            <family val="18"/>
          </rPr>
          <t xml:space="preserve"> </t>
        </r>
        <r>
          <rPr>
            <b/>
            <sz val="14"/>
            <color rgb="FF000000"/>
            <rFont val="Times New Roman"/>
            <family val="18"/>
          </rPr>
          <t>[2. Gefecht bei Taufers]</t>
        </r>
        <r>
          <rPr>
            <sz val="14"/>
            <color rgb="FF000000"/>
            <rFont val="Times New Roman"/>
            <family val="18"/>
          </rPr>
          <t xml:space="preserve">
</t>
        </r>
        <r>
          <rPr>
            <sz val="14"/>
            <color rgb="FF000000"/>
            <rFont val="Times New Roman"/>
            <family val="18"/>
          </rPr>
          <t xml:space="preserve">21/04/1801 </t>
        </r>
        <r>
          <rPr>
            <i/>
            <sz val="14"/>
            <color rgb="FF000000"/>
            <rFont val="Times New Roman"/>
            <family val="18"/>
          </rPr>
          <t>Ranzioniert</t>
        </r>
        <r>
          <rPr>
            <sz val="14"/>
            <color rgb="FF000000"/>
            <rFont val="Times New Roman"/>
            <family val="18"/>
          </rPr>
          <t xml:space="preserve"> [ML 1801]</t>
        </r>
        <r>
          <rPr>
            <sz val="14"/>
            <color rgb="FF000000"/>
            <rFont val="Times New Roman"/>
            <family val="18"/>
          </rPr>
          <t xml:space="preserve">
</t>
        </r>
        <r>
          <rPr>
            <sz val="14"/>
            <color rgb="FF000000"/>
            <rFont val="Times New Roman"/>
            <family val="18"/>
          </rPr>
          <t>16/09/1802 Muster: IR 11 Haupt. Richter Nr. 157 [</t>
        </r>
        <r>
          <rPr>
            <i/>
            <sz val="14"/>
            <color rgb="FF000000"/>
            <rFont val="Times New Roman"/>
            <family val="18"/>
          </rPr>
          <t>Krank in Regimentspital in Prag</t>
        </r>
        <r>
          <rPr>
            <sz val="14"/>
            <color rgb="FF000000"/>
            <rFont val="Times New Roman"/>
            <family val="18"/>
          </rPr>
          <t>]</t>
        </r>
        <r>
          <rPr>
            <sz val="14"/>
            <color rgb="FF000000"/>
            <rFont val="Times New Roman"/>
            <family val="18"/>
          </rPr>
          <t xml:space="preserve">
</t>
        </r>
        <r>
          <rPr>
            <sz val="14"/>
            <color rgb="FF000000"/>
            <rFont val="Times New Roman"/>
            <family val="18"/>
          </rPr>
          <t xml:space="preserve">05/03/1803 </t>
        </r>
        <r>
          <rPr>
            <i/>
            <sz val="14"/>
            <color rgb="FF000000"/>
            <rFont val="Times New Roman"/>
            <family val="18"/>
          </rPr>
          <t>Zu Folge hoher Superarbitro ddeto Prag dem 1. M</t>
        </r>
        <r>
          <rPr>
            <i/>
            <sz val="14"/>
            <color rgb="FF000000"/>
            <rFont val="Times New Roman"/>
            <family val="18"/>
          </rPr>
          <t>ä</t>
        </r>
        <r>
          <rPr>
            <i/>
            <sz val="14"/>
            <color rgb="FF000000"/>
            <rFont val="Times New Roman"/>
            <family val="18"/>
          </rPr>
          <t>rz a.c. als anerkannter Real Invalid in Prager Invalidenhaus von Prager Regiments Spital zur Versorgung</t>
        </r>
        <r>
          <rPr>
            <sz val="14"/>
            <color rgb="FF000000"/>
            <rFont val="Times New Roman"/>
            <family val="18"/>
          </rPr>
          <t xml:space="preserve"> [ST March 1803] </t>
        </r>
        <r>
          <rPr>
            <sz val="14"/>
            <color rgb="FF000000"/>
            <rFont val="Times New Roman"/>
            <family val="18"/>
          </rPr>
          <t xml:space="preserve">
</t>
        </r>
      </text>
    </comment>
    <comment ref="BG274" authorId="0" shapeId="0" xr:uid="{35A40DAE-A167-EB4C-B0D2-6681142D84A7}">
      <text>
        <r>
          <rPr>
            <sz val="14"/>
            <color rgb="FF000000"/>
            <rFont val="Times New Roman"/>
            <family val="18"/>
          </rPr>
          <t xml:space="preserve">ML 804/5 IR 11 (1802) – Haupt Richter Komp. Nr. 157 (Prague 16/09/1802)
</t>
        </r>
        <r>
          <rPr>
            <sz val="14"/>
            <color rgb="FF000000"/>
            <rFont val="Times New Roman"/>
            <family val="18"/>
          </rPr>
          <t xml:space="preserve">ML 841 IR 11 (1803) – ST March (Prague 07/04/1802)
</t>
        </r>
      </text>
    </comment>
    <comment ref="BH274" authorId="0" shapeId="0" xr:uid="{7C6E7FFA-02B2-A042-A5F7-9942EC4BBFEF}">
      <text>
        <r>
          <rPr>
            <sz val="14"/>
            <color rgb="FF000000"/>
            <rFont val="Calibri"/>
            <family val="34"/>
          </rPr>
          <t xml:space="preserve">IR 28 (1797)
</t>
        </r>
        <r>
          <rPr>
            <sz val="14"/>
            <color rgb="FF000000"/>
            <rFont val="Calibri"/>
            <family val="34"/>
          </rPr>
          <t xml:space="preserve">IR 11 (1797-1803)
</t>
        </r>
        <r>
          <rPr>
            <sz val="14"/>
            <color rgb="FF000000"/>
            <rFont val="Calibri"/>
            <family val="34"/>
          </rPr>
          <t xml:space="preserve">InvH Prag (1803)
</t>
        </r>
      </text>
    </comment>
    <comment ref="BF275" authorId="0" shapeId="0" xr:uid="{62007B79-8423-1F4B-A692-5650866B0451}">
      <text>
        <r>
          <rPr>
            <sz val="14"/>
            <color rgb="FF000000"/>
            <rFont val="Times New Roman"/>
            <family val="18"/>
          </rPr>
          <t xml:space="preserve">02/02/1797 </t>
        </r>
        <r>
          <rPr>
            <i/>
            <sz val="14"/>
            <color rgb="FF000000"/>
            <rFont val="Times New Roman"/>
            <family val="18"/>
          </rPr>
          <t>Von Lande a 3Fl Handgeld zum IR 3 Reserve Division 2. Abtheilung gestellt</t>
        </r>
        <r>
          <rPr>
            <sz val="14"/>
            <color rgb="FF000000"/>
            <rFont val="Times New Roman"/>
            <family val="18"/>
          </rPr>
          <t xml:space="preserve"> [AL Feb 1797]
</t>
        </r>
        <r>
          <rPr>
            <sz val="14"/>
            <color rgb="FF000000"/>
            <rFont val="Times New Roman"/>
            <family val="18"/>
          </rPr>
          <t xml:space="preserve">02/03/1797 </t>
        </r>
        <r>
          <rPr>
            <i/>
            <sz val="14"/>
            <color rgb="FF000000"/>
            <rFont val="Times New Roman"/>
            <family val="18"/>
          </rPr>
          <t>Desertiert</t>
        </r>
        <r>
          <rPr>
            <sz val="14"/>
            <color rgb="FF000000"/>
            <rFont val="Times New Roman"/>
            <family val="18"/>
          </rPr>
          <t xml:space="preserve"> [AL Feb 1797 – Spätere Notiz]</t>
        </r>
      </text>
    </comment>
    <comment ref="BG275" authorId="0" shapeId="0" xr:uid="{C50DED24-1A50-4747-A7AB-BA01C5888929}">
      <text>
        <r>
          <rPr>
            <sz val="14"/>
            <color rgb="FF000000"/>
            <rFont val="Times New Roman"/>
            <family val="18"/>
          </rPr>
          <t xml:space="preserve">ML 269 IR 3 (1797) – AL von IR 3 Reserve Division, Nr. 7 (Sandomierz, 05/02/1797)
</t>
        </r>
      </text>
    </comment>
    <comment ref="BH275" authorId="0" shapeId="0" xr:uid="{5EE2A5AE-77B4-734C-B56A-B0BB3B5EBF75}">
      <text>
        <r>
          <rPr>
            <sz val="14"/>
            <color rgb="FF000000"/>
            <rFont val="Calibri"/>
            <family val="34"/>
          </rPr>
          <t>IR 3 (1797)</t>
        </r>
      </text>
    </comment>
    <comment ref="BF276" authorId="0" shapeId="0" xr:uid="{63CE7E19-8330-0446-994E-B3DCD840718A}">
      <text>
        <r>
          <rPr>
            <sz val="14"/>
            <color rgb="FF000000"/>
            <rFont val="Times New Roman"/>
            <family val="18"/>
          </rPr>
          <t xml:space="preserve">02/02/1797 </t>
        </r>
        <r>
          <rPr>
            <i/>
            <sz val="14"/>
            <color rgb="FF000000"/>
            <rFont val="Times New Roman"/>
            <family val="18"/>
          </rPr>
          <t>Auf Kriegsdauer Bei Fürstenberg Infanterie</t>
        </r>
        <r>
          <rPr>
            <sz val="14"/>
            <color rgb="FF000000"/>
            <rFont val="Times New Roman"/>
            <family val="18"/>
          </rPr>
          <t xml:space="preserve"> </t>
        </r>
        <r>
          <rPr>
            <b/>
            <sz val="14"/>
            <color rgb="FF000000"/>
            <rFont val="Times New Roman"/>
            <family val="18"/>
          </rPr>
          <t xml:space="preserve">[IR 36] </t>
        </r>
        <r>
          <rPr>
            <i/>
            <sz val="14"/>
            <color rgb="FF000000"/>
            <rFont val="Times New Roman"/>
            <family val="18"/>
          </rPr>
          <t>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26/06/1798 Von </t>
        </r>
        <r>
          <rPr>
            <i/>
            <sz val="14"/>
            <color rgb="FF000000"/>
            <rFont val="Times New Roman"/>
            <family val="18"/>
          </rPr>
          <t xml:space="preserve">Fürstenberg </t>
        </r>
        <r>
          <rPr>
            <b/>
            <sz val="14"/>
            <color rgb="FF000000"/>
            <rFont val="Times New Roman"/>
            <family val="18"/>
          </rPr>
          <t>[IR 36]</t>
        </r>
        <r>
          <rPr>
            <sz val="14"/>
            <color rgb="FF000000"/>
            <rFont val="Times New Roman"/>
            <family val="18"/>
          </rPr>
          <t xml:space="preserve"> </t>
        </r>
        <r>
          <rPr>
            <i/>
            <sz val="14"/>
            <color rgb="FF000000"/>
            <rFont val="Times New Roman"/>
            <family val="18"/>
          </rPr>
          <t>zum De Ligne Infanterie transferiert und zum Haupt Forntaine Komp. eingeteilt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29/06/1798 </t>
        </r>
        <r>
          <rPr>
            <i/>
            <sz val="14"/>
            <color rgb="FF000000"/>
            <rFont val="Times New Roman"/>
            <family val="18"/>
          </rPr>
          <t xml:space="preserve">Von Marsch Station Trusko desertiert </t>
        </r>
        <r>
          <rPr>
            <sz val="14"/>
            <color rgb="FF000000"/>
            <rFont val="Times New Roman"/>
            <family val="18"/>
          </rPr>
          <t>[ML 1803 &amp; ST June 1798]</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Landmann Gegen 24 Fl Handgeld attrappiert und zum Prag desertiert, seitdem auf anhero March</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26/07/1798 </t>
        </r>
        <r>
          <rPr>
            <i/>
            <sz val="14"/>
            <color rgb="FF000000"/>
            <rFont val="Times New Roman"/>
            <family val="18"/>
          </rPr>
          <t>In Kompanie eingerückt und sofort ins Arrest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28/07/1798 </t>
        </r>
        <r>
          <rPr>
            <i/>
            <sz val="14"/>
            <color rgb="FF000000"/>
            <rFont val="Times New Roman"/>
            <family val="18"/>
          </rPr>
          <t>Von Arrest Befreit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30/09/1798 </t>
        </r>
        <r>
          <rPr>
            <i/>
            <sz val="14"/>
            <color rgb="FF000000"/>
            <rFont val="Times New Roman"/>
            <family val="18"/>
          </rPr>
          <t xml:space="preserve">Einzig ohne Feuergewehr desertiert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03/10/1798 </t>
        </r>
        <r>
          <rPr>
            <i/>
            <sz val="14"/>
            <color rgb="FF000000"/>
            <rFont val="Times New Roman"/>
            <family val="18"/>
          </rPr>
          <t>von Militar a 8Fl Taglia attrapiert, setidem auf anero Marsch</t>
        </r>
        <r>
          <rPr>
            <sz val="14"/>
            <color rgb="FF000000"/>
            <rFont val="Times New Roman"/>
            <family val="18"/>
          </rPr>
          <t xml:space="preserve"> [ML 1803 &amp; ST Oct 1798]</t>
        </r>
        <r>
          <rPr>
            <sz val="14"/>
            <color rgb="FF000000"/>
            <rFont val="Calibri"/>
            <family val="34"/>
          </rPr>
          <t xml:space="preserve">
</t>
        </r>
        <r>
          <rPr>
            <sz val="14"/>
            <color rgb="FF000000"/>
            <rFont val="Times New Roman"/>
            <family val="18"/>
          </rPr>
          <t xml:space="preserve">26/10/1798 </t>
        </r>
        <r>
          <rPr>
            <i/>
            <sz val="14"/>
            <color rgb="FF000000"/>
            <rFont val="Times New Roman"/>
            <family val="18"/>
          </rPr>
          <t>In Kompanie eingerückt und sofort in Arrest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05/12/1798 </t>
        </r>
        <r>
          <rPr>
            <i/>
            <sz val="14"/>
            <color rgb="FF000000"/>
            <rFont val="Times New Roman"/>
            <family val="18"/>
          </rPr>
          <t>Von Arrest Befreit</t>
        </r>
        <r>
          <rPr>
            <sz val="14"/>
            <color rgb="FF000000"/>
            <rFont val="Times New Roman"/>
            <family val="18"/>
          </rPr>
          <t xml:space="preserve"> [ST Dec 1798]</t>
        </r>
        <r>
          <rPr>
            <sz val="14"/>
            <color rgb="FF000000"/>
            <rFont val="Calibri"/>
            <family val="34"/>
          </rPr>
          <t xml:space="preserve">
</t>
        </r>
        <r>
          <rPr>
            <sz val="14"/>
            <color rgb="FF000000"/>
            <rFont val="Times New Roman"/>
            <family val="18"/>
          </rPr>
          <t xml:space="preserve">13/05/1800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24/12/1800 </t>
        </r>
        <r>
          <rPr>
            <i/>
            <sz val="14"/>
            <color rgb="FF000000"/>
            <rFont val="Times New Roman"/>
            <family val="18"/>
          </rPr>
          <t>auf General Pardon selbst Gemeldet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Delawoestines Komp. Nr. 72 [</t>
        </r>
        <r>
          <rPr>
            <i/>
            <sz val="14"/>
            <color rgb="FF000000"/>
            <rFont val="Times New Roman"/>
            <family val="18"/>
          </rPr>
          <t>Hat Ausgedient &amp; Reale Invalide</t>
        </r>
        <r>
          <rPr>
            <sz val="14"/>
            <color rgb="FF000000"/>
            <rFont val="Times New Roman"/>
            <family val="18"/>
          </rPr>
          <t>] [ML 1803]</t>
        </r>
        <r>
          <rPr>
            <sz val="14"/>
            <color rgb="FF000000"/>
            <rFont val="Calibri"/>
            <family val="34"/>
          </rPr>
          <t xml:space="preserve">
</t>
        </r>
        <r>
          <rPr>
            <sz val="14"/>
            <color rgb="FF000000"/>
            <rFont val="Times New Roman"/>
            <family val="18"/>
          </rPr>
          <t xml:space="preserve">15/09/1803 </t>
        </r>
        <r>
          <rPr>
            <i/>
            <sz val="14"/>
            <color rgb="FF000000"/>
            <rFont val="Times New Roman"/>
            <family val="18"/>
          </rPr>
          <t>Laut general commando Verordnung von 8 hujus als untauglich mit Laufpaß entlassen</t>
        </r>
        <r>
          <rPr>
            <sz val="14"/>
            <color rgb="FF000000"/>
            <rFont val="Times New Roman"/>
            <family val="18"/>
          </rPr>
          <t xml:space="preserve"> [ML 1804] </t>
        </r>
      </text>
    </comment>
    <comment ref="BG276" authorId="0" shapeId="0" xr:uid="{BFF77B4F-2B33-9347-B1AD-CD53219E7287}">
      <text>
        <r>
          <rPr>
            <sz val="14"/>
            <color rgb="FF000000"/>
            <rFont val="Times New Roman"/>
            <family val="18"/>
          </rPr>
          <t>ML 2630 IR 30 (1803) – Haupt Delawoestines Komp. Nr. 72 (Lemberg 12/08/1803)</t>
        </r>
        <r>
          <rPr>
            <sz val="14"/>
            <color rgb="FF000000"/>
            <rFont val="Calibri"/>
            <family val="34"/>
          </rPr>
          <t xml:space="preserve">
</t>
        </r>
        <r>
          <rPr>
            <sz val="14"/>
            <color rgb="FF000000"/>
            <rFont val="Times New Roman"/>
            <family val="18"/>
          </rPr>
          <t xml:space="preserve">ML 2631 IR 30 (1804) – Haupt Delawoestines Komp. – Abgang (Lemberg 19/09/1804) </t>
        </r>
        <r>
          <rPr>
            <sz val="14"/>
            <color rgb="FF000000"/>
            <rFont val="Calibri"/>
            <family val="34"/>
          </rPr>
          <t xml:space="preserve">
</t>
        </r>
        <r>
          <rPr>
            <sz val="14"/>
            <color rgb="FF000000"/>
            <rFont val="Times New Roman"/>
            <family val="18"/>
          </rPr>
          <t>ML 2664 IR 30 (1798) – ST June (Lemberg 28/03/1803), ST July (Lemberg 13/03/1803), ST Sept (Lemberg 03/04/1803), Oct (Lemberg 08/04/1803), Dec (Theresienstadt 23/07/1799)</t>
        </r>
        <r>
          <rPr>
            <sz val="14"/>
            <color rgb="FF000000"/>
            <rFont val="Calibri"/>
            <family val="34"/>
          </rPr>
          <t xml:space="preserve">
</t>
        </r>
      </text>
    </comment>
    <comment ref="BH276" authorId="0" shapeId="0" xr:uid="{23ED5F77-086A-E443-991F-1F3506D3A4FC}">
      <text>
        <r>
          <rPr>
            <sz val="14"/>
            <color rgb="FF000000"/>
            <rFont val="Calibri"/>
            <family val="34"/>
          </rPr>
          <t xml:space="preserve">IR 36 (1797-1798)
</t>
        </r>
        <r>
          <rPr>
            <sz val="14"/>
            <color rgb="FF000000"/>
            <rFont val="Calibri"/>
            <family val="34"/>
          </rPr>
          <t xml:space="preserve">IR 30 (1798-1803)
</t>
        </r>
      </text>
    </comment>
    <comment ref="BF277" authorId="0" shapeId="0" xr:uid="{B06B8C6D-8AE8-064A-BFF7-DA7D4C48A96C}">
      <text>
        <r>
          <rPr>
            <sz val="14"/>
            <color rgb="FF000000"/>
            <rFont val="Times New Roman"/>
            <family val="18"/>
          </rPr>
          <t xml:space="preserve">02/02/1797 </t>
        </r>
        <r>
          <rPr>
            <i/>
            <sz val="14"/>
            <color rgb="FF000000"/>
            <rFont val="Times New Roman"/>
            <family val="18"/>
          </rPr>
          <t>A 3Fl Handgeld zu Sandomierz in Galizien ohne Capitulation assentiert</t>
        </r>
        <r>
          <rPr>
            <sz val="14"/>
            <color rgb="FF000000"/>
            <rFont val="Times New Roman"/>
            <family val="18"/>
          </rPr>
          <t xml:space="preserve"> [ML 1803 &amp; ML 1806]</t>
        </r>
        <r>
          <rPr>
            <sz val="14"/>
            <color rgb="FF000000"/>
            <rFont val="Calibri"/>
            <family val="34"/>
          </rPr>
          <t xml:space="preserve">
</t>
        </r>
        <r>
          <rPr>
            <sz val="14"/>
            <color rgb="FF000000"/>
            <rFont val="Times New Roman"/>
            <family val="18"/>
          </rPr>
          <t>14/09/1803 Muster: IR 4 Haupt Bouhl Komp. Nr. 24</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Urlaub desertiert</t>
        </r>
        <r>
          <rPr>
            <sz val="14"/>
            <color rgb="FF000000"/>
            <rFont val="Times New Roman"/>
            <family val="18"/>
          </rPr>
          <t xml:space="preserve"> [ML 1806] </t>
        </r>
      </text>
    </comment>
    <comment ref="BG277" authorId="0" shapeId="0" xr:uid="{6197FAD8-6362-EA45-88D1-F078835B5ECC}">
      <text>
        <r>
          <rPr>
            <sz val="14"/>
            <color rgb="FF000000"/>
            <rFont val="Times New Roman"/>
            <family val="18"/>
          </rPr>
          <t>ML 348 IR 4 (1803) – Haupt Bouhl Nr. 35 (Vienna 14/09/1803)</t>
        </r>
        <r>
          <rPr>
            <sz val="14"/>
            <color rgb="FF000000"/>
            <rFont val="Calibri"/>
            <family val="34"/>
          </rPr>
          <t xml:space="preserve">
</t>
        </r>
        <r>
          <rPr>
            <sz val="14"/>
            <color rgb="FF000000"/>
            <rFont val="Times New Roman"/>
            <family val="18"/>
          </rPr>
          <t>ML 349/50 IR 4 (1806) – 16. Fus. Komp. Abgang (Wiener Neustadt 31/12/1806), Deserteur Consignation Nr. 374 (Wiener Neustadt 31/12/1806)</t>
        </r>
        <r>
          <rPr>
            <sz val="14"/>
            <color rgb="FF000000"/>
            <rFont val="Calibri"/>
            <family val="34"/>
          </rPr>
          <t xml:space="preserve">
</t>
        </r>
      </text>
    </comment>
    <comment ref="BH277" authorId="0" shapeId="0" xr:uid="{41F032DE-91FD-D34A-9C52-C19701D25373}">
      <text>
        <r>
          <rPr>
            <sz val="14"/>
            <color rgb="FF000000"/>
            <rFont val="Calibri"/>
            <family val="34"/>
          </rPr>
          <t xml:space="preserve">IR 4 (1797-1805
</t>
        </r>
        <r>
          <rPr>
            <sz val="14"/>
            <color rgb="FF000000"/>
            <rFont val="Calibri"/>
            <family val="34"/>
          </rPr>
          <t>)</t>
        </r>
      </text>
    </comment>
    <comment ref="BF278" authorId="0" shapeId="0" xr:uid="{11538E59-1868-CB4B-A9CD-A2A7B0A1E521}">
      <text>
        <r>
          <rPr>
            <sz val="14"/>
            <color rgb="FF000000"/>
            <rFont val="Times New Roman"/>
            <family val="18"/>
          </rPr>
          <t xml:space="preserve">02/02/1797 </t>
        </r>
        <r>
          <rPr>
            <i/>
            <sz val="14"/>
            <color rgb="FF000000"/>
            <rFont val="Times New Roman"/>
            <family val="18"/>
          </rPr>
          <t xml:space="preserve">von Lande a 3Fl Handgeld zum ohne Capitulaiton IR 3 Reserve Div 3. Abtheilung gestellt </t>
        </r>
        <r>
          <rPr>
            <sz val="14"/>
            <color rgb="FF000000"/>
            <rFont val="Times New Roman"/>
            <family val="18"/>
          </rPr>
          <t>[AL Feb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4 transferiert</t>
        </r>
        <r>
          <rPr>
            <sz val="14"/>
            <color rgb="FF000000"/>
            <rFont val="Times New Roman"/>
            <family val="18"/>
          </rPr>
          <t xml:space="preserve"> [TL May 1797]</t>
        </r>
        <r>
          <rPr>
            <sz val="14"/>
            <color rgb="FF000000"/>
            <rFont val="Calibri"/>
            <family val="34"/>
          </rPr>
          <t xml:space="preserve">
</t>
        </r>
      </text>
    </comment>
    <comment ref="BG278" authorId="0" shapeId="0" xr:uid="{4617B2C8-6492-1849-BD8A-051E54ADE8AC}">
      <text>
        <r>
          <rPr>
            <sz val="14"/>
            <color rgb="FF000000"/>
            <rFont val="Times New Roman"/>
            <family val="18"/>
          </rPr>
          <t>ML 269 IR 3 (1797) AL/TL – AL. Nr. 11 (Sandomierz 05/02/1797), TL IR 3-&gt;IR 4 Nr. 246 (Vienna 09/05/1797)</t>
        </r>
        <r>
          <rPr>
            <sz val="14"/>
            <color rgb="FF000000"/>
            <rFont val="Calibri"/>
            <family val="34"/>
          </rPr>
          <t xml:space="preserve">
</t>
        </r>
      </text>
    </comment>
    <comment ref="BH278" authorId="0" shapeId="0" xr:uid="{C9FF3B8D-5C0C-0544-A665-C497CF164290}">
      <text>
        <r>
          <rPr>
            <sz val="14"/>
            <color rgb="FF000000"/>
            <rFont val="Calibri"/>
            <family val="34"/>
          </rPr>
          <t xml:space="preserve">IR 3 (1797)
</t>
        </r>
        <r>
          <rPr>
            <sz val="14"/>
            <color rgb="FF000000"/>
            <rFont val="Calibri"/>
            <family val="34"/>
          </rPr>
          <t>IR 4 (1797)</t>
        </r>
      </text>
    </comment>
    <comment ref="BI278" authorId="0" shapeId="0" xr:uid="{F5176F28-9D97-7E41-9469-26F503800C83}">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79" authorId="0" shapeId="0" xr:uid="{0D67D258-9BB7-0F44-B315-B5DC7C51E65B}">
      <text>
        <r>
          <rPr>
            <sz val="14"/>
            <color rgb="FF000000"/>
            <rFont val="Times New Roman"/>
            <family val="18"/>
          </rPr>
          <t xml:space="preserve">02/02/1797 </t>
        </r>
        <r>
          <rPr>
            <i/>
            <sz val="14"/>
            <color rgb="FF000000"/>
            <rFont val="Times New Roman"/>
            <family val="18"/>
          </rPr>
          <t>Von Lande a 3Fl Handgeld zu, IR 3 Reserve Div 3. Abtheilung gestellt</t>
        </r>
        <r>
          <rPr>
            <sz val="14"/>
            <color rgb="FF000000"/>
            <rFont val="Times New Roman"/>
            <family val="18"/>
          </rPr>
          <t xml:space="preserve"> [AL Feb 1797]</t>
        </r>
        <r>
          <rPr>
            <sz val="14"/>
            <color rgb="FF000000"/>
            <rFont val="Calibri"/>
            <family val="34"/>
          </rPr>
          <t xml:space="preserve">
</t>
        </r>
        <r>
          <rPr>
            <sz val="14"/>
            <color rgb="FFFF0000"/>
            <rFont val="Times New Roman"/>
            <family val="18"/>
          </rPr>
          <t xml:space="preserve">02/03/1797 </t>
        </r>
        <r>
          <rPr>
            <i/>
            <sz val="14"/>
            <color rgb="FFFF0000"/>
            <rFont val="Times New Roman"/>
            <family val="18"/>
          </rPr>
          <t>Desertiert</t>
        </r>
        <r>
          <rPr>
            <sz val="14"/>
            <color rgb="FFFF0000"/>
            <rFont val="Times New Roman"/>
            <family val="18"/>
          </rPr>
          <t xml:space="preserve"> [noted with pencil] Does not appear on his subsequent transfer list]</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24 ‚Reserve Division‘ transferiert</t>
        </r>
        <r>
          <rPr>
            <sz val="14"/>
            <color rgb="FF000000"/>
            <rFont val="Times New Roman"/>
            <family val="18"/>
          </rPr>
          <t xml:space="preserve"> [TL May 1797]</t>
        </r>
        <r>
          <rPr>
            <sz val="14"/>
            <color rgb="FF000000"/>
            <rFont val="Calibri"/>
            <family val="34"/>
          </rPr>
          <t xml:space="preserve">
</t>
        </r>
      </text>
    </comment>
    <comment ref="BG279" authorId="0" shapeId="0" xr:uid="{00D75F5B-5E8C-8746-9511-3CCF6B1BAEF1}">
      <text>
        <r>
          <rPr>
            <sz val="14"/>
            <color rgb="FF000000"/>
            <rFont val="Times New Roman"/>
            <family val="18"/>
          </rPr>
          <t>ML 269 IR 3 (1797) AL/TL – AL. Nr. 12 (Sandomierz 05/02/1797), TL IR 3-&gt; IR 24 Nr. 249 (Vienna 05/05/1797)</t>
        </r>
        <r>
          <rPr>
            <sz val="14"/>
            <color rgb="FF000000"/>
            <rFont val="Calibri"/>
            <family val="34"/>
          </rPr>
          <t xml:space="preserve">
</t>
        </r>
      </text>
    </comment>
    <comment ref="BH279" authorId="0" shapeId="0" xr:uid="{DEC7AEC2-76F5-B940-BB3D-C10FA9B23142}">
      <text>
        <r>
          <rPr>
            <sz val="14"/>
            <color rgb="FF000000"/>
            <rFont val="Calibri"/>
            <family val="34"/>
          </rPr>
          <t xml:space="preserve">IR 3 (1797)
</t>
        </r>
        <r>
          <rPr>
            <sz val="14"/>
            <color rgb="FF000000"/>
            <rFont val="Calibri"/>
            <family val="34"/>
          </rPr>
          <t>IR 24 (1797)</t>
        </r>
      </text>
    </comment>
    <comment ref="BI279" authorId="0" shapeId="0" xr:uid="{8E9ABF35-74F1-7646-A30C-3ADBCF4E55BB}">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I280" authorId="0" shapeId="0" xr:uid="{87754CC6-0F2D-7645-A3A8-709212FA109E}">
      <text>
        <r>
          <rPr>
            <b/>
            <sz val="14"/>
            <color rgb="FF000000"/>
            <rFont val="Calibri"/>
            <family val="34"/>
          </rPr>
          <t xml:space="preserve">1775 [22 (AL 1797)] 
</t>
        </r>
        <r>
          <rPr>
            <sz val="14"/>
            <color rgb="FF000000"/>
            <rFont val="Calibri"/>
            <family val="34"/>
          </rPr>
          <t xml:space="preserve">OR 
</t>
        </r>
        <r>
          <rPr>
            <sz val="14"/>
            <color rgb="FF000000"/>
            <rFont val="Calibri"/>
            <family val="34"/>
          </rPr>
          <t xml:space="preserve">1776 [27 (ML 1803)]
</t>
        </r>
      </text>
    </comment>
    <comment ref="K280" authorId="0" shapeId="0" xr:uid="{8D9D3925-0DAA-D446-90A8-D4F89F46891D}">
      <text>
        <r>
          <rPr>
            <sz val="14"/>
            <color rgb="FF000000"/>
            <rFont val="Calibri"/>
            <family val="34"/>
          </rPr>
          <t xml:space="preserve">Ohne  (1797)
</t>
        </r>
        <r>
          <rPr>
            <sz val="14"/>
            <color rgb="FF000000"/>
            <rFont val="Calibri"/>
            <family val="34"/>
          </rPr>
          <t>Müller  (1803)</t>
        </r>
      </text>
    </comment>
    <comment ref="BF280" authorId="0" shapeId="0" xr:uid="{9F1B5203-9E2F-2141-AA7E-28E8DF8391BE}">
      <text>
        <r>
          <rPr>
            <sz val="14"/>
            <color rgb="FF000000"/>
            <rFont val="Times New Roman"/>
            <family val="18"/>
          </rPr>
          <t xml:space="preserve">02/02/1797 </t>
        </r>
        <r>
          <rPr>
            <i/>
            <sz val="14"/>
            <color rgb="FF000000"/>
            <rFont val="Times New Roman"/>
            <family val="18"/>
          </rPr>
          <t xml:space="preserve">Von Lande a 3Fl Handgeld Ohne Capitulation zum IR 3 Reserve Div 3. Abtheilung gestellt </t>
        </r>
        <r>
          <rPr>
            <sz val="14"/>
            <color rgb="FF000000"/>
            <rFont val="Times New Roman"/>
            <family val="18"/>
          </rPr>
          <t>[AL Feb 1797]</t>
        </r>
        <r>
          <rPr>
            <sz val="14"/>
            <color rgb="FF000000"/>
            <rFont val="Calibri"/>
            <family val="34"/>
          </rPr>
          <t xml:space="preserve">
</t>
        </r>
        <r>
          <rPr>
            <sz val="14"/>
            <color rgb="FF000000"/>
            <rFont val="Times New Roman"/>
            <family val="18"/>
          </rPr>
          <t xml:space="preserve">26/04/1797 </t>
        </r>
        <r>
          <rPr>
            <i/>
            <sz val="14"/>
            <color rgb="FF000000"/>
            <rFont val="Times New Roman"/>
            <family val="18"/>
          </rPr>
          <t>Von IR 3 ‘Reserve Division’ zu IR 4 transferiert</t>
        </r>
        <r>
          <rPr>
            <sz val="14"/>
            <color rgb="FF000000"/>
            <rFont val="Times New Roman"/>
            <family val="18"/>
          </rPr>
          <t xml:space="preserve"> [TL May 1797]</t>
        </r>
        <r>
          <rPr>
            <sz val="14"/>
            <color rgb="FF000000"/>
            <rFont val="Calibri"/>
            <family val="34"/>
          </rPr>
          <t xml:space="preserve">
</t>
        </r>
        <r>
          <rPr>
            <sz val="14"/>
            <color rgb="FF000000"/>
            <rFont val="Times New Roman"/>
            <family val="18"/>
          </rPr>
          <t>12/09/1803 Muster: IR 4 Haupt Lathe Komp. Nr. 85</t>
        </r>
        <r>
          <rPr>
            <sz val="14"/>
            <color rgb="FF000000"/>
            <rFont val="Calibri"/>
            <family val="34"/>
          </rPr>
          <t xml:space="preserve">
</t>
        </r>
        <r>
          <rPr>
            <sz val="14"/>
            <color rgb="FF000000"/>
            <rFont val="Times New Roman"/>
            <family val="18"/>
          </rPr>
          <t xml:space="preserve">10/08/1805 </t>
        </r>
        <r>
          <rPr>
            <i/>
            <sz val="14"/>
            <color rgb="FF000000"/>
            <rFont val="Times New Roman"/>
            <family val="18"/>
          </rPr>
          <t xml:space="preserve">Als ausgedienter Kriegscapitulant vermog Verordnung von 28. Mai mit Abschied entlassen </t>
        </r>
        <r>
          <rPr>
            <sz val="14"/>
            <color rgb="FF000000"/>
            <rFont val="Times New Roman"/>
            <family val="18"/>
          </rPr>
          <t xml:space="preserve">[ML 1806] 
</t>
        </r>
      </text>
    </comment>
    <comment ref="BG280" authorId="0" shapeId="0" xr:uid="{C4364F4A-5429-114C-818C-A833E9B2677B}">
      <text>
        <r>
          <rPr>
            <sz val="14"/>
            <color rgb="FF000000"/>
            <rFont val="Times New Roman"/>
            <family val="18"/>
          </rPr>
          <t>ML 269 IR 3 (1797) AL/TL – AL. Nr. 8 (Sandomierz 05/02/1797), TL IR 3-&gt;IR 4 Nr. 247 (Vienna 09/05/1797)</t>
        </r>
        <r>
          <rPr>
            <sz val="14"/>
            <color rgb="FF000000"/>
            <rFont val="Calibri"/>
            <family val="34"/>
          </rPr>
          <t xml:space="preserve">
</t>
        </r>
        <r>
          <rPr>
            <sz val="14"/>
            <color rgb="FF000000"/>
            <rFont val="Times New Roman"/>
            <family val="18"/>
          </rPr>
          <t>ML 348 IR 4 (1803) – Haupt Lathe Komp. Nr. 85 (Wiener Neustadt 12/09/1803)</t>
        </r>
        <r>
          <rPr>
            <sz val="14"/>
            <color rgb="FF000000"/>
            <rFont val="Calibri"/>
            <family val="34"/>
          </rPr>
          <t xml:space="preserve">
</t>
        </r>
        <r>
          <rPr>
            <sz val="14"/>
            <color rgb="FF000000"/>
            <rFont val="Times New Roman"/>
            <family val="18"/>
          </rPr>
          <t>ML 349/50 IR 4 (1806) – 6. Fus. Komp. Abgang (Wiener Neustadt 31/12/1806)</t>
        </r>
        <r>
          <rPr>
            <sz val="14"/>
            <color rgb="FF000000"/>
            <rFont val="Calibri"/>
            <family val="34"/>
          </rPr>
          <t xml:space="preserve">
</t>
        </r>
      </text>
    </comment>
    <comment ref="BH280" authorId="0" shapeId="0" xr:uid="{447D1E3E-8F1F-5A4F-91A9-0148303ED1A7}">
      <text>
        <r>
          <rPr>
            <sz val="14"/>
            <color rgb="FF000000"/>
            <rFont val="Calibri"/>
            <family val="34"/>
          </rPr>
          <t xml:space="preserve">IR 3 (1797)
</t>
        </r>
        <r>
          <rPr>
            <sz val="14"/>
            <color rgb="FF000000"/>
            <rFont val="Calibri"/>
            <family val="34"/>
          </rPr>
          <t>IR 4 (1797-1805)</t>
        </r>
      </text>
    </comment>
    <comment ref="BI280" authorId="0" shapeId="0" xr:uid="{A01C0D3A-5F39-2F4B-9170-3CB87C19F945}">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T281" authorId="0" shapeId="0" xr:uid="{8921A2C7-A0A7-7942-98E9-4B44F56EEE4A}">
      <text>
        <r>
          <rPr>
            <b/>
            <sz val="14"/>
            <color rgb="FF000000"/>
            <rFont val="Calibri"/>
            <family val="34"/>
          </rPr>
          <t xml:space="preserve">5.3.2 [166.22 cm] (ML 1803)
</t>
        </r>
        <r>
          <rPr>
            <sz val="14"/>
            <color rgb="FF000000"/>
            <rFont val="Calibri"/>
            <family val="34"/>
          </rPr>
          <t>5.3.3 [166.55 cm] [TL 1797]</t>
        </r>
      </text>
    </comment>
    <comment ref="BF281" authorId="0" shapeId="0" xr:uid="{F3243DF7-1B05-EB4D-B598-E4AEBAAE1CAA}">
      <text>
        <r>
          <rPr>
            <sz val="14"/>
            <color rgb="FF000000"/>
            <rFont val="Times New Roman"/>
            <family val="18"/>
          </rPr>
          <t xml:space="preserve">02/02/1797 </t>
        </r>
        <r>
          <rPr>
            <i/>
            <sz val="14"/>
            <color rgb="FF000000"/>
            <rFont val="Times New Roman"/>
            <family val="18"/>
          </rPr>
          <t>Von Lande a 3Fl Handgeld ohne Capitulation, IR 3 Reserve Div 1. Abtheilung gestellt</t>
        </r>
        <r>
          <rPr>
            <sz val="14"/>
            <color rgb="FF000000"/>
            <rFont val="Times New Roman"/>
            <family val="18"/>
          </rPr>
          <t xml:space="preserve"> [AL Feb 1797]</t>
        </r>
        <r>
          <rPr>
            <sz val="14"/>
            <color rgb="FF000000"/>
            <rFont val="Aptos"/>
            <family val="34"/>
          </rPr>
          <t xml:space="preserve">
</t>
        </r>
        <r>
          <rPr>
            <sz val="14"/>
            <color rgb="FF000000"/>
            <rFont val="Times New Roman"/>
            <family val="18"/>
          </rPr>
          <t xml:space="preserve">26/04/1797 </t>
        </r>
        <r>
          <rPr>
            <i/>
            <sz val="14"/>
            <color rgb="FF000000"/>
            <rFont val="Times New Roman"/>
            <family val="18"/>
          </rPr>
          <t xml:space="preserve">Von IR 3 ‘Reserve Division’ zum IR 4 transferiert </t>
        </r>
        <r>
          <rPr>
            <sz val="14"/>
            <color rgb="FF000000"/>
            <rFont val="Times New Roman"/>
            <family val="18"/>
          </rPr>
          <t>[TL May 1797]</t>
        </r>
        <r>
          <rPr>
            <sz val="14"/>
            <color rgb="FF000000"/>
            <rFont val="Aptos"/>
            <family val="34"/>
          </rPr>
          <t xml:space="preserve">
</t>
        </r>
        <r>
          <rPr>
            <sz val="14"/>
            <color rgb="FF000000"/>
            <rFont val="Times New Roman"/>
            <family val="18"/>
          </rPr>
          <t>14/09/1803 Muster: IR 4 Obrist Komp. Nr. 33 [</t>
        </r>
        <r>
          <rPr>
            <i/>
            <sz val="14"/>
            <color rgb="FF000000"/>
            <rFont val="Times New Roman"/>
            <family val="18"/>
          </rPr>
          <t>Beurlaubt in seinem Geburtsort in Galizien</t>
        </r>
        <r>
          <rPr>
            <sz val="14"/>
            <color rgb="FF000000"/>
            <rFont val="Times New Roman"/>
            <family val="18"/>
          </rPr>
          <t>]</t>
        </r>
        <r>
          <rPr>
            <sz val="14"/>
            <color rgb="FF000000"/>
            <rFont val="Aptos"/>
            <family val="34"/>
          </rPr>
          <t xml:space="preserve">
</t>
        </r>
        <r>
          <rPr>
            <sz val="14"/>
            <color rgb="FF000000"/>
            <rFont val="Times New Roman"/>
            <family val="18"/>
          </rPr>
          <t>04/1804 UNBEKANNT: In Dienst bis mindestens 31/03/1804</t>
        </r>
        <r>
          <rPr>
            <sz val="14"/>
            <color rgb="FF000000"/>
            <rFont val="Aptos"/>
            <family val="34"/>
          </rPr>
          <t xml:space="preserve">
</t>
        </r>
      </text>
    </comment>
    <comment ref="BG281" authorId="0" shapeId="0" xr:uid="{7D071875-78B9-6547-AA7A-05282EA4A2B8}">
      <text>
        <r>
          <rPr>
            <sz val="14"/>
            <color rgb="FF000000"/>
            <rFont val="Times New Roman"/>
            <family val="18"/>
          </rPr>
          <t>ML 269 IR 3 (1797) AL/TL – AL. Nr. 9 (Sandomierz 05/02/1797), TL IR 3-&gt;IR 4 Nr. 245 (Vienna 09/05/1797)</t>
        </r>
        <r>
          <rPr>
            <sz val="14"/>
            <color rgb="FF000000"/>
            <rFont val="Aptos"/>
            <family val="34"/>
          </rPr>
          <t xml:space="preserve">
</t>
        </r>
        <r>
          <rPr>
            <sz val="14"/>
            <color rgb="FF000000"/>
            <rFont val="Times New Roman"/>
            <family val="18"/>
          </rPr>
          <t>ML 348 IR 4 (1803) – Obrist Komp. Nr. 33 (Vienna 14/09/1803)</t>
        </r>
        <r>
          <rPr>
            <sz val="14"/>
            <color rgb="FF000000"/>
            <rFont val="Aptos"/>
            <family val="34"/>
          </rPr>
          <t xml:space="preserve">
</t>
        </r>
      </text>
    </comment>
    <comment ref="BH281" authorId="0" shapeId="0" xr:uid="{75E126BE-0DAC-FA4E-8EB5-C882AAD62A78}">
      <text>
        <r>
          <rPr>
            <sz val="14"/>
            <color rgb="FF000000"/>
            <rFont val="Calibri"/>
            <family val="34"/>
          </rPr>
          <t xml:space="preserve">IR 3 (1797)
</t>
        </r>
        <r>
          <rPr>
            <sz val="14"/>
            <color rgb="FF000000"/>
            <rFont val="Calibri"/>
            <family val="34"/>
          </rPr>
          <t>IR 4 (1797-1804)</t>
        </r>
      </text>
    </comment>
    <comment ref="BI281" authorId="0" shapeId="0" xr:uid="{DCF3CB03-8B3D-4F48-9CF6-D3939FE06411}">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82" authorId="0" shapeId="0" xr:uid="{020E9976-F76E-814B-957F-E6466425AC18}">
      <text>
        <r>
          <rPr>
            <sz val="14"/>
            <color rgb="FF000000"/>
            <rFont val="Times New Roman"/>
            <family val="18"/>
          </rPr>
          <t xml:space="preserve">02/02/1797 </t>
        </r>
        <r>
          <rPr>
            <i/>
            <sz val="14"/>
            <color rgb="FF000000"/>
            <rFont val="Times New Roman"/>
            <family val="18"/>
          </rPr>
          <t>Von Lande a 3Fl Handgeld ohne Capitulation zum IR 3 Reserve Div 3. Abtheilung gestellt</t>
        </r>
        <r>
          <rPr>
            <sz val="14"/>
            <color rgb="FF000000"/>
            <rFont val="Times New Roman"/>
            <family val="18"/>
          </rPr>
          <t xml:space="preserve"> [Feb AL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zu IR 4 transferiert</t>
        </r>
        <r>
          <rPr>
            <sz val="14"/>
            <color rgb="FF000000"/>
            <rFont val="Times New Roman"/>
            <family val="18"/>
          </rPr>
          <t xml:space="preserve"> [TL May 1797]</t>
        </r>
        <r>
          <rPr>
            <sz val="14"/>
            <color rgb="FF000000"/>
            <rFont val="Calibri"/>
            <family val="34"/>
          </rPr>
          <t xml:space="preserve">
</t>
        </r>
      </text>
    </comment>
    <comment ref="BG282" authorId="0" shapeId="0" xr:uid="{A740E7B8-4FED-C548-B460-03B4732389DB}">
      <text>
        <r>
          <rPr>
            <sz val="14"/>
            <color rgb="FF000000"/>
            <rFont val="Times New Roman"/>
            <family val="18"/>
          </rPr>
          <t>ML 269 IR 3 (1797) AL/TL – AL. Nr. 10 (Sandomierz 05/02/1797), TL IR 3-&gt;IR 4 Nr. 248 (Vienna 09/05/1797)</t>
        </r>
        <r>
          <rPr>
            <sz val="14"/>
            <color rgb="FF000000"/>
            <rFont val="Calibri"/>
            <family val="34"/>
          </rPr>
          <t xml:space="preserve">
</t>
        </r>
      </text>
    </comment>
    <comment ref="BH282" authorId="0" shapeId="0" xr:uid="{4B7558B7-08A2-004F-B85D-5F14F1E868CE}">
      <text>
        <r>
          <rPr>
            <sz val="14"/>
            <color rgb="FF000000"/>
            <rFont val="Calibri"/>
            <family val="34"/>
          </rPr>
          <t xml:space="preserve">IR 3 (1797)
</t>
        </r>
        <r>
          <rPr>
            <sz val="14"/>
            <color rgb="FF000000"/>
            <rFont val="Calibri"/>
            <family val="34"/>
          </rPr>
          <t>IR 4 (1797)</t>
        </r>
      </text>
    </comment>
    <comment ref="BI282" authorId="0" shapeId="0" xr:uid="{C548FDF6-F37D-B64E-9300-1E053AAE92EA}">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rPr>
          <t xml:space="preserve"> </t>
        </r>
      </text>
    </comment>
    <comment ref="BF283" authorId="0" shapeId="0" xr:uid="{812BC829-EB09-6C43-AFF9-F0E4AD7FD824}">
      <text>
        <r>
          <rPr>
            <sz val="14"/>
            <color rgb="FF000000"/>
            <rFont val="Times New Roman"/>
            <family val="18"/>
          </rPr>
          <t xml:space="preserve">02/02/1797 </t>
        </r>
        <r>
          <rPr>
            <i/>
            <sz val="14"/>
            <color rgb="FF000000"/>
            <rFont val="Times New Roman"/>
            <family val="18"/>
          </rPr>
          <t>Dient seit mit Versicherungsschein auf Kriegsdauer</t>
        </r>
        <r>
          <rPr>
            <sz val="14"/>
            <color rgb="FF000000"/>
            <rFont val="Times New Roman"/>
            <family val="18"/>
          </rPr>
          <t xml:space="preserve"> [ML 1802/1804]</t>
        </r>
        <r>
          <rPr>
            <sz val="14"/>
            <color rgb="FF000000"/>
            <rFont val="Times New Roman"/>
            <family val="18"/>
          </rPr>
          <t xml:space="preserve">
</t>
        </r>
        <r>
          <rPr>
            <i/>
            <sz val="14"/>
            <color rgb="FF000000"/>
            <rFont val="Times New Roman"/>
            <family val="18"/>
          </rPr>
          <t>Von Franz Kinsky</t>
        </r>
        <r>
          <rPr>
            <sz val="14"/>
            <color rgb="FF000000"/>
            <rFont val="Times New Roman"/>
            <family val="18"/>
          </rPr>
          <t xml:space="preserve"> </t>
        </r>
        <r>
          <rPr>
            <b/>
            <sz val="14"/>
            <color rgb="FF000000"/>
            <rFont val="Times New Roman"/>
            <family val="18"/>
          </rPr>
          <t>[IR 47]</t>
        </r>
        <r>
          <rPr>
            <sz val="14"/>
            <color rgb="FF000000"/>
            <rFont val="Times New Roman"/>
            <family val="18"/>
          </rPr>
          <t xml:space="preserve"> </t>
        </r>
        <r>
          <rPr>
            <i/>
            <sz val="14"/>
            <color rgb="FF000000"/>
            <rFont val="Times New Roman"/>
            <family val="18"/>
          </rPr>
          <t>zum IR 11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t>
        </r>
        <r>
          <rPr>
            <sz val="14"/>
            <color rgb="FF000000"/>
            <rFont val="Times New Roman"/>
            <family val="18"/>
          </rPr>
          <t xml:space="preserve">18/05/1801 </t>
        </r>
        <r>
          <rPr>
            <i/>
            <sz val="14"/>
            <color rgb="FF000000"/>
            <rFont val="Times New Roman"/>
            <family val="18"/>
          </rPr>
          <t>Ranzioniert</t>
        </r>
        <r>
          <rPr>
            <sz val="14"/>
            <color rgb="FF000000"/>
            <rFont val="Times New Roman"/>
            <family val="18"/>
          </rPr>
          <t xml:space="preserve"> [ML 1802 DOC]</t>
        </r>
        <r>
          <rPr>
            <sz val="14"/>
            <color rgb="FF000000"/>
            <rFont val="Times New Roman"/>
            <family val="18"/>
          </rPr>
          <t xml:space="preserve">
</t>
        </r>
        <r>
          <rPr>
            <sz val="14"/>
            <color rgb="FFFF0000"/>
            <rFont val="Times New Roman"/>
            <family val="18"/>
          </rPr>
          <t xml:space="preserve">24/06/1801 </t>
        </r>
        <r>
          <rPr>
            <i/>
            <sz val="14"/>
            <color rgb="FFFF0000"/>
            <rFont val="Times New Roman"/>
            <family val="18"/>
          </rPr>
          <t>Ranzioniert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17/09/1802 Muster: IR 11 Haupt. Stampach Komp. Nr. 143</t>
        </r>
        <r>
          <rPr>
            <sz val="14"/>
            <color rgb="FF000000"/>
            <rFont val="Times New Roman"/>
            <family val="18"/>
          </rPr>
          <t xml:space="preserve">
</t>
        </r>
        <r>
          <rPr>
            <sz val="14"/>
            <color rgb="FF000000"/>
            <rFont val="Times New Roman"/>
            <family val="18"/>
          </rPr>
          <t>25/08/1804 Muster: IR 11 Haupt. Stampach Komp. Nr. 120 [</t>
        </r>
        <r>
          <rPr>
            <i/>
            <sz val="14"/>
            <color rgb="FF000000"/>
            <rFont val="Times New Roman"/>
            <family val="18"/>
          </rPr>
          <t>Arrest</t>
        </r>
        <r>
          <rPr>
            <sz val="14"/>
            <color rgb="FF000000"/>
            <rFont val="Times New Roman"/>
            <family val="18"/>
          </rPr>
          <t>]</t>
        </r>
        <r>
          <rPr>
            <sz val="14"/>
            <color rgb="FF000000"/>
            <rFont val="Times New Roman"/>
            <family val="18"/>
          </rPr>
          <t xml:space="preserve">
</t>
        </r>
        <r>
          <rPr>
            <sz val="14"/>
            <color rgb="FF000000"/>
            <rFont val="Times New Roman"/>
            <family val="18"/>
          </rPr>
          <t xml:space="preserve">21/06/1805 </t>
        </r>
        <r>
          <rPr>
            <i/>
            <sz val="14"/>
            <color rgb="FF000000"/>
            <rFont val="Times New Roman"/>
            <family val="18"/>
          </rPr>
          <t>Als Kriegscapitulant mit Abschied entlassen</t>
        </r>
        <r>
          <rPr>
            <sz val="14"/>
            <color rgb="FF000000"/>
            <rFont val="Times New Roman"/>
            <family val="18"/>
          </rPr>
          <t xml:space="preserve"> [ST June 1805]</t>
        </r>
        <r>
          <rPr>
            <sz val="14"/>
            <color rgb="FF000000"/>
            <rFont val="Times New Roman"/>
            <family val="18"/>
          </rPr>
          <t xml:space="preserve">
</t>
        </r>
      </text>
    </comment>
    <comment ref="BG283" authorId="0" shapeId="0" xr:uid="{59F53293-C326-9B47-BE57-1FEE367C95D9}">
      <text>
        <r>
          <rPr>
            <sz val="14"/>
            <color rgb="FF000000"/>
            <rFont val="Times New Roman"/>
            <family val="18"/>
          </rPr>
          <t>ML 804/5 IR 11 (1802) – Haupt Stampach Komp. Nr. 143 (Wisotczan 17/09/1802)</t>
        </r>
        <r>
          <rPr>
            <sz val="14"/>
            <color rgb="FF000000"/>
            <rFont val="Times New Roman"/>
            <family val="18"/>
          </rPr>
          <t xml:space="preserve">
</t>
        </r>
        <r>
          <rPr>
            <sz val="14"/>
            <color rgb="FF000000"/>
            <rFont val="Times New Roman"/>
            <family val="18"/>
          </rPr>
          <t>ML 806 IR 11 (1804) – Haupt Stampach Komp. Nr. 120 (Prague 25/08/1804)</t>
        </r>
        <r>
          <rPr>
            <sz val="14"/>
            <color rgb="FF000000"/>
            <rFont val="Times New Roman"/>
            <family val="18"/>
          </rPr>
          <t xml:space="preserve">
</t>
        </r>
        <r>
          <rPr>
            <sz val="14"/>
            <color rgb="FF000000"/>
            <rFont val="Times New Roman"/>
            <family val="18"/>
          </rPr>
          <t>ML 845 IR 11 (1805) – ST June (Prague 25/07/1805)</t>
        </r>
        <r>
          <rPr>
            <sz val="14"/>
            <color rgb="FF000000"/>
            <rFont val="Times New Roman"/>
            <family val="18"/>
          </rPr>
          <t xml:space="preserve">
</t>
        </r>
      </text>
    </comment>
    <comment ref="BH283" authorId="0" shapeId="0" xr:uid="{058D6177-CB78-244A-89DC-E8F6BB5FD134}">
      <text>
        <r>
          <rPr>
            <sz val="14"/>
            <color rgb="FF000000"/>
            <rFont val="Calibri"/>
            <family val="34"/>
          </rPr>
          <t xml:space="preserve">IR 47 (1797-179?)
</t>
        </r>
        <r>
          <rPr>
            <sz val="14"/>
            <color rgb="FF000000"/>
            <rFont val="Calibri"/>
            <family val="34"/>
          </rPr>
          <t>IR 11 (179?-1805)</t>
        </r>
      </text>
    </comment>
    <comment ref="BF284" authorId="0" shapeId="0" xr:uid="{B2DE3C55-6083-C441-9F75-4C0EDF3FADB0}">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23/04/1797 </t>
        </r>
        <r>
          <rPr>
            <i/>
            <sz val="14"/>
            <color rgb="FF000000"/>
            <rFont val="Times New Roman"/>
            <family val="18"/>
          </rPr>
          <t>Ins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24/04/1797 </t>
        </r>
        <r>
          <rPr>
            <i/>
            <sz val="14"/>
            <color rgb="FF000000"/>
            <rFont val="Times New Roman"/>
            <family val="18"/>
          </rPr>
          <t>von Reserve Division zum ObristLt.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Reconvalesciert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15/09/1797 </t>
        </r>
        <r>
          <rPr>
            <i/>
            <sz val="14"/>
            <color rgb="FF000000"/>
            <rFont val="Times New Roman"/>
            <family val="18"/>
          </rPr>
          <t xml:space="preserve">Krank in loco Spital </t>
        </r>
        <r>
          <rPr>
            <sz val="14"/>
            <color rgb="FF000000"/>
            <rFont val="Times New Roman"/>
            <family val="18"/>
          </rPr>
          <t>[ST September 1797]</t>
        </r>
        <r>
          <rPr>
            <sz val="14"/>
            <color rgb="FF000000"/>
            <rFont val="Calibri"/>
            <family val="34"/>
          </rPr>
          <t xml:space="preserve">
</t>
        </r>
        <r>
          <rPr>
            <sz val="14"/>
            <color rgb="FF000000"/>
            <rFont val="Times New Roman"/>
            <family val="18"/>
          </rPr>
          <t xml:space="preserve">31/10/1797 [Mindenstens bis] </t>
        </r>
        <r>
          <rPr>
            <i/>
            <sz val="14"/>
            <color rgb="FF000000"/>
            <rFont val="Times New Roman"/>
            <family val="18"/>
          </rPr>
          <t>Krank in loco Spital</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beim Bau Kommandiert mit Kriegsgebühr</t>
        </r>
        <r>
          <rPr>
            <sz val="14"/>
            <color rgb="FF000000"/>
            <rFont val="Times New Roman"/>
            <family val="18"/>
          </rPr>
          <t xml:space="preserve"> [ST Nov 1798]</t>
        </r>
        <r>
          <rPr>
            <sz val="14"/>
            <color rgb="FF000000"/>
            <rFont val="Calibri"/>
            <family val="34"/>
          </rPr>
          <t xml:space="preserve">
</t>
        </r>
        <r>
          <rPr>
            <sz val="14"/>
            <color rgb="FF000000"/>
            <rFont val="Times New Roman"/>
            <family val="18"/>
          </rPr>
          <t xml:space="preserve">05/12/1798 </t>
        </r>
        <r>
          <rPr>
            <i/>
            <sz val="14"/>
            <color rgb="FF000000"/>
            <rFont val="Times New Roman"/>
            <family val="18"/>
          </rPr>
          <t>Zurück in Companie</t>
        </r>
        <r>
          <rPr>
            <sz val="14"/>
            <color rgb="FF000000"/>
            <rFont val="Times New Roman"/>
            <family val="18"/>
          </rPr>
          <t xml:space="preserve"> [ST Dez 1798]</t>
        </r>
        <r>
          <rPr>
            <sz val="14"/>
            <color rgb="FF000000"/>
            <rFont val="Calibri"/>
            <family val="34"/>
          </rPr>
          <t xml:space="preserve">
</t>
        </r>
        <r>
          <rPr>
            <sz val="14"/>
            <color rgb="FF000000"/>
            <rFont val="Times New Roman"/>
            <family val="18"/>
          </rPr>
          <t>25/01/1799 Revision: IR 43 ObristLt Comp Nr. 37</t>
        </r>
        <r>
          <rPr>
            <sz val="14"/>
            <color rgb="FF000000"/>
            <rFont val="Calibri"/>
            <family val="34"/>
          </rPr>
          <t xml:space="preserve">
</t>
        </r>
        <r>
          <rPr>
            <sz val="14"/>
            <color rgb="FF000000"/>
            <rFont val="Times New Roman"/>
            <family val="18"/>
          </rPr>
          <t xml:space="preserve">01/04/1799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ObristLt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30/09/1799 [Mindestens bis] </t>
        </r>
        <r>
          <rPr>
            <i/>
            <sz val="14"/>
            <color rgb="FF000000"/>
            <rFont val="Times New Roman"/>
            <family val="18"/>
          </rPr>
          <t>bei dem Artillerie Reserve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06/10/1799 </t>
        </r>
        <r>
          <rPr>
            <i/>
            <sz val="14"/>
            <color rgb="FF000000"/>
            <rFont val="Times New Roman"/>
            <family val="18"/>
          </rPr>
          <t xml:space="preserve">zu Treviso gestorben </t>
        </r>
        <r>
          <rPr>
            <sz val="14"/>
            <color rgb="FF000000"/>
            <rFont val="Times New Roman"/>
            <family val="18"/>
          </rPr>
          <t>[ST Juli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per Errorem in Abgang gebracht</t>
        </r>
        <r>
          <rPr>
            <sz val="14"/>
            <color rgb="FF000000"/>
            <rFont val="Times New Roman"/>
            <family val="18"/>
          </rPr>
          <t xml:space="preserve"> </t>
        </r>
        <r>
          <rPr>
            <i/>
            <sz val="14"/>
            <color rgb="FF000000"/>
            <rFont val="Times New Roman"/>
            <family val="18"/>
          </rPr>
          <t>war bis dahin Auswärts</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 xml:space="preserve">mit Lafpaß entlassen </t>
        </r>
        <r>
          <rPr>
            <sz val="14"/>
            <color rgb="FF000000"/>
            <rFont val="Times New Roman"/>
            <family val="18"/>
          </rPr>
          <t>[ST Juli 1801]</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284" authorId="0" shapeId="0" xr:uid="{48798B73-EF71-DE40-B855-87745B21EBC5}">
      <text>
        <r>
          <rPr>
            <sz val="14"/>
            <color rgb="FF000000"/>
            <rFont val="Calibri"/>
            <family val="34"/>
          </rPr>
          <t xml:space="preserve">ML 10.271 IR 43 (1796-9) – RL Haupt Obrist LtComp. Nr. 37 (Udine 25/01/1799)
</t>
        </r>
        <r>
          <rPr>
            <sz val="14"/>
            <color rgb="FF000000"/>
            <rFont val="Calibri"/>
            <family val="34"/>
          </rPr>
          <t xml:space="preserve">ML 10.305 IR 43 (1797) – ST Feb (09/03/1802), April (24/05/1803), Mai (01/06/1803), Sept (02/09/1804), und Okt (31/05/1805)
</t>
        </r>
        <r>
          <rPr>
            <sz val="14"/>
            <color rgb="FF000000"/>
            <rFont val="Calibri"/>
            <family val="34"/>
          </rPr>
          <t xml:space="preserve">ML 10.306 IR 43 (1798) – ST Nov (23/12/1798) und Dez (24/01/1799)
</t>
        </r>
        <r>
          <rPr>
            <sz val="14"/>
            <color rgb="FF000000"/>
            <rFont val="Calibri"/>
            <family val="34"/>
          </rPr>
          <t xml:space="preserve">ML 10.307 IR 43 (1799) – ST April (19/08/1799), Aug (06/03/1800), und Sept (21/07/1800)
</t>
        </r>
        <r>
          <rPr>
            <sz val="14"/>
            <color rgb="FF000000"/>
            <rFont val="Calibri"/>
            <family val="34"/>
          </rPr>
          <t xml:space="preserve">ML 10.311 IR 43 (1801) – ST Juli (08/07/1805)
</t>
        </r>
      </text>
    </comment>
    <comment ref="BH284" authorId="0" shapeId="0" xr:uid="{527A9865-47D1-D64A-B5E4-A95D1EFB2012}">
      <text>
        <r>
          <rPr>
            <sz val="14"/>
            <color rgb="FF000000"/>
            <rFont val="Calibri"/>
            <family val="34"/>
          </rPr>
          <t>IR 43 (1796-1801)</t>
        </r>
      </text>
    </comment>
    <comment ref="BF285" authorId="0" shapeId="0" xr:uid="{826104E9-4BCE-1D42-927D-ED79EFF1FC5F}">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21/04/1797 I</t>
        </r>
        <r>
          <rPr>
            <i/>
            <sz val="14"/>
            <color rgb="FF000000"/>
            <rFont val="Times New Roman"/>
            <family val="18"/>
          </rPr>
          <t xml:space="preserve">n Reserve Division eingerückt </t>
        </r>
        <r>
          <rPr>
            <sz val="14"/>
            <color rgb="FF000000"/>
            <rFont val="Times New Roman"/>
            <family val="18"/>
          </rPr>
          <t>[ST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Lieb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Reconvalesciert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01/07/1797 [seit] </t>
        </r>
        <r>
          <rPr>
            <i/>
            <sz val="14"/>
            <color rgb="FF000000"/>
            <rFont val="Times New Roman"/>
            <family val="18"/>
          </rPr>
          <t>Krank Auswärts mit Kriegsgebühr</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31/10/1797 [bis mindestens] </t>
        </r>
        <r>
          <rPr>
            <i/>
            <sz val="14"/>
            <color rgb="FF000000"/>
            <rFont val="Times New Roman"/>
            <family val="18"/>
          </rPr>
          <t>Krank Auswärts mit Kriegsgebühr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Lieb Comp. Nr. 80 [</t>
        </r>
        <r>
          <rPr>
            <i/>
            <sz val="14"/>
            <color rgb="FF000000"/>
            <rFont val="Times New Roman"/>
            <family val="18"/>
          </rPr>
          <t>Artillerie Handlanger in loco]</t>
        </r>
        <r>
          <rPr>
            <sz val="14"/>
            <color rgb="FF000000"/>
            <rFont val="Calibri"/>
            <family val="34"/>
          </rPr>
          <t xml:space="preserve">
</t>
        </r>
        <r>
          <rPr>
            <sz val="14"/>
            <color rgb="FF000000"/>
            <rFont val="Times New Roman"/>
            <family val="18"/>
          </rPr>
          <t xml:space="preserve">01/06/1799 </t>
        </r>
        <r>
          <rPr>
            <i/>
            <sz val="14"/>
            <color rgb="FF000000"/>
            <rFont val="Times New Roman"/>
            <family val="18"/>
          </rPr>
          <t>von Lieb Comp zum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04/09/1799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Reconvalesciert</t>
        </r>
        <r>
          <rPr>
            <sz val="14"/>
            <color rgb="FF000000"/>
            <rFont val="Calibri"/>
            <family val="34"/>
          </rPr>
          <t xml:space="preserve">
</t>
        </r>
        <r>
          <rPr>
            <sz val="14"/>
            <color rgb="FF000000"/>
            <rFont val="Times New Roman"/>
            <family val="18"/>
          </rPr>
          <t xml:space="preserve">31/10/1799 </t>
        </r>
        <r>
          <rPr>
            <i/>
            <sz val="14"/>
            <color rgb="FF000000"/>
            <rFont val="Times New Roman"/>
            <family val="18"/>
          </rPr>
          <t>Von Artillerie Handlanger zum Lieb Comp. Transferiert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02/12/1799 </t>
        </r>
        <r>
          <rPr>
            <i/>
            <sz val="14"/>
            <color rgb="FF000000"/>
            <rFont val="Times New Roman"/>
            <family val="18"/>
          </rPr>
          <t>In Loco Ancona Gestorben</t>
        </r>
        <r>
          <rPr>
            <sz val="14"/>
            <color rgb="FF000000"/>
            <rFont val="Times New Roman"/>
            <family val="18"/>
          </rPr>
          <t xml:space="preserve"> [ST Dec 1799]</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285" authorId="0" shapeId="0" xr:uid="{726161F8-23EE-1D49-84B5-57F35E8D969F}">
      <text>
        <r>
          <rPr>
            <sz val="14"/>
            <color rgb="FF000000"/>
            <rFont val="Times New Roman"/>
            <family val="18"/>
          </rPr>
          <t>ML 10.271 IR 43 (1796-9) – RL Lieb Comp. Nr. 80 (Udine 25/01/1799)</t>
        </r>
        <r>
          <rPr>
            <sz val="14"/>
            <color rgb="FF000000"/>
            <rFont val="Calibri"/>
            <family val="34"/>
          </rPr>
          <t xml:space="preserve">
</t>
        </r>
        <r>
          <rPr>
            <sz val="14"/>
            <color rgb="FF000000"/>
            <rFont val="Times New Roman"/>
            <family val="18"/>
          </rPr>
          <t>ML 10.305 IR 43 (1797) – ST Feb (09/03/1802), April (24/05/1803), Mai (01/06/1803), Juli (24/07/1803) und Oct (31/05/1805)</t>
        </r>
        <r>
          <rPr>
            <sz val="14"/>
            <color rgb="FF000000"/>
            <rFont val="Calibri"/>
            <family val="34"/>
          </rPr>
          <t xml:space="preserve">
</t>
        </r>
        <r>
          <rPr>
            <sz val="14"/>
            <color rgb="FF000000"/>
            <rFont val="Times New Roman"/>
            <family val="18"/>
          </rPr>
          <t>ML 10.307 IR 43 (1799) – ST June (12/12/1799), Sept (21/07/1800), Nov (12/10/1800) und Dez (01/11/1800)</t>
        </r>
        <r>
          <rPr>
            <sz val="14"/>
            <color rgb="FF000000"/>
            <rFont val="Calibri"/>
            <family val="34"/>
          </rPr>
          <t xml:space="preserve">
</t>
        </r>
      </text>
    </comment>
    <comment ref="BH285" authorId="0" shapeId="0" xr:uid="{7DE51354-9154-8240-8823-3723B05177F7}">
      <text>
        <r>
          <rPr>
            <sz val="14"/>
            <color rgb="FF000000"/>
            <rFont val="Calibri"/>
            <family val="34"/>
          </rPr>
          <t>IR 43 (1796-1799)</t>
        </r>
      </text>
    </comment>
    <comment ref="BF286" authorId="0" shapeId="0" xr:uid="{A3EC654D-95C8-DD44-8C03-892D7C3CAB66}">
      <text>
        <r>
          <rPr>
            <sz val="14"/>
            <color rgb="FF000000"/>
            <rFont val="Times New Roman"/>
            <family val="18"/>
          </rPr>
          <t xml:space="preserve">03/02/1797 </t>
        </r>
        <r>
          <rPr>
            <i/>
            <sz val="14"/>
            <color rgb="FF000000"/>
            <rFont val="Times New Roman"/>
            <family val="18"/>
          </rPr>
          <t>Von galizischen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25/03/1799 </t>
        </r>
        <r>
          <rPr>
            <i/>
            <sz val="14"/>
            <color rgb="FF000000"/>
            <rFont val="Times New Roman"/>
            <family val="18"/>
          </rPr>
          <t>Bei</t>
        </r>
        <r>
          <rPr>
            <sz val="14"/>
            <color rgb="FF000000"/>
            <rFont val="Times New Roman"/>
            <family val="18"/>
          </rPr>
          <t xml:space="preserve"> </t>
        </r>
        <r>
          <rPr>
            <b/>
            <sz val="14"/>
            <color rgb="FF000000"/>
            <rFont val="Times New Roman"/>
            <family val="18"/>
          </rPr>
          <t>[Martins Bruck]</t>
        </r>
        <r>
          <rPr>
            <sz val="14"/>
            <color rgb="FF000000"/>
            <rFont val="Times New Roman"/>
            <family val="18"/>
          </rPr>
          <t xml:space="preserve"> </t>
        </r>
        <r>
          <rPr>
            <i/>
            <sz val="14"/>
            <color rgb="FF000000"/>
            <rFont val="Times New Roman"/>
            <family val="18"/>
          </rPr>
          <t>Gefangen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09/02/1801 </t>
        </r>
        <r>
          <rPr>
            <i/>
            <sz val="14"/>
            <color rgb="FF000000"/>
            <rFont val="Times New Roman"/>
            <family val="18"/>
          </rPr>
          <t>Sich Selbst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Hauzinger Nr. 44 [</t>
        </r>
        <r>
          <rPr>
            <i/>
            <sz val="14"/>
            <color rgb="FF000000"/>
            <rFont val="Times New Roman"/>
            <family val="18"/>
          </rPr>
          <t>In Münzarbeit Auf Arbeit</t>
        </r>
        <r>
          <rPr>
            <sz val="14"/>
            <color rgb="FF000000"/>
            <rFont val="Times New Roman"/>
            <family val="18"/>
          </rPr>
          <t>]</t>
        </r>
        <r>
          <rPr>
            <sz val="14"/>
            <color rgb="FF000000"/>
            <rFont val="Calibri"/>
            <family val="34"/>
          </rPr>
          <t xml:space="preserve">
</t>
        </r>
        <r>
          <rPr>
            <sz val="14"/>
            <color rgb="FF000000"/>
            <rFont val="Times New Roman"/>
            <family val="18"/>
          </rPr>
          <t>13/09/1803 Muster: IR 23 Haupt Hauzinger Nr. 38</t>
        </r>
        <r>
          <rPr>
            <sz val="14"/>
            <color rgb="FF000000"/>
            <rFont val="Calibri"/>
            <family val="34"/>
          </rPr>
          <t xml:space="preserve">
</t>
        </r>
        <r>
          <rPr>
            <sz val="14"/>
            <color rgb="FF000000"/>
            <rFont val="Times New Roman"/>
            <family val="18"/>
          </rPr>
          <t>06/09/1804 Muster: IR 23 Haupt Hauzinger Nr. 33</t>
        </r>
        <r>
          <rPr>
            <sz val="14"/>
            <color rgb="FF000000"/>
            <rFont val="Calibri"/>
            <family val="34"/>
          </rPr>
          <t xml:space="preserve">
</t>
        </r>
        <r>
          <rPr>
            <sz val="14"/>
            <color rgb="FF000000"/>
            <rFont val="Times New Roman"/>
            <family val="18"/>
          </rPr>
          <t xml:space="preserve">10/06/1805 </t>
        </r>
        <r>
          <rPr>
            <i/>
            <sz val="14"/>
            <color rgb="FF000000"/>
            <rFont val="Times New Roman"/>
            <family val="18"/>
          </rPr>
          <t xml:space="preserve">Als auf die Dauer der Kriege gestelle mit vermog hoher Befehl mit Abschied entlassen </t>
        </r>
        <r>
          <rPr>
            <sz val="14"/>
            <color rgb="FF000000"/>
            <rFont val="Times New Roman"/>
            <family val="18"/>
          </rPr>
          <t xml:space="preserve">[ML 1805] </t>
        </r>
      </text>
    </comment>
    <comment ref="BG286" authorId="0" shapeId="0" xr:uid="{212CF952-99F3-C64E-9066-76ADAA35AAD1}">
      <text>
        <r>
          <rPr>
            <sz val="14"/>
            <color rgb="FF000000"/>
            <rFont val="Times New Roman"/>
            <family val="18"/>
          </rPr>
          <t>ML 10.124 IR 23 (1802) – Haupt Hauzinger Komp. Nr. 44 (Vienna 16/09/1802)</t>
        </r>
        <r>
          <rPr>
            <sz val="14"/>
            <color rgb="FF000000"/>
            <rFont val="Calibri"/>
            <family val="34"/>
          </rPr>
          <t xml:space="preserve">
</t>
        </r>
        <r>
          <rPr>
            <sz val="14"/>
            <color rgb="FF000000"/>
            <rFont val="Times New Roman"/>
            <family val="18"/>
          </rPr>
          <t>ML 10.125 IR 23 (1803) – Haupt Hauzinger Komp. Nr. 38 (Vienna 13/09/1803)</t>
        </r>
        <r>
          <rPr>
            <sz val="14"/>
            <color rgb="FF000000"/>
            <rFont val="Calibri"/>
            <family val="34"/>
          </rPr>
          <t xml:space="preserve">
</t>
        </r>
        <r>
          <rPr>
            <sz val="14"/>
            <color rgb="FF000000"/>
            <rFont val="Times New Roman"/>
            <family val="18"/>
          </rPr>
          <t>ML 10.126 IR 23 (1804) – Haupt Hauzinger Komp. Nr. 38 (Krems 06/09/1804)</t>
        </r>
        <r>
          <rPr>
            <sz val="14"/>
            <color rgb="FF000000"/>
            <rFont val="Calibri"/>
            <family val="34"/>
          </rPr>
          <t xml:space="preserve">
</t>
        </r>
        <r>
          <rPr>
            <sz val="14"/>
            <color rgb="FF000000"/>
            <rFont val="Times New Roman"/>
            <family val="18"/>
          </rPr>
          <t>ML 10.127/8 IR 23 (1807) – Haupt Pappius Komp. Abgang (Rötz 26/01/1807)</t>
        </r>
        <r>
          <rPr>
            <sz val="14"/>
            <color rgb="FF000000"/>
            <rFont val="Calibri"/>
            <family val="34"/>
          </rPr>
          <t xml:space="preserve">
</t>
        </r>
      </text>
    </comment>
    <comment ref="BH286" authorId="0" shapeId="0" xr:uid="{F36BBE0E-A2D2-9540-B80B-72920D9686C9}">
      <text>
        <r>
          <rPr>
            <sz val="14"/>
            <color rgb="FF000000"/>
            <rFont val="Calibri"/>
            <family val="34"/>
          </rPr>
          <t>IR 43 (1796-1805)</t>
        </r>
      </text>
    </comment>
    <comment ref="BF287" authorId="0" shapeId="0" xr:uid="{12A8A958-15AA-1F44-A382-BB09C9EE634F}">
      <text>
        <r>
          <rPr>
            <sz val="14"/>
            <color rgb="FF000000"/>
            <rFont val="Times New Roman"/>
            <family val="18"/>
          </rPr>
          <t xml:space="preserve">03/02/1797 </t>
        </r>
        <r>
          <rPr>
            <i/>
            <sz val="14"/>
            <color rgb="FF000000"/>
            <rFont val="Times New Roman"/>
            <family val="18"/>
          </rPr>
          <t>A 3Fl Handgeld von galizischen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Kerpen</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Reserve Division anhero</t>
        </r>
        <r>
          <rPr>
            <sz val="14"/>
            <color rgb="FF000000"/>
            <rFont val="Times New Roman"/>
            <family val="18"/>
          </rPr>
          <t xml:space="preserve"> </t>
        </r>
        <r>
          <rPr>
            <b/>
            <sz val="14"/>
            <color rgb="FF000000"/>
            <rFont val="Times New Roman"/>
            <family val="18"/>
          </rPr>
          <t xml:space="preserve">[IR 4] </t>
        </r>
        <r>
          <rPr>
            <sz val="14"/>
            <color rgb="FF000000"/>
            <rFont val="Times New Roman"/>
            <family val="18"/>
          </rPr>
          <t xml:space="preserve">[ML 1803] </t>
        </r>
        <r>
          <rPr>
            <sz val="14"/>
            <color rgb="FF000000"/>
            <rFont val="Calibri"/>
            <family val="34"/>
          </rPr>
          <t xml:space="preserve">
</t>
        </r>
        <r>
          <rPr>
            <sz val="14"/>
            <color rgb="FF000000"/>
            <rFont val="Times New Roman"/>
            <family val="18"/>
          </rPr>
          <t>14/09/1803 Muster: IR 4 Haupt Nies Komp. Nr. 57 [</t>
        </r>
        <r>
          <rPr>
            <i/>
            <sz val="14"/>
            <color rgb="FF000000"/>
            <rFont val="Times New Roman"/>
            <family val="18"/>
          </rPr>
          <t>Beurlaubt in Galizien in Pienzof</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21/07/1805 </t>
        </r>
        <r>
          <rPr>
            <i/>
            <sz val="14"/>
            <color rgb="FF000000"/>
            <rFont val="Times New Roman"/>
            <family val="18"/>
          </rPr>
          <t>Von Ertmann Komp. zum 5. Fus. Komp.</t>
        </r>
        <r>
          <rPr>
            <sz val="14"/>
            <color rgb="FF000000"/>
            <rFont val="Times New Roman"/>
            <family val="18"/>
          </rPr>
          <t xml:space="preserve"> [CaptLt Mehlführer] </t>
        </r>
        <r>
          <rPr>
            <i/>
            <sz val="14"/>
            <color rgb="FF000000"/>
            <rFont val="Times New Roman"/>
            <family val="18"/>
          </rPr>
          <t>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31/10/1805 V</t>
        </r>
        <r>
          <rPr>
            <i/>
            <sz val="14"/>
            <color rgb="FF000000"/>
            <rFont val="Times New Roman"/>
            <family val="18"/>
          </rPr>
          <t xml:space="preserve">on Urlaub desertiert </t>
        </r>
        <r>
          <rPr>
            <sz val="14"/>
            <color rgb="FF000000"/>
            <rFont val="Times New Roman"/>
            <family val="18"/>
          </rPr>
          <t xml:space="preserve">[ML 1805] 
</t>
        </r>
      </text>
    </comment>
    <comment ref="BG287" authorId="0" shapeId="0" xr:uid="{AA2609E5-391A-7945-B7B0-F4A89BB74512}">
      <text>
        <r>
          <rPr>
            <sz val="14"/>
            <color rgb="FF000000"/>
            <rFont val="Times New Roman"/>
            <family val="18"/>
          </rPr>
          <t>ML 348 IR 4 (1803) – Haupt Nies Nr. 57 (Vienna 14/09/1803)</t>
        </r>
        <r>
          <rPr>
            <sz val="14"/>
            <color rgb="FF000000"/>
            <rFont val="Calibri"/>
            <family val="34"/>
          </rPr>
          <t xml:space="preserve">
</t>
        </r>
        <r>
          <rPr>
            <sz val="14"/>
            <color rgb="FF000000"/>
            <rFont val="Times New Roman"/>
            <family val="18"/>
          </rPr>
          <t>ML 349/50 IR 4 (1806) – 5. Fus. Komp. Abgang (Baden 30/12/1806)</t>
        </r>
        <r>
          <rPr>
            <sz val="14"/>
            <color rgb="FF000000"/>
            <rFont val="Calibri"/>
            <family val="34"/>
          </rPr>
          <t xml:space="preserve">
</t>
        </r>
      </text>
    </comment>
    <comment ref="BH287" authorId="0" shapeId="0" xr:uid="{0CF5153B-EF10-194C-98CE-13943BB71440}">
      <text>
        <r>
          <rPr>
            <sz val="14"/>
            <color rgb="FF000000"/>
            <rFont val="Calibri"/>
            <family val="34"/>
          </rPr>
          <t xml:space="preserve">IR 49 (1797)
</t>
        </r>
        <r>
          <rPr>
            <sz val="14"/>
            <color rgb="FF000000"/>
            <rFont val="Calibri"/>
            <family val="34"/>
          </rPr>
          <t>IR 4 (1797-1805)</t>
        </r>
      </text>
    </comment>
    <comment ref="BF288" authorId="0" shapeId="0" xr:uid="{5F96129D-94DD-6248-AC49-2C26B7A5152A}">
      <text>
        <r>
          <rPr>
            <sz val="14"/>
            <color rgb="FF000000"/>
            <rFont val="Times New Roman"/>
            <family val="18"/>
          </rPr>
          <t xml:space="preserve">03/02/1797 </t>
        </r>
        <r>
          <rPr>
            <i/>
            <sz val="14"/>
            <color rgb="FF000000"/>
            <rFont val="Times New Roman"/>
            <family val="18"/>
          </rPr>
          <t xml:space="preserve">Für Beständig assentiert </t>
        </r>
        <r>
          <rPr>
            <sz val="14"/>
            <color rgb="FF000000"/>
            <rFont val="Times New Roman"/>
            <family val="18"/>
          </rPr>
          <t>[TL Sept 1798]</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Kaunitz Inf Regiment Nr. 20 Haupt von Laaba Komp.</t>
        </r>
        <r>
          <rPr>
            <sz val="14"/>
            <color rgb="FF000000"/>
            <rFont val="Times New Roman"/>
            <family val="18"/>
          </rPr>
          <t xml:space="preserve"> </t>
        </r>
        <r>
          <rPr>
            <i/>
            <sz val="14"/>
            <color rgb="FF000000"/>
            <rFont val="Times New Roman"/>
            <family val="18"/>
          </rPr>
          <t>3. Komp. zum IR 30 Casier Komp. transferiert</t>
        </r>
        <r>
          <rPr>
            <sz val="14"/>
            <color rgb="FF000000"/>
            <rFont val="Times New Roman"/>
            <family val="18"/>
          </rPr>
          <t xml:space="preserve"> </t>
        </r>
        <r>
          <rPr>
            <i/>
            <sz val="14"/>
            <color rgb="FF000000"/>
            <rFont val="Times New Roman"/>
            <family val="18"/>
          </rPr>
          <t>und seitdem auf anhero Marsch</t>
        </r>
        <r>
          <rPr>
            <sz val="14"/>
            <color rgb="FF000000"/>
            <rFont val="Times New Roman"/>
            <family val="18"/>
          </rPr>
          <t xml:space="preserve"> [TL Sept 1798 &amp; ST Aug 1798]</t>
        </r>
        <r>
          <rPr>
            <sz val="14"/>
            <color rgb="FF000000"/>
            <rFont val="Calibri"/>
            <family val="34"/>
          </rPr>
          <t xml:space="preserve">
</t>
        </r>
        <r>
          <rPr>
            <sz val="14"/>
            <color rgb="FF000000"/>
            <rFont val="Times New Roman"/>
            <family val="18"/>
          </rPr>
          <t xml:space="preserve">09/09/1798 </t>
        </r>
        <r>
          <rPr>
            <i/>
            <sz val="14"/>
            <color rgb="FF000000"/>
            <rFont val="Times New Roman"/>
            <family val="18"/>
          </rPr>
          <t>In Kompanie eingerückt</t>
        </r>
        <r>
          <rPr>
            <sz val="14"/>
            <color rgb="FF000000"/>
            <rFont val="Times New Roman"/>
            <family val="18"/>
          </rPr>
          <t xml:space="preserve"> [ST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288" authorId="0" shapeId="0" xr:uid="{87B867BA-99F2-EA48-A862-431B65447A41}">
      <text>
        <r>
          <rPr>
            <sz val="14"/>
            <color rgb="FF000000"/>
            <rFont val="Times New Roman"/>
            <family val="18"/>
          </rPr>
          <t>ML 2664 IR 30 (1798) – TL IR 20-&gt;IR 30 Nr. 76 (Neutitschein 20/09/1798); ST Aug (Lemberg 24/03/1803), Sept (Lemberg 03/04/1803), Dec (Theresienstadt 23/07/1799)</t>
        </r>
        <r>
          <rPr>
            <sz val="14"/>
            <color rgb="FF000000"/>
            <rFont val="Calibri"/>
            <family val="34"/>
          </rPr>
          <t xml:space="preserve">
</t>
        </r>
      </text>
    </comment>
    <comment ref="BH288" authorId="0" shapeId="0" xr:uid="{D369B56D-87B7-6845-B4BD-CAE56CA4DF67}">
      <text>
        <r>
          <rPr>
            <sz val="14"/>
            <color rgb="FF000000"/>
            <rFont val="Calibri"/>
            <family val="34"/>
          </rPr>
          <t xml:space="preserve">IR 20 (1797-1798)
</t>
        </r>
        <r>
          <rPr>
            <sz val="14"/>
            <color rgb="FF000000"/>
            <rFont val="Calibri"/>
            <family val="34"/>
          </rPr>
          <t>IR 30 (1798)</t>
        </r>
      </text>
    </comment>
    <comment ref="BI288" authorId="0" shapeId="0" xr:uid="{DEDA6705-D46B-1643-A5E1-177F95F9B3E9}">
      <text>
        <r>
          <rPr>
            <i/>
            <sz val="14"/>
            <color rgb="FF000000"/>
            <rFont val="Times New Roman"/>
            <family val="18"/>
          </rPr>
          <t>Gut</t>
        </r>
        <r>
          <rPr>
            <sz val="14"/>
            <color rgb="FF000000"/>
            <rFont val="Times New Roman"/>
            <family val="18"/>
          </rPr>
          <t xml:space="preserve"> [TL Sept 1798]</t>
        </r>
        <r>
          <rPr>
            <sz val="14"/>
            <color rgb="FF000000"/>
            <rFont val="Calibri"/>
            <family val="2"/>
            <scheme val="minor"/>
          </rPr>
          <t xml:space="preserve"> </t>
        </r>
        <r>
          <rPr>
            <sz val="14"/>
            <color rgb="FF000000"/>
            <rFont val="Calibri"/>
            <family val="2"/>
          </rPr>
          <t xml:space="preserve"> </t>
        </r>
      </text>
    </comment>
    <comment ref="BF289" authorId="0" shapeId="0" xr:uid="{67D6A551-6F2E-CD4B-A7FC-F1331ABFA97B}">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Ins Reserve Division eingeruckt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25/05/1797 </t>
        </r>
        <r>
          <rPr>
            <i/>
            <sz val="14"/>
            <color rgb="FF000000"/>
            <rFont val="Times New Roman"/>
            <family val="18"/>
          </rPr>
          <t>Krank auswärts mit</t>
        </r>
        <r>
          <rPr>
            <sz val="14"/>
            <color rgb="FF000000"/>
            <rFont val="Times New Roman"/>
            <family val="18"/>
          </rPr>
          <t xml:space="preserve"> Kriegsgebühr [ST May 1797]</t>
        </r>
        <r>
          <rPr>
            <sz val="14"/>
            <color rgb="FF000000"/>
            <rFont val="Calibri"/>
            <family val="34"/>
          </rPr>
          <t xml:space="preserve">
</t>
        </r>
        <r>
          <rPr>
            <sz val="14"/>
            <color rgb="FF000000"/>
            <rFont val="Times New Roman"/>
            <family val="18"/>
          </rPr>
          <t xml:space="preserve">20/07/1797 </t>
        </r>
        <r>
          <rPr>
            <i/>
            <sz val="14"/>
            <color rgb="FF000000"/>
            <rFont val="Times New Roman"/>
            <family val="18"/>
          </rPr>
          <t>Reconvaleciert und Eodem eingerückt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25/01/1799 Revision IR 43 Haupt Fischer Nr. 85]</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10/11/1799 </t>
        </r>
        <r>
          <rPr>
            <i/>
            <sz val="14"/>
            <color rgb="FF000000"/>
            <rFont val="Times New Roman"/>
            <family val="18"/>
          </rPr>
          <t>Reconvalesciert und zurück in Haupt Fischer Companie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13/12/1799 </t>
        </r>
        <r>
          <rPr>
            <i/>
            <sz val="14"/>
            <color rgb="FF000000"/>
            <rFont val="Times New Roman"/>
            <family val="18"/>
          </rPr>
          <t>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 xml:space="preserve">Reconvalesciert </t>
        </r>
        <r>
          <rPr>
            <sz val="14"/>
            <color rgb="FF000000"/>
            <rFont val="Calibri"/>
            <family val="34"/>
          </rPr>
          <t xml:space="preserve">
</t>
        </r>
        <r>
          <rPr>
            <sz val="14"/>
            <color rgb="FF000000"/>
            <rFont val="Times New Roman"/>
            <family val="18"/>
          </rPr>
          <t xml:space="preserve">19/04/1802 </t>
        </r>
        <r>
          <rPr>
            <i/>
            <sz val="14"/>
            <color rgb="FF000000"/>
            <rFont val="Times New Roman"/>
            <family val="18"/>
          </rPr>
          <t>in loco gestorben</t>
        </r>
        <r>
          <rPr>
            <sz val="14"/>
            <color rgb="FF000000"/>
            <rFont val="Times New Roman"/>
            <family val="18"/>
          </rPr>
          <t xml:space="preserve"> [ML 1802 &amp; ST April 1802]</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289" authorId="0" shapeId="0" xr:uid="{ABD936CC-53DA-6341-910D-4BE69AC8DB4F}">
      <text>
        <r>
          <rPr>
            <sz val="14"/>
            <color rgb="FF000000"/>
            <rFont val="Times New Roman"/>
            <family val="18"/>
          </rPr>
          <t>ML 10.271 IR 43 (1796-9) – RL Haupt Fischer Comp.  Nr. 85 (Udine 25/01/1799)</t>
        </r>
        <r>
          <rPr>
            <sz val="14"/>
            <color rgb="FF000000"/>
            <rFont val="Calibri"/>
            <family val="34"/>
          </rPr>
          <t xml:space="preserve">
</t>
        </r>
        <r>
          <rPr>
            <sz val="14"/>
            <color rgb="FF000000"/>
            <rFont val="Times New Roman"/>
            <family val="18"/>
          </rPr>
          <t xml:space="preserve">ML 10.305 IR 43 (1797) – ST Feb (09/03/1802), April (24/05/1803), Mai (01/06/1803), Juli (24/07/1803) </t>
        </r>
        <r>
          <rPr>
            <sz val="14"/>
            <color rgb="FF000000"/>
            <rFont val="Calibri"/>
            <family val="34"/>
          </rPr>
          <t xml:space="preserve">
</t>
        </r>
        <r>
          <rPr>
            <sz val="14"/>
            <color rgb="FF000000"/>
            <rFont val="Times New Roman"/>
            <family val="18"/>
          </rPr>
          <t>ML 10.307 IR 43 (1799) –Aug (06/03/1800), und Nov (21/07/1800)</t>
        </r>
        <r>
          <rPr>
            <sz val="14"/>
            <color rgb="FF000000"/>
            <rFont val="Calibri"/>
            <family val="34"/>
          </rPr>
          <t xml:space="preserve">
</t>
        </r>
        <r>
          <rPr>
            <sz val="14"/>
            <color rgb="FF000000"/>
            <rFont val="Times New Roman"/>
            <family val="18"/>
          </rPr>
          <t>ML 10.312 IR 43 (1801) – ST April (13/10/1803)</t>
        </r>
        <r>
          <rPr>
            <sz val="14"/>
            <color rgb="FF000000"/>
            <rFont val="Calibri"/>
            <family val="34"/>
          </rPr>
          <t xml:space="preserve">
</t>
        </r>
      </text>
    </comment>
    <comment ref="BH289" authorId="0" shapeId="0" xr:uid="{D01C92A0-7EE5-194F-A048-6FF3FDB28B43}">
      <text>
        <r>
          <rPr>
            <sz val="14"/>
            <color rgb="FF000000"/>
            <rFont val="Calibri"/>
            <family val="34"/>
          </rPr>
          <t>IR 43 (1797-1802)</t>
        </r>
      </text>
    </comment>
    <comment ref="BF290" authorId="0" shapeId="0" xr:uid="{58F0C858-AAC6-834C-9449-D980B7ED9F1F}">
      <text>
        <r>
          <rPr>
            <sz val="14"/>
            <color rgb="FF000000"/>
            <rFont val="Times New Roman"/>
            <family val="18"/>
          </rPr>
          <t xml:space="preserve">03/02/1797 </t>
        </r>
        <r>
          <rPr>
            <i/>
            <sz val="14"/>
            <color rgb="FF000000"/>
            <rFont val="Times New Roman"/>
            <family val="18"/>
          </rPr>
          <t>Von Dominien Ausgehoben und von Ständen als Galizische Recrouten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 xml:space="preserve">In die Reserve Division eingerückt </t>
        </r>
        <r>
          <rPr>
            <sz val="14"/>
            <color rgb="FF000000"/>
            <rFont val="Times New Roman"/>
            <family val="18"/>
          </rPr>
          <t>[ST October 1797]</t>
        </r>
        <r>
          <rPr>
            <sz val="14"/>
            <color rgb="FF000000"/>
            <rFont val="Calibri"/>
            <family val="34"/>
          </rPr>
          <t xml:space="preserve">
</t>
        </r>
        <r>
          <rPr>
            <sz val="14"/>
            <color rgb="FF000000"/>
            <rFont val="Times New Roman"/>
            <family val="18"/>
          </rPr>
          <t>31/10/1798 [Früher als] UNBEKANNT [ML 1799]</t>
        </r>
        <r>
          <rPr>
            <sz val="14"/>
            <color rgb="FF000000"/>
            <rFont val="Calibri"/>
            <family val="34"/>
          </rPr>
          <t xml:space="preserve">
</t>
        </r>
      </text>
    </comment>
    <comment ref="BG290" authorId="0" shapeId="0" xr:uid="{46ACD47F-EE50-6947-BAFF-B05BA6CEE263}">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10.305 IR 43 (1797) – ST Feb (09/03/1802) und Okt (31/05/1805)</t>
        </r>
        <r>
          <rPr>
            <sz val="14"/>
            <color rgb="FF000000"/>
            <rFont val="Calibri"/>
            <family val="34"/>
          </rPr>
          <t xml:space="preserve">
</t>
        </r>
      </text>
    </comment>
    <comment ref="BH290" authorId="0" shapeId="0" xr:uid="{6A7FB9DB-C752-2E4D-8A24-4C337D3AF93D}">
      <text>
        <r>
          <rPr>
            <sz val="14"/>
            <color rgb="FF000000"/>
            <rFont val="Calibri"/>
            <family val="34"/>
          </rPr>
          <t>IR 43 (1797-1797/8)</t>
        </r>
      </text>
    </comment>
    <comment ref="BF291" authorId="0" shapeId="0" xr:uid="{B2302EED-9639-F64C-B69F-ABF88F5F155C}">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 die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25/01/1799 Revision: IR 43 Haupt Fischer Nr. 87]</t>
        </r>
        <r>
          <rPr>
            <sz val="14"/>
            <color rgb="FF000000"/>
            <rFont val="Calibri"/>
            <family val="34"/>
          </rPr>
          <t xml:space="preserve">
</t>
        </r>
        <r>
          <rPr>
            <sz val="14"/>
            <color rgb="FF000000"/>
            <rFont val="Times New Roman"/>
            <family val="18"/>
          </rPr>
          <t xml:space="preserve">24/08/1799 Krank auswärts mit Kriegsgebühr </t>
        </r>
        <r>
          <rPr>
            <sz val="14"/>
            <color rgb="FFFF0000"/>
            <rFont val="Times New Roman"/>
            <family val="18"/>
          </rPr>
          <t>[wounded at Novi?]</t>
        </r>
        <r>
          <rPr>
            <sz val="14"/>
            <color rgb="FF000000"/>
            <rFont val="Times New Roman"/>
            <family val="18"/>
          </rPr>
          <t xml:space="preserve"> [ST Aug 1799] [Als Hrinko JERSHKOVIZ]</t>
        </r>
        <r>
          <rPr>
            <sz val="14"/>
            <color rgb="FF000000"/>
            <rFont val="Calibri"/>
            <family val="34"/>
          </rPr>
          <t xml:space="preserve">
</t>
        </r>
        <r>
          <rPr>
            <sz val="14"/>
            <color rgb="FF000000"/>
            <rFont val="Times New Roman"/>
            <family val="18"/>
          </rPr>
          <t xml:space="preserve">In 10/1799 </t>
        </r>
        <r>
          <rPr>
            <i/>
            <sz val="14"/>
            <color rgb="FF000000"/>
            <rFont val="Times New Roman"/>
            <family val="18"/>
          </rPr>
          <t xml:space="preserve">Rekonvalesziert </t>
        </r>
        <r>
          <rPr>
            <sz val="14"/>
            <color rgb="FF000000"/>
            <rFont val="Times New Roman"/>
            <family val="18"/>
          </rPr>
          <t>[ST Okt 1799]</t>
        </r>
        <r>
          <rPr>
            <sz val="14"/>
            <color rgb="FF000000"/>
            <rFont val="Calibri"/>
            <family val="34"/>
          </rPr>
          <t xml:space="preserve">
</t>
        </r>
        <r>
          <rPr>
            <sz val="14"/>
            <color rgb="FF000000"/>
            <rFont val="Times New Roman"/>
            <family val="18"/>
          </rPr>
          <t>21/08/1802 Musterung: IR 43 Haupt Basta Nr. 42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At Muster 08/11/1803 Haupt Ellison Nr. 40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At Muster 15/09/1804 Haupt Lichtenberg Nr. 39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10/06/1805 </t>
        </r>
        <r>
          <rPr>
            <i/>
            <sz val="14"/>
            <color rgb="FF000000"/>
            <rFont val="Times New Roman"/>
            <family val="18"/>
          </rPr>
          <t>von unbestimmte Urlaub Zurück und seitdem auf anhero Marsch von</t>
        </r>
        <r>
          <rPr>
            <sz val="14"/>
            <color rgb="FF000000"/>
            <rFont val="Times New Roman"/>
            <family val="18"/>
          </rPr>
          <t xml:space="preserve"> Staszow [ST Sept 1805]</t>
        </r>
        <r>
          <rPr>
            <sz val="14"/>
            <color rgb="FF000000"/>
            <rFont val="Calibri"/>
            <family val="34"/>
          </rPr>
          <t xml:space="preserve">
</t>
        </r>
        <r>
          <rPr>
            <sz val="14"/>
            <color rgb="FF000000"/>
            <rFont val="Times New Roman"/>
            <family val="18"/>
          </rPr>
          <t>At Muster 30/09/1805 2. Fus Comp Nr. 38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Marsch verbliebene von 2. Fus Comp. als unwissend Verloren in Abgang</t>
        </r>
        <r>
          <rPr>
            <sz val="14"/>
            <color rgb="FF000000"/>
            <rFont val="Times New Roman"/>
            <family val="18"/>
          </rPr>
          <t xml:space="preserve"> [ST Oct 1806 &amp; ML 1806]</t>
        </r>
      </text>
    </comment>
    <comment ref="BG291" authorId="0" shapeId="0" xr:uid="{6BD64C49-08B2-564A-B99E-13C167EDA713}">
      <text>
        <r>
          <rPr>
            <sz val="14"/>
            <color rgb="FF000000"/>
            <rFont val="Times New Roman"/>
            <family val="18"/>
          </rPr>
          <t>ML 10.271 IR 43 (1796-9) – RL Haupt Fischer Nr. 87 (Udine 25/01/1799)</t>
        </r>
        <r>
          <rPr>
            <sz val="14"/>
            <color rgb="FF000000"/>
            <rFont val="Calibri"/>
            <family val="34"/>
          </rPr>
          <t xml:space="preserve">
</t>
        </r>
        <r>
          <rPr>
            <sz val="14"/>
            <color rgb="FF000000"/>
            <rFont val="Times New Roman"/>
            <family val="18"/>
          </rPr>
          <t>ML 10.272 IR 43 (1802) – Heft von Haupt Basta Comp. Nr. 42 (Risano 21/08/1802)</t>
        </r>
        <r>
          <rPr>
            <sz val="14"/>
            <color rgb="FF000000"/>
            <rFont val="Calibri"/>
            <family val="34"/>
          </rPr>
          <t xml:space="preserve">
</t>
        </r>
        <r>
          <rPr>
            <sz val="14"/>
            <color rgb="FF000000"/>
            <rFont val="Times New Roman"/>
            <family val="18"/>
          </rPr>
          <t>ML 10.273 IR 43 (1803) – Heft von Haupt von Niedles Nr. 40 (Sign 08/11/1803)</t>
        </r>
        <r>
          <rPr>
            <sz val="14"/>
            <color rgb="FF000000"/>
            <rFont val="Calibri"/>
            <family val="34"/>
          </rPr>
          <t xml:space="preserve">
</t>
        </r>
        <r>
          <rPr>
            <sz val="14"/>
            <color rgb="FF000000"/>
            <rFont val="Times New Roman"/>
            <family val="18"/>
          </rPr>
          <t>ML 10.274 IR 43 (1804) – Heft von Haupt Lichtenberg Comp. Nr. 39 (Zara 15/09/1804)</t>
        </r>
        <r>
          <rPr>
            <sz val="14"/>
            <color rgb="FF000000"/>
            <rFont val="Calibri"/>
            <family val="34"/>
          </rPr>
          <t xml:space="preserve">
</t>
        </r>
        <r>
          <rPr>
            <sz val="14"/>
            <color rgb="FF000000"/>
            <rFont val="Times New Roman"/>
            <family val="18"/>
          </rPr>
          <t>ML 10.275/6 IR 43 (1805) – Heft von 2. Fus Comp. Nr. 38 (Cattaro 30/09/1805)</t>
        </r>
        <r>
          <rPr>
            <sz val="14"/>
            <color rgb="FF000000"/>
            <rFont val="Calibri"/>
            <family val="34"/>
          </rPr>
          <t xml:space="preserve">
</t>
        </r>
        <r>
          <rPr>
            <sz val="14"/>
            <color rgb="FF000000"/>
            <rFont val="Times New Roman"/>
            <family val="18"/>
          </rPr>
          <t xml:space="preserve">ML 10/277/8 (1806) – Heft von 2. Fus Comp. Abgang (Laibach 01/12/1806)
</t>
        </r>
        <r>
          <rPr>
            <sz val="14"/>
            <color rgb="FF000000"/>
            <rFont val="Times New Roman"/>
            <family val="18"/>
          </rPr>
          <t>ML 10.305 IR 43 (1797) – ST Feb (09/03/1802), April (24/05/1803)</t>
        </r>
        <r>
          <rPr>
            <sz val="14"/>
            <color rgb="FF000000"/>
            <rFont val="Calibri"/>
            <family val="34"/>
          </rPr>
          <t xml:space="preserve">
</t>
        </r>
        <r>
          <rPr>
            <sz val="14"/>
            <color rgb="FF000000"/>
            <rFont val="Times New Roman"/>
            <family val="18"/>
          </rPr>
          <t>ML 10.307 IR 43 (1799) – ST August (06/03/1800) und Okt (Tabelle Fehlt)</t>
        </r>
        <r>
          <rPr>
            <sz val="14"/>
            <color rgb="FF000000"/>
            <rFont val="Calibri"/>
            <family val="34"/>
          </rPr>
          <t xml:space="preserve">
</t>
        </r>
        <r>
          <rPr>
            <sz val="14"/>
            <color rgb="FF000000"/>
            <rFont val="Times New Roman"/>
            <family val="18"/>
          </rPr>
          <t>ML 10.313 IR 43 (1803) – ST Feb (15/03/1803) und April (15/05/1803)</t>
        </r>
        <r>
          <rPr>
            <sz val="14"/>
            <color rgb="FF000000"/>
            <rFont val="Calibri"/>
            <family val="34"/>
          </rPr>
          <t xml:space="preserve">
</t>
        </r>
        <r>
          <rPr>
            <sz val="14"/>
            <color rgb="FF000000"/>
            <rFont val="Times New Roman"/>
            <family val="18"/>
          </rPr>
          <t>ML 10.315 IR 43 (1805) – ST June (15/07/1805)</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291" authorId="0" shapeId="0" xr:uid="{0EA77F60-E975-404A-A0E0-88F8705BA75A}">
      <text>
        <r>
          <rPr>
            <sz val="14"/>
            <color rgb="FF000000"/>
            <rFont val="Calibri"/>
            <family val="34"/>
          </rPr>
          <t>IR 43 (1797-1806)</t>
        </r>
      </text>
    </comment>
    <comment ref="T292" authorId="0" shapeId="0" xr:uid="{7E270019-DFCF-F741-BA38-2AE2E96FDBE4}">
      <text>
        <r>
          <rPr>
            <b/>
            <sz val="14"/>
            <color rgb="FF000000"/>
            <rFont val="Calibri"/>
            <family val="34"/>
          </rPr>
          <t xml:space="preserve">5.3.1 [166.11 cm] (ML 1802)
</t>
        </r>
        <r>
          <rPr>
            <sz val="14"/>
            <color rgb="FF000000"/>
            <rFont val="Calibri"/>
            <family val="34"/>
          </rPr>
          <t>5.3.2 [166.33 cm] [ML 1802]</t>
        </r>
      </text>
    </comment>
    <comment ref="BF292" authorId="0" shapeId="0" xr:uid="{2573E6DD-83A1-6244-8431-982E25609554}">
      <text>
        <r>
          <rPr>
            <sz val="14"/>
            <color rgb="FF000000"/>
            <rFont val="Times New Roman"/>
            <family val="18"/>
          </rPr>
          <t xml:space="preserve">03/02/1797 </t>
        </r>
        <r>
          <rPr>
            <i/>
            <sz val="14"/>
            <color rgb="FF000000"/>
            <rFont val="Times New Roman"/>
            <family val="18"/>
          </rPr>
          <t xml:space="preserve">Zu Lublin ist Versicherungschein auf Dauer des Krieges zu Keuhl Infantrie Regiment </t>
        </r>
        <r>
          <rPr>
            <b/>
            <sz val="14"/>
            <color rgb="FF000000"/>
            <rFont val="Times New Roman"/>
            <family val="18"/>
          </rPr>
          <t>[IR 10]</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1802/4]</t>
        </r>
        <r>
          <rPr>
            <sz val="14"/>
            <color rgb="FF000000"/>
            <rFont val="Times New Roman"/>
            <family val="18"/>
          </rPr>
          <t xml:space="preserve">
</t>
        </r>
        <r>
          <rPr>
            <sz val="14"/>
            <color rgb="FF000000"/>
            <rFont val="Times New Roman"/>
            <family val="18"/>
          </rPr>
          <t xml:space="preserve">03/08/1797 [Von </t>
        </r>
        <r>
          <rPr>
            <b/>
            <sz val="14"/>
            <color rgb="FF000000"/>
            <rFont val="Times New Roman"/>
            <family val="18"/>
          </rPr>
          <t>IR 10</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[Battle of Marengo]</t>
        </r>
        <r>
          <rPr>
            <sz val="14"/>
            <color rgb="FF000000"/>
            <rFont val="Times New Roman"/>
            <family val="18"/>
          </rPr>
          <t xml:space="preserve">
</t>
        </r>
        <r>
          <rPr>
            <sz val="14"/>
            <color rgb="FF000000"/>
            <rFont val="Times New Roman"/>
            <family val="18"/>
          </rPr>
          <t xml:space="preserve">01/06/1801 </t>
        </r>
        <r>
          <rPr>
            <i/>
            <sz val="14"/>
            <color rgb="FF000000"/>
            <rFont val="Times New Roman"/>
            <family val="18"/>
          </rPr>
          <t>Als ausgetauscht zu Günzburg präsentiert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Lieb Komp. Nr. 131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25/08/1804 Muster: IR 11 Lieb Komp. Nr. 111 [</t>
        </r>
        <r>
          <rPr>
            <i/>
            <sz val="14"/>
            <color rgb="FF000000"/>
            <rFont val="Times New Roman"/>
            <family val="18"/>
          </rPr>
          <t xml:space="preserve">Beurlaubt bis zur Einberufung in Ort Opolla ähnlicher Herrschaft </t>
        </r>
        <r>
          <rPr>
            <b/>
            <sz val="14"/>
            <color rgb="FF000000"/>
            <rFont val="Times New Roman"/>
            <family val="18"/>
          </rPr>
          <t>[</t>
        </r>
        <r>
          <rPr>
            <b/>
            <u/>
            <sz val="14"/>
            <color rgb="FF0000FF"/>
            <rFont val="Times New Roman"/>
            <family val="18"/>
          </rPr>
          <t>Opole Lubelskie, Poland</t>
        </r>
        <r>
          <rPr>
            <b/>
            <sz val="14"/>
            <color rgb="FF000000"/>
            <rFont val="Times New Roman"/>
            <family val="18"/>
          </rPr>
          <t>]</t>
        </r>
        <r>
          <rPr>
            <sz val="14"/>
            <color rgb="FF000000"/>
            <rFont val="Times New Roman"/>
            <family val="18"/>
          </rPr>
          <t xml:space="preserve"> </t>
        </r>
        <r>
          <rPr>
            <i/>
            <sz val="14"/>
            <color rgb="FF000000"/>
            <rFont val="Times New Roman"/>
            <family val="18"/>
          </rPr>
          <t>Josephiwer Kreis in West Gallicien</t>
        </r>
        <r>
          <rPr>
            <sz val="14"/>
            <color rgb="FF000000"/>
            <rFont val="Times New Roman"/>
            <family val="18"/>
          </rPr>
          <t>]</t>
        </r>
        <r>
          <rPr>
            <sz val="14"/>
            <color rgb="FF000000"/>
            <rFont val="Times New Roman"/>
            <family val="18"/>
          </rPr>
          <t xml:space="preserve">
</t>
        </r>
        <r>
          <rPr>
            <sz val="14"/>
            <color rgb="FF000000"/>
            <rFont val="Times New Roman"/>
            <family val="18"/>
          </rPr>
          <t xml:space="preserve">15/08/1805 </t>
        </r>
        <r>
          <rPr>
            <i/>
            <sz val="14"/>
            <color rgb="FF000000"/>
            <rFont val="Times New Roman"/>
            <family val="18"/>
          </rPr>
          <t>Als Kriegscapitulant mit Abschied entlassen</t>
        </r>
        <r>
          <rPr>
            <sz val="14"/>
            <color rgb="FF000000"/>
            <rFont val="Times New Roman"/>
            <family val="18"/>
          </rPr>
          <t xml:space="preserve"> [ML 1806] </t>
        </r>
      </text>
    </comment>
    <comment ref="BG292" authorId="0" shapeId="0" xr:uid="{74F7D8F7-62EA-D44D-9F78-AD0B663B94FE}">
      <text>
        <r>
          <rPr>
            <sz val="14"/>
            <color rgb="FF000000"/>
            <rFont val="Times New Roman"/>
            <family val="18"/>
          </rPr>
          <t>ML 804/5 IR 11 (1802) – Lieb Komp. Nr. 131 (Wisotczan 17/09/1802)</t>
        </r>
        <r>
          <rPr>
            <sz val="14"/>
            <color rgb="FF000000"/>
            <rFont val="Times New Roman"/>
            <family val="18"/>
          </rPr>
          <t xml:space="preserve">
</t>
        </r>
        <r>
          <rPr>
            <sz val="14"/>
            <color rgb="FF000000"/>
            <rFont val="Times New Roman"/>
            <family val="18"/>
          </rPr>
          <t>ML 806 IR 11 (1804) – Lieb Komp. Nr. 111 (Prague 25/08/1804)</t>
        </r>
        <r>
          <rPr>
            <sz val="14"/>
            <color rgb="FF000000"/>
            <rFont val="Times New Roman"/>
            <family val="18"/>
          </rPr>
          <t xml:space="preserve">
</t>
        </r>
        <r>
          <rPr>
            <sz val="14"/>
            <color rgb="FF000000"/>
            <rFont val="Times New Roman"/>
            <family val="18"/>
          </rPr>
          <t>ML 807/8 IR 11 (1806) – 1. Fus. Komp. Abgang (Prague 23/12/1806)</t>
        </r>
        <r>
          <rPr>
            <sz val="14"/>
            <color rgb="FF000000"/>
            <rFont val="Times New Roman"/>
            <family val="18"/>
          </rPr>
          <t xml:space="preserve">
</t>
        </r>
      </text>
    </comment>
    <comment ref="BH292" authorId="0" shapeId="0" xr:uid="{7774B6C5-1957-F24B-B2E2-C956478214A6}">
      <text>
        <r>
          <rPr>
            <sz val="14"/>
            <color rgb="FF000000"/>
            <rFont val="Calibri"/>
            <family val="34"/>
          </rPr>
          <t xml:space="preserve">IR 10 (1797)
</t>
        </r>
        <r>
          <rPr>
            <sz val="14"/>
            <color rgb="FF000000"/>
            <rFont val="Calibri"/>
            <family val="34"/>
          </rPr>
          <t>IR 11 (1797-1805)</t>
        </r>
      </text>
    </comment>
    <comment ref="BF293" authorId="0" shapeId="0" xr:uid="{EF7769E2-4DA3-304D-B229-EF5E1A631DB8}">
      <text>
        <r>
          <rPr>
            <sz val="14"/>
            <color rgb="FF000000"/>
            <rFont val="Times New Roman"/>
            <family val="18"/>
          </rPr>
          <t xml:space="preserve">03/02/1797 </t>
        </r>
        <r>
          <rPr>
            <i/>
            <sz val="14"/>
            <color rgb="FF000000"/>
            <rFont val="Times New Roman"/>
            <family val="18"/>
          </rPr>
          <t>Von Dominien Ausgehoben und von Ständen als Galizische Recrouten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 xml:space="preserve">In die Reserve Division eingerückt </t>
        </r>
        <r>
          <rPr>
            <sz val="14"/>
            <color rgb="FF000000"/>
            <rFont val="Times New Roman"/>
            <family val="18"/>
          </rPr>
          <t>[ST October 1797]</t>
        </r>
        <r>
          <rPr>
            <sz val="14"/>
            <color rgb="FF000000"/>
            <rFont val="Calibri"/>
            <family val="34"/>
          </rPr>
          <t xml:space="preserve">
</t>
        </r>
        <r>
          <rPr>
            <sz val="14"/>
            <color rgb="FF000000"/>
            <rFont val="Times New Roman"/>
            <family val="18"/>
          </rPr>
          <t>31/10/1798 [Früher als] UNBEKANNT [ML 1799]</t>
        </r>
        <r>
          <rPr>
            <sz val="14"/>
            <color rgb="FF000000"/>
            <rFont val="Calibri"/>
            <family val="34"/>
          </rPr>
          <t xml:space="preserve">
</t>
        </r>
      </text>
    </comment>
    <comment ref="BG293" authorId="0" shapeId="0" xr:uid="{32FCF1F8-D2D0-834A-99D4-36F9105E2856}">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 xml:space="preserve">ML 10.305 IR 43 (1797) – ST Feb (09/03/1802) </t>
        </r>
        <r>
          <rPr>
            <sz val="14"/>
            <color rgb="FF000000"/>
            <rFont val="Times New Roman"/>
            <family val="18"/>
          </rPr>
          <t>und Okt (31/05/1805)</t>
        </r>
        <r>
          <rPr>
            <sz val="14"/>
            <color rgb="FF000000"/>
            <rFont val="Calibri"/>
            <family val="34"/>
          </rPr>
          <t xml:space="preserve">
</t>
        </r>
      </text>
    </comment>
    <comment ref="BH293" authorId="0" shapeId="0" xr:uid="{31B3AF8A-986D-BE45-9510-4E4841D7B6D1}">
      <text>
        <r>
          <rPr>
            <sz val="14"/>
            <color rgb="FF000000"/>
            <rFont val="Calibri"/>
            <family val="34"/>
          </rPr>
          <t>IR 43 (1797-1797/8)</t>
        </r>
      </text>
    </comment>
    <comment ref="B294" authorId="0" shapeId="0" xr:uid="{5EE84FCA-56EC-B942-87AF-F9C7617B1C79}">
      <text>
        <r>
          <rPr>
            <sz val="14"/>
            <color rgb="FF000000"/>
            <rFont val="Times New Roman"/>
            <family val="18"/>
          </rPr>
          <t xml:space="preserve">Kopel/Cajetan/Paul JUDKOWITZ </t>
        </r>
      </text>
    </comment>
    <comment ref="BF294" authorId="0" shapeId="0" xr:uid="{B16C2A95-B24B-4248-80BD-085BAED7C83C}">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Ankunft in Reserve Division</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24/06/1797 </t>
        </r>
        <r>
          <rPr>
            <i/>
            <sz val="14"/>
            <color rgb="FF000000"/>
            <rFont val="Times New Roman"/>
            <family val="18"/>
          </rPr>
          <t>Krank in loco Spital</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10/07/1797 </t>
        </r>
        <r>
          <rPr>
            <i/>
            <sz val="14"/>
            <color rgb="FF000000"/>
            <rFont val="Times New Roman"/>
            <family val="18"/>
          </rPr>
          <t>Reconvalesciert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31/09/1797 Krank in loco Spital [ST September 1797]</t>
        </r>
        <r>
          <rPr>
            <sz val="14"/>
            <color rgb="FF000000"/>
            <rFont val="Calibri"/>
            <family val="34"/>
          </rPr>
          <t xml:space="preserve">
</t>
        </r>
        <r>
          <rPr>
            <sz val="14"/>
            <color rgb="FF000000"/>
            <rFont val="Times New Roman"/>
            <family val="18"/>
          </rPr>
          <t>25/01/1799 Revision: IR 43 Haupt Fischer Nr. 86</t>
        </r>
        <r>
          <rPr>
            <sz val="14"/>
            <color rgb="FF000000"/>
            <rFont val="Calibri"/>
            <family val="34"/>
          </rPr>
          <t xml:space="preserve">
</t>
        </r>
        <r>
          <rPr>
            <sz val="14"/>
            <color rgb="FF000000"/>
            <rFont val="Times New Roman"/>
            <family val="18"/>
          </rPr>
          <t xml:space="preserve">04/09/1801 </t>
        </r>
        <r>
          <rPr>
            <i/>
            <sz val="14"/>
            <color rgb="FF000000"/>
            <rFont val="Times New Roman"/>
            <family val="18"/>
          </rPr>
          <t>Desertiert</t>
        </r>
        <r>
          <rPr>
            <sz val="14"/>
            <color rgb="FF000000"/>
            <rFont val="Times New Roman"/>
            <family val="18"/>
          </rPr>
          <t xml:space="preserve"> [ST Sept 1801]</t>
        </r>
        <r>
          <rPr>
            <sz val="14"/>
            <color rgb="FF000000"/>
            <rFont val="Calibri"/>
            <family val="34"/>
          </rPr>
          <t xml:space="preserve">
</t>
        </r>
      </text>
    </comment>
    <comment ref="BG294" authorId="0" shapeId="0" xr:uid="{29F7930D-FA97-7542-8F49-9984AE356AF6}">
      <text>
        <r>
          <rPr>
            <sz val="14"/>
            <color rgb="FF000000"/>
            <rFont val="Times New Roman"/>
            <family val="18"/>
          </rPr>
          <t>ML 10.271 IR 43 (1796-9) – RL Haupt Fischer Nr. 86 (Udine 25/01/1799)</t>
        </r>
        <r>
          <rPr>
            <sz val="14"/>
            <color rgb="FF000000"/>
            <rFont val="Calibri"/>
            <family val="34"/>
          </rPr>
          <t xml:space="preserve">
</t>
        </r>
        <r>
          <rPr>
            <sz val="14"/>
            <color rgb="FF000000"/>
            <rFont val="Times New Roman"/>
            <family val="18"/>
          </rPr>
          <t>ML 10.305 IR 43 (1797) – ST Feb (09/03/1802), April (24/05/1803), Juli (24/07/1803) und Sept (02/09/1804)</t>
        </r>
        <r>
          <rPr>
            <sz val="14"/>
            <color rgb="FF000000"/>
            <rFont val="Calibri"/>
            <family val="34"/>
          </rPr>
          <t xml:space="preserve">
</t>
        </r>
        <r>
          <rPr>
            <sz val="14"/>
            <color rgb="FF000000"/>
            <rFont val="Times New Roman"/>
            <family val="18"/>
          </rPr>
          <t>ML 10.311 IR 43 (1801) – ST Sept (16/07/1805)</t>
        </r>
        <r>
          <rPr>
            <sz val="14"/>
            <color rgb="FF000000"/>
            <rFont val="Calibri"/>
            <family val="34"/>
          </rPr>
          <t xml:space="preserve">
</t>
        </r>
      </text>
    </comment>
    <comment ref="BH294" authorId="0" shapeId="0" xr:uid="{EEF8F190-1EBF-0A45-85AB-4140AACA52D4}">
      <text>
        <r>
          <rPr>
            <sz val="14"/>
            <color rgb="FF000000"/>
            <rFont val="Calibri"/>
            <family val="34"/>
          </rPr>
          <t>IR 43 (1797-1801)</t>
        </r>
      </text>
    </comment>
    <comment ref="BF295" authorId="0" shapeId="0" xr:uid="{0CC04A1C-5562-0041-B619-F122B164E74A}">
      <text>
        <r>
          <rPr>
            <sz val="14"/>
            <color rgb="FF000000"/>
            <rFont val="Times New Roman"/>
            <family val="18"/>
          </rPr>
          <t xml:space="preserve">03/02/1797 </t>
        </r>
        <r>
          <rPr>
            <i/>
            <sz val="14"/>
            <color rgb="FF000000"/>
            <rFont val="Times New Roman"/>
            <family val="18"/>
          </rPr>
          <t>von Dominien Ausgehoben und von Ständen als Galizische Recrout auf Kriegsdauer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 die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25/05/1797 </t>
        </r>
        <r>
          <rPr>
            <i/>
            <sz val="14"/>
            <color rgb="FF000000"/>
            <rFont val="Times New Roman"/>
            <family val="18"/>
          </rPr>
          <t>Krank auswärts mit Kriegsgebühr</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17/07/1797 </t>
        </r>
        <r>
          <rPr>
            <i/>
            <sz val="14"/>
            <color rgb="FF000000"/>
            <rFont val="Times New Roman"/>
            <family val="18"/>
          </rPr>
          <t>Rekonvaleciert und Eodem Tag eingerückt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31/08/1798 </t>
        </r>
        <r>
          <rPr>
            <i/>
            <sz val="14"/>
            <color rgb="FF000000"/>
            <rFont val="Times New Roman"/>
            <family val="18"/>
          </rPr>
          <t>von Schmoll/Fischern zum Schoer Comp Transferiert</t>
        </r>
        <r>
          <rPr>
            <sz val="14"/>
            <color rgb="FF000000"/>
            <rFont val="Times New Roman"/>
            <family val="18"/>
          </rPr>
          <t xml:space="preserve"> [ML Jan 1799]</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Osopo als Handlanger kommandiert mit Kriegsgebühr</t>
        </r>
        <r>
          <rPr>
            <sz val="14"/>
            <color rgb="FF000000"/>
            <rFont val="Times New Roman"/>
            <family val="18"/>
          </rPr>
          <t xml:space="preserve"> [ST Nov 1798]</t>
        </r>
        <r>
          <rPr>
            <sz val="14"/>
            <color rgb="FF000000"/>
            <rFont val="Calibri"/>
            <family val="34"/>
          </rPr>
          <t xml:space="preserve">
</t>
        </r>
        <r>
          <rPr>
            <sz val="14"/>
            <color rgb="FF000000"/>
            <rFont val="Times New Roman"/>
            <family val="18"/>
          </rPr>
          <t>25/01/1799 Musterung: IR 43 Schoer Comp. Nr. 56 [</t>
        </r>
        <r>
          <rPr>
            <i/>
            <sz val="14"/>
            <color rgb="FF000000"/>
            <rFont val="Times New Roman"/>
            <family val="18"/>
          </rPr>
          <t>bei der Artillerie Reserve in Palma</t>
        </r>
        <r>
          <rPr>
            <sz val="14"/>
            <color rgb="FF000000"/>
            <rFont val="Times New Roman"/>
            <family val="18"/>
          </rPr>
          <t>]</t>
        </r>
        <r>
          <rPr>
            <sz val="14"/>
            <color rgb="FF000000"/>
            <rFont val="Calibri"/>
            <family val="34"/>
          </rPr>
          <t xml:space="preserve">
</t>
        </r>
        <r>
          <rPr>
            <sz val="14"/>
            <color rgb="FF000000"/>
            <rFont val="Times New Roman"/>
            <family val="18"/>
          </rPr>
          <t xml:space="preserve">01/04/1799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Schoer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t>
        </r>
        <r>
          <rPr>
            <i/>
            <sz val="14"/>
            <color rgb="FF000000"/>
            <rFont val="Times New Roman"/>
            <family val="18"/>
          </rPr>
          <t xml:space="preserve">Von Dissolvierte Artillerie Handlanger zurück ins Schoer Comp transferiert und seitdem krank auswärts </t>
        </r>
        <r>
          <rPr>
            <sz val="14"/>
            <color rgb="FF000000"/>
            <rFont val="Times New Roman"/>
            <family val="18"/>
          </rPr>
          <t xml:space="preserve">[St May 1801] </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ins auswärtiger Feldspitalern als über ½ Jahr auswärts und deren Existenz gänzlich Unbewusst</t>
        </r>
        <r>
          <rPr>
            <sz val="14"/>
            <color rgb="FFFF0000"/>
            <rFont val="Times New Roman"/>
            <family val="18"/>
          </rPr>
          <t xml:space="preserve"> [ST Oct 1801]</t>
        </r>
        <r>
          <rPr>
            <sz val="14"/>
            <color rgb="FF000000"/>
            <rFont val="Calibri"/>
            <family val="34"/>
          </rPr>
          <t xml:space="preserve">
</t>
        </r>
        <r>
          <rPr>
            <sz val="14"/>
            <color rgb="FF000000"/>
            <rFont val="Times New Roman"/>
            <family val="18"/>
          </rPr>
          <t>12/08/1802 Musterung: IR 43 Haupt Basta Comp Nr. 112</t>
        </r>
        <r>
          <rPr>
            <sz val="14"/>
            <color rgb="FF000000"/>
            <rFont val="Calibri"/>
            <family val="34"/>
          </rPr>
          <t xml:space="preserve">
</t>
        </r>
        <r>
          <rPr>
            <sz val="14"/>
            <color rgb="FF000000"/>
            <rFont val="Times New Roman"/>
            <family val="18"/>
          </rPr>
          <t>08/11/1803 Musterung: IR 43 Haupt Ellison Comp Nr. 99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15/09/1804 Musterung: IR 43 Haupt Lichtenberg Nr. 89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30/09/1805 Musterung: IR 43 2. Fus. Comp. Nr. 73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deren Existenz gänzlich Unbewusst unwissend verloren in Abgang</t>
        </r>
        <r>
          <rPr>
            <sz val="14"/>
            <color rgb="FF000000"/>
            <rFont val="Times New Roman"/>
            <family val="18"/>
          </rPr>
          <t xml:space="preserve"> [ML 1806]</t>
        </r>
        <r>
          <rPr>
            <sz val="14"/>
            <color rgb="FF000000"/>
            <rFont val="Calibri"/>
            <family val="34"/>
          </rPr>
          <t xml:space="preserve">
</t>
        </r>
      </text>
    </comment>
    <comment ref="BG295" authorId="0" shapeId="0" xr:uid="{90F497BB-A3C5-614C-BF93-757BB9021E93}">
      <text>
        <r>
          <rPr>
            <sz val="14"/>
            <color rgb="FF000000"/>
            <rFont val="Times New Roman"/>
            <family val="18"/>
          </rPr>
          <t>ML 10.271 IR 43 (1796-9) – RL Haupt Schoer Nr. 56 (Udine 25/01/1799)</t>
        </r>
        <r>
          <rPr>
            <sz val="14"/>
            <color rgb="FF000000"/>
            <rFont val="Calibri"/>
            <family val="34"/>
          </rPr>
          <t xml:space="preserve">
</t>
        </r>
        <r>
          <rPr>
            <sz val="14"/>
            <color rgb="FF000000"/>
            <rFont val="Times New Roman"/>
            <family val="18"/>
          </rPr>
          <t>ML 10.272 IR 43 (1802) – Heft von Haupt Basta Comp. Nr. 112 (Risano 21/08/1802)</t>
        </r>
        <r>
          <rPr>
            <sz val="14"/>
            <color rgb="FF000000"/>
            <rFont val="Calibri"/>
            <family val="34"/>
          </rPr>
          <t xml:space="preserve">
</t>
        </r>
        <r>
          <rPr>
            <sz val="14"/>
            <color rgb="FF000000"/>
            <rFont val="Times New Roman"/>
            <family val="18"/>
          </rPr>
          <t>ML 10.273 IR 43 (1803) – Heft von Haupt von Niedles Nr. 99 (Sign 08/11/1803)</t>
        </r>
        <r>
          <rPr>
            <sz val="14"/>
            <color rgb="FF000000"/>
            <rFont val="Calibri"/>
            <family val="34"/>
          </rPr>
          <t xml:space="preserve">
</t>
        </r>
        <r>
          <rPr>
            <sz val="14"/>
            <color rgb="FF000000"/>
            <rFont val="Times New Roman"/>
            <family val="18"/>
          </rPr>
          <t>ML 10.274 IR 43 (1804) – Heft von Haupt Lichtenberg Comp. Nr. 89 (Zara 15/09/1804)</t>
        </r>
        <r>
          <rPr>
            <sz val="14"/>
            <color rgb="FF000000"/>
            <rFont val="Calibri"/>
            <family val="34"/>
          </rPr>
          <t xml:space="preserve">
</t>
        </r>
        <r>
          <rPr>
            <sz val="14"/>
            <color rgb="FF000000"/>
            <rFont val="Times New Roman"/>
            <family val="18"/>
          </rPr>
          <t>ML 10.275/6 IR 43 (1805) – Heft von 2. Fus Comp. Nr. 73 (Cattaro 30/09/1805)</t>
        </r>
        <r>
          <rPr>
            <sz val="14"/>
            <color rgb="FF000000"/>
            <rFont val="Calibri"/>
            <family val="34"/>
          </rPr>
          <t xml:space="preserve">
</t>
        </r>
        <r>
          <rPr>
            <sz val="14"/>
            <color rgb="FF000000"/>
            <rFont val="Times New Roman"/>
            <family val="18"/>
          </rPr>
          <t>ML 10/277/8 IR 43 (1806) – Heft von 2. Fus Comp. Abgang (Laibach 01/12/1806)</t>
        </r>
        <r>
          <rPr>
            <sz val="14"/>
            <color rgb="FF000000"/>
            <rFont val="Calibri"/>
            <family val="34"/>
          </rPr>
          <t xml:space="preserve">
</t>
        </r>
        <r>
          <rPr>
            <sz val="14"/>
            <color rgb="FF000000"/>
            <rFont val="Times New Roman"/>
            <family val="18"/>
          </rPr>
          <t>ML 10.305 IR 43 (1797) – ST Feb (09/03/1802), April (24/05/1803), Mai (01/06/1803) und Juli (24/07/1803)</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April (19/08/1799) und August (06/03/1800)</t>
        </r>
        <r>
          <rPr>
            <sz val="14"/>
            <color rgb="FF000000"/>
            <rFont val="Calibri"/>
            <family val="34"/>
          </rPr>
          <t xml:space="preserve">
</t>
        </r>
        <r>
          <rPr>
            <sz val="14"/>
            <color rgb="FF000000"/>
            <rFont val="Times New Roman"/>
            <family val="18"/>
          </rPr>
          <t>ML 10.311 IR 43 (1801) – ST Mai (10/03/1805) &amp; Oct (21/07/1805)</t>
        </r>
        <r>
          <rPr>
            <sz val="14"/>
            <color rgb="FF000000"/>
            <rFont val="Calibri"/>
            <family val="34"/>
          </rPr>
          <t xml:space="preserve">
</t>
        </r>
        <r>
          <rPr>
            <sz val="14"/>
            <color rgb="FF000000"/>
            <rFont val="Times New Roman"/>
            <family val="18"/>
          </rPr>
          <t>ML 10.313 IR 43 (1803) – ST Feb (15/03/1803) und April (15/05/1803)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295" authorId="0" shapeId="0" xr:uid="{6E766FC8-FBB1-DC43-84DD-46419A96BA04}">
      <text>
        <r>
          <rPr>
            <sz val="14"/>
            <color rgb="FF000000"/>
            <rFont val="Calibri"/>
            <family val="34"/>
          </rPr>
          <t>IR 43 (1797-1806)</t>
        </r>
      </text>
    </comment>
    <comment ref="BF296" authorId="0" shapeId="0" xr:uid="{6A6BD67A-EDF0-764E-BFDF-F79E907E330A}">
      <text>
        <r>
          <rPr>
            <sz val="14"/>
            <color rgb="FF000000"/>
            <rFont val="Times New Roman"/>
            <family val="18"/>
          </rPr>
          <t xml:space="preserve">03/02/1797 </t>
        </r>
        <r>
          <rPr>
            <i/>
            <sz val="14"/>
            <color rgb="FF000000"/>
            <rFont val="Times New Roman"/>
            <family val="18"/>
          </rPr>
          <t xml:space="preserve">Von Dominien Ausgehoben und von Ständen als Galizische Recrout zum Biala auf Kriegsdauer gestellt; seitdem auf anhero Marsch mit Friedens Gebühr </t>
        </r>
        <r>
          <rPr>
            <sz val="14"/>
            <color rgb="FF000000"/>
            <rFont val="Times New Roman"/>
            <family val="18"/>
          </rPr>
          <t xml:space="preserve">[ST Feb 1797]
</t>
        </r>
        <r>
          <rPr>
            <sz val="14"/>
            <color rgb="FF000000"/>
            <rFont val="Times New Roman"/>
            <family val="18"/>
          </rPr>
          <t xml:space="preserve">21/04/1797 </t>
        </r>
        <r>
          <rPr>
            <i/>
            <sz val="14"/>
            <color rgb="FF000000"/>
            <rFont val="Times New Roman"/>
            <family val="18"/>
          </rPr>
          <t xml:space="preserve">Ankunft in Reserve Division </t>
        </r>
        <r>
          <rPr>
            <sz val="14"/>
            <color rgb="FF000000"/>
            <rFont val="Times New Roman"/>
            <family val="18"/>
          </rPr>
          <t xml:space="preserve">[ST April 1797]
</t>
        </r>
        <r>
          <rPr>
            <sz val="14"/>
            <color rgb="FF000000"/>
            <rFont val="Times New Roman"/>
            <family val="18"/>
          </rPr>
          <t xml:space="preserve">22/04/1797 </t>
        </r>
        <r>
          <rPr>
            <i/>
            <sz val="14"/>
            <color rgb="FF000000"/>
            <rFont val="Times New Roman"/>
            <family val="18"/>
          </rPr>
          <t xml:space="preserve">Von Reserve Division zum Lieb Comp. transferiert </t>
        </r>
        <r>
          <rPr>
            <sz val="14"/>
            <color rgb="FF000000"/>
            <rFont val="Times New Roman"/>
            <family val="18"/>
          </rPr>
          <t xml:space="preserve">[ST April 1797]
</t>
        </r>
        <r>
          <rPr>
            <sz val="14"/>
            <color rgb="FF000000"/>
            <rFont val="Times New Roman"/>
            <family val="18"/>
          </rPr>
          <t xml:space="preserve">06/05/1797 </t>
        </r>
        <r>
          <rPr>
            <i/>
            <sz val="14"/>
            <color rgb="FF000000"/>
            <rFont val="Times New Roman"/>
            <family val="18"/>
          </rPr>
          <t xml:space="preserve">Krank Auswärts mit Kriegsgebühr </t>
        </r>
        <r>
          <rPr>
            <sz val="14"/>
            <color rgb="FF000000"/>
            <rFont val="Times New Roman"/>
            <family val="18"/>
          </rPr>
          <t xml:space="preserve">[ST May 1797]
</t>
        </r>
        <r>
          <rPr>
            <sz val="14"/>
            <color rgb="FF000000"/>
            <rFont val="Times New Roman"/>
            <family val="18"/>
          </rPr>
          <t xml:space="preserve">31/10/1797 [bis mindestens] </t>
        </r>
        <r>
          <rPr>
            <i/>
            <sz val="14"/>
            <color rgb="FF000000"/>
            <rFont val="Times New Roman"/>
            <family val="18"/>
          </rPr>
          <t xml:space="preserve">Krank Auswärts mit Kriegsgebühr </t>
        </r>
        <r>
          <rPr>
            <sz val="14"/>
            <color rgb="FF000000"/>
            <rFont val="Times New Roman"/>
            <family val="18"/>
          </rPr>
          <t xml:space="preserve">[ST Oct 1797]
</t>
        </r>
        <r>
          <rPr>
            <sz val="14"/>
            <color rgb="FF000000"/>
            <rFont val="Times New Roman"/>
            <family val="18"/>
          </rPr>
          <t xml:space="preserve">30/06/1798 </t>
        </r>
        <r>
          <rPr>
            <i/>
            <sz val="14"/>
            <color rgb="FF000000"/>
            <rFont val="Times New Roman"/>
            <family val="18"/>
          </rPr>
          <t xml:space="preserve">Ultimo Juni als uber ½ in auswarts vermog hohe HKR Verordenung 10/06/1798 als unwissend in armee spitalern verlohren </t>
        </r>
        <r>
          <rPr>
            <sz val="14"/>
            <color rgb="FF000000"/>
            <rFont val="Times New Roman"/>
            <family val="18"/>
          </rPr>
          <t xml:space="preserve">[ML 1799]
</t>
        </r>
      </text>
    </comment>
    <comment ref="BG296" authorId="0" shapeId="0" xr:uid="{63E599D9-D2F2-0F4D-8ACD-F5AAA679185E}">
      <text>
        <r>
          <rPr>
            <sz val="14"/>
            <color rgb="FF000000"/>
            <rFont val="Times New Roman"/>
            <family val="18"/>
          </rPr>
          <t>ML 10.271 IR 43 (1796-9) – RL Lieb Comp. - Abgang (Udine 25/01/1799)</t>
        </r>
        <r>
          <rPr>
            <sz val="14"/>
            <color rgb="FF000000"/>
            <rFont val="Calibri"/>
            <family val="34"/>
          </rPr>
          <t xml:space="preserve">
</t>
        </r>
        <r>
          <rPr>
            <sz val="14"/>
            <color rgb="FF000000"/>
            <rFont val="Times New Roman"/>
            <family val="18"/>
          </rPr>
          <t>ML 10.305 IR 43 (1797) – ST Feb (09/03/1802), April (24/05/1803), Mai (01/06/1803) und Okt (31/05/1805)</t>
        </r>
      </text>
    </comment>
    <comment ref="BH296" authorId="0" shapeId="0" xr:uid="{00C8CD23-B221-F54D-885B-99016771C58B}">
      <text>
        <r>
          <rPr>
            <sz val="14"/>
            <color rgb="FF000000"/>
            <rFont val="Calibri"/>
            <family val="34"/>
          </rPr>
          <t>IR 43 (1797-1798)</t>
        </r>
      </text>
    </comment>
    <comment ref="BF297" authorId="0" shapeId="0" xr:uid="{25448165-F48F-8D44-88CF-E948C98FC8FB}">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 xml:space="preserve">In die Reserve Division eingerückt </t>
        </r>
        <r>
          <rPr>
            <sz val="14"/>
            <color rgb="FF000000"/>
            <rFont val="Times New Roman"/>
            <family val="18"/>
          </rPr>
          <t>[ST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12/07/1797 </t>
        </r>
        <r>
          <rPr>
            <i/>
            <sz val="14"/>
            <color rgb="FF000000"/>
            <rFont val="Times New Roman"/>
            <family val="18"/>
          </rPr>
          <t>Krank in loco Spital</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15/07/1797 </t>
        </r>
        <r>
          <rPr>
            <i/>
            <sz val="14"/>
            <color rgb="FF000000"/>
            <rFont val="Times New Roman"/>
            <family val="18"/>
          </rPr>
          <t xml:space="preserve">Rekonvalesziert </t>
        </r>
        <r>
          <rPr>
            <sz val="14"/>
            <color rgb="FF000000"/>
            <rFont val="Times New Roman"/>
            <family val="18"/>
          </rPr>
          <t>[ST July 1797]</t>
        </r>
        <r>
          <rPr>
            <sz val="14"/>
            <color rgb="FF000000"/>
            <rFont val="Calibri"/>
            <family val="34"/>
          </rPr>
          <t xml:space="preserve">
</t>
        </r>
        <r>
          <rPr>
            <sz val="14"/>
            <color rgb="FF000000"/>
            <rFont val="Times New Roman"/>
            <family val="18"/>
          </rPr>
          <t>25/01/1799 Revision: IR 43 Haupt Fischer Nr. 88</t>
        </r>
        <r>
          <rPr>
            <sz val="14"/>
            <color rgb="FF000000"/>
            <rFont val="Calibri"/>
            <family val="34"/>
          </rPr>
          <t xml:space="preserve">
</t>
        </r>
        <r>
          <rPr>
            <sz val="14"/>
            <color rgb="FF000000"/>
            <rFont val="Times New Roman"/>
            <family val="18"/>
          </rPr>
          <t xml:space="preserve">26/05/1799 </t>
        </r>
        <r>
          <rPr>
            <i/>
            <sz val="14"/>
            <color rgb="FF000000"/>
            <rFont val="Times New Roman"/>
            <family val="18"/>
          </rPr>
          <t xml:space="preserve">Krank auswärts mit Kriegsgebühr </t>
        </r>
        <r>
          <rPr>
            <sz val="14"/>
            <color rgb="FF000000"/>
            <rFont val="Times New Roman"/>
            <family val="18"/>
          </rPr>
          <t>[ST Mai 1799]</t>
        </r>
        <r>
          <rPr>
            <sz val="14"/>
            <color rgb="FF000000"/>
            <rFont val="Calibri"/>
            <family val="34"/>
          </rPr>
          <t xml:space="preserve">
</t>
        </r>
        <r>
          <rPr>
            <sz val="14"/>
            <color rgb="FF000000"/>
            <rFont val="Times New Roman"/>
            <family val="18"/>
          </rPr>
          <t xml:space="preserve">16/03/1800 </t>
        </r>
        <r>
          <rPr>
            <i/>
            <sz val="14"/>
            <color rgb="FF000000"/>
            <rFont val="Times New Roman"/>
            <family val="18"/>
          </rPr>
          <t xml:space="preserve">Rekonvalesziert und ins Komp. eingerückt </t>
        </r>
        <r>
          <rPr>
            <sz val="14"/>
            <color rgb="FF000000"/>
            <rFont val="Times New Roman"/>
            <family val="18"/>
          </rPr>
          <t>[St Marz 1800]</t>
        </r>
        <r>
          <rPr>
            <sz val="14"/>
            <color rgb="FF000000"/>
            <rFont val="Calibri"/>
            <family val="34"/>
          </rPr>
          <t xml:space="preserve">
</t>
        </r>
        <r>
          <rPr>
            <sz val="14"/>
            <color rgb="FF000000"/>
            <rFont val="Times New Roman"/>
            <family val="18"/>
          </rPr>
          <t>WEITERES SCHICKSAL UNBEKANNT</t>
        </r>
      </text>
    </comment>
    <comment ref="BG297" authorId="0" shapeId="0" xr:uid="{A9B1BB7B-CDE2-C44D-9674-51BD3CE74456}">
      <text>
        <r>
          <rPr>
            <sz val="14"/>
            <color rgb="FF000000"/>
            <rFont val="Times New Roman"/>
            <family val="18"/>
          </rPr>
          <t>ML 10.271 IR 43 (1796-9) – RL Haupt Fischer Nr. 88 (Udine 25/01/1799)</t>
        </r>
        <r>
          <rPr>
            <sz val="14"/>
            <color rgb="FF000000"/>
            <rFont val="Calibri"/>
            <family val="34"/>
          </rPr>
          <t xml:space="preserve">
</t>
        </r>
        <r>
          <rPr>
            <sz val="14"/>
            <color rgb="FF000000"/>
            <rFont val="Times New Roman"/>
            <family val="18"/>
          </rPr>
          <t>ML 10.305 IR 43 (1797) – ST Feb (09/03/1802), April (24/05/1803), und Juli (24/07/1803)</t>
        </r>
        <r>
          <rPr>
            <sz val="14"/>
            <color rgb="FF000000"/>
            <rFont val="Calibri"/>
            <family val="34"/>
          </rPr>
          <t xml:space="preserve">
</t>
        </r>
        <r>
          <rPr>
            <sz val="14"/>
            <color rgb="FF000000"/>
            <rFont val="Times New Roman"/>
            <family val="18"/>
          </rPr>
          <t>ML 10.307 IR 43 (1799) – ST Mai (22/09/1799)</t>
        </r>
        <r>
          <rPr>
            <sz val="14"/>
            <color rgb="FF000000"/>
            <rFont val="Calibri"/>
            <family val="34"/>
          </rPr>
          <t xml:space="preserve">
</t>
        </r>
        <r>
          <rPr>
            <sz val="14"/>
            <color rgb="FF000000"/>
            <rFont val="Times New Roman"/>
            <family val="18"/>
          </rPr>
          <t xml:space="preserve">ML 10.309 IR 43 (1800) – ST Marz (04/10/1801) </t>
        </r>
      </text>
    </comment>
    <comment ref="BH297" authorId="0" shapeId="0" xr:uid="{AE832385-4F35-A049-8563-EB80D845E40C}">
      <text>
        <r>
          <rPr>
            <sz val="14"/>
            <color rgb="FF000000"/>
            <rFont val="Calibri"/>
            <family val="34"/>
          </rPr>
          <t>IR 43 (1797-1800)</t>
        </r>
      </text>
    </comment>
    <comment ref="BF298" authorId="0" shapeId="0" xr:uid="{AE62EFDF-8A6E-6E4E-BE42-FC9AEBE595A1}">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Ankunft in Reserve Division</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Lieb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Rekonvalesziert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Krank in Loco Spital</t>
        </r>
        <r>
          <rPr>
            <sz val="14"/>
            <color rgb="FF000000"/>
            <rFont val="Times New Roman"/>
            <family val="18"/>
          </rPr>
          <t xml:space="preserve"> [ST June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Rekonvalesziert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01/10/1798 </t>
        </r>
        <r>
          <rPr>
            <i/>
            <sz val="14"/>
            <color rgb="FF000000"/>
            <rFont val="Times New Roman"/>
            <family val="18"/>
          </rPr>
          <t>Von Lieb zum 2. Major Komp. transferiert</t>
        </r>
        <r>
          <rPr>
            <sz val="14"/>
            <color rgb="FF000000"/>
            <rFont val="Times New Roman"/>
            <family val="18"/>
          </rPr>
          <t xml:space="preserve"> [ML 1799]</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als Handlanger mit Kriegsgebühr kommandiert</t>
        </r>
        <r>
          <rPr>
            <sz val="14"/>
            <color rgb="FF000000"/>
            <rFont val="Times New Roman"/>
            <family val="18"/>
          </rPr>
          <t xml:space="preserve"> [ST Nov 1798] </t>
        </r>
        <r>
          <rPr>
            <sz val="14"/>
            <color rgb="FF000000"/>
            <rFont val="Calibri"/>
            <family val="34"/>
          </rPr>
          <t xml:space="preserve">
</t>
        </r>
        <r>
          <rPr>
            <sz val="14"/>
            <color rgb="FF000000"/>
            <rFont val="Times New Roman"/>
            <family val="18"/>
          </rPr>
          <t>25/01/1799 Revision: 2. Major Komp. Nr. 118 [</t>
        </r>
        <r>
          <rPr>
            <i/>
            <sz val="14"/>
            <color rgb="FF000000"/>
            <rFont val="Times New Roman"/>
            <family val="18"/>
          </rPr>
          <t>Bei der Artillerie Reserve im Palma</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31/03/1799 [bis] in Palma als Handlanger mit </t>
        </r>
        <r>
          <rPr>
            <i/>
            <sz val="14"/>
            <color rgb="FF000000"/>
            <rFont val="Times New Roman"/>
            <family val="18"/>
          </rPr>
          <t>Kriegsgebühr kommandiert</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01/04/1799 [seit]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2. Major Comp. Komp.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30/04/1801 [Mindestens bis] </t>
        </r>
        <r>
          <rPr>
            <i/>
            <sz val="14"/>
            <color rgb="FF000000"/>
            <rFont val="Times New Roman"/>
            <family val="18"/>
          </rPr>
          <t xml:space="preserve">bei dem Artillerie Reserve als 2. Major Komp. angehöriger mit Kriegsgebühr </t>
        </r>
        <r>
          <rPr>
            <sz val="14"/>
            <color rgb="FF000000"/>
            <rFont val="Times New Roman"/>
            <family val="18"/>
          </rPr>
          <t>[ST April 1801]</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2. Major Comp. transferiert und seitdem krank auswärts</t>
        </r>
        <r>
          <rPr>
            <sz val="14"/>
            <color rgb="FF000000"/>
            <rFont val="Times New Roman"/>
            <family val="18"/>
          </rPr>
          <t xml:space="preserve"> [ST May 1801] </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ins auswärtiger Feldspitalern als über ½ Jahr auswärts und deren Existenz gänzlich Unbewusst</t>
        </r>
        <r>
          <rPr>
            <sz val="14"/>
            <color rgb="FFFF0000"/>
            <rFont val="Times New Roman"/>
            <family val="18"/>
          </rPr>
          <t xml:space="preserve">  [ST Oct 1801]</t>
        </r>
        <r>
          <rPr>
            <sz val="14"/>
            <color rgb="FF000000"/>
            <rFont val="Calibri"/>
            <family val="34"/>
          </rPr>
          <t xml:space="preserve">
</t>
        </r>
        <r>
          <rPr>
            <sz val="14"/>
            <color rgb="FF000000"/>
            <rFont val="Times New Roman"/>
            <family val="18"/>
          </rPr>
          <t>28/08/1802 Muster: IR 43 Lieb Komp. Nr. 130</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Cattaro von Lieb Komp. Desertiert</t>
        </r>
        <r>
          <rPr>
            <sz val="14"/>
            <color rgb="FF000000"/>
            <rFont val="Times New Roman"/>
            <family val="18"/>
          </rPr>
          <t xml:space="preserve"> [ST Sept 1802 &amp; ML 1803]</t>
        </r>
        <r>
          <rPr>
            <sz val="14"/>
            <color rgb="FF000000"/>
            <rFont val="Calibri"/>
            <family val="34"/>
          </rPr>
          <t xml:space="preserve">
</t>
        </r>
      </text>
    </comment>
    <comment ref="BG298" authorId="0" shapeId="0" xr:uid="{209711A2-7C10-EC47-A149-F18DA5AC4A68}">
      <text>
        <r>
          <rPr>
            <sz val="14"/>
            <color rgb="FF000000"/>
            <rFont val="Times New Roman"/>
            <family val="18"/>
          </rPr>
          <t>ML 10.271 IR 43 (1796-9) – RL 2. Major Komp (Udine 25/01/1799)</t>
        </r>
        <r>
          <rPr>
            <sz val="14"/>
            <color rgb="FF000000"/>
            <rFont val="Calibri"/>
            <family val="34"/>
          </rPr>
          <t xml:space="preserve">
</t>
        </r>
        <r>
          <rPr>
            <sz val="14"/>
            <color rgb="FF000000"/>
            <rFont val="Times New Roman"/>
            <family val="18"/>
          </rPr>
          <t>ML 10.272 IR 43 (1802) – Leib Komp. Nr. 130 (Cattaro 28/08/1802)</t>
        </r>
        <r>
          <rPr>
            <sz val="14"/>
            <color rgb="FF000000"/>
            <rFont val="Calibri"/>
            <family val="34"/>
          </rPr>
          <t xml:space="preserve">
</t>
        </r>
        <r>
          <rPr>
            <sz val="14"/>
            <color rgb="FF000000"/>
            <rFont val="Times New Roman"/>
            <family val="18"/>
          </rPr>
          <t>ML 10.273 IR 43 (1803) – Lieb Komp. Abgang (Scardona 30/09/1803)</t>
        </r>
        <r>
          <rPr>
            <sz val="14"/>
            <color rgb="FF000000"/>
            <rFont val="Calibri"/>
            <family val="34"/>
          </rPr>
          <t xml:space="preserve">
</t>
        </r>
        <r>
          <rPr>
            <sz val="14"/>
            <color rgb="FF000000"/>
            <rFont val="Times New Roman"/>
            <family val="18"/>
          </rPr>
          <t>ML 10.305 IR 43 (1797) – ST Feb (09/03/1802), April (24/05/1803), Mai (01/06/1803), Juni (21/06/1803), Okt (31/05/1805)</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März (30/05/1799), April (19/08/1799), Aug (06/03/1800)</t>
        </r>
        <r>
          <rPr>
            <sz val="14"/>
            <color rgb="FF000000"/>
            <rFont val="Calibri"/>
            <family val="34"/>
          </rPr>
          <t xml:space="preserve">
</t>
        </r>
        <r>
          <rPr>
            <sz val="14"/>
            <color rgb="FF000000"/>
            <rFont val="Times New Roman"/>
            <family val="18"/>
          </rPr>
          <t>ML 10.311 IR 43 (1801) – ST April (13/10/1804), Mai (10/03/1805), Okt (21/07/1805)</t>
        </r>
        <r>
          <rPr>
            <sz val="14"/>
            <color rgb="FF000000"/>
            <rFont val="Calibri"/>
            <family val="34"/>
          </rPr>
          <t xml:space="preserve">
</t>
        </r>
        <r>
          <rPr>
            <sz val="14"/>
            <color rgb="FF000000"/>
            <rFont val="Times New Roman"/>
            <family val="18"/>
          </rPr>
          <t>ML 10.312 IR 43 (1802) – ST Sept (15/10/1802)</t>
        </r>
        <r>
          <rPr>
            <sz val="14"/>
            <color rgb="FF000000"/>
            <rFont val="Calibri"/>
            <family val="34"/>
          </rPr>
          <t xml:space="preserve">
</t>
        </r>
      </text>
    </comment>
    <comment ref="BH298" authorId="0" shapeId="0" xr:uid="{F6DA6FCE-679C-894B-8042-5DB5E9C144AB}">
      <text>
        <r>
          <rPr>
            <sz val="14"/>
            <color rgb="FF000000"/>
            <rFont val="Calibri"/>
            <family val="34"/>
          </rPr>
          <t>IR 43 (1797-1802)</t>
        </r>
      </text>
    </comment>
    <comment ref="B299" authorId="0" shapeId="0" xr:uid="{6170F606-C473-9E41-A266-860EEF4FAC65}">
      <text>
        <r>
          <rPr>
            <sz val="14"/>
            <color rgb="FF000000"/>
            <rFont val="Times New Roman"/>
            <family val="18"/>
          </rPr>
          <t>Jacob SCHÖPS/ SCHNEFF</t>
        </r>
      </text>
    </comment>
    <comment ref="BF299" authorId="0" shapeId="0" xr:uid="{EEE9557C-9CAC-A444-9465-948BF220D40D}">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Ins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01/01/1799 </t>
        </r>
        <r>
          <rPr>
            <i/>
            <sz val="14"/>
            <color rgb="FF000000"/>
            <rFont val="Times New Roman"/>
            <family val="18"/>
          </rPr>
          <t>Handlanger beim loco mit Liniengeschütz</t>
        </r>
        <r>
          <rPr>
            <sz val="14"/>
            <color rgb="FF000000"/>
            <rFont val="Times New Roman"/>
            <family val="18"/>
          </rPr>
          <t xml:space="preserve"> [ST Jan 1799]</t>
        </r>
        <r>
          <rPr>
            <sz val="14"/>
            <color rgb="FF000000"/>
            <rFont val="Calibri"/>
            <family val="34"/>
          </rPr>
          <t xml:space="preserve">
</t>
        </r>
        <r>
          <rPr>
            <sz val="14"/>
            <color rgb="FF000000"/>
            <rFont val="Times New Roman"/>
            <family val="18"/>
          </rPr>
          <t>25/01/1799 Revision: Haupt Fischer Comp Nr. 89] [</t>
        </r>
        <r>
          <rPr>
            <i/>
            <sz val="14"/>
            <color rgb="FF000000"/>
            <rFont val="Times New Roman"/>
            <family val="18"/>
          </rPr>
          <t>Artillerie Handlanger in loco</t>
        </r>
        <r>
          <rPr>
            <sz val="14"/>
            <color rgb="FF000000"/>
            <rFont val="Times New Roman"/>
            <family val="18"/>
          </rPr>
          <t>]</t>
        </r>
        <r>
          <rPr>
            <sz val="14"/>
            <color rgb="FF000000"/>
            <rFont val="Calibri"/>
            <family val="34"/>
          </rPr>
          <t xml:space="preserve">
</t>
        </r>
        <r>
          <rPr>
            <sz val="14"/>
            <color rgb="FF000000"/>
            <rFont val="Times New Roman"/>
            <family val="18"/>
          </rPr>
          <t xml:space="preserve">31/05/1799 </t>
        </r>
        <r>
          <rPr>
            <i/>
            <sz val="14"/>
            <color rgb="FF000000"/>
            <rFont val="Times New Roman"/>
            <family val="18"/>
          </rPr>
          <t>Von Haupt Fischer Zum Regiments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Von Regiments Artillerie Handlanger transferiert wieder zum Haupt Fischer Comp transferiert Companie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22/12/1799 </t>
        </r>
        <r>
          <rPr>
            <i/>
            <sz val="14"/>
            <color rgb="FF000000"/>
            <rFont val="Times New Roman"/>
            <family val="18"/>
          </rPr>
          <t>in loco gestorben</t>
        </r>
        <r>
          <rPr>
            <sz val="14"/>
            <color rgb="FF000000"/>
            <rFont val="Times New Roman"/>
            <family val="18"/>
          </rPr>
          <t xml:space="preserve"> [ST Dec 1799] [als Jacob SCHNEPF]</t>
        </r>
        <r>
          <rPr>
            <sz val="14"/>
            <color rgb="FF000000"/>
            <rFont val="Calibri"/>
            <family val="34"/>
          </rPr>
          <t xml:space="preserve">
</t>
        </r>
      </text>
    </comment>
    <comment ref="BG299" authorId="0" shapeId="0" xr:uid="{729EF622-508A-1941-8F3F-6A24C704C556}">
      <text>
        <r>
          <rPr>
            <sz val="14"/>
            <color rgb="FF000000"/>
            <rFont val="Times New Roman"/>
            <family val="18"/>
          </rPr>
          <t>ML 10.271 IR 43 (1796-9) – RL Haupt Fischer Comp. Nr. 89 (Udine 25/01/1799)</t>
        </r>
        <r>
          <rPr>
            <sz val="14"/>
            <color rgb="FF000000"/>
            <rFont val="Calibri"/>
            <family val="34"/>
          </rPr>
          <t xml:space="preserve">
</t>
        </r>
        <r>
          <rPr>
            <sz val="14"/>
            <color rgb="FF000000"/>
            <rFont val="Times New Roman"/>
            <family val="18"/>
          </rPr>
          <t>ML 10.305 IR 43 (1797) – ST Feb (09/03/1802), April (24/05/1803)</t>
        </r>
        <r>
          <rPr>
            <sz val="14"/>
            <color rgb="FF000000"/>
            <rFont val="Calibri"/>
            <family val="34"/>
          </rPr>
          <t xml:space="preserve">
</t>
        </r>
        <r>
          <rPr>
            <sz val="14"/>
            <color rgb="FF000000"/>
            <rFont val="Times New Roman"/>
            <family val="18"/>
          </rPr>
          <t>ML 10.307 IR 43 (1799) – ST Jän (21/02/1799), Juni (12/12/1799), Sept (21/07/1800) und Dez (01/11/1800)</t>
        </r>
      </text>
    </comment>
    <comment ref="BH299" authorId="0" shapeId="0" xr:uid="{F98B4AFA-038D-7443-90B0-1264810062B8}">
      <text>
        <r>
          <rPr>
            <sz val="14"/>
            <color rgb="FF000000"/>
            <rFont val="Calibri"/>
            <family val="34"/>
          </rPr>
          <t>IR 43 (1797-1799)</t>
        </r>
      </text>
    </comment>
    <comment ref="BF300" authorId="0" shapeId="0" xr:uid="{EFFC04E1-96C0-3F4D-99B0-2075CFADC45B}">
      <text>
        <r>
          <rPr>
            <sz val="14"/>
            <color rgb="FF000000"/>
            <rFont val="Times New Roman"/>
            <family val="18"/>
          </rPr>
          <t xml:space="preserve">03/02/1797 </t>
        </r>
        <r>
          <rPr>
            <i/>
            <sz val="14"/>
            <color rgb="FF000000"/>
            <rFont val="Times New Roman"/>
            <family val="18"/>
          </rPr>
          <t xml:space="preserve">Kriegsdauer gestellt; seitdem auf anhero Marsch mit Friedensgebühr </t>
        </r>
        <r>
          <rPr>
            <sz val="14"/>
            <color rgb="FF000000"/>
            <rFont val="Times New Roman"/>
            <family val="18"/>
          </rPr>
          <t xml:space="preserve">[ST Feb 1797 &amp; ML 1802]
</t>
        </r>
        <r>
          <rPr>
            <sz val="14"/>
            <color rgb="FF000000"/>
            <rFont val="Times New Roman"/>
            <family val="18"/>
          </rPr>
          <t xml:space="preserve">21/04/1797 </t>
        </r>
        <r>
          <rPr>
            <i/>
            <sz val="14"/>
            <color rgb="FF000000"/>
            <rFont val="Times New Roman"/>
            <family val="18"/>
          </rPr>
          <t xml:space="preserve">Ankunft in Reserve Division </t>
        </r>
        <r>
          <rPr>
            <sz val="14"/>
            <color rgb="FF000000"/>
            <rFont val="Times New Roman"/>
            <family val="18"/>
          </rPr>
          <t xml:space="preserve">[ST April 1797]
</t>
        </r>
        <r>
          <rPr>
            <sz val="14"/>
            <color rgb="FF000000"/>
            <rFont val="Times New Roman"/>
            <family val="18"/>
          </rPr>
          <t xml:space="preserve">22/04/1797 </t>
        </r>
        <r>
          <rPr>
            <i/>
            <sz val="14"/>
            <color rgb="FF000000"/>
            <rFont val="Times New Roman"/>
            <family val="18"/>
          </rPr>
          <t xml:space="preserve">Von Reserve Division zum Haupt Selmbach Comp. Transferiert </t>
        </r>
        <r>
          <rPr>
            <sz val="14"/>
            <color rgb="FF000000"/>
            <rFont val="Times New Roman"/>
            <family val="18"/>
          </rPr>
          <t xml:space="preserve">[ST April 1797]
</t>
        </r>
        <r>
          <rPr>
            <sz val="14"/>
            <color rgb="FF000000"/>
            <rFont val="Times New Roman"/>
            <family val="18"/>
          </rPr>
          <t xml:space="preserve">10/05/1797 </t>
        </r>
        <r>
          <rPr>
            <i/>
            <sz val="14"/>
            <color rgb="FF000000"/>
            <rFont val="Times New Roman"/>
            <family val="18"/>
          </rPr>
          <t xml:space="preserve">Krank auswärts mit Kriegsgebühr </t>
        </r>
        <r>
          <rPr>
            <sz val="14"/>
            <color rgb="FF000000"/>
            <rFont val="Times New Roman"/>
            <family val="18"/>
          </rPr>
          <t xml:space="preserve">[ST May 1797]
</t>
        </r>
        <r>
          <rPr>
            <sz val="14"/>
            <color rgb="FF000000"/>
            <rFont val="Times New Roman"/>
            <family val="18"/>
          </rPr>
          <t xml:space="preserve">20/08/1797 </t>
        </r>
        <r>
          <rPr>
            <i/>
            <sz val="14"/>
            <color rgb="FF000000"/>
            <rFont val="Times New Roman"/>
            <family val="18"/>
          </rPr>
          <t xml:space="preserve">Reconvoleciert in Zurück in Companie eingerückt </t>
        </r>
        <r>
          <rPr>
            <sz val="14"/>
            <color rgb="FF000000"/>
            <rFont val="Times New Roman"/>
            <family val="18"/>
          </rPr>
          <t xml:space="preserve">[ST August 1797] 
</t>
        </r>
        <r>
          <rPr>
            <sz val="14"/>
            <color rgb="FF000000"/>
            <rFont val="Times New Roman"/>
            <family val="18"/>
          </rPr>
          <t xml:space="preserve">25/01/1799 Revision: IR 43 Haupt Selmbach Nr. 80
</t>
        </r>
        <r>
          <rPr>
            <sz val="14"/>
            <color rgb="FF000000"/>
            <rFont val="Times New Roman"/>
            <family val="18"/>
          </rPr>
          <t xml:space="preserve">21/07/1801 </t>
        </r>
        <r>
          <rPr>
            <i/>
            <sz val="14"/>
            <color rgb="FF000000"/>
            <rFont val="Times New Roman"/>
            <family val="18"/>
          </rPr>
          <t xml:space="preserve">Von Haupt Selmbach zum 1. Grenadier Comp transferiert </t>
        </r>
        <r>
          <rPr>
            <sz val="14"/>
            <color rgb="FF000000"/>
            <rFont val="Times New Roman"/>
            <family val="18"/>
          </rPr>
          <t xml:space="preserve">[ST Juli 1801]
</t>
        </r>
        <r>
          <rPr>
            <sz val="14"/>
            <color rgb="FF000000"/>
            <rFont val="Times New Roman"/>
            <family val="18"/>
          </rPr>
          <t>11/09/1802 Musterung: IR 1. Grenadier Comp. Nr. 93 [</t>
        </r>
        <r>
          <rPr>
            <i/>
            <sz val="14"/>
            <color rgb="FF000000"/>
            <rFont val="Times New Roman"/>
            <family val="18"/>
          </rPr>
          <t>Krank in loco Spital</t>
        </r>
        <r>
          <rPr>
            <sz val="14"/>
            <color rgb="FF000000"/>
            <rFont val="Times New Roman"/>
            <family val="18"/>
          </rPr>
          <t xml:space="preserve">]
</t>
        </r>
        <r>
          <rPr>
            <sz val="14"/>
            <color rgb="FF000000"/>
            <rFont val="Times New Roman"/>
            <family val="18"/>
          </rPr>
          <t xml:space="preserve">02/11/1802 </t>
        </r>
        <r>
          <rPr>
            <i/>
            <sz val="14"/>
            <color rgb="FF000000"/>
            <rFont val="Times New Roman"/>
            <family val="18"/>
          </rPr>
          <t xml:space="preserve">Von 1. Grenadier Comp zum Obrist Comp transferiert </t>
        </r>
        <r>
          <rPr>
            <sz val="14"/>
            <color rgb="FF000000"/>
            <rFont val="Times New Roman"/>
            <family val="18"/>
          </rPr>
          <t xml:space="preserve">[ST Nov 1802]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
</t>
        </r>
        <r>
          <rPr>
            <sz val="14"/>
            <color rgb="FF000000"/>
            <rFont val="Times New Roman"/>
            <family val="18"/>
          </rPr>
          <t xml:space="preserve">28/02/1803 </t>
        </r>
        <r>
          <rPr>
            <i/>
            <sz val="14"/>
            <color rgb="FF000000"/>
            <rFont val="Times New Roman"/>
            <family val="18"/>
          </rPr>
          <t xml:space="preserve">Als Unbestimmte Beurlaubte in Galizien eingerückt </t>
        </r>
        <r>
          <rPr>
            <sz val="14"/>
            <color rgb="FF000000"/>
            <rFont val="Times New Roman"/>
            <family val="18"/>
          </rPr>
          <t xml:space="preserve">[ST March 1803]
</t>
        </r>
        <r>
          <rPr>
            <sz val="14"/>
            <color rgb="FF000000"/>
            <rFont val="Times New Roman"/>
            <family val="18"/>
          </rPr>
          <t>28/09/1803 Musterung: Obrist Comp. Nr. 140 [</t>
        </r>
        <r>
          <rPr>
            <i/>
            <sz val="14"/>
            <color rgb="FF000000"/>
            <rFont val="Times New Roman"/>
            <family val="18"/>
          </rPr>
          <t>Bis zur Einberufung Beurlaubt in Oppal in Galizien</t>
        </r>
        <r>
          <rPr>
            <sz val="14"/>
            <color rgb="FF000000"/>
            <rFont val="Times New Roman"/>
            <family val="18"/>
          </rPr>
          <t xml:space="preserve">]
</t>
        </r>
        <r>
          <rPr>
            <sz val="14"/>
            <color rgb="FF000000"/>
            <rFont val="Times New Roman"/>
            <family val="18"/>
          </rPr>
          <t>07/10/1804 Musterung: IR 43 Obrist Comp. Nr. 127. [</t>
        </r>
        <r>
          <rPr>
            <i/>
            <sz val="14"/>
            <color rgb="FF000000"/>
            <rFont val="Times New Roman"/>
            <family val="18"/>
          </rPr>
          <t>Bis zur Einberufung Beurlaubt zu seinem Geburtsort</t>
        </r>
        <r>
          <rPr>
            <sz val="14"/>
            <color rgb="FF000000"/>
            <rFont val="Times New Roman"/>
            <family val="18"/>
          </rPr>
          <t xml:space="preserve">]
</t>
        </r>
        <r>
          <rPr>
            <sz val="14"/>
            <color rgb="FF000000"/>
            <rFont val="Times New Roman"/>
            <family val="18"/>
          </rPr>
          <t>01/10/1805 Musterung: IR 43 8. Fus Comp. Nr. 95 [</t>
        </r>
        <r>
          <rPr>
            <i/>
            <sz val="14"/>
            <color rgb="FF000000"/>
            <rFont val="Times New Roman"/>
            <family val="18"/>
          </rPr>
          <t>In seinem Geburtsort bis zur Einberufung Beurlaubt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 xml:space="preserve">Als auf Urlaub verbliebene von 12. Fus Comp. als unwissend verloren in Abgang </t>
        </r>
        <r>
          <rPr>
            <sz val="14"/>
            <color rgb="FF000000"/>
            <rFont val="Times New Roman"/>
            <family val="18"/>
          </rPr>
          <t xml:space="preserve">[ST Okt 1806 &amp; ML 1806]
</t>
        </r>
      </text>
    </comment>
    <comment ref="BG300" authorId="0" shapeId="0" xr:uid="{9A255498-5C29-DD44-A641-4F956C11BFE7}">
      <text>
        <r>
          <rPr>
            <sz val="14"/>
            <color rgb="FF000000"/>
            <rFont val="Calibri"/>
            <family val="34"/>
          </rPr>
          <t xml:space="preserve">ML 10.271 IR 43 (1796-9) – RL Heft von Haupt Selmbach Comp Nr. 80 (Udine 25/01/1799)
</t>
        </r>
        <r>
          <rPr>
            <sz val="14"/>
            <color rgb="FF000000"/>
            <rFont val="Calibri"/>
            <family val="34"/>
          </rPr>
          <t xml:space="preserve">ML 10.272 IR 43 (1802) – Heft von 1. Gren. Comp. Nr. 93 (Zara 11/09/1802)
</t>
        </r>
        <r>
          <rPr>
            <sz val="14"/>
            <color rgb="FF000000"/>
            <rFont val="Calibri"/>
            <family val="34"/>
          </rPr>
          <t xml:space="preserve">ML 10.273 IR 43 (1803) – Heft von Obrist Comp. Nr. 140 (Zara 28/09/1803)
</t>
        </r>
        <r>
          <rPr>
            <sz val="14"/>
            <color rgb="FF000000"/>
            <rFont val="Calibri"/>
            <family val="34"/>
          </rPr>
          <t xml:space="preserve">ML 10.274 IR 43 (1804) – Heft von Obrist Comp. Nr. 127 (Cattaro 07/10/1804)
</t>
        </r>
        <r>
          <rPr>
            <sz val="14"/>
            <color rgb="FF000000"/>
            <rFont val="Calibri"/>
            <family val="34"/>
          </rPr>
          <t xml:space="preserve">ML 10.275/6 IR 43 (1805) – Heft von 8. Fus Comp. Nr. 95 (Zara (01/10/1805)
</t>
        </r>
        <r>
          <rPr>
            <sz val="14"/>
            <color rgb="FF000000"/>
            <rFont val="Calibri"/>
            <family val="34"/>
          </rPr>
          <t xml:space="preserve">ML 10/277/8 IR 43 (1806) – Heft von 12. Fus Comp. Abgang (Neustadt 05/12/1806)
</t>
        </r>
        <r>
          <rPr>
            <sz val="14"/>
            <color rgb="FF000000"/>
            <rFont val="Calibri"/>
            <family val="34"/>
          </rPr>
          <t xml:space="preserve">ML 10.305 IR 43 (1797) – ST April (24/05/1803), Mai (01/06/1803), und August (01/09/1802)
</t>
        </r>
        <r>
          <rPr>
            <sz val="14"/>
            <color rgb="FF000000"/>
            <rFont val="Calibri"/>
            <family val="34"/>
          </rPr>
          <t xml:space="preserve">ML 10.311 IR 43 (1801) – ST Juli (08/07/1805)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10.317 IR 43 (1806) – ST Oktober (27/11/1806) </t>
        </r>
      </text>
    </comment>
    <comment ref="BH300" authorId="0" shapeId="0" xr:uid="{12196BBD-0830-9443-9EF8-AB376AE73588}">
      <text>
        <r>
          <rPr>
            <sz val="14"/>
            <color rgb="FF000000"/>
            <rFont val="Calibri"/>
            <family val="34"/>
          </rPr>
          <t>IR 43 (1797-1806)</t>
        </r>
      </text>
    </comment>
    <comment ref="BF301" authorId="0" shapeId="0" xr:uid="{CAA0A05A-1135-6A4E-83CA-04F7B6D54D6E}">
      <text>
        <r>
          <rPr>
            <sz val="14"/>
            <color rgb="FF000000"/>
            <rFont val="Times New Roman"/>
            <family val="18"/>
          </rPr>
          <t xml:space="preserve">06/02/1797 </t>
        </r>
        <r>
          <rPr>
            <i/>
            <sz val="14"/>
            <color rgb="FF000000"/>
            <rFont val="Times New Roman"/>
            <family val="18"/>
          </rPr>
          <t>Von Gallizischen Ständen a 3Fl Handgeld auf die Dauer des Kriegs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05/04/1799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t>
        </r>
        <r>
          <rPr>
            <b/>
            <sz val="14"/>
            <color rgb="FFFF0000"/>
            <rFont val="Times New Roman"/>
            <family val="18"/>
          </rPr>
          <t>Battle of Magnano]</t>
        </r>
        <r>
          <rPr>
            <b/>
            <sz val="14"/>
            <color rgb="FF000000"/>
            <rFont val="Times New Roman"/>
            <family val="18"/>
          </rPr>
          <t xml:space="preserve"> </t>
        </r>
        <r>
          <rPr>
            <sz val="14"/>
            <color rgb="FF000000"/>
            <rFont val="Times New Roman"/>
            <family val="18"/>
          </rPr>
          <t>[ML 1803]</t>
        </r>
        <r>
          <rPr>
            <sz val="14"/>
            <color rgb="FF000000"/>
            <rFont val="Calibri"/>
            <family val="34"/>
          </rPr>
          <t xml:space="preserve">
</t>
        </r>
        <r>
          <rPr>
            <sz val="14"/>
            <color rgb="FF000000"/>
            <rFont val="Times New Roman"/>
            <family val="18"/>
          </rPr>
          <t xml:space="preserve">09/05/1801 </t>
        </r>
        <r>
          <rPr>
            <i/>
            <sz val="14"/>
            <color rgb="FF000000"/>
            <rFont val="Times New Roman"/>
            <family val="18"/>
          </rPr>
          <t>Gegen Auswechslung 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Strack Komp. Nr. 121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Stracka Komp. Nr. 110 [</t>
        </r>
        <r>
          <rPr>
            <i/>
            <sz val="14"/>
            <color rgb="FF000000"/>
            <rFont val="Times New Roman"/>
            <family val="18"/>
          </rPr>
          <t>Beurlaubt in Mendczyce</t>
        </r>
        <r>
          <rPr>
            <sz val="14"/>
            <color rgb="FF000000"/>
            <rFont val="Times New Roman"/>
            <family val="18"/>
          </rPr>
          <t xml:space="preserve"> </t>
        </r>
        <r>
          <rPr>
            <b/>
            <sz val="14"/>
            <color rgb="FF000000"/>
            <rFont val="Times New Roman"/>
            <family val="18"/>
          </rPr>
          <t>[</t>
        </r>
        <r>
          <rPr>
            <b/>
            <u/>
            <sz val="14"/>
            <color rgb="FF0563C1"/>
            <rFont val="Times New Roman"/>
            <family val="18"/>
          </rPr>
          <t>Międzyrzec Podlaski, Poland</t>
        </r>
        <r>
          <rPr>
            <b/>
            <sz val="14"/>
            <color rgb="FF000000"/>
            <rFont val="Times New Roman"/>
            <family val="18"/>
          </rPr>
          <t>]</t>
        </r>
        <r>
          <rPr>
            <sz val="14"/>
            <color rgb="FF000000"/>
            <rFont val="Times New Roman"/>
            <family val="18"/>
          </rPr>
          <t>,</t>
        </r>
        <r>
          <rPr>
            <i/>
            <sz val="14"/>
            <color rgb="FF000000"/>
            <rFont val="Times New Roman"/>
            <family val="18"/>
          </rPr>
          <t xml:space="preserve"> Bialer Kreis in West Galizien bis</t>
        </r>
        <r>
          <rPr>
            <sz val="14"/>
            <color rgb="FF000000"/>
            <rFont val="Times New Roman"/>
            <family val="18"/>
          </rPr>
          <t xml:space="preserve"> </t>
        </r>
        <r>
          <rPr>
            <i/>
            <sz val="14"/>
            <color rgb="FF000000"/>
            <rFont val="Times New Roman"/>
            <family val="18"/>
          </rPr>
          <t>Einberufung</t>
        </r>
        <r>
          <rPr>
            <sz val="14"/>
            <color rgb="FF000000"/>
            <rFont val="Times New Roman"/>
            <family val="18"/>
          </rPr>
          <t>]</t>
        </r>
        <r>
          <rPr>
            <sz val="14"/>
            <color rgb="FF000000"/>
            <rFont val="Calibri"/>
            <family val="34"/>
          </rPr>
          <t xml:space="preserve">
</t>
        </r>
        <r>
          <rPr>
            <sz val="14"/>
            <color rgb="FF000000"/>
            <rFont val="Times New Roman"/>
            <family val="18"/>
          </rPr>
          <t xml:space="preserve">25/08/1805 </t>
        </r>
        <r>
          <rPr>
            <i/>
            <sz val="14"/>
            <color rgb="FF000000"/>
            <rFont val="Times New Roman"/>
            <family val="18"/>
          </rPr>
          <t>Als inländische Kriegscapitulant mit Abschied entlassen</t>
        </r>
        <r>
          <rPr>
            <sz val="14"/>
            <color rgb="FF000000"/>
            <rFont val="Times New Roman"/>
            <family val="18"/>
          </rPr>
          <t xml:space="preserve"> [ML 1806]</t>
        </r>
        <r>
          <rPr>
            <sz val="14"/>
            <color rgb="FF000000"/>
            <rFont val="Calibri"/>
            <family val="34"/>
          </rPr>
          <t xml:space="preserve">
</t>
        </r>
      </text>
    </comment>
    <comment ref="BG301" authorId="0" shapeId="0" xr:uid="{91A4300E-375B-1F41-A3B3-404BCE70AE08}">
      <text>
        <r>
          <rPr>
            <sz val="14"/>
            <color rgb="FF000000"/>
            <rFont val="Times New Roman"/>
            <family val="18"/>
          </rPr>
          <t>ML 5015 IR 59 (1803) –Haupt Setlinger Komp. Nr. 121 (Enns 29/08/1803)</t>
        </r>
        <r>
          <rPr>
            <sz val="14"/>
            <color rgb="FF000000"/>
            <rFont val="Calibri"/>
            <family val="34"/>
          </rPr>
          <t xml:space="preserve">
</t>
        </r>
        <r>
          <rPr>
            <sz val="14"/>
            <color rgb="FF000000"/>
            <rFont val="Times New Roman"/>
            <family val="18"/>
          </rPr>
          <t>ML 5016 IR 59 (1804) –Haupt Setlinger Komp. Nr. 110 (Innsbruck 03/09/1804)</t>
        </r>
        <r>
          <rPr>
            <sz val="14"/>
            <color rgb="FF000000"/>
            <rFont val="Calibri"/>
            <family val="34"/>
          </rPr>
          <t xml:space="preserve">
</t>
        </r>
        <r>
          <rPr>
            <sz val="14"/>
            <color rgb="FF000000"/>
            <rFont val="Times New Roman"/>
            <family val="18"/>
          </rPr>
          <t>ML 5017/8 IR 59 (1806) – 5. Fus Comp. Abgang (Linz 20/12/1806)</t>
        </r>
        <r>
          <rPr>
            <sz val="14"/>
            <color rgb="FF000000"/>
            <rFont val="Calibri"/>
            <family val="34"/>
          </rPr>
          <t xml:space="preserve">
</t>
        </r>
      </text>
    </comment>
    <comment ref="BH301" authorId="0" shapeId="0" xr:uid="{93734833-E6EA-D14F-917F-9196445BA350}">
      <text>
        <r>
          <rPr>
            <sz val="14"/>
            <color rgb="FF000000"/>
            <rFont val="Calibri"/>
            <family val="34"/>
          </rPr>
          <t>IR 59 (1797-1805)</t>
        </r>
      </text>
    </comment>
    <comment ref="BF302" authorId="0" shapeId="0" xr:uid="{F92FD490-7295-5949-BFE9-03B8F7E0D20A}">
      <text>
        <r>
          <rPr>
            <sz val="14"/>
            <color rgb="FF000000"/>
            <rFont val="Times New Roman"/>
            <family val="18"/>
          </rPr>
          <t xml:space="preserve">06/02/1797 </t>
        </r>
        <r>
          <rPr>
            <i/>
            <sz val="14"/>
            <color rgb="FF000000"/>
            <rFont val="Times New Roman"/>
            <family val="18"/>
          </rPr>
          <t>Von Dominio auf 10 Jahre zu Stain</t>
        </r>
        <r>
          <rPr>
            <sz val="14"/>
            <color rgb="FF000000"/>
            <rFont val="Times New Roman"/>
            <family val="18"/>
          </rPr>
          <t xml:space="preserve"> </t>
        </r>
        <r>
          <rPr>
            <b/>
            <sz val="14"/>
            <color rgb="FF000000"/>
            <rFont val="Times New Roman"/>
            <family val="18"/>
          </rPr>
          <t xml:space="preserve">Inf Nr. 50 </t>
        </r>
        <r>
          <rPr>
            <i/>
            <sz val="14"/>
            <color rgb="FF000000"/>
            <rFont val="Times New Roman"/>
            <family val="18"/>
          </rPr>
          <t>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11/09/1804 Muster: IR 50 Haupt Crus Komp. Nr. 113 [</t>
        </r>
        <r>
          <rPr>
            <i/>
            <sz val="14"/>
            <color rgb="FF000000"/>
            <rFont val="Times New Roman"/>
            <family val="18"/>
          </rPr>
          <t>Unbestimmt Beurlaubt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Stain Inf Nr. 50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10. Fus Komp. Nr. 157 [</t>
        </r>
        <r>
          <rPr>
            <i/>
            <sz val="14"/>
            <color rgb="FF000000"/>
            <rFont val="Times New Roman"/>
            <family val="18"/>
          </rPr>
          <t>Krank in loco Spital zu Czernowitz</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302" authorId="0" shapeId="0" xr:uid="{54AAD1A9-E1DA-4C48-AD68-D9DD72A50DB5}">
      <text>
        <r>
          <rPr>
            <sz val="14"/>
            <color rgb="FF000000"/>
            <rFont val="Times New Roman"/>
            <family val="18"/>
          </rPr>
          <t xml:space="preserve">ML 10.483 IR 50 (1804) – Haupt Crus Komp. Nr. 113 (Wels 11/09/1804) </t>
        </r>
        <r>
          <rPr>
            <sz val="14"/>
            <color rgb="FF000000"/>
            <rFont val="Calibri"/>
            <family val="34"/>
          </rPr>
          <t xml:space="preserve">
</t>
        </r>
        <r>
          <rPr>
            <sz val="14"/>
            <color rgb="FF000000"/>
            <rFont val="Times New Roman"/>
            <family val="18"/>
          </rPr>
          <t>ML 2633 IR 30 (1811) – Heft von 10. Komp. Nr. 157 (Czernowitz 21/09/1811)</t>
        </r>
        <r>
          <rPr>
            <sz val="14"/>
            <color rgb="FF000000"/>
            <rFont val="Calibri"/>
            <family val="34"/>
          </rPr>
          <t xml:space="preserve">
</t>
        </r>
        <r>
          <rPr>
            <sz val="14"/>
            <color rgb="FF000000"/>
            <rFont val="Times New Roman"/>
            <family val="18"/>
          </rPr>
          <t>ML 2635 IR 30 (1817) – Heft von 7. Fus. Komp. – Abgang (Lemberg 15/10/1817)</t>
        </r>
        <r>
          <rPr>
            <sz val="14"/>
            <color rgb="FF000000"/>
            <rFont val="Calibri"/>
            <family val="34"/>
          </rPr>
          <t xml:space="preserve">
</t>
        </r>
      </text>
    </comment>
    <comment ref="BH302" authorId="0" shapeId="0" xr:uid="{0C83C275-9964-3E4F-BB9D-6730D6571450}">
      <text>
        <r>
          <rPr>
            <sz val="14"/>
            <color rgb="FF000000"/>
            <rFont val="Calibri"/>
            <family val="34"/>
          </rPr>
          <t xml:space="preserve">IR 50 (1797-1810)
</t>
        </r>
        <r>
          <rPr>
            <sz val="14"/>
            <color rgb="FF000000"/>
            <rFont val="Calibri"/>
            <family val="34"/>
          </rPr>
          <t>IR 30 (1810-1817)</t>
        </r>
      </text>
    </comment>
    <comment ref="BF303" authorId="0" shapeId="0" xr:uid="{6EF3F54B-559C-ED4A-8BB2-45201162D93F}">
      <text>
        <r>
          <rPr>
            <sz val="14"/>
            <color rgb="FF000000"/>
            <rFont val="Times New Roman"/>
            <family val="18"/>
          </rPr>
          <t xml:space="preserve">06/02/1797 </t>
        </r>
        <r>
          <rPr>
            <i/>
            <sz val="14"/>
            <color rgb="FF000000"/>
            <rFont val="Times New Roman"/>
            <family val="18"/>
          </rPr>
          <t>Von Ständen als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26/10/1802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Obrist Komp. Nr. 84 [</t>
        </r>
        <r>
          <rPr>
            <i/>
            <sz val="14"/>
            <color rgb="FF000000"/>
            <rFont val="Times New Roman"/>
            <family val="18"/>
          </rPr>
          <t>Baurlaubt in Gallizien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Obrist Komp. Nr. 76 [</t>
        </r>
        <r>
          <rPr>
            <i/>
            <sz val="14"/>
            <color rgb="FF000000"/>
            <rFont val="Times New Roman"/>
            <family val="18"/>
          </rPr>
          <t>Baurlaubt in Gallizien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303" authorId="0" shapeId="0" xr:uid="{E866A254-9988-AF4A-9526-0239D8A0FEC5}">
      <text>
        <r>
          <rPr>
            <sz val="14"/>
            <color rgb="FF000000"/>
            <rFont val="Times New Roman"/>
            <family val="18"/>
          </rPr>
          <t>ML 5015 IR 59 (1803) – Obrist Komp. Nr. 84 (Enns 29/08/1803)</t>
        </r>
        <r>
          <rPr>
            <sz val="14"/>
            <color rgb="FF000000"/>
            <rFont val="Calibri"/>
            <family val="34"/>
          </rPr>
          <t xml:space="preserve">
</t>
        </r>
        <r>
          <rPr>
            <sz val="14"/>
            <color rgb="FF000000"/>
            <rFont val="Times New Roman"/>
            <family val="18"/>
          </rPr>
          <t>ML 5016 IR 59 (1804) – Obrist Komp. Nr. 76 (Innsbruck 03/09/1804)</t>
        </r>
        <r>
          <rPr>
            <sz val="14"/>
            <color rgb="FF000000"/>
            <rFont val="Calibri"/>
            <family val="34"/>
          </rPr>
          <t xml:space="preserve">
</t>
        </r>
        <r>
          <rPr>
            <sz val="14"/>
            <color rgb="FF000000"/>
            <rFont val="Times New Roman"/>
            <family val="18"/>
          </rPr>
          <t>ML 5017/8 IR 59 (1806) – 12. Fus. Komp. Abgang‚ Unwissend verlohren‘ Cons. Nr. 212 (Linz 10/07/1807)</t>
        </r>
        <r>
          <rPr>
            <sz val="14"/>
            <color rgb="FF000000"/>
            <rFont val="Calibri"/>
            <family val="34"/>
          </rPr>
          <t xml:space="preserve">
</t>
        </r>
      </text>
    </comment>
    <comment ref="BH303" authorId="0" shapeId="0" xr:uid="{2143FFE2-C402-8844-B8F3-7592A0AA402C}">
      <text>
        <r>
          <rPr>
            <sz val="14"/>
            <color rgb="FF000000"/>
            <rFont val="Calibri"/>
            <family val="34"/>
          </rPr>
          <t>IR 59 (1797-1806)</t>
        </r>
      </text>
    </comment>
    <comment ref="BF304" authorId="0" shapeId="0" xr:uid="{EE3542D4-F651-1B4E-B5C2-625210BD73EF}">
      <text>
        <r>
          <rPr>
            <sz val="14"/>
            <color rgb="FF000000"/>
            <rFont val="Times New Roman"/>
            <family val="18"/>
          </rPr>
          <t xml:space="preserve">08/02/1797 </t>
        </r>
        <r>
          <rPr>
            <i/>
            <sz val="14"/>
            <color rgb="FF000000"/>
            <rFont val="Times New Roman"/>
            <family val="18"/>
          </rPr>
          <t>A 3Fl Handgeld als landständische Rekrut Ohne Capitulation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09/07/1797 </t>
        </r>
        <r>
          <rPr>
            <i/>
            <sz val="14"/>
            <color rgb="FF000000"/>
            <rFont val="Times New Roman"/>
            <family val="18"/>
          </rPr>
          <t>Von 4. Bat Haupt Raimonval Komp. zum Feld Bats transferiert, zum 1. Major Komp. eingeteilt und seitdem auf Marsch</t>
        </r>
        <r>
          <rPr>
            <sz val="14"/>
            <color rgb="FF000000"/>
            <rFont val="Times New Roman"/>
            <family val="18"/>
          </rPr>
          <t xml:space="preserve"> [TL July 1797 &amp; ST Sept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Marsch Desertiert</t>
        </r>
        <r>
          <rPr>
            <sz val="14"/>
            <color rgb="FF000000"/>
            <rFont val="Times New Roman"/>
            <family val="18"/>
          </rPr>
          <t xml:space="preserve"> [ST Sept 1797] </t>
        </r>
      </text>
    </comment>
    <comment ref="BG304" authorId="0" shapeId="0" xr:uid="{1B4B6D11-AF92-C34D-A331-9531019D6E28}">
      <text>
        <r>
          <rPr>
            <sz val="14"/>
            <color rgb="FF000000"/>
            <rFont val="Times New Roman"/>
            <family val="18"/>
          </rPr>
          <t>ML 68 IR 1797 (1797) – St Sept (Brünn 24/10/1802)</t>
        </r>
        <r>
          <rPr>
            <sz val="14"/>
            <color rgb="FF000000"/>
            <rFont val="Calibri"/>
            <family val="34"/>
          </rPr>
          <t xml:space="preserve">
</t>
        </r>
        <r>
          <rPr>
            <sz val="14"/>
            <color rgb="FF000000"/>
            <rFont val="Times New Roman"/>
            <family val="18"/>
          </rPr>
          <t>ML 69/70 IR 1 (1797) – AL Nr. 4 (Radom 08/02/1797); TL IR 1 3 Feld Bats-&gt; 4. Bat Nr. 392 (Freiburg in Breisgau 29/18/1798); TL IR 1 4. Bat-&gt; 3 Feld Bats Nr. 90 (Olmütz 08/07/1799)</t>
        </r>
        <r>
          <rPr>
            <sz val="14"/>
            <color rgb="FF000000"/>
            <rFont val="Calibri"/>
            <family val="34"/>
          </rPr>
          <t xml:space="preserve">
</t>
        </r>
      </text>
    </comment>
    <comment ref="BH304" authorId="0" shapeId="0" xr:uid="{219DD7F3-A6FF-0A48-BACC-D66606118C84}">
      <text>
        <r>
          <rPr>
            <sz val="14"/>
            <color rgb="FF000000"/>
            <rFont val="Calibri"/>
            <family val="34"/>
          </rPr>
          <t>IR 1 (1797)</t>
        </r>
      </text>
    </comment>
    <comment ref="BF305" authorId="0" shapeId="0" xr:uid="{EC97C376-94DA-1547-9680-F82926FBD7CD}">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305" authorId="0" shapeId="0" xr:uid="{58658E6D-9110-0A4B-8143-45CDE322B74A}">
      <text>
        <r>
          <rPr>
            <sz val="14"/>
            <color rgb="FF000000"/>
            <rFont val="Times New Roman"/>
            <family val="18"/>
          </rPr>
          <t>ML 69/70 IR 1 (1797) – AL Nr. 9 (Radom 08/02/1797); TL IR 1-&gt;IR 56  Nr. 8 (Olmütz 20/08/1797)</t>
        </r>
      </text>
    </comment>
    <comment ref="BH305" authorId="0" shapeId="0" xr:uid="{A7B4BE56-692E-644B-BF32-60C32815C364}">
      <text>
        <r>
          <rPr>
            <sz val="14"/>
            <color rgb="FF000000"/>
            <rFont val="Calibri"/>
            <family val="34"/>
          </rPr>
          <t xml:space="preserve">IR 1 (1797)
</t>
        </r>
        <r>
          <rPr>
            <sz val="14"/>
            <color rgb="FF000000"/>
            <rFont val="Calibri"/>
            <family val="34"/>
          </rPr>
          <t>IR 56 (1797)</t>
        </r>
      </text>
    </comment>
    <comment ref="BF306" authorId="0" shapeId="0" xr:uid="{8064B4E6-275B-EF4F-B823-CB964563E4E5}">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Raimonval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25/03/1799 [Als Angehöriger Haupt Volksman Komp.] </t>
        </r>
        <r>
          <rPr>
            <i/>
            <sz val="14"/>
            <color rgb="FF000000"/>
            <rFont val="Times New Roman"/>
            <family val="18"/>
          </rPr>
          <t xml:space="preserve">in der Affaire bei Liptingen </t>
        </r>
        <r>
          <rPr>
            <b/>
            <sz val="14"/>
            <color rgb="FF000000"/>
            <rFont val="Times New Roman"/>
            <family val="18"/>
          </rPr>
          <t>[Battle of Stockach]</t>
        </r>
        <r>
          <rPr>
            <sz val="14"/>
            <color rgb="FF000000"/>
            <rFont val="Times New Roman"/>
            <family val="18"/>
          </rPr>
          <t xml:space="preserve"> </t>
        </r>
        <r>
          <rPr>
            <i/>
            <sz val="14"/>
            <color rgb="FF000000"/>
            <rFont val="Times New Roman"/>
            <family val="18"/>
          </rPr>
          <t xml:space="preserve">in französische Kriegsgefangenschaft </t>
        </r>
        <r>
          <rPr>
            <sz val="14"/>
            <color rgb="FF000000"/>
            <rFont val="Times New Roman"/>
            <family val="18"/>
          </rPr>
          <t>[ST March 1799]</t>
        </r>
        <r>
          <rPr>
            <sz val="14"/>
            <color rgb="FF000000"/>
            <rFont val="Calibri"/>
            <family val="2"/>
          </rPr>
          <t xml:space="preserve"> </t>
        </r>
      </text>
    </comment>
    <comment ref="BG306" authorId="0" shapeId="0" xr:uid="{852B4430-DFE5-3545-BF89-CE474DDE549B}">
      <text>
        <r>
          <rPr>
            <sz val="14"/>
            <color rgb="FF000000"/>
            <rFont val="Times New Roman"/>
            <family val="18"/>
          </rPr>
          <t>ML 69/70 IR 1 (1797) – AL Nr. 6 (Radom 08/02/1797); ML 69/70 IR 1 (1797) AL/TL – TL IR 1 4. Bat-&gt; 3 Feld Bats Nr. 132 (Olmütz 08/07/1799)</t>
        </r>
        <r>
          <rPr>
            <sz val="14"/>
            <color rgb="FF000000"/>
            <rFont val="Calibri"/>
            <family val="34"/>
          </rPr>
          <t xml:space="preserve">
</t>
        </r>
        <r>
          <rPr>
            <sz val="14"/>
            <color rgb="FF000000"/>
            <rFont val="Times New Roman"/>
            <family val="18"/>
          </rPr>
          <t xml:space="preserve">ML 72 IR 1 (1799) – </t>
        </r>
        <r>
          <rPr>
            <sz val="14"/>
            <color rgb="FF000000"/>
            <rFont val="Times New Roman"/>
            <family val="18"/>
          </rPr>
          <t>ST March (Olmütz 03/08/1799)</t>
        </r>
        <r>
          <rPr>
            <sz val="14"/>
            <color rgb="FF000000"/>
            <rFont val="Calibri"/>
            <family val="34"/>
          </rPr>
          <t xml:space="preserve">
</t>
        </r>
      </text>
    </comment>
    <comment ref="BH306" authorId="0" shapeId="0" xr:uid="{37B92B90-8B49-D441-84FB-80015E783DE8}">
      <text>
        <r>
          <rPr>
            <sz val="14"/>
            <color rgb="FF000000"/>
            <rFont val="Calibri"/>
            <family val="34"/>
          </rPr>
          <t>IR 1 (1797-1799)</t>
        </r>
      </text>
    </comment>
    <comment ref="BF307" authorId="0" shapeId="0" xr:uid="{C674154F-5770-0446-962A-308AE0A7ABF5}">
      <text>
        <r>
          <rPr>
            <sz val="14"/>
            <color rgb="FF000000"/>
            <rFont val="Times New Roman"/>
            <family val="18"/>
          </rPr>
          <t xml:space="preserve">08/02/1797 </t>
        </r>
        <r>
          <rPr>
            <i/>
            <sz val="14"/>
            <color rgb="FF000000"/>
            <rFont val="Times New Roman"/>
            <family val="18"/>
          </rPr>
          <t>A 3Fl Handgeld als landständische Rekrut gestellt und zum IR 3 Reserve Division ohne Capitulation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Major von Ribonet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307" authorId="0" shapeId="0" xr:uid="{6701FEA9-335A-ED4C-925A-05F208EC24E5}">
      <text>
        <r>
          <rPr>
            <sz val="14"/>
            <color rgb="FF000000"/>
            <rFont val="Times New Roman"/>
            <family val="18"/>
          </rPr>
          <t>ML 69/70 IR 1 (1797) – AL Nr. 10 (Radom 08/02/1797); TL IR 1 3 Feld Bats-&gt; 4. Bat Nr. 124 (Freiburg in Breisgau 29/18/1798); ML 69/70 IR 1 (1797) AL/TL – TL IR 1-&gt;IR 56  Nr. 9 (Olmütz 20/08/1797)</t>
        </r>
      </text>
    </comment>
    <comment ref="BH307" authorId="0" shapeId="0" xr:uid="{D6B2C83D-A6A4-964C-A192-3B84A68C162A}">
      <text>
        <r>
          <rPr>
            <sz val="14"/>
            <color rgb="FF000000"/>
            <rFont val="Calibri"/>
            <family val="34"/>
          </rPr>
          <t xml:space="preserve">IR 1 (1797)
</t>
        </r>
        <r>
          <rPr>
            <sz val="14"/>
            <color rgb="FF000000"/>
            <rFont val="Calibri"/>
            <family val="34"/>
          </rPr>
          <t>IR 56 (1797)</t>
        </r>
      </text>
    </comment>
    <comment ref="I308" authorId="0" shapeId="0" xr:uid="{2BABA5D9-D0D4-E146-B7AD-8558CC4DFAAF}">
      <text>
        <r>
          <rPr>
            <sz val="14"/>
            <color rgb="FF000000"/>
            <rFont val="Calibri"/>
            <family val="34"/>
          </rPr>
          <t xml:space="preserve">1765 [38 (ML 1803)] 
</t>
        </r>
        <r>
          <rPr>
            <sz val="14"/>
            <color rgb="FF000000"/>
            <rFont val="Calibri"/>
            <family val="34"/>
          </rPr>
          <t xml:space="preserve">OR 
</t>
        </r>
        <r>
          <rPr>
            <sz val="14"/>
            <color rgb="FF000000"/>
            <rFont val="Calibri"/>
            <family val="34"/>
          </rPr>
          <t>1755 [50 (ML 1805)]</t>
        </r>
      </text>
    </comment>
    <comment ref="BF308" authorId="0" shapeId="0" xr:uid="{560A2C47-41A3-0242-AA1D-335BD30AB902}">
      <text>
        <r>
          <rPr>
            <sz val="14"/>
            <color rgb="FF000000"/>
            <rFont val="Times New Roman"/>
            <family val="18"/>
          </rPr>
          <t xml:space="preserve">08/02/1797 </t>
        </r>
        <r>
          <rPr>
            <i/>
            <sz val="14"/>
            <color rgb="FF000000"/>
            <rFont val="Times New Roman"/>
            <family val="18"/>
          </rPr>
          <t>Zu Krakau 3Fl für beständig gestellt und zum IR 59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War 1802 bey Hauptmann Speidel Komp [ML 1803]</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Spiedel zu Settlinger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Settlinger Nr. 136 [</t>
        </r>
        <r>
          <rPr>
            <i/>
            <sz val="14"/>
            <color rgb="FF000000"/>
            <rFont val="Times New Roman"/>
            <family val="18"/>
          </rPr>
          <t xml:space="preserve">Beurlaubt in Gallizien in zu Chzanow </t>
        </r>
        <r>
          <rPr>
            <b/>
            <sz val="14"/>
            <color rgb="FF000000"/>
            <rFont val="Times New Roman"/>
            <family val="18"/>
          </rPr>
          <t>[</t>
        </r>
        <r>
          <rPr>
            <b/>
            <u/>
            <sz val="14"/>
            <color rgb="FF0563C1"/>
            <rFont val="Times New Roman"/>
            <family val="18"/>
          </rPr>
          <t>Chrzanów, Poland</t>
        </r>
        <r>
          <rPr>
            <b/>
            <sz val="14"/>
            <color rgb="FF000000"/>
            <rFont val="Times New Roman"/>
            <family val="18"/>
          </rPr>
          <t>]</t>
        </r>
        <r>
          <rPr>
            <sz val="14"/>
            <color rgb="FF000000"/>
            <rFont val="Times New Roman"/>
            <family val="18"/>
          </rPr>
          <t xml:space="preserve"> </t>
        </r>
        <r>
          <rPr>
            <i/>
            <sz val="14"/>
            <color rgb="FF000000"/>
            <rFont val="Times New Roman"/>
            <family val="18"/>
          </rPr>
          <t>Krakauer Kreis</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Settlinger [</t>
        </r>
        <r>
          <rPr>
            <i/>
            <sz val="14"/>
            <color rgb="FF000000"/>
            <rFont val="Times New Roman"/>
            <family val="18"/>
          </rPr>
          <t>Beurlaubt bis zur Einberufung in seinem</t>
        </r>
        <r>
          <rPr>
            <sz val="14"/>
            <color rgb="FF000000"/>
            <rFont val="Times New Roman"/>
            <family val="18"/>
          </rPr>
          <t>]</t>
        </r>
        <r>
          <rPr>
            <sz val="14"/>
            <color rgb="FF000000"/>
            <rFont val="Calibri"/>
            <family val="34"/>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k auch k.k. Feldkriegs und Garnisons Diensten untauglich und zu entlassen</t>
        </r>
        <r>
          <rPr>
            <sz val="14"/>
            <color rgb="FF000000"/>
            <rFont val="Calibri"/>
            <family val="34"/>
          </rPr>
          <t xml:space="preserve">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t>
        </r>
      </text>
    </comment>
    <comment ref="BG308" authorId="0" shapeId="0" xr:uid="{73D02142-6564-294D-8B8F-C13B4A65A2E0}">
      <text>
        <r>
          <rPr>
            <sz val="14"/>
            <color rgb="FF000000"/>
            <rFont val="Times New Roman"/>
            <family val="18"/>
          </rPr>
          <t>ML 5015 IR 59 (1803) –Haupt Setlinger Comp. Nr. 136 (Enns 29/08/1803)</t>
        </r>
        <r>
          <rPr>
            <sz val="14"/>
            <color rgb="FF000000"/>
            <rFont val="Calibri"/>
            <family val="34"/>
          </rPr>
          <t xml:space="preserve">
</t>
        </r>
        <r>
          <rPr>
            <sz val="14"/>
            <color rgb="FF000000"/>
            <rFont val="Times New Roman"/>
            <family val="18"/>
          </rPr>
          <t>ML 5016 IR 59 (1804) –Haupt Setlinger Nr. 124 (Innsbruck 03/09/1804)</t>
        </r>
        <r>
          <rPr>
            <sz val="14"/>
            <color rgb="FF000000"/>
            <rFont val="Calibri"/>
            <family val="34"/>
          </rPr>
          <t xml:space="preserve">
</t>
        </r>
        <r>
          <rPr>
            <sz val="14"/>
            <color rgb="FF000000"/>
            <rFont val="Times New Roman"/>
            <family val="18"/>
          </rPr>
          <t>ML 5017/8 IR 59 (1806) –5. Fus Comp. Abgang (Linz 20/12/1806)</t>
        </r>
        <r>
          <rPr>
            <sz val="14"/>
            <color rgb="FF000000"/>
            <rFont val="Calibri"/>
            <family val="34"/>
          </rPr>
          <t xml:space="preserve">
</t>
        </r>
        <r>
          <rPr>
            <sz val="14"/>
            <color rgb="FF000000"/>
            <rFont val="Times New Roman"/>
            <family val="18"/>
          </rPr>
          <t>ML 5067 IR 59 (1805) AL/TL – SUP pro Junio Nr. 1 (Krakow 20/06/1805)</t>
        </r>
        <r>
          <rPr>
            <sz val="14"/>
            <color rgb="FF000000"/>
            <rFont val="Calibri"/>
            <family val="34"/>
          </rPr>
          <t xml:space="preserve">
</t>
        </r>
      </text>
    </comment>
    <comment ref="BH308" authorId="0" shapeId="0" xr:uid="{918A4A4A-C0CD-D041-B26F-6E9E04160E53}">
      <text>
        <r>
          <rPr>
            <sz val="14"/>
            <color rgb="FF000000"/>
            <rFont val="Calibri"/>
            <family val="34"/>
          </rPr>
          <t>IR 59 (1797-1805)</t>
        </r>
      </text>
    </comment>
    <comment ref="BI308" authorId="0" shapeId="0" xr:uid="{C6104532-141C-A648-989A-7BDAC2B3CADE}">
      <text>
        <r>
          <rPr>
            <sz val="14"/>
            <color rgb="FF000000"/>
            <rFont val="Calibri"/>
            <family val="34"/>
          </rPr>
          <t>Unwissend [SUP June 1805]</t>
        </r>
      </text>
    </comment>
    <comment ref="BJ308" authorId="0" shapeId="0" xr:uid="{5143F624-6922-5649-AEFF-D1196EDF5E94}">
      <text>
        <r>
          <rPr>
            <i/>
            <sz val="14"/>
            <color rgb="FF000000"/>
            <rFont val="Times New Roman"/>
            <family val="18"/>
          </rPr>
          <t xml:space="preserve">Mit unheilbare Geschworen und Buifmass auf dessen Oberschenkel und Blutflüssen </t>
        </r>
        <r>
          <rPr>
            <sz val="14"/>
            <color rgb="FF000000"/>
            <rFont val="Times New Roman"/>
            <family val="18"/>
          </rPr>
          <t xml:space="preserve">[1805]
</t>
        </r>
      </text>
    </comment>
    <comment ref="BF309" authorId="0" shapeId="0" xr:uid="{69FEA9EF-C739-784C-AF7A-8C8E1682CD14}">
      <text>
        <r>
          <rPr>
            <sz val="14"/>
            <color rgb="FF000000"/>
            <rFont val="Times New Roman"/>
            <family val="18"/>
          </rPr>
          <t xml:space="preserve">08/02/1797 </t>
        </r>
        <r>
          <rPr>
            <i/>
            <sz val="14"/>
            <color rgb="FF000000"/>
            <rFont val="Times New Roman"/>
            <family val="18"/>
          </rPr>
          <t>A 3Fl Handgeld als landständische Rekrut ohne Capitulation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CaptLt Raimonval Komp. zum IR 26 transferiert </t>
        </r>
        <r>
          <rPr>
            <sz val="14"/>
            <color rgb="FF000000"/>
            <rFont val="Times New Roman"/>
            <family val="18"/>
          </rPr>
          <t>[TL Oct 1797]</t>
        </r>
      </text>
    </comment>
    <comment ref="BG309" authorId="0" shapeId="0" xr:uid="{42FF86E8-B704-3D41-8336-0A22AC0CD71E}">
      <text>
        <r>
          <rPr>
            <sz val="14"/>
            <color rgb="FF000000"/>
            <rFont val="Times New Roman"/>
            <family val="18"/>
          </rPr>
          <t xml:space="preserve">ML 69/70 IR 1 (1797) – AL Nr. 3 (Radom 08/02/1797); TL IR 1 3 Feld Bats-&gt; 4. Bat Nr. 391 (Freiburg in Breisgau 29/18/1798); ML 69/70 (1799) AL/TL – TL IR 1 -&gt; IR 26 Nr. 36 </t>
        </r>
        <r>
          <rPr>
            <sz val="14"/>
            <color rgb="FF000000"/>
            <rFont val="Times New Roman"/>
            <family val="18"/>
          </rPr>
          <t>(Olmütz 20/10/1797)</t>
        </r>
      </text>
    </comment>
    <comment ref="BH309" authorId="0" shapeId="0" xr:uid="{E4150A12-2656-284A-A54B-C2CA9E0F00FA}">
      <text>
        <r>
          <rPr>
            <sz val="14"/>
            <color rgb="FF000000"/>
            <rFont val="Calibri"/>
            <family val="34"/>
          </rPr>
          <t xml:space="preserve">IR 1 (1797)
</t>
        </r>
        <r>
          <rPr>
            <sz val="14"/>
            <color rgb="FF000000"/>
            <rFont val="Calibri"/>
            <family val="34"/>
          </rPr>
          <t>IR 26 (1797)</t>
        </r>
      </text>
    </comment>
    <comment ref="BF310" authorId="0" shapeId="0" xr:uid="{E1A69FBF-C9EF-0A45-9380-161C5A2FCB77}">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Köberlein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Köberlin Komp. zum IR 56 Feld Bats transferiert</t>
        </r>
        <r>
          <rPr>
            <sz val="14"/>
            <color rgb="FF000000"/>
            <rFont val="Times New Roman"/>
            <family val="18"/>
          </rPr>
          <t xml:space="preserve"> [TL Aug 1797]</t>
        </r>
      </text>
    </comment>
    <comment ref="BG310" authorId="0" shapeId="0" xr:uid="{121C70B0-8525-1544-975D-B4E7CB6DD94B}">
      <text>
        <r>
          <rPr>
            <sz val="14"/>
            <color rgb="FF000000"/>
            <rFont val="Times New Roman"/>
            <family val="18"/>
          </rPr>
          <t>ML 69/70 IR 1 (1797) – AL Nr. 1 (Radom 08/02/1797); AL/TL – TL IR 1 3 Feld Bats-&gt; 4. Bat Nr. 679 (Freiburg in Breisgau 29/18/1798); ML 69/70 IR 1 (1797) AL/TL – TL IR 1-&gt;IR 56 Nr. 59 (Olmütz 20/08/1797)</t>
        </r>
      </text>
    </comment>
    <comment ref="BH310" authorId="0" shapeId="0" xr:uid="{4D69B489-8FD3-FE41-885F-5D3928087C75}">
      <text>
        <r>
          <rPr>
            <sz val="14"/>
            <color rgb="FF000000"/>
            <rFont val="Calibri"/>
            <family val="34"/>
          </rPr>
          <t xml:space="preserve">IR 1 (1797)
</t>
        </r>
        <r>
          <rPr>
            <sz val="14"/>
            <color rgb="FF000000"/>
            <rFont val="Calibri"/>
            <family val="34"/>
          </rPr>
          <t>IR 56 (1797)</t>
        </r>
      </text>
    </comment>
    <comment ref="I311" authorId="0" shapeId="0" xr:uid="{4D387E7E-0AAF-F749-A3C5-3037EF343223}">
      <text>
        <r>
          <rPr>
            <b/>
            <sz val="14"/>
            <color rgb="FF000000"/>
            <rFont val="Calibri"/>
            <family val="34"/>
          </rPr>
          <t xml:space="preserve">1772 [25 (AL 1797)] 
</t>
        </r>
        <r>
          <rPr>
            <sz val="14"/>
            <color rgb="FF000000"/>
            <rFont val="Calibri"/>
            <family val="34"/>
          </rPr>
          <t xml:space="preserve">OR 
</t>
        </r>
        <r>
          <rPr>
            <sz val="14"/>
            <color rgb="FF000000"/>
            <rFont val="Calibri"/>
            <family val="34"/>
          </rPr>
          <t>1780 [23 (ML 1797)]</t>
        </r>
      </text>
    </comment>
    <comment ref="T311" authorId="0" shapeId="0" xr:uid="{4A6977D7-56A6-A746-94B2-9E6847F7974E}">
      <text>
        <r>
          <rPr>
            <b/>
            <sz val="14"/>
            <color rgb="FF000000"/>
            <rFont val="Calibri"/>
            <family val="34"/>
          </rPr>
          <t xml:space="preserve">5.3 [165.89 cm] (1797)
</t>
        </r>
        <r>
          <rPr>
            <sz val="14"/>
            <color rgb="FF000000"/>
            <rFont val="Calibri"/>
            <family val="34"/>
          </rPr>
          <t>5.4.1 [168.74] (1803)</t>
        </r>
      </text>
    </comment>
    <comment ref="BF311" authorId="0" shapeId="0" xr:uid="{EC7FC735-027D-8741-B35E-11FA0D0698B5}">
      <text>
        <r>
          <rPr>
            <sz val="14"/>
            <color rgb="FF000000"/>
            <rFont val="Times New Roman"/>
            <family val="18"/>
          </rPr>
          <t xml:space="preserve">08/02/1797 </t>
        </r>
        <r>
          <rPr>
            <i/>
            <sz val="14"/>
            <color rgb="FF000000"/>
            <rFont val="Times New Roman"/>
            <family val="18"/>
          </rPr>
          <t>A 3Fl Handgeld als landständische Rekrut gestellt und zum IR 3 Reserve Division Ohne Capitulation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Raimonval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13/09/1803 Muster: IR 1 Haupt Fölseis Komp. Nr. 67</t>
        </r>
        <r>
          <rPr>
            <sz val="14"/>
            <color rgb="FF000000"/>
            <rFont val="Calibri"/>
            <family val="34"/>
          </rPr>
          <t xml:space="preserve">
</t>
        </r>
        <r>
          <rPr>
            <sz val="14"/>
            <color rgb="FF000000"/>
            <rFont val="Times New Roman"/>
            <family val="18"/>
          </rPr>
          <t>13/08/1804 Muster: IR 1 Haupt Fölseis Komp. Nr. 46 [</t>
        </r>
        <r>
          <rPr>
            <i/>
            <sz val="14"/>
            <color rgb="FF000000"/>
            <rFont val="Times New Roman"/>
            <family val="18"/>
          </rPr>
          <t>Auf dem Marsche ins West Galizien</t>
        </r>
        <r>
          <rPr>
            <sz val="14"/>
            <color rgb="FF000000"/>
            <rFont val="Times New Roman"/>
            <family val="18"/>
          </rPr>
          <t>]</t>
        </r>
        <r>
          <rPr>
            <sz val="14"/>
            <color rgb="FF000000"/>
            <rFont val="Calibri"/>
            <family val="34"/>
          </rPr>
          <t xml:space="preserve">
</t>
        </r>
        <r>
          <rPr>
            <sz val="14"/>
            <color rgb="FF000000"/>
            <rFont val="Times New Roman"/>
            <family val="18"/>
          </rPr>
          <t>Nie Desertiert</t>
        </r>
        <r>
          <rPr>
            <sz val="14"/>
            <color rgb="FF000000"/>
            <rFont val="Calibri"/>
            <family val="34"/>
          </rPr>
          <t xml:space="preserve">
</t>
        </r>
        <r>
          <rPr>
            <sz val="14"/>
            <color rgb="FF000000"/>
            <rFont val="Times New Roman"/>
            <family val="18"/>
          </rPr>
          <t xml:space="preserve">20/06/1805 </t>
        </r>
        <r>
          <rPr>
            <i/>
            <sz val="14"/>
            <color rgb="FF000000"/>
            <rFont val="Times New Roman"/>
            <family val="18"/>
          </rPr>
          <t>Als ausgedienter inländische Capitulant mit Abschied entlassen</t>
        </r>
        <r>
          <rPr>
            <sz val="14"/>
            <color rgb="FF000000"/>
            <rFont val="Times New Roman"/>
            <family val="18"/>
          </rPr>
          <t xml:space="preserve"> [ML 1806]</t>
        </r>
      </text>
    </comment>
    <comment ref="BG311" authorId="0" shapeId="0" xr:uid="{A2E04400-97B9-8147-BE81-579D89564D05}">
      <text>
        <r>
          <rPr>
            <sz val="14"/>
            <color rgb="FF000000"/>
            <rFont val="Times New Roman"/>
            <family val="18"/>
          </rPr>
          <t>ML 29 IR 1 (1803) – Haupt Fölseis Komp. Nr. 67 (Karthaus nächst Brünn 13/09/1803)</t>
        </r>
        <r>
          <rPr>
            <sz val="14"/>
            <color rgb="FF000000"/>
            <rFont val="Calibri"/>
            <family val="34"/>
          </rPr>
          <t xml:space="preserve">
</t>
        </r>
        <r>
          <rPr>
            <sz val="14"/>
            <color rgb="FF000000"/>
            <rFont val="Times New Roman"/>
            <family val="18"/>
          </rPr>
          <t>ML 30 IR 1 (1804) – Haupt Fölseis Komp. Nr. 46 (Olmütz 13/08/1804)</t>
        </r>
        <r>
          <rPr>
            <sz val="14"/>
            <color rgb="FF000000"/>
            <rFont val="Calibri"/>
            <family val="34"/>
          </rPr>
          <t xml:space="preserve">
</t>
        </r>
        <r>
          <rPr>
            <sz val="14"/>
            <color rgb="FF000000"/>
            <rFont val="Times New Roman"/>
            <family val="18"/>
          </rPr>
          <t>ML 31/2 IR 1 (1806) – Haupt Gutwill Komp. Abgang (Brünn 15/12/1806)</t>
        </r>
        <r>
          <rPr>
            <sz val="14"/>
            <color rgb="FF000000"/>
            <rFont val="Calibri"/>
            <family val="34"/>
          </rPr>
          <t xml:space="preserve">
</t>
        </r>
        <r>
          <rPr>
            <sz val="14"/>
            <color rgb="FF000000"/>
            <rFont val="Times New Roman"/>
            <family val="18"/>
          </rPr>
          <t>ML 69/70 IR 1 (1797) – AL Nr. 2 (Radom 08/02/1797); TL IR 1 3 Feld Bats-&gt; 4. Bat Nr. 390  (Freiburg in Breisgau 29/18/1798); ML 69/70 IR 1 (1797) AL/TL – TL IR 1 4. Bat-&gt; 3 Feld Bats Nr. 130 (Olmütz 08/07/1799)</t>
        </r>
        <r>
          <rPr>
            <sz val="14"/>
            <color rgb="FF000000"/>
            <rFont val="Calibri"/>
            <family val="34"/>
          </rPr>
          <t xml:space="preserve">
</t>
        </r>
      </text>
    </comment>
    <comment ref="BH311" authorId="0" shapeId="0" xr:uid="{1E940A9D-FB7A-F74F-8CCA-07139408DA07}">
      <text>
        <r>
          <rPr>
            <sz val="14"/>
            <color rgb="FF000000"/>
            <rFont val="Calibri"/>
            <family val="34"/>
          </rPr>
          <t>IR 1 (1797-1805)</t>
        </r>
      </text>
    </comment>
    <comment ref="BF312" authorId="0" shapeId="0" xr:uid="{82B2D25A-E21A-B94C-AD9B-B290BE453858}">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dissolvierte Reserve Division zur 4. Bat. Haupt Raimonval 2. Komp transferiert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 xml:space="preserve">In Folge hoher Verordnung ddt. Brünn den 19. Juli a:c.Wegen Untaglichkeit und Kurze dienstzeit mit Laufpaß entlassen </t>
        </r>
        <r>
          <rPr>
            <sz val="14"/>
            <color rgb="FF000000"/>
            <rFont val="Times New Roman"/>
            <family val="18"/>
          </rPr>
          <t xml:space="preserve">[ST Aug 1797] </t>
        </r>
      </text>
    </comment>
    <comment ref="BG312" authorId="0" shapeId="0" xr:uid="{3A6943FF-2D20-234D-B681-E1FF39202FD1}">
      <text>
        <r>
          <rPr>
            <sz val="14"/>
            <color rgb="FF000000"/>
            <rFont val="Times New Roman"/>
            <family val="18"/>
          </rPr>
          <t>ML 68 IR 1 (1797) – ST May (27/06/1797), Aug (Olmütz 27/09/1797)</t>
        </r>
        <r>
          <rPr>
            <sz val="14"/>
            <color rgb="FF000000"/>
            <rFont val="Calibri"/>
            <family val="34"/>
          </rPr>
          <t xml:space="preserve">
</t>
        </r>
        <r>
          <rPr>
            <sz val="14"/>
            <color rgb="FF000000"/>
            <rFont val="Times New Roman"/>
            <family val="18"/>
          </rPr>
          <t>ML 69/70 IR 1 (1797) – AL Nr. 7 (Radom 08/02/1797)</t>
        </r>
        <r>
          <rPr>
            <sz val="14"/>
            <color rgb="FF000000"/>
            <rFont val="Calibri"/>
            <family val="34"/>
          </rPr>
          <t xml:space="preserve">
</t>
        </r>
      </text>
    </comment>
    <comment ref="BH312" authorId="0" shapeId="0" xr:uid="{42CE2BB3-DEAC-5447-BFE3-2549DA74FD47}">
      <text>
        <r>
          <rPr>
            <sz val="14"/>
            <color rgb="FF000000"/>
            <rFont val="Calibri"/>
            <family val="34"/>
          </rPr>
          <t>IR 1 (1797)</t>
        </r>
      </text>
    </comment>
    <comment ref="I313" authorId="0" shapeId="0" xr:uid="{FDA7CD9D-5783-DD4D-A675-9009265B5A31}">
      <text>
        <r>
          <rPr>
            <sz val="14"/>
            <color rgb="FF000000"/>
            <rFont val="Calibri"/>
            <family val="34"/>
          </rPr>
          <t xml:space="preserve">1772 [31 (ML 1803)] 
</t>
        </r>
        <r>
          <rPr>
            <sz val="14"/>
            <color rgb="FF000000"/>
            <rFont val="Calibri"/>
            <family val="34"/>
          </rPr>
          <t xml:space="preserve">OR 
</t>
        </r>
        <r>
          <rPr>
            <sz val="14"/>
            <color rgb="FF000000"/>
            <rFont val="Calibri"/>
            <family val="34"/>
          </rPr>
          <t>1755 [50 (ML 1805)]</t>
        </r>
      </text>
    </comment>
    <comment ref="BF313" authorId="0" shapeId="0" xr:uid="{ED1F12B3-B005-764D-8A94-29028AB1A229}">
      <text>
        <r>
          <rPr>
            <sz val="14"/>
            <color rgb="FF000000"/>
            <rFont val="Times New Roman"/>
            <family val="18"/>
          </rPr>
          <t xml:space="preserve">08/02/1797 </t>
        </r>
        <r>
          <rPr>
            <i/>
            <sz val="14"/>
            <color rgb="FF000000"/>
            <rFont val="Times New Roman"/>
            <family val="18"/>
          </rPr>
          <t xml:space="preserve">A 3Fl für Beständig gestellt und zu Krakau assentiert </t>
        </r>
        <r>
          <rPr>
            <sz val="14"/>
            <color rgb="FF000000"/>
            <rFont val="Times New Roman"/>
            <family val="18"/>
          </rPr>
          <t>[ML 1804]</t>
        </r>
        <r>
          <rPr>
            <sz val="14"/>
            <color rgb="FF000000"/>
            <rFont val="Calibri"/>
            <family val="34"/>
          </rPr>
          <t xml:space="preserve">
</t>
        </r>
        <r>
          <rPr>
            <sz val="14"/>
            <color rgb="FF000000"/>
            <rFont val="Times New Roman"/>
            <family val="18"/>
          </rPr>
          <t>20/09/1802 [war 1802 bey Hauptmann Speidel Coy]</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Spiedel zu Setlinger Comp.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t>
        </r>
        <r>
          <rPr>
            <i/>
            <sz val="14"/>
            <color rgb="FF000000"/>
            <rFont val="Times New Roman"/>
            <family val="18"/>
          </rPr>
          <t>Beurlabt in Gallizien zu Krakau bis zur Einberufung</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Setlinger [</t>
        </r>
        <r>
          <rPr>
            <i/>
            <sz val="14"/>
            <color rgb="FF000000"/>
            <rFont val="Times New Roman"/>
            <family val="18"/>
          </rPr>
          <t>Beurlaubt in seinem Geburtsort bis Einberufung</t>
        </r>
        <r>
          <rPr>
            <sz val="14"/>
            <color rgb="FF000000"/>
            <rFont val="Times New Roman"/>
            <family val="18"/>
          </rPr>
          <t>]</t>
        </r>
        <r>
          <rPr>
            <sz val="14"/>
            <color rgb="FF000000"/>
            <rFont val="Calibri"/>
            <family val="34"/>
          </rPr>
          <t xml:space="preserve">
</t>
        </r>
        <r>
          <rPr>
            <sz val="14"/>
            <color rgb="FF000000"/>
            <rFont val="Times New Roman"/>
            <family val="18"/>
          </rPr>
          <t xml:space="preserve">26/06/1805 Als von unbestimmtem Urlaub eingerückte in Krakow Superarbitriert: </t>
        </r>
        <r>
          <rPr>
            <i/>
            <sz val="14"/>
            <color rgb="FF000000"/>
            <rFont val="Times New Roman"/>
            <family val="18"/>
          </rPr>
          <t>Nach Stabs Ärztlichen Beschluss zu k auch k.k. Feldkriegs und Garnisons Diensten untauglich und zu entlassen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t>
        </r>
      </text>
    </comment>
    <comment ref="BG313" authorId="0" shapeId="0" xr:uid="{89D3E302-779E-A54D-8CBE-6FDF806E2377}">
      <text>
        <r>
          <rPr>
            <sz val="14"/>
            <color rgb="FF000000"/>
            <rFont val="Times New Roman"/>
            <family val="18"/>
          </rPr>
          <t>ML 5015 IR 59 ‘Jordis’ (1803) –Haupt Setlinger Comp. Nr. 137 &amp; Zuwachs (Enns 29/08/1803)</t>
        </r>
        <r>
          <rPr>
            <sz val="14"/>
            <color rgb="FF000000"/>
            <rFont val="Calibri"/>
            <family val="34"/>
          </rPr>
          <t xml:space="preserve">
</t>
        </r>
        <r>
          <rPr>
            <sz val="14"/>
            <color rgb="FF000000"/>
            <rFont val="Times New Roman"/>
            <family val="18"/>
          </rPr>
          <t>ML 5016 IR 59 ‚Jordis‘ (1804) –Haupt Setlinger Nr. 125 (Innsbruck 03/09/1804)</t>
        </r>
        <r>
          <rPr>
            <sz val="14"/>
            <color rgb="FF000000"/>
            <rFont val="Calibri"/>
            <family val="34"/>
          </rPr>
          <t xml:space="preserve">
</t>
        </r>
        <r>
          <rPr>
            <sz val="14"/>
            <color rgb="FF000000"/>
            <rFont val="Times New Roman"/>
            <family val="18"/>
          </rPr>
          <t>ML 5017/8 IR 59 ‚Jordis‘ (1806) –5. Fus Comp. Abgang (Linz 20/12/1806)</t>
        </r>
        <r>
          <rPr>
            <sz val="14"/>
            <color rgb="FF000000"/>
            <rFont val="Calibri"/>
            <family val="34"/>
          </rPr>
          <t xml:space="preserve">
</t>
        </r>
        <r>
          <rPr>
            <sz val="14"/>
            <color rgb="FF000000"/>
            <rFont val="Times New Roman"/>
            <family val="18"/>
          </rPr>
          <t>ML 5067 IR 59 (1805) – AL/TL SUP pro Junio Nr. 1 (Kraków 20/06/1805)</t>
        </r>
        <r>
          <rPr>
            <sz val="14"/>
            <color rgb="FF000000"/>
            <rFont val="Calibri"/>
            <family val="34"/>
          </rPr>
          <t xml:space="preserve">
</t>
        </r>
      </text>
    </comment>
    <comment ref="BH313" authorId="0" shapeId="0" xr:uid="{D8077AF7-1451-F341-B46E-E5351A50B2E9}">
      <text>
        <r>
          <rPr>
            <sz val="14"/>
            <color rgb="FF000000"/>
            <rFont val="Calibri"/>
            <family val="34"/>
          </rPr>
          <t>IR 43 (1797-1805)</t>
        </r>
      </text>
    </comment>
    <comment ref="BI313" authorId="0" shapeId="0" xr:uid="{EE863562-943C-CF4C-88D5-CE83086F8B86}">
      <text>
        <r>
          <rPr>
            <sz val="14"/>
            <color rgb="FF000000"/>
            <rFont val="Calibri"/>
            <family val="34"/>
          </rPr>
          <t>Unwissend [SUP June 1805]</t>
        </r>
      </text>
    </comment>
    <comment ref="BJ313" authorId="0" shapeId="0" xr:uid="{5F3C8FED-6957-B846-B86D-4917921F71B3}">
      <text>
        <r>
          <rPr>
            <i/>
            <sz val="14"/>
            <color rgb="FF000000"/>
            <rFont val="Times New Roman"/>
            <family val="18"/>
          </rPr>
          <t xml:space="preserve">Alt und Unkraftig mit bösartigen Anschlag am Körper und Taub </t>
        </r>
        <r>
          <rPr>
            <sz val="14"/>
            <color rgb="FF000000"/>
            <rFont val="Times New Roman"/>
            <family val="18"/>
          </rPr>
          <t>(SUP June 1805)</t>
        </r>
      </text>
    </comment>
    <comment ref="BF314" authorId="0" shapeId="0" xr:uid="{59CD6E4D-6962-DD47-B6E4-81E5261F481D}">
      <text>
        <r>
          <rPr>
            <sz val="14"/>
            <color rgb="FF000000"/>
            <rFont val="Times New Roman"/>
            <family val="18"/>
          </rPr>
          <t xml:space="preserve">08/02/1797 </t>
        </r>
        <r>
          <rPr>
            <i/>
            <sz val="14"/>
            <color rgb="FF000000"/>
            <rFont val="Times New Roman"/>
            <family val="18"/>
          </rPr>
          <t>A 3Fl Handgeld als landständische Rekrut auf Dauer des Krieges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314" authorId="0" shapeId="0" xr:uid="{638FBC25-BF44-1640-95A5-28BA7C48D832}">
      <text>
        <r>
          <rPr>
            <sz val="14"/>
            <color rgb="FF000000"/>
            <rFont val="Times New Roman"/>
            <family val="18"/>
          </rPr>
          <t>ML 69/70 IR 1 (1797) – AL Nr. 8 (Radom 08/02/1797); TL IR 1-&gt;IR 56  Nr. 7 (Olmütz 20/08/1797)</t>
        </r>
        <r>
          <rPr>
            <sz val="14"/>
            <color rgb="FF000000"/>
            <rFont val="Calibri"/>
            <family val="2"/>
            <scheme val="minor"/>
          </rPr>
          <t xml:space="preserve"> </t>
        </r>
      </text>
    </comment>
    <comment ref="BH314" authorId="0" shapeId="0" xr:uid="{AB532DAB-AFD2-8B4C-BBEF-727344F735F9}">
      <text>
        <r>
          <rPr>
            <sz val="14"/>
            <color rgb="FF000000"/>
            <rFont val="Calibri"/>
            <family val="34"/>
          </rPr>
          <t xml:space="preserve">IR 1 (1797)
</t>
        </r>
        <r>
          <rPr>
            <sz val="14"/>
            <color rgb="FF000000"/>
            <rFont val="Calibri"/>
            <family val="34"/>
          </rPr>
          <t>IR 56 (1797)</t>
        </r>
      </text>
    </comment>
    <comment ref="J315" authorId="0" shapeId="0" xr:uid="{76071F3F-6CFE-C440-9CF4-FD067B9409D0}">
      <text>
        <r>
          <rPr>
            <sz val="14"/>
            <color rgb="FF000000"/>
            <rFont val="Calibri"/>
            <family val="34"/>
          </rPr>
          <t xml:space="preserve">Ledig (1797)
</t>
        </r>
        <r>
          <rPr>
            <sz val="14"/>
            <color rgb="FF000000"/>
            <rFont val="Calibri"/>
            <family val="34"/>
          </rPr>
          <t>Veheiratet (1803-1804)</t>
        </r>
      </text>
    </comment>
    <comment ref="T315" authorId="0" shapeId="0" xr:uid="{FE311699-2E38-8945-8DD2-FE321C78FB40}">
      <text>
        <r>
          <rPr>
            <b/>
            <sz val="14"/>
            <color rgb="FF000000"/>
            <rFont val="Calibri"/>
            <family val="34"/>
          </rPr>
          <t xml:space="preserve">5.4 [168.52] (AL 1799)
</t>
        </r>
        <r>
          <rPr>
            <sz val="14"/>
            <color rgb="FF000000"/>
            <rFont val="Calibri"/>
            <family val="34"/>
          </rPr>
          <t>5.3.1 [161.11 cm] (1803)</t>
        </r>
        <r>
          <rPr>
            <sz val="14"/>
            <color rgb="FF000000"/>
            <rFont val="Calibri"/>
            <family val="2"/>
          </rPr>
          <t xml:space="preserve">
</t>
        </r>
      </text>
    </comment>
    <comment ref="BF315" authorId="0" shapeId="0" xr:uid="{1E289D78-29CC-034F-93C7-EBED6D5BDE2A}">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Raimonval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13/09/1803 Muster: IR 1 Haupt Vanderbank Komp. Nr. 59 [</t>
        </r>
        <r>
          <rPr>
            <i/>
            <sz val="14"/>
            <color rgb="FF000000"/>
            <rFont val="Times New Roman"/>
            <family val="18"/>
          </rPr>
          <t>Bis zur Exercierzeit beurlaubt zu Czegilow in Galizien</t>
        </r>
        <r>
          <rPr>
            <sz val="14"/>
            <color rgb="FF000000"/>
            <rFont val="Times New Roman"/>
            <family val="18"/>
          </rPr>
          <t>]</t>
        </r>
        <r>
          <rPr>
            <sz val="14"/>
            <color rgb="FF000000"/>
            <rFont val="Calibri"/>
            <family val="34"/>
          </rPr>
          <t xml:space="preserve">
</t>
        </r>
        <r>
          <rPr>
            <sz val="14"/>
            <color rgb="FF000000"/>
            <rFont val="Times New Roman"/>
            <family val="18"/>
          </rPr>
          <t>13/08/1804 Muster: IR 1 Haupt Vanderbank Komp. Nr. 56 [</t>
        </r>
        <r>
          <rPr>
            <i/>
            <sz val="14"/>
            <color rgb="FF000000"/>
            <rFont val="Times New Roman"/>
            <family val="18"/>
          </rPr>
          <t>Beurlaubt in Gallizien bis zur Exercierzeit in Czepilow</t>
        </r>
        <r>
          <rPr>
            <sz val="14"/>
            <color rgb="FF000000"/>
            <rFont val="Times New Roman"/>
            <family val="18"/>
          </rPr>
          <t>]</t>
        </r>
        <r>
          <rPr>
            <sz val="14"/>
            <color rgb="FF000000"/>
            <rFont val="Calibri"/>
            <family val="34"/>
          </rPr>
          <t xml:space="preserve">
</t>
        </r>
        <r>
          <rPr>
            <sz val="14"/>
            <color rgb="FF000000"/>
            <rFont val="Times New Roman"/>
            <family val="18"/>
          </rPr>
          <t xml:space="preserve">30/06/1805 </t>
        </r>
        <r>
          <rPr>
            <i/>
            <sz val="14"/>
            <color rgb="FF000000"/>
            <rFont val="Times New Roman"/>
            <family val="18"/>
          </rPr>
          <t>Als ausgedienter Capitulant mit Abschied entlassen</t>
        </r>
        <r>
          <rPr>
            <sz val="14"/>
            <color rgb="FF000000"/>
            <rFont val="Times New Roman"/>
            <family val="18"/>
          </rPr>
          <t xml:space="preserve"> [ML 1806]</t>
        </r>
      </text>
    </comment>
    <comment ref="BG315" authorId="0" shapeId="0" xr:uid="{EE3A1DC8-E3F4-1A46-94A8-D4613F614E31}">
      <text>
        <r>
          <rPr>
            <sz val="14"/>
            <color rgb="FF000000"/>
            <rFont val="Times New Roman"/>
            <family val="18"/>
          </rPr>
          <t>ML 29 IR 1 (1803) – Haupt Vanderbank Komp. Nr. 59 (Karthaus nächst Brünn 13/09/1803)</t>
        </r>
        <r>
          <rPr>
            <sz val="14"/>
            <color rgb="FF000000"/>
            <rFont val="Calibri"/>
            <family val="34"/>
          </rPr>
          <t xml:space="preserve">
</t>
        </r>
        <r>
          <rPr>
            <sz val="14"/>
            <color rgb="FF000000"/>
            <rFont val="Times New Roman"/>
            <family val="18"/>
          </rPr>
          <t>ML 30 IR 1 (1804) – Haupt Vanderbank Komp. Nr. 56 (Olmütz 13/08/1804)</t>
        </r>
        <r>
          <rPr>
            <sz val="14"/>
            <color rgb="FF000000"/>
            <rFont val="Calibri"/>
            <family val="34"/>
          </rPr>
          <t xml:space="preserve">
</t>
        </r>
        <r>
          <rPr>
            <sz val="14"/>
            <color rgb="FF000000"/>
            <rFont val="Times New Roman"/>
            <family val="18"/>
          </rPr>
          <t>ML 31/2 IR 1 (1806) – Haupt Vanderbank Komp. Nr. 172 (Proßnitz 17/12/1806)</t>
        </r>
        <r>
          <rPr>
            <sz val="14"/>
            <color rgb="FF000000"/>
            <rFont val="Calibri"/>
            <family val="34"/>
          </rPr>
          <t xml:space="preserve">
</t>
        </r>
        <r>
          <rPr>
            <sz val="14"/>
            <color rgb="FF000000"/>
            <rFont val="Times New Roman"/>
            <family val="18"/>
          </rPr>
          <t>ML 69/70 IR 1 (1797) – AL Nr. 5 (Radom 08/02/1797); TL IR 1 3 Feld Bats-&gt; 4. Bat Nr. 393 (Freiburg in Breisgau 29/18/1798); TL IR 1 4. Bat-&gt; 3 Feld Bats Nr. 131 (Olmütz 08/07/1799)</t>
        </r>
        <r>
          <rPr>
            <sz val="14"/>
            <color rgb="FF000000"/>
            <rFont val="Calibri"/>
            <family val="34"/>
          </rPr>
          <t xml:space="preserve">
</t>
        </r>
      </text>
    </comment>
    <comment ref="BH315" authorId="0" shapeId="0" xr:uid="{16D7D3FE-B830-9E46-849D-37FAF8D536A0}">
      <text>
        <r>
          <rPr>
            <sz val="14"/>
            <color rgb="FF000000"/>
            <rFont val="Calibri"/>
            <family val="34"/>
          </rPr>
          <t>IR 1 (1797-1805)</t>
        </r>
      </text>
    </comment>
    <comment ref="BF316" authorId="0" shapeId="0" xr:uid="{D39D2CAD-01C1-4C41-B9C1-C87EF166D8CC}">
      <text>
        <r>
          <rPr>
            <sz val="14"/>
            <color rgb="FF000000"/>
            <rFont val="Times New Roman"/>
            <family val="18"/>
          </rPr>
          <t xml:space="preserve">10/02/1797 </t>
        </r>
        <r>
          <rPr>
            <i/>
            <sz val="14"/>
            <color rgb="FF000000"/>
            <rFont val="Times New Roman"/>
            <family val="18"/>
          </rPr>
          <t>A 3Fl Handgeld als landständische Rekrut auf Dauer des Kriegs gestellt und zum IR 3 Reserve Division ohne Capitulation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 Major von Ribonet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316" authorId="0" shapeId="0" xr:uid="{7D87DC6D-9ED9-9844-B288-245DFF08E72D}">
      <text>
        <r>
          <rPr>
            <sz val="14"/>
            <color rgb="FF000000"/>
            <rFont val="Times New Roman"/>
            <family val="18"/>
          </rPr>
          <t>ML 69/70 IR 1 (1797) – AL Nr. 11 (Radom 08/02/1797); TL IR 1 3 Feld Bats-&gt; 4. Bat Nr. 124 (Freiburg in Breisgau 29/18/1798); ML 69/70 IR 1 (1797) AL/TL – TL IR 1-&gt;IR 56  Nr. 10 (Olmütz 20/08/1797)</t>
        </r>
      </text>
    </comment>
    <comment ref="BH316" authorId="0" shapeId="0" xr:uid="{C7B42C14-BF04-2E42-9031-6495D693E92F}">
      <text>
        <r>
          <rPr>
            <sz val="14"/>
            <color rgb="FF000000"/>
            <rFont val="Calibri"/>
            <family val="34"/>
          </rPr>
          <t xml:space="preserve">IR 1 (1797)
</t>
        </r>
        <r>
          <rPr>
            <sz val="14"/>
            <color rgb="FF000000"/>
            <rFont val="Calibri"/>
            <family val="34"/>
          </rPr>
          <t>IR 56 (1797)</t>
        </r>
      </text>
    </comment>
    <comment ref="I317" authorId="0" shapeId="0" xr:uid="{4BACC61F-3935-FD4C-A10C-48C6AAB1AEC5}">
      <text>
        <r>
          <rPr>
            <b/>
            <sz val="14"/>
            <color rgb="FF000000"/>
            <rFont val="Calibri"/>
            <family val="34"/>
          </rPr>
          <t xml:space="preserve">1775 [22 (AL 1797)] 
</t>
        </r>
        <r>
          <rPr>
            <sz val="14"/>
            <color rgb="FF000000"/>
            <rFont val="Calibri"/>
            <family val="34"/>
          </rPr>
          <t xml:space="preserve">OR 
</t>
        </r>
        <r>
          <rPr>
            <sz val="14"/>
            <color rgb="FF000000"/>
            <rFont val="Calibri"/>
            <family val="34"/>
          </rPr>
          <t>1776 [28 (ML 1804)]</t>
        </r>
      </text>
    </comment>
    <comment ref="T317" authorId="0" shapeId="0" xr:uid="{72CBB058-EA3F-CA42-9F61-8C5ABB92286C}">
      <text>
        <r>
          <rPr>
            <sz val="14"/>
            <color rgb="FF000000"/>
            <rFont val="Calibri"/>
            <family val="34"/>
          </rPr>
          <t xml:space="preserve">5.5 [171.15 cm] (ML 1803)
</t>
        </r>
        <r>
          <rPr>
            <b/>
            <sz val="14"/>
            <color rgb="FF000000"/>
            <rFont val="Calibri"/>
            <family val="34"/>
          </rPr>
          <t>5.5.2 [171.59] (AL 1797)</t>
        </r>
        <r>
          <rPr>
            <sz val="14"/>
            <color rgb="FF000000"/>
            <rFont val="Calibri"/>
            <family val="2"/>
          </rPr>
          <t xml:space="preserve">
</t>
        </r>
      </text>
    </comment>
    <comment ref="BF317" authorId="0" shapeId="0" xr:uid="{364F236D-9202-4B41-B91D-9C7D74889DC5}">
      <text>
        <r>
          <rPr>
            <sz val="14"/>
            <color rgb="FF000000"/>
            <rFont val="Times New Roman"/>
            <family val="18"/>
          </rPr>
          <t xml:space="preserve">10/02/1797 </t>
        </r>
        <r>
          <rPr>
            <i/>
            <sz val="14"/>
            <color rgb="FF000000"/>
            <rFont val="Times New Roman"/>
            <family val="18"/>
          </rPr>
          <t>A 3Fl Handgeld als landständische Rekrut gestellt und zum IR 1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21/03/1799 [Als Angehöriger von ObristLt Komp.] </t>
        </r>
        <r>
          <rPr>
            <i/>
            <sz val="14"/>
            <color rgb="FF000000"/>
            <rFont val="Times New Roman"/>
            <family val="18"/>
          </rPr>
          <t>Krank in Armee Spital in Ulm</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10/04/1799 </t>
        </r>
        <r>
          <rPr>
            <i/>
            <sz val="14"/>
            <color rgb="FF000000"/>
            <rFont val="Times New Roman"/>
            <family val="18"/>
          </rPr>
          <t>Rekonvalesziert</t>
        </r>
        <r>
          <rPr>
            <sz val="14"/>
            <color rgb="FF000000"/>
            <rFont val="Times New Roman"/>
            <family val="18"/>
          </rPr>
          <t xml:space="preserve"> [April 1799]</t>
        </r>
        <r>
          <rPr>
            <sz val="14"/>
            <color rgb="FF000000"/>
            <rFont val="Calibri"/>
            <family val="34"/>
          </rPr>
          <t xml:space="preserve">
</t>
        </r>
        <r>
          <rPr>
            <sz val="14"/>
            <color rgb="FF000000"/>
            <rFont val="Times New Roman"/>
            <family val="18"/>
          </rPr>
          <t xml:space="preserve">06/02/1802 </t>
        </r>
        <r>
          <rPr>
            <i/>
            <sz val="14"/>
            <color rgb="FF000000"/>
            <rFont val="Times New Roman"/>
            <family val="18"/>
          </rPr>
          <t>Auf Marsch zur Beurlaubung in Ost Galizien</t>
        </r>
        <r>
          <rPr>
            <sz val="14"/>
            <color rgb="FF000000"/>
            <rFont val="Times New Roman"/>
            <family val="18"/>
          </rPr>
          <t xml:space="preserve"> [ST Feb 1802]</t>
        </r>
        <r>
          <rPr>
            <sz val="14"/>
            <color rgb="FF000000"/>
            <rFont val="Calibri"/>
            <family val="34"/>
          </rPr>
          <t xml:space="preserve">
</t>
        </r>
        <r>
          <rPr>
            <sz val="14"/>
            <color rgb="FF000000"/>
            <rFont val="Times New Roman"/>
            <family val="18"/>
          </rPr>
          <t>13/09/1803 Muster: IR 1 ObristLt. Komp. Nr. 52</t>
        </r>
        <r>
          <rPr>
            <sz val="14"/>
            <color rgb="FF000000"/>
            <rFont val="Calibri"/>
            <family val="34"/>
          </rPr>
          <t xml:space="preserve">
</t>
        </r>
        <r>
          <rPr>
            <sz val="14"/>
            <color rgb="FF000000"/>
            <rFont val="Times New Roman"/>
            <family val="18"/>
          </rPr>
          <t>20/08/1804 Muster: IR 1 ObristLt. Komp. Nr. 49</t>
        </r>
        <r>
          <rPr>
            <sz val="14"/>
            <color rgb="FF000000"/>
            <rFont val="Calibri"/>
            <family val="34"/>
          </rPr>
          <t xml:space="preserve">
</t>
        </r>
        <r>
          <rPr>
            <sz val="14"/>
            <color rgb="FF000000"/>
            <rFont val="Times New Roman"/>
            <family val="18"/>
          </rPr>
          <t xml:space="preserve">30/06/1805 </t>
        </r>
        <r>
          <rPr>
            <i/>
            <sz val="14"/>
            <color rgb="FF000000"/>
            <rFont val="Times New Roman"/>
            <family val="18"/>
          </rPr>
          <t>Als ausgedienter Kriegscapitulant mit Abschied entlassen</t>
        </r>
        <r>
          <rPr>
            <sz val="14"/>
            <color rgb="FF000000"/>
            <rFont val="Times New Roman"/>
            <family val="18"/>
          </rPr>
          <t xml:space="preserve"> [ML 1806]</t>
        </r>
      </text>
    </comment>
    <comment ref="BG317" authorId="0" shapeId="0" xr:uid="{941D40B4-4B47-1941-BE08-A8FA063D7892}">
      <text>
        <r>
          <rPr>
            <sz val="14"/>
            <color rgb="FF000000"/>
            <rFont val="Times New Roman"/>
            <family val="18"/>
          </rPr>
          <t>ML 29 IR 1 (1803) – ObristLt. Komp. Nr. 52 (Karthaus nächst Brünn 13/09/1803)</t>
        </r>
        <r>
          <rPr>
            <sz val="14"/>
            <color rgb="FF000000"/>
            <rFont val="Calibri"/>
            <family val="34"/>
          </rPr>
          <t xml:space="preserve">
</t>
        </r>
        <r>
          <rPr>
            <sz val="14"/>
            <color rgb="FF000000"/>
            <rFont val="Times New Roman"/>
            <family val="18"/>
          </rPr>
          <t>ML 30 IR 1 (1804) – ObristLt. Komp. Nr. 49 (Karthaus nächst Brünn 20/08/1804)</t>
        </r>
        <r>
          <rPr>
            <sz val="14"/>
            <color rgb="FF000000"/>
            <rFont val="Calibri"/>
            <family val="34"/>
          </rPr>
          <t xml:space="preserve">
</t>
        </r>
        <r>
          <rPr>
            <sz val="14"/>
            <color rgb="FF000000"/>
            <rFont val="Times New Roman"/>
            <family val="18"/>
          </rPr>
          <t>ML 31/2 IR 1 (1806) – Haupt Prziborsky [13. Fus.] Komp. Abgang (Proßnitz 17/12/1806)</t>
        </r>
        <r>
          <rPr>
            <sz val="14"/>
            <color rgb="FF000000"/>
            <rFont val="Calibri"/>
            <family val="34"/>
          </rPr>
          <t xml:space="preserve">
</t>
        </r>
        <r>
          <rPr>
            <sz val="14"/>
            <color rgb="FF000000"/>
            <rFont val="Times New Roman"/>
            <family val="18"/>
          </rPr>
          <t>ML 69/70 IR 1 (1797) – AL Nr. 12 (Radom 08/02/1797)</t>
        </r>
        <r>
          <rPr>
            <sz val="14"/>
            <color rgb="FF000000"/>
            <rFont val="Calibri"/>
            <family val="34"/>
          </rPr>
          <t xml:space="preserve">
</t>
        </r>
        <r>
          <rPr>
            <sz val="14"/>
            <color rgb="FF000000"/>
            <rFont val="Times New Roman"/>
            <family val="18"/>
          </rPr>
          <t>ML 72 IR 1 (1799) – ST March (Olmütz 03/08/1799), April (Olmütz 02/09/1799)</t>
        </r>
        <r>
          <rPr>
            <sz val="14"/>
            <color rgb="FF000000"/>
            <rFont val="Calibri"/>
            <family val="34"/>
          </rPr>
          <t xml:space="preserve">
</t>
        </r>
        <r>
          <rPr>
            <sz val="14"/>
            <color rgb="FF000000"/>
            <rFont val="Times New Roman"/>
            <family val="18"/>
          </rPr>
          <t>ML 78 IR 1 (1802) – ST Feb (Olmütz 14/03/1802)</t>
        </r>
        <r>
          <rPr>
            <sz val="14"/>
            <color rgb="FF000000"/>
            <rFont val="Calibri"/>
            <family val="34"/>
          </rPr>
          <t xml:space="preserve">
</t>
        </r>
      </text>
    </comment>
    <comment ref="BH317" authorId="0" shapeId="0" xr:uid="{3EDD1474-0D8D-7044-8C9B-AFD47753D212}">
      <text>
        <r>
          <rPr>
            <sz val="14"/>
            <color rgb="FF000000"/>
            <rFont val="Calibri"/>
            <family val="34"/>
          </rPr>
          <t>IR 1 (1797-1805)</t>
        </r>
      </text>
    </comment>
    <comment ref="BF318" authorId="0" shapeId="0" xr:uid="{EF221C15-A314-8346-AC01-517A48AFDE74}">
      <text>
        <r>
          <rPr>
            <sz val="14"/>
            <color rgb="FF000000"/>
            <rFont val="Times New Roman"/>
            <family val="18"/>
          </rPr>
          <t xml:space="preserve">10/02/1797 </t>
        </r>
        <r>
          <rPr>
            <i/>
            <sz val="14"/>
            <color rgb="FF000000"/>
            <rFont val="Times New Roman"/>
            <family val="18"/>
          </rPr>
          <t>A 3Fl Handgeld als landständische Rekrut auf Dauer des Krieges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318" authorId="0" shapeId="0" xr:uid="{C8457DEE-EDA0-D741-9DB8-AA611AEE2616}">
      <text>
        <r>
          <rPr>
            <sz val="14"/>
            <color rgb="FF000000"/>
            <rFont val="Times New Roman"/>
            <family val="18"/>
          </rPr>
          <t>ML 69/70 IR 1 (1797) – AL Nr. 13 (Radom 08/02/1797); ML 69/70 IR 1 (1797) AL/TL – TL IR 1-&gt;IR 56  Nr. 11 (Olmütz 20/08/1797)</t>
        </r>
      </text>
    </comment>
    <comment ref="BH318" authorId="0" shapeId="0" xr:uid="{CC2BC5D8-D8C0-A64C-AADC-46CECF579ABC}">
      <text>
        <r>
          <rPr>
            <sz val="14"/>
            <color rgb="FF000000"/>
            <rFont val="Calibri"/>
            <family val="34"/>
          </rPr>
          <t xml:space="preserve">IR 1 (1797)
</t>
        </r>
        <r>
          <rPr>
            <sz val="14"/>
            <color rgb="FF000000"/>
            <rFont val="Calibri"/>
            <family val="34"/>
          </rPr>
          <t>IR 56 (1797)</t>
        </r>
      </text>
    </comment>
    <comment ref="BF319" authorId="0" shapeId="0" xr:uid="{D18F3B2E-8427-504F-A78A-6563B8BB7B50}">
      <text>
        <r>
          <rPr>
            <sz val="14"/>
            <color rgb="FF000000"/>
            <rFont val="Times New Roman"/>
            <family val="18"/>
          </rPr>
          <t xml:space="preserve">12/02/1797 </t>
        </r>
        <r>
          <rPr>
            <i/>
            <sz val="14"/>
            <color rgb="FF000000"/>
            <rFont val="Times New Roman"/>
            <family val="18"/>
          </rPr>
          <t>Dient seit mit Versicherungsschein</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18/05/1801 </t>
        </r>
        <r>
          <rPr>
            <i/>
            <sz val="14"/>
            <color rgb="FF000000"/>
            <rFont val="Times New Roman"/>
            <family val="18"/>
          </rPr>
          <t xml:space="preserve">Ranzioniert </t>
        </r>
        <r>
          <rPr>
            <sz val="14"/>
            <color rgb="FF000000"/>
            <rFont val="Times New Roman"/>
            <family val="18"/>
          </rPr>
          <t>[ML 1802]</t>
        </r>
        <r>
          <rPr>
            <sz val="14"/>
            <color rgb="FF000000"/>
            <rFont val="Times New Roman"/>
            <family val="18"/>
          </rPr>
          <t xml:space="preserve">
</t>
        </r>
        <r>
          <rPr>
            <sz val="14"/>
            <color rgb="FF000000"/>
            <rFont val="Times New Roman"/>
            <family val="18"/>
          </rPr>
          <t>17/09/1802 Muster: IR 11 Haupt Barbarini Komp. Nr. 140</t>
        </r>
        <r>
          <rPr>
            <sz val="14"/>
            <color rgb="FF000000"/>
            <rFont val="Times New Roman"/>
            <family val="18"/>
          </rPr>
          <t xml:space="preserve">
</t>
        </r>
        <r>
          <rPr>
            <sz val="14"/>
            <color rgb="FF000000"/>
            <rFont val="Times New Roman"/>
            <family val="18"/>
          </rPr>
          <t xml:space="preserve">31/07/1803 </t>
        </r>
        <r>
          <rPr>
            <i/>
            <sz val="14"/>
            <color rgb="FF000000"/>
            <rFont val="Times New Roman"/>
            <family val="18"/>
          </rPr>
          <t xml:space="preserve">Zu Folge hoher Verordnung ddeto Prag den 20. Juni 803 als auf die Dauer des Krieges gestellte und zu Hause nötiger mit Abschied von bestimmtem Urlaub entlassen </t>
        </r>
        <r>
          <rPr>
            <sz val="14"/>
            <color rgb="FF000000"/>
            <rFont val="Times New Roman"/>
            <family val="18"/>
          </rPr>
          <t xml:space="preserve">[ST Aug 1803] </t>
        </r>
      </text>
    </comment>
    <comment ref="BG319" authorId="0" shapeId="0" xr:uid="{A5C788BC-EA54-4F46-B3D1-20E31EA21554}">
      <text>
        <r>
          <rPr>
            <sz val="14"/>
            <color rgb="FF000000"/>
            <rFont val="Times New Roman"/>
            <family val="18"/>
          </rPr>
          <t>ML 804/5 IR 11 (1802) – Haupt Barbarini Komp. Nr. 140 (Wisotczan 17/09/1802)</t>
        </r>
        <r>
          <rPr>
            <sz val="14"/>
            <color rgb="FF000000"/>
            <rFont val="Times New Roman"/>
            <family val="18"/>
          </rPr>
          <t xml:space="preserve">
</t>
        </r>
        <r>
          <rPr>
            <sz val="14"/>
            <color rgb="FF000000"/>
            <rFont val="Times New Roman"/>
            <family val="18"/>
          </rPr>
          <t>ML 841 IR 11 (1803) – ST Aug (Prague 11/09/1803)</t>
        </r>
      </text>
    </comment>
    <comment ref="BH319" authorId="0" shapeId="0" xr:uid="{920224E8-7599-624B-AFC1-4E916B43DF97}">
      <text>
        <r>
          <rPr>
            <sz val="14"/>
            <color rgb="FF000000"/>
            <rFont val="Calibri"/>
            <family val="34"/>
          </rPr>
          <t>IR 11 (1797-1803)</t>
        </r>
      </text>
    </comment>
    <comment ref="O320" authorId="0" shapeId="0" xr:uid="{7748D3BE-2525-E44A-8E97-248075B60077}">
      <text>
        <r>
          <rPr>
            <sz val="14"/>
            <color rgb="FF000000"/>
            <rFont val="Times New Roman"/>
            <family val="18"/>
          </rPr>
          <t>Moises (1790)</t>
        </r>
      </text>
    </comment>
    <comment ref="P320" authorId="0" shapeId="0" xr:uid="{C70F21D5-04FC-2947-AD78-A4B1570B6AA9}">
      <text>
        <r>
          <rPr>
            <sz val="14"/>
            <color rgb="FF000000"/>
            <rFont val="Times New Roman"/>
            <family val="18"/>
          </rPr>
          <t>Ades (1788)</t>
        </r>
      </text>
    </comment>
    <comment ref="BF320" authorId="0" shapeId="0" xr:uid="{ED4A2BCB-24A4-E241-95B9-E53CC04585C1}">
      <text>
        <r>
          <rPr>
            <sz val="14"/>
            <color rgb="FFFF0000"/>
            <rFont val="Times New Roman"/>
            <family val="18"/>
          </rPr>
          <t xml:space="preserve">12/01/1797 </t>
        </r>
        <r>
          <rPr>
            <i/>
            <sz val="14"/>
            <color rgb="FFFF0000"/>
            <rFont val="Times New Roman"/>
            <family val="18"/>
          </rPr>
          <t>A 10 Fl Werbgeld auf die Dauer des Krieges zu Bordy zum Vorigen Grün Laudonischen Freikorps assentiert</t>
        </r>
        <r>
          <rPr>
            <sz val="14"/>
            <color rgb="FF000000"/>
            <rFont val="Times New Roman"/>
            <family val="18"/>
          </rPr>
          <t xml:space="preserve">
</t>
        </r>
        <r>
          <rPr>
            <sz val="14"/>
            <color rgb="FF000000"/>
            <rFont val="Times New Roman"/>
            <family val="18"/>
          </rPr>
          <t xml:space="preserve">12/02/1797 </t>
        </r>
        <r>
          <rPr>
            <i/>
            <sz val="14"/>
            <color rgb="FF000000"/>
            <rFont val="Times New Roman"/>
            <family val="18"/>
          </rPr>
          <t>Zu Brody auf 10Fl Werbgeld assentiert</t>
        </r>
        <r>
          <rPr>
            <sz val="14"/>
            <color rgb="FF000000"/>
            <rFont val="Times New Roman"/>
            <family val="18"/>
          </rPr>
          <t xml:space="preserve"> [RL 1796]
</t>
        </r>
        <r>
          <rPr>
            <sz val="14"/>
            <color rgb="FF000000"/>
            <rFont val="Times New Roman"/>
            <family val="18"/>
          </rPr>
          <t>19/06/1797 Revision FK Grün Laudon Kirchberg Nr. 161 [</t>
        </r>
        <r>
          <rPr>
            <i/>
            <sz val="14"/>
            <color rgb="FF000000"/>
            <rFont val="Times New Roman"/>
            <family val="18"/>
          </rPr>
          <t>Auf den Anhero Marsch</t>
        </r>
        <r>
          <rPr>
            <sz val="14"/>
            <color rgb="FF000000"/>
            <rFont val="Times New Roman"/>
            <family val="18"/>
          </rPr>
          <t xml:space="preserve">]
</t>
        </r>
        <r>
          <rPr>
            <sz val="14"/>
            <color rgb="FF000000"/>
            <rFont val="Times New Roman"/>
            <family val="18"/>
          </rPr>
          <t xml:space="preserve">20/10/1797 </t>
        </r>
        <r>
          <rPr>
            <i/>
            <sz val="14"/>
            <color rgb="FF000000"/>
            <rFont val="Times New Roman"/>
            <family val="18"/>
          </rPr>
          <t>In Companie eingerückt</t>
        </r>
        <r>
          <rPr>
            <sz val="14"/>
            <color rgb="FF000000"/>
            <rFont val="Times New Roman"/>
            <family val="18"/>
          </rPr>
          <t xml:space="preserve"> [ST Okt 1797]
</t>
        </r>
        <r>
          <rPr>
            <sz val="14"/>
            <color rgb="FF000000"/>
            <rFont val="Times New Roman"/>
            <family val="18"/>
          </rPr>
          <t xml:space="preserve">07/03/1798 Revision: FK Grün Laudon Kirchberg Komp. Nr. 140
</t>
        </r>
        <r>
          <rPr>
            <sz val="14"/>
            <color rgb="FF000000"/>
            <rFont val="Times New Roman"/>
            <family val="18"/>
          </rPr>
          <t xml:space="preserve">01/07/1798 </t>
        </r>
        <r>
          <rPr>
            <i/>
            <sz val="14"/>
            <color rgb="FF000000"/>
            <rFont val="Times New Roman"/>
            <family val="18"/>
          </rPr>
          <t>Von FK Grün Loudon zum LB 4 transferiert und zur Haupt. Kirchberg Komp. eingeteilt</t>
        </r>
        <r>
          <rPr>
            <sz val="14"/>
            <color rgb="FF000000"/>
            <rFont val="Times New Roman"/>
            <family val="18"/>
          </rPr>
          <t xml:space="preserve"> [RL 1798]
</t>
        </r>
        <r>
          <rPr>
            <sz val="14"/>
            <color rgb="FF000000"/>
            <rFont val="Times New Roman"/>
            <family val="18"/>
          </rPr>
          <t xml:space="preserve">01/07/1798 Revision: LB 4 Haupt Kirchberg Komp. Nr. 122
</t>
        </r>
        <r>
          <rPr>
            <sz val="14"/>
            <color rgb="FF000000"/>
            <rFont val="Times New Roman"/>
            <family val="18"/>
          </rPr>
          <t>22/01/1799 Revision: LB 4 Haupt Kirchberg Komp. Nr. 119 [</t>
        </r>
        <r>
          <rPr>
            <i/>
            <sz val="14"/>
            <color rgb="FF000000"/>
            <rFont val="Times New Roman"/>
            <family val="18"/>
          </rPr>
          <t>Als Koch in der Caserne zurück</t>
        </r>
        <r>
          <rPr>
            <sz val="14"/>
            <color rgb="FF000000"/>
            <rFont val="Times New Roman"/>
            <family val="18"/>
          </rPr>
          <t xml:space="preserve">]
</t>
        </r>
        <r>
          <rPr>
            <sz val="14"/>
            <color rgb="FF000000"/>
            <rFont val="Times New Roman"/>
            <family val="18"/>
          </rPr>
          <t xml:space="preserve">21/10/1799 </t>
        </r>
        <r>
          <rPr>
            <i/>
            <sz val="14"/>
            <color rgb="FF000000"/>
            <rFont val="Times New Roman"/>
            <family val="18"/>
          </rPr>
          <t>Von Haupt Kirchberg Komp. zu den Artillerie Handlanger transferiert</t>
        </r>
        <r>
          <rPr>
            <sz val="14"/>
            <color rgb="FF000000"/>
            <rFont val="Times New Roman"/>
            <family val="18"/>
          </rPr>
          <t xml:space="preserve"> [RL 1800]
</t>
        </r>
        <r>
          <rPr>
            <sz val="14"/>
            <color rgb="FF000000"/>
            <rFont val="Times New Roman"/>
            <family val="18"/>
          </rPr>
          <t xml:space="preserve">04/03/1800 Revision: LB 4 Artillerie Handlanger Nr. 15
</t>
        </r>
        <r>
          <rPr>
            <sz val="14"/>
            <color rgb="FF000000"/>
            <rFont val="Times New Roman"/>
            <family val="18"/>
          </rPr>
          <t xml:space="preserve">01/08/1800 </t>
        </r>
        <r>
          <rPr>
            <i/>
            <sz val="14"/>
            <color rgb="FF000000"/>
            <rFont val="Times New Roman"/>
            <family val="18"/>
          </rPr>
          <t xml:space="preserve">Von Artillerie Handlanger zur Haupt Kirchberg Komp. transferiert </t>
        </r>
        <r>
          <rPr>
            <sz val="14"/>
            <color rgb="FF000000"/>
            <rFont val="Times New Roman"/>
            <family val="18"/>
          </rPr>
          <t xml:space="preserve">[RL 1801]
</t>
        </r>
        <r>
          <rPr>
            <sz val="14"/>
            <color rgb="FF000000"/>
            <rFont val="Times New Roman"/>
            <family val="18"/>
          </rPr>
          <t>28/08/1801 Reduction: LB 4 Haupt Kleinschmied Nr. 45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01/09/1802 </t>
        </r>
        <r>
          <rPr>
            <i/>
            <sz val="14"/>
            <color rgb="FF000000"/>
            <rFont val="Times New Roman"/>
            <family val="18"/>
          </rPr>
          <t>Von dissolvierte LB 4 zum IR 13 transferiert und zur Haupt Ghiss Komp. eingeteilt</t>
        </r>
        <r>
          <rPr>
            <sz val="14"/>
            <color rgb="FF000000"/>
            <rFont val="Times New Roman"/>
            <family val="18"/>
          </rPr>
          <t xml:space="preserve"> [ML 1802]
</t>
        </r>
        <r>
          <rPr>
            <sz val="14"/>
            <color rgb="FF000000"/>
            <rFont val="Times New Roman"/>
            <family val="18"/>
          </rPr>
          <t>19/08/1802 Musterung: IR 13 Haupt Ghiss Nr. 98 [</t>
        </r>
        <r>
          <rPr>
            <i/>
            <sz val="14"/>
            <color rgb="FF000000"/>
            <rFont val="Times New Roman"/>
            <family val="18"/>
          </rPr>
          <t>Krank in Rovigo</t>
        </r>
        <r>
          <rPr>
            <sz val="14"/>
            <color rgb="FF000000"/>
            <rFont val="Times New Roman"/>
            <family val="18"/>
          </rPr>
          <t xml:space="preserve">]
</t>
        </r>
        <r>
          <rPr>
            <sz val="14"/>
            <color rgb="FF000000"/>
            <rFont val="Times New Roman"/>
            <family val="18"/>
          </rPr>
          <t xml:space="preserve">15/10/1802 </t>
        </r>
        <r>
          <rPr>
            <i/>
            <sz val="14"/>
            <color rgb="FF000000"/>
            <rFont val="Times New Roman"/>
            <family val="18"/>
          </rPr>
          <t>Zu Wien gestorben</t>
        </r>
        <r>
          <rPr>
            <sz val="14"/>
            <color rgb="FF000000"/>
            <rFont val="Times New Roman"/>
            <family val="18"/>
          </rPr>
          <t xml:space="preserve"> [ML 1803]</t>
        </r>
      </text>
    </comment>
    <comment ref="BG320" authorId="0" shapeId="0" xr:uid="{A424AAB3-498D-F846-90A7-99CE48A097E3}">
      <text>
        <r>
          <rPr>
            <sz val="14"/>
            <color rgb="FF000000"/>
            <rFont val="Times New Roman"/>
            <family val="18"/>
          </rPr>
          <t xml:space="preserve">ML 10.763 FK Grün Laudon (1797-98) – RLHaupt Kirchberg Nr. 161 (Maria Saal 19/06/1797); RL Haupt Kirchberg Nr. 140 (Rovigo 07/03/1798)
</t>
        </r>
        <r>
          <rPr>
            <sz val="14"/>
            <color rgb="FF000000"/>
            <rFont val="Times New Roman"/>
            <family val="18"/>
          </rPr>
          <t xml:space="preserve">ML 10.771 FK Grün Laudon (1796-97) – ST 1797 Okt (Rovigo 06/06/1798)
</t>
        </r>
        <r>
          <rPr>
            <sz val="14"/>
            <color rgb="FF000000"/>
            <rFont val="Times New Roman"/>
            <family val="18"/>
          </rPr>
          <t xml:space="preserve">ML 10.630 LB 4 (1798-1801) – RL Haupt Kirchberg Komp. Nr. 122 (Rovigo 30/06/1798); RL 1799 Haupt Kirchberg Komp. Nr. 119 (Rovigo 22/01/1799); RL Artillerie Handlanger Nr. 15 (Pisa 04/03/1800); RL Haupt Kleinschmied Nr. 45 (Furriaco 28/08/1801)
</t>
        </r>
        <r>
          <rPr>
            <sz val="14"/>
            <color rgb="FF000000"/>
            <rFont val="Times New Roman"/>
            <family val="18"/>
          </rPr>
          <t xml:space="preserve">ML 10.632 LB 4 (1801) – TL LB 4-&gt;IR 13 Nr. 148 (Görz 30/09/1801)
</t>
        </r>
        <r>
          <rPr>
            <sz val="14"/>
            <color rgb="FF000000"/>
            <rFont val="Times New Roman"/>
            <family val="18"/>
          </rPr>
          <t xml:space="preserve">ML 10.045/6 IR 13 (1802): ML Haupt Ghiss Komp. Nr. 98 (Capo D’Istria 18/09/1802)
</t>
        </r>
        <r>
          <rPr>
            <sz val="14"/>
            <color rgb="FF000000"/>
            <rFont val="Times New Roman"/>
            <family val="18"/>
          </rPr>
          <t xml:space="preserve">ML 10.047/8 IR 13 (1803): ML Haupt Ghiss Komp. Nr. 84 (Capo D’Istria 24/09/1803)
</t>
        </r>
      </text>
    </comment>
    <comment ref="BH320" authorId="0" shapeId="0" xr:uid="{0EA81C12-09A9-6242-9CDD-4ACD026CD710}">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(1801-1802)</t>
        </r>
      </text>
    </comment>
    <comment ref="BI320" authorId="0" shapeId="0" xr:uid="{3E1FC2BE-A974-0045-BEBC-AE50C933EE06}">
      <text>
        <r>
          <rPr>
            <sz val="14"/>
            <color rgb="FF000000"/>
            <rFont val="Calibri"/>
            <family val="34"/>
          </rPr>
          <t>Gut [TL Sept 1801]</t>
        </r>
      </text>
    </comment>
    <comment ref="BF321" authorId="0" shapeId="0" xr:uid="{9C42560D-22EE-3A4B-8407-3294CD0C4BC2}">
      <text>
        <r>
          <rPr>
            <sz val="14"/>
            <color rgb="FF000000"/>
            <rFont val="Times New Roman"/>
            <family val="18"/>
          </rPr>
          <t xml:space="preserve">13/02/1797 </t>
        </r>
        <r>
          <rPr>
            <i/>
            <sz val="14"/>
            <color rgb="FF000000"/>
            <rFont val="Times New Roman"/>
            <family val="18"/>
          </rPr>
          <t xml:space="preserve">A 3Fl Handgeld zu Zaukiev in Galizien assentiert </t>
        </r>
        <r>
          <rPr>
            <sz val="14"/>
            <color rgb="FF000000"/>
            <rFont val="Times New Roman"/>
            <family val="18"/>
          </rPr>
          <t>[ML 1803]</t>
        </r>
        <r>
          <rPr>
            <sz val="14"/>
            <color rgb="FF000000"/>
            <rFont val="Aptos"/>
            <family val="34"/>
          </rPr>
          <t xml:space="preserve">
</t>
        </r>
        <r>
          <rPr>
            <sz val="14"/>
            <color rgb="FF000000"/>
            <rFont val="Times New Roman"/>
            <family val="18"/>
          </rPr>
          <t>12/09/1803 Muster: IR 4 Haupt Görger Komp. Nr. 73 [</t>
        </r>
        <r>
          <rPr>
            <i/>
            <sz val="14"/>
            <color rgb="FF000000"/>
            <rFont val="Times New Roman"/>
            <family val="18"/>
          </rPr>
          <t>Beurlaubt in Gallizien in Stadt Lubaczow</t>
        </r>
        <r>
          <rPr>
            <sz val="14"/>
            <color rgb="FF000000"/>
            <rFont val="Times New Roman"/>
            <family val="18"/>
          </rPr>
          <t>]</t>
        </r>
        <r>
          <rPr>
            <sz val="14"/>
            <color rgb="FF000000"/>
            <rFont val="Aptos"/>
            <family val="34"/>
          </rPr>
          <t xml:space="preserve">
</t>
        </r>
        <r>
          <rPr>
            <sz val="14"/>
            <color rgb="FF000000"/>
            <rFont val="Times New Roman"/>
            <family val="18"/>
          </rPr>
          <t xml:space="preserve">UNBEKANNT: </t>
        </r>
        <r>
          <rPr>
            <i/>
            <sz val="14"/>
            <color rgb="FF000000"/>
            <rFont val="Times New Roman"/>
            <family val="18"/>
          </rPr>
          <t>Erscheint nicht in der Revisions-Liste von Haupt Hertwich Kompanie zwischen  31. Marz 1804 und 1. Mai 1804</t>
        </r>
        <r>
          <rPr>
            <sz val="14"/>
            <color rgb="FF000000"/>
            <rFont val="Calibri"/>
            <family val="34"/>
          </rPr>
          <t xml:space="preserve">
</t>
        </r>
      </text>
    </comment>
    <comment ref="BG321" authorId="0" shapeId="0" xr:uid="{39312E95-6225-2E42-BC54-21C8B2B51A36}">
      <text>
        <r>
          <rPr>
            <sz val="14"/>
            <color rgb="FF000000"/>
            <rFont val="Times New Roman"/>
            <family val="18"/>
          </rPr>
          <t>ML 348 IR 4 (1803) – Görger Komp. Nr. 73 (Wiener Neustadt 12/09/1803)</t>
        </r>
        <r>
          <rPr>
            <sz val="14"/>
            <color rgb="FF000000"/>
            <rFont val="Aptos"/>
            <family val="34"/>
          </rPr>
          <t xml:space="preserve">
</t>
        </r>
      </text>
    </comment>
    <comment ref="BH321" authorId="0" shapeId="0" xr:uid="{0838787C-C77E-084F-B1D1-73AD065C5220}">
      <text>
        <r>
          <rPr>
            <sz val="14"/>
            <color rgb="FF000000"/>
            <rFont val="Calibri"/>
            <family val="34"/>
          </rPr>
          <t>IR 10 (1797-1804)</t>
        </r>
      </text>
    </comment>
    <comment ref="BF322" authorId="0" shapeId="0" xr:uid="{6D5DD5D3-F8BE-2E48-9172-8E94FD09B495}">
      <text>
        <r>
          <rPr>
            <sz val="14"/>
            <color rgb="FF000000"/>
            <rFont val="Times New Roman"/>
            <family val="18"/>
          </rPr>
          <t xml:space="preserve">15/02/1797 </t>
        </r>
        <r>
          <rPr>
            <i/>
            <sz val="14"/>
            <color rgb="FF000000"/>
            <rFont val="Times New Roman"/>
            <family val="18"/>
          </rPr>
          <t>A 3Fl 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ObristLt Komp. Nr. 91 [</t>
        </r>
        <r>
          <rPr>
            <i/>
            <sz val="14"/>
            <color rgb="FF000000"/>
            <rFont val="Times New Roman"/>
            <family val="18"/>
          </rPr>
          <t>Beulraubt in seinem Geburtort</t>
        </r>
        <r>
          <rPr>
            <sz val="14"/>
            <color rgb="FF000000"/>
            <rFont val="Times New Roman"/>
            <family val="18"/>
          </rPr>
          <t>]</t>
        </r>
        <r>
          <rPr>
            <sz val="14"/>
            <color rgb="FF000000"/>
            <rFont val="Calibri"/>
            <family val="34"/>
          </rPr>
          <t xml:space="preserve">
</t>
        </r>
        <r>
          <rPr>
            <sz val="14"/>
            <color rgb="FF000000"/>
            <rFont val="Times New Roman"/>
            <family val="18"/>
          </rPr>
          <t>05/09/1804 Muster: IR 59 ObristLt Komp. Nr. 85 [</t>
        </r>
        <r>
          <rPr>
            <i/>
            <sz val="14"/>
            <color rgb="FF000000"/>
            <rFont val="Times New Roman"/>
            <family val="18"/>
          </rPr>
          <t>Beulraubt in seinem Geburtort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05/07/1805 </t>
        </r>
        <r>
          <rPr>
            <i/>
            <sz val="14"/>
            <color rgb="FF000000"/>
            <rFont val="Times New Roman"/>
            <family val="18"/>
          </rPr>
          <t>Zu Sancignow gestorben</t>
        </r>
        <r>
          <rPr>
            <sz val="14"/>
            <color rgb="FF000000"/>
            <rFont val="Times New Roman"/>
            <family val="18"/>
          </rPr>
          <t xml:space="preserve"> [ML 1806]</t>
        </r>
      </text>
    </comment>
    <comment ref="BG322" authorId="0" shapeId="0" xr:uid="{658ACC90-9304-EB4F-BDEC-2C2C1957E1E7}">
      <text>
        <r>
          <rPr>
            <sz val="14"/>
            <color rgb="FF000000"/>
            <rFont val="Times New Roman"/>
            <family val="18"/>
          </rPr>
          <t>ML 5015 IR 59 (1803) – ObristLt Komp. Nr. 91 (Wells 30/08/1803)</t>
        </r>
        <r>
          <rPr>
            <sz val="14"/>
            <color rgb="FF000000"/>
            <rFont val="Calibri"/>
            <family val="34"/>
          </rPr>
          <t xml:space="preserve">
</t>
        </r>
        <r>
          <rPr>
            <sz val="14"/>
            <color rgb="FF000000"/>
            <rFont val="Times New Roman"/>
            <family val="18"/>
          </rPr>
          <t>ML 5016 IR 59 (1804) – ObristLt Komp. Nr. 85 (Mills bei Halls 05/09/1804)</t>
        </r>
        <r>
          <rPr>
            <sz val="14"/>
            <color rgb="FF000000"/>
            <rFont val="Calibri"/>
            <family val="34"/>
          </rPr>
          <t xml:space="preserve">
</t>
        </r>
        <r>
          <rPr>
            <sz val="14"/>
            <color rgb="FF000000"/>
            <rFont val="Times New Roman"/>
            <family val="18"/>
          </rPr>
          <t>ML 5017/8 IR 59 (1806) – 13. Fus. Komp. Abgang (Freistadt 22/12/1806)</t>
        </r>
        <r>
          <rPr>
            <sz val="14"/>
            <color rgb="FF000000"/>
            <rFont val="Calibri"/>
            <family val="34"/>
          </rPr>
          <t xml:space="preserve">
</t>
        </r>
      </text>
    </comment>
    <comment ref="BH322" authorId="0" shapeId="0" xr:uid="{B09A01CD-CE16-0443-B083-7013D4EF7D86}">
      <text>
        <r>
          <rPr>
            <sz val="14"/>
            <color rgb="FF000000"/>
            <rFont val="Calibri"/>
            <family val="34"/>
          </rPr>
          <t>IR 43 (1797-1805)</t>
        </r>
      </text>
    </comment>
    <comment ref="T323" authorId="0" shapeId="0" xr:uid="{7486922D-DFB6-0146-826A-F1A710EC8EBC}">
      <text>
        <r>
          <rPr>
            <sz val="14"/>
            <color rgb="FF000000"/>
            <rFont val="Calibri"/>
            <family val="34"/>
          </rPr>
          <t xml:space="preserve">5.8.1 [179.26 cm] (1803)
</t>
        </r>
        <r>
          <rPr>
            <sz val="14"/>
            <color rgb="FF000000"/>
            <rFont val="Calibri"/>
            <family val="34"/>
          </rPr>
          <t>5.8.3 [179.7] (1804)</t>
        </r>
      </text>
    </comment>
    <comment ref="BF323" authorId="0" shapeId="0" xr:uid="{AEE10CE5-7B30-C448-B2B5-4A999318B6EB}">
      <text>
        <r>
          <rPr>
            <sz val="14"/>
            <color rgb="FF000000"/>
            <rFont val="Times New Roman"/>
            <family val="18"/>
          </rPr>
          <t xml:space="preserve">15/02/1797 </t>
        </r>
        <r>
          <rPr>
            <i/>
            <sz val="14"/>
            <color rgb="FF000000"/>
            <rFont val="Times New Roman"/>
            <family val="18"/>
          </rPr>
          <t>Von Gallizischen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25/08/1803 Muster: IR 59 2. Gren. Komp. Nr. 46</t>
        </r>
        <r>
          <rPr>
            <sz val="14"/>
            <color rgb="FF000000"/>
            <rFont val="Calibri"/>
            <family val="34"/>
          </rPr>
          <t xml:space="preserve">
</t>
        </r>
        <r>
          <rPr>
            <sz val="14"/>
            <color rgb="FF000000"/>
            <rFont val="Times New Roman"/>
            <family val="18"/>
          </rPr>
          <t>03/09/1804 Muster: IR 59 2. Gren. Komp. Nr. 42</t>
        </r>
        <r>
          <rPr>
            <sz val="14"/>
            <color rgb="FF000000"/>
            <rFont val="Calibri"/>
            <family val="34"/>
          </rPr>
          <t xml:space="preserve">
</t>
        </r>
        <r>
          <rPr>
            <sz val="14"/>
            <color rgb="FF000000"/>
            <rFont val="Times New Roman"/>
            <family val="18"/>
          </rPr>
          <t xml:space="preserve">26/08/1806 </t>
        </r>
        <r>
          <rPr>
            <i/>
            <sz val="14"/>
            <color rgb="FF000000"/>
            <rFont val="Times New Roman"/>
            <family val="18"/>
          </rPr>
          <t xml:space="preserve">Am sonsten desertiert </t>
        </r>
        <r>
          <rPr>
            <sz val="14"/>
            <color rgb="FF000000"/>
            <rFont val="Times New Roman"/>
            <family val="18"/>
          </rPr>
          <t>[ML 1806]</t>
        </r>
      </text>
    </comment>
    <comment ref="BG323" authorId="0" shapeId="0" xr:uid="{605275A8-98A2-D243-86D4-3156D4D7D370}">
      <text>
        <r>
          <rPr>
            <sz val="14"/>
            <color rgb="FF000000"/>
            <rFont val="Times New Roman"/>
            <family val="18"/>
          </rPr>
          <t>ML 5015 IR 59 ‘Jordis’ (1803) –2. Gren. Komp. Nr. 46 (Linz 25/08/1803)</t>
        </r>
        <r>
          <rPr>
            <sz val="14"/>
            <color rgb="FF000000"/>
            <rFont val="Calibri"/>
            <family val="34"/>
          </rPr>
          <t xml:space="preserve">
</t>
        </r>
        <r>
          <rPr>
            <sz val="14"/>
            <color rgb="FF000000"/>
            <rFont val="Times New Roman"/>
            <family val="18"/>
          </rPr>
          <t>ML 5015 IR 59 ‚Jordis‘ (1804) –2. Gren. Komp. Nr. 42 (Innsbruck 03/09/1804)</t>
        </r>
        <r>
          <rPr>
            <sz val="14"/>
            <color rgb="FF000000"/>
            <rFont val="Calibri"/>
            <family val="34"/>
          </rPr>
          <t xml:space="preserve">
</t>
        </r>
        <r>
          <rPr>
            <sz val="14"/>
            <color rgb="FF000000"/>
            <rFont val="Times New Roman"/>
            <family val="18"/>
          </rPr>
          <t>ML 5017/8 IR 59 ‘Jordis‘ (1806) –2. Gren. Komp. Abgang (Linz 20/12/1806)</t>
        </r>
        <r>
          <rPr>
            <sz val="14"/>
            <color rgb="FF000000"/>
            <rFont val="Calibri"/>
            <family val="34"/>
          </rPr>
          <t xml:space="preserve">
</t>
        </r>
      </text>
    </comment>
    <comment ref="BH323" authorId="0" shapeId="0" xr:uid="{2A0308EF-02FC-1A4D-97E4-145570F8BC31}">
      <text>
        <r>
          <rPr>
            <sz val="14"/>
            <color rgb="FF000000"/>
            <rFont val="Calibri"/>
            <family val="34"/>
          </rPr>
          <t>IR 59 (1797-1806)</t>
        </r>
      </text>
    </comment>
    <comment ref="BF324" authorId="0" shapeId="0" xr:uid="{2ACA5105-7AB0-0742-881A-CD634FED6D57}">
      <text>
        <r>
          <rPr>
            <sz val="14"/>
            <color rgb="FF000000"/>
            <rFont val="Times New Roman"/>
            <family val="18"/>
          </rPr>
          <t xml:space="preserve">20/02/1797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Barbarini Komp. Nr. 37 [</t>
        </r>
        <r>
          <rPr>
            <i/>
            <sz val="14"/>
            <color rgb="FF000000"/>
            <rFont val="Times New Roman"/>
            <family val="18"/>
          </rPr>
          <t>Krank in Regiments Spital in Prague &amp; Real invalid crossed out</t>
        </r>
        <r>
          <rPr>
            <sz val="14"/>
            <color rgb="FF000000"/>
            <rFont val="Times New Roman"/>
            <family val="18"/>
          </rPr>
          <t>]</t>
        </r>
        <r>
          <rPr>
            <sz val="14"/>
            <color rgb="FF000000"/>
            <rFont val="Times New Roman"/>
            <family val="18"/>
          </rPr>
          <t xml:space="preserve">
</t>
        </r>
        <r>
          <rPr>
            <sz val="14"/>
            <color rgb="FF000000"/>
            <rFont val="Times New Roman"/>
            <family val="18"/>
          </rPr>
          <t xml:space="preserve">25/10/1802 </t>
        </r>
        <r>
          <rPr>
            <i/>
            <sz val="14"/>
            <color rgb="FF000000"/>
            <rFont val="Times New Roman"/>
            <family val="18"/>
          </rPr>
          <t>In Prager Garnisonsspital gestorben</t>
        </r>
        <r>
          <rPr>
            <sz val="14"/>
            <color rgb="FF000000"/>
            <rFont val="Times New Roman"/>
            <family val="18"/>
          </rPr>
          <t xml:space="preserve"> [ST Oct 1802]</t>
        </r>
        <r>
          <rPr>
            <b/>
            <sz val="14"/>
            <color rgb="FF000000"/>
            <rFont val="Times New Roman"/>
            <family val="18"/>
          </rPr>
          <t xml:space="preserve"> </t>
        </r>
      </text>
    </comment>
    <comment ref="BG324" authorId="0" shapeId="0" xr:uid="{A945C708-D448-A043-A94E-6472986FFA41}">
      <text>
        <r>
          <rPr>
            <sz val="14"/>
            <color rgb="FF000000"/>
            <rFont val="Times New Roman"/>
            <family val="18"/>
          </rPr>
          <t>ML 804/5 IR 11 (1802) – Haupt Barbarini Komp. Nr. 37 (Wisotczan 17/09/1802)</t>
        </r>
        <r>
          <rPr>
            <sz val="14"/>
            <color rgb="FF000000"/>
            <rFont val="Times New Roman"/>
            <family val="18"/>
          </rPr>
          <t xml:space="preserve">
</t>
        </r>
        <r>
          <rPr>
            <sz val="14"/>
            <color rgb="FF000000"/>
            <rFont val="Times New Roman"/>
            <family val="18"/>
          </rPr>
          <t>ML 839 IR 11 (1802) – ST Oct (Kuttenberg 12/11/1802)</t>
        </r>
        <r>
          <rPr>
            <sz val="14"/>
            <color rgb="FF000000"/>
            <rFont val="Times New Roman"/>
            <family val="18"/>
          </rPr>
          <t xml:space="preserve">
</t>
        </r>
      </text>
    </comment>
    <comment ref="BH324" authorId="0" shapeId="0" xr:uid="{373A044E-42B6-C44D-8E9D-42F3C9C6DF96}">
      <text>
        <r>
          <rPr>
            <sz val="14"/>
            <color rgb="FF000000"/>
            <rFont val="Calibri"/>
            <family val="34"/>
          </rPr>
          <t>IR 11 (1797-1802)</t>
        </r>
      </text>
    </comment>
    <comment ref="BF325" authorId="0" shapeId="0" xr:uid="{4022052E-6125-2548-8AF7-BE37ED94239F}">
      <text>
        <r>
          <rPr>
            <sz val="14"/>
            <color rgb="FF000000"/>
            <rFont val="Times New Roman"/>
            <family val="18"/>
          </rPr>
          <t xml:space="preserve">20/02/1797 </t>
        </r>
        <r>
          <rPr>
            <i/>
            <sz val="14"/>
            <color rgb="FF000000"/>
            <rFont val="Times New Roman"/>
            <family val="18"/>
          </rPr>
          <t xml:space="preserve">A 3Fl zu Lublin auf die Kriegszeit assentiert </t>
        </r>
        <r>
          <rPr>
            <sz val="14"/>
            <color rgb="FF000000"/>
            <rFont val="Times New Roman"/>
            <family val="18"/>
          </rPr>
          <t>[TL July 1798]</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die Eingetragene Reserve Division zum IR 54 4. Bataillon 3. Companie transferiert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18/06/1797 </t>
        </r>
        <r>
          <rPr>
            <i/>
            <sz val="14"/>
            <color rgb="FF000000"/>
            <rFont val="Times New Roman"/>
            <family val="18"/>
          </rPr>
          <t>Krank in Prager Garrison Spital</t>
        </r>
        <r>
          <rPr>
            <sz val="14"/>
            <color rgb="FF000000"/>
            <rFont val="Times New Roman"/>
            <family val="18"/>
          </rPr>
          <t xml:space="preserve"> [ST Juni 1797]</t>
        </r>
        <r>
          <rPr>
            <sz val="14"/>
            <color rgb="FF000000"/>
            <rFont val="Calibri"/>
            <family val="34"/>
          </rPr>
          <t xml:space="preserve">
</t>
        </r>
        <r>
          <rPr>
            <sz val="14"/>
            <color rgb="FF000000"/>
            <rFont val="Times New Roman"/>
            <family val="18"/>
          </rPr>
          <t xml:space="preserve">10/07/1797 </t>
        </r>
        <r>
          <rPr>
            <i/>
            <sz val="14"/>
            <color rgb="FF000000"/>
            <rFont val="Times New Roman"/>
            <family val="18"/>
          </rPr>
          <t>Rekonvalesziert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21/07/1797 </t>
        </r>
        <r>
          <rPr>
            <i/>
            <sz val="14"/>
            <color rgb="FF000000"/>
            <rFont val="Times New Roman"/>
            <family val="18"/>
          </rPr>
          <t>Krank in Prager Garrison Spital</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31/10/1797 [Bis mindestens] </t>
        </r>
        <r>
          <rPr>
            <i/>
            <sz val="14"/>
            <color rgb="FF000000"/>
            <rFont val="Times New Roman"/>
            <family val="18"/>
          </rPr>
          <t>Krank in Prager Garrison Spital</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21/07/1798 </t>
        </r>
        <r>
          <rPr>
            <i/>
            <sz val="14"/>
            <color rgb="FF000000"/>
            <rFont val="Times New Roman"/>
            <family val="18"/>
          </rPr>
          <t>Von Callenberg Inf</t>
        </r>
        <r>
          <rPr>
            <sz val="14"/>
            <color rgb="FF000000"/>
            <rFont val="Times New Roman"/>
            <family val="18"/>
          </rPr>
          <t xml:space="preserve"> </t>
        </r>
        <r>
          <rPr>
            <i/>
            <sz val="14"/>
            <color rgb="FF000000"/>
            <rFont val="Times New Roman"/>
            <family val="18"/>
          </rPr>
          <t xml:space="preserve">4. Bataillon </t>
        </r>
        <r>
          <rPr>
            <sz val="14"/>
            <color rgb="FF000000"/>
            <rFont val="Times New Roman"/>
            <family val="18"/>
          </rPr>
          <t xml:space="preserve">[IR 54] </t>
        </r>
        <r>
          <rPr>
            <i/>
            <sz val="14"/>
            <color rgb="FF000000"/>
            <rFont val="Times New Roman"/>
            <family val="18"/>
          </rPr>
          <t xml:space="preserve">3. Komp. zum IR 30 Tirou Komp. transferiert seitdem auf anheor Marsch </t>
        </r>
        <r>
          <rPr>
            <sz val="14"/>
            <color rgb="FF000000"/>
            <rFont val="Times New Roman"/>
            <family val="18"/>
          </rPr>
          <t>[TL July 1798 &amp; ST July 1798]</t>
        </r>
        <r>
          <rPr>
            <sz val="14"/>
            <color rgb="FF000000"/>
            <rFont val="Calibri"/>
            <family val="34"/>
          </rPr>
          <t xml:space="preserve">
</t>
        </r>
        <r>
          <rPr>
            <sz val="14"/>
            <color rgb="FF000000"/>
            <rFont val="Times New Roman"/>
            <family val="18"/>
          </rPr>
          <t xml:space="preserve">26/07/1798 </t>
        </r>
        <r>
          <rPr>
            <i/>
            <sz val="14"/>
            <color rgb="FF000000"/>
            <rFont val="Times New Roman"/>
            <family val="18"/>
          </rPr>
          <t>In Kompanie eingerückt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325" authorId="0" shapeId="0" xr:uid="{F6622848-3C15-9D46-9B89-CC11A3997102}">
      <text>
        <r>
          <rPr>
            <sz val="14"/>
            <color rgb="FF000000"/>
            <rFont val="Times New Roman"/>
            <family val="18"/>
          </rPr>
          <t>ML 4659 IR 54 (1797) – ST June (31/07/1797), July (19/09/1797), Oct (Prague 10/12/1797)</t>
        </r>
        <r>
          <rPr>
            <sz val="14"/>
            <color rgb="FF000000"/>
            <rFont val="Calibri"/>
            <family val="34"/>
          </rPr>
          <t xml:space="preserve">
</t>
        </r>
        <r>
          <rPr>
            <sz val="14"/>
            <color rgb="FF000000"/>
            <rFont val="Times New Roman"/>
            <family val="18"/>
          </rPr>
          <t>ML 2664 IR 30 (1798) – TL IR 54-&gt;IR 30 Nr. 8 (Prague 17/07/1798); ST July (Lemberg 13/03/1803), Dec (Theresienstadt 23/07/1799)</t>
        </r>
        <r>
          <rPr>
            <sz val="14"/>
            <color rgb="FF000000"/>
            <rFont val="Calibri"/>
            <family val="34"/>
          </rPr>
          <t xml:space="preserve">
</t>
        </r>
      </text>
    </comment>
    <comment ref="BH325" authorId="0" shapeId="0" xr:uid="{B1DB2117-8FAF-8A4E-9E7A-7113DDFA193F}">
      <text>
        <r>
          <rPr>
            <sz val="14"/>
            <color rgb="FF000000"/>
            <rFont val="Calibri"/>
            <family val="34"/>
          </rPr>
          <t xml:space="preserve">IR 54 (1797-1798)
</t>
        </r>
        <r>
          <rPr>
            <sz val="14"/>
            <color rgb="FF000000"/>
            <rFont val="Calibri"/>
            <family val="34"/>
          </rPr>
          <t>IR 30 (1798)</t>
        </r>
      </text>
    </comment>
    <comment ref="BI325" authorId="0" shapeId="0" xr:uid="{9EA1F3FA-5AAC-FB42-9A52-6FAB353268B7}">
      <text>
        <r>
          <rPr>
            <i/>
            <sz val="14"/>
            <color rgb="FF000000"/>
            <rFont val="Times New Roman"/>
            <family val="18"/>
          </rPr>
          <t>Gut</t>
        </r>
        <r>
          <rPr>
            <sz val="14"/>
            <color rgb="FF000000"/>
            <rFont val="Times New Roman"/>
            <family val="18"/>
          </rPr>
          <t xml:space="preserve"> [TL July 1798]</t>
        </r>
        <r>
          <rPr>
            <sz val="14"/>
            <color rgb="FF000000"/>
            <rFont val="Calibri"/>
            <family val="2"/>
            <scheme val="minor"/>
          </rPr>
          <t xml:space="preserve"> </t>
        </r>
      </text>
    </comment>
    <comment ref="BF326" authorId="0" shapeId="0" xr:uid="{C1043833-8307-E54F-8E50-633FFA522CC8}">
      <text>
        <r>
          <rPr>
            <sz val="14"/>
            <color rgb="FFFF0000"/>
            <rFont val="Times New Roman"/>
            <family val="18"/>
          </rPr>
          <t xml:space="preserve">01/03/1796 </t>
        </r>
        <r>
          <rPr>
            <i/>
            <sz val="14"/>
            <color rgb="FFFF0000"/>
            <rFont val="Times New Roman"/>
            <family val="18"/>
          </rPr>
          <t>Von Ständen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21/02/1797 </t>
        </r>
        <r>
          <rPr>
            <i/>
            <sz val="14"/>
            <color rgb="FF000000"/>
            <rFont val="Times New Roman"/>
            <family val="18"/>
          </rPr>
          <t>Von Domenien ausgehoben und von Ständen als Galizische Recrouten zum Tarnopol gestellt; seitdem auf anhero Marsch mit Friedens Gebühr</t>
        </r>
        <r>
          <rPr>
            <sz val="14"/>
            <color rgb="FF000000"/>
            <rFont val="Times New Roman"/>
            <family val="18"/>
          </rPr>
          <t xml:space="preserve"> [ST Feb 1797]
</t>
        </r>
        <r>
          <rPr>
            <sz val="14"/>
            <color rgb="FF000000"/>
            <rFont val="Times New Roman"/>
            <family val="18"/>
          </rPr>
          <t xml:space="preserve">05/05/1797 </t>
        </r>
        <r>
          <rPr>
            <i/>
            <sz val="14"/>
            <color rgb="FF000000"/>
            <rFont val="Times New Roman"/>
            <family val="18"/>
          </rPr>
          <t>In die Reserve Division eingerückt</t>
        </r>
        <r>
          <rPr>
            <sz val="14"/>
            <color rgb="FF000000"/>
            <rFont val="Times New Roman"/>
            <family val="18"/>
          </rPr>
          <t xml:space="preserve"> [ST May 1797]
</t>
        </r>
        <r>
          <rPr>
            <sz val="14"/>
            <color rgb="FF000000"/>
            <rFont val="Times New Roman"/>
            <family val="18"/>
          </rPr>
          <t xml:space="preserve">06/05/1797 </t>
        </r>
        <r>
          <rPr>
            <i/>
            <sz val="14"/>
            <color rgb="FF000000"/>
            <rFont val="Times New Roman"/>
            <family val="18"/>
          </rPr>
          <t>Von Reserve Division zum Lieb Komp. transferiert</t>
        </r>
        <r>
          <rPr>
            <sz val="14"/>
            <color rgb="FF000000"/>
            <rFont val="Times New Roman"/>
            <family val="18"/>
          </rPr>
          <t xml:space="preserve"> [ST May 1797]
</t>
        </r>
        <r>
          <rPr>
            <sz val="14"/>
            <color rgb="FF000000"/>
            <rFont val="Times New Roman"/>
            <family val="18"/>
          </rPr>
          <t xml:space="preserve">25/01/1799 Revision IR 43: Leib Komp Nr. 81
</t>
        </r>
        <r>
          <rPr>
            <sz val="14"/>
            <color rgb="FF000000"/>
            <rFont val="Times New Roman"/>
            <family val="18"/>
          </rPr>
          <t xml:space="preserve">06/04/1799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t>
        </r>
        <r>
          <rPr>
            <b/>
            <sz val="14"/>
            <color rgb="FFFF0000"/>
            <rFont val="Times New Roman"/>
            <family val="18"/>
          </rPr>
          <t>Wounded at Magnano?</t>
        </r>
        <r>
          <rPr>
            <sz val="14"/>
            <color rgb="FFFF0000"/>
            <rFont val="Times New Roman"/>
            <family val="18"/>
          </rPr>
          <t xml:space="preserve">] </t>
        </r>
        <r>
          <rPr>
            <sz val="14"/>
            <color rgb="FF000000"/>
            <rFont val="Times New Roman"/>
            <family val="18"/>
          </rPr>
          <t xml:space="preserve">[ST April 1799]
</t>
        </r>
        <r>
          <rPr>
            <sz val="14"/>
            <color rgb="FF000000"/>
            <rFont val="Times New Roman"/>
            <family val="18"/>
          </rPr>
          <t xml:space="preserve">31/05/1799 </t>
        </r>
        <r>
          <rPr>
            <i/>
            <sz val="14"/>
            <color rgb="FF000000"/>
            <rFont val="Times New Roman"/>
            <family val="18"/>
          </rPr>
          <t xml:space="preserve">Rekonvalesziert </t>
        </r>
        <r>
          <rPr>
            <sz val="14"/>
            <color rgb="FF000000"/>
            <rFont val="Times New Roman"/>
            <family val="18"/>
          </rPr>
          <t xml:space="preserve">[ST May 1799]
</t>
        </r>
        <r>
          <rPr>
            <sz val="14"/>
            <color rgb="FF000000"/>
            <rFont val="Times New Roman"/>
            <family val="18"/>
          </rPr>
          <t xml:space="preserve">01/09/1799 </t>
        </r>
        <r>
          <rPr>
            <i/>
            <sz val="14"/>
            <color rgb="FF000000"/>
            <rFont val="Times New Roman"/>
            <family val="18"/>
          </rPr>
          <t>Krank zu Bologna mit Kriegsgebühr</t>
        </r>
        <r>
          <rPr>
            <sz val="14"/>
            <color rgb="FF000000"/>
            <rFont val="Times New Roman"/>
            <family val="18"/>
          </rPr>
          <t xml:space="preserve"> [ST Sept 1799]
</t>
        </r>
        <r>
          <rPr>
            <sz val="14"/>
            <color rgb="FF000000"/>
            <rFont val="Times New Roman"/>
            <family val="18"/>
          </rPr>
          <t xml:space="preserve">25/09/1799 </t>
        </r>
        <r>
          <rPr>
            <i/>
            <sz val="14"/>
            <color rgb="FF000000"/>
            <rFont val="Times New Roman"/>
            <family val="18"/>
          </rPr>
          <t>Rekonvalesziert</t>
        </r>
        <r>
          <rPr>
            <sz val="14"/>
            <color rgb="FF000000"/>
            <rFont val="Times New Roman"/>
            <family val="18"/>
          </rPr>
          <t xml:space="preserve"> [ST Sept 1799]
</t>
        </r>
        <r>
          <rPr>
            <sz val="14"/>
            <color rgb="FF000000"/>
            <rFont val="Times New Roman"/>
            <family val="18"/>
          </rPr>
          <t xml:space="preserve">27/04/1800 </t>
        </r>
        <r>
          <rPr>
            <i/>
            <sz val="14"/>
            <color rgb="FF000000"/>
            <rFont val="Times New Roman"/>
            <family val="18"/>
          </rPr>
          <t>Krank auswärts mit Kriegsgebühr [</t>
        </r>
        <r>
          <rPr>
            <sz val="14"/>
            <color rgb="FF000000"/>
            <rFont val="Times New Roman"/>
            <family val="18"/>
          </rPr>
          <t xml:space="preserve">ST April 1800]
</t>
        </r>
        <r>
          <rPr>
            <sz val="14"/>
            <color rgb="FF000000"/>
            <rFont val="Times New Roman"/>
            <family val="18"/>
          </rPr>
          <t xml:space="preserve">30/06/1800 </t>
        </r>
        <r>
          <rPr>
            <i/>
            <sz val="14"/>
            <color rgb="FF000000"/>
            <rFont val="Times New Roman"/>
            <family val="18"/>
          </rPr>
          <t xml:space="preserve">Rekonvalesziert </t>
        </r>
        <r>
          <rPr>
            <sz val="14"/>
            <color rgb="FF000000"/>
            <rFont val="Times New Roman"/>
            <family val="18"/>
          </rPr>
          <t xml:space="preserve">[ST July 1800]
</t>
        </r>
        <r>
          <rPr>
            <sz val="14"/>
            <color rgb="FF000000"/>
            <rFont val="Times New Roman"/>
            <family val="18"/>
          </rPr>
          <t xml:space="preserve">01/09/1800 </t>
        </r>
        <r>
          <rPr>
            <i/>
            <sz val="14"/>
            <color rgb="FF000000"/>
            <rFont val="Times New Roman"/>
            <family val="18"/>
          </rPr>
          <t>Von Lieb Comp. zum 1. Grenadier Komp transferiert</t>
        </r>
        <r>
          <rPr>
            <sz val="14"/>
            <color rgb="FF000000"/>
            <rFont val="Times New Roman"/>
            <family val="18"/>
          </rPr>
          <t xml:space="preserve"> [ST Aug 1800]
</t>
        </r>
        <r>
          <rPr>
            <sz val="14"/>
            <color rgb="FF000000"/>
            <rFont val="Times New Roman"/>
            <family val="18"/>
          </rPr>
          <t xml:space="preserve">16/05/1801 </t>
        </r>
        <r>
          <rPr>
            <i/>
            <sz val="14"/>
            <color rgb="FF000000"/>
            <rFont val="Times New Roman"/>
            <family val="18"/>
          </rPr>
          <t>Von 1. Grenadier Comp zum ObristLt Komp transferiert</t>
        </r>
        <r>
          <rPr>
            <sz val="14"/>
            <color rgb="FF000000"/>
            <rFont val="Times New Roman"/>
            <family val="18"/>
          </rPr>
          <t xml:space="preserve"> [ST May 1801]
</t>
        </r>
        <r>
          <rPr>
            <sz val="14"/>
            <color rgb="FF000000"/>
            <rFont val="Times New Roman"/>
            <family val="18"/>
          </rPr>
          <t xml:space="preserve">[28/08/1802 Muster: IR 43 ObristLt Komp. Nr. 46]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02/11/1803 Muster: IR 43 ObristLt Komp. Nr. 40 [</t>
        </r>
        <r>
          <rPr>
            <i/>
            <sz val="14"/>
            <color rgb="FF000000"/>
            <rFont val="Times New Roman"/>
            <family val="18"/>
          </rPr>
          <t>Auf Unbestimmte Urlaub in Tarnopol</t>
        </r>
        <r>
          <rPr>
            <sz val="14"/>
            <color rgb="FF000000"/>
            <rFont val="Times New Roman"/>
            <family val="18"/>
          </rPr>
          <t xml:space="preserve">]
</t>
        </r>
        <r>
          <rPr>
            <sz val="14"/>
            <color rgb="FF000000"/>
            <rFont val="Times New Roman"/>
            <family val="18"/>
          </rPr>
          <t>05/10/1804 Muster: IR 43 ObristLt Komp. Nr. 40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31/12/1804 </t>
        </r>
        <r>
          <rPr>
            <i/>
            <sz val="14"/>
            <color rgb="FF000000"/>
            <rFont val="Times New Roman"/>
            <family val="18"/>
          </rPr>
          <t>Als Steuerbare Grundbesitzer gegen entgeldliche Stellung deas in der Monats-Tabbela pro Xber 804 bei Hauptmann Prati Compg. unter 6t 8ber d:a: in Zuwachs erscheinender Recorouten Iwan Prihuba von unbesittmte Urlaub mit Abschied Entlassen</t>
        </r>
        <r>
          <rPr>
            <sz val="14"/>
            <color rgb="FF000000"/>
            <rFont val="Times New Roman"/>
            <family val="18"/>
          </rPr>
          <t xml:space="preserve"> [ST Jan 1805 &amp; ML 1805] [Trihuba eventually deserts on 25/05/1805 from Kocken company at Cattaro]
</t>
        </r>
      </text>
    </comment>
    <comment ref="BG326" authorId="0" shapeId="0" xr:uid="{BA10B125-8281-FC4E-8DB3-6B30EEEBD16B}">
      <text>
        <r>
          <rPr>
            <sz val="14"/>
            <color rgb="FF000000"/>
            <rFont val="Calibri"/>
            <family val="34"/>
          </rPr>
          <t xml:space="preserve">ML 10.271 IR 43 (1796-9) – RL Leib Komp. Nr. 81 (Udine 25/01/1799)
</t>
        </r>
        <r>
          <rPr>
            <sz val="14"/>
            <color rgb="FF000000"/>
            <rFont val="Calibri"/>
            <family val="34"/>
          </rPr>
          <t xml:space="preserve">ML 10.272 IR 43 (1802) – ObristLt Komp. Nr. 46 (Cattaro 28/08/1802)
</t>
        </r>
        <r>
          <rPr>
            <sz val="14"/>
            <color rgb="FF000000"/>
            <rFont val="Calibri"/>
            <family val="34"/>
          </rPr>
          <t xml:space="preserve">ML 10.273 IR 43 (1803) – ObristLt Komp. Nr. 40 (Cattaro 02/11/1803)
</t>
        </r>
        <r>
          <rPr>
            <sz val="14"/>
            <color rgb="FF000000"/>
            <rFont val="Calibri"/>
            <family val="34"/>
          </rPr>
          <t xml:space="preserve">ML 10.274 IR 43 (1804) – ObristLt Komp. Nr. 40 (Zara 15/09/1804)
</t>
        </r>
        <r>
          <rPr>
            <sz val="14"/>
            <color rgb="FF000000"/>
            <rFont val="Calibri"/>
            <family val="34"/>
          </rPr>
          <t xml:space="preserve">ML 10.275/6 IR 43 (1805) –9. Fus Komp. Abgang (Sebenico 31/10/1805)
</t>
        </r>
        <r>
          <rPr>
            <sz val="14"/>
            <color rgb="FF000000"/>
            <rFont val="Calibri"/>
            <family val="34"/>
          </rPr>
          <t xml:space="preserve">ML 10.305 IR 43 (1797) – ST Feb (09/03/1802), Mai (01/06/1803)
</t>
        </r>
        <r>
          <rPr>
            <sz val="14"/>
            <color rgb="FF000000"/>
            <rFont val="Calibri"/>
            <family val="34"/>
          </rPr>
          <t xml:space="preserve">ML 10.307 IR 43 (1799) – ST April (19/08/1799), Mai (22/09/1799), Sept (21/07/1800)
</t>
        </r>
        <r>
          <rPr>
            <sz val="14"/>
            <color rgb="FF000000"/>
            <rFont val="Calibri"/>
            <family val="34"/>
          </rPr>
          <t xml:space="preserve">ML 10.309 IR 43 (1800) – ST April (24/01/1802), Juli (24/10/1803), Aug (27/12/1803)
</t>
        </r>
        <r>
          <rPr>
            <sz val="14"/>
            <color rgb="FF000000"/>
            <rFont val="Calibri"/>
            <family val="34"/>
          </rPr>
          <t xml:space="preserve">ML 10.311 IR 43 (1801) – ST Mai (10/03/1805)
</t>
        </r>
        <r>
          <rPr>
            <sz val="14"/>
            <color rgb="FF000000"/>
            <rFont val="Calibri"/>
            <family val="34"/>
          </rPr>
          <t xml:space="preserve">ML 10.313 IR 43 (1803) – ST Jan (15/02/1803), März (15/04/1803)
</t>
        </r>
        <r>
          <rPr>
            <sz val="14"/>
            <color rgb="FF000000"/>
            <rFont val="Calibri"/>
            <family val="34"/>
          </rPr>
          <t>ML 10.315 IR 43 (1805) – ST Jan (15/02/1805)</t>
        </r>
      </text>
    </comment>
    <comment ref="BH326" authorId="0" shapeId="0" xr:uid="{DE1886F3-F8AF-6A40-9ABC-D251131A2AED}">
      <text>
        <r>
          <rPr>
            <sz val="14"/>
            <color rgb="FF000000"/>
            <rFont val="Calibri"/>
            <family val="34"/>
          </rPr>
          <t>IR 43 (1797-1804)</t>
        </r>
      </text>
    </comment>
    <comment ref="BF327" authorId="0" shapeId="0" xr:uid="{46D1A1D6-60E5-7745-9AD5-C7115815EF71}">
      <text>
        <r>
          <rPr>
            <sz val="14"/>
            <color rgb="FF000000"/>
            <rFont val="Times New Roman"/>
            <family val="18"/>
          </rPr>
          <t xml:space="preserve">21/04/1797 </t>
        </r>
        <r>
          <rPr>
            <i/>
            <sz val="14"/>
            <color rgb="FF000000"/>
            <rFont val="Times New Roman"/>
            <family val="18"/>
          </rPr>
          <t>A 3Fl Handgeld auf Kriegsdauer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 xml:space="preserve">01/08/1797 </t>
        </r>
        <r>
          <rPr>
            <i/>
            <sz val="14"/>
            <color rgb="FF000000"/>
            <rFont val="Times New Roman"/>
            <family val="18"/>
          </rPr>
          <t xml:space="preserve">Von Kerpen </t>
        </r>
        <r>
          <rPr>
            <b/>
            <sz val="14"/>
            <color rgb="FF000000"/>
            <rFont val="Times New Roman"/>
            <family val="18"/>
          </rPr>
          <t>[IR 49]</t>
        </r>
        <r>
          <rPr>
            <i/>
            <sz val="14"/>
            <color rgb="FF000000"/>
            <rFont val="Times New Roman"/>
            <family val="18"/>
          </rPr>
          <t xml:space="preserve"> Reserve Division anhero</t>
        </r>
        <r>
          <rPr>
            <sz val="14"/>
            <color rgb="FF000000"/>
            <rFont val="Times New Roman"/>
            <family val="18"/>
          </rPr>
          <t xml:space="preserve"> </t>
        </r>
        <r>
          <rPr>
            <b/>
            <sz val="14"/>
            <color rgb="FF000000"/>
            <rFont val="Times New Roman"/>
            <family val="18"/>
          </rPr>
          <t>[IR 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1804]</t>
        </r>
        <r>
          <rPr>
            <sz val="14"/>
            <color rgb="FF000000"/>
            <rFont val="Aptos"/>
            <family val="34"/>
          </rPr>
          <t xml:space="preserve">
</t>
        </r>
        <r>
          <rPr>
            <sz val="14"/>
            <color rgb="FF000000"/>
            <rFont val="Times New Roman"/>
            <family val="18"/>
          </rPr>
          <t>12/09/1803 Muster: IR 4 Haupt Petteneck Komp. Nr. 32</t>
        </r>
        <r>
          <rPr>
            <sz val="14"/>
            <color rgb="FF000000"/>
            <rFont val="Aptos"/>
            <family val="34"/>
          </rPr>
          <t xml:space="preserve">
</t>
        </r>
        <r>
          <rPr>
            <sz val="14"/>
            <color rgb="FF000000"/>
            <rFont val="Times New Roman"/>
            <family val="18"/>
          </rPr>
          <t xml:space="preserve">01/11/1803 </t>
        </r>
        <r>
          <rPr>
            <i/>
            <sz val="14"/>
            <color rgb="FF000000"/>
            <rFont val="Times New Roman"/>
            <family val="18"/>
          </rPr>
          <t>Auf Marsch nach Beurlaubung in Galizien</t>
        </r>
        <r>
          <rPr>
            <sz val="14"/>
            <color rgb="FF000000"/>
            <rFont val="Times New Roman"/>
            <family val="18"/>
          </rPr>
          <t xml:space="preserve"> [ST Nov 1803]</t>
        </r>
        <r>
          <rPr>
            <sz val="14"/>
            <color rgb="FF000000"/>
            <rFont val="Aptos"/>
            <family val="34"/>
          </rPr>
          <t xml:space="preserve">
</t>
        </r>
        <r>
          <rPr>
            <sz val="14"/>
            <color rgb="FF000000"/>
            <rFont val="Times New Roman"/>
            <family val="18"/>
          </rPr>
          <t xml:space="preserve">01/01/1804 </t>
        </r>
        <r>
          <rPr>
            <i/>
            <sz val="14"/>
            <color rgb="FF000000"/>
            <rFont val="Times New Roman"/>
            <family val="18"/>
          </rPr>
          <t>Auf unbestimmte Zeit beurlaubt</t>
        </r>
        <r>
          <rPr>
            <sz val="14"/>
            <color rgb="FF000000"/>
            <rFont val="Times New Roman"/>
            <family val="18"/>
          </rPr>
          <t xml:space="preserve"> [ST Jan 1804]</t>
        </r>
        <r>
          <rPr>
            <sz val="14"/>
            <color rgb="FF000000"/>
            <rFont val="Aptos"/>
            <family val="34"/>
          </rPr>
          <t xml:space="preserve">
</t>
        </r>
        <r>
          <rPr>
            <sz val="14"/>
            <color rgb="FF000000"/>
            <rFont val="Times New Roman"/>
            <family val="18"/>
          </rPr>
          <t xml:space="preserve">UNBEKANNT: </t>
        </r>
        <r>
          <rPr>
            <i/>
            <sz val="14"/>
            <color rgb="FF000000"/>
            <rFont val="Times New Roman"/>
            <family val="18"/>
          </rPr>
          <t>Erscheint nicht in der Revisions-Liste von Haupt Hertwich Kompanie zwischen  31. Marz 1804 und 1. Mai 1804</t>
        </r>
        <r>
          <rPr>
            <sz val="14"/>
            <color rgb="FF000000"/>
            <rFont val="Calibri"/>
            <family val="34"/>
          </rPr>
          <t xml:space="preserve">
</t>
        </r>
      </text>
    </comment>
    <comment ref="BG327" authorId="0" shapeId="0" xr:uid="{18A028E9-8360-5F4E-9C88-D4D6E9A8DD5F}">
      <text>
        <r>
          <rPr>
            <sz val="14"/>
            <color rgb="FF000000"/>
            <rFont val="Times New Roman"/>
            <family val="18"/>
          </rPr>
          <t>ML 348 IR 4 (1803) – Haupt Petteneck Komp. Nr. 32 (Wiener Neustadt 12/09/1803)</t>
        </r>
        <r>
          <rPr>
            <sz val="14"/>
            <color rgb="FF000000"/>
            <rFont val="Aptos"/>
            <family val="34"/>
          </rPr>
          <t xml:space="preserve">
</t>
        </r>
        <r>
          <rPr>
            <sz val="14"/>
            <color rgb="FF000000"/>
            <rFont val="Times New Roman"/>
            <family val="18"/>
          </rPr>
          <t>ML 380 IR 4 (1803) – ST Nov (Wiener Neustadt 12/09/1803)</t>
        </r>
        <r>
          <rPr>
            <sz val="14"/>
            <color rgb="FF000000"/>
            <rFont val="Aptos"/>
            <family val="34"/>
          </rPr>
          <t xml:space="preserve">
</t>
        </r>
        <r>
          <rPr>
            <sz val="14"/>
            <color rgb="FF000000"/>
            <rFont val="Times New Roman"/>
            <family val="18"/>
          </rPr>
          <t>ML 383 IR 4 (1804) – ST Jan (Vienna 15/02/1804)</t>
        </r>
        <r>
          <rPr>
            <sz val="14"/>
            <color rgb="FF000000"/>
            <rFont val="Aptos"/>
            <family val="34"/>
          </rPr>
          <t xml:space="preserve">
</t>
        </r>
      </text>
    </comment>
    <comment ref="BH327" authorId="0" shapeId="0" xr:uid="{C5BE30C6-6B13-0644-A817-D74F024B8649}">
      <text>
        <r>
          <rPr>
            <sz val="14"/>
            <color rgb="FF000000"/>
            <rFont val="Calibri"/>
            <family val="34"/>
          </rPr>
          <t xml:space="preserve">IR 49 (1797)
</t>
        </r>
        <r>
          <rPr>
            <sz val="14"/>
            <color rgb="FF000000"/>
            <rFont val="Calibri"/>
            <family val="34"/>
          </rPr>
          <t>IR 4 (1797-1805)</t>
        </r>
      </text>
    </comment>
    <comment ref="BF328" authorId="0" shapeId="0" xr:uid="{AABE2D7D-001F-844B-AC8E-979D3857DAFA}">
      <text>
        <r>
          <rPr>
            <sz val="14"/>
            <color rgb="FF000000"/>
            <rFont val="Times New Roman"/>
            <family val="18"/>
          </rPr>
          <t xml:space="preserve">22/02/1797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16/07/1797 </t>
        </r>
        <r>
          <rPr>
            <i/>
            <sz val="14"/>
            <color rgb="FF000000"/>
            <rFont val="Times New Roman"/>
            <family val="18"/>
          </rPr>
          <t>Von Stuart Infanterie</t>
        </r>
        <r>
          <rPr>
            <sz val="14"/>
            <color rgb="FF000000"/>
            <rFont val="Times New Roman"/>
            <family val="18"/>
          </rPr>
          <t xml:space="preserve"> </t>
        </r>
        <r>
          <rPr>
            <b/>
            <sz val="14"/>
            <color rgb="FF000000"/>
            <rFont val="Times New Roman"/>
            <family val="18"/>
          </rPr>
          <t xml:space="preserve">[IR 18] </t>
        </r>
        <r>
          <rPr>
            <i/>
            <sz val="14"/>
            <color rgb="FF000000"/>
            <rFont val="Times New Roman"/>
            <family val="18"/>
          </rPr>
          <t>anhero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Strauss Komp. Nr. 137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25/08/1804 Muster: IR 11 Haupt Strauss Komp. Nr. 122 [</t>
        </r>
        <r>
          <rPr>
            <i/>
            <sz val="14"/>
            <color rgb="FF000000"/>
            <rFont val="Times New Roman"/>
            <family val="18"/>
          </rPr>
          <t>Beurlaubt in Geburtsort bis zur Einberufung</t>
        </r>
        <r>
          <rPr>
            <sz val="14"/>
            <color rgb="FF000000"/>
            <rFont val="Times New Roman"/>
            <family val="18"/>
          </rPr>
          <t>]</t>
        </r>
        <r>
          <rPr>
            <sz val="14"/>
            <color rgb="FF000000"/>
            <rFont val="Times New Roman"/>
            <family val="18"/>
          </rPr>
          <t xml:space="preserve">
</t>
        </r>
        <r>
          <rPr>
            <sz val="14"/>
            <color rgb="FF000000"/>
            <rFont val="Times New Roman"/>
            <family val="18"/>
          </rPr>
          <t xml:space="preserve">31/08/1806 </t>
        </r>
        <r>
          <rPr>
            <i/>
            <sz val="14"/>
            <color rgb="FF000000"/>
            <rFont val="Times New Roman"/>
            <family val="18"/>
          </rPr>
          <t>Als auf Urlaub Verbliebene unwissend verloren in Abgang</t>
        </r>
        <r>
          <rPr>
            <sz val="14"/>
            <color rgb="FF000000"/>
            <rFont val="Times New Roman"/>
            <family val="18"/>
          </rPr>
          <t xml:space="preserve"> [ML 1806]</t>
        </r>
        <r>
          <rPr>
            <sz val="14"/>
            <color rgb="FF000000"/>
            <rFont val="Times New Roman"/>
            <family val="18"/>
          </rPr>
          <t xml:space="preserve">
</t>
        </r>
      </text>
    </comment>
    <comment ref="BG328" authorId="0" shapeId="0" xr:uid="{5E1DE329-B688-B642-BAC8-6DAA21687DE6}">
      <text>
        <r>
          <rPr>
            <sz val="14"/>
            <color rgb="FF000000"/>
            <rFont val="Times New Roman"/>
            <family val="18"/>
          </rPr>
          <t>ML 804/5 IR 11 (1802) – Haupt Strauss Komp. Nr. 137 (Wisotczan 17/09/1802)</t>
        </r>
        <r>
          <rPr>
            <sz val="14"/>
            <color rgb="FF000000"/>
            <rFont val="Times New Roman"/>
            <family val="18"/>
          </rPr>
          <t xml:space="preserve">
</t>
        </r>
        <r>
          <rPr>
            <sz val="14"/>
            <color rgb="FF000000"/>
            <rFont val="Times New Roman"/>
            <family val="18"/>
          </rPr>
          <t>ML 806 IR 11 (1804) – Haupt Strauss Komp. Nr. 122 (Prague 25/08/1804)</t>
        </r>
        <r>
          <rPr>
            <sz val="14"/>
            <color rgb="FF000000"/>
            <rFont val="Times New Roman"/>
            <family val="18"/>
          </rPr>
          <t xml:space="preserve">
</t>
        </r>
        <r>
          <rPr>
            <sz val="14"/>
            <color rgb="FF000000"/>
            <rFont val="Times New Roman"/>
            <family val="18"/>
          </rPr>
          <t>ML 807/8 IR 11 (1806) – 5. Fus. Komp. Komp. Abgang (Prague 23/12/1806)</t>
        </r>
        <r>
          <rPr>
            <sz val="14"/>
            <color rgb="FF000000"/>
            <rFont val="Times New Roman"/>
            <family val="18"/>
          </rPr>
          <t xml:space="preserve">
</t>
        </r>
      </text>
    </comment>
    <comment ref="BH328" authorId="0" shapeId="0" xr:uid="{4C894FD5-8006-B844-8E0A-274440D8BA75}">
      <text>
        <r>
          <rPr>
            <sz val="14"/>
            <color rgb="FF000000"/>
            <rFont val="Calibri"/>
            <family val="34"/>
          </rPr>
          <t>IR 11 (1797-1806)</t>
        </r>
      </text>
    </comment>
    <comment ref="BF329" authorId="0" shapeId="0" xr:uid="{89588AF6-E85F-F849-90F9-0D0BD037BD6D}">
      <text>
        <r>
          <rPr>
            <sz val="14"/>
            <color rgb="FF000000"/>
            <rFont val="Times New Roman"/>
            <family val="18"/>
          </rPr>
          <t xml:space="preserve">22/02/1797 </t>
        </r>
        <r>
          <rPr>
            <i/>
            <sz val="14"/>
            <color rgb="FF000000"/>
            <rFont val="Times New Roman"/>
            <family val="18"/>
          </rPr>
          <t>A 3Fl Handgeld gestellt und gegen Versicherungsschein zum IR 1 Reserve Division assentiert</t>
        </r>
        <r>
          <rPr>
            <sz val="14"/>
            <color rgb="FF000000"/>
            <rFont val="Times New Roman"/>
            <family val="18"/>
          </rPr>
          <t xml:space="preserve"> [AL Feb 1797 &amp; ML 1802]</t>
        </r>
        <r>
          <rPr>
            <sz val="14"/>
            <color rgb="FF000000"/>
            <rFont val="Calibri"/>
            <family val="34"/>
          </rPr>
          <t xml:space="preserve">
</t>
        </r>
        <r>
          <rPr>
            <sz val="14"/>
            <color rgb="FFFF0000"/>
            <rFont val="Times New Roman"/>
            <family val="18"/>
          </rPr>
          <t xml:space="preserve">22/04/1797 </t>
        </r>
        <r>
          <rPr>
            <i/>
            <sz val="14"/>
            <color rgb="FFFF0000"/>
            <rFont val="Times New Roman"/>
            <family val="18"/>
          </rPr>
          <t>Gegen</t>
        </r>
        <r>
          <rPr>
            <sz val="14"/>
            <color rgb="FFFF0000"/>
            <rFont val="Times New Roman"/>
            <family val="18"/>
          </rPr>
          <t xml:space="preserve"> </t>
        </r>
        <r>
          <rPr>
            <i/>
            <sz val="14"/>
            <color rgb="FFFF0000"/>
            <rFont val="Times New Roman"/>
            <family val="18"/>
          </rPr>
          <t xml:space="preserve">Versicherungsschein zum Kaiser Inf assentiert </t>
        </r>
        <r>
          <rPr>
            <sz val="14"/>
            <color rgb="FFFF0000"/>
            <rFont val="Times New Roman"/>
            <family val="18"/>
          </rPr>
          <t>[ML 1802]</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[TL Oct 1798]</t>
        </r>
        <r>
          <rPr>
            <sz val="14"/>
            <color rgb="FF000000"/>
            <rFont val="Calibri"/>
            <family val="34"/>
          </rPr>
          <t xml:space="preserve">
</t>
        </r>
        <r>
          <rPr>
            <sz val="14"/>
            <color rgb="FF000000"/>
            <rFont val="Times New Roman"/>
            <family val="18"/>
          </rPr>
          <t xml:space="preserve">16/09/1800 </t>
        </r>
        <r>
          <rPr>
            <i/>
            <sz val="14"/>
            <color rgb="FF000000"/>
            <rFont val="Times New Roman"/>
            <family val="18"/>
          </rPr>
          <t>Von IR 1 Haupt Janda Komp. zum Wenzel Colloredo</t>
        </r>
        <r>
          <rPr>
            <sz val="14"/>
            <color rgb="FF000000"/>
            <rFont val="Times New Roman"/>
            <family val="18"/>
          </rPr>
          <t xml:space="preserve"> </t>
        </r>
        <r>
          <rPr>
            <b/>
            <sz val="14"/>
            <color rgb="FF000000"/>
            <rFont val="Times New Roman"/>
            <family val="18"/>
          </rPr>
          <t xml:space="preserve">[IR 56] </t>
        </r>
        <r>
          <rPr>
            <i/>
            <sz val="14"/>
            <color rgb="FF000000"/>
            <rFont val="Times New Roman"/>
            <family val="18"/>
          </rPr>
          <t>transferiert</t>
        </r>
        <r>
          <rPr>
            <sz val="14"/>
            <color rgb="FF000000"/>
            <rFont val="Times New Roman"/>
            <family val="18"/>
          </rPr>
          <t xml:space="preserve"> [TL Dec 1800]</t>
        </r>
      </text>
    </comment>
    <comment ref="BG329" authorId="0" shapeId="0" xr:uid="{73F67B35-1CFB-FF4B-88AD-8FF47D11F92C}">
      <text>
        <r>
          <rPr>
            <sz val="14"/>
            <color rgb="FF000000"/>
            <rFont val="Times New Roman"/>
            <family val="18"/>
          </rPr>
          <t>ML 69/70 IR 1 (1797) – AL. 34 (Hrubieszow 27/02/1797); TL IR 1 3 Feld Bats-&gt; 4. Bat Nr. 1091 (Freiburg in Breisgau 29/18/1798)</t>
        </r>
        <r>
          <rPr>
            <sz val="14"/>
            <color rgb="FF000000"/>
            <rFont val="Calibri"/>
            <family val="34"/>
          </rPr>
          <t xml:space="preserve">
</t>
        </r>
        <r>
          <rPr>
            <sz val="14"/>
            <color rgb="FF000000"/>
            <rFont val="Times New Roman"/>
            <family val="18"/>
          </rPr>
          <t>ML 75 IR 1 (1800) AL/TL – TL IR 1-&gt;IR 56 Nr. 91 (</t>
        </r>
        <r>
          <rPr>
            <sz val="14"/>
            <color rgb="FF000000"/>
            <rFont val="Times New Roman"/>
            <family val="18"/>
          </rPr>
          <t>Olmütz 29/12/1800)</t>
        </r>
        <r>
          <rPr>
            <sz val="14"/>
            <color rgb="FF000000"/>
            <rFont val="Calibri"/>
            <family val="34"/>
          </rPr>
          <t xml:space="preserve">
</t>
        </r>
      </text>
    </comment>
    <comment ref="BH329" authorId="0" shapeId="0" xr:uid="{0405A85E-CACC-AE41-9CE4-F57B6AC8CC5B}">
      <text>
        <r>
          <rPr>
            <sz val="14"/>
            <color rgb="FF000000"/>
            <rFont val="Calibri"/>
            <family val="34"/>
          </rPr>
          <t xml:space="preserve">IR 1 (1797-1800)
</t>
        </r>
        <r>
          <rPr>
            <sz val="14"/>
            <color rgb="FF000000"/>
            <rFont val="Calibri"/>
            <family val="34"/>
          </rPr>
          <t>IR 56 (1800)</t>
        </r>
      </text>
    </comment>
    <comment ref="BF330" authorId="0" shapeId="0" xr:uid="{34C30815-AFE0-EE47-B1D4-4355D6A7342E}">
      <text>
        <r>
          <rPr>
            <sz val="14"/>
            <color rgb="FF000000"/>
            <rFont val="Times New Roman"/>
            <family val="18"/>
          </rPr>
          <t xml:space="preserve">22/02/1797 </t>
        </r>
        <r>
          <rPr>
            <i/>
            <sz val="14"/>
            <color rgb="FF000000"/>
            <rFont val="Times New Roman"/>
            <family val="18"/>
          </rPr>
          <t>A 3Fl Handgeld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330" authorId="0" shapeId="0" xr:uid="{6F89A17A-620F-394F-946F-37583A2F705D}">
      <text>
        <r>
          <rPr>
            <sz val="14"/>
            <color rgb="FF000000"/>
            <rFont val="Times New Roman"/>
            <family val="18"/>
          </rPr>
          <t>ML 69/70 IR 1 (1797) – AL. 35 (Hrubieszow 27/02/1797); TL IR 1 3 Feld Bats-&gt; 4. Bat Nr. 1092 (Freiburg in Breisgau 29/18/1798); TL IR 1-&gt;IR 56 Nr. 93 (Olmütz 20/08/1797)</t>
        </r>
      </text>
    </comment>
    <comment ref="BH330" authorId="0" shapeId="0" xr:uid="{B619B200-4640-4641-AC45-628981AF1DAD}">
      <text>
        <r>
          <rPr>
            <sz val="14"/>
            <color rgb="FF000000"/>
            <rFont val="Calibri"/>
            <family val="34"/>
          </rPr>
          <t xml:space="preserve">IR 1 (1797)
</t>
        </r>
        <r>
          <rPr>
            <sz val="14"/>
            <color rgb="FF000000"/>
            <rFont val="Calibri"/>
            <family val="34"/>
          </rPr>
          <t>IR 56 (1797)</t>
        </r>
      </text>
    </comment>
    <comment ref="BF331" authorId="0" shapeId="0" xr:uid="{6FC79ED7-C95D-7A41-9321-24DFA9F1F348}">
      <text>
        <r>
          <rPr>
            <sz val="14"/>
            <color rgb="FF000000"/>
            <rFont val="Times New Roman"/>
            <family val="18"/>
          </rPr>
          <t xml:space="preserve">22/02/1797 </t>
        </r>
        <r>
          <rPr>
            <i/>
            <sz val="14"/>
            <color rgb="FF000000"/>
            <rFont val="Times New Roman"/>
            <family val="18"/>
          </rPr>
          <t>A 3Fl Handgeld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09/07/1797 </t>
        </r>
        <r>
          <rPr>
            <i/>
            <sz val="14"/>
            <color rgb="FF000000"/>
            <rFont val="Times New Roman"/>
            <family val="18"/>
          </rPr>
          <t>Von 4. Bat Haupt Dientlinger Komp. zum Feld Bats transferiert, zum Haupt Khager Komp. eingeheilt und seitdem auf Anhero Marsch</t>
        </r>
        <r>
          <rPr>
            <sz val="14"/>
            <color rgb="FF000000"/>
            <rFont val="Times New Roman"/>
            <family val="18"/>
          </rPr>
          <t xml:space="preserve"> [TL July 1797 &amp; ST Sept 1797]</t>
        </r>
        <r>
          <rPr>
            <sz val="14"/>
            <color rgb="FF000000"/>
            <rFont val="Calibri"/>
            <family val="34"/>
          </rPr>
          <t xml:space="preserve">
</t>
        </r>
        <r>
          <rPr>
            <sz val="14"/>
            <color rgb="FF000000"/>
            <rFont val="Times New Roman"/>
            <family val="18"/>
          </rPr>
          <t xml:space="preserve">06/09/1797 </t>
        </r>
        <r>
          <rPr>
            <i/>
            <sz val="14"/>
            <color rgb="FF000000"/>
            <rFont val="Times New Roman"/>
            <family val="18"/>
          </rPr>
          <t>In Kompanie eingerückt</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01/12/1797 </t>
        </r>
        <r>
          <rPr>
            <i/>
            <sz val="14"/>
            <color rgb="FF000000"/>
            <rFont val="Times New Roman"/>
            <family val="18"/>
          </rPr>
          <t>Beim Regimentspital Kommandiert</t>
        </r>
        <r>
          <rPr>
            <sz val="14"/>
            <color rgb="FF000000"/>
            <rFont val="Times New Roman"/>
            <family val="18"/>
          </rPr>
          <t xml:space="preserve"> [ST Dec 1797]</t>
        </r>
        <r>
          <rPr>
            <sz val="14"/>
            <color rgb="FF000000"/>
            <rFont val="Calibri"/>
            <family val="34"/>
          </rPr>
          <t xml:space="preserve">
</t>
        </r>
        <r>
          <rPr>
            <sz val="14"/>
            <color rgb="FF000000"/>
            <rFont val="Times New Roman"/>
            <family val="18"/>
          </rPr>
          <t xml:space="preserve">31/12/1798 </t>
        </r>
        <r>
          <rPr>
            <i/>
            <sz val="14"/>
            <color rgb="FF000000"/>
            <rFont val="Times New Roman"/>
            <family val="18"/>
          </rPr>
          <t>Wieder in Kompanie</t>
        </r>
        <r>
          <rPr>
            <sz val="14"/>
            <color rgb="FF000000"/>
            <rFont val="Times New Roman"/>
            <family val="18"/>
          </rPr>
          <t xml:space="preserve"> [ST Dec 1798]</t>
        </r>
        <r>
          <rPr>
            <sz val="14"/>
            <color rgb="FF000000"/>
            <rFont val="Calibri"/>
            <family val="34"/>
          </rPr>
          <t xml:space="preserve">
</t>
        </r>
        <r>
          <rPr>
            <sz val="14"/>
            <color rgb="FF000000"/>
            <rFont val="Times New Roman"/>
            <family val="18"/>
          </rPr>
          <t xml:space="preserve">16/03/1799 </t>
        </r>
        <r>
          <rPr>
            <i/>
            <sz val="14"/>
            <color rgb="FF000000"/>
            <rFont val="Times New Roman"/>
            <family val="18"/>
          </rPr>
          <t>Bei Armee Spital kommandiert</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31/04/1799 </t>
        </r>
        <r>
          <rPr>
            <i/>
            <sz val="14"/>
            <color rgb="FF000000"/>
            <rFont val="Times New Roman"/>
            <family val="18"/>
          </rPr>
          <t>Wieder in Kompanie</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04/06/1799 </t>
        </r>
        <r>
          <rPr>
            <i/>
            <sz val="14"/>
            <color rgb="FF000000"/>
            <rFont val="Times New Roman"/>
            <family val="18"/>
          </rPr>
          <t xml:space="preserve">Bei der </t>
        </r>
        <r>
          <rPr>
            <b/>
            <i/>
            <sz val="14"/>
            <color rgb="FF000000"/>
            <rFont val="Times New Roman"/>
            <family val="18"/>
          </rPr>
          <t>Aktion Bei Zürich</t>
        </r>
        <r>
          <rPr>
            <i/>
            <sz val="14"/>
            <color rgb="FF000000"/>
            <rFont val="Times New Roman"/>
            <family val="18"/>
          </rPr>
          <t xml:space="preserve"> vor Feind geblieben</t>
        </r>
        <r>
          <rPr>
            <sz val="14"/>
            <color rgb="FF000000"/>
            <rFont val="Times New Roman"/>
            <family val="18"/>
          </rPr>
          <t xml:space="preserve"> [ST June 1799] </t>
        </r>
        <r>
          <rPr>
            <sz val="14"/>
            <color rgb="FF000000"/>
            <rFont val="Calibri"/>
            <family val="34"/>
          </rPr>
          <t xml:space="preserve">
</t>
        </r>
      </text>
    </comment>
    <comment ref="BG331" authorId="0" shapeId="0" xr:uid="{D9D61F04-E196-5D4D-A2BA-96C34FB1B254}">
      <text>
        <r>
          <rPr>
            <sz val="14"/>
            <color rgb="FF000000"/>
            <rFont val="Times New Roman"/>
            <family val="18"/>
          </rPr>
          <t>ML 68 IR (1797) – ST July (Olmütz 21/08/1797), ST Sept (Brünn 24/10/1802), Dec (Brünn 12/03/1803)</t>
        </r>
        <r>
          <rPr>
            <sz val="14"/>
            <color rgb="FF000000"/>
            <rFont val="Calibri"/>
            <family val="34"/>
          </rPr>
          <t xml:space="preserve">
</t>
        </r>
        <r>
          <rPr>
            <sz val="14"/>
            <color rgb="FF000000"/>
            <rFont val="Times New Roman"/>
            <family val="18"/>
          </rPr>
          <t>ML 69/70 IR 1 (1797) – AL. 33 (Hrubieszow 27/02/1797); TL IR 1 3 Feld Bats-&gt; 4. Bat Nr. 1090 (Freiburg in Breisgau 29/18/1798)</t>
        </r>
        <r>
          <rPr>
            <sz val="14"/>
            <color rgb="FF000000"/>
            <rFont val="Calibri"/>
            <family val="34"/>
          </rPr>
          <t xml:space="preserve">
</t>
        </r>
        <r>
          <rPr>
            <sz val="14"/>
            <color rgb="FF000000"/>
            <rFont val="Times New Roman"/>
            <family val="18"/>
          </rPr>
          <t>ML 71 IR 1 (1798) – ST Dec (Freiburg im Breisgau 11/02/1799)</t>
        </r>
        <r>
          <rPr>
            <sz val="14"/>
            <color rgb="FF000000"/>
            <rFont val="Calibri"/>
            <family val="34"/>
          </rPr>
          <t xml:space="preserve">
</t>
        </r>
        <r>
          <rPr>
            <sz val="14"/>
            <color rgb="FF000000"/>
            <rFont val="Times New Roman"/>
            <family val="18"/>
          </rPr>
          <t>ML 72 IR 1 (1799) – ST March (Olmütz 03/08/1799), April (Olmütz 02/04/1799), June (Olmütz 28/09/1799)</t>
        </r>
      </text>
    </comment>
    <comment ref="BH331" authorId="0" shapeId="0" xr:uid="{011DE086-8F59-6248-9732-372ADE1ACF4E}">
      <text>
        <r>
          <rPr>
            <sz val="14"/>
            <color rgb="FF000000"/>
            <rFont val="Calibri"/>
            <family val="34"/>
          </rPr>
          <t>IR 1 (1797-1799)</t>
        </r>
      </text>
    </comment>
    <comment ref="BF332" authorId="0" shapeId="0" xr:uid="{BE76AE85-EFE0-574F-9E52-4E8196A7BD78}">
      <text>
        <r>
          <rPr>
            <sz val="14"/>
            <color rgb="FF000000"/>
            <rFont val="Times New Roman"/>
            <family val="18"/>
          </rPr>
          <t xml:space="preserve">22/02/1797 </t>
        </r>
        <r>
          <rPr>
            <i/>
            <sz val="14"/>
            <color rgb="FF000000"/>
            <rFont val="Times New Roman"/>
            <family val="18"/>
          </rPr>
          <t>A 3Fl Handgeld 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Küffel Komp. Nr. 97</t>
        </r>
        <r>
          <rPr>
            <sz val="14"/>
            <color rgb="FF000000"/>
            <rFont val="Calibri"/>
            <family val="34"/>
          </rPr>
          <t xml:space="preserve">
</t>
        </r>
        <r>
          <rPr>
            <sz val="14"/>
            <color rgb="FF000000"/>
            <rFont val="Times New Roman"/>
            <family val="18"/>
          </rPr>
          <t xml:space="preserve">31/05/1804 </t>
        </r>
        <r>
          <rPr>
            <i/>
            <sz val="14"/>
            <color rgb="FF000000"/>
            <rFont val="Times New Roman"/>
            <family val="18"/>
          </rPr>
          <t>In Galizien eingerückt und auf unbestimmten Urlaub übersetzt</t>
        </r>
        <r>
          <rPr>
            <sz val="14"/>
            <color rgb="FF000000"/>
            <rFont val="Times New Roman"/>
            <family val="18"/>
          </rPr>
          <t xml:space="preserve"> [ST June 1804]</t>
        </r>
        <r>
          <rPr>
            <sz val="14"/>
            <color rgb="FF000000"/>
            <rFont val="Calibri"/>
            <family val="34"/>
          </rPr>
          <t xml:space="preserve">
</t>
        </r>
        <r>
          <rPr>
            <sz val="14"/>
            <color rgb="FF000000"/>
            <rFont val="Times New Roman"/>
            <family val="18"/>
          </rPr>
          <t xml:space="preserve">16/06/1805 </t>
        </r>
        <r>
          <rPr>
            <i/>
            <sz val="14"/>
            <color rgb="FF000000"/>
            <rFont val="Times New Roman"/>
            <family val="18"/>
          </rPr>
          <t>Von unbestimmte Urlaub zurück und seitdem auf anhero Marsch aus Galizien</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28/07/1805 </t>
        </r>
        <r>
          <rPr>
            <i/>
            <sz val="14"/>
            <color rgb="FF000000"/>
            <rFont val="Times New Roman"/>
            <family val="18"/>
          </rPr>
          <t>In Kompanie eingerückt</t>
        </r>
        <r>
          <rPr>
            <sz val="14"/>
            <color rgb="FF000000"/>
            <rFont val="Times New Roman"/>
            <family val="18"/>
          </rPr>
          <t xml:space="preserve"> [ST July 1805]</t>
        </r>
        <r>
          <rPr>
            <sz val="14"/>
            <color rgb="FF000000"/>
            <rFont val="Calibri"/>
            <family val="34"/>
          </rPr>
          <t xml:space="preserve">
</t>
        </r>
        <r>
          <rPr>
            <sz val="14"/>
            <color rgb="FF000000"/>
            <rFont val="Times New Roman"/>
            <family val="18"/>
          </rPr>
          <t xml:space="preserve">05/11/1805 </t>
        </r>
        <r>
          <rPr>
            <i/>
            <sz val="14"/>
            <color rgb="FF000000"/>
            <rFont val="Times New Roman"/>
            <family val="18"/>
          </rPr>
          <t xml:space="preserve">Bei der </t>
        </r>
        <r>
          <rPr>
            <b/>
            <i/>
            <sz val="14"/>
            <color rgb="FF000000"/>
            <rFont val="Times New Roman"/>
            <family val="18"/>
          </rPr>
          <t xml:space="preserve">Marsch bei Mariazell </t>
        </r>
        <r>
          <rPr>
            <i/>
            <sz val="14"/>
            <color rgb="FF000000"/>
            <rFont val="Times New Roman"/>
            <family val="18"/>
          </rPr>
          <t>in Kriegsgefangenschaft gefallen</t>
        </r>
        <r>
          <rPr>
            <sz val="14"/>
            <color rgb="FF000000"/>
            <rFont val="Times New Roman"/>
            <family val="18"/>
          </rPr>
          <t xml:space="preserve"> [ST Nov 1805]</t>
        </r>
        <r>
          <rPr>
            <sz val="14"/>
            <color rgb="FF000000"/>
            <rFont val="Calibri"/>
            <family val="34"/>
          </rPr>
          <t xml:space="preserve">
</t>
        </r>
      </text>
    </comment>
    <comment ref="BG332" authorId="0" shapeId="0" xr:uid="{9C224D53-3AA9-E24C-8200-F5F54EE0C58A}">
      <text>
        <r>
          <rPr>
            <sz val="14"/>
            <color rgb="FF000000"/>
            <rFont val="Times New Roman"/>
            <family val="18"/>
          </rPr>
          <t>ML 348 IR 4 (1803) – Haupt Küffel Komp. Nr. 97 (Vienna 14/09/1803)</t>
        </r>
        <r>
          <rPr>
            <sz val="14"/>
            <color rgb="FF000000"/>
            <rFont val="Calibri"/>
            <family val="34"/>
          </rPr>
          <t xml:space="preserve">
</t>
        </r>
        <r>
          <rPr>
            <sz val="14"/>
            <color rgb="FF000000"/>
            <rFont val="Times New Roman"/>
            <family val="18"/>
          </rPr>
          <t>ML 383 IR 4 (1804) – ST June (Vienna 18/07/1804)</t>
        </r>
        <r>
          <rPr>
            <sz val="14"/>
            <color rgb="FF000000"/>
            <rFont val="Calibri"/>
            <family val="34"/>
          </rPr>
          <t xml:space="preserve">
</t>
        </r>
        <r>
          <rPr>
            <sz val="14"/>
            <color rgb="FF000000"/>
            <rFont val="Times New Roman"/>
            <family val="18"/>
          </rPr>
          <t>ML 385 IR 4 (1805) – ST Aug (Vienna 10/09/1805)</t>
        </r>
        <r>
          <rPr>
            <sz val="14"/>
            <color rgb="FF000000"/>
            <rFont val="Calibri"/>
            <family val="34"/>
          </rPr>
          <t xml:space="preserve">
</t>
        </r>
        <r>
          <rPr>
            <sz val="14"/>
            <color rgb="FF000000"/>
            <rFont val="Times New Roman"/>
            <family val="18"/>
          </rPr>
          <t>ML 349/50 IR 4 (1806) – 3. Fus. Komp. Abgang (Baden 30/12/1806)</t>
        </r>
      </text>
    </comment>
    <comment ref="BH332" authorId="0" shapeId="0" xr:uid="{5EAAADBE-AB7D-7646-9A9B-9C4CB23332EF}">
      <text>
        <r>
          <rPr>
            <sz val="14"/>
            <color rgb="FF000000"/>
            <rFont val="Calibri"/>
            <family val="34"/>
          </rPr>
          <t>IR 4 (1797-1805)</t>
        </r>
      </text>
    </comment>
    <comment ref="BF333" authorId="0" shapeId="0" xr:uid="{7F1CD893-05C8-2D47-A5CE-E03E698E8D66}">
      <text>
        <r>
          <rPr>
            <sz val="14"/>
            <color rgb="FF000000"/>
            <rFont val="Times New Roman"/>
            <family val="18"/>
          </rPr>
          <t xml:space="preserve">23/02/1797 </t>
        </r>
        <r>
          <rPr>
            <i/>
            <sz val="14"/>
            <color rgb="FF000000"/>
            <rFont val="Times New Roman"/>
            <family val="18"/>
          </rPr>
          <t>Von galizischen Ständen gestellt und a 3Fl mit Capitulations auf Kriegsdauer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[Battle of Marengo]</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14/05/1801 </t>
        </r>
        <r>
          <rPr>
            <i/>
            <sz val="14"/>
            <color rgb="FF000000"/>
            <rFont val="Times New Roman"/>
            <family val="18"/>
          </rPr>
          <t>Gegen Austauschung von Kriegsgefangenschaft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Eisenkolb Komp. Nr. 82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Eisenkolb Komp. Nr. 73 [</t>
        </r>
        <r>
          <rPr>
            <i/>
            <sz val="14"/>
            <color rgb="FF000000"/>
            <rFont val="Times New Roman"/>
            <family val="18"/>
          </rPr>
          <t>In seinem Geburtsort beurlaubt in Galizien</t>
        </r>
        <r>
          <rPr>
            <sz val="14"/>
            <color rgb="FF000000"/>
            <rFont val="Times New Roman"/>
            <family val="18"/>
          </rPr>
          <t>]</t>
        </r>
        <r>
          <rPr>
            <sz val="14"/>
            <color rgb="FF000000"/>
            <rFont val="Calibri"/>
            <family val="34"/>
          </rPr>
          <t xml:space="preserve">
</t>
        </r>
        <r>
          <rPr>
            <sz val="14"/>
            <color rgb="FF000000"/>
            <rFont val="Times New Roman"/>
            <family val="18"/>
          </rPr>
          <t>06/09/1804 Muster: IR 23 Haupt Wetzelberg Komp. Nr. 71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text>
    </comment>
    <comment ref="BG333" authorId="0" shapeId="0" xr:uid="{14B23144-37C8-C940-AA26-992E979AC52F}">
      <text>
        <r>
          <rPr>
            <sz val="14"/>
            <color rgb="FF000000"/>
            <rFont val="Times New Roman"/>
            <family val="18"/>
          </rPr>
          <t>ML 10.124 IR 23 (1802) – Haupt Eisenkolb Komp. Nr. 82 (Krems 09/09/1802)</t>
        </r>
        <r>
          <rPr>
            <sz val="14"/>
            <color rgb="FF000000"/>
            <rFont val="Calibri"/>
            <family val="34"/>
          </rPr>
          <t xml:space="preserve">
</t>
        </r>
        <r>
          <rPr>
            <sz val="14"/>
            <color rgb="FF000000"/>
            <rFont val="Times New Roman"/>
            <family val="18"/>
          </rPr>
          <t>ML 10.125 IR 23 (1803) – Haupt Eisenkolb Komp. Nr. 73 (Execierlager bei St Pölten 07/09/1803)</t>
        </r>
        <r>
          <rPr>
            <sz val="14"/>
            <color rgb="FF000000"/>
            <rFont val="Calibri"/>
            <family val="34"/>
          </rPr>
          <t xml:space="preserve">
</t>
        </r>
        <r>
          <rPr>
            <sz val="14"/>
            <color rgb="FF000000"/>
            <rFont val="Times New Roman"/>
            <family val="18"/>
          </rPr>
          <t>ML 10.126 IR 23 (1804) – Haupt Wetzelberg Komp. Nr. 71 (Krems 06/09/1803)</t>
        </r>
        <r>
          <rPr>
            <sz val="14"/>
            <color rgb="FF000000"/>
            <rFont val="Calibri"/>
            <family val="34"/>
          </rPr>
          <t xml:space="preserve">
</t>
        </r>
        <r>
          <rPr>
            <sz val="14"/>
            <color rgb="FF000000"/>
            <rFont val="Times New Roman"/>
            <family val="18"/>
          </rPr>
          <t>ML 10.127/8 IR 23 (1807) – Haupt Waldstetten Komp. Abgang (Rötz 26/01/1807)</t>
        </r>
        <r>
          <rPr>
            <sz val="14"/>
            <color rgb="FF000000"/>
            <rFont val="Calibri"/>
            <family val="34"/>
          </rPr>
          <t xml:space="preserve">
</t>
        </r>
        <r>
          <rPr>
            <sz val="14"/>
            <color rgb="FF000000"/>
            <rFont val="Times New Roman"/>
            <family val="18"/>
          </rPr>
          <t>ML 10.164 IR 23 (1799) – ST Sept (01/04/1801)</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333" authorId="0" shapeId="0" xr:uid="{D5F6C06E-05CD-EC4A-9A86-79E0BD121372}">
      <text>
        <r>
          <rPr>
            <sz val="14"/>
            <color rgb="FF000000"/>
            <rFont val="Calibri"/>
            <family val="34"/>
          </rPr>
          <t>IR 43 (1797-1806)</t>
        </r>
      </text>
    </comment>
    <comment ref="I334" authorId="0" shapeId="0" xr:uid="{32048DFC-B902-E04A-9D21-709DC425B1A8}">
      <text>
        <r>
          <rPr>
            <sz val="14"/>
            <color rgb="FF000000"/>
            <rFont val="Calibri"/>
            <family val="34"/>
          </rPr>
          <t xml:space="preserve">1758 [40 (TL 1798)]
</t>
        </r>
        <r>
          <rPr>
            <sz val="14"/>
            <color rgb="FF000000"/>
            <rFont val="Calibri"/>
            <family val="34"/>
          </rPr>
          <t xml:space="preserve">OR
</t>
        </r>
        <r>
          <rPr>
            <b/>
            <sz val="14"/>
            <color rgb="FF000000"/>
            <rFont val="Calibri"/>
            <family val="34"/>
          </rPr>
          <t xml:space="preserve">1763 [34 (AL 1797)] </t>
        </r>
      </text>
    </comment>
    <comment ref="J334" authorId="0" shapeId="0" xr:uid="{5F60D4E0-FF4E-BD46-AAE7-C69F04BDBD9B}">
      <text>
        <r>
          <rPr>
            <sz val="14"/>
            <color rgb="FF000000"/>
            <rFont val="Calibri"/>
            <family val="34"/>
          </rPr>
          <t xml:space="preserve">Ledig (1797)
</t>
        </r>
        <r>
          <rPr>
            <sz val="14"/>
            <color rgb="FF000000"/>
            <rFont val="Calibri"/>
            <family val="34"/>
          </rPr>
          <t>Veheiratet (1798)</t>
        </r>
      </text>
    </comment>
    <comment ref="T334" authorId="0" shapeId="0" xr:uid="{656832AE-6E2B-0642-9DB9-7771E6ABCEED}">
      <text>
        <r>
          <rPr>
            <b/>
            <sz val="14"/>
            <color rgb="FF000000"/>
            <rFont val="Calibri"/>
            <family val="34"/>
          </rPr>
          <t xml:space="preserve">5.3 [165.89 cm] TL 1798)
</t>
        </r>
        <r>
          <rPr>
            <sz val="14"/>
            <color rgb="FF000000"/>
            <rFont val="Calibri"/>
            <family val="34"/>
          </rPr>
          <t>5.4 [168.52 cm (AL 1797)</t>
        </r>
      </text>
    </comment>
    <comment ref="BF334" authorId="0" shapeId="0" xr:uid="{A4408B93-8FEF-D14F-AB99-FF4D2474061D}">
      <text>
        <r>
          <rPr>
            <sz val="14"/>
            <color rgb="FF000000"/>
            <rFont val="Times New Roman"/>
            <family val="18"/>
          </rPr>
          <t xml:space="preserve">23/02/1797 </t>
        </r>
        <r>
          <rPr>
            <i/>
            <sz val="14"/>
            <color rgb="FF000000"/>
            <rFont val="Times New Roman"/>
            <family val="18"/>
          </rPr>
          <t>A 3Fl Handgeld auf Dauer des Krieges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IR 1 Reserve Division zum 4. Bat. Transferiert und zum Haupt Lefebre Komp. zugeteilt</t>
        </r>
        <r>
          <rPr>
            <sz val="14"/>
            <color rgb="FF000000"/>
            <rFont val="Times New Roman"/>
            <family val="18"/>
          </rPr>
          <t xml:space="preserve"> [TL Oct 1798 &amp; ST May 1797]</t>
        </r>
        <r>
          <rPr>
            <sz val="14"/>
            <color rgb="FF000000"/>
            <rFont val="Calibri"/>
            <family val="34"/>
          </rPr>
          <t xml:space="preserve">
</t>
        </r>
        <r>
          <rPr>
            <sz val="14"/>
            <color rgb="FF000000"/>
            <rFont val="Times New Roman"/>
            <family val="18"/>
          </rPr>
          <t xml:space="preserve">11/07/1798 </t>
        </r>
        <r>
          <rPr>
            <i/>
            <sz val="14"/>
            <color rgb="FF000000"/>
            <rFont val="Times New Roman"/>
            <family val="18"/>
          </rPr>
          <t>Von IR 1 4. Bar Haupt Dienteinger zum IR 30 transferiert und zum Haupt Fontaine Komp. zugeteilt, seitdem auf anhero Marsch</t>
        </r>
        <r>
          <rPr>
            <sz val="14"/>
            <color rgb="FF000000"/>
            <rFont val="Times New Roman"/>
            <family val="18"/>
          </rPr>
          <t xml:space="preserve"> [TL July 1798]</t>
        </r>
        <r>
          <rPr>
            <sz val="14"/>
            <color rgb="FF000000"/>
            <rFont val="Calibri"/>
            <family val="34"/>
          </rPr>
          <t xml:space="preserve">
</t>
        </r>
        <r>
          <rPr>
            <sz val="14"/>
            <color rgb="FF000000"/>
            <rFont val="Times New Roman"/>
            <family val="18"/>
          </rPr>
          <t xml:space="preserve">25/07/1798 </t>
        </r>
        <r>
          <rPr>
            <i/>
            <sz val="14"/>
            <color rgb="FF000000"/>
            <rFont val="Times New Roman"/>
            <family val="18"/>
          </rPr>
          <t>In Kompanie Eigeruckt [</t>
        </r>
        <r>
          <rPr>
            <sz val="14"/>
            <color rgb="FF000000"/>
            <rFont val="Times New Roman"/>
            <family val="18"/>
          </rPr>
          <t>ST July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334" authorId="0" shapeId="0" xr:uid="{2257C655-BC32-AA48-8679-64C714FFD9B4}">
      <text>
        <r>
          <rPr>
            <sz val="14"/>
            <color rgb="FF000000"/>
            <rFont val="Times New Roman"/>
            <family val="18"/>
          </rPr>
          <t>ML 68 IR 1 (1797) – ST May (27/06/1797), Oct (Olmütz 27/11/1797)</t>
        </r>
        <r>
          <rPr>
            <sz val="14"/>
            <color rgb="FF000000"/>
            <rFont val="Calibri"/>
            <family val="34"/>
          </rPr>
          <t xml:space="preserve">
</t>
        </r>
        <r>
          <rPr>
            <sz val="14"/>
            <color rgb="FF000000"/>
            <rFont val="Times New Roman"/>
            <family val="18"/>
          </rPr>
          <t>ML 69/70 IR 1 (1797) – AL. 39 (Hrubieszow 27/02/1797); TL IR 1 3 Feld Bats-&gt; 4. Bat Nr. 1095 (Freiburg in Breisgau 29/10/1798)</t>
        </r>
        <r>
          <rPr>
            <sz val="14"/>
            <color rgb="FF000000"/>
            <rFont val="Calibri"/>
            <family val="34"/>
          </rPr>
          <t xml:space="preserve">
</t>
        </r>
        <r>
          <rPr>
            <sz val="14"/>
            <color rgb="FF000000"/>
            <rFont val="Times New Roman"/>
            <family val="18"/>
          </rPr>
          <t>ML 2664 IR 30 (1798) – TL IR 1-&gt;IR 30 Nr. 78 (Prague 15/07/1798), ST July (Lemberg 13/03/1803), Dec (Theresienstadt 23/07/1799)</t>
        </r>
        <r>
          <rPr>
            <sz val="14"/>
            <color rgb="FF000000"/>
            <rFont val="Calibri"/>
            <family val="34"/>
          </rPr>
          <t xml:space="preserve">
</t>
        </r>
      </text>
    </comment>
    <comment ref="BH334" authorId="0" shapeId="0" xr:uid="{CE33AD2C-70EB-9D4E-AD5C-F697668CBAAB}">
      <text>
        <r>
          <rPr>
            <sz val="14"/>
            <color rgb="FF000000"/>
            <rFont val="Calibri"/>
            <family val="34"/>
          </rPr>
          <t xml:space="preserve">IR 1 (1797-1798)
</t>
        </r>
        <r>
          <rPr>
            <sz val="14"/>
            <color rgb="FF000000"/>
            <rFont val="Calibri"/>
            <family val="34"/>
          </rPr>
          <t>IR 30 (1798)</t>
        </r>
      </text>
    </comment>
    <comment ref="BI334" authorId="0" shapeId="0" xr:uid="{A720897A-61A9-2947-BF8F-F690AA5C1695}">
      <text>
        <r>
          <rPr>
            <i/>
            <sz val="14"/>
            <color rgb="FF000000"/>
            <rFont val="Times New Roman"/>
            <family val="18"/>
          </rPr>
          <t>Gut</t>
        </r>
        <r>
          <rPr>
            <sz val="14"/>
            <color rgb="FF000000"/>
            <rFont val="Times New Roman"/>
            <family val="18"/>
          </rPr>
          <t xml:space="preserve"> [TL July 1798]</t>
        </r>
      </text>
    </comment>
    <comment ref="B335" authorId="0" shapeId="0" xr:uid="{5058A9BD-470B-E043-A3B2-FB79CDCB6461}">
      <text>
        <r>
          <rPr>
            <sz val="14"/>
            <color rgb="FF000000"/>
            <rFont val="Times New Roman"/>
            <family val="18"/>
          </rPr>
          <t xml:space="preserve">Judka TOCK/ Juthka DOTT/ Jatko/Fetko/Zetko DOCK/DICK </t>
        </r>
      </text>
    </comment>
    <comment ref="BF335" authorId="0" shapeId="0" xr:uid="{601F1577-03EF-C24D-A6A4-83EEA855670C}">
      <text>
        <r>
          <rPr>
            <sz val="14"/>
            <color rgb="FF000000"/>
            <rFont val="Times New Roman"/>
            <family val="18"/>
          </rPr>
          <t xml:space="preserve">23/02/1797 </t>
        </r>
        <r>
          <rPr>
            <i/>
            <sz val="14"/>
            <color rgb="FF000000"/>
            <rFont val="Times New Roman"/>
            <family val="18"/>
          </rPr>
          <t>von Domenien Ausgehoben und von Ständen als Galizische Recrouten zum Tarnopol gestellt; seitdem auf anhero Marsch mit Friedens Gebühr</t>
        </r>
        <r>
          <rPr>
            <sz val="14"/>
            <color rgb="FF000000"/>
            <rFont val="Times New Roman"/>
            <family val="18"/>
          </rPr>
          <t xml:space="preserve"> [ST Feb 1797] </t>
        </r>
        <r>
          <rPr>
            <sz val="14"/>
            <color rgb="FF000000"/>
            <rFont val="Calibri"/>
            <family val="34"/>
          </rPr>
          <t xml:space="preserve">
</t>
        </r>
        <r>
          <rPr>
            <sz val="14"/>
            <color rgb="FF000000"/>
            <rFont val="Times New Roman"/>
            <family val="18"/>
          </rPr>
          <t xml:space="preserve">05/05/1797 </t>
        </r>
        <r>
          <rPr>
            <i/>
            <sz val="14"/>
            <color rgb="FF000000"/>
            <rFont val="Times New Roman"/>
            <family val="18"/>
          </rPr>
          <t xml:space="preserve">In die Reserve Division eingerückt </t>
        </r>
        <r>
          <rPr>
            <sz val="14"/>
            <color rgb="FF000000"/>
            <rFont val="Times New Roman"/>
            <family val="18"/>
          </rPr>
          <t>[ST May 1797]</t>
        </r>
        <r>
          <rPr>
            <sz val="14"/>
            <color rgb="FF000000"/>
            <rFont val="Calibri"/>
            <family val="34"/>
          </rPr>
          <t xml:space="preserve">
</t>
        </r>
        <r>
          <rPr>
            <sz val="14"/>
            <color rgb="FF000000"/>
            <rFont val="Times New Roman"/>
            <family val="18"/>
          </rPr>
          <t xml:space="preserve">06/05/1797 </t>
        </r>
        <r>
          <rPr>
            <i/>
            <sz val="14"/>
            <color rgb="FF000000"/>
            <rFont val="Times New Roman"/>
            <family val="18"/>
          </rPr>
          <t xml:space="preserve">Von die Reserve Division in Haupt Höffern Comp trasnferiert </t>
        </r>
        <r>
          <rPr>
            <sz val="14"/>
            <color rgb="FF000000"/>
            <rFont val="Times New Roman"/>
            <family val="18"/>
          </rPr>
          <t xml:space="preserve">[ST May] </t>
        </r>
        <r>
          <rPr>
            <sz val="14"/>
            <color rgb="FF000000"/>
            <rFont val="Calibri"/>
            <family val="34"/>
          </rPr>
          <t xml:space="preserve">
</t>
        </r>
        <r>
          <rPr>
            <sz val="14"/>
            <color rgb="FF000000"/>
            <rFont val="Times New Roman"/>
            <family val="18"/>
          </rPr>
          <t xml:space="preserve">20/06/1797 </t>
        </r>
        <r>
          <rPr>
            <i/>
            <sz val="14"/>
            <color rgb="FF000000"/>
            <rFont val="Times New Roman"/>
            <family val="18"/>
          </rPr>
          <t>Krank in Loco Spital</t>
        </r>
        <r>
          <rPr>
            <sz val="14"/>
            <color rgb="FF000000"/>
            <rFont val="Times New Roman"/>
            <family val="18"/>
          </rPr>
          <t xml:space="preserve"> [ST June 1797]</t>
        </r>
        <r>
          <rPr>
            <sz val="14"/>
            <color rgb="FF000000"/>
            <rFont val="Calibri"/>
            <family val="34"/>
          </rPr>
          <t xml:space="preserve">
</t>
        </r>
        <r>
          <rPr>
            <sz val="14"/>
            <color rgb="FF000000"/>
            <rFont val="Times New Roman"/>
            <family val="18"/>
          </rPr>
          <t xml:space="preserve">30/06/1797 </t>
        </r>
        <r>
          <rPr>
            <i/>
            <sz val="14"/>
            <color rgb="FF000000"/>
            <rFont val="Times New Roman"/>
            <family val="18"/>
          </rPr>
          <t>Reconvalesciert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Krank in Loco Spital</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31/08/1797 </t>
        </r>
        <r>
          <rPr>
            <i/>
            <sz val="14"/>
            <color rgb="FF000000"/>
            <rFont val="Times New Roman"/>
            <family val="18"/>
          </rPr>
          <t xml:space="preserve">Reconvalesciert </t>
        </r>
        <r>
          <rPr>
            <sz val="14"/>
            <color rgb="FF000000"/>
            <rFont val="Times New Roman"/>
            <family val="18"/>
          </rPr>
          <t>[ST Sept 1797]</t>
        </r>
        <r>
          <rPr>
            <sz val="14"/>
            <color rgb="FF000000"/>
            <rFont val="Calibri"/>
            <family val="34"/>
          </rPr>
          <t xml:space="preserve">
</t>
        </r>
        <r>
          <rPr>
            <sz val="14"/>
            <color rgb="FF000000"/>
            <rFont val="Times New Roman"/>
            <family val="18"/>
          </rPr>
          <t>25/01/1799 Revision: IR 43 Haupt Höffern Nr. 39</t>
        </r>
        <r>
          <rPr>
            <sz val="14"/>
            <color rgb="FF000000"/>
            <rFont val="Calibri"/>
            <family val="34"/>
          </rPr>
          <t xml:space="preserve">
</t>
        </r>
        <r>
          <rPr>
            <sz val="14"/>
            <color rgb="FF000000"/>
            <rFont val="Times New Roman"/>
            <family val="18"/>
          </rPr>
          <t xml:space="preserve">26/03/1799 </t>
        </r>
        <r>
          <rPr>
            <i/>
            <sz val="14"/>
            <color rgb="FF000000"/>
            <rFont val="Times New Roman"/>
            <family val="18"/>
          </rPr>
          <t xml:space="preserve">Bei der Italienischen Artillerie Reserve mit Kriegsgebühr </t>
        </r>
        <r>
          <rPr>
            <sz val="14"/>
            <color rgb="FF000000"/>
            <rFont val="Times New Roman"/>
            <family val="18"/>
          </rPr>
          <t>[ST March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Höffern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Baumann Comp transferiert und seitdem 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 xml:space="preserve">als ins auswärtiger Feldspitalern als über ½ Jahr auswärts und deren Existenz gänzlich Unbewusst </t>
        </r>
        <r>
          <rPr>
            <sz val="14"/>
            <color rgb="FF000000"/>
            <rFont val="Times New Roman"/>
            <family val="18"/>
          </rPr>
          <t>[ST Oct 1801]</t>
        </r>
        <r>
          <rPr>
            <sz val="14"/>
            <color rgb="FF000000"/>
            <rFont val="Calibri"/>
            <family val="34"/>
          </rPr>
          <t xml:space="preserve">
</t>
        </r>
      </text>
    </comment>
    <comment ref="BG335" authorId="0" shapeId="0" xr:uid="{C41B7927-92BF-8440-8669-135ECB8694B1}">
      <text>
        <r>
          <rPr>
            <sz val="14"/>
            <color rgb="FF000000"/>
            <rFont val="Times New Roman"/>
            <family val="18"/>
          </rPr>
          <t>ML 10.271 IR 43 (1796-9) – RL Haupt Höffern. Nr. 39 (Udine 25/01/1799)</t>
        </r>
        <r>
          <rPr>
            <sz val="14"/>
            <color rgb="FF000000"/>
            <rFont val="Calibri"/>
            <family val="34"/>
          </rPr>
          <t xml:space="preserve">
</t>
        </r>
        <r>
          <rPr>
            <sz val="14"/>
            <color rgb="FF000000"/>
            <rFont val="Times New Roman"/>
            <family val="18"/>
          </rPr>
          <t>ML 10.305 IR 43 (1797) – ST Feb (09/03/1802), Mai (01/06/1803), Juni (21/06/1803), Juli (24/07/1803) und Sept (02/09/1804)</t>
        </r>
        <r>
          <rPr>
            <sz val="14"/>
            <color rgb="FF000000"/>
            <rFont val="Calibri"/>
            <family val="34"/>
          </rPr>
          <t xml:space="preserve">
</t>
        </r>
        <r>
          <rPr>
            <sz val="14"/>
            <color rgb="FF000000"/>
            <rFont val="Times New Roman"/>
            <family val="18"/>
          </rPr>
          <t>ML 10.307 IR 43 (1799) – ST März (30/05/1799), und Aug (06/03/1800)</t>
        </r>
        <r>
          <rPr>
            <sz val="14"/>
            <color rgb="FF000000"/>
            <rFont val="Calibri"/>
            <family val="34"/>
          </rPr>
          <t xml:space="preserve">
</t>
        </r>
        <r>
          <rPr>
            <sz val="14"/>
            <color rgb="FF000000"/>
            <rFont val="Times New Roman"/>
            <family val="18"/>
          </rPr>
          <t>ML 10.311 IR 43 (1801) – ST Mai (10/03/1805) und Okt (21/07/1805)</t>
        </r>
      </text>
    </comment>
    <comment ref="BH335" authorId="0" shapeId="0" xr:uid="{A8EFF179-51B9-9B44-9122-0E9451F050B6}">
      <text>
        <r>
          <rPr>
            <sz val="14"/>
            <color rgb="FF000000"/>
            <rFont val="Calibri"/>
            <family val="34"/>
          </rPr>
          <t>IR 43 (1797-1801)</t>
        </r>
      </text>
    </comment>
    <comment ref="BF336" authorId="0" shapeId="0" xr:uid="{086A555B-37F2-A042-89E5-C747E5FE657A}">
      <text>
        <r>
          <rPr>
            <sz val="14"/>
            <color rgb="FF000000"/>
            <rFont val="Times New Roman"/>
            <family val="18"/>
          </rPr>
          <t xml:space="preserve">23/02/1797 </t>
        </r>
        <r>
          <rPr>
            <i/>
            <sz val="14"/>
            <color rgb="FF000000"/>
            <rFont val="Times New Roman"/>
            <family val="18"/>
          </rPr>
          <t xml:space="preserve">A 3Fl Handgeld zu Zollkif in Galizien assentiert </t>
        </r>
        <r>
          <rPr>
            <sz val="14"/>
            <color rgb="FF000000"/>
            <rFont val="Times New Roman"/>
            <family val="18"/>
          </rPr>
          <t xml:space="preserve">[ML 1803]
</t>
        </r>
        <r>
          <rPr>
            <sz val="14"/>
            <color rgb="FF000000"/>
            <rFont val="Times New Roman"/>
            <family val="18"/>
          </rPr>
          <t>12/09/1803 Muster: IR 4 Haupt Görger Komp. Nr. 32 [</t>
        </r>
        <r>
          <rPr>
            <i/>
            <sz val="14"/>
            <color rgb="FF000000"/>
            <rFont val="Times New Roman"/>
            <family val="18"/>
          </rPr>
          <t>Beurlaubt in Hofnof in Galizien</t>
        </r>
        <r>
          <rPr>
            <sz val="14"/>
            <color rgb="FF000000"/>
            <rFont val="Times New Roman"/>
            <family val="18"/>
          </rPr>
          <t xml:space="preserve">]
</t>
        </r>
        <r>
          <rPr>
            <sz val="14"/>
            <color rgb="FF000000"/>
            <rFont val="Times New Roman"/>
            <family val="18"/>
          </rPr>
          <t xml:space="preserve">UNBEKANNT: </t>
        </r>
        <r>
          <rPr>
            <i/>
            <sz val="14"/>
            <color rgb="FF000000"/>
            <rFont val="Times New Roman"/>
            <family val="18"/>
          </rPr>
          <t>Erscheint nicht in der Revisions-Liste von Haupt Hertwich Kompanie zwischen  31. Marz 1804 und 1. Mai 1804</t>
        </r>
        <r>
          <rPr>
            <sz val="14"/>
            <color rgb="FF000000"/>
            <rFont val="Calibri"/>
            <family val="34"/>
          </rPr>
          <t xml:space="preserve">
</t>
        </r>
      </text>
    </comment>
    <comment ref="BG336" authorId="0" shapeId="0" xr:uid="{237230C4-F1EC-7C43-9905-DDBEDA0ED76C}">
      <text>
        <r>
          <rPr>
            <sz val="14"/>
            <color rgb="FF000000"/>
            <rFont val="Times New Roman"/>
            <family val="18"/>
          </rPr>
          <t>ML 348 IR 4 (1803) – Haupt Görger Komp. Nr. 32 (Wiener Neustadt 12/09/1803)</t>
        </r>
        <r>
          <rPr>
            <sz val="14"/>
            <color rgb="FF000000"/>
            <rFont val="Calibri"/>
            <family val="34"/>
          </rPr>
          <t xml:space="preserve">
</t>
        </r>
      </text>
    </comment>
    <comment ref="BH336" authorId="0" shapeId="0" xr:uid="{5E0F06E0-2F5B-3E4B-B948-DFA6670D142C}">
      <text>
        <r>
          <rPr>
            <sz val="14"/>
            <color rgb="FF000000"/>
            <rFont val="Calibri"/>
            <family val="34"/>
          </rPr>
          <t>IR 10 (1797-1804)</t>
        </r>
      </text>
    </comment>
    <comment ref="BF337" authorId="0" shapeId="0" xr:uid="{3A21BBC3-6F6C-AF41-931D-CE582FF6C663}">
      <text>
        <r>
          <rPr>
            <sz val="14"/>
            <color rgb="FF000000"/>
            <rFont val="Times New Roman"/>
            <family val="18"/>
          </rPr>
          <t xml:space="preserve">23/02/1797 </t>
        </r>
        <r>
          <rPr>
            <i/>
            <sz val="14"/>
            <color rgb="FF000000"/>
            <rFont val="Times New Roman"/>
            <family val="18"/>
          </rPr>
          <t>A 3Fl Handgeld als Werbbezirk Rekrut ausgehoben und zum IR 3 Reserve Division assentiert</t>
        </r>
        <r>
          <rPr>
            <sz val="14"/>
            <color rgb="FF000000"/>
            <rFont val="Times New Roman"/>
            <family val="18"/>
          </rPr>
          <t xml:space="preserve"> [AL March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Köberlein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17/06/1798 </t>
        </r>
        <r>
          <rPr>
            <i/>
            <sz val="14"/>
            <color rgb="FF000000"/>
            <rFont val="Times New Roman"/>
            <family val="18"/>
          </rPr>
          <t>Von IR 4. Bat 3. Haupt von Ranger Komp zum Feld Bats transferiert und zur Haupt Torgcs Komp. zugeteilt</t>
        </r>
        <r>
          <rPr>
            <sz val="14"/>
            <color rgb="FF000000"/>
            <rFont val="Times New Roman"/>
            <family val="18"/>
          </rPr>
          <t xml:space="preserve"> [TL July 1798]</t>
        </r>
        <r>
          <rPr>
            <sz val="14"/>
            <color rgb="FF000000"/>
            <rFont val="Calibri"/>
            <family val="34"/>
          </rPr>
          <t xml:space="preserve">
</t>
        </r>
        <r>
          <rPr>
            <sz val="14"/>
            <color rgb="FF000000"/>
            <rFont val="Times New Roman"/>
            <family val="18"/>
          </rPr>
          <t xml:space="preserve">01/11/1800 </t>
        </r>
        <r>
          <rPr>
            <i/>
            <sz val="14"/>
            <color rgb="FF000000"/>
            <rFont val="Times New Roman"/>
            <family val="18"/>
          </rPr>
          <t>Zum Gefreyter avanciert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22/09/1801 </t>
        </r>
        <r>
          <rPr>
            <i/>
            <sz val="14"/>
            <color rgb="FF000000"/>
            <rFont val="Times New Roman"/>
            <family val="18"/>
          </rPr>
          <t>Auf bestimmte Urlaub entlassen</t>
        </r>
        <r>
          <rPr>
            <sz val="14"/>
            <color rgb="FF000000"/>
            <rFont val="Times New Roman"/>
            <family val="18"/>
          </rPr>
          <t xml:space="preserve"> [ST Sept 1801]</t>
        </r>
        <r>
          <rPr>
            <sz val="14"/>
            <color rgb="FF000000"/>
            <rFont val="Calibri"/>
            <family val="34"/>
          </rPr>
          <t xml:space="preserve">
</t>
        </r>
        <r>
          <rPr>
            <sz val="14"/>
            <color rgb="FF000000"/>
            <rFont val="Times New Roman"/>
            <family val="18"/>
          </rPr>
          <t xml:space="preserve">10/01/1802 </t>
        </r>
        <r>
          <rPr>
            <i/>
            <sz val="14"/>
            <color rgb="FF000000"/>
            <rFont val="Times New Roman"/>
            <family val="18"/>
          </rPr>
          <t>Zu Folge hoher k.k. General Militar Comando Verordnung ddt. Brünn am 5. Decembri al sein aud die Dauer des Krieges ausgedienter Capitulant entlassen</t>
        </r>
        <r>
          <rPr>
            <sz val="14"/>
            <color rgb="FF000000"/>
            <rFont val="Times New Roman"/>
            <family val="18"/>
          </rPr>
          <t xml:space="preserve"> [ST Jan 1802]</t>
        </r>
        <r>
          <rPr>
            <sz val="14"/>
            <color rgb="FF000000"/>
            <rFont val="Calibri"/>
            <family val="34"/>
          </rPr>
          <t xml:space="preserve">
</t>
        </r>
      </text>
    </comment>
    <comment ref="BG337" authorId="0" shapeId="0" xr:uid="{01250A59-DD38-FF47-BFB5-CC8B776454BC}">
      <text>
        <r>
          <rPr>
            <sz val="14"/>
            <color rgb="FF000000"/>
            <rFont val="Times New Roman"/>
            <family val="18"/>
          </rPr>
          <t>ML 69/70 IR 3 (1797) AL/TL – AL Unnumbered (Olmütz 28/02/1797); TL IR 1 3 Feld Bats-&gt; 4. Bat Nr. 769 (Freiburg in Breisgau 29/18/1798)</t>
        </r>
        <r>
          <rPr>
            <sz val="14"/>
            <color rgb="FF000000"/>
            <rFont val="Calibri"/>
            <family val="34"/>
          </rPr>
          <t xml:space="preserve">
</t>
        </r>
        <r>
          <rPr>
            <sz val="14"/>
            <color rgb="FF000000"/>
            <rFont val="Times New Roman"/>
            <family val="18"/>
          </rPr>
          <t>ML 71 IR 1 (1798) – TL IR 1 4. Bat-&gt;3 Feld Bats Nr. 143 (Olmütz 09/07/1798)</t>
        </r>
        <r>
          <rPr>
            <sz val="14"/>
            <color rgb="FF000000"/>
            <rFont val="Calibri"/>
            <family val="34"/>
          </rPr>
          <t xml:space="preserve">
</t>
        </r>
        <r>
          <rPr>
            <sz val="14"/>
            <color rgb="FF000000"/>
            <rFont val="Times New Roman"/>
            <family val="18"/>
          </rPr>
          <t>ML 74 IR 1 (1800) – ST Nov (Olmütz 16/02/1801)</t>
        </r>
        <r>
          <rPr>
            <sz val="14"/>
            <color rgb="FF000000"/>
            <rFont val="Calibri"/>
            <family val="34"/>
          </rPr>
          <t xml:space="preserve">
</t>
        </r>
        <r>
          <rPr>
            <sz val="14"/>
            <color rgb="FF000000"/>
            <rFont val="Times New Roman"/>
            <family val="18"/>
          </rPr>
          <t>ML 76 IR 1 (1801) – ST Sept (Olmütz 10/11/1801)</t>
        </r>
        <r>
          <rPr>
            <sz val="14"/>
            <color rgb="FF000000"/>
            <rFont val="Calibri"/>
            <family val="34"/>
          </rPr>
          <t xml:space="preserve">
</t>
        </r>
        <r>
          <rPr>
            <sz val="14"/>
            <color rgb="FF000000"/>
            <rFont val="Times New Roman"/>
            <family val="18"/>
          </rPr>
          <t>ML 78 IR 1 (1802) – ST Jan (Olmütz 12/02/1802)</t>
        </r>
        <r>
          <rPr>
            <sz val="14"/>
            <color rgb="FF000000"/>
            <rFont val="Calibri"/>
            <family val="34"/>
          </rPr>
          <t xml:space="preserve">
</t>
        </r>
      </text>
    </comment>
    <comment ref="BH337" authorId="0" shapeId="0" xr:uid="{42D5CB8C-8C09-2D44-8AE4-1DE33DF15806}">
      <text>
        <r>
          <rPr>
            <sz val="14"/>
            <color rgb="FF000000"/>
            <rFont val="Calibri"/>
            <family val="34"/>
          </rPr>
          <t>IR 1 (1797-1802)</t>
        </r>
      </text>
    </comment>
    <comment ref="BF338" authorId="0" shapeId="0" xr:uid="{F13679F7-592B-2C4A-837E-0AC651A42BC5}">
      <text>
        <r>
          <rPr>
            <sz val="14"/>
            <color rgb="FF000000"/>
            <rFont val="Times New Roman"/>
            <family val="18"/>
          </rPr>
          <t xml:space="preserve">23/02/1797 </t>
        </r>
        <r>
          <rPr>
            <i/>
            <sz val="14"/>
            <color rgb="FF000000"/>
            <rFont val="Times New Roman"/>
            <family val="18"/>
          </rPr>
          <t xml:space="preserve">Ohne Capitulation bei Wartensleben Infanterie </t>
        </r>
        <r>
          <rPr>
            <b/>
            <sz val="14"/>
            <color rgb="FF000000"/>
            <rFont val="Times New Roman"/>
            <family val="18"/>
          </rPr>
          <t xml:space="preserve">[IR 28] </t>
        </r>
        <r>
          <rPr>
            <i/>
            <sz val="14"/>
            <color rgb="FF000000"/>
            <rFont val="Times New Roman"/>
            <family val="18"/>
          </rPr>
          <t>assentiert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01/12/1797 </t>
        </r>
        <r>
          <rPr>
            <i/>
            <sz val="14"/>
            <color rgb="FF000000"/>
            <rFont val="Times New Roman"/>
            <family val="18"/>
          </rPr>
          <t>Von Wartensleben Infanterie Regiment</t>
        </r>
        <r>
          <rPr>
            <sz val="14"/>
            <color rgb="FF000000"/>
            <rFont val="Times New Roman"/>
            <family val="18"/>
          </rPr>
          <t xml:space="preserve"> </t>
        </r>
        <r>
          <rPr>
            <b/>
            <sz val="14"/>
            <color rgb="FF000000"/>
            <rFont val="Times New Roman"/>
            <family val="18"/>
          </rPr>
          <t>[IR 28]</t>
        </r>
        <r>
          <rPr>
            <sz val="14"/>
            <color rgb="FF000000"/>
            <rFont val="Times New Roman"/>
            <family val="18"/>
          </rPr>
          <t xml:space="preserve"> </t>
        </r>
        <r>
          <rPr>
            <i/>
            <sz val="14"/>
            <color rgb="FF000000"/>
            <rFont val="Times New Roman"/>
            <family val="18"/>
          </rPr>
          <t xml:space="preserve">anhero </t>
        </r>
        <r>
          <rPr>
            <b/>
            <sz val="14"/>
            <color rgb="FF000000"/>
            <rFont val="Times New Roman"/>
            <family val="18"/>
          </rPr>
          <t>[IR 11]</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Sebnitz Komp. Nr. 59</t>
        </r>
        <r>
          <rPr>
            <sz val="14"/>
            <color rgb="FF000000"/>
            <rFont val="Times New Roman"/>
            <family val="18"/>
          </rPr>
          <t xml:space="preserve">
</t>
        </r>
        <r>
          <rPr>
            <sz val="14"/>
            <color rgb="FF000000"/>
            <rFont val="Times New Roman"/>
            <family val="18"/>
          </rPr>
          <t>25/08/1804 Muster: IR 11 Haupt Sebnitz Komp. Nr. 51 [</t>
        </r>
        <r>
          <rPr>
            <i/>
            <sz val="14"/>
            <color rgb="FF000000"/>
            <rFont val="Times New Roman"/>
            <family val="18"/>
          </rPr>
          <t>Beurlaubt in seinem Geburtsort und Vaterland bis zur Einberufung</t>
        </r>
        <r>
          <rPr>
            <sz val="14"/>
            <color rgb="FF000000"/>
            <rFont val="Times New Roman"/>
            <family val="18"/>
          </rPr>
          <t>]</t>
        </r>
        <r>
          <rPr>
            <sz val="14"/>
            <color rgb="FF000000"/>
            <rFont val="Times New Roman"/>
            <family val="18"/>
          </rPr>
          <t xml:space="preserve">
</t>
        </r>
        <r>
          <rPr>
            <sz val="14"/>
            <color rgb="FF000000"/>
            <rFont val="Times New Roman"/>
            <family val="18"/>
          </rPr>
          <t xml:space="preserve">31/08/1806 </t>
        </r>
        <r>
          <rPr>
            <i/>
            <sz val="14"/>
            <color rgb="FF000000"/>
            <rFont val="Times New Roman"/>
            <family val="18"/>
          </rPr>
          <t>Als auf Urlaub Verbliebene unwissend verloren in Abgang</t>
        </r>
        <r>
          <rPr>
            <sz val="14"/>
            <color rgb="FF000000"/>
            <rFont val="Times New Roman"/>
            <family val="18"/>
          </rPr>
          <t xml:space="preserve"> [ML 1806]</t>
        </r>
        <r>
          <rPr>
            <sz val="14"/>
            <color rgb="FF000000"/>
            <rFont val="Times New Roman"/>
            <family val="18"/>
          </rPr>
          <t xml:space="preserve">
</t>
        </r>
      </text>
    </comment>
    <comment ref="BG338" authorId="0" shapeId="0" xr:uid="{F7535588-1327-9C41-8831-1B6A0DABDC55}">
      <text>
        <r>
          <rPr>
            <sz val="14"/>
            <color rgb="FF000000"/>
            <rFont val="Times New Roman"/>
            <family val="18"/>
          </rPr>
          <t>ML 804/5 IR 11 (1802) – Haupt Sebnitz Komp. Nr. 59 (Wisotczan 17/09/1802)</t>
        </r>
        <r>
          <rPr>
            <sz val="14"/>
            <color rgb="FF000000"/>
            <rFont val="Times New Roman"/>
            <family val="18"/>
          </rPr>
          <t xml:space="preserve">
</t>
        </r>
        <r>
          <rPr>
            <sz val="14"/>
            <color rgb="FF000000"/>
            <rFont val="Times New Roman"/>
            <family val="18"/>
          </rPr>
          <t>ML 806 IR 11 (1804) – Haupt Kraus Komp. Nr. 51 (Prague 25/08/1804)</t>
        </r>
        <r>
          <rPr>
            <sz val="14"/>
            <color rgb="FF000000"/>
            <rFont val="Times New Roman"/>
            <family val="18"/>
          </rPr>
          <t xml:space="preserve">
</t>
        </r>
        <r>
          <rPr>
            <sz val="14"/>
            <color rgb="FF000000"/>
            <rFont val="Times New Roman"/>
            <family val="18"/>
          </rPr>
          <t>ML 807/8 IR 11 (1806) – 2. Fus. Komp. Komp. Abgang (Prague 23/12/1806)</t>
        </r>
        <r>
          <rPr>
            <sz val="14"/>
            <color rgb="FF000000"/>
            <rFont val="Times New Roman"/>
            <family val="18"/>
          </rPr>
          <t xml:space="preserve">
</t>
        </r>
      </text>
    </comment>
    <comment ref="BH338" authorId="0" shapeId="0" xr:uid="{EFA220A7-2B9E-6D4F-B1AC-A5E1E765DFDD}">
      <text>
        <r>
          <rPr>
            <sz val="14"/>
            <color rgb="FF000000"/>
            <rFont val="Calibri"/>
            <family val="34"/>
          </rPr>
          <t xml:space="preserve">IR 28 (1797)
</t>
        </r>
        <r>
          <rPr>
            <sz val="14"/>
            <color rgb="FF000000"/>
            <rFont val="Calibri"/>
            <family val="34"/>
          </rPr>
          <t>IR 11 (1797-1806)</t>
        </r>
      </text>
    </comment>
    <comment ref="BF339" authorId="0" shapeId="0" xr:uid="{74A578ED-DF74-6C4F-BCFA-877FE09F9844}">
      <text>
        <r>
          <rPr>
            <sz val="14"/>
            <color rgb="FF000000"/>
            <rFont val="Times New Roman"/>
            <family val="18"/>
          </rPr>
          <t xml:space="preserve">23/02/1797 </t>
        </r>
        <r>
          <rPr>
            <i/>
            <sz val="14"/>
            <color rgb="FF000000"/>
            <rFont val="Times New Roman"/>
            <family val="18"/>
          </rPr>
          <t>A 3Fl Handgeld als Werbbezirk Rekrut ausgehoben und zum IR 3 Reserve Division assentiert</t>
        </r>
        <r>
          <rPr>
            <sz val="14"/>
            <color rgb="FF000000"/>
            <rFont val="Times New Roman"/>
            <family val="18"/>
          </rPr>
          <t xml:space="preserve"> [AL March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Höberlein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Haupt Köberlein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15/02/1802 [Als Angehöriger von Obrest Komp.] </t>
        </r>
        <r>
          <rPr>
            <i/>
            <sz val="14"/>
            <color rgb="FF000000"/>
            <rFont val="Times New Roman"/>
            <family val="18"/>
          </rPr>
          <t>Zu Folge hoher k.k. General Militar Comando Verordnung ddt. Brünn am 20. Jänner als auf die Dauer des Krieges ausgedienter Capitulant entlassen</t>
        </r>
        <r>
          <rPr>
            <sz val="14"/>
            <color rgb="FF000000"/>
            <rFont val="Times New Roman"/>
            <family val="18"/>
          </rPr>
          <t xml:space="preserve"> [ST Feb 1802]</t>
        </r>
        <r>
          <rPr>
            <sz val="14"/>
            <color rgb="FF000000"/>
            <rFont val="Calibri"/>
            <family val="2"/>
          </rPr>
          <t xml:space="preserve"> </t>
        </r>
      </text>
    </comment>
    <comment ref="BG339" authorId="0" shapeId="0" xr:uid="{E8E5F5C8-60AA-8141-A809-F5843584F767}">
      <text>
        <r>
          <rPr>
            <sz val="14"/>
            <color rgb="FF000000"/>
            <rFont val="Times New Roman"/>
            <family val="18"/>
          </rPr>
          <t>ML 69/70 IR 3 (1797) AL/TL – AL Unnumbered (Olmütz 28/02/1797); TL IR 1 3 Feld Bats-&gt; 4. Bat Nr. 724 (Freiburg in Breisgau 29/18/1798); ML 69/70 IR 1 (1797) AL/TL – TL IR 1 4. Bat-&gt; 3 Feld Bats Nr. 198 (Olmütz 08/07/1799)</t>
        </r>
        <r>
          <rPr>
            <sz val="14"/>
            <color rgb="FF000000"/>
            <rFont val="Calibri"/>
            <family val="34"/>
          </rPr>
          <t xml:space="preserve">
</t>
        </r>
        <r>
          <rPr>
            <sz val="14"/>
            <color rgb="FF000000"/>
            <rFont val="Times New Roman"/>
            <family val="18"/>
          </rPr>
          <t>ML 78 IR 1 (1802) – ST Feb (Olmütz 14/03/1802)</t>
        </r>
        <r>
          <rPr>
            <sz val="14"/>
            <color rgb="FF000000"/>
            <rFont val="Calibri"/>
            <family val="34"/>
          </rPr>
          <t xml:space="preserve">
</t>
        </r>
      </text>
    </comment>
    <comment ref="BH339" authorId="0" shapeId="0" xr:uid="{7BBC465E-C41A-C24E-B767-C7050B7F9524}">
      <text>
        <r>
          <rPr>
            <sz val="14"/>
            <color rgb="FF000000"/>
            <rFont val="Calibri"/>
            <family val="34"/>
          </rPr>
          <t>IR 1 (1797-1802)</t>
        </r>
      </text>
    </comment>
    <comment ref="BF340" authorId="0" shapeId="0" xr:uid="{3316FC2D-C6CA-AD42-BCF6-F04E5109F8A2}">
      <text>
        <r>
          <rPr>
            <sz val="14"/>
            <color rgb="FF000000"/>
            <rFont val="Times New Roman"/>
            <family val="18"/>
          </rPr>
          <t xml:space="preserve">23/02/1797 </t>
        </r>
        <r>
          <rPr>
            <i/>
            <sz val="14"/>
            <color rgb="FF000000"/>
            <rFont val="Times New Roman"/>
            <family val="18"/>
          </rPr>
          <t>A 3 Fl Handgeld zu Zolkiew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01/12/1798 </t>
        </r>
        <r>
          <rPr>
            <i/>
            <sz val="14"/>
            <color rgb="FF000000"/>
            <rFont val="Times New Roman"/>
            <family val="18"/>
          </rPr>
          <t>Zum Gefreyter avanciert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16/08/1803 </t>
        </r>
        <r>
          <rPr>
            <i/>
            <sz val="14"/>
            <color rgb="FF000000"/>
            <rFont val="Times New Roman"/>
            <family val="18"/>
          </rPr>
          <t>Von Haupt Petteneck zum Haupt Werner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Werner Komp. Nr. 24</t>
        </r>
        <r>
          <rPr>
            <sz val="14"/>
            <color rgb="FF000000"/>
            <rFont val="Calibri"/>
            <family val="34"/>
          </rPr>
          <t xml:space="preserve">
</t>
        </r>
        <r>
          <rPr>
            <sz val="14"/>
            <color rgb="FF000000"/>
            <rFont val="Times New Roman"/>
            <family val="18"/>
          </rPr>
          <t xml:space="preserve">??/??/180? </t>
        </r>
        <r>
          <rPr>
            <i/>
            <sz val="14"/>
            <color rgb="FF000000"/>
            <rFont val="Times New Roman"/>
            <family val="18"/>
          </rPr>
          <t>Von Gefreyter zum Gemeinen degradiert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Urlaub desertiert</t>
        </r>
        <r>
          <rPr>
            <sz val="14"/>
            <color rgb="FF000000"/>
            <rFont val="Times New Roman"/>
            <family val="18"/>
          </rPr>
          <t xml:space="preserve"> [ML 1806] </t>
        </r>
      </text>
    </comment>
    <comment ref="BG340" authorId="0" shapeId="0" xr:uid="{D9D3DC42-7F12-0D43-A848-61768985C062}">
      <text>
        <r>
          <rPr>
            <sz val="14"/>
            <color rgb="FF000000"/>
            <rFont val="Times New Roman"/>
            <family val="18"/>
          </rPr>
          <t>ML 348 IR 4 (1803) – Haupt Schwarz Nr. 24 (Vienna 14/09/1803)</t>
        </r>
        <r>
          <rPr>
            <sz val="14"/>
            <color rgb="FF000000"/>
            <rFont val="Calibri"/>
            <family val="34"/>
          </rPr>
          <t xml:space="preserve">
</t>
        </r>
        <r>
          <rPr>
            <sz val="14"/>
            <color rgb="FF000000"/>
            <rFont val="Times New Roman"/>
            <family val="18"/>
          </rPr>
          <t>ML 349/50 IR 4 (1806) – 12. Fus. Komp. Abgang (Baden 30/12/1806), Deserteur Consignation Nr. 338 (Wiener Neustadt 31/12/1806)</t>
        </r>
        <r>
          <rPr>
            <sz val="14"/>
            <color rgb="FF000000"/>
            <rFont val="Calibri"/>
            <family val="34"/>
          </rPr>
          <t xml:space="preserve">
</t>
        </r>
      </text>
    </comment>
    <comment ref="BH340" authorId="0" shapeId="0" xr:uid="{84CF8E06-2CD5-E144-AD63-3235F4D5A8B9}">
      <text>
        <r>
          <rPr>
            <sz val="14"/>
            <color rgb="FF000000"/>
            <rFont val="Calibri"/>
            <family val="34"/>
          </rPr>
          <t>IR 1 (1797-1805)</t>
        </r>
      </text>
    </comment>
    <comment ref="BF341" authorId="0" shapeId="0" xr:uid="{FBD4764E-A10F-7545-9AF8-0C3B42A3A4C7}">
      <text>
        <r>
          <rPr>
            <sz val="14"/>
            <color rgb="FF000000"/>
            <rFont val="Times New Roman"/>
            <family val="18"/>
          </rPr>
          <t xml:space="preserve">23/02/1797 </t>
        </r>
        <r>
          <rPr>
            <i/>
            <sz val="14"/>
            <color rgb="FF000000"/>
            <rFont val="Times New Roman"/>
            <family val="18"/>
          </rPr>
          <t>Von galizischen Ständen gestellt und a 3Fl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[Marengo]</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11/05/1801 </t>
        </r>
        <r>
          <rPr>
            <i/>
            <sz val="14"/>
            <color rgb="FF000000"/>
            <rFont val="Times New Roman"/>
            <family val="18"/>
          </rPr>
          <t>Gegen Austausch wieder zurückgelegt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Young Nr. 151</t>
        </r>
        <r>
          <rPr>
            <sz val="14"/>
            <color rgb="FF000000"/>
            <rFont val="Calibri"/>
            <family val="34"/>
          </rPr>
          <t xml:space="preserve">
</t>
        </r>
        <r>
          <rPr>
            <sz val="14"/>
            <color rgb="FF000000"/>
            <rFont val="Times New Roman"/>
            <family val="18"/>
          </rPr>
          <t>07/09/1803 Muster: IR 23 Haupt Young Nr. 131 [</t>
        </r>
        <r>
          <rPr>
            <i/>
            <sz val="14"/>
            <color rgb="FF000000"/>
            <rFont val="Times New Roman"/>
            <family val="18"/>
          </rPr>
          <t>Wache</t>
        </r>
        <r>
          <rPr>
            <sz val="14"/>
            <color rgb="FF000000"/>
            <rFont val="Times New Roman"/>
            <family val="18"/>
          </rPr>
          <t>]</t>
        </r>
        <r>
          <rPr>
            <sz val="14"/>
            <color rgb="FF000000"/>
            <rFont val="Calibri"/>
            <family val="34"/>
          </rPr>
          <t xml:space="preserve">
</t>
        </r>
        <r>
          <rPr>
            <sz val="14"/>
            <color rgb="FF000000"/>
            <rFont val="Times New Roman"/>
            <family val="18"/>
          </rPr>
          <t>06/09/1804 Muster: IR 23 Haupt Young Nr. 123 [</t>
        </r>
        <r>
          <rPr>
            <i/>
            <sz val="14"/>
            <color rgb="FF000000"/>
            <rFont val="Times New Roman"/>
            <family val="18"/>
          </rPr>
          <t>Bis zur Exercierzeit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30/09/1805 </t>
        </r>
        <r>
          <rPr>
            <i/>
            <sz val="14"/>
            <color rgb="FF000000"/>
            <rFont val="Times New Roman"/>
            <family val="18"/>
          </rPr>
          <t>Gegen Stellung 2 Ausländer Rekruten mit Abschied entlassen</t>
        </r>
        <r>
          <rPr>
            <sz val="14"/>
            <color rgb="FF000000"/>
            <rFont val="Times New Roman"/>
            <family val="18"/>
          </rPr>
          <t xml:space="preserve"> [ML 1807]</t>
        </r>
        <r>
          <rPr>
            <sz val="14"/>
            <color rgb="FF000000"/>
            <rFont val="Calibri"/>
            <family val="34"/>
          </rPr>
          <t xml:space="preserve">
</t>
        </r>
      </text>
    </comment>
    <comment ref="BG341" authorId="0" shapeId="0" xr:uid="{DB80BCF1-FCA4-7F4D-8579-EBD2DDE43B0E}">
      <text>
        <r>
          <rPr>
            <sz val="14"/>
            <color rgb="FF000000"/>
            <rFont val="Times New Roman"/>
            <family val="18"/>
          </rPr>
          <t>ML 10.124 IR 23 (1802) – Haupt Young Komp. Nr. 151 (Krems 09/09/1802)</t>
        </r>
        <r>
          <rPr>
            <sz val="14"/>
            <color rgb="FF000000"/>
            <rFont val="Calibri"/>
            <family val="34"/>
          </rPr>
          <t xml:space="preserve">
</t>
        </r>
        <r>
          <rPr>
            <sz val="14"/>
            <color rgb="FF000000"/>
            <rFont val="Times New Roman"/>
            <family val="18"/>
          </rPr>
          <t>ML 10.125 IR 23 (1803) – Haupt Young Komp. Nr. 131 (Execierlager bei St Pölten 07/09/1803)</t>
        </r>
        <r>
          <rPr>
            <sz val="14"/>
            <color rgb="FF000000"/>
            <rFont val="Calibri"/>
            <family val="34"/>
          </rPr>
          <t xml:space="preserve">
</t>
        </r>
        <r>
          <rPr>
            <sz val="14"/>
            <color rgb="FF000000"/>
            <rFont val="Times New Roman"/>
            <family val="18"/>
          </rPr>
          <t>ML 10.126 IR 23 (1804) – Haupt Young Komp. Nr. 123 (Krems 06/09/1804)</t>
        </r>
        <r>
          <rPr>
            <sz val="14"/>
            <color rgb="FF000000"/>
            <rFont val="Calibri"/>
            <family val="34"/>
          </rPr>
          <t xml:space="preserve">
</t>
        </r>
        <r>
          <rPr>
            <sz val="14"/>
            <color rgb="FF000000"/>
            <rFont val="Times New Roman"/>
            <family val="18"/>
          </rPr>
          <t>ML 10.127/8 IR 23 (1807) – Haupt Young Abgang (Korneuburg 24/01/1807)</t>
        </r>
      </text>
    </comment>
    <comment ref="BH341" authorId="0" shapeId="0" xr:uid="{5EB71EB6-5884-4347-ACBD-1645626FADBA}">
      <text>
        <r>
          <rPr>
            <sz val="14"/>
            <color rgb="FF000000"/>
            <rFont val="Calibri"/>
            <family val="34"/>
          </rPr>
          <t>IR 43 (1797-1805)</t>
        </r>
      </text>
    </comment>
    <comment ref="I342" authorId="0" shapeId="0" xr:uid="{47B189DA-2785-E148-989F-047154CABCC7}">
      <text>
        <r>
          <rPr>
            <sz val="14"/>
            <color rgb="FF000000"/>
            <rFont val="Calibri"/>
            <family val="34"/>
          </rPr>
          <t xml:space="preserve">1772 [32 (ML 1804)] 
</t>
        </r>
        <r>
          <rPr>
            <sz val="14"/>
            <color rgb="FF000000"/>
            <rFont val="Calibri"/>
            <family val="34"/>
          </rPr>
          <t xml:space="preserve">OR 
</t>
        </r>
        <r>
          <rPr>
            <sz val="14"/>
            <color rgb="FF000000"/>
            <rFont val="Calibri"/>
            <family val="34"/>
          </rPr>
          <t>1770 [33 (ML 1803)]</t>
        </r>
      </text>
    </comment>
    <comment ref="BF342" authorId="0" shapeId="0" xr:uid="{C0ABCF62-7C7F-E141-8F3D-ADC319D9BBB0}">
      <text>
        <r>
          <rPr>
            <sz val="14"/>
            <color rgb="FF000000"/>
            <rFont val="Times New Roman"/>
            <family val="18"/>
          </rPr>
          <t xml:space="preserve">23/02/1797 </t>
        </r>
        <r>
          <rPr>
            <i/>
            <sz val="14"/>
            <color rgb="FF000000"/>
            <rFont val="Times New Roman"/>
            <family val="18"/>
          </rPr>
          <t>Von Ständen gestellt und a 3Fl Handgeld auf Beständig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09/09/1802 Muster: IR 23 Haupt Stark Komp Nr. 85</t>
        </r>
        <r>
          <rPr>
            <sz val="14"/>
            <color rgb="FF000000"/>
            <rFont val="Calibri"/>
            <family val="34"/>
          </rPr>
          <t xml:space="preserve">
</t>
        </r>
        <r>
          <rPr>
            <sz val="14"/>
            <color rgb="FF000000"/>
            <rFont val="Times New Roman"/>
            <family val="18"/>
          </rPr>
          <t>07/09/1803 Muster: IR 23 Haupt Stark Komp Nr. 73</t>
        </r>
        <r>
          <rPr>
            <sz val="14"/>
            <color rgb="FF000000"/>
            <rFont val="Calibri"/>
            <family val="34"/>
          </rPr>
          <t xml:space="preserve">
</t>
        </r>
        <r>
          <rPr>
            <sz val="14"/>
            <color rgb="FF000000"/>
            <rFont val="Times New Roman"/>
            <family val="18"/>
          </rPr>
          <t>06/09/1804 Muster: IR 23 Haupt Stark Komp Nr. 68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20/09/1805 </t>
        </r>
        <r>
          <rPr>
            <i/>
            <sz val="14"/>
            <color rgb="FF000000"/>
            <rFont val="Times New Roman"/>
            <family val="18"/>
          </rPr>
          <t>Zum Linzer Hauptspital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01/12/1805 </t>
        </r>
        <r>
          <rPr>
            <i/>
            <sz val="14"/>
            <color rgb="FF000000"/>
            <rFont val="Times New Roman"/>
            <family val="18"/>
          </rPr>
          <t>Von die Spitalstand anhero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05/05/1806 </t>
        </r>
        <r>
          <rPr>
            <i/>
            <sz val="14"/>
            <color rgb="FF000000"/>
            <rFont val="Times New Roman"/>
            <family val="18"/>
          </rPr>
          <t>Als Reale Invalid Gegen Renuncierung amit Abschied entlassen</t>
        </r>
        <r>
          <rPr>
            <sz val="14"/>
            <color rgb="FF000000"/>
            <rFont val="Times New Roman"/>
            <family val="18"/>
          </rPr>
          <t xml:space="preserve"> [ML 1807] </t>
        </r>
      </text>
    </comment>
    <comment ref="BG342" authorId="0" shapeId="0" xr:uid="{93FC445F-115A-8047-8651-107B26DA1887}">
      <text>
        <r>
          <rPr>
            <sz val="14"/>
            <color rgb="FF000000"/>
            <rFont val="Times New Roman"/>
            <family val="18"/>
          </rPr>
          <t>ML 10.124 IR 23 (1802) – Haupt Starck Komp. Nr. 85 (Krems 09/09/1802)</t>
        </r>
        <r>
          <rPr>
            <sz val="14"/>
            <color rgb="FF000000"/>
            <rFont val="Calibri"/>
            <family val="34"/>
          </rPr>
          <t xml:space="preserve">
</t>
        </r>
        <r>
          <rPr>
            <sz val="14"/>
            <color rgb="FF000000"/>
            <rFont val="Times New Roman"/>
            <family val="18"/>
          </rPr>
          <t>ML 10.125 IR 23 (1803) – Haupt Starck Komp. Nr. 73 (Execierlager bei St Pölten 07/09/1803)</t>
        </r>
        <r>
          <rPr>
            <sz val="14"/>
            <color rgb="FF000000"/>
            <rFont val="Calibri"/>
            <family val="34"/>
          </rPr>
          <t xml:space="preserve">
</t>
        </r>
        <r>
          <rPr>
            <sz val="14"/>
            <color rgb="FF000000"/>
            <rFont val="Times New Roman"/>
            <family val="18"/>
          </rPr>
          <t>ML 10.126 IR 23 (1804) – Haupt Starck Komp. Nr. 73 (Krems 06/09/1804)</t>
        </r>
        <r>
          <rPr>
            <sz val="14"/>
            <color rgb="FF000000"/>
            <rFont val="Calibri"/>
            <family val="34"/>
          </rPr>
          <t xml:space="preserve">
</t>
        </r>
        <r>
          <rPr>
            <sz val="14"/>
            <color rgb="FF000000"/>
            <rFont val="Times New Roman"/>
            <family val="18"/>
          </rPr>
          <t>ML 10.127/8 IR 23 (1807) – Haupt Wagner Komp. Abgang (Poysdorf 26/01/1807)</t>
        </r>
        <r>
          <rPr>
            <sz val="14"/>
            <color rgb="FF000000"/>
            <rFont val="Calibri"/>
            <family val="34"/>
          </rPr>
          <t xml:space="preserve">
</t>
        </r>
      </text>
    </comment>
    <comment ref="BH342" authorId="0" shapeId="0" xr:uid="{3EE4D49C-9D7E-0843-A9AD-A11ACA68E9FE}">
      <text>
        <r>
          <rPr>
            <sz val="14"/>
            <color rgb="FF000000"/>
            <rFont val="Calibri"/>
            <family val="34"/>
          </rPr>
          <t xml:space="preserve">IR 23 (1797-1805)
</t>
        </r>
        <r>
          <rPr>
            <sz val="14"/>
            <color rgb="FF000000"/>
            <rFont val="Calibri"/>
            <family val="34"/>
          </rPr>
          <t xml:space="preserve">HS Linz (1805)
</t>
        </r>
        <r>
          <rPr>
            <sz val="14"/>
            <color rgb="FF000000"/>
            <rFont val="Calibri"/>
            <family val="34"/>
          </rPr>
          <t>IR 23 (1805-1806)</t>
        </r>
      </text>
    </comment>
    <comment ref="BF343" authorId="0" shapeId="0" xr:uid="{09329B32-24A0-A644-84C6-892CA6F25AE4}">
      <text>
        <r>
          <rPr>
            <sz val="14"/>
            <color rgb="FF000000"/>
            <rFont val="Times New Roman"/>
            <family val="18"/>
          </rPr>
          <t xml:space="preserve">24/02/1797 </t>
        </r>
        <r>
          <rPr>
            <i/>
            <sz val="14"/>
            <color rgb="FF000000"/>
            <rFont val="Times New Roman"/>
            <family val="18"/>
          </rPr>
          <t>A 3Fl Handgeld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343" authorId="0" shapeId="0" xr:uid="{F39225D5-FD25-964A-AAF5-D48285DFF7E9}">
      <text>
        <r>
          <rPr>
            <sz val="14"/>
            <color rgb="FF000000"/>
            <rFont val="Times New Roman"/>
            <family val="18"/>
          </rPr>
          <t>ML 69/70 IR 1 (1797) – AL. 63 (Hrubieszow 27/02/1797); TL IR 1 3 Feld Bats-&gt; 4. Bat Nr. 1097 (Freiburg in Breisgau 29/18/1798); TL IR 1-&gt;IR 56 Nr. 82 (Olmütz 20/08/1797)</t>
        </r>
      </text>
    </comment>
    <comment ref="BH343" authorId="0" shapeId="0" xr:uid="{BB0D97D6-0544-6C44-8A16-17318802D842}">
      <text>
        <r>
          <rPr>
            <sz val="14"/>
            <color rgb="FF000000"/>
            <rFont val="Calibri"/>
            <family val="34"/>
          </rPr>
          <t xml:space="preserve">IR 1 (1797)
</t>
        </r>
        <r>
          <rPr>
            <sz val="14"/>
            <color rgb="FF000000"/>
            <rFont val="Calibri"/>
            <family val="34"/>
          </rPr>
          <t>IR 56 (1797)</t>
        </r>
      </text>
    </comment>
    <comment ref="BF344" authorId="0" shapeId="0" xr:uid="{35E8AF79-50EA-0E4C-9C4A-1CCA0820F2E5}">
      <text>
        <r>
          <rPr>
            <sz val="14"/>
            <color rgb="FF000000"/>
            <rFont val="Times New Roman"/>
            <family val="18"/>
          </rPr>
          <t xml:space="preserve">24/02/1797 </t>
        </r>
        <r>
          <rPr>
            <i/>
            <sz val="14"/>
            <color rgb="FF000000"/>
            <rFont val="Times New Roman"/>
            <family val="18"/>
          </rPr>
          <t>Von galizischen Ständen gestellt und a 3Fl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25/03/1799 </t>
        </r>
        <r>
          <rPr>
            <i/>
            <sz val="14"/>
            <color rgb="FF000000"/>
            <rFont val="Times New Roman"/>
            <family val="18"/>
          </rPr>
          <t>gefangen</t>
        </r>
        <r>
          <rPr>
            <sz val="14"/>
            <color rgb="FF000000"/>
            <rFont val="Times New Roman"/>
            <family val="18"/>
          </rPr>
          <t xml:space="preserve"> </t>
        </r>
        <r>
          <rPr>
            <b/>
            <sz val="14"/>
            <color rgb="FF000000"/>
            <rFont val="Times New Roman"/>
            <family val="18"/>
          </rPr>
          <t>[Martinsbruck]</t>
        </r>
        <r>
          <rPr>
            <sz val="14"/>
            <color rgb="FF000000"/>
            <rFont val="Calibri"/>
            <family val="34"/>
          </rPr>
          <t xml:space="preserve">
</t>
        </r>
        <r>
          <rPr>
            <sz val="14"/>
            <color rgb="FF000000"/>
            <rFont val="Times New Roman"/>
            <family val="18"/>
          </rPr>
          <t xml:space="preserve">26/06/1801 </t>
        </r>
        <r>
          <rPr>
            <i/>
            <sz val="14"/>
            <color rgb="FF000000"/>
            <rFont val="Times New Roman"/>
            <family val="18"/>
          </rPr>
          <t>Gegen Austausch wieder Zurückgelegt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Young Nr. 151</t>
        </r>
        <r>
          <rPr>
            <sz val="14"/>
            <color rgb="FF000000"/>
            <rFont val="Calibri"/>
            <family val="34"/>
          </rPr>
          <t xml:space="preserve">
</t>
        </r>
        <r>
          <rPr>
            <sz val="14"/>
            <color rgb="FF000000"/>
            <rFont val="Times New Roman"/>
            <family val="18"/>
          </rPr>
          <t>07/09/1803 Muster: IR 23 Haupt Young Nr. 138</t>
        </r>
        <r>
          <rPr>
            <sz val="14"/>
            <color rgb="FF000000"/>
            <rFont val="Calibri"/>
            <family val="34"/>
          </rPr>
          <t xml:space="preserve">
</t>
        </r>
        <r>
          <rPr>
            <sz val="14"/>
            <color rgb="FF000000"/>
            <rFont val="Times New Roman"/>
            <family val="18"/>
          </rPr>
          <t>06/09/1804 Muster: IR 23 Haupt Young Nr. 130 [</t>
        </r>
        <r>
          <rPr>
            <i/>
            <sz val="14"/>
            <color rgb="FF000000"/>
            <rFont val="Times New Roman"/>
            <family val="18"/>
          </rPr>
          <t>Commandiert beurlaubt beim Strassenbau</t>
        </r>
        <r>
          <rPr>
            <sz val="14"/>
            <color rgb="FF000000"/>
            <rFont val="Times New Roman"/>
            <family val="18"/>
          </rPr>
          <t>]</t>
        </r>
        <r>
          <rPr>
            <sz val="14"/>
            <color rgb="FF000000"/>
            <rFont val="Calibri"/>
            <family val="34"/>
          </rPr>
          <t xml:space="preserve">
</t>
        </r>
        <r>
          <rPr>
            <sz val="14"/>
            <color rgb="FF000000"/>
            <rFont val="Times New Roman"/>
            <family val="18"/>
          </rPr>
          <t xml:space="preserve">02/12/1805 </t>
        </r>
        <r>
          <rPr>
            <i/>
            <sz val="14"/>
            <color rgb="FF000000"/>
            <rFont val="Times New Roman"/>
            <family val="18"/>
          </rPr>
          <t>Bei der Schlacht bei Austerlitz vermisst</t>
        </r>
        <r>
          <rPr>
            <sz val="14"/>
            <color rgb="FF000000"/>
            <rFont val="Times New Roman"/>
            <family val="18"/>
          </rPr>
          <t xml:space="preserve"> [ML 1807]</t>
        </r>
      </text>
    </comment>
    <comment ref="BG344" authorId="0" shapeId="0" xr:uid="{1468B929-8EA3-8C43-9A03-EE95E90A8781}">
      <text>
        <r>
          <rPr>
            <sz val="14"/>
            <color rgb="FF000000"/>
            <rFont val="Times New Roman"/>
            <family val="18"/>
          </rPr>
          <t>ML 10.124 IR 23 (1802) – Haupt Young Komp. Nr. 161 (Krems 09/09/1802)</t>
        </r>
        <r>
          <rPr>
            <sz val="14"/>
            <color rgb="FF000000"/>
            <rFont val="Calibri"/>
            <family val="34"/>
          </rPr>
          <t xml:space="preserve">
</t>
        </r>
        <r>
          <rPr>
            <sz val="14"/>
            <color rgb="FF000000"/>
            <rFont val="Times New Roman"/>
            <family val="18"/>
          </rPr>
          <t>ML 10.125 IR 23 (1803) – Haupt Young Komp. Nr. 138 (Execierlager bei St Pölten 07/09/1803)</t>
        </r>
        <r>
          <rPr>
            <sz val="14"/>
            <color rgb="FF000000"/>
            <rFont val="Calibri"/>
            <family val="34"/>
          </rPr>
          <t xml:space="preserve">
</t>
        </r>
        <r>
          <rPr>
            <sz val="14"/>
            <color rgb="FF000000"/>
            <rFont val="Times New Roman"/>
            <family val="18"/>
          </rPr>
          <t>ML 10.126 IR 23 (1804) – Haupt Young Komp. Nr. 130 (Krems 06/09/1804)</t>
        </r>
        <r>
          <rPr>
            <sz val="14"/>
            <color rgb="FF000000"/>
            <rFont val="Calibri"/>
            <family val="34"/>
          </rPr>
          <t xml:space="preserve">
</t>
        </r>
        <r>
          <rPr>
            <sz val="14"/>
            <color rgb="FF000000"/>
            <rFont val="Times New Roman"/>
            <family val="18"/>
          </rPr>
          <t>ML 10.127/8 IR 23 (1807) – Haupt Young Abgang (Korneuburg 24/01/1807)</t>
        </r>
        <r>
          <rPr>
            <sz val="14"/>
            <color rgb="FF000000"/>
            <rFont val="Calibri"/>
            <family val="34"/>
          </rPr>
          <t xml:space="preserve">
</t>
        </r>
      </text>
    </comment>
    <comment ref="BH344" authorId="0" shapeId="0" xr:uid="{D0F1D0C4-CA05-BF46-9E56-05E05DD10230}">
      <text>
        <r>
          <rPr>
            <sz val="14"/>
            <color rgb="FF000000"/>
            <rFont val="Calibri"/>
            <family val="34"/>
          </rPr>
          <t>IR 23 (1797-1805)</t>
        </r>
      </text>
    </comment>
    <comment ref="BF345" authorId="0" shapeId="0" xr:uid="{C0D83B14-4593-9E4A-B1F4-0AC2817B2615}">
      <text>
        <r>
          <rPr>
            <sz val="14"/>
            <color rgb="FF000000"/>
            <rFont val="Times New Roman"/>
            <family val="18"/>
          </rPr>
          <t xml:space="preserve">24/02/1797 </t>
        </r>
        <r>
          <rPr>
            <i/>
            <sz val="14"/>
            <color rgb="FF000000"/>
            <rFont val="Times New Roman"/>
            <family val="18"/>
          </rPr>
          <t>A 3Fl Handgeld auf Dauer des Kriegs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09/07/1797 </t>
        </r>
        <r>
          <rPr>
            <i/>
            <sz val="14"/>
            <color rgb="FF000000"/>
            <rFont val="Times New Roman"/>
            <family val="18"/>
          </rPr>
          <t>Von 4. Bat Haupt Dientlinger Komp. zum Feld Bats transferiert, zum Haupt Bourgreven Komp. eingeheilt und seitdem auf Anhero Marsch</t>
        </r>
        <r>
          <rPr>
            <sz val="14"/>
            <color rgb="FF000000"/>
            <rFont val="Times New Roman"/>
            <family val="18"/>
          </rPr>
          <t xml:space="preserve"> [TL July 1797 &amp; ST Sept 1797]</t>
        </r>
        <r>
          <rPr>
            <sz val="14"/>
            <color rgb="FF000000"/>
            <rFont val="Calibri"/>
            <family val="34"/>
          </rPr>
          <t xml:space="preserve">
</t>
        </r>
        <r>
          <rPr>
            <sz val="14"/>
            <color rgb="FF000000"/>
            <rFont val="Times New Roman"/>
            <family val="18"/>
          </rPr>
          <t xml:space="preserve">06/09/1797 </t>
        </r>
        <r>
          <rPr>
            <i/>
            <sz val="14"/>
            <color rgb="FF000000"/>
            <rFont val="Times New Roman"/>
            <family val="18"/>
          </rPr>
          <t>In Kompanie eingerückt</t>
        </r>
        <r>
          <rPr>
            <sz val="14"/>
            <color rgb="FF000000"/>
            <rFont val="Times New Roman"/>
            <family val="18"/>
          </rPr>
          <t xml:space="preserve"> [ST Sept 1798]</t>
        </r>
        <r>
          <rPr>
            <sz val="14"/>
            <color rgb="FF000000"/>
            <rFont val="Calibri"/>
            <family val="34"/>
          </rPr>
          <t xml:space="preserve">
</t>
        </r>
        <r>
          <rPr>
            <sz val="14"/>
            <color rgb="FF000000"/>
            <rFont val="Times New Roman"/>
            <family val="18"/>
          </rPr>
          <t xml:space="preserve">29/08/1799 </t>
        </r>
        <r>
          <rPr>
            <i/>
            <sz val="14"/>
            <color rgb="FF000000"/>
            <rFont val="Times New Roman"/>
            <family val="18"/>
          </rPr>
          <t xml:space="preserve">In dr Affaire bey Claris </t>
        </r>
        <r>
          <rPr>
            <b/>
            <sz val="14"/>
            <color rgb="FF000000"/>
            <rFont val="Times New Roman"/>
            <family val="18"/>
          </rPr>
          <t>[Glarus, Swizerland]</t>
        </r>
        <r>
          <rPr>
            <sz val="14"/>
            <color rgb="FF000000"/>
            <rFont val="Times New Roman"/>
            <family val="18"/>
          </rPr>
          <t xml:space="preserve"> </t>
        </r>
        <r>
          <rPr>
            <i/>
            <sz val="14"/>
            <color rgb="FF000000"/>
            <rFont val="Times New Roman"/>
            <family val="18"/>
          </rPr>
          <t>vor dem Feind geblieben</t>
        </r>
        <r>
          <rPr>
            <sz val="14"/>
            <color rgb="FF000000"/>
            <rFont val="Times New Roman"/>
            <family val="18"/>
          </rPr>
          <t xml:space="preserve"> [ST Aug 1799]</t>
        </r>
      </text>
    </comment>
    <comment ref="BG345" authorId="0" shapeId="0" xr:uid="{C26B898D-B89A-7741-8821-2AA63106C1F7}">
      <text>
        <r>
          <rPr>
            <sz val="14"/>
            <color rgb="FF000000"/>
            <rFont val="Times New Roman"/>
            <family val="18"/>
          </rPr>
          <t>ML 68 IR (1797) – ST July (Olmütz 21/08/1797), ST Sept (ST Sept (Brünn 24/10/1802)</t>
        </r>
        <r>
          <rPr>
            <sz val="14"/>
            <color rgb="FF000000"/>
            <rFont val="Calibri"/>
            <family val="34"/>
          </rPr>
          <t xml:space="preserve">
</t>
        </r>
        <r>
          <rPr>
            <sz val="14"/>
            <color rgb="FF000000"/>
            <rFont val="Times New Roman"/>
            <family val="18"/>
          </rPr>
          <t>ML 69/70 IR 1 (1797) – AL Nr. 62 (Hrubieszow 27/02/1797); TL IR 1 3 Feld Bats-&gt; 4. Bat Nr. 1096 (Freiburg in Breisgau 29/18/1798)</t>
        </r>
        <r>
          <rPr>
            <sz val="14"/>
            <color rgb="FF000000"/>
            <rFont val="Calibri"/>
            <family val="34"/>
          </rPr>
          <t xml:space="preserve">
</t>
        </r>
        <r>
          <rPr>
            <sz val="14"/>
            <color rgb="FF000000"/>
            <rFont val="Times New Roman"/>
            <family val="18"/>
          </rPr>
          <t>ML 72 IR 1 (1799) – ST Sept (Olmütz 07/01/1800)</t>
        </r>
      </text>
    </comment>
    <comment ref="BH345" authorId="0" shapeId="0" xr:uid="{CF610739-8A45-C241-8B8D-3CABFAC72DA7}">
      <text>
        <r>
          <rPr>
            <sz val="14"/>
            <color rgb="FF000000"/>
            <rFont val="Calibri"/>
            <family val="34"/>
          </rPr>
          <t>IR 1 (1797-1799)</t>
        </r>
      </text>
    </comment>
    <comment ref="BF346" authorId="0" shapeId="0" xr:uid="{59CC02A7-208A-6545-B47A-90CB621DAFA6}">
      <text>
        <r>
          <rPr>
            <sz val="14"/>
            <color rgb="FF000000"/>
            <rFont val="Times New Roman"/>
            <family val="18"/>
          </rPr>
          <t xml:space="preserve">24/02/1797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Rauch Nr. 101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Urlaub in Polen desertiert</t>
        </r>
        <r>
          <rPr>
            <sz val="14"/>
            <color rgb="FF000000"/>
            <rFont val="Times New Roman"/>
            <family val="18"/>
          </rPr>
          <t xml:space="preserve"> [ML 1803]</t>
        </r>
        <r>
          <rPr>
            <sz val="14"/>
            <color rgb="FF000000"/>
            <rFont val="Calibri"/>
            <family val="2"/>
          </rPr>
          <t xml:space="preserve"> </t>
        </r>
      </text>
    </comment>
    <comment ref="BG346" authorId="0" shapeId="0" xr:uid="{E3D3CEE3-0FA8-9C49-A91B-825888F3751C}">
      <text>
        <r>
          <rPr>
            <sz val="14"/>
            <color rgb="FF000000"/>
            <rFont val="Times New Roman"/>
            <family val="18"/>
          </rPr>
          <t>ML 10.124 IR 23 (1802) – Haupt Rauch Komp. Nr. 101 (Vienna 16/09/1802)</t>
        </r>
        <r>
          <rPr>
            <sz val="14"/>
            <color rgb="FF000000"/>
            <rFont val="Calibri"/>
            <family val="34"/>
          </rPr>
          <t xml:space="preserve">
</t>
        </r>
        <r>
          <rPr>
            <sz val="14"/>
            <color rgb="FF000000"/>
            <rFont val="Times New Roman"/>
            <family val="18"/>
          </rPr>
          <t>ML 10.125 IR 23 (1803) – Haupt Rauch Komp. Abgang (Vienna 16/09/1803)</t>
        </r>
        <r>
          <rPr>
            <sz val="14"/>
            <color rgb="FF000000"/>
            <rFont val="Calibri"/>
            <family val="34"/>
          </rPr>
          <t xml:space="preserve">
</t>
        </r>
      </text>
    </comment>
    <comment ref="BH346" authorId="0" shapeId="0" xr:uid="{B0F54B79-6EED-1F48-99CC-267D664390F2}">
      <text>
        <r>
          <rPr>
            <sz val="14"/>
            <color rgb="FF000000"/>
            <rFont val="Calibri"/>
            <family val="34"/>
          </rPr>
          <t>IR 23 (1797-1803)</t>
        </r>
      </text>
    </comment>
    <comment ref="I347" authorId="0" shapeId="0" xr:uid="{D7580749-3ECB-2141-B00E-9EF4BBD0C8AA}">
      <text>
        <r>
          <rPr>
            <b/>
            <sz val="14"/>
            <color rgb="FF000000"/>
            <rFont val="Calibri"/>
            <family val="34"/>
          </rPr>
          <t xml:space="preserve">1776 [21 (AL 1797)] 
</t>
        </r>
        <r>
          <rPr>
            <sz val="14"/>
            <color rgb="FF000000"/>
            <rFont val="Calibri"/>
            <family val="34"/>
          </rPr>
          <t xml:space="preserve">OR 
</t>
        </r>
        <r>
          <rPr>
            <sz val="14"/>
            <color rgb="FF000000"/>
            <rFont val="Calibri"/>
            <family val="34"/>
          </rPr>
          <t>1777 [25 (ML 1802)]</t>
        </r>
      </text>
    </comment>
    <comment ref="T347" authorId="0" shapeId="0" xr:uid="{EFCF63C5-5CA2-E248-8C41-7C3A917A0E2C}">
      <text>
        <r>
          <rPr>
            <b/>
            <sz val="14"/>
            <color rgb="FF000000"/>
            <rFont val="Calibri"/>
            <family val="34"/>
          </rPr>
          <t xml:space="preserve">5.1.2 [161.07 cm] ML 1802)
</t>
        </r>
        <r>
          <rPr>
            <sz val="14"/>
            <color rgb="FF000000"/>
            <rFont val="Calibri"/>
            <family val="34"/>
          </rPr>
          <t>5.2.2 [163.7 cm (AL 1797)</t>
        </r>
      </text>
    </comment>
    <comment ref="BF347" authorId="0" shapeId="0" xr:uid="{EDE7CA7B-6302-9D47-8A07-51CBE35585B4}">
      <text>
        <r>
          <rPr>
            <sz val="14"/>
            <color rgb="FF000000"/>
            <rFont val="Times New Roman"/>
            <family val="18"/>
          </rPr>
          <t xml:space="preserve">24/02/1797 </t>
        </r>
        <r>
          <rPr>
            <i/>
            <sz val="14"/>
            <color rgb="FF000000"/>
            <rFont val="Times New Roman"/>
            <family val="18"/>
          </rPr>
          <t>Als Galizische Landständische Recrout a 3Fl gestellt und zum IR 21 ‚Reserve Division‘ Assentiert</t>
        </r>
        <r>
          <rPr>
            <sz val="14"/>
            <color rgb="FF000000"/>
            <rFont val="Times New Roman"/>
            <family val="18"/>
          </rPr>
          <t xml:space="preserve"> [AL Feb 1797]
</t>
        </r>
        <r>
          <rPr>
            <sz val="14"/>
            <color rgb="FF000000"/>
            <rFont val="Times New Roman"/>
            <family val="18"/>
          </rPr>
          <t xml:space="preserve">11/07/1797 </t>
        </r>
        <r>
          <rPr>
            <i/>
            <sz val="14"/>
            <color rgb="FF000000"/>
            <rFont val="Times New Roman"/>
            <family val="18"/>
          </rPr>
          <t>Von IR 21 Vacant Komp. zum IR 11 ‚Michael Wallis‘ transferiert</t>
        </r>
        <r>
          <rPr>
            <sz val="14"/>
            <color rgb="FF000000"/>
            <rFont val="Times New Roman"/>
            <family val="18"/>
          </rPr>
          <t xml:space="preserve"> [TL Aug 1797]
</t>
        </r>
        <r>
          <rPr>
            <sz val="14"/>
            <color rgb="FF000000"/>
            <rFont val="Times New Roman"/>
            <family val="18"/>
          </rPr>
          <t xml:space="preserve">25/03/1799 </t>
        </r>
        <r>
          <rPr>
            <i/>
            <sz val="14"/>
            <color rgb="FF000000"/>
            <rFont val="Times New Roman"/>
            <family val="18"/>
          </rPr>
          <t>Kriegsgefangen</t>
        </r>
        <r>
          <rPr>
            <sz val="14"/>
            <color rgb="FF000000"/>
            <rFont val="Times New Roman"/>
            <family val="18"/>
          </rPr>
          <t xml:space="preserve"> </t>
        </r>
        <r>
          <rPr>
            <b/>
            <sz val="14"/>
            <color rgb="FF000000"/>
            <rFont val="Times New Roman"/>
            <family val="18"/>
          </rPr>
          <t>[1. Gefecht beim Taufers]</t>
        </r>
        <r>
          <rPr>
            <sz val="14"/>
            <color rgb="FF000000"/>
            <rFont val="Times New Roman"/>
            <family val="18"/>
          </rPr>
          <t xml:space="preserve">
</t>
        </r>
        <r>
          <rPr>
            <sz val="14"/>
            <color rgb="FF000000"/>
            <rFont val="Times New Roman"/>
            <family val="18"/>
          </rPr>
          <t xml:space="preserve">??/07/1801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17/09/1802 Muster: IR 11 Haupt Trach Komp. Nr. 159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09/1802 </t>
        </r>
        <r>
          <rPr>
            <i/>
            <sz val="14"/>
            <color rgb="FF000000"/>
            <rFont val="Times New Roman"/>
            <family val="18"/>
          </rPr>
          <t>Aus seinem Urlaubsort Kollomea in Stanislauer Kreis in West [Sic!] Galizien von bestimte Urlaub desertiert</t>
        </r>
        <r>
          <rPr>
            <sz val="14"/>
            <color rgb="FF000000"/>
            <rFont val="Times New Roman"/>
            <family val="18"/>
          </rPr>
          <t xml:space="preserve"> [ST Jan 1803] </t>
        </r>
      </text>
    </comment>
    <comment ref="BG347" authorId="0" shapeId="0" xr:uid="{C5AB5E6E-27E1-0544-A316-735366659CC3}">
      <text>
        <r>
          <rPr>
            <sz val="14"/>
            <color rgb="FF000000"/>
            <rFont val="Times New Roman"/>
            <family val="18"/>
          </rPr>
          <t>ML 1755 IR 21 (1797) AL/TL – AL Nr. 63 (Stanislau 28/02/1797), TL IR 21-&gt;IR 11 Nr. 144 (04/08/1797)</t>
        </r>
        <r>
          <rPr>
            <sz val="14"/>
            <color rgb="FF000000"/>
            <rFont val="Times New Roman"/>
            <family val="18"/>
          </rPr>
          <t xml:space="preserve">
</t>
        </r>
        <r>
          <rPr>
            <sz val="14"/>
            <color rgb="FF000000"/>
            <rFont val="Times New Roman"/>
            <family val="18"/>
          </rPr>
          <t>ML 804/5 IR 11 (1802) – Haupt Trach Komp. Nr. 159 (Wisotczan 17/09/1802)</t>
        </r>
        <r>
          <rPr>
            <sz val="14"/>
            <color rgb="FF000000"/>
            <rFont val="Times New Roman"/>
            <family val="18"/>
          </rPr>
          <t xml:space="preserve">
</t>
        </r>
        <r>
          <rPr>
            <sz val="14"/>
            <color rgb="FF000000"/>
            <rFont val="Times New Roman"/>
            <family val="18"/>
          </rPr>
          <t>ML 841 IR 11 (1803) – ST Jan (Prague 09/02/1802)</t>
        </r>
        <r>
          <rPr>
            <sz val="14"/>
            <color rgb="FF000000"/>
            <rFont val="Times New Roman"/>
            <family val="18"/>
          </rPr>
          <t xml:space="preserve">
</t>
        </r>
      </text>
    </comment>
    <comment ref="BH347" authorId="0" shapeId="0" xr:uid="{D99A858D-C105-4D48-AFE6-3B327F321E8D}">
      <text>
        <r>
          <rPr>
            <sz val="14"/>
            <color rgb="FF000000"/>
            <rFont val="Calibri"/>
            <family val="34"/>
          </rPr>
          <t xml:space="preserve">IR 21 (1797)
</t>
        </r>
        <r>
          <rPr>
            <sz val="14"/>
            <color rgb="FF000000"/>
            <rFont val="Calibri"/>
            <family val="34"/>
          </rPr>
          <t>IR 11 (1797-1803)</t>
        </r>
      </text>
    </comment>
    <comment ref="BI347" authorId="0" shapeId="0" xr:uid="{715E63FF-A586-3344-A613-D20DCEC4048D}">
      <text>
        <r>
          <rPr>
            <i/>
            <sz val="14"/>
            <color rgb="FF000000"/>
            <rFont val="Times New Roman"/>
            <family val="18"/>
          </rPr>
          <t>Gut</t>
        </r>
        <r>
          <rPr>
            <sz val="14"/>
            <color rgb="FF000000"/>
            <rFont val="Times New Roman"/>
            <family val="18"/>
          </rPr>
          <t xml:space="preserve"> [TL Aug 1797]</t>
        </r>
      </text>
    </comment>
    <comment ref="I348" authorId="0" shapeId="0" xr:uid="{37C18527-B159-F644-B0BA-E1F7D26697AC}">
      <text>
        <r>
          <rPr>
            <sz val="14"/>
            <color rgb="FF000000"/>
            <rFont val="Calibri"/>
            <family val="34"/>
          </rPr>
          <t xml:space="preserve">1775 [22 (TL 1797)]
</t>
        </r>
        <r>
          <rPr>
            <sz val="14"/>
            <color rgb="FF000000"/>
            <rFont val="Calibri"/>
            <family val="34"/>
          </rPr>
          <t xml:space="preserve">OR
</t>
        </r>
        <r>
          <rPr>
            <b/>
            <sz val="14"/>
            <color rgb="FF000000"/>
            <rFont val="Calibri"/>
            <family val="34"/>
          </rPr>
          <t xml:space="preserve">1776 [21 (AL 1797)] 
</t>
        </r>
        <r>
          <rPr>
            <sz val="14"/>
            <color rgb="FF000000"/>
            <rFont val="Calibri"/>
            <family val="34"/>
          </rPr>
          <t xml:space="preserve">OR 
</t>
        </r>
        <r>
          <rPr>
            <sz val="14"/>
            <color rgb="FF000000"/>
            <rFont val="Calibri"/>
            <family val="34"/>
          </rPr>
          <t>1778 [28 (ML 1806)]</t>
        </r>
      </text>
    </comment>
    <comment ref="T348" authorId="0" shapeId="0" xr:uid="{3B89D905-7D8D-7241-9AB1-81806CE12A5E}">
      <text>
        <r>
          <rPr>
            <b/>
            <sz val="14"/>
            <color rgb="FF000000"/>
            <rFont val="Calibri"/>
            <family val="34"/>
          </rPr>
          <t xml:space="preserve">5.2 [163.26 cm (AL 1797/ML 1806)]
</t>
        </r>
        <r>
          <rPr>
            <sz val="14"/>
            <color rgb="FF000000"/>
            <rFont val="Calibri"/>
            <family val="34"/>
          </rPr>
          <t>5.2.2 [163.7 cm (ML 1802)]</t>
        </r>
      </text>
    </comment>
    <comment ref="BF348" authorId="0" shapeId="0" xr:uid="{8CECBADD-B7CC-9B40-95F4-C6EF4A672F7A}">
      <text>
        <r>
          <rPr>
            <sz val="14"/>
            <color rgb="FFFF0000"/>
            <rFont val="Times New Roman"/>
            <family val="18"/>
          </rPr>
          <t xml:space="preserve">22/09/1796 </t>
        </r>
        <r>
          <rPr>
            <i/>
            <sz val="14"/>
            <color rgb="FFFF0000"/>
            <rFont val="Times New Roman"/>
            <family val="18"/>
          </rPr>
          <t>Dient seit</t>
        </r>
        <r>
          <rPr>
            <sz val="14"/>
            <color rgb="FFFF0000"/>
            <rFont val="Times New Roman"/>
            <family val="18"/>
          </rPr>
          <t xml:space="preserve"> [ML 1802/4]</t>
        </r>
        <r>
          <rPr>
            <sz val="14"/>
            <color rgb="FF000000"/>
            <rFont val="Times New Roman"/>
            <family val="18"/>
          </rPr>
          <t xml:space="preserve">
</t>
        </r>
        <r>
          <rPr>
            <sz val="14"/>
            <color rgb="FF000000"/>
            <rFont val="Times New Roman"/>
            <family val="18"/>
          </rPr>
          <t xml:space="preserve">27/02/1797 </t>
        </r>
        <r>
          <rPr>
            <i/>
            <sz val="14"/>
            <color rgb="FF000000"/>
            <rFont val="Times New Roman"/>
            <family val="18"/>
          </rPr>
          <t>Als Galizische Landständische Recrout a 3Fl gestellt und zum IR 21 ‚Reserve Division‘ Assentiert</t>
        </r>
        <r>
          <rPr>
            <sz val="14"/>
            <color rgb="FF000000"/>
            <rFont val="Times New Roman"/>
            <family val="18"/>
          </rPr>
          <t xml:space="preserve"> [AL Feb 1797]</t>
        </r>
        <r>
          <rPr>
            <sz val="14"/>
            <color rgb="FF000000"/>
            <rFont val="Times New Roman"/>
            <family val="18"/>
          </rPr>
          <t xml:space="preserve">
</t>
        </r>
        <r>
          <rPr>
            <sz val="14"/>
            <color rgb="FF000000"/>
            <rFont val="Times New Roman"/>
            <family val="18"/>
          </rPr>
          <t xml:space="preserve">11/07/1797 </t>
        </r>
        <r>
          <rPr>
            <i/>
            <sz val="14"/>
            <color rgb="FF000000"/>
            <rFont val="Times New Roman"/>
            <family val="18"/>
          </rPr>
          <t>Von IR 21 Vacant Komp. zum IR 11 ‚Michael Wallis‘ transferiert</t>
        </r>
        <r>
          <rPr>
            <sz val="14"/>
            <color rgb="FF000000"/>
            <rFont val="Times New Roman"/>
            <family val="18"/>
          </rPr>
          <t xml:space="preserve"> [TL Aug 1797]</t>
        </r>
        <r>
          <rPr>
            <sz val="14"/>
            <color rgb="FF000000"/>
            <rFont val="Times New Roman"/>
            <family val="18"/>
          </rPr>
          <t xml:space="preserve">
</t>
        </r>
        <r>
          <rPr>
            <sz val="14"/>
            <color rgb="FF000000"/>
            <rFont val="Times New Roman"/>
            <family val="18"/>
          </rPr>
          <t xml:space="preserve">01/05/1801 </t>
        </r>
        <r>
          <rPr>
            <i/>
            <sz val="14"/>
            <color rgb="FF000000"/>
            <rFont val="Times New Roman"/>
            <family val="18"/>
          </rPr>
          <t xml:space="preserve">Von Kriegsgefangenschaft </t>
        </r>
        <r>
          <rPr>
            <sz val="14"/>
            <color rgb="FF000000"/>
            <rFont val="Times New Roman"/>
            <family val="18"/>
          </rPr>
          <t>[ML 1802 Docierung]</t>
        </r>
        <r>
          <rPr>
            <sz val="14"/>
            <color rgb="FF000000"/>
            <rFont val="Times New Roman"/>
            <family val="18"/>
          </rPr>
          <t xml:space="preserve">
</t>
        </r>
        <r>
          <rPr>
            <sz val="14"/>
            <color rgb="FF000000"/>
            <rFont val="Times New Roman"/>
            <family val="18"/>
          </rPr>
          <t>17/09/1802 Muster: IR 11 Haupt Strauss Komp. Nr. 102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25/08/1804 Muster: IR 11 Haupt Strauss Komp. Nr. 91 [</t>
        </r>
        <r>
          <rPr>
            <i/>
            <sz val="14"/>
            <color rgb="FF000000"/>
            <rFont val="Times New Roman"/>
            <family val="18"/>
          </rPr>
          <t>Beurlaubt in Stanislau in Galizien bis zur Einberufung</t>
        </r>
        <r>
          <rPr>
            <sz val="14"/>
            <color rgb="FF000000"/>
            <rFont val="Times New Roman"/>
            <family val="18"/>
          </rPr>
          <t>]</t>
        </r>
        <r>
          <rPr>
            <sz val="14"/>
            <color rgb="FF000000"/>
            <rFont val="Times New Roman"/>
            <family val="18"/>
          </rPr>
          <t xml:space="preserve">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15/05/1806 </t>
        </r>
        <r>
          <rPr>
            <i/>
            <sz val="14"/>
            <color rgb="FF000000"/>
            <rFont val="Times New Roman"/>
            <family val="18"/>
          </rPr>
          <t xml:space="preserve">Als formlich ranzionierte aus der Kriegsgefangenschaft zurückgelegt, zur Wels in </t>
        </r>
        <r>
          <rPr>
            <i/>
            <sz val="14"/>
            <color rgb="FF000000"/>
            <rFont val="Times New Roman"/>
            <family val="18"/>
          </rPr>
          <t>Ö</t>
        </r>
        <r>
          <rPr>
            <i/>
            <sz val="14"/>
            <color rgb="FF000000"/>
            <rFont val="Times New Roman"/>
            <family val="18"/>
          </rPr>
          <t>sterreich präsentiert und zur 2. Fus. Komp. eingeteilt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23/12/1806 Muster: IR 11 2. Fus. Komp. Nr. 118 </t>
        </r>
      </text>
    </comment>
    <comment ref="BG348" authorId="0" shapeId="0" xr:uid="{0392960E-AC76-7E43-90C3-691A7C666AC3}">
      <text>
        <r>
          <rPr>
            <sz val="14"/>
            <color rgb="FF000000"/>
            <rFont val="Times New Roman"/>
            <family val="18"/>
          </rPr>
          <t>ML 1755 IR 21 (1797) AL/TL – AL Nr. 73 (Stanislau 28/02/1797), TL IR 21-&gt;IR 11 Nr. 141 (04/08/1797)</t>
        </r>
        <r>
          <rPr>
            <sz val="14"/>
            <color rgb="FF000000"/>
            <rFont val="Times New Roman"/>
            <family val="18"/>
          </rPr>
          <t xml:space="preserve">
</t>
        </r>
        <r>
          <rPr>
            <sz val="14"/>
            <color rgb="FF000000"/>
            <rFont val="Times New Roman"/>
            <family val="18"/>
          </rPr>
          <t>ML 804/5 IR 11 (1802) – Haupt Strauss Komp. Nr. 102 (Wisotczan 17/09/1802)</t>
        </r>
        <r>
          <rPr>
            <sz val="14"/>
            <color rgb="FF000000"/>
            <rFont val="Times New Roman"/>
            <family val="18"/>
          </rPr>
          <t xml:space="preserve">
</t>
        </r>
        <r>
          <rPr>
            <sz val="14"/>
            <color rgb="FF000000"/>
            <rFont val="Times New Roman"/>
            <family val="18"/>
          </rPr>
          <t>ML 806 IR 11 (1804) – Haupt Strauss Komp. Nr. 118 (Prague 25/08/1804)</t>
        </r>
        <r>
          <rPr>
            <sz val="14"/>
            <color rgb="FF000000"/>
            <rFont val="Times New Roman"/>
            <family val="18"/>
          </rPr>
          <t xml:space="preserve">
</t>
        </r>
        <r>
          <rPr>
            <sz val="14"/>
            <color rgb="FF000000"/>
            <rFont val="Times New Roman"/>
            <family val="18"/>
          </rPr>
          <t>ML 807/8 IR 11 (1806) – 2. Fus. Komp. Komp. Nr. 91 (Prague 23/12/1806)</t>
        </r>
        <r>
          <rPr>
            <sz val="14"/>
            <color rgb="FF000000"/>
            <rFont val="Times New Roman"/>
            <family val="18"/>
          </rPr>
          <t xml:space="preserve">
</t>
        </r>
      </text>
    </comment>
    <comment ref="BH348" authorId="0" shapeId="0" xr:uid="{4CF67279-BC20-0D4A-9EB2-2EBF9C98635E}">
      <text>
        <r>
          <rPr>
            <sz val="14"/>
            <color rgb="FF000000"/>
            <rFont val="Calibri"/>
            <family val="34"/>
          </rPr>
          <t xml:space="preserve">IR 21 (1797)
</t>
        </r>
        <r>
          <rPr>
            <sz val="14"/>
            <color rgb="FF000000"/>
            <rFont val="Calibri"/>
            <family val="34"/>
          </rPr>
          <t>IR 11 (1797-1806)</t>
        </r>
      </text>
    </comment>
    <comment ref="BF349" authorId="0" shapeId="0" xr:uid="{1F4EB4D6-3810-794C-9173-41C822B17DE6}">
      <text>
        <r>
          <rPr>
            <sz val="14"/>
            <color rgb="FF000000"/>
            <rFont val="Times New Roman"/>
            <family val="18"/>
          </rPr>
          <t xml:space="preserve">28/02/1797 </t>
        </r>
        <r>
          <rPr>
            <i/>
            <sz val="14"/>
            <color rgb="FF000000"/>
            <rFont val="Times New Roman"/>
            <family val="18"/>
          </rPr>
          <t>als Landständischer Recrout a 3Fl Handgeld zu Jaslo assentiert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01/03/1809 </t>
        </r>
        <r>
          <rPr>
            <i/>
            <sz val="14"/>
            <color rgb="FF000000"/>
            <rFont val="Times New Roman"/>
            <family val="18"/>
          </rPr>
          <t>zum Gefreyter Avanciert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3. Fus. Kompanie zum IR 63 transferiert und zur 10. Fus. Komp. eingeheilt</t>
        </r>
        <r>
          <rPr>
            <sz val="14"/>
            <color rgb="FF000000"/>
            <rFont val="Times New Roman"/>
            <family val="18"/>
          </rPr>
          <t xml:space="preserve"> [TL Sept 1810 &amp; ST March 1810] </t>
        </r>
        <r>
          <rPr>
            <sz val="14"/>
            <color rgb="FF000000"/>
            <rFont val="Calibri"/>
            <family val="34"/>
          </rPr>
          <t xml:space="preserve">
</t>
        </r>
        <r>
          <rPr>
            <sz val="14"/>
            <color rgb="FF000000"/>
            <rFont val="Times New Roman"/>
            <family val="18"/>
          </rPr>
          <t xml:space="preserve">21/08/1810 </t>
        </r>
        <r>
          <rPr>
            <i/>
            <sz val="14"/>
            <color rgb="FF000000"/>
            <rFont val="Times New Roman"/>
            <family val="18"/>
          </rPr>
          <t>Auf Arbeit zu Comorn commandiert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20/10/1810 </t>
        </r>
        <r>
          <rPr>
            <i/>
            <sz val="14"/>
            <color rgb="FF000000"/>
            <rFont val="Times New Roman"/>
            <family val="18"/>
          </rPr>
          <t>Als ausgedienter Capitulant mit Abschied entlassen</t>
        </r>
        <r>
          <rPr>
            <sz val="14"/>
            <color rgb="FF000000"/>
            <rFont val="Times New Roman"/>
            <family val="18"/>
          </rPr>
          <t xml:space="preserve"> [ST Oct 1810] </t>
        </r>
      </text>
    </comment>
    <comment ref="BG349" authorId="0" shapeId="0" xr:uid="{415F1C83-2445-EB43-B625-773AC300AA88}">
      <text>
        <r>
          <rPr>
            <sz val="14"/>
            <color rgb="FF000000"/>
            <rFont val="Times New Roman"/>
            <family val="18"/>
          </rPr>
          <t xml:space="preserve">ML 5292 IR 63 (1810) – März (Preßburg 16/07/1811), Aug (31/10/1811), Oct (Karlhaus bei Brünn 20/11/1810)
</t>
        </r>
        <r>
          <rPr>
            <sz val="14"/>
            <color rgb="FF000000"/>
            <rFont val="Times New Roman"/>
            <family val="18"/>
          </rPr>
          <t xml:space="preserve">ML 5293 IR 63 (1810) AL/TL – TL IR 13-&gt;IR 63 Nr. 33 (Graz 02/09/1810)
</t>
        </r>
      </text>
    </comment>
    <comment ref="BH349" authorId="0" shapeId="0" xr:uid="{E7C5985A-1B35-1842-8F9B-686F63458F20}">
      <text>
        <r>
          <rPr>
            <sz val="14"/>
            <color rgb="FF000000"/>
            <rFont val="Calibri"/>
            <family val="34"/>
          </rPr>
          <t xml:space="preserve">IR 13 (1797-1810)
</t>
        </r>
        <r>
          <rPr>
            <sz val="14"/>
            <color rgb="FF000000"/>
            <rFont val="Calibri"/>
            <family val="34"/>
          </rPr>
          <t>IR 63 (1810)</t>
        </r>
      </text>
    </comment>
    <comment ref="BF350" authorId="0" shapeId="0" xr:uid="{B13F6938-E832-FE4C-85D9-A94D242D256F}">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Haupt Dostal Comp</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 xml:space="preserve">15/09/1797 </t>
        </r>
        <r>
          <rPr>
            <i/>
            <sz val="14"/>
            <color rgb="FF000000"/>
            <rFont val="Times New Roman"/>
            <family val="18"/>
          </rPr>
          <t>zu militar Fuhrwesen Corps der I.Oe Armee trasnferiert</t>
        </r>
        <r>
          <rPr>
            <sz val="14"/>
            <color rgb="FF000000"/>
            <rFont val="Times New Roman"/>
            <family val="18"/>
          </rPr>
          <t xml:space="preserve"> [ST Sept 1797]</t>
        </r>
        <r>
          <rPr>
            <sz val="14"/>
            <color rgb="FF000000"/>
            <rFont val="Calibri"/>
            <family val="34"/>
          </rPr>
          <t xml:space="preserve">
</t>
        </r>
      </text>
    </comment>
    <comment ref="BG350" authorId="0" shapeId="0" xr:uid="{5C894769-43E3-AA4E-8420-85AD1A6EC950}">
      <text>
        <r>
          <rPr>
            <sz val="14"/>
            <color rgb="FF000000"/>
            <rFont val="Calibri"/>
            <family val="34"/>
          </rPr>
          <t>ML 10.305 IR 43 (1797) ST Aug (01/09/1803) und Sept (02/09/1804)</t>
        </r>
      </text>
    </comment>
    <comment ref="BH350" authorId="0" shapeId="0" xr:uid="{8248E51D-B12C-344C-BFD3-7B29E1AF8F60}">
      <text>
        <r>
          <rPr>
            <sz val="14"/>
            <color rgb="FF000000"/>
            <rFont val="Calibri"/>
            <family val="34"/>
          </rPr>
          <t>IR 43 (1797)</t>
        </r>
      </text>
    </comment>
    <comment ref="F351" authorId="0" shapeId="0" xr:uid="{ED45202C-C9E7-0443-8452-6B7CE080AB58}">
      <text>
        <r>
          <rPr>
            <sz val="14"/>
            <color rgb="FF000000"/>
            <rFont val="Times New Roman"/>
            <family val="18"/>
          </rPr>
          <t xml:space="preserve">Given as </t>
        </r>
        <r>
          <rPr>
            <i/>
            <sz val="14"/>
            <color rgb="FF000000"/>
            <rFont val="Times New Roman"/>
            <family val="18"/>
          </rPr>
          <t>Polen</t>
        </r>
        <r>
          <rPr>
            <sz val="14"/>
            <color rgb="FF000000"/>
            <rFont val="Times New Roman"/>
            <family val="18"/>
          </rPr>
          <t xml:space="preserve"> in the sources
</t>
        </r>
      </text>
    </comment>
    <comment ref="BF351" authorId="0" shapeId="0" xr:uid="{F17D94DF-13A4-E741-AC39-64816A251980}">
      <text>
        <r>
          <rPr>
            <sz val="14"/>
            <color rgb="FF000000"/>
            <rFont val="Times New Roman"/>
            <family val="18"/>
          </rPr>
          <t xml:space="preserve">??/03/1797 </t>
        </r>
        <r>
          <rPr>
            <i/>
            <sz val="14"/>
            <color rgb="FF000000"/>
            <rFont val="Times New Roman"/>
            <family val="18"/>
          </rPr>
          <t>Assentiert</t>
        </r>
        <r>
          <rPr>
            <sz val="14"/>
            <color rgb="FF000000"/>
            <rFont val="Times New Roman"/>
            <family val="18"/>
          </rPr>
          <t xml:space="preserve"> [TL 1797]</t>
        </r>
        <r>
          <rPr>
            <sz val="14"/>
            <color rgb="FF000000"/>
            <rFont val="Calibri"/>
            <family val="34"/>
          </rPr>
          <t xml:space="preserve">
</t>
        </r>
        <r>
          <rPr>
            <sz val="14"/>
            <color rgb="FF000000"/>
            <rFont val="Times New Roman"/>
            <family val="18"/>
          </rPr>
          <t xml:space="preserve">16/06/1797 </t>
        </r>
        <r>
          <rPr>
            <i/>
            <sz val="14"/>
            <color rgb="FF000000"/>
            <rFont val="Times New Roman"/>
            <family val="18"/>
          </rPr>
          <t>Von MLFK I.Ö. Armee Haupt Feld Depot zum IR 10 Feld Bat Artillerie Bespannung transferiert</t>
        </r>
        <r>
          <rPr>
            <sz val="14"/>
            <color rgb="FF000000"/>
            <rFont val="Times New Roman"/>
            <family val="18"/>
          </rPr>
          <t xml:space="preserve"> [TL 1797 &amp; RL 1798]</t>
        </r>
        <r>
          <rPr>
            <sz val="14"/>
            <color rgb="FF000000"/>
            <rFont val="Calibri"/>
            <family val="34"/>
          </rPr>
          <t xml:space="preserve">
</t>
        </r>
        <r>
          <rPr>
            <sz val="14"/>
            <color rgb="FF000000"/>
            <rFont val="Times New Roman"/>
            <family val="18"/>
          </rPr>
          <t xml:space="preserve">30/06/1797 </t>
        </r>
        <r>
          <rPr>
            <i/>
            <sz val="14"/>
            <color rgb="FF000000"/>
            <rFont val="Times New Roman"/>
            <family val="18"/>
          </rPr>
          <t>Von IR 10 Feld Bats ‘Artillerie Bespannung’ ins IR 37 ‘De Vins’ Transferiert</t>
        </r>
        <r>
          <rPr>
            <sz val="14"/>
            <color rgb="FF000000"/>
            <rFont val="Times New Roman"/>
            <family val="18"/>
          </rPr>
          <t xml:space="preserve"> [TL 1797 &amp; ST June 1797 &amp; RL 1798]</t>
        </r>
        <r>
          <rPr>
            <sz val="14"/>
            <color rgb="FF000000"/>
            <rFont val="Calibri"/>
            <family val="34"/>
          </rPr>
          <t xml:space="preserve">
</t>
        </r>
      </text>
    </comment>
    <comment ref="BG351" authorId="0" shapeId="0" xr:uid="{2731D66A-3D83-7046-BEB3-6B80E595D1A0}">
      <text>
        <r>
          <rPr>
            <sz val="14"/>
            <color rgb="FF000000"/>
            <rFont val="Times New Roman"/>
            <family val="18"/>
          </rPr>
          <t>ML 711/2 IR 10 (1798) – Artillerie Bespannung Abgang (Mestre 15/03/1798)</t>
        </r>
        <r>
          <rPr>
            <sz val="14"/>
            <color rgb="FF000000"/>
            <rFont val="Calibri"/>
            <family val="34"/>
          </rPr>
          <t xml:space="preserve">
</t>
        </r>
        <r>
          <rPr>
            <sz val="14"/>
            <color rgb="FF000000"/>
            <rFont val="Times New Roman"/>
            <family val="18"/>
          </rPr>
          <t>ML 745 IR 10 (1797) – TL MFWK-&gt;IR 10 Nr. 1 (Dimbuchl 13/06/1797), TL IR 10-&gt;IR 37 Nr. 4 (Feldlager bei Loitsch 12/07/1797); ST June (20/04/1801)</t>
        </r>
      </text>
    </comment>
    <comment ref="BH351" authorId="0" shapeId="0" xr:uid="{8187BE20-5093-0549-8727-B83A92CF6E6C}">
      <text>
        <r>
          <rPr>
            <sz val="14"/>
            <color rgb="FF000000"/>
            <rFont val="Calibri"/>
            <family val="34"/>
          </rPr>
          <t>MFWK (1797)</t>
        </r>
      </text>
    </comment>
    <comment ref="BF352" authorId="0" shapeId="0" xr:uid="{CE954875-A92F-8F4B-AB4E-299AFC0DDF35}">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Dietrich Comp eingerückt</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25/01/1799 Revision: IR 43 Nr. 53 beim Dietrich Comp Nr. 53 [</t>
        </r>
        <r>
          <rPr>
            <i/>
            <sz val="14"/>
            <color rgb="FF000000"/>
            <rFont val="Times New Roman"/>
            <family val="18"/>
          </rPr>
          <t>Commandiert in loco Spital</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01/06/1799 </t>
        </r>
        <r>
          <rPr>
            <i/>
            <sz val="14"/>
            <color rgb="FF000000"/>
            <rFont val="Times New Roman"/>
            <family val="18"/>
          </rPr>
          <t>Krank 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25/08/1799 </t>
        </r>
        <r>
          <rPr>
            <i/>
            <sz val="14"/>
            <color rgb="FF000000"/>
            <rFont val="Times New Roman"/>
            <family val="18"/>
          </rPr>
          <t>von anhero Marsch desertiert</t>
        </r>
        <r>
          <rPr>
            <sz val="14"/>
            <color rgb="FF000000"/>
            <rFont val="Times New Roman"/>
            <family val="18"/>
          </rPr>
          <t xml:space="preserve"> [ST August 1799]</t>
        </r>
        <r>
          <rPr>
            <sz val="14"/>
            <color rgb="FF000000"/>
            <rFont val="Calibri"/>
            <family val="34"/>
          </rPr>
          <t xml:space="preserve">
</t>
        </r>
      </text>
    </comment>
    <comment ref="BG352" authorId="0" shapeId="0" xr:uid="{7ACFA50C-C9F9-ED47-8583-D72CBE588FC1}">
      <text>
        <r>
          <rPr>
            <sz val="14"/>
            <color rgb="FF000000"/>
            <rFont val="Calibri"/>
            <family val="34"/>
          </rPr>
          <t xml:space="preserve">ML 10.271 IR 43 (1796-9) – RL Heft von Haupt Dietrich Comp Nr. 53 (Udine 25/01/1799)
</t>
        </r>
        <r>
          <rPr>
            <sz val="14"/>
            <color rgb="FF000000"/>
            <rFont val="Calibri"/>
            <family val="34"/>
          </rPr>
          <t xml:space="preserve">ML 10.305 IR 43 (1797) August (01/09/1802)
</t>
        </r>
        <r>
          <rPr>
            <sz val="14"/>
            <color rgb="FF000000"/>
            <rFont val="Calibri"/>
            <family val="34"/>
          </rPr>
          <t xml:space="preserve">ML 10.307 IR 43 (1799) – ST June (12/12/1799) und August (01/01/1800)
</t>
        </r>
      </text>
    </comment>
    <comment ref="BH352" authorId="0" shapeId="0" xr:uid="{1C106993-79E2-D444-BDFB-C5FB59668E2B}">
      <text>
        <r>
          <rPr>
            <sz val="14"/>
            <color rgb="FF000000"/>
            <rFont val="Calibri"/>
            <family val="34"/>
          </rPr>
          <t>IR 43 (1797-1799)</t>
        </r>
      </text>
    </comment>
    <comment ref="BF353" authorId="0" shapeId="0" xr:uid="{1EA48DA9-D513-0142-BDE8-2CA4361AFDAF}">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 xml:space="preserve">Ohne Handgeld in die Loco Verpflegung eingebracht und kommt anhero einstwillig von begabte dato in Stand und Gebührin Haupt Pasqually Comp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01/09/1797 </t>
        </r>
        <r>
          <rPr>
            <i/>
            <sz val="14"/>
            <color rgb="FF000000"/>
            <rFont val="Times New Roman"/>
            <family val="18"/>
          </rPr>
          <t>Krank in loco Spital</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31/09/1797 </t>
        </r>
        <r>
          <rPr>
            <i/>
            <sz val="14"/>
            <color rgb="FF000000"/>
            <rFont val="Times New Roman"/>
            <family val="18"/>
          </rPr>
          <t>Reconvaleciert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Pasqually Nr. 72</t>
        </r>
        <r>
          <rPr>
            <sz val="14"/>
            <color rgb="FF000000"/>
            <rFont val="Calibri"/>
            <family val="34"/>
          </rPr>
          <t xml:space="preserve">
</t>
        </r>
        <r>
          <rPr>
            <sz val="14"/>
            <color rgb="FF000000"/>
            <rFont val="Times New Roman"/>
            <family val="18"/>
          </rPr>
          <t xml:space="preserve">24/06/1799 </t>
        </r>
        <r>
          <rPr>
            <i/>
            <sz val="14"/>
            <color rgb="FF000000"/>
            <rFont val="Times New Roman"/>
            <family val="18"/>
          </rPr>
          <t>von loco ohne Feuergewehr Desertiert</t>
        </r>
        <r>
          <rPr>
            <sz val="14"/>
            <color rgb="FF000000"/>
            <rFont val="Times New Roman"/>
            <family val="18"/>
          </rPr>
          <t xml:space="preserve"> [ST June 1799]</t>
        </r>
        <r>
          <rPr>
            <sz val="14"/>
            <color rgb="FF000000"/>
            <rFont val="Calibri"/>
            <family val="34"/>
          </rPr>
          <t xml:space="preserve">
</t>
        </r>
      </text>
    </comment>
    <comment ref="BG353" authorId="0" shapeId="0" xr:uid="{3B53CB82-DF41-104A-A3D6-61492E346700}">
      <text>
        <r>
          <rPr>
            <sz val="14"/>
            <color rgb="FF000000"/>
            <rFont val="Calibri"/>
            <family val="34"/>
          </rPr>
          <t xml:space="preserve">ML 10.271 IR 43 (1796-9) – RL Heft von Haupt Pasqually Nr. 72 (Udine 25/01/1799)
</t>
        </r>
        <r>
          <rPr>
            <sz val="14"/>
            <color rgb="FF000000"/>
            <rFont val="Calibri"/>
            <family val="34"/>
          </rPr>
          <t xml:space="preserve">ML 10.305 IR 43 (1797) August (01/09/1803) und Sept (02/09/1804) und Okt (31/05/1805)
</t>
        </r>
        <r>
          <rPr>
            <sz val="14"/>
            <color rgb="FF000000"/>
            <rFont val="Calibri"/>
            <family val="34"/>
          </rPr>
          <t xml:space="preserve">ML 10.307 IR 43 (1799) – ST June (12/12/1799) 
</t>
        </r>
      </text>
    </comment>
    <comment ref="BH353" authorId="0" shapeId="0" xr:uid="{DF83BB8A-8979-5345-9665-8861F7EBB4B0}">
      <text>
        <r>
          <rPr>
            <sz val="14"/>
            <color rgb="FF000000"/>
            <rFont val="Calibri"/>
            <family val="34"/>
          </rPr>
          <t>IR 43 (1797-1799)</t>
        </r>
      </text>
    </comment>
    <comment ref="BF354" authorId="0" shapeId="0" xr:uid="{0284275F-6241-5F4B-B851-A5FE6BD6E356}">
      <text>
        <r>
          <rPr>
            <sz val="14"/>
            <color rgb="FF000000"/>
            <rFont val="Times New Roman"/>
            <family val="18"/>
          </rPr>
          <t>In 03/1797</t>
        </r>
        <r>
          <rPr>
            <i/>
            <sz val="14"/>
            <color rgb="FFFF0000"/>
            <rFont val="Times New Roman"/>
            <family val="18"/>
          </rPr>
          <t xml:space="preserve"> </t>
        </r>
        <r>
          <rPr>
            <i/>
            <sz val="14"/>
            <color rgb="FF000000"/>
            <rFont val="Times New Roman"/>
            <family val="18"/>
          </rPr>
          <t>von Galizischen Ständen auf Kriegsdauer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 xml:space="preserve">Ohne Handgeld in die Loco Verpflegung eingebracht und kommt anhero einstwillig von begabte dato in Stand und Gebühr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01/08/1797 </t>
        </r>
        <r>
          <rPr>
            <i/>
            <sz val="14"/>
            <color rgb="FF000000"/>
            <rFont val="Times New Roman"/>
            <family val="18"/>
          </rPr>
          <t>Ein tag in Arrest</t>
        </r>
        <r>
          <rPr>
            <sz val="14"/>
            <color rgb="FF000000"/>
            <rFont val="Times New Roman"/>
            <family val="18"/>
          </rPr>
          <t xml:space="preserve"> [ST August 1797]</t>
        </r>
        <r>
          <rPr>
            <sz val="14"/>
            <color rgb="FF000000"/>
            <rFont val="Calibri"/>
            <family val="34"/>
          </rPr>
          <t xml:space="preserve">
</t>
        </r>
        <r>
          <rPr>
            <sz val="14"/>
            <color rgb="FF000000"/>
            <rFont val="Times New Roman"/>
            <family val="18"/>
          </rPr>
          <t xml:space="preserve">17/09/1797 </t>
        </r>
        <r>
          <rPr>
            <i/>
            <sz val="14"/>
            <color rgb="FF000000"/>
            <rFont val="Times New Roman"/>
            <family val="18"/>
          </rPr>
          <t>in Arrest</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24/10/1797 </t>
        </r>
        <r>
          <rPr>
            <i/>
            <sz val="14"/>
            <color rgb="FF000000"/>
            <rFont val="Times New Roman"/>
            <family val="18"/>
          </rPr>
          <t>von Arrest Befreit</t>
        </r>
        <r>
          <rPr>
            <sz val="14"/>
            <color rgb="FF000000"/>
            <rFont val="Times New Roman"/>
            <family val="18"/>
          </rPr>
          <t xml:space="preserve"> [ST October 1797]</t>
        </r>
        <r>
          <rPr>
            <sz val="14"/>
            <color rgb="FF000000"/>
            <rFont val="Calibri"/>
            <family val="34"/>
          </rPr>
          <t xml:space="preserve">
</t>
        </r>
        <r>
          <rPr>
            <sz val="14"/>
            <color rgb="FFFF0000"/>
            <rFont val="Times New Roman"/>
            <family val="18"/>
          </rPr>
          <t xml:space="preserve">28/11/1797 </t>
        </r>
        <r>
          <rPr>
            <i/>
            <sz val="14"/>
            <color rgb="FFFF0000"/>
            <rFont val="Times New Roman"/>
            <family val="18"/>
          </rPr>
          <t xml:space="preserve">a 3Fl Handgeld von Ständen a 3Fl auf Kriegsdauer gestellt </t>
        </r>
        <r>
          <rPr>
            <sz val="14"/>
            <color rgb="FFFF0000"/>
            <rFont val="Times New Roman"/>
            <family val="18"/>
          </rPr>
          <t>[ML 1802-5]</t>
        </r>
        <r>
          <rPr>
            <sz val="14"/>
            <color rgb="FF000000"/>
            <rFont val="Calibri"/>
            <family val="34"/>
          </rPr>
          <t xml:space="preserve">
</t>
        </r>
        <r>
          <rPr>
            <sz val="14"/>
            <color rgb="FF000000"/>
            <rFont val="Times New Roman"/>
            <family val="18"/>
          </rPr>
          <t>26/01/1799 Revision: IR 43 Haupt Pasqually Nr. 82]</t>
        </r>
        <r>
          <rPr>
            <sz val="14"/>
            <color rgb="FF000000"/>
            <rFont val="Calibri"/>
            <family val="34"/>
          </rPr>
          <t xml:space="preserve">
</t>
        </r>
        <r>
          <rPr>
            <sz val="14"/>
            <color rgb="FF000000"/>
            <rFont val="Times New Roman"/>
            <family val="18"/>
          </rPr>
          <t xml:space="preserve">11/08/1799 </t>
        </r>
        <r>
          <rPr>
            <i/>
            <sz val="14"/>
            <color rgb="FF000000"/>
            <rFont val="Times New Roman"/>
            <family val="18"/>
          </rPr>
          <t>Zum Gefreyter avanciert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01/02/1802 </t>
        </r>
        <r>
          <rPr>
            <i/>
            <sz val="14"/>
            <color rgb="FF000000"/>
            <rFont val="Times New Roman"/>
            <family val="18"/>
          </rPr>
          <t>Von Haupt Pasqually zum Supernumeraries transferiert</t>
        </r>
        <r>
          <rPr>
            <sz val="14"/>
            <color rgb="FF000000"/>
            <rFont val="Times New Roman"/>
            <family val="18"/>
          </rPr>
          <t xml:space="preserve"> [ST Feb 1802 &amp; ML 1802]</t>
        </r>
        <r>
          <rPr>
            <sz val="14"/>
            <color rgb="FF000000"/>
            <rFont val="Calibri"/>
            <family val="34"/>
          </rPr>
          <t xml:space="preserve">
</t>
        </r>
        <r>
          <rPr>
            <sz val="14"/>
            <color rgb="FF000000"/>
            <rFont val="Times New Roman"/>
            <family val="18"/>
          </rPr>
          <t xml:space="preserve">30/06/1802 </t>
        </r>
        <r>
          <rPr>
            <i/>
            <sz val="14"/>
            <color rgb="FF000000"/>
            <rFont val="Times New Roman"/>
            <family val="18"/>
          </rPr>
          <t>Vom Supernumerarien zum Haupt Pasqually Company zurück transferiert</t>
        </r>
        <r>
          <rPr>
            <sz val="14"/>
            <color rgb="FF000000"/>
            <rFont val="Times New Roman"/>
            <family val="18"/>
          </rPr>
          <t xml:space="preserve"> [ST July 1802 &amp; ML 1802]</t>
        </r>
        <r>
          <rPr>
            <sz val="14"/>
            <color rgb="FF000000"/>
            <rFont val="Calibri"/>
            <family val="34"/>
          </rPr>
          <t xml:space="preserve">
</t>
        </r>
        <r>
          <rPr>
            <sz val="14"/>
            <color rgb="FF000000"/>
            <rFont val="Times New Roman"/>
            <family val="18"/>
          </rPr>
          <t>28/08/1802 Musterung: IR 43 Haupt Pasqually Nr. 16</t>
        </r>
        <r>
          <rPr>
            <sz val="14"/>
            <color rgb="FF000000"/>
            <rFont val="Calibri"/>
            <family val="34"/>
          </rPr>
          <t xml:space="preserve">
</t>
        </r>
        <r>
          <rPr>
            <sz val="14"/>
            <color rgb="FF000000"/>
            <rFont val="Times New Roman"/>
            <family val="18"/>
          </rPr>
          <t xml:space="preserve">31/12/1802 </t>
        </r>
        <r>
          <rPr>
            <i/>
            <sz val="14"/>
            <color rgb="FF000000"/>
            <rFont val="Times New Roman"/>
            <family val="18"/>
          </rPr>
          <t>ist Freiwillig zu Gemeiner degradiert</t>
        </r>
        <r>
          <rPr>
            <sz val="14"/>
            <color rgb="FF000000"/>
            <rFont val="Times New Roman"/>
            <family val="18"/>
          </rPr>
          <t xml:space="preserve"> [ML 1803 &amp; ST Jan 1803]</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Pasqually Comp. Nr. 158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Pasqually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10/11/1805 Musterung: IR 43 15. Fus Comp Nr. 131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 xml:space="preserve">Als auf Urlaub verbliebene unwissend verloren in Abgang </t>
        </r>
        <r>
          <rPr>
            <sz val="14"/>
            <color rgb="FF000000"/>
            <rFont val="Times New Roman"/>
            <family val="18"/>
          </rPr>
          <t>[ML 1806]</t>
        </r>
      </text>
    </comment>
    <comment ref="BG354" authorId="0" shapeId="0" xr:uid="{721D0A48-C71F-0842-9A16-6594216B1CEE}">
      <text>
        <r>
          <rPr>
            <sz val="14"/>
            <color rgb="FF000000"/>
            <rFont val="Times New Roman"/>
            <family val="18"/>
          </rPr>
          <t>ML 10.271 IR 43 (1796-9) – RL Haupt Pasqually Comp. Nr. 82 (Cividalle 26/01/1799)</t>
        </r>
        <r>
          <rPr>
            <sz val="14"/>
            <color rgb="FF000000"/>
            <rFont val="Calibri"/>
            <family val="34"/>
          </rPr>
          <t xml:space="preserve">
</t>
        </r>
        <r>
          <rPr>
            <sz val="14"/>
            <color rgb="FF000000"/>
            <rFont val="Times New Roman"/>
            <family val="18"/>
          </rPr>
          <t>ML 10.272 IR 48 (1802) – Heft von Haupt Pasqually Nr. 16 (Cattaro 28/08/1802) &amp; Heft von Supernumeraries, Zuwachs &amp; Abgang (Zara 11/09/1802)</t>
        </r>
        <r>
          <rPr>
            <sz val="14"/>
            <color rgb="FF000000"/>
            <rFont val="Calibri"/>
            <family val="34"/>
          </rPr>
          <t xml:space="preserve">
</t>
        </r>
        <r>
          <rPr>
            <sz val="14"/>
            <color rgb="FF000000"/>
            <rFont val="Times New Roman"/>
            <family val="18"/>
          </rPr>
          <t>ML 10.273 IR 46 (1803) – Heft von Haupt Pasqually Nr. 158 (Cattaro 02/11/1803)</t>
        </r>
        <r>
          <rPr>
            <sz val="14"/>
            <color rgb="FF000000"/>
            <rFont val="Calibri"/>
            <family val="34"/>
          </rPr>
          <t xml:space="preserve">
</t>
        </r>
        <r>
          <rPr>
            <sz val="14"/>
            <color rgb="FF000000"/>
            <rFont val="Times New Roman"/>
            <family val="18"/>
          </rPr>
          <t>ML 10.274 IR 43 (1804) – Heft von Haupt Pasqually Comp. Nr. 148 (Theodo 05/10/1804)</t>
        </r>
        <r>
          <rPr>
            <sz val="14"/>
            <color rgb="FF000000"/>
            <rFont val="Calibri"/>
            <family val="34"/>
          </rPr>
          <t xml:space="preserve">
</t>
        </r>
        <r>
          <rPr>
            <sz val="14"/>
            <color rgb="FF000000"/>
            <rFont val="Times New Roman"/>
            <family val="18"/>
          </rPr>
          <t>ML 10.275/6 IR 43 (1805) – Heft von 15. Fus Comp. Nr. 131 (Macarsca (10/11/1805)</t>
        </r>
        <r>
          <rPr>
            <sz val="14"/>
            <color rgb="FF000000"/>
            <rFont val="Calibri"/>
            <family val="34"/>
          </rPr>
          <t xml:space="preserve">
</t>
        </r>
        <r>
          <rPr>
            <sz val="14"/>
            <color rgb="FF000000"/>
            <rFont val="Times New Roman"/>
            <family val="18"/>
          </rPr>
          <t>ML 10/277/8 IR 43 (1806) – Heft von 9. Fus Comp. Abgang (Neustadt 05/12/1806)</t>
        </r>
        <r>
          <rPr>
            <sz val="14"/>
            <color rgb="FF000000"/>
            <rFont val="Calibri"/>
            <family val="34"/>
          </rPr>
          <t xml:space="preserve">
</t>
        </r>
        <r>
          <rPr>
            <sz val="14"/>
            <color rgb="FF000000"/>
            <rFont val="Times New Roman"/>
            <family val="18"/>
          </rPr>
          <t>ML 10.305 IR 43 (1797) – ST Aug (01/09/1803), Sept (02/09/1804), und Okt (31/05/1805)</t>
        </r>
        <r>
          <rPr>
            <sz val="14"/>
            <color rgb="FF000000"/>
            <rFont val="Calibri"/>
            <family val="34"/>
          </rPr>
          <t xml:space="preserve">
</t>
        </r>
        <r>
          <rPr>
            <sz val="14"/>
            <color rgb="FF000000"/>
            <rFont val="Times New Roman"/>
            <family val="18"/>
          </rPr>
          <t>ML 10.307 IR 43 (1799) – ST Sept (21/07/1800), Nov (12/10/1800)</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 xml:space="preserve">ML 10.313 IR 43 (1803) – ST Jänner (15/02/1803) und März (15/07/1803) </t>
        </r>
        <r>
          <rPr>
            <sz val="14"/>
            <color rgb="FF000000"/>
            <rFont val="Calibri"/>
            <family val="34"/>
          </rPr>
          <t xml:space="preserve">
</t>
        </r>
        <r>
          <rPr>
            <sz val="14"/>
            <color rgb="FF000000"/>
            <rFont val="Times New Roman"/>
            <family val="18"/>
          </rPr>
          <t xml:space="preserve">ML 10.317 IR 43 (1806) – ST Oktober (27/11/1806) </t>
        </r>
      </text>
    </comment>
    <comment ref="BH354" authorId="0" shapeId="0" xr:uid="{0E5669AD-A109-A641-BD32-1EA79477848C}">
      <text>
        <r>
          <rPr>
            <sz val="14"/>
            <color rgb="FF000000"/>
            <rFont val="Calibri"/>
            <family val="34"/>
          </rPr>
          <t>IR 43 (1797-1799)</t>
        </r>
      </text>
    </comment>
    <comment ref="BF355" authorId="0" shapeId="0" xr:uid="{B9A0DB65-8923-2A42-AC77-487AEA67462A}">
      <text>
        <r>
          <rPr>
            <sz val="14"/>
            <color rgb="FFFF0000"/>
            <rFont val="Times New Roman"/>
            <family val="18"/>
          </rPr>
          <t xml:space="preserve">10/03/1796 </t>
        </r>
        <r>
          <rPr>
            <i/>
            <sz val="14"/>
            <color rgb="FFFF0000"/>
            <rFont val="Times New Roman"/>
            <family val="18"/>
          </rPr>
          <t xml:space="preserve">Von Gallizischen Ständen auf Kriegsdauer gestellt </t>
        </r>
        <r>
          <rPr>
            <sz val="14"/>
            <color rgb="FFFF0000"/>
            <rFont val="Times New Roman"/>
            <family val="18"/>
          </rPr>
          <t xml:space="preserve">[ML 1802-3/5]
</t>
        </r>
        <r>
          <rPr>
            <sz val="14"/>
            <color rgb="FFFF0000"/>
            <rFont val="Times New Roman"/>
            <family val="18"/>
          </rPr>
          <t xml:space="preserve">16/03/1796 [Dient seit] </t>
        </r>
        <r>
          <rPr>
            <i/>
            <sz val="14"/>
            <color rgb="FFFF0000"/>
            <rFont val="Times New Roman"/>
            <family val="18"/>
          </rPr>
          <t xml:space="preserve">Auf Kriegsdauer </t>
        </r>
        <r>
          <rPr>
            <sz val="14"/>
            <color rgb="FFFF0000"/>
            <rFont val="Times New Roman"/>
            <family val="18"/>
          </rPr>
          <t xml:space="preserve">[ML 1804]
</t>
        </r>
        <r>
          <rPr>
            <sz val="14"/>
            <color rgb="FF000000"/>
            <rFont val="Times New Roman"/>
            <family val="18"/>
          </rPr>
          <t xml:space="preserve">In 03/1797 </t>
        </r>
        <r>
          <rPr>
            <i/>
            <sz val="14"/>
            <color rgb="FF000000"/>
            <rFont val="Times New Roman"/>
            <family val="18"/>
          </rPr>
          <t xml:space="preserve">Von Galizischen Ständen auf Kriegsdauer gestellt
</t>
        </r>
        <r>
          <rPr>
            <sz val="14"/>
            <color rgb="FF000000"/>
            <rFont val="Times New Roman"/>
            <family val="18"/>
          </rPr>
          <t xml:space="preserve">01/08/1797 </t>
        </r>
        <r>
          <rPr>
            <i/>
            <sz val="14"/>
            <color rgb="FF000000"/>
            <rFont val="Times New Roman"/>
            <family val="18"/>
          </rPr>
          <t xml:space="preserve">Von Galizischen Ständen gestellt und Ohne Handgeld in die Loco Verpflegung eingebracht und kommt anhero einstwillig von begabte dato in Stand und Gebühr der Haupt Fischer Companie </t>
        </r>
        <r>
          <rPr>
            <sz val="14"/>
            <color rgb="FF000000"/>
            <rFont val="Times New Roman"/>
            <family val="18"/>
          </rPr>
          <t xml:space="preserve">[ST August 1797] 
</t>
        </r>
        <r>
          <rPr>
            <sz val="14"/>
            <color rgb="FF000000"/>
            <rFont val="Times New Roman"/>
            <family val="18"/>
          </rPr>
          <t xml:space="preserve">20/08/1797 [seit] </t>
        </r>
        <r>
          <rPr>
            <i/>
            <sz val="14"/>
            <color rgb="FF000000"/>
            <rFont val="Times New Roman"/>
            <family val="18"/>
          </rPr>
          <t xml:space="preserve">Krank in loco Spital </t>
        </r>
        <r>
          <rPr>
            <sz val="14"/>
            <color rgb="FF000000"/>
            <rFont val="Times New Roman"/>
            <family val="18"/>
          </rPr>
          <t xml:space="preserve">[ST August 1797]
</t>
        </r>
        <r>
          <rPr>
            <sz val="14"/>
            <color rgb="FF000000"/>
            <rFont val="Times New Roman"/>
            <family val="18"/>
          </rPr>
          <t xml:space="preserve">07/10/1797 </t>
        </r>
        <r>
          <rPr>
            <i/>
            <sz val="14"/>
            <color rgb="FF000000"/>
            <rFont val="Times New Roman"/>
            <family val="18"/>
          </rPr>
          <t>Rekonvalesziert</t>
        </r>
        <r>
          <rPr>
            <sz val="14"/>
            <color rgb="FF000000"/>
            <rFont val="Times New Roman"/>
            <family val="18"/>
          </rPr>
          <t xml:space="preserve"> [ST October 1797]
</t>
        </r>
        <r>
          <rPr>
            <sz val="14"/>
            <color rgb="FF000000"/>
            <rFont val="Times New Roman"/>
            <family val="18"/>
          </rPr>
          <t xml:space="preserve">Bevor 13/03/1798 </t>
        </r>
        <r>
          <rPr>
            <i/>
            <sz val="14"/>
            <color rgb="FF000000"/>
            <rFont val="Times New Roman"/>
            <family val="18"/>
          </rPr>
          <t xml:space="preserve">Von Reserve Division zum Haupt Geisler Komp, transferiert </t>
        </r>
        <r>
          <rPr>
            <sz val="14"/>
            <color rgb="FF000000"/>
            <rFont val="Times New Roman"/>
            <family val="18"/>
          </rPr>
          <t xml:space="preserve">[ML 1799]
</t>
        </r>
        <r>
          <rPr>
            <sz val="14"/>
            <color rgb="FF000000"/>
            <rFont val="Times New Roman"/>
            <family val="18"/>
          </rPr>
          <t xml:space="preserve">26/01/1799 Revision: IR 43 Haupt Geisler Nr. 64
</t>
        </r>
        <r>
          <rPr>
            <sz val="14"/>
            <color rgb="FF000000"/>
            <rFont val="Times New Roman"/>
            <family val="18"/>
          </rPr>
          <t xml:space="preserve">18/08/1799 </t>
        </r>
        <r>
          <rPr>
            <i/>
            <sz val="14"/>
            <color rgb="FF000000"/>
            <rFont val="Times New Roman"/>
            <family val="18"/>
          </rPr>
          <t xml:space="preserve">Krank auswärts mit Kriegsgebühr </t>
        </r>
        <r>
          <rPr>
            <b/>
            <sz val="14"/>
            <color rgb="FF000000"/>
            <rFont val="Times New Roman"/>
            <family val="18"/>
          </rPr>
          <t xml:space="preserve">[wounded at Novi?] </t>
        </r>
        <r>
          <rPr>
            <sz val="14"/>
            <color rgb="FF000000"/>
            <rFont val="Times New Roman"/>
            <family val="18"/>
          </rPr>
          <t xml:space="preserve">[ST Aug 1799]
</t>
        </r>
        <r>
          <rPr>
            <sz val="14"/>
            <color rgb="FF000000"/>
            <rFont val="Times New Roman"/>
            <family val="18"/>
          </rPr>
          <t xml:space="preserve">31/08/1799 </t>
        </r>
        <r>
          <rPr>
            <i/>
            <sz val="14"/>
            <color rgb="FF000000"/>
            <rFont val="Times New Roman"/>
            <family val="18"/>
          </rPr>
          <t>Reconvalesciert</t>
        </r>
        <r>
          <rPr>
            <sz val="14"/>
            <color rgb="FF000000"/>
            <rFont val="Times New Roman"/>
            <family val="18"/>
          </rPr>
          <t xml:space="preserve"> [ST Sept 1799]
</t>
        </r>
        <r>
          <rPr>
            <sz val="14"/>
            <color rgb="FF000000"/>
            <rFont val="Times New Roman"/>
            <family val="18"/>
          </rPr>
          <t xml:space="preserve">31/12/1799 </t>
        </r>
        <r>
          <rPr>
            <i/>
            <sz val="14"/>
            <color rgb="FF000000"/>
            <rFont val="Times New Roman"/>
            <family val="18"/>
          </rPr>
          <t xml:space="preserve">Von Haupt Geistler Comp zum Regiments Artillerie Handlanger transferiert </t>
        </r>
        <r>
          <rPr>
            <sz val="14"/>
            <color rgb="FF000000"/>
            <rFont val="Times New Roman"/>
            <family val="18"/>
          </rPr>
          <t xml:space="preserve">[ST Jan 1800]
</t>
        </r>
        <r>
          <rPr>
            <sz val="14"/>
            <color rgb="FF000000"/>
            <rFont val="Times New Roman"/>
            <family val="18"/>
          </rPr>
          <t xml:space="preserve">01/02/1801 </t>
        </r>
        <r>
          <rPr>
            <i/>
            <sz val="14"/>
            <color rgb="FF000000"/>
            <rFont val="Times New Roman"/>
            <family val="18"/>
          </rPr>
          <t xml:space="preserve">Zugeheilt beim Reserve Division mit Friedens Gebühr und ½xr Fleischbeitrag </t>
        </r>
        <r>
          <rPr>
            <sz val="14"/>
            <color rgb="FF000000"/>
            <rFont val="Times New Roman"/>
            <family val="18"/>
          </rPr>
          <t xml:space="preserve">[ST Feb 1801]
</t>
        </r>
        <r>
          <rPr>
            <sz val="14"/>
            <color rgb="FF000000"/>
            <rFont val="Times New Roman"/>
            <family val="18"/>
          </rPr>
          <t xml:space="preserve">06/02/1801 </t>
        </r>
        <r>
          <rPr>
            <i/>
            <sz val="14"/>
            <color rgb="FF000000"/>
            <rFont val="Times New Roman"/>
            <family val="18"/>
          </rPr>
          <t xml:space="preserve">Wieder zum Artillerie Handlanger eingerückt </t>
        </r>
        <r>
          <rPr>
            <sz val="14"/>
            <color rgb="FF000000"/>
            <rFont val="Times New Roman"/>
            <family val="18"/>
          </rPr>
          <t xml:space="preserve">[ST Feb 1801]
</t>
        </r>
        <r>
          <rPr>
            <sz val="14"/>
            <color rgb="FF000000"/>
            <rFont val="Times New Roman"/>
            <family val="18"/>
          </rPr>
          <t xml:space="preserve">11/04/1801 </t>
        </r>
        <r>
          <rPr>
            <i/>
            <sz val="14"/>
            <color rgb="FF000000"/>
            <rFont val="Times New Roman"/>
            <family val="18"/>
          </rPr>
          <t xml:space="preserve">Von dissolvierte Artillerie Handlanger zurück ins Haupt Geistler Comp transferiert </t>
        </r>
        <r>
          <rPr>
            <sz val="14"/>
            <color rgb="FF000000"/>
            <rFont val="Times New Roman"/>
            <family val="18"/>
          </rPr>
          <t xml:space="preserve">[ST May 1801] 
</t>
        </r>
        <r>
          <rPr>
            <sz val="14"/>
            <color rgb="FF000000"/>
            <rFont val="Times New Roman"/>
            <family val="18"/>
          </rPr>
          <t xml:space="preserve">28/08/1802 Musterung: IR 43 Haupt Geisler Komp. Nr. 46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 xml:space="preserve">Als Unbestimmt Beurlaubte in Galizien eingerückt </t>
        </r>
        <r>
          <rPr>
            <sz val="14"/>
            <color rgb="FF000000"/>
            <rFont val="Times New Roman"/>
            <family val="18"/>
          </rPr>
          <t xml:space="preserve">[ST March 1803]
</t>
        </r>
        <r>
          <rPr>
            <sz val="14"/>
            <color rgb="FF000000"/>
            <rFont val="Times New Roman"/>
            <family val="18"/>
          </rPr>
          <t>02/11/1803 Musterung: IR 43 Haupt Geistler Comp. Nr. 42 [</t>
        </r>
        <r>
          <rPr>
            <i/>
            <sz val="14"/>
            <color rgb="FF000000"/>
            <rFont val="Times New Roman"/>
            <family val="18"/>
          </rPr>
          <t>Auf Unbestimmte Urlaub zu Messeritz</t>
        </r>
        <r>
          <rPr>
            <sz val="14"/>
            <color rgb="FF000000"/>
            <rFont val="Times New Roman"/>
            <family val="18"/>
          </rPr>
          <t xml:space="preserve">]
</t>
        </r>
        <r>
          <rPr>
            <sz val="14"/>
            <color rgb="FF000000"/>
            <rFont val="Times New Roman"/>
            <family val="18"/>
          </rPr>
          <t>05/10/1804 Musterung: IR 43 Haupt Geistler Comp Nr. 42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At Muster 23/10/1805 10. Fus Comp Nr. 40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 xml:space="preserve">Als auf Urlaub verbliebene von 14. Fus Comp als unwissend Verloren in Abgang </t>
        </r>
        <r>
          <rPr>
            <sz val="14"/>
            <color rgb="FF000000"/>
            <rFont val="Times New Roman"/>
            <family val="18"/>
          </rPr>
          <t xml:space="preserve">[ST Oct 1806 &amp; ML 1806]
</t>
        </r>
      </text>
    </comment>
    <comment ref="BG355" authorId="0" shapeId="0" xr:uid="{C3FF2958-2E7F-FB43-918F-4CC53A76393A}">
      <text>
        <r>
          <rPr>
            <sz val="14"/>
            <color rgb="FF000000"/>
            <rFont val="Calibri"/>
            <family val="34"/>
          </rPr>
          <t xml:space="preserve">ML 10.271 IR 43 (1796-99) – RL Haupt Höffern Comp Nr. 56 (Civittale 26/01/1799)
</t>
        </r>
        <r>
          <rPr>
            <sz val="14"/>
            <color rgb="FF000000"/>
            <rFont val="Calibri"/>
            <family val="34"/>
          </rPr>
          <t xml:space="preserve">ML 10.272 IR 43 (1802) – Heft von Haupt Baumann Comp Nr. 44 (Cattaro 28/08/1802)
</t>
        </r>
        <r>
          <rPr>
            <sz val="14"/>
            <color rgb="FF000000"/>
            <rFont val="Calibri"/>
            <family val="34"/>
          </rPr>
          <t xml:space="preserve">ML 10.273 IR 43 (1803) – Heft von Haupt Baumann Comp. Nr. 43 (Cattaro 02/11/1803)
</t>
        </r>
        <r>
          <rPr>
            <sz val="14"/>
            <color rgb="FF000000"/>
            <rFont val="Calibri"/>
            <family val="34"/>
          </rPr>
          <t xml:space="preserve">ML 10.274 IR 43 (1804) – Heft von Haupt Baumann Comp. Nr. 42 (Theodo 05/10/1804)
</t>
        </r>
        <r>
          <rPr>
            <sz val="14"/>
            <color rgb="FF000000"/>
            <rFont val="Calibri"/>
            <family val="34"/>
          </rPr>
          <t xml:space="preserve">ML 10.275/6 IR 43 (1805) – Heft von 12. Fus. Comp. Nr. 49 (Spalato 05/10/1805)
</t>
        </r>
        <r>
          <rPr>
            <sz val="14"/>
            <color rgb="FF000000"/>
            <rFont val="Calibri"/>
            <family val="34"/>
          </rPr>
          <t xml:space="preserve">ML 10.277/8 IR 43 (1806) – Heft von 16. Fus. Comp. – Abgang (Laibach (01/12/1806)
</t>
        </r>
        <r>
          <rPr>
            <sz val="14"/>
            <color rgb="FF000000"/>
            <rFont val="Calibri"/>
            <family val="34"/>
          </rPr>
          <t xml:space="preserve">ML 10.305 IR 43 (1797) – ST Aug (01/09/1803)
</t>
        </r>
        <r>
          <rPr>
            <sz val="14"/>
            <color rgb="FF000000"/>
            <rFont val="Calibri"/>
            <family val="34"/>
          </rPr>
          <t xml:space="preserve">ML 10.307 IR 43 (1799) – ST Juni (12/12/1799), August (06/03/1800), und Dezember (01/11/1800)
</t>
        </r>
        <r>
          <rPr>
            <sz val="14"/>
            <color rgb="FF000000"/>
            <rFont val="Calibri"/>
            <family val="34"/>
          </rPr>
          <t xml:space="preserve">ML 10.312 IR 43 (1802) – ST Juli (15/08/1802)
</t>
        </r>
        <r>
          <rPr>
            <sz val="14"/>
            <color rgb="FF000000"/>
            <rFont val="Calibri"/>
            <family val="34"/>
          </rPr>
          <t xml:space="preserve">ML 10.313 IR 43 (1803) – ST März (15/04/1804)
</t>
        </r>
        <r>
          <rPr>
            <sz val="14"/>
            <color rgb="FF000000"/>
            <rFont val="Calibri"/>
            <family val="34"/>
          </rPr>
          <t xml:space="preserve">ML 10.315 IR 43 (1805) – ST Sept (15/11/1805)
</t>
        </r>
        <r>
          <rPr>
            <sz val="14"/>
            <color rgb="FF000000"/>
            <rFont val="Calibri"/>
            <family val="34"/>
          </rPr>
          <t>ML 10.317 IR 43 (1806) – ST Nov (15/12/1806)</t>
        </r>
      </text>
    </comment>
    <comment ref="BH355" authorId="0" shapeId="0" xr:uid="{9A81361A-0735-5249-8A59-249A65D1E332}">
      <text>
        <r>
          <rPr>
            <sz val="14"/>
            <color rgb="FF000000"/>
            <rFont val="Calibri"/>
            <family val="34"/>
          </rPr>
          <t>IR 43 (1797-1806)</t>
        </r>
      </text>
    </comment>
    <comment ref="BF356" authorId="0" shapeId="0" xr:uid="{A7555407-A573-704A-8DDB-D5945CC366F0}">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Haupt Dostal Comp</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 xml:space="preserve">15/09/1797 </t>
        </r>
        <r>
          <rPr>
            <i/>
            <sz val="14"/>
            <color rgb="FF000000"/>
            <rFont val="Times New Roman"/>
            <family val="18"/>
          </rPr>
          <t>zu militar Fuhrwesen Corps der I.Oe Armee trasnferiert</t>
        </r>
        <r>
          <rPr>
            <sz val="14"/>
            <color rgb="FF000000"/>
            <rFont val="Times New Roman"/>
            <family val="18"/>
          </rPr>
          <t xml:space="preserve"> [ST Sept 1797]</t>
        </r>
        <r>
          <rPr>
            <sz val="14"/>
            <color rgb="FF000000"/>
            <rFont val="Calibri"/>
            <family val="34"/>
          </rPr>
          <t xml:space="preserve">
</t>
        </r>
      </text>
    </comment>
    <comment ref="BG356" authorId="0" shapeId="0" xr:uid="{119708FA-7AE0-7042-BE09-C4560919292B}">
      <text>
        <r>
          <rPr>
            <sz val="14"/>
            <color rgb="FF000000"/>
            <rFont val="Calibri"/>
            <family val="34"/>
          </rPr>
          <t>ML 10.305 IR 43 (1797) ST Aug (01/09/1803) und Sept (02/09/1804)</t>
        </r>
      </text>
    </comment>
    <comment ref="BH356" authorId="0" shapeId="0" xr:uid="{80E2A9B9-A99F-E04A-8211-096D50B6CE8F}">
      <text>
        <r>
          <rPr>
            <sz val="14"/>
            <color rgb="FF000000"/>
            <rFont val="Calibri"/>
            <family val="34"/>
          </rPr>
          <t xml:space="preserve">IR 43 (1797)
</t>
        </r>
        <r>
          <rPr>
            <sz val="14"/>
            <color rgb="FF000000"/>
            <rFont val="Calibri"/>
            <family val="34"/>
          </rPr>
          <t>MFWK (1797)</t>
        </r>
      </text>
    </comment>
    <comment ref="BF357" authorId="0" shapeId="0" xr:uid="{AB337FA4-61B3-D942-9A31-9AF9DBF79905}">
      <text>
        <r>
          <rPr>
            <sz val="14"/>
            <color rgb="FF000000"/>
            <rFont val="Times New Roman"/>
            <family val="18"/>
          </rPr>
          <t xml:space="preserve">01/03/1797 </t>
        </r>
        <r>
          <rPr>
            <i/>
            <sz val="14"/>
            <color rgb="FF000000"/>
            <rFont val="Times New Roman"/>
            <family val="18"/>
          </rPr>
          <t>A 3Fl Handgeld als Werbbezirk Rekrut ausgehoben und zum IR 3 Reserve Division assentiert</t>
        </r>
        <r>
          <rPr>
            <sz val="14"/>
            <color rgb="FF000000"/>
            <rFont val="Times New Roman"/>
            <family val="18"/>
          </rPr>
          <t xml:space="preserve"> [AL March 1797 &amp; ST March 1797]</t>
        </r>
        <r>
          <rPr>
            <sz val="14"/>
            <color rgb="FF000000"/>
            <rFont val="Calibri"/>
            <family val="34"/>
          </rPr>
          <t xml:space="preserve">
</t>
        </r>
        <r>
          <rPr>
            <sz val="14"/>
            <color rgb="FF000000"/>
            <rFont val="Times New Roman"/>
            <family val="18"/>
          </rPr>
          <t xml:space="preserve">07/03/1797 </t>
        </r>
        <r>
          <rPr>
            <i/>
            <sz val="14"/>
            <color rgb="FF000000"/>
            <rFont val="Times New Roman"/>
            <family val="18"/>
          </rPr>
          <t>Krank in Garnison Spital zu Olmütz</t>
        </r>
        <r>
          <rPr>
            <sz val="14"/>
            <color rgb="FF000000"/>
            <rFont val="Times New Roman"/>
            <family val="18"/>
          </rPr>
          <t xml:space="preserve"> [ST March 1797]</t>
        </r>
        <r>
          <rPr>
            <sz val="14"/>
            <color rgb="FF000000"/>
            <rFont val="Calibri"/>
            <family val="34"/>
          </rPr>
          <t xml:space="preserve">
</t>
        </r>
        <r>
          <rPr>
            <sz val="14"/>
            <color rgb="FF000000"/>
            <rFont val="Times New Roman"/>
            <family val="18"/>
          </rPr>
          <t xml:space="preserve">16/03/1797 </t>
        </r>
        <r>
          <rPr>
            <i/>
            <sz val="14"/>
            <color rgb="FF000000"/>
            <rFont val="Times New Roman"/>
            <family val="18"/>
          </rPr>
          <t>Rekonvalesziert</t>
        </r>
        <r>
          <rPr>
            <sz val="14"/>
            <color rgb="FF000000"/>
            <rFont val="Times New Roman"/>
            <family val="18"/>
          </rPr>
          <t xml:space="preserve"> [ST March 1797]</t>
        </r>
        <r>
          <rPr>
            <sz val="14"/>
            <color rgb="FF000000"/>
            <rFont val="Calibri"/>
            <family val="34"/>
          </rPr>
          <t xml:space="preserve">
</t>
        </r>
        <r>
          <rPr>
            <sz val="14"/>
            <color rgb="FF000000"/>
            <rFont val="Times New Roman"/>
            <family val="18"/>
          </rPr>
          <t xml:space="preserve">24/03/1797 </t>
        </r>
        <r>
          <rPr>
            <i/>
            <sz val="14"/>
            <color rgb="FF000000"/>
            <rFont val="Times New Roman"/>
            <family val="18"/>
          </rPr>
          <t>Krank in Garnison Spital zu Olmütz</t>
        </r>
        <r>
          <rPr>
            <sz val="14"/>
            <color rgb="FF000000"/>
            <rFont val="Times New Roman"/>
            <family val="18"/>
          </rPr>
          <t xml:space="preserve"> [ST March 1797]</t>
        </r>
        <r>
          <rPr>
            <sz val="14"/>
            <color rgb="FF000000"/>
            <rFont val="Calibri"/>
            <family val="34"/>
          </rPr>
          <t xml:space="preserve">
</t>
        </r>
        <r>
          <rPr>
            <sz val="14"/>
            <color rgb="FF000000"/>
            <rFont val="Times New Roman"/>
            <family val="18"/>
          </rPr>
          <t xml:space="preserve">25/03/1797 </t>
        </r>
        <r>
          <rPr>
            <i/>
            <sz val="14"/>
            <color rgb="FF000000"/>
            <rFont val="Times New Roman"/>
            <family val="18"/>
          </rPr>
          <t>In Spital zu Olmütz gestorben</t>
        </r>
        <r>
          <rPr>
            <sz val="14"/>
            <color rgb="FF000000"/>
            <rFont val="Times New Roman"/>
            <family val="18"/>
          </rPr>
          <t xml:space="preserve"> [ST March 1797]</t>
        </r>
        <r>
          <rPr>
            <sz val="14"/>
            <color rgb="FF000000"/>
            <rFont val="Calibri"/>
            <family val="2"/>
          </rPr>
          <t xml:space="preserve"> </t>
        </r>
      </text>
    </comment>
    <comment ref="BG357" authorId="0" shapeId="0" xr:uid="{10F24CAA-0FAA-964D-947F-D73B008E545E}">
      <text>
        <r>
          <rPr>
            <sz val="14"/>
            <color rgb="FF000000"/>
            <rFont val="Times New Roman"/>
            <family val="18"/>
          </rPr>
          <t>ML 68 IR 1 (1797) – ST March (Olmütz 08/04/1802)</t>
        </r>
        <r>
          <rPr>
            <sz val="14"/>
            <color rgb="FF000000"/>
            <rFont val="Calibri"/>
            <family val="34"/>
          </rPr>
          <t xml:space="preserve">
</t>
        </r>
        <r>
          <rPr>
            <sz val="14"/>
            <color rgb="FF000000"/>
            <rFont val="Times New Roman"/>
            <family val="18"/>
          </rPr>
          <t>ML 69/70 IR 1 (1797) AL/TL – AL Nr. 13 (Olmütz 31/03/1797)</t>
        </r>
        <r>
          <rPr>
            <sz val="14"/>
            <color rgb="FF000000"/>
            <rFont val="Calibri"/>
            <family val="34"/>
          </rPr>
          <t xml:space="preserve">
</t>
        </r>
      </text>
    </comment>
    <comment ref="BH357" authorId="0" shapeId="0" xr:uid="{F9A8F344-A187-454A-A5AF-9A7132251070}">
      <text>
        <r>
          <rPr>
            <sz val="14"/>
            <color rgb="FF000000"/>
            <rFont val="Calibri"/>
            <family val="34"/>
          </rPr>
          <t>IR 1 (1797)</t>
        </r>
      </text>
    </comment>
    <comment ref="BF358" authorId="0" shapeId="0" xr:uid="{8AAE2F05-AB91-F34A-9902-91BC5807C668}">
      <text>
        <r>
          <rPr>
            <sz val="14"/>
            <color rgb="FF000000"/>
            <rFont val="Times New Roman"/>
            <family val="18"/>
          </rPr>
          <t xml:space="preserve">01/03/1797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Balbus Nr. 51 [</t>
        </r>
        <r>
          <rPr>
            <i/>
            <sz val="14"/>
            <color rgb="FF000000"/>
            <rFont val="Times New Roman"/>
            <family val="18"/>
          </rPr>
          <t>Auf Kommando in Brünn</t>
        </r>
        <r>
          <rPr>
            <sz val="14"/>
            <color rgb="FF000000"/>
            <rFont val="Times New Roman"/>
            <family val="18"/>
          </rPr>
          <t>]</t>
        </r>
        <r>
          <rPr>
            <sz val="14"/>
            <color rgb="FF000000"/>
            <rFont val="Calibri"/>
            <family val="34"/>
          </rPr>
          <t xml:space="preserve">
</t>
        </r>
        <r>
          <rPr>
            <sz val="14"/>
            <color rgb="FF000000"/>
            <rFont val="Times New Roman"/>
            <family val="18"/>
          </rPr>
          <t>13/09/1803 Muster: IR 23 Haupt Balbus Nr. 42</t>
        </r>
        <r>
          <rPr>
            <sz val="14"/>
            <color rgb="FF000000"/>
            <rFont val="Calibri"/>
            <family val="34"/>
          </rPr>
          <t xml:space="preserve">
</t>
        </r>
        <r>
          <rPr>
            <sz val="14"/>
            <color rgb="FF000000"/>
            <rFont val="Times New Roman"/>
            <family val="18"/>
          </rPr>
          <t>06/09/1804 Muster: IR 23 Haupt Balbus Nr. 42 [</t>
        </r>
        <r>
          <rPr>
            <i/>
            <sz val="14"/>
            <color rgb="FF000000"/>
            <rFont val="Times New Roman"/>
            <family val="18"/>
          </rPr>
          <t>Commandiert Beurlaubt auf Strassenbau</t>
        </r>
        <r>
          <rPr>
            <sz val="14"/>
            <color rgb="FF000000"/>
            <rFont val="Times New Roman"/>
            <family val="18"/>
          </rPr>
          <t>]</t>
        </r>
        <r>
          <rPr>
            <sz val="14"/>
            <color rgb="FF000000"/>
            <rFont val="Calibri"/>
            <family val="34"/>
          </rPr>
          <t xml:space="preserve">
</t>
        </r>
        <r>
          <rPr>
            <sz val="14"/>
            <color rgb="FF000000"/>
            <rFont val="Times New Roman"/>
            <family val="18"/>
          </rPr>
          <t xml:space="preserve">10/06/1805 </t>
        </r>
        <r>
          <rPr>
            <i/>
            <sz val="14"/>
            <color rgb="FF000000"/>
            <rFont val="Times New Roman"/>
            <family val="18"/>
          </rPr>
          <t xml:space="preserve">Als auf die Dauer der Kriege gestelle mit vermog hoher Befehl mit Abschied entlassen </t>
        </r>
        <r>
          <rPr>
            <sz val="14"/>
            <color rgb="FF000000"/>
            <rFont val="Times New Roman"/>
            <family val="18"/>
          </rPr>
          <t xml:space="preserve">[ML 1805] </t>
        </r>
      </text>
    </comment>
    <comment ref="BG358" authorId="0" shapeId="0" xr:uid="{1B3B5B8C-EEBA-5A49-ADC0-A68A08DFBE41}">
      <text>
        <r>
          <rPr>
            <sz val="14"/>
            <color rgb="FF000000"/>
            <rFont val="Times New Roman"/>
            <family val="18"/>
          </rPr>
          <t>ML 10.124 IR 23 (1802) – Haupt Balbus Komp. Nr. 51 (Vienna 16/09/1802)</t>
        </r>
        <r>
          <rPr>
            <sz val="14"/>
            <color rgb="FF000000"/>
            <rFont val="Calibri"/>
            <family val="34"/>
          </rPr>
          <t xml:space="preserve">
</t>
        </r>
        <r>
          <rPr>
            <sz val="14"/>
            <color rgb="FF000000"/>
            <rFont val="Times New Roman"/>
            <family val="18"/>
          </rPr>
          <t>ML 10.125 IR 23 (1803) – Haupt Balbus Komp. Nr. 42 (Vienna 13/09/1803)</t>
        </r>
        <r>
          <rPr>
            <sz val="14"/>
            <color rgb="FF000000"/>
            <rFont val="Calibri"/>
            <family val="34"/>
          </rPr>
          <t xml:space="preserve">
</t>
        </r>
        <r>
          <rPr>
            <sz val="14"/>
            <color rgb="FF000000"/>
            <rFont val="Times New Roman"/>
            <family val="18"/>
          </rPr>
          <t>ML 10.126 IR 23 (1804) – Haupt Balbus Komp. Nr. 42 (Krems 06/09/1804)</t>
        </r>
        <r>
          <rPr>
            <sz val="14"/>
            <color rgb="FF000000"/>
            <rFont val="Calibri"/>
            <family val="34"/>
          </rPr>
          <t xml:space="preserve">
</t>
        </r>
        <r>
          <rPr>
            <sz val="14"/>
            <color rgb="FF000000"/>
            <rFont val="Times New Roman"/>
            <family val="18"/>
          </rPr>
          <t>ML 10.127/8 IR 23 (1807) – Haupt Balbus Komp. Abgang (Rötz 26/01/1807)</t>
        </r>
        <r>
          <rPr>
            <sz val="14"/>
            <color rgb="FF000000"/>
            <rFont val="Calibri"/>
            <family val="34"/>
          </rPr>
          <t xml:space="preserve">
</t>
        </r>
      </text>
    </comment>
    <comment ref="BH358" authorId="0" shapeId="0" xr:uid="{8A259A0A-6CAC-4642-8FFD-CFBE184A3725}">
      <text>
        <r>
          <rPr>
            <sz val="14"/>
            <color rgb="FF000000"/>
            <rFont val="Calibri"/>
            <family val="34"/>
          </rPr>
          <t>IR 23 (1797-1805)</t>
        </r>
      </text>
    </comment>
    <comment ref="J359" authorId="0" shapeId="0" xr:uid="{F2747FA2-B449-3441-9E05-8E58CBCFF40D}">
      <text>
        <r>
          <rPr>
            <sz val="14"/>
            <color rgb="FF000000"/>
            <rFont val="Calibri"/>
            <family val="34"/>
          </rPr>
          <t xml:space="preserve">Ledig (bis 1803)
</t>
        </r>
        <r>
          <rPr>
            <sz val="14"/>
            <color rgb="FF000000"/>
            <rFont val="Calibri"/>
            <family val="34"/>
          </rPr>
          <t>Veheiratet (1804-5)</t>
        </r>
      </text>
    </comment>
    <comment ref="BF359" authorId="0" shapeId="0" xr:uid="{8CC02983-4838-2947-85FC-4F4847361765}">
      <text>
        <r>
          <rPr>
            <sz val="14"/>
            <color rgb="FF000000"/>
            <rFont val="Times New Roman"/>
            <family val="18"/>
          </rPr>
          <t xml:space="preserve">01/03/1797 </t>
        </r>
        <r>
          <rPr>
            <i/>
            <sz val="14"/>
            <color rgb="FF000000"/>
            <rFont val="Times New Roman"/>
            <family val="18"/>
          </rPr>
          <t>Von Galizischen Ständen auf Kriegsdauer gestellt</t>
        </r>
        <r>
          <rPr>
            <sz val="14"/>
            <color rgb="FF000000"/>
            <rFont val="Times New Roman"/>
            <family val="18"/>
          </rPr>
          <t xml:space="preserve"> [ML 1802-5]</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 xml:space="preserve">01/09/1797 </t>
        </r>
        <r>
          <rPr>
            <i/>
            <sz val="14"/>
            <color rgb="FF000000"/>
            <rFont val="Times New Roman"/>
            <family val="18"/>
          </rPr>
          <t>Krank in loco Spital</t>
        </r>
        <r>
          <rPr>
            <sz val="14"/>
            <color rgb="FF000000"/>
            <rFont val="Times New Roman"/>
            <family val="18"/>
          </rPr>
          <t xml:space="preserve"> [ST September 1797]</t>
        </r>
        <r>
          <rPr>
            <sz val="14"/>
            <color rgb="FF000000"/>
            <rFont val="Calibri"/>
            <family val="34"/>
          </rPr>
          <t xml:space="preserve">
</t>
        </r>
        <r>
          <rPr>
            <sz val="14"/>
            <color rgb="FF000000"/>
            <rFont val="Times New Roman"/>
            <family val="18"/>
          </rPr>
          <t xml:space="preserve">31/10/1797 [Mindestens bis] </t>
        </r>
        <r>
          <rPr>
            <i/>
            <sz val="14"/>
            <color rgb="FF000000"/>
            <rFont val="Times New Roman"/>
            <family val="18"/>
          </rPr>
          <t>Krank in loco Spital</t>
        </r>
        <r>
          <rPr>
            <sz val="14"/>
            <color rgb="FF000000"/>
            <rFont val="Times New Roman"/>
            <family val="18"/>
          </rPr>
          <t xml:space="preserve"> [ST October1797]</t>
        </r>
        <r>
          <rPr>
            <sz val="14"/>
            <color rgb="FF000000"/>
            <rFont val="Calibri"/>
            <family val="34"/>
          </rPr>
          <t xml:space="preserve">
</t>
        </r>
        <r>
          <rPr>
            <sz val="14"/>
            <color rgb="FF000000"/>
            <rFont val="Times New Roman"/>
            <family val="18"/>
          </rPr>
          <t>26/01/1799 Revision: IR 43 Haupt Pasqually Comp Nr. 78</t>
        </r>
        <r>
          <rPr>
            <sz val="14"/>
            <color rgb="FF000000"/>
            <rFont val="Calibri"/>
            <family val="34"/>
          </rPr>
          <t xml:space="preserve">
</t>
        </r>
        <r>
          <rPr>
            <sz val="14"/>
            <color rgb="FF000000"/>
            <rFont val="Times New Roman"/>
            <family val="18"/>
          </rPr>
          <t xml:space="preserve">01/09/1799 </t>
        </r>
        <r>
          <rPr>
            <i/>
            <sz val="14"/>
            <color rgb="FF000000"/>
            <rFont val="Times New Roman"/>
            <family val="18"/>
          </rPr>
          <t>Krank in Bologna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30/11/1799 Reconvalesciert [ST Nov 1799]</t>
        </r>
        <r>
          <rPr>
            <sz val="14"/>
            <color rgb="FF000000"/>
            <rFont val="Calibri"/>
            <family val="34"/>
          </rPr>
          <t xml:space="preserve">
</t>
        </r>
        <r>
          <rPr>
            <sz val="14"/>
            <color rgb="FF000000"/>
            <rFont val="Times New Roman"/>
            <family val="18"/>
          </rPr>
          <t>28/08/1802 Musterung: IR 43 Haupt Pasqually Nr. 47</t>
        </r>
        <r>
          <rPr>
            <sz val="14"/>
            <color rgb="FF000000"/>
            <rFont val="Calibri"/>
            <family val="34"/>
          </rPr>
          <t xml:space="preserve">
</t>
        </r>
        <r>
          <rPr>
            <sz val="14"/>
            <color rgb="FF000000"/>
            <rFont val="Times New Roman"/>
            <family val="18"/>
          </rPr>
          <t xml:space="preserve">04/11/1802 </t>
        </r>
        <r>
          <rPr>
            <i/>
            <sz val="14"/>
            <color rgb="FF000000"/>
            <rFont val="Times New Roman"/>
            <family val="18"/>
          </rPr>
          <t>Aus Cattaro Desertiert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04/11/1802 </t>
        </r>
        <r>
          <rPr>
            <i/>
            <sz val="14"/>
            <color rgb="FF000000"/>
            <rFont val="Times New Roman"/>
            <family val="18"/>
          </rPr>
          <t>Von Militär attrapiert und gegen 8Fl Taglia Präsentiert, seitdem in Arrest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06/11/1802 </t>
        </r>
        <r>
          <rPr>
            <i/>
            <sz val="14"/>
            <color rgb="FF000000"/>
            <rFont val="Times New Roman"/>
            <family val="18"/>
          </rPr>
          <t>Von Arrest Befreit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Pasqually Comp. Nr. 145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Pasqually Comp Nr. 137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10/11/1805 Musterung: IR 43 15. Fus Comp Nr. 124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9.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359" authorId="0" shapeId="0" xr:uid="{FEEFEDF8-F4F6-9E4A-9706-BB05D46738AA}">
      <text>
        <r>
          <rPr>
            <sz val="14"/>
            <color rgb="FF000000"/>
            <rFont val="Calibri"/>
            <family val="34"/>
          </rPr>
          <t xml:space="preserve">ML 10.271 IR 43 (1796-9) – RL Haupt Pasqually Comp. Nr. 78 (Cividalle 26/01/1799)
</t>
        </r>
        <r>
          <rPr>
            <sz val="14"/>
            <color rgb="FF000000"/>
            <rFont val="Calibri"/>
            <family val="34"/>
          </rPr>
          <t xml:space="preserve">ML 10.272 IR 43 (1802) – Heft von Haupt Pasqually Nr. 47 (Cattaro 28/08/1802)
</t>
        </r>
        <r>
          <rPr>
            <sz val="14"/>
            <color rgb="FF000000"/>
            <rFont val="Calibri"/>
            <family val="34"/>
          </rPr>
          <t xml:space="preserve">ML 10.273 IR 43 (1803) – Heft von Haupt Pasqually Nr. 145 (Cattaro 02/11/1803)
</t>
        </r>
        <r>
          <rPr>
            <sz val="14"/>
            <color rgb="FF000000"/>
            <rFont val="Calibri"/>
            <family val="34"/>
          </rPr>
          <t xml:space="preserve">ML 10.274 IR 43 (1804) – Heft von Haupt Pasqually Comp. Nr. 137 (Theodo 05/10/1804)
</t>
        </r>
        <r>
          <rPr>
            <sz val="14"/>
            <color rgb="FF000000"/>
            <rFont val="Calibri"/>
            <family val="34"/>
          </rPr>
          <t xml:space="preserve">ML 10.275/6 IR 43 (1805) – Heft von 15. Fus Comp. Nr. 124 (Macarsca (10/11/1805)
</t>
        </r>
        <r>
          <rPr>
            <sz val="14"/>
            <color rgb="FF000000"/>
            <rFont val="Calibri"/>
            <family val="34"/>
          </rPr>
          <t xml:space="preserve">ML 10/277/8 IR 43 (1806) – Heft von 9. Fus Comp. Abgang (Neustadt 05/12/1806)
</t>
        </r>
        <r>
          <rPr>
            <sz val="14"/>
            <color rgb="FF000000"/>
            <rFont val="Calibri"/>
            <family val="34"/>
          </rPr>
          <t xml:space="preserve">ML 10.305 IR 43 (1797) – ST Aug (01/09/1803), Sept (02/09/1804), und Okt (31/05/1805)
</t>
        </r>
        <r>
          <rPr>
            <sz val="14"/>
            <color rgb="FF000000"/>
            <rFont val="Calibri"/>
            <family val="34"/>
          </rPr>
          <t xml:space="preserve">ML 10.307 IR 43 (1799) – ST Sept (21/07/1800), Nov (12/10/1800)
</t>
        </r>
        <r>
          <rPr>
            <sz val="14"/>
            <color rgb="FF000000"/>
            <rFont val="Calibri"/>
            <family val="34"/>
          </rPr>
          <t xml:space="preserve">ML 10.312 IR 43 (1802) – ST Dez (15/01/1803)
</t>
        </r>
        <r>
          <rPr>
            <sz val="14"/>
            <color rgb="FF000000"/>
            <rFont val="Calibri"/>
            <family val="34"/>
          </rPr>
          <t xml:space="preserve">ML 10.313 IR 43 (1803) – ST Jänner (15/02/1803) und März (15/07/1803) 
</t>
        </r>
        <r>
          <rPr>
            <sz val="14"/>
            <color rgb="FF000000"/>
            <rFont val="Calibri"/>
            <family val="34"/>
          </rPr>
          <t xml:space="preserve">ML 10.317 IR 43 (1806) – ST Oktober (27/11/1806) </t>
        </r>
      </text>
    </comment>
    <comment ref="BH359" authorId="0" shapeId="0" xr:uid="{EF86A8E7-2607-C447-A293-1EC5A2A3D576}">
      <text>
        <r>
          <rPr>
            <sz val="14"/>
            <color rgb="FF000000"/>
            <rFont val="Calibri"/>
            <family val="34"/>
          </rPr>
          <t>IR 43 (1797-1806)</t>
        </r>
      </text>
    </comment>
    <comment ref="BF360" authorId="0" shapeId="0" xr:uid="{38B02CC0-D36F-DE4A-95E9-DB69557A750D}">
      <text>
        <r>
          <rPr>
            <sz val="14"/>
            <color rgb="FF000000"/>
            <rFont val="Times New Roman"/>
            <family val="18"/>
          </rPr>
          <t xml:space="preserve">02/03/1797 </t>
        </r>
        <r>
          <rPr>
            <i/>
            <sz val="14"/>
            <color rgb="FF000000"/>
            <rFont val="Times New Roman"/>
            <family val="18"/>
          </rPr>
          <t>Dient seit zu Franz Kinsky</t>
        </r>
        <r>
          <rPr>
            <sz val="14"/>
            <color rgb="FF000000"/>
            <rFont val="Times New Roman"/>
            <family val="18"/>
          </rPr>
          <t xml:space="preserve"> </t>
        </r>
        <r>
          <rPr>
            <b/>
            <sz val="14"/>
            <color rgb="FF000000"/>
            <rFont val="Times New Roman"/>
            <family val="18"/>
          </rPr>
          <t>[IR 47]</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16/07/1797 </t>
        </r>
        <r>
          <rPr>
            <i/>
            <sz val="14"/>
            <color rgb="FF000000"/>
            <rFont val="Times New Roman"/>
            <family val="18"/>
          </rPr>
          <t>Von dort</t>
        </r>
        <r>
          <rPr>
            <sz val="14"/>
            <color rgb="FF000000"/>
            <rFont val="Times New Roman"/>
            <family val="18"/>
          </rPr>
          <t xml:space="preserve"> </t>
        </r>
        <r>
          <rPr>
            <b/>
            <sz val="14"/>
            <color rgb="FF000000"/>
            <rFont val="Times New Roman"/>
            <family val="18"/>
          </rPr>
          <t>[IR 47]</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 xml:space="preserve">[IR 11] </t>
        </r>
        <r>
          <rPr>
            <i/>
            <sz val="14"/>
            <color rgb="FF000000"/>
            <rFont val="Times New Roman"/>
            <family val="18"/>
          </rPr>
          <t>transferiert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07/03/1799 </t>
        </r>
        <r>
          <rPr>
            <i/>
            <sz val="14"/>
            <color rgb="FF000000"/>
            <rFont val="Times New Roman"/>
            <family val="18"/>
          </rPr>
          <t>Desertiert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21/10/1803 </t>
        </r>
        <r>
          <rPr>
            <i/>
            <sz val="14"/>
            <color rgb="FF000000"/>
            <rFont val="Times New Roman"/>
            <family val="18"/>
          </rPr>
          <t>Von Militär ohne Taglia eingebracht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25/08/1804 Muster: IR 11 Haupt Murrmann Komp. Nr. 157 [</t>
        </r>
        <r>
          <rPr>
            <i/>
            <sz val="14"/>
            <color rgb="FF000000"/>
            <rFont val="Times New Roman"/>
            <family val="18"/>
          </rPr>
          <t>Beurlaubt zur Einberufung in seinem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31/01/1805 </t>
        </r>
        <r>
          <rPr>
            <i/>
            <sz val="14"/>
            <color rgb="FF000000"/>
            <rFont val="Times New Roman"/>
            <family val="18"/>
          </rPr>
          <t>Als ausgedienter Kriegscapitulant mit Abschied entlassen</t>
        </r>
        <r>
          <rPr>
            <sz val="14"/>
            <color rgb="FF000000"/>
            <rFont val="Times New Roman"/>
            <family val="18"/>
          </rPr>
          <t xml:space="preserve"> [ML 1806]</t>
        </r>
      </text>
    </comment>
    <comment ref="BG360" authorId="0" shapeId="0" xr:uid="{00A80A15-AF76-6A49-9690-A70557804273}">
      <text>
        <r>
          <rPr>
            <sz val="14"/>
            <color rgb="FF000000"/>
            <rFont val="Times New Roman"/>
            <family val="18"/>
          </rPr>
          <t>ML 806 IR 11 (1804) – Haupt Murmann Komp. Nr. 157 (Prague 25/08/1804)</t>
        </r>
        <r>
          <rPr>
            <sz val="14"/>
            <color rgb="FF000000"/>
            <rFont val="Times New Roman"/>
            <family val="18"/>
          </rPr>
          <t xml:space="preserve">
</t>
        </r>
        <r>
          <rPr>
            <sz val="14"/>
            <color rgb="FF000000"/>
            <rFont val="Times New Roman"/>
            <family val="18"/>
          </rPr>
          <t>ML 807/8 IR 11 (1806) – 9. Fus. Komp. Abgang (Prague 23/12/1806)</t>
        </r>
        <r>
          <rPr>
            <sz val="14"/>
            <color rgb="FF000000"/>
            <rFont val="Times New Roman"/>
            <family val="18"/>
          </rPr>
          <t xml:space="preserve">
</t>
        </r>
      </text>
    </comment>
    <comment ref="BH360" authorId="0" shapeId="0" xr:uid="{CC8C4292-3372-3341-A9F1-177B1A4B2407}">
      <text>
        <r>
          <rPr>
            <sz val="14"/>
            <color rgb="FF000000"/>
            <rFont val="Calibri"/>
            <family val="34"/>
          </rPr>
          <t xml:space="preserve">IR 47 (1797)
</t>
        </r>
        <r>
          <rPr>
            <sz val="14"/>
            <color rgb="FF000000"/>
            <rFont val="Calibri"/>
            <family val="34"/>
          </rPr>
          <t>IR 11 (1797-1805)</t>
        </r>
      </text>
    </comment>
    <comment ref="BF361" authorId="0" shapeId="0" xr:uid="{CEE099EF-874E-2844-A840-0C1A66D72CA0}">
      <text>
        <r>
          <rPr>
            <sz val="14"/>
            <color rgb="FF000000"/>
            <rFont val="Times New Roman"/>
            <family val="18"/>
          </rPr>
          <t xml:space="preserve">02/03/1797 </t>
        </r>
        <r>
          <rPr>
            <i/>
            <sz val="14"/>
            <color rgb="FF000000"/>
            <rFont val="Times New Roman"/>
            <family val="18"/>
          </rPr>
          <t>Dient seit</t>
        </r>
        <r>
          <rPr>
            <sz val="14"/>
            <color rgb="FF000000"/>
            <rFont val="Times New Roman"/>
            <family val="18"/>
          </rPr>
          <t xml:space="preserve"> [ML 1802]
</t>
        </r>
        <r>
          <rPr>
            <sz val="14"/>
            <color rgb="FF000000"/>
            <rFont val="Times New Roman"/>
            <family val="18"/>
          </rPr>
          <t xml:space="preserve">17/09/1802 Muster: IR 11 Haupt. Stampach Komp. Nr. 94
</t>
        </r>
        <r>
          <rPr>
            <sz val="14"/>
            <color rgb="FF000000"/>
            <rFont val="Times New Roman"/>
            <family val="18"/>
          </rPr>
          <t>25/08/1804 Muster: IR 11 Haupt. Stampach Komp. Nr. 79 [</t>
        </r>
        <r>
          <rPr>
            <i/>
            <sz val="14"/>
            <color rgb="FF000000"/>
            <rFont val="Times New Roman"/>
            <family val="18"/>
          </rPr>
          <t>Bis zur Einberufung in seinem Geburtsort beurlaubt</t>
        </r>
        <r>
          <rPr>
            <sz val="14"/>
            <color rgb="FF000000"/>
            <rFont val="Times New Roman"/>
            <family val="18"/>
          </rPr>
          <t xml:space="preserve">]
</t>
        </r>
        <r>
          <rPr>
            <sz val="14"/>
            <color rgb="FF000000"/>
            <rFont val="Times New Roman"/>
            <family val="18"/>
          </rPr>
          <t xml:space="preserve">01/08/1805 </t>
        </r>
        <r>
          <rPr>
            <i/>
            <sz val="14"/>
            <color rgb="FF000000"/>
            <rFont val="Times New Roman"/>
            <family val="18"/>
          </rPr>
          <t>Von dissolvierte Haupt Fabri zur 14. Fus. Komp. transferiert</t>
        </r>
        <r>
          <rPr>
            <sz val="14"/>
            <color rgb="FF000000"/>
            <rFont val="Times New Roman"/>
            <family val="18"/>
          </rPr>
          <t xml:space="preserve"> [ML 1806]
</t>
        </r>
        <r>
          <rPr>
            <sz val="14"/>
            <color rgb="FF000000"/>
            <rFont val="Times New Roman"/>
            <family val="18"/>
          </rPr>
          <t xml:space="preserve">20/08/1805 </t>
        </r>
        <r>
          <rPr>
            <i/>
            <sz val="14"/>
            <color rgb="FF000000"/>
            <rFont val="Times New Roman"/>
            <family val="18"/>
          </rPr>
          <t>Von Unbestimmte Urlaub eingerückt beim Depot</t>
        </r>
        <r>
          <rPr>
            <sz val="14"/>
            <color rgb="FF000000"/>
            <rFont val="Times New Roman"/>
            <family val="18"/>
          </rPr>
          <t xml:space="preserve"> [ST Aug 1805]
</t>
        </r>
        <r>
          <rPr>
            <sz val="14"/>
            <color rgb="FF000000"/>
            <rFont val="Times New Roman"/>
            <family val="18"/>
          </rPr>
          <t xml:space="preserve">01/09/1805 </t>
        </r>
        <r>
          <rPr>
            <i/>
            <sz val="14"/>
            <color rgb="FF000000"/>
            <rFont val="Times New Roman"/>
            <family val="18"/>
          </rPr>
          <t>In Kompanie eingerückt</t>
        </r>
        <r>
          <rPr>
            <sz val="14"/>
            <color rgb="FF000000"/>
            <rFont val="Times New Roman"/>
            <family val="18"/>
          </rPr>
          <t xml:space="preserve"> [ST Aug 1805]
</t>
        </r>
        <r>
          <rPr>
            <sz val="14"/>
            <color rgb="FF000000"/>
            <rFont val="Times New Roman"/>
            <family val="18"/>
          </rPr>
          <t xml:space="preserve">UNBEKANNT: Der Soldat erscheint danach nicht mehr in die Quellen; Vermutlich in Ulm Kriegsgefangen.
</t>
        </r>
      </text>
    </comment>
    <comment ref="BG361" authorId="0" shapeId="0" xr:uid="{97CD9D56-26BE-2D4F-A341-C5D0076F5608}">
      <text>
        <r>
          <rPr>
            <sz val="14"/>
            <color rgb="FF000000"/>
            <rFont val="Times New Roman"/>
            <family val="18"/>
          </rPr>
          <t>ML 804/5 IR 11 (1802) – Haupt Stampach Komp. Nr. 94 (Wisotczan 17/09/1802)</t>
        </r>
        <r>
          <rPr>
            <sz val="14"/>
            <color rgb="FF000000"/>
            <rFont val="Times New Roman"/>
            <family val="18"/>
          </rPr>
          <t xml:space="preserve">
</t>
        </r>
        <r>
          <rPr>
            <sz val="14"/>
            <color rgb="FF000000"/>
            <rFont val="Times New Roman"/>
            <family val="18"/>
          </rPr>
          <t>ML 806 IR 11 (1804) – Haupt Stampach Komp. Nr. 79 (Prague 25/08/1804)</t>
        </r>
        <r>
          <rPr>
            <sz val="14"/>
            <color rgb="FF000000"/>
            <rFont val="Times New Roman"/>
            <family val="18"/>
          </rPr>
          <t xml:space="preserve">
</t>
        </r>
        <r>
          <rPr>
            <sz val="14"/>
            <color rgb="FF000000"/>
            <rFont val="Times New Roman"/>
            <family val="18"/>
          </rPr>
          <t>ML 845 IR 11 (1806) – ST Aug (Prague 16/12/1805)</t>
        </r>
        <r>
          <rPr>
            <sz val="14"/>
            <color rgb="FF000000"/>
            <rFont val="Times New Roman"/>
            <family val="18"/>
          </rPr>
          <t xml:space="preserve">
</t>
        </r>
      </text>
    </comment>
    <comment ref="BH361" authorId="0" shapeId="0" xr:uid="{EB0EDBF3-B0E4-184B-AB6E-E9245DD45BF6}">
      <text>
        <r>
          <rPr>
            <sz val="14"/>
            <color rgb="FF000000"/>
            <rFont val="Calibri"/>
            <family val="34"/>
          </rPr>
          <t>IR 11 (1797-1806)</t>
        </r>
      </text>
    </comment>
    <comment ref="I362" authorId="0" shapeId="0" xr:uid="{BB68B24A-E913-3248-8C0F-C8A93B3CE762}">
      <text>
        <r>
          <rPr>
            <sz val="14"/>
            <color rgb="FF000000"/>
            <rFont val="Calibri"/>
            <family val="34"/>
          </rPr>
          <t xml:space="preserve">1771 [36 (SUP 1807)]
</t>
        </r>
        <r>
          <rPr>
            <sz val="14"/>
            <color rgb="FF000000"/>
            <rFont val="Calibri"/>
            <family val="34"/>
          </rPr>
          <t>OR</t>
        </r>
        <r>
          <rPr>
            <sz val="14"/>
            <color rgb="FF000000"/>
            <rFont val="Calibri"/>
            <family val="2"/>
            <scheme val="minor"/>
          </rPr>
          <t xml:space="preserve">
</t>
        </r>
        <r>
          <rPr>
            <b/>
            <sz val="14"/>
            <color rgb="FF000000"/>
            <rFont val="Calibri"/>
            <family val="34"/>
          </rPr>
          <t xml:space="preserve">1779 [19 (AL 1797)] </t>
        </r>
      </text>
    </comment>
    <comment ref="J362" authorId="0" shapeId="0" xr:uid="{FE602504-CFDC-2842-88F3-653E3AE12DCE}">
      <text>
        <r>
          <rPr>
            <sz val="14"/>
            <color rgb="FF000000"/>
            <rFont val="Calibri"/>
            <family val="34"/>
          </rPr>
          <t xml:space="preserve">Ledig (bis 1806)
</t>
        </r>
        <r>
          <rPr>
            <sz val="14"/>
            <color rgb="FF000000"/>
            <rFont val="Calibri"/>
            <family val="34"/>
          </rPr>
          <t>Veheiratet (1807)</t>
        </r>
      </text>
    </comment>
    <comment ref="T362" authorId="0" shapeId="0" xr:uid="{A5B7F3B2-CC58-154F-BCB7-DCB24E857447}">
      <text>
        <r>
          <rPr>
            <b/>
            <sz val="14"/>
            <color rgb="FF000000"/>
            <rFont val="Calibri"/>
            <family val="34"/>
          </rPr>
          <t xml:space="preserve">5.1 [160.63 cm] (1797)
</t>
        </r>
        <r>
          <rPr>
            <sz val="14"/>
            <color rgb="FF000000"/>
            <rFont val="Calibri"/>
            <family val="34"/>
          </rPr>
          <t xml:space="preserve">5.1.2 [161.07 cm] (1802)
</t>
        </r>
        <r>
          <rPr>
            <sz val="14"/>
            <color rgb="FF000000"/>
            <rFont val="Calibri"/>
            <family val="34"/>
          </rPr>
          <t>5.2.1 [163.48 cm] (1806)</t>
        </r>
      </text>
    </comment>
    <comment ref="BF362" authorId="0" shapeId="0" xr:uid="{CFD7D00D-E199-E74C-9ABB-24292C6C529A}">
      <text>
        <r>
          <rPr>
            <sz val="14"/>
            <color rgb="FF000000"/>
            <rFont val="Times New Roman"/>
            <family val="18"/>
          </rPr>
          <t xml:space="preserve">12/03/1797 </t>
        </r>
        <r>
          <rPr>
            <i/>
            <sz val="14"/>
            <color rgb="FF000000"/>
            <rFont val="Times New Roman"/>
            <family val="18"/>
          </rPr>
          <t>A 3Fl Handgeld als Werbbezirk Rekrut ausgehoben und zum IR 1 Reserve Division assentiert</t>
        </r>
        <r>
          <rPr>
            <sz val="14"/>
            <color rgb="FF000000"/>
            <rFont val="Times New Roman"/>
            <family val="18"/>
          </rPr>
          <t xml:space="preserve"> [AL March 1797]</t>
        </r>
        <r>
          <rPr>
            <sz val="14"/>
            <color rgb="FF000000"/>
            <rFont val="Calibri"/>
            <family val="34"/>
          </rPr>
          <t xml:space="preserve">
</t>
        </r>
        <r>
          <rPr>
            <sz val="14"/>
            <color rgb="FF000000"/>
            <rFont val="Times New Roman"/>
            <family val="18"/>
          </rPr>
          <t>13/09/1803 Muster: IR 1 Haupt Vanderbank Komp. Nr. 64 [</t>
        </r>
        <r>
          <rPr>
            <i/>
            <sz val="14"/>
            <color rgb="FF000000"/>
            <rFont val="Times New Roman"/>
            <family val="18"/>
          </rPr>
          <t>Auf Unbestimmte Urlaub zu Ewanowitz in Mähren</t>
        </r>
        <r>
          <rPr>
            <sz val="14"/>
            <color rgb="FF000000"/>
            <rFont val="Times New Roman"/>
            <family val="18"/>
          </rPr>
          <t>]</t>
        </r>
        <r>
          <rPr>
            <sz val="14"/>
            <color rgb="FF000000"/>
            <rFont val="Calibri"/>
            <family val="34"/>
          </rPr>
          <t xml:space="preserve">
</t>
        </r>
        <r>
          <rPr>
            <sz val="14"/>
            <color rgb="FF000000"/>
            <rFont val="Times New Roman"/>
            <family val="18"/>
          </rPr>
          <t>13/08/1804 Muster: IR 1 Haupt Vanderbank Komp. Nr. 60 [</t>
        </r>
        <r>
          <rPr>
            <i/>
            <sz val="14"/>
            <color rgb="FF000000"/>
            <rFont val="Times New Roman"/>
            <family val="18"/>
          </rPr>
          <t>Beurlaubt bis zur Einberufung zu Ewanowitz in Mähren</t>
        </r>
        <r>
          <rPr>
            <sz val="14"/>
            <color rgb="FF000000"/>
            <rFont val="Times New Roman"/>
            <family val="18"/>
          </rPr>
          <t>]</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Haupt Vanderbank zum Reserve Bataillon 3.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16/11/1805 </t>
        </r>
        <r>
          <rPr>
            <i/>
            <sz val="14"/>
            <color rgb="FF000000"/>
            <rFont val="Times New Roman"/>
            <family val="18"/>
          </rPr>
          <t>Zu Armeespital in Obrowitz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In 12/1805 </t>
        </r>
        <r>
          <rPr>
            <i/>
            <sz val="14"/>
            <color rgb="FF000000"/>
            <rFont val="Times New Roman"/>
            <family val="18"/>
          </rPr>
          <t>im Armee Spital in Kriegsgefangenschaft gefallen</t>
        </r>
        <r>
          <rPr>
            <sz val="14"/>
            <color rgb="FF000000"/>
            <rFont val="Times New Roman"/>
            <family val="18"/>
          </rPr>
          <t xml:space="preserve"> [ST Feb 1806]</t>
        </r>
        <r>
          <rPr>
            <sz val="14"/>
            <color rgb="FF000000"/>
            <rFont val="Calibri"/>
            <family val="34"/>
          </rPr>
          <t xml:space="preserve">
</t>
        </r>
        <r>
          <rPr>
            <sz val="14"/>
            <color rgb="FF000000"/>
            <rFont val="Times New Roman"/>
            <family val="18"/>
          </rPr>
          <t xml:space="preserve">24/02/1806 </t>
        </r>
        <r>
          <rPr>
            <i/>
            <sz val="14"/>
            <color rgb="FF000000"/>
            <rFont val="Times New Roman"/>
            <family val="18"/>
          </rPr>
          <t>Zu Proßnitz als selbst ranzionierte präsentiert</t>
        </r>
        <r>
          <rPr>
            <sz val="14"/>
            <color rgb="FF000000"/>
            <rFont val="Times New Roman"/>
            <family val="18"/>
          </rPr>
          <t xml:space="preserve"> [ST Feb 1806] </t>
        </r>
        <r>
          <rPr>
            <sz val="14"/>
            <color rgb="FF000000"/>
            <rFont val="Calibri"/>
            <family val="34"/>
          </rPr>
          <t xml:space="preserve">
</t>
        </r>
        <r>
          <rPr>
            <sz val="14"/>
            <color rgb="FF000000"/>
            <rFont val="Times New Roman"/>
            <family val="18"/>
          </rPr>
          <t>16/03/1806 Von Reduzierte 19. zum 16. Fus. Komp transferiert [Ml 1806]</t>
        </r>
        <r>
          <rPr>
            <sz val="14"/>
            <color rgb="FF000000"/>
            <rFont val="Calibri"/>
            <family val="34"/>
          </rPr>
          <t xml:space="preserve">
</t>
        </r>
        <r>
          <rPr>
            <sz val="14"/>
            <color rgb="FF000000"/>
            <rFont val="Times New Roman"/>
            <family val="18"/>
          </rPr>
          <t>17/12/1806 Muster: IR 1 Haupt Remetty Komp. Nr. 69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06/03/1807 </t>
        </r>
        <r>
          <rPr>
            <i/>
            <sz val="14"/>
            <color rgb="FF000000"/>
            <rFont val="Times New Roman"/>
            <family val="18"/>
          </rPr>
          <t>Wegen Kurzatmigkeit in Brünn Superarbitriert</t>
        </r>
        <r>
          <rPr>
            <sz val="14"/>
            <color rgb="FF000000"/>
            <rFont val="Times New Roman"/>
            <family val="18"/>
          </rPr>
          <t xml:space="preserve">: </t>
        </r>
        <r>
          <rPr>
            <i/>
            <sz val="14"/>
            <color rgb="FF000000"/>
            <rFont val="Times New Roman"/>
            <family val="18"/>
          </rPr>
          <t>ansonsten sichtlicher Rheumatischer Schmerzen der unteren Extremitäten, ferner sehr Kurzsichtig</t>
        </r>
        <r>
          <rPr>
            <sz val="14"/>
            <color rgb="FF000000"/>
            <rFont val="Times New Roman"/>
            <family val="18"/>
          </rPr>
          <t>; Mit Abschied und dem Gratiale zu entlassen [SUP March 1807]</t>
        </r>
        <r>
          <rPr>
            <sz val="14"/>
            <color rgb="FF000000"/>
            <rFont val="Calibri"/>
            <family val="34"/>
          </rPr>
          <t xml:space="preserve">
</t>
        </r>
        <r>
          <rPr>
            <sz val="14"/>
            <color rgb="FF000000"/>
            <rFont val="Times New Roman"/>
            <family val="18"/>
          </rPr>
          <t xml:space="preserve">05/04/1807 </t>
        </r>
        <r>
          <rPr>
            <i/>
            <sz val="14"/>
            <color rgb="FF000000"/>
            <rFont val="Times New Roman"/>
            <family val="18"/>
          </rPr>
          <t>Zu Folge hoher General Kommando Verordnung ddt. Brünn den 23. März R: 1794 und der mit derselbe am 7. März zu Brünn vorhergenommene Superarbietreirung mit 24Fl 15xr Dienstgratiale von bestimmtem Urlaub mit Abschied entlassen</t>
        </r>
        <r>
          <rPr>
            <sz val="14"/>
            <color rgb="FF000000"/>
            <rFont val="Times New Roman"/>
            <family val="18"/>
          </rPr>
          <t xml:space="preserve"> [ST April 1807]</t>
        </r>
        <r>
          <rPr>
            <sz val="14"/>
            <color rgb="FF000000"/>
            <rFont val="Calibri"/>
            <family val="34"/>
          </rPr>
          <t xml:space="preserve">
</t>
        </r>
      </text>
    </comment>
    <comment ref="BG362" authorId="0" shapeId="0" xr:uid="{CB12EE73-8DB4-0B48-A314-C010CDF19CF1}">
      <text>
        <r>
          <rPr>
            <sz val="14"/>
            <color rgb="FF000000"/>
            <rFont val="Times New Roman"/>
            <family val="18"/>
          </rPr>
          <t>ML 29 IR 1 (1803) – Haupt Vanderbank Komp. Nr. 64 (Karthaus nächst Brünn 13/09/1803)</t>
        </r>
        <r>
          <rPr>
            <sz val="14"/>
            <color rgb="FF000000"/>
            <rFont val="Calibri"/>
            <family val="34"/>
          </rPr>
          <t xml:space="preserve">
</t>
        </r>
        <r>
          <rPr>
            <sz val="14"/>
            <color rgb="FF000000"/>
            <rFont val="Times New Roman"/>
            <family val="18"/>
          </rPr>
          <t>ML 30 IR 1 (1804) – Haupt Vanderbank Komp. Nr. 60 (Olmütz 13/08/1804)</t>
        </r>
        <r>
          <rPr>
            <sz val="14"/>
            <color rgb="FF000000"/>
            <rFont val="Calibri"/>
            <family val="34"/>
          </rPr>
          <t xml:space="preserve">
</t>
        </r>
        <r>
          <rPr>
            <sz val="14"/>
            <color rgb="FF000000"/>
            <rFont val="Times New Roman"/>
            <family val="18"/>
          </rPr>
          <t>ML 31/2 IR 1 (1806) – Haupt Remetty Komp. Nr. 69 (Proßnitz 17/12/1806)</t>
        </r>
        <r>
          <rPr>
            <sz val="14"/>
            <color rgb="FF000000"/>
            <rFont val="Calibri"/>
            <family val="34"/>
          </rPr>
          <t xml:space="preserve">
</t>
        </r>
        <r>
          <rPr>
            <sz val="14"/>
            <color rgb="FF000000"/>
            <rFont val="Times New Roman"/>
            <family val="18"/>
          </rPr>
          <t>ML 69/70 IR 1 (1797) AL/TL – AL. Nr. 63 (Olmütz 31/03/1797)</t>
        </r>
        <r>
          <rPr>
            <sz val="14"/>
            <color rgb="FF000000"/>
            <rFont val="Calibri"/>
            <family val="34"/>
          </rPr>
          <t xml:space="preserve">
</t>
        </r>
        <r>
          <rPr>
            <sz val="14"/>
            <color rgb="FF000000"/>
            <rFont val="Times New Roman"/>
            <family val="18"/>
          </rPr>
          <t>ML 83 IR 1 (1805) – ST Nov (Brünn 12/09/1806),</t>
        </r>
        <r>
          <rPr>
            <sz val="14"/>
            <color rgb="FF000000"/>
            <rFont val="Calibri"/>
            <family val="34"/>
          </rPr>
          <t xml:space="preserve">
</t>
        </r>
        <r>
          <rPr>
            <sz val="14"/>
            <color rgb="FF000000"/>
            <rFont val="Times New Roman"/>
            <family val="18"/>
          </rPr>
          <t>ML 85 IR 1 (1806) – ST Feb (Brünn 31/12/1806)</t>
        </r>
        <r>
          <rPr>
            <sz val="14"/>
            <color rgb="FF000000"/>
            <rFont val="Calibri"/>
            <family val="34"/>
          </rPr>
          <t xml:space="preserve">
</t>
        </r>
        <r>
          <rPr>
            <sz val="14"/>
            <color rgb="FF000000"/>
            <rFont val="Times New Roman"/>
            <family val="18"/>
          </rPr>
          <t>ML 87 IR 1 (1807) – ST April (Brünn 28/07/1807)</t>
        </r>
        <r>
          <rPr>
            <sz val="14"/>
            <color rgb="FF000000"/>
            <rFont val="Calibri"/>
            <family val="34"/>
          </rPr>
          <t xml:space="preserve">
</t>
        </r>
        <r>
          <rPr>
            <sz val="14"/>
            <color rgb="FF000000"/>
            <rFont val="Times New Roman"/>
            <family val="18"/>
          </rPr>
          <t>ML 88 IR 1 (1807) – SUP Nr. 40 (Brünn 06/03/1807)</t>
        </r>
        <r>
          <rPr>
            <sz val="14"/>
            <color rgb="FF000000"/>
            <rFont val="Calibri"/>
            <family val="34"/>
          </rPr>
          <t xml:space="preserve">
</t>
        </r>
      </text>
    </comment>
    <comment ref="BH362" authorId="0" shapeId="0" xr:uid="{A49B54C7-42E9-8442-811E-E2F1114D1180}">
      <text>
        <r>
          <rPr>
            <sz val="14"/>
            <color rgb="FF000000"/>
            <rFont val="Calibri"/>
            <family val="34"/>
          </rPr>
          <t>IR 1 (1797-1807)</t>
        </r>
      </text>
    </comment>
    <comment ref="B363" authorId="0" shapeId="0" xr:uid="{60580048-96E1-B44B-86E8-4A7E16F23CCF}">
      <text>
        <r>
          <rPr>
            <sz val="14"/>
            <color rgb="FF000000"/>
            <rFont val="Calibri"/>
            <family val="34"/>
          </rPr>
          <t xml:space="preserve">Josel SACHIM (1799)/ Jachim JASSEL/ Josel ZACH (1802)/ Zacharias JOSELL (1803)/ Zachor JOSELL (1804)/ Zahar JOSELL (1805) </t>
        </r>
      </text>
    </comment>
    <comment ref="BF363" authorId="0" shapeId="0" xr:uid="{D4862847-416F-9A45-ABF7-5A515041F35A}">
      <text>
        <r>
          <rPr>
            <sz val="14"/>
            <color rgb="FF000000"/>
            <rFont val="Times New Roman"/>
            <family val="18"/>
          </rPr>
          <t xml:space="preserve">22/03/1797 </t>
        </r>
        <r>
          <rPr>
            <i/>
            <sz val="14"/>
            <color rgb="FF000000"/>
            <rFont val="Times New Roman"/>
            <family val="18"/>
          </rPr>
          <t>von Galizischen Ständen gestellt</t>
        </r>
        <r>
          <rPr>
            <sz val="14"/>
            <color rgb="FF000000"/>
            <rFont val="Times New Roman"/>
            <family val="18"/>
          </rPr>
          <t xml:space="preserve"> [ML 1802-1806]</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25/01/1799 Revision: IR 43 Haupt Höffern Nr. 56</t>
        </r>
        <r>
          <rPr>
            <sz val="14"/>
            <color rgb="FF000000"/>
            <rFont val="Calibri"/>
            <family val="34"/>
          </rPr>
          <t xml:space="preserve">
</t>
        </r>
        <r>
          <rPr>
            <sz val="14"/>
            <color rgb="FF000000"/>
            <rFont val="Times New Roman"/>
            <family val="18"/>
          </rPr>
          <t xml:space="preserve">31/05/1799 </t>
        </r>
        <r>
          <rPr>
            <i/>
            <sz val="14"/>
            <color rgb="FF000000"/>
            <rFont val="Times New Roman"/>
            <family val="18"/>
          </rPr>
          <t>von Haupt Höfern Comp zum Regiments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01/08/1799 </t>
        </r>
        <r>
          <rPr>
            <i/>
            <sz val="14"/>
            <color rgb="FF000000"/>
            <rFont val="Times New Roman"/>
            <family val="18"/>
          </rPr>
          <t>Von Regiments Artillerie Handlanger zurück zum Haupt Höfern Comp Trasnferiert</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18/08/1799 [seit]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05/12/1799 </t>
        </r>
        <r>
          <rPr>
            <i/>
            <sz val="14"/>
            <color rgb="FF000000"/>
            <rFont val="Times New Roman"/>
            <family val="18"/>
          </rPr>
          <t>Reconvalesciert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07/07/1802 </t>
        </r>
        <r>
          <rPr>
            <i/>
            <sz val="14"/>
            <color rgb="FF000000"/>
            <rFont val="Times New Roman"/>
            <family val="18"/>
          </rPr>
          <t>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28/08/1802 Musterung: IR 43 Haupt Baumann Nr. 44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bestimmte zum unbestimmte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Haupt Baumann Comp Nr. 43 [</t>
        </r>
        <r>
          <rPr>
            <i/>
            <sz val="14"/>
            <color rgb="FF000000"/>
            <rFont val="Times New Roman"/>
            <family val="18"/>
          </rPr>
          <t>Beulraubt in seinem Geburtort bis zur Einberufung</t>
        </r>
        <r>
          <rPr>
            <sz val="14"/>
            <color rgb="FF000000"/>
            <rFont val="Times New Roman"/>
            <family val="18"/>
          </rPr>
          <t>]</t>
        </r>
        <r>
          <rPr>
            <sz val="14"/>
            <color rgb="FF000000"/>
            <rFont val="Calibri"/>
            <family val="34"/>
          </rPr>
          <t xml:space="preserve">
</t>
        </r>
        <r>
          <rPr>
            <sz val="14"/>
            <color rgb="FF000000"/>
            <rFont val="Times New Roman"/>
            <family val="18"/>
          </rPr>
          <t>05/10/1804 Musterung: Haupt Baumann Comp Nr. 42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23/10/1805 Musterung: 12. Fus Comp Nr. 49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31/07/1806 </t>
        </r>
        <r>
          <rPr>
            <i/>
            <sz val="14"/>
            <color rgb="FF000000"/>
            <rFont val="Times New Roman"/>
            <family val="18"/>
          </rPr>
          <t>Von Urlaub Desertiert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wurde in den Monats Tabelle per 8ber 806 nit ultimo unrecht als desertiert in Abgang gebracht; weil selbe auf Urlaub als Untauglich entlausen Wird</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zu Folge hoher General Commando Verordnung Nr. 7200 als ungehöriger von 16. Comp untauglich mit Abschied entlassen</t>
        </r>
        <r>
          <rPr>
            <sz val="14"/>
            <color rgb="FF000000"/>
            <rFont val="Times New Roman"/>
            <family val="18"/>
          </rPr>
          <t xml:space="preserve"> [ST Nov 1806 &amp; ML 1806]</t>
        </r>
        <r>
          <rPr>
            <sz val="14"/>
            <color rgb="FF000000"/>
            <rFont val="Calibri"/>
            <family val="34"/>
          </rPr>
          <t xml:space="preserve">
</t>
        </r>
      </text>
    </comment>
    <comment ref="BG363" authorId="0" shapeId="0" xr:uid="{A4863E10-F636-D444-A8D3-7F71858709AD}">
      <text>
        <r>
          <rPr>
            <sz val="14"/>
            <color rgb="FF000000"/>
            <rFont val="Calibri"/>
            <family val="34"/>
          </rPr>
          <t xml:space="preserve">ML 10.271 IR 43 (1796-9) – RL Heft von Haupt Geisler Comp Nr. 64
</t>
        </r>
        <r>
          <rPr>
            <sz val="14"/>
            <color rgb="FF000000"/>
            <rFont val="Calibri"/>
            <family val="34"/>
          </rPr>
          <t xml:space="preserve">ML 10.272 IR 43 (1802) – Heft von Haupt Geistler. Comp. Nr. 46 (Cattaro 28/08/1802)
</t>
        </r>
        <r>
          <rPr>
            <sz val="14"/>
            <color rgb="FF000000"/>
            <rFont val="Calibri"/>
            <family val="34"/>
          </rPr>
          <t xml:space="preserve">ML 10.273 IR 43 (1803) – Heft von Haupt Geistler Nr. 42 (Cattaro 02/11/1803)
</t>
        </r>
        <r>
          <rPr>
            <sz val="14"/>
            <color rgb="FF000000"/>
            <rFont val="Calibri"/>
            <family val="34"/>
          </rPr>
          <t xml:space="preserve">ML 10.274 IR 43 (1804) – Heft von Haupt Geistler Comp. Nr. 42 (Theodo 05/10/1804)
</t>
        </r>
        <r>
          <rPr>
            <sz val="14"/>
            <color rgb="FF000000"/>
            <rFont val="Calibri"/>
            <family val="34"/>
          </rPr>
          <t xml:space="preserve">ML 10.275/6 IR 43 (1805) – Heft von 10. Fus Comp. Nr. 40 (Spalato (23/10/1805)
</t>
        </r>
        <r>
          <rPr>
            <sz val="14"/>
            <color rgb="FF000000"/>
            <rFont val="Calibri"/>
            <family val="34"/>
          </rPr>
          <t xml:space="preserve">ML 10/277/8 IR 43 (1806) – Heft von 14. Fus Comp. Abgang (Laibach 01/12/1806)
</t>
        </r>
        <r>
          <rPr>
            <sz val="14"/>
            <color rgb="FF000000"/>
            <rFont val="Calibri"/>
            <family val="34"/>
          </rPr>
          <t xml:space="preserve">ML 10.305 IR 43 (1797) – ST August (01/09/1803) und Oktober (31/05/1805)
</t>
        </r>
        <r>
          <rPr>
            <sz val="14"/>
            <color rgb="FF000000"/>
            <rFont val="Calibri"/>
            <family val="34"/>
          </rPr>
          <t xml:space="preserve">ML 10.307 IR 43 (1799) – ST August (06/03/1800) und September (21/07/1800)
</t>
        </r>
        <r>
          <rPr>
            <sz val="14"/>
            <color rgb="FF000000"/>
            <rFont val="Calibri"/>
            <family val="34"/>
          </rPr>
          <t xml:space="preserve">ML 10.309 IR 43 (1800) – ST Jänner (26/02/1801)
</t>
        </r>
        <r>
          <rPr>
            <sz val="14"/>
            <color rgb="FF000000"/>
            <rFont val="Calibri"/>
            <family val="34"/>
          </rPr>
          <t xml:space="preserve">ML 10.311 IR 43 (1801) – ST Feb (28/09/1804) und Mai (10/03/1805)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t>
        </r>
      </text>
    </comment>
    <comment ref="BH363" authorId="0" shapeId="0" xr:uid="{32FE8534-1A25-ED4B-8786-B3E16DE5B1D7}">
      <text>
        <r>
          <rPr>
            <sz val="14"/>
            <color rgb="FF000000"/>
            <rFont val="Calibri"/>
            <family val="34"/>
          </rPr>
          <t>IR 43 (1797-1806)</t>
        </r>
      </text>
    </comment>
    <comment ref="BF364" authorId="0" shapeId="0" xr:uid="{DBFCBFAA-601A-7040-930C-DC68EC4CBA6E}">
      <text>
        <r>
          <rPr>
            <sz val="14"/>
            <color rgb="FF000000"/>
            <rFont val="Times New Roman"/>
            <family val="18"/>
          </rPr>
          <t xml:space="preserve">28/03/1797 </t>
        </r>
        <r>
          <rPr>
            <i/>
            <sz val="14"/>
            <color rgb="FF000000"/>
            <rFont val="Times New Roman"/>
            <family val="18"/>
          </rPr>
          <t>A 3Fl Handgeld zu Zollkief in Galizien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12/09/1803 Muster: IR 4 Haupt Görger Komp. Nr. 42 [</t>
        </r>
        <r>
          <rPr>
            <i/>
            <sz val="14"/>
            <color rgb="FF000000"/>
            <rFont val="Times New Roman"/>
            <family val="18"/>
          </rPr>
          <t>Beurlaubt in Galizien in Ort</t>
        </r>
        <r>
          <rPr>
            <sz val="14"/>
            <color rgb="FF000000"/>
            <rFont val="Times New Roman"/>
            <family val="18"/>
          </rPr>
          <t>]</t>
        </r>
        <r>
          <rPr>
            <sz val="14"/>
            <color rgb="FF000000"/>
            <rFont val="Aptos"/>
            <family val="34"/>
          </rPr>
          <t xml:space="preserve">
</t>
        </r>
        <r>
          <rPr>
            <sz val="14"/>
            <color rgb="FF000000"/>
            <rFont val="Times New Roman"/>
            <family val="18"/>
          </rPr>
          <t xml:space="preserve">UNBEKANNT: </t>
        </r>
        <r>
          <rPr>
            <i/>
            <sz val="14"/>
            <color rgb="FF000000"/>
            <rFont val="Times New Roman"/>
            <family val="18"/>
          </rPr>
          <t>Erscheint nicht in der Revisions-Liste von Haupt Hertwich Kompanie zwischen  31. Marz 1804 und 1. Mai 1804</t>
        </r>
        <r>
          <rPr>
            <sz val="14"/>
            <color rgb="FF000000"/>
            <rFont val="Calibri"/>
            <family val="34"/>
          </rPr>
          <t xml:space="preserve">
</t>
        </r>
      </text>
    </comment>
    <comment ref="BG364" authorId="0" shapeId="0" xr:uid="{B6B3E306-6FA7-8A42-B2DA-BD3FDEFF629A}">
      <text>
        <r>
          <rPr>
            <sz val="14"/>
            <color rgb="FF000000"/>
            <rFont val="Times New Roman"/>
            <family val="18"/>
          </rPr>
          <t>ML 348 IR 4 (1803) – Haupt Görger Komp. Nr. 42 (Wiener Neustadt 12/09/1803)</t>
        </r>
        <r>
          <rPr>
            <sz val="14"/>
            <color rgb="FF000000"/>
            <rFont val="Aptos"/>
            <family val="34"/>
          </rPr>
          <t xml:space="preserve">
</t>
        </r>
      </text>
    </comment>
    <comment ref="BH364" authorId="0" shapeId="0" xr:uid="{F2BAC619-F442-B640-B2CF-286C4C9C22D0}">
      <text>
        <r>
          <rPr>
            <sz val="14"/>
            <color rgb="FF000000"/>
            <rFont val="Calibri"/>
            <family val="34"/>
          </rPr>
          <t>IR 4 (1797-1804)</t>
        </r>
      </text>
    </comment>
    <comment ref="BF365" authorId="0" shapeId="0" xr:uid="{DA6E518E-1A56-0F4A-BD85-88FF9AACC1CF}">
      <text>
        <r>
          <rPr>
            <sz val="14"/>
            <color rgb="FF000000"/>
            <rFont val="Times New Roman"/>
            <family val="18"/>
          </rPr>
          <t xml:space="preserve">29/03/1797 </t>
        </r>
        <r>
          <rPr>
            <i/>
            <sz val="14"/>
            <color rgb="FF000000"/>
            <rFont val="Times New Roman"/>
            <family val="18"/>
          </rPr>
          <t>Von Gallizischen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25/03/1799 </t>
        </r>
        <r>
          <rPr>
            <i/>
            <sz val="14"/>
            <color rgb="FF000000"/>
            <rFont val="Times New Roman"/>
            <family val="18"/>
          </rPr>
          <t>Bei Martins Bruck Gefangen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04/07/1801 </t>
        </r>
        <r>
          <rPr>
            <i/>
            <sz val="14"/>
            <color rgb="FF000000"/>
            <rFont val="Times New Roman"/>
            <family val="18"/>
          </rPr>
          <t>Gegen Austausch Ranzioniert Worden</t>
        </r>
        <r>
          <rPr>
            <sz val="14"/>
            <color rgb="FF000000"/>
            <rFont val="Times New Roman"/>
            <family val="18"/>
          </rPr>
          <t xml:space="preserve"> [01/07/1801 in DOC]</t>
        </r>
        <r>
          <rPr>
            <sz val="14"/>
            <color rgb="FF000000"/>
            <rFont val="Calibri"/>
            <family val="34"/>
          </rPr>
          <t xml:space="preserve">
</t>
        </r>
        <r>
          <rPr>
            <sz val="14"/>
            <color rgb="FF000000"/>
            <rFont val="Times New Roman"/>
            <family val="18"/>
          </rPr>
          <t>09/09/1802 Muster: IR 23 Haupt Ebertin Nr. 144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Kleinschmidt Nr. 121 [</t>
        </r>
        <r>
          <rPr>
            <i/>
            <sz val="14"/>
            <color rgb="FF000000"/>
            <rFont val="Times New Roman"/>
            <family val="18"/>
          </rPr>
          <t>In sein Geburtsort auf bestimmte Zeit beurlaubt</t>
        </r>
        <r>
          <rPr>
            <sz val="14"/>
            <color rgb="FF000000"/>
            <rFont val="Times New Roman"/>
            <family val="18"/>
          </rPr>
          <t>]</t>
        </r>
        <r>
          <rPr>
            <sz val="14"/>
            <color rgb="FF000000"/>
            <rFont val="Calibri"/>
            <family val="34"/>
          </rPr>
          <t xml:space="preserve">
</t>
        </r>
        <r>
          <rPr>
            <sz val="14"/>
            <color rgb="FF000000"/>
            <rFont val="Times New Roman"/>
            <family val="18"/>
          </rPr>
          <t>12/09/1804 Muster: IR 23 Haupt Kleinschmidt Nr. 101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 </t>
        </r>
      </text>
    </comment>
    <comment ref="BG365" authorId="0" shapeId="0" xr:uid="{DEF8C15C-B712-974F-9C04-6A04D6E346B9}">
      <text>
        <r>
          <rPr>
            <sz val="14"/>
            <color rgb="FF000000"/>
            <rFont val="Times New Roman"/>
            <family val="18"/>
          </rPr>
          <t>ML 10.124 IR 23 (1802) – Haupt Ebertin Komp. Nr. 144 (Krems 09/09/1802)</t>
        </r>
        <r>
          <rPr>
            <sz val="14"/>
            <color rgb="FF000000"/>
            <rFont val="Calibri"/>
            <family val="34"/>
          </rPr>
          <t xml:space="preserve">
</t>
        </r>
        <r>
          <rPr>
            <sz val="14"/>
            <color rgb="FF000000"/>
            <rFont val="Times New Roman"/>
            <family val="18"/>
          </rPr>
          <t>ML 10.125 IR 23 (1803) – Haupt Kleinschmidt Komp. Nr. 121 (Execierlager bei St Pölten 07/09/1803)</t>
        </r>
        <r>
          <rPr>
            <sz val="14"/>
            <color rgb="FF000000"/>
            <rFont val="Calibri"/>
            <family val="34"/>
          </rPr>
          <t xml:space="preserve">
</t>
        </r>
        <r>
          <rPr>
            <sz val="14"/>
            <color rgb="FF000000"/>
            <rFont val="Times New Roman"/>
            <family val="18"/>
          </rPr>
          <t>ML 10.126 IR 23 (1804) – Haupt Kleinschmidt Komp. Nr. 117 (Vienna 13/09/1804)</t>
        </r>
        <r>
          <rPr>
            <sz val="14"/>
            <color rgb="FF000000"/>
            <rFont val="Calibri"/>
            <family val="34"/>
          </rPr>
          <t xml:space="preserve">
</t>
        </r>
        <r>
          <rPr>
            <sz val="14"/>
            <color rgb="FF000000"/>
            <rFont val="Times New Roman"/>
            <family val="18"/>
          </rPr>
          <t>ML 10.127/8 IR 23 (1807) – Haupt Hautzinger Komp. Abgang (Poysdorf 26/01/1807)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365" authorId="0" shapeId="0" xr:uid="{6F6C2AC6-4547-7044-914F-C8287E771D43}">
      <text>
        <r>
          <rPr>
            <sz val="14"/>
            <color rgb="FF000000"/>
            <rFont val="Calibri"/>
            <family val="34"/>
          </rPr>
          <t>IR 23 (1797-1806)</t>
        </r>
      </text>
    </comment>
    <comment ref="BF366" authorId="0" shapeId="0" xr:uid="{4DC186B0-5474-E849-8BC0-4B01D8FD1DB6}">
      <text>
        <r>
          <rPr>
            <sz val="14"/>
            <color rgb="FF000000"/>
            <rFont val="Times New Roman"/>
            <family val="18"/>
          </rPr>
          <t xml:space="preserve">30/03/179[4]7 </t>
        </r>
        <r>
          <rPr>
            <i/>
            <sz val="14"/>
            <color rgb="FF000000"/>
            <rFont val="Times New Roman"/>
            <family val="18"/>
          </rPr>
          <t>Zu Chelm auf die Krieges Zeit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13 Haupt Brambilla Komp. Nr. 77 [</t>
        </r>
        <r>
          <rPr>
            <i/>
            <sz val="14"/>
            <color rgb="FF000000"/>
            <rFont val="Times New Roman"/>
            <family val="18"/>
          </rPr>
          <t>Halb Invalid</t>
        </r>
        <r>
          <rPr>
            <sz val="14"/>
            <color rgb="FF000000"/>
            <rFont val="Times New Roman"/>
            <family val="18"/>
          </rPr>
          <t>]</t>
        </r>
        <r>
          <rPr>
            <sz val="14"/>
            <color rgb="FF000000"/>
            <rFont val="Times New Roman"/>
            <family val="18"/>
          </rPr>
          <t xml:space="preserve">
</t>
        </r>
        <r>
          <rPr>
            <sz val="14"/>
            <color rgb="FF000000"/>
            <rFont val="Times New Roman"/>
            <family val="18"/>
          </rPr>
          <t xml:space="preserve">30/11/1802 </t>
        </r>
        <r>
          <rPr>
            <i/>
            <sz val="14"/>
            <color rgb="FF000000"/>
            <rFont val="Times New Roman"/>
            <family val="18"/>
          </rPr>
          <t>Von IR 13 Haupt Brambilla Komp. zum Krainischer Militar Kordon transferiert</t>
        </r>
        <r>
          <rPr>
            <sz val="14"/>
            <color rgb="FF000000"/>
            <rFont val="Times New Roman"/>
            <family val="18"/>
          </rPr>
          <t xml:space="preserve"> [ML 1803]</t>
        </r>
        <r>
          <rPr>
            <sz val="14"/>
            <color rgb="FF000000"/>
            <rFont val="Times New Roman"/>
            <family val="18"/>
          </rPr>
          <t xml:space="preserve">
</t>
        </r>
      </text>
    </comment>
    <comment ref="BG366" authorId="0" shapeId="0" xr:uid="{0D3BC6AC-6724-F347-9AFC-41051B162AB7}">
      <text>
        <r>
          <rPr>
            <sz val="14"/>
            <color rgb="FF000000"/>
            <rFont val="Times New Roman"/>
            <family val="18"/>
          </rPr>
          <t>ML 10.045/6 IR 13 (1802) – Haupt Brambila Komp. Nr. 77 (Triest 16/09/1802)</t>
        </r>
        <r>
          <rPr>
            <sz val="14"/>
            <color rgb="FF000000"/>
            <rFont val="Times New Roman"/>
            <family val="18"/>
          </rPr>
          <t xml:space="preserve">
</t>
        </r>
        <r>
          <rPr>
            <sz val="14"/>
            <color rgb="FF000000"/>
            <rFont val="Times New Roman"/>
            <family val="18"/>
          </rPr>
          <t>ML 10.047/8 IR 13 (1803) – Haupt Brambila Komp. Abgang (Triest 21/09/1803)</t>
        </r>
        <r>
          <rPr>
            <sz val="14"/>
            <color rgb="FF000000"/>
            <rFont val="Times New Roman"/>
            <family val="18"/>
          </rPr>
          <t xml:space="preserve">
</t>
        </r>
      </text>
    </comment>
    <comment ref="BH366" authorId="0" shapeId="0" xr:uid="{4D8792AE-F2D2-7C43-BFD2-3B98D2AEF03C}">
      <text>
        <r>
          <rPr>
            <sz val="14"/>
            <color rgb="FF000000"/>
            <rFont val="Calibri"/>
            <family val="34"/>
          </rPr>
          <t xml:space="preserve">IR 13 (1797-1802)
</t>
        </r>
        <r>
          <rPr>
            <sz val="14"/>
            <color rgb="FF000000"/>
            <rFont val="Calibri"/>
            <family val="34"/>
          </rPr>
          <t>GK Krain (1802)</t>
        </r>
      </text>
    </comment>
    <comment ref="T367" authorId="0" shapeId="0" xr:uid="{6AFD53AE-6FD2-8B44-B7E0-9F706F3378B1}">
      <text>
        <r>
          <rPr>
            <sz val="14"/>
            <color rgb="FF000000"/>
            <rFont val="Calibri"/>
            <family val="34"/>
          </rPr>
          <t xml:space="preserve">5.2 [163.26 cm] (1797)
</t>
        </r>
        <r>
          <rPr>
            <sz val="14"/>
            <color rgb="FF000000"/>
            <rFont val="Calibri"/>
            <family val="34"/>
          </rPr>
          <t>5.2.2 [163.7 cm] (1803)</t>
        </r>
      </text>
    </comment>
    <comment ref="BF367" authorId="0" shapeId="0" xr:uid="{25AB6537-D226-6744-92EA-128301A135DA}">
      <text>
        <r>
          <rPr>
            <sz val="14"/>
            <color rgb="FF000000"/>
            <rFont val="Times New Roman"/>
            <family val="18"/>
          </rPr>
          <t xml:space="preserve">04/04/1797 </t>
        </r>
        <r>
          <rPr>
            <i/>
            <sz val="14"/>
            <color rgb="FF000000"/>
            <rFont val="Times New Roman"/>
            <family val="18"/>
          </rPr>
          <t>Mit Versicherungsschein von Ständen und zum IR 21 ‚Reserve Division‘ gestellt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4. Bataillon Haupt von Engelthal Comp. zum IR 43 transferiert;</t>
        </r>
        <r>
          <rPr>
            <sz val="14"/>
            <color rgb="FF000000"/>
            <rFont val="Times New Roman"/>
            <family val="18"/>
          </rPr>
          <t xml:space="preserve"> </t>
        </r>
        <r>
          <rPr>
            <i/>
            <sz val="14"/>
            <color rgb="FF000000"/>
            <rFont val="Times New Roman"/>
            <family val="18"/>
          </rPr>
          <t>Seitdem auf anhero Marsch mit Friedensgebühr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Selmbach Komp. Nr. 119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 xml:space="preserve">[Wounded at Novi?] </t>
        </r>
        <r>
          <rPr>
            <sz val="14"/>
            <color rgb="FF000000"/>
            <rFont val="Times New Roman"/>
            <family val="18"/>
          </rPr>
          <t>[ST September 1797]</t>
        </r>
        <r>
          <rPr>
            <sz val="14"/>
            <color rgb="FF000000"/>
            <rFont val="Calibri"/>
            <family val="34"/>
          </rPr>
          <t xml:space="preserve">
</t>
        </r>
        <r>
          <rPr>
            <sz val="14"/>
            <color rgb="FF000000"/>
            <rFont val="Times New Roman"/>
            <family val="18"/>
          </rPr>
          <t xml:space="preserve">27/08/1799 </t>
        </r>
        <r>
          <rPr>
            <i/>
            <sz val="14"/>
            <color rgb="FF000000"/>
            <rFont val="Times New Roman"/>
            <family val="18"/>
          </rPr>
          <t>Ohne Feuerwehr Desertiert</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01/11/1799 </t>
        </r>
        <r>
          <rPr>
            <i/>
            <sz val="14"/>
            <color rgb="FF000000"/>
            <rFont val="Times New Roman"/>
            <family val="18"/>
          </rPr>
          <t>Wurde 27. August bist ultimo verlegt als Deserteur in Abgang gebracht, war aber Krank auswärts, wird von 01/09/1799 wieder in Stand und gebühr genommen, und vor dieser Zeit in Auswärtiger gebühr bis Ultimo Oct. nachgetragen sait1. in loco</t>
        </r>
        <r>
          <rPr>
            <sz val="14"/>
            <color rgb="FF000000"/>
            <rFont val="Times New Roman"/>
            <family val="18"/>
          </rPr>
          <t xml:space="preserve"> [ST November 1799]</t>
        </r>
        <r>
          <rPr>
            <sz val="14"/>
            <color rgb="FF000000"/>
            <rFont val="Calibri"/>
            <family val="34"/>
          </rPr>
          <t xml:space="preserve">
</t>
        </r>
        <r>
          <rPr>
            <sz val="14"/>
            <color rgb="FF000000"/>
            <rFont val="Times New Roman"/>
            <family val="18"/>
          </rPr>
          <t>24/08/1802 Muster: IR 43 Haupt Selmbach Nr. 51]</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42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Als Capitulant auf Kriegsdauer ohnentgeldich zum Betrieb der Wirtschaft Mit Abschied entlassen</t>
        </r>
        <r>
          <rPr>
            <sz val="14"/>
            <color rgb="FF000000"/>
            <rFont val="Times New Roman"/>
            <family val="18"/>
          </rPr>
          <t xml:space="preserve"> [ST Dec 1803]</t>
        </r>
        <r>
          <rPr>
            <sz val="14"/>
            <color rgb="FF000000"/>
            <rFont val="Calibri"/>
            <family val="34"/>
          </rPr>
          <t xml:space="preserve">
</t>
        </r>
      </text>
    </comment>
    <comment ref="BG367" authorId="0" shapeId="0" xr:uid="{A6444308-89F8-9045-8C8D-B6E3C2F57CC9}">
      <text>
        <r>
          <rPr>
            <sz val="14"/>
            <color rgb="FF000000"/>
            <rFont val="Times New Roman"/>
            <family val="18"/>
          </rPr>
          <t>ML 1775 IR 21 (1797) – TL IR 21 -&gt; IR 43 Nr.32 (Königgrätz 21/10/1797)</t>
        </r>
        <r>
          <rPr>
            <sz val="14"/>
            <color rgb="FF000000"/>
            <rFont val="Calibri"/>
            <family val="34"/>
          </rPr>
          <t xml:space="preserve">
</t>
        </r>
        <r>
          <rPr>
            <sz val="14"/>
            <color rgb="FF000000"/>
            <rFont val="Times New Roman"/>
            <family val="18"/>
          </rPr>
          <t>ML 10.271 IR 43 (1796-9) –Haupt Selmbach Komp Nr. 119 (Udine 25/01/799)</t>
        </r>
        <r>
          <rPr>
            <sz val="14"/>
            <color rgb="FF000000"/>
            <rFont val="Calibri"/>
            <family val="34"/>
          </rPr>
          <t xml:space="preserve">
</t>
        </r>
        <r>
          <rPr>
            <sz val="14"/>
            <color rgb="FF000000"/>
            <rFont val="Times New Roman"/>
            <family val="18"/>
          </rPr>
          <t xml:space="preserve">ML 10.272 IR 43 (1802) – Haupt Selmbach Komp. Nr. 151 (Budua 24/08/1802) </t>
        </r>
        <r>
          <rPr>
            <sz val="14"/>
            <color rgb="FF000000"/>
            <rFont val="Calibri"/>
            <family val="34"/>
          </rPr>
          <t xml:space="preserve">
</t>
        </r>
        <r>
          <rPr>
            <sz val="14"/>
            <color rgb="FF000000"/>
            <rFont val="Times New Roman"/>
            <family val="18"/>
          </rPr>
          <t>ML 10.273 IR 43 (1803) – Haupt Selmbach Komp. Nr. 48 (Knin 04/11/1803)</t>
        </r>
        <r>
          <rPr>
            <sz val="14"/>
            <color rgb="FF000000"/>
            <rFont val="Calibri"/>
            <family val="34"/>
          </rPr>
          <t xml:space="preserve">
</t>
        </r>
        <r>
          <rPr>
            <sz val="14"/>
            <color rgb="FF000000"/>
            <rFont val="Times New Roman"/>
            <family val="18"/>
          </rPr>
          <t>ML 10.274 IR 43 (1804) – 2. Major Komp. Abgang (Zara 15/09/1804)</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Sept (21/07/1800), Nov (12/10/1800)</t>
        </r>
        <r>
          <rPr>
            <sz val="14"/>
            <color rgb="FF000000"/>
            <rFont val="Calibri"/>
            <family val="34"/>
          </rPr>
          <t xml:space="preserve">
</t>
        </r>
        <r>
          <rPr>
            <sz val="14"/>
            <color rgb="FF000000"/>
            <rFont val="Times New Roman"/>
            <family val="18"/>
          </rPr>
          <t>ML 10.312 IR 43 (1802) – ST Jan (15/02/1803), März (15/04/1803), Dez (15/01/1804)</t>
        </r>
      </text>
    </comment>
    <comment ref="BH367" authorId="0" shapeId="0" xr:uid="{7DC1E1C2-DB93-7C41-B054-352B5F96A24F}">
      <text>
        <r>
          <rPr>
            <sz val="14"/>
            <color rgb="FF000000"/>
            <rFont val="Calibri"/>
            <family val="34"/>
          </rPr>
          <t xml:space="preserve">IR 21 (1797)
</t>
        </r>
        <r>
          <rPr>
            <sz val="14"/>
            <color rgb="FF000000"/>
            <rFont val="Calibri"/>
            <family val="34"/>
          </rPr>
          <t>IR 43 (1797-1803)</t>
        </r>
      </text>
    </comment>
    <comment ref="BI367" authorId="0" shapeId="0" xr:uid="{A89B4A15-0EF5-A549-95C8-C74349CD6D97}">
      <text>
        <r>
          <rPr>
            <sz val="14"/>
            <color rgb="FF000000"/>
            <rFont val="Calibri"/>
            <family val="34"/>
          </rPr>
          <t>1797: Gut</t>
        </r>
      </text>
    </comment>
    <comment ref="BF368" authorId="0" shapeId="0" xr:uid="{C0CA6323-7606-924C-81EF-BA09B7CB2312}">
      <text>
        <r>
          <rPr>
            <sz val="14"/>
            <color rgb="FF000000"/>
            <rFont val="Times New Roman"/>
            <family val="18"/>
          </rPr>
          <t xml:space="preserve">06/04/1797 </t>
        </r>
        <r>
          <rPr>
            <i/>
            <sz val="14"/>
            <color rgb="FF000000"/>
            <rFont val="Times New Roman"/>
            <family val="18"/>
          </rPr>
          <t xml:space="preserve">Als Werbbezirk Recrout von IR 11 am 3Fl Handgeld in Galizien assentiert und Seitdem auf anhero Marsch </t>
        </r>
        <r>
          <rPr>
            <sz val="14"/>
            <color rgb="FF000000"/>
            <rFont val="Times New Roman"/>
            <family val="18"/>
          </rPr>
          <t xml:space="preserve"> [AL 1797 &amp; ST June 1797]</t>
        </r>
        <r>
          <rPr>
            <sz val="14"/>
            <color rgb="FF000000"/>
            <rFont val="Calibri"/>
            <family val="34"/>
          </rPr>
          <t xml:space="preserve">
</t>
        </r>
        <r>
          <rPr>
            <sz val="14"/>
            <color rgb="FF000000"/>
            <rFont val="Times New Roman"/>
            <family val="18"/>
          </rPr>
          <t xml:space="preserve">01/06/1797 </t>
        </r>
        <r>
          <rPr>
            <i/>
            <sz val="14"/>
            <color rgb="FF000000"/>
            <rFont val="Times New Roman"/>
            <family val="18"/>
          </rPr>
          <t>Ins IR 11 Lieb Bat Haupt Babischek Comp eingerückt und sofort zum 4. Bataillon transferiert</t>
        </r>
        <r>
          <rPr>
            <sz val="14"/>
            <color rgb="FF000000"/>
            <rFont val="Times New Roman"/>
            <family val="18"/>
          </rPr>
          <t xml:space="preserve"> [TL Sept 1797 &amp; ST June 1797]</t>
        </r>
        <r>
          <rPr>
            <sz val="14"/>
            <color rgb="FF000000"/>
            <rFont val="Calibri"/>
            <family val="34"/>
          </rPr>
          <t xml:space="preserve">
</t>
        </r>
      </text>
    </comment>
    <comment ref="BG368" authorId="0" shapeId="0" xr:uid="{2F188F11-9184-FE48-9533-087C1F96D27A}">
      <text>
        <r>
          <rPr>
            <sz val="14"/>
            <color rgb="FF000000"/>
            <rFont val="Times New Roman"/>
            <family val="18"/>
          </rPr>
          <t>ML 835 IR 11 (1797) – AL Nr. 1 (Chelm 06/04/1797); TL Nr. 1 (Hüfingen 16/09/1797); ST June (Prague 14/04/1803)</t>
        </r>
      </text>
    </comment>
    <comment ref="BH368" authorId="0" shapeId="0" xr:uid="{A64FE6C7-1D46-DF42-8217-633640EF50B5}">
      <text>
        <r>
          <rPr>
            <sz val="14"/>
            <color rgb="FF000000"/>
            <rFont val="Calibri"/>
            <family val="34"/>
          </rPr>
          <t>IR 11 (1797)</t>
        </r>
      </text>
    </comment>
    <comment ref="BF369" authorId="0" shapeId="0" xr:uid="{18C47C69-7A37-D446-A5DE-B569B11CF574}">
      <text>
        <r>
          <rPr>
            <sz val="14"/>
            <color rgb="FF000000"/>
            <rFont val="Times New Roman"/>
            <family val="18"/>
          </rPr>
          <t xml:space="preserve">07/04/1797 </t>
        </r>
        <r>
          <rPr>
            <i/>
            <sz val="14"/>
            <color rgb="FF000000"/>
            <rFont val="Times New Roman"/>
            <family val="18"/>
          </rPr>
          <t xml:space="preserve">A 3Fl Handgeld zu Chelm assentiert </t>
        </r>
        <r>
          <rPr>
            <sz val="14"/>
            <color rgb="FF000000"/>
            <rFont val="Times New Roman"/>
            <family val="18"/>
          </rPr>
          <t>[TL June 1798]</t>
        </r>
        <r>
          <rPr>
            <sz val="14"/>
            <color rgb="FF000000"/>
            <rFont val="Calibri"/>
            <family val="34"/>
          </rPr>
          <t xml:space="preserve">
</t>
        </r>
        <r>
          <rPr>
            <sz val="14"/>
            <color rgb="FF000000"/>
            <rFont val="Times New Roman"/>
            <family val="18"/>
          </rPr>
          <t xml:space="preserve">21/05/1798 </t>
        </r>
        <r>
          <rPr>
            <i/>
            <sz val="14"/>
            <color rgb="FF000000"/>
            <rFont val="Times New Roman"/>
            <family val="18"/>
          </rPr>
          <t>Von Graf Kinsky Inf</t>
        </r>
        <r>
          <rPr>
            <sz val="14"/>
            <color rgb="FF000000"/>
            <rFont val="Times New Roman"/>
            <family val="18"/>
          </rPr>
          <t xml:space="preserve"> </t>
        </r>
        <r>
          <rPr>
            <i/>
            <sz val="14"/>
            <color rgb="FF000000"/>
            <rFont val="Times New Roman"/>
            <family val="18"/>
          </rPr>
          <t xml:space="preserve">4. Bataillon </t>
        </r>
        <r>
          <rPr>
            <sz val="14"/>
            <color rgb="FF000000"/>
            <rFont val="Times New Roman"/>
            <family val="18"/>
          </rPr>
          <t xml:space="preserve">[IR 47] </t>
        </r>
        <r>
          <rPr>
            <i/>
            <sz val="14"/>
            <color rgb="FF000000"/>
            <rFont val="Times New Roman"/>
            <family val="18"/>
          </rPr>
          <t>Kleinberger Komp. zum IR 30 vacant Calzada Komp. transferiert, setidem auf anhero Marsch</t>
        </r>
        <r>
          <rPr>
            <sz val="14"/>
            <color rgb="FF000000"/>
            <rFont val="Times New Roman"/>
            <family val="18"/>
          </rPr>
          <t xml:space="preserve"> [TL June 1798 &amp; ST June 1798]</t>
        </r>
        <r>
          <rPr>
            <sz val="14"/>
            <color rgb="FF000000"/>
            <rFont val="Calibri"/>
            <family val="34"/>
          </rPr>
          <t xml:space="preserve">
</t>
        </r>
        <r>
          <rPr>
            <sz val="14"/>
            <color rgb="FF000000"/>
            <rFont val="Times New Roman"/>
            <family val="18"/>
          </rPr>
          <t xml:space="preserve">24/05/1798 </t>
        </r>
        <r>
          <rPr>
            <i/>
            <sz val="14"/>
            <color rgb="FF000000"/>
            <rFont val="Times New Roman"/>
            <family val="18"/>
          </rPr>
          <t>In Kompanie eingerückt</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369" authorId="0" shapeId="0" xr:uid="{EBA0CEA9-4D32-BD42-8E2C-7389446FD6CC}">
      <text>
        <r>
          <rPr>
            <sz val="14"/>
            <color rgb="FF000000"/>
            <rFont val="Times New Roman"/>
            <family val="18"/>
          </rPr>
          <t>ML 2664 IR 30 (1798) – TL IR 47-&gt;IR 30 Nr. 6 (Prague 16/06/1798); ST June (Lemberg 11/03/1803), Dec (Theresienstadt 23/07/1799)</t>
        </r>
      </text>
    </comment>
    <comment ref="BH369" authorId="0" shapeId="0" xr:uid="{B76C14B3-CF6B-1541-BD62-887A34211CAD}">
      <text>
        <r>
          <rPr>
            <sz val="14"/>
            <color rgb="FF000000"/>
            <rFont val="Calibri"/>
            <family val="34"/>
          </rPr>
          <t xml:space="preserve">IR 47 (1797-1798)
</t>
        </r>
        <r>
          <rPr>
            <sz val="14"/>
            <color rgb="FF000000"/>
            <rFont val="Calibri"/>
            <family val="34"/>
          </rPr>
          <t>IR 30 (1798)</t>
        </r>
      </text>
    </comment>
    <comment ref="BF370" authorId="0" shapeId="0" xr:uid="{38949C12-A95B-8A4F-929F-E363AAF6F222}">
      <text>
        <r>
          <rPr>
            <sz val="14"/>
            <color rgb="FF000000"/>
            <rFont val="Times New Roman"/>
            <family val="18"/>
          </rPr>
          <t xml:space="preserve">16/04/1797 </t>
        </r>
        <r>
          <rPr>
            <i/>
            <sz val="14"/>
            <color rgb="FF000000"/>
            <rFont val="Times New Roman"/>
            <family val="18"/>
          </rPr>
          <t>Als Fähnrich bei Stein Inf Regiment No. 50 neu zugewachsen</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04/06/1799 </t>
        </r>
        <r>
          <rPr>
            <i/>
            <sz val="14"/>
            <color rgb="FF000000"/>
            <rFont val="Times New Roman"/>
            <family val="18"/>
          </rPr>
          <t xml:space="preserve">In die französische Kriegsgefangenschaft geraten </t>
        </r>
        <r>
          <rPr>
            <b/>
            <sz val="14"/>
            <color rgb="FF000000"/>
            <rFont val="Times New Roman"/>
            <family val="18"/>
          </rPr>
          <t>[1. Schlacht von Zürich]</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16/07/1799 </t>
        </r>
        <r>
          <rPr>
            <i/>
            <sz val="14"/>
            <color rgb="FF000000"/>
            <rFont val="Times New Roman"/>
            <family val="18"/>
          </rPr>
          <t>Wieder ranzioniert worden</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01/10/1799 </t>
        </r>
        <r>
          <rPr>
            <i/>
            <sz val="14"/>
            <color rgb="FF000000"/>
            <rFont val="Times New Roman"/>
            <family val="18"/>
          </rPr>
          <t>Zum UnterLt. Avanciert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25/10/1800 </t>
        </r>
        <r>
          <rPr>
            <i/>
            <sz val="14"/>
            <color rgb="FF000000"/>
            <rFont val="Times New Roman"/>
            <family val="18"/>
          </rPr>
          <t>Von Stein Inf Regiment</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 xml:space="preserve">zum IR 60 transferiert und zum Haupt </t>
        </r>
        <r>
          <rPr>
            <sz val="14"/>
            <color rgb="FF000000"/>
            <rFont val="Times New Roman"/>
            <family val="18"/>
          </rPr>
          <t xml:space="preserve">XXX </t>
        </r>
        <r>
          <rPr>
            <i/>
            <sz val="14"/>
            <color rgb="FF000000"/>
            <rFont val="Times New Roman"/>
            <family val="18"/>
          </rPr>
          <t>Komp Zugeteilt, derselbe Tag zum OberLt. Avanciert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Haupt Flygely zum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Haupt Krapf zum Szombathely Komp. transferiert</t>
        </r>
        <r>
          <rPr>
            <sz val="14"/>
            <color rgb="FF000000"/>
            <rFont val="Times New Roman"/>
            <family val="18"/>
          </rPr>
          <t xml:space="preserve"> [1802]</t>
        </r>
        <r>
          <rPr>
            <sz val="14"/>
            <color rgb="FF000000"/>
            <rFont val="Calibri"/>
            <family val="34"/>
          </rPr>
          <t xml:space="preserve">
</t>
        </r>
        <r>
          <rPr>
            <sz val="14"/>
            <color rgb="FF000000"/>
            <rFont val="Times New Roman"/>
            <family val="18"/>
          </rPr>
          <t>15/09/1802 Musterung: IR 60 Haupt Szombathely Komp Nr. 2 [</t>
        </r>
        <r>
          <rPr>
            <i/>
            <sz val="14"/>
            <color rgb="FF000000"/>
            <rFont val="Times New Roman"/>
            <family val="18"/>
          </rPr>
          <t>Beurlaubt in Wien</t>
        </r>
        <r>
          <rPr>
            <sz val="14"/>
            <color rgb="FF000000"/>
            <rFont val="Times New Roman"/>
            <family val="18"/>
          </rPr>
          <t>]</t>
        </r>
        <r>
          <rPr>
            <sz val="14"/>
            <color rgb="FF000000"/>
            <rFont val="Calibri"/>
            <family val="34"/>
          </rPr>
          <t xml:space="preserve">
</t>
        </r>
        <r>
          <rPr>
            <sz val="14"/>
            <color rgb="FF000000"/>
            <rFont val="Times New Roman"/>
            <family val="18"/>
          </rPr>
          <t>01/11/1802 Von IR 60 Szombathely Komp. zum IR 23 Haupt Rauch Komp. transferiert [ML 1803]</t>
        </r>
        <r>
          <rPr>
            <sz val="14"/>
            <color rgb="FF000000"/>
            <rFont val="Calibri"/>
            <family val="34"/>
          </rPr>
          <t xml:space="preserve">
</t>
        </r>
        <r>
          <rPr>
            <sz val="14"/>
            <color rgb="FF000000"/>
            <rFont val="Times New Roman"/>
            <family val="18"/>
          </rPr>
          <t>13/09/1803 Muster: IR 23 Haupt Rauch Komp. Nr. 2 [</t>
        </r>
        <r>
          <rPr>
            <i/>
            <sz val="14"/>
            <color rgb="FF000000"/>
            <rFont val="Times New Roman"/>
            <family val="18"/>
          </rPr>
          <t>Zugeteilt beim Regiment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01/10/1803 </t>
        </r>
        <r>
          <rPr>
            <i/>
            <sz val="14"/>
            <color rgb="FF000000"/>
            <rFont val="Times New Roman"/>
            <family val="18"/>
          </rPr>
          <t>Von Haupt Rauch zur Haupt Eisenkolb Komp. transferiert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16/05/1804 </t>
        </r>
        <r>
          <rPr>
            <i/>
            <sz val="14"/>
            <color rgb="FF000000"/>
            <rFont val="Times New Roman"/>
            <family val="18"/>
          </rPr>
          <t>Von Haupt Wetzelsbrg zum 2. Major Komp. transferiert und mittels Convention mit Baron Marschall zum CaptLt avanciert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01/05/1806 </t>
        </r>
        <r>
          <rPr>
            <i/>
            <sz val="14"/>
            <color rgb="FF000000"/>
            <rFont val="Times New Roman"/>
            <family val="18"/>
          </rPr>
          <t>Von Seinem Komp. hier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24/01/1807 Muster: IR 23 CaptLt Herz Komp. Nr. 1</t>
        </r>
        <r>
          <rPr>
            <sz val="14"/>
            <color rgb="FF000000"/>
            <rFont val="Calibri"/>
            <family val="34"/>
          </rPr>
          <t xml:space="preserve">
</t>
        </r>
        <r>
          <rPr>
            <sz val="14"/>
            <color rgb="FF000000"/>
            <rFont val="Times New Roman"/>
            <family val="18"/>
          </rPr>
          <t>12/09/1808 Revision: IR 23 CaptLt Herz Komp. Nr. 1</t>
        </r>
        <r>
          <rPr>
            <sz val="14"/>
            <color rgb="FF000000"/>
            <rFont val="Calibri"/>
            <family val="34"/>
          </rPr>
          <t xml:space="preserve">
</t>
        </r>
        <r>
          <rPr>
            <sz val="14"/>
            <color rgb="FF000000"/>
            <rFont val="Times New Roman"/>
            <family val="18"/>
          </rPr>
          <t xml:space="preserve">16/02/1809 </t>
        </r>
        <r>
          <rPr>
            <i/>
            <sz val="14"/>
            <color rgb="FF000000"/>
            <rFont val="Times New Roman"/>
            <family val="18"/>
          </rPr>
          <t xml:space="preserve">Zum Wirklicher Hauptmann avanciert </t>
        </r>
        <r>
          <rPr>
            <sz val="14"/>
            <color rgb="FF000000"/>
            <rFont val="Times New Roman"/>
            <family val="18"/>
          </rPr>
          <t>[ST Feb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 xml:space="preserve">Von Wuchetich Komp. zum 1. Grenadier Komp. transferiert </t>
        </r>
        <r>
          <rPr>
            <sz val="14"/>
            <color rgb="FF000000"/>
            <rFont val="Times New Roman"/>
            <family val="18"/>
          </rPr>
          <t>[ST Sept 1809]</t>
        </r>
        <r>
          <rPr>
            <sz val="14"/>
            <color rgb="FF000000"/>
            <rFont val="Calibri"/>
            <family val="34"/>
          </rPr>
          <t xml:space="preserve">
</t>
        </r>
        <r>
          <rPr>
            <sz val="14"/>
            <color rgb="FF000000"/>
            <rFont val="Times New Roman"/>
            <family val="18"/>
          </rPr>
          <t xml:space="preserve">08/03/1810 </t>
        </r>
        <r>
          <rPr>
            <i/>
            <sz val="14"/>
            <color rgb="FF000000"/>
            <rFont val="Times New Roman"/>
            <family val="18"/>
          </rPr>
          <t>Von dissolvierte IR 23 1. Gren Komp zum IR 2 Hiller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20/09/1811 Muster: IR 2 9. Fus. Komp. Nr. 2</t>
        </r>
        <r>
          <rPr>
            <sz val="14"/>
            <color rgb="FF000000"/>
            <rFont val="Calibri"/>
            <family val="34"/>
          </rPr>
          <t xml:space="preserve">
</t>
        </r>
        <r>
          <rPr>
            <sz val="14"/>
            <color rgb="FF000000"/>
            <rFont val="Times New Roman"/>
            <family val="18"/>
          </rPr>
          <t xml:space="preserve">01/04/1812 </t>
        </r>
        <r>
          <rPr>
            <i/>
            <sz val="14"/>
            <color rgb="FF000000"/>
            <rFont val="Times New Roman"/>
            <family val="18"/>
          </rPr>
          <t>Zugeteilt bey der Rechnungskanzlei zur Enzersdorf</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30/04/1812 </t>
        </r>
        <r>
          <rPr>
            <i/>
            <sz val="14"/>
            <color rgb="FF000000"/>
            <rFont val="Times New Roman"/>
            <family val="18"/>
          </rPr>
          <t>In Folge hohe Hofkriegsratliche Reskript von 24. Hujus und hoher General Commando Verordnung Wien am 30. D. L. 2142 mit 600Fl jahrlicher Pension und Majors Charakter ad honores pensioniert</t>
        </r>
        <r>
          <rPr>
            <sz val="14"/>
            <color rgb="FF000000"/>
            <rFont val="Times New Roman"/>
            <family val="18"/>
          </rPr>
          <t xml:space="preserve"> [ST April 1812] </t>
        </r>
      </text>
    </comment>
    <comment ref="BG370" authorId="0" shapeId="0" xr:uid="{E2883E6D-21C3-E441-B419-E414F796EE43}">
      <text>
        <r>
          <rPr>
            <sz val="14"/>
            <color rgb="FF000000"/>
            <rFont val="Times New Roman"/>
            <family val="18"/>
          </rPr>
          <t>ML 5102-4 IR 60 (1802) – Heft von Haupt Szombathely Komp. Nr. 2 (Tamesvar 15/09/1802)</t>
        </r>
        <r>
          <rPr>
            <sz val="14"/>
            <color rgb="FF000000"/>
            <rFont val="Calibri"/>
            <family val="34"/>
          </rPr>
          <t xml:space="preserve">
</t>
        </r>
        <r>
          <rPr>
            <sz val="14"/>
            <color rgb="FF000000"/>
            <rFont val="Times New Roman"/>
            <family val="18"/>
          </rPr>
          <t>ML 5123 IR 60 (1800) – TL IR 50-&gt;IR 60 Nr. 1 (Linz 27/01/1801)</t>
        </r>
        <r>
          <rPr>
            <sz val="14"/>
            <color rgb="FF000000"/>
            <rFont val="Calibri"/>
            <family val="34"/>
          </rPr>
          <t xml:space="preserve">
</t>
        </r>
        <r>
          <rPr>
            <sz val="14"/>
            <color rgb="FF000000"/>
            <rFont val="Times New Roman"/>
            <family val="18"/>
          </rPr>
          <t>ML 10.125 IR 23 (1803) – Haupt Rauch Komp. Nr. 2 (Vienna 16/09/1803)</t>
        </r>
        <r>
          <rPr>
            <sz val="14"/>
            <color rgb="FF000000"/>
            <rFont val="Calibri"/>
            <family val="34"/>
          </rPr>
          <t xml:space="preserve">
</t>
        </r>
        <r>
          <rPr>
            <sz val="14"/>
            <color rgb="FF000000"/>
            <rFont val="Times New Roman"/>
            <family val="18"/>
          </rPr>
          <t>ML 10.126 IR 23 (1804) – 2. Major Komp. Nr. 1 (Krems 06/09/1804)</t>
        </r>
        <r>
          <rPr>
            <sz val="14"/>
            <color rgb="FF000000"/>
            <rFont val="Calibri"/>
            <family val="34"/>
          </rPr>
          <t xml:space="preserve">
</t>
        </r>
        <r>
          <rPr>
            <sz val="14"/>
            <color rgb="FF000000"/>
            <rFont val="Times New Roman"/>
            <family val="18"/>
          </rPr>
          <t>ML 10.127/8 IR 23 (1807) – CaptLt Herz Komp. Nr. 1 (Korneuburg 24/01/1807)</t>
        </r>
        <r>
          <rPr>
            <sz val="14"/>
            <color rgb="FF000000"/>
            <rFont val="Calibri"/>
            <family val="34"/>
          </rPr>
          <t xml:space="preserve">
</t>
        </r>
        <r>
          <rPr>
            <sz val="14"/>
            <color rgb="FF000000"/>
            <rFont val="Times New Roman"/>
            <family val="18"/>
          </rPr>
          <t>ML 10/129 IR 23 (1808) – CaptLt Herz Komp. Nr. 1 (Olmütz 12/09/1808)</t>
        </r>
        <r>
          <rPr>
            <sz val="14"/>
            <color rgb="FF000000"/>
            <rFont val="Calibri"/>
            <family val="34"/>
          </rPr>
          <t xml:space="preserve">
</t>
        </r>
        <r>
          <rPr>
            <sz val="14"/>
            <color rgb="FF000000"/>
            <rFont val="Times New Roman"/>
            <family val="18"/>
          </rPr>
          <t>ML 10.181 IR 23 (1809) – ST Feb (Comorn 28/10/1810), Sept (17/04/1811)</t>
        </r>
        <r>
          <rPr>
            <sz val="14"/>
            <color rgb="FF000000"/>
            <rFont val="Calibri"/>
            <family val="34"/>
          </rPr>
          <t xml:space="preserve">
</t>
        </r>
        <r>
          <rPr>
            <sz val="14"/>
            <color rgb="FF000000"/>
            <rFont val="Times New Roman"/>
            <family val="18"/>
          </rPr>
          <t xml:space="preserve">ML 10.182 IR 23 (1810/11) – ST March (01/07/1811) </t>
        </r>
        <r>
          <rPr>
            <sz val="14"/>
            <color rgb="FF000000"/>
            <rFont val="Calibri"/>
            <family val="34"/>
          </rPr>
          <t xml:space="preserve">
</t>
        </r>
        <r>
          <rPr>
            <sz val="14"/>
            <color rgb="FF000000"/>
            <rFont val="Times New Roman"/>
            <family val="18"/>
          </rPr>
          <t>ML 134/5 IR 2 (1811) – 9. Fus. Komp. Nr. 2 (Vienna 20/09/1811)</t>
        </r>
        <r>
          <rPr>
            <sz val="14"/>
            <color rgb="FF000000"/>
            <rFont val="Calibri"/>
            <family val="34"/>
          </rPr>
          <t xml:space="preserve">
</t>
        </r>
        <r>
          <rPr>
            <sz val="14"/>
            <color rgb="FF000000"/>
            <rFont val="Times New Roman"/>
            <family val="18"/>
          </rPr>
          <t>ML IR 2 (1812) – ST April (Preßburg 30/10/1812)</t>
        </r>
        <r>
          <rPr>
            <sz val="14"/>
            <color rgb="FF000000"/>
            <rFont val="Calibri"/>
            <family val="34"/>
          </rPr>
          <t xml:space="preserve">
</t>
        </r>
      </text>
    </comment>
    <comment ref="BH370" authorId="0" shapeId="0" xr:uid="{105177ED-A58C-0447-AA96-A1802EF5117D}">
      <text>
        <r>
          <rPr>
            <sz val="14"/>
            <color rgb="FF000000"/>
            <rFont val="Calibri"/>
            <family val="34"/>
          </rPr>
          <t xml:space="preserve">IR 50 (1797-1800)
</t>
        </r>
        <r>
          <rPr>
            <sz val="14"/>
            <color rgb="FF000000"/>
            <rFont val="Calibri"/>
            <family val="34"/>
          </rPr>
          <t xml:space="preserve">IR 60 (1800-1802)
</t>
        </r>
        <r>
          <rPr>
            <sz val="14"/>
            <color rgb="FF000000"/>
            <rFont val="Calibri"/>
            <family val="34"/>
          </rPr>
          <t xml:space="preserve">IR 23 (1802-1810)
</t>
        </r>
        <r>
          <rPr>
            <sz val="14"/>
            <color rgb="FF000000"/>
            <rFont val="Calibri"/>
            <family val="34"/>
          </rPr>
          <t xml:space="preserve">IR 2 (1810-1812)
</t>
        </r>
      </text>
    </comment>
    <comment ref="BF371" authorId="0" shapeId="0" xr:uid="{B724A656-D6BE-514B-9988-6E4CF9D25DFF}">
      <text>
        <r>
          <rPr>
            <sz val="14"/>
            <color rgb="FF000000"/>
            <rFont val="Times New Roman"/>
            <family val="18"/>
          </rPr>
          <t xml:space="preserve">19/04/1797 </t>
        </r>
        <r>
          <rPr>
            <i/>
            <sz val="14"/>
            <color rgb="FF000000"/>
            <rFont val="Times New Roman"/>
            <family val="18"/>
          </rPr>
          <t xml:space="preserve">Gegen 10 Gulden und einen Versicherungsschein auf Dauer des Krieges angeworben </t>
        </r>
        <r>
          <rPr>
            <sz val="14"/>
            <color rgb="FF000000"/>
            <rFont val="Times New Roman"/>
            <family val="18"/>
          </rPr>
          <t>[AL April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Höberlein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09/07/1797 </t>
        </r>
        <r>
          <rPr>
            <i/>
            <sz val="14"/>
            <color rgb="FF000000"/>
            <rFont val="Times New Roman"/>
            <family val="18"/>
          </rPr>
          <t>Von 4. Bat Haupt Köberlein Komp. zum Feld Bats transferiert, zum Haupt Denayer Komp. engetielt und seitdem auf anhero Marsch</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Marsch Desertiert</t>
        </r>
        <r>
          <rPr>
            <sz val="14"/>
            <color rgb="FF000000"/>
            <rFont val="Times New Roman"/>
            <family val="18"/>
          </rPr>
          <t xml:space="preserve"> [ST Sept 1797]</t>
        </r>
        <r>
          <rPr>
            <sz val="14"/>
            <color rgb="FF000000"/>
            <rFont val="Calibri"/>
            <family val="2"/>
          </rPr>
          <t xml:space="preserve"> </t>
        </r>
      </text>
    </comment>
    <comment ref="BG371" authorId="0" shapeId="0" xr:uid="{650EB868-3A86-9848-BFC7-D16F3853C591}">
      <text>
        <r>
          <rPr>
            <sz val="14"/>
            <color rgb="FF000000"/>
            <rFont val="Times New Roman"/>
            <family val="18"/>
          </rPr>
          <t>ML 68 IR 1797 (1797) – St Sept (Brünn 24/10/1802)</t>
        </r>
        <r>
          <rPr>
            <sz val="14"/>
            <color rgb="FF000000"/>
            <rFont val="Calibri"/>
            <family val="34"/>
          </rPr>
          <t xml:space="preserve">
</t>
        </r>
        <r>
          <rPr>
            <sz val="14"/>
            <color rgb="FF000000"/>
            <rFont val="Times New Roman"/>
            <family val="18"/>
          </rPr>
          <t>ML 69/70 IR 3 (1797) AL/TL – AL Nr. 4 (Olmütz 21/04/1797); TL IR 1 3 Feld Bats-&gt; 4. Bat Nr. 805 (Freiburg in Breisgau 29/18/1798); TL IR 1 4. Bat-&gt; 3 Feld Bats Nr. 231 (Olmütz 08/07/1799)</t>
        </r>
        <r>
          <rPr>
            <sz val="14"/>
            <color rgb="FF000000"/>
            <rFont val="Calibri"/>
            <family val="34"/>
          </rPr>
          <t xml:space="preserve">
</t>
        </r>
      </text>
    </comment>
    <comment ref="BH371" authorId="0" shapeId="0" xr:uid="{2F5918A8-401B-AE47-8F96-52928DBD3C70}">
      <text>
        <r>
          <rPr>
            <sz val="14"/>
            <color rgb="FF000000"/>
            <rFont val="Calibri"/>
            <family val="34"/>
          </rPr>
          <t>IR 1 (1797)</t>
        </r>
      </text>
    </comment>
    <comment ref="BF372" authorId="0" shapeId="0" xr:uid="{84FED543-F84F-DD49-B4CE-C2FAC34B7465}">
      <text>
        <r>
          <rPr>
            <sz val="14"/>
            <color rgb="FF000000"/>
            <rFont val="Times New Roman"/>
            <family val="18"/>
          </rPr>
          <t xml:space="preserve">19/04/1797 </t>
        </r>
        <r>
          <rPr>
            <i/>
            <sz val="14"/>
            <color rgb="FF000000"/>
            <rFont val="Times New Roman"/>
            <family val="18"/>
          </rPr>
          <t>Von Regimentswerbbezirk gestellt und gegen Versicherungsschaien aud Dauer des Krieges zum IR 1 Reserve Division assentiert</t>
        </r>
        <r>
          <rPr>
            <sz val="14"/>
            <color rgb="FF000000"/>
            <rFont val="Times New Roman"/>
            <family val="18"/>
          </rPr>
          <t xml:space="preserve"> [AL April 1797 &amp; TL Nov 1801]</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Major von Ribonet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08/07/1797 </t>
        </r>
        <r>
          <rPr>
            <i/>
            <sz val="14"/>
            <color rgb="FF000000"/>
            <rFont val="Times New Roman"/>
            <family val="18"/>
          </rPr>
          <t>Von 4. Bat Major Ribolet Komp. zum Feld Bats transferiert</t>
        </r>
        <r>
          <rPr>
            <sz val="14"/>
            <color rgb="FF000000"/>
            <rFont val="Times New Roman"/>
            <family val="18"/>
          </rPr>
          <t xml:space="preserve"> [TL July 1797]</t>
        </r>
        <r>
          <rPr>
            <sz val="14"/>
            <color rgb="FF000000"/>
            <rFont val="Calibri"/>
            <family val="34"/>
          </rPr>
          <t xml:space="preserve">
</t>
        </r>
        <r>
          <rPr>
            <sz val="14"/>
            <color rgb="FF000000"/>
            <rFont val="Times New Roman"/>
            <family val="18"/>
          </rPr>
          <t xml:space="preserve">15/11/1801 </t>
        </r>
        <r>
          <rPr>
            <i/>
            <sz val="14"/>
            <color rgb="FF000000"/>
            <rFont val="Times New Roman"/>
            <family val="18"/>
          </rPr>
          <t>Von IR 1 Flesies Komp. zum IR 2 transferiert</t>
        </r>
        <r>
          <rPr>
            <sz val="14"/>
            <color rgb="FF000000"/>
            <rFont val="Times New Roman"/>
            <family val="18"/>
          </rPr>
          <t xml:space="preserve"> [TL Nov 1801]</t>
        </r>
        <r>
          <rPr>
            <sz val="14"/>
            <color rgb="FF000000"/>
            <rFont val="Calibri"/>
            <family val="34"/>
          </rPr>
          <t xml:space="preserve">
</t>
        </r>
      </text>
    </comment>
    <comment ref="BG372" authorId="0" shapeId="0" xr:uid="{2718F4A7-D505-474F-9AA1-9E8CF84910A8}">
      <text>
        <r>
          <rPr>
            <sz val="14"/>
            <color rgb="FF000000"/>
            <rFont val="Times New Roman"/>
            <family val="18"/>
          </rPr>
          <t>ML 69/70 IR 1 (1797) – AL Unnumbered (Olmütz 28/04/1797); TL IR 1 3 Feld Bats-&gt; 4. Bat Nr. 224 (Freiburg in Breisgau 29/18/1798); TL IR 1 4. Bat-&gt; 3 Feld Bats Nr. 51(Olmütz 08/07/1799)</t>
        </r>
        <r>
          <rPr>
            <sz val="14"/>
            <color rgb="FF000000"/>
            <rFont val="Calibri"/>
            <family val="34"/>
          </rPr>
          <t xml:space="preserve">
</t>
        </r>
        <r>
          <rPr>
            <sz val="14"/>
            <color rgb="FF000000"/>
            <rFont val="Times New Roman"/>
            <family val="18"/>
          </rPr>
          <t>ML 75 IR 1 (1801) AL/TL – TL IR 1-&gt; IR 2 Nr. 1 (Prossnitz 28/11/801)</t>
        </r>
        <r>
          <rPr>
            <sz val="14"/>
            <color rgb="FF000000"/>
            <rFont val="Calibri"/>
            <family val="34"/>
          </rPr>
          <t xml:space="preserve">
</t>
        </r>
      </text>
    </comment>
    <comment ref="BH372" authorId="0" shapeId="0" xr:uid="{E83F47E5-C305-314A-8529-BB9711F48B3A}">
      <text>
        <r>
          <rPr>
            <sz val="14"/>
            <color rgb="FF000000"/>
            <rFont val="Calibri"/>
            <family val="34"/>
          </rPr>
          <t xml:space="preserve">IR 1 (1797-1801)
</t>
        </r>
        <r>
          <rPr>
            <sz val="14"/>
            <color rgb="FF000000"/>
            <rFont val="Calibri"/>
            <family val="34"/>
          </rPr>
          <t>IR 2 (1801)</t>
        </r>
      </text>
    </comment>
    <comment ref="BI372" authorId="0" shapeId="0" xr:uid="{EA816C51-CA77-8E44-8BA9-8509C652BF8B}">
      <text>
        <r>
          <rPr>
            <i/>
            <sz val="14"/>
            <color rgb="FF000000"/>
            <rFont val="Times New Roman"/>
            <family val="18"/>
          </rPr>
          <t>Gut</t>
        </r>
        <r>
          <rPr>
            <sz val="14"/>
            <color rgb="FF000000"/>
            <rFont val="Times New Roman"/>
            <family val="18"/>
          </rPr>
          <t xml:space="preserve"> [TL Nov 1801]</t>
        </r>
        <r>
          <rPr>
            <sz val="14"/>
            <color rgb="FF000000"/>
            <rFont val="Calibri"/>
            <family val="2"/>
          </rPr>
          <t xml:space="preserve"> </t>
        </r>
      </text>
    </comment>
    <comment ref="BJ372" authorId="0" shapeId="0" xr:uid="{58E194BE-87DB-F94F-96AD-3D0B8BD2FDB0}">
      <text>
        <r>
          <rPr>
            <i/>
            <sz val="14"/>
            <color rgb="FF000000"/>
            <rFont val="Times New Roman"/>
            <family val="18"/>
          </rPr>
          <t>Angeblich blödes Gesicht, das aber nicht erwirklich ist</t>
        </r>
        <r>
          <rPr>
            <sz val="14"/>
            <color rgb="FF000000"/>
            <rFont val="Times New Roman"/>
            <family val="18"/>
          </rPr>
          <t xml:space="preserve"> [TL Nov 1801]</t>
        </r>
        <r>
          <rPr>
            <sz val="14"/>
            <color rgb="FF000000"/>
            <rFont val="Calibri"/>
            <family val="2"/>
          </rPr>
          <t xml:space="preserve"> </t>
        </r>
      </text>
    </comment>
    <comment ref="BF373" authorId="0" shapeId="0" xr:uid="{C5F6E709-1A28-6B43-A1FC-93168294488A}">
      <text>
        <r>
          <rPr>
            <sz val="14"/>
            <color rgb="FF000000"/>
            <rFont val="Times New Roman"/>
            <family val="18"/>
          </rPr>
          <t xml:space="preserve">22/04/1797 </t>
        </r>
        <r>
          <rPr>
            <i/>
            <sz val="14"/>
            <color rgb="FF000000"/>
            <rFont val="Times New Roman"/>
            <family val="18"/>
          </rPr>
          <t>a 3Fl in Brody ins FK Grün Loudon assentiert uns seitdem auf anhero Marsch von Galizien</t>
        </r>
        <r>
          <rPr>
            <sz val="14"/>
            <color rgb="FF000000"/>
            <rFont val="Times New Roman"/>
            <family val="18"/>
          </rPr>
          <t xml:space="preserve"> [RL 1798 &amp; ST Aug 1797</t>
        </r>
        <r>
          <rPr>
            <sz val="14"/>
            <color rgb="FF000000"/>
            <rFont val="Calibri"/>
            <family val="34"/>
          </rPr>
          <t xml:space="preserve">
</t>
        </r>
        <r>
          <rPr>
            <sz val="14"/>
            <color rgb="FF000000"/>
            <rFont val="Times New Roman"/>
            <family val="18"/>
          </rPr>
          <t xml:space="preserve">31/12/1797 [Mindestens bis] </t>
        </r>
        <r>
          <rPr>
            <i/>
            <sz val="14"/>
            <color rgb="FF000000"/>
            <rFont val="Times New Roman"/>
            <family val="18"/>
          </rPr>
          <t>Auf Anhero Marsch von Galizien</t>
        </r>
        <r>
          <rPr>
            <sz val="14"/>
            <color rgb="FF000000"/>
            <rFont val="Times New Roman"/>
            <family val="18"/>
          </rPr>
          <t xml:space="preserve"> [ST Dec 1797]</t>
        </r>
        <r>
          <rPr>
            <sz val="14"/>
            <color rgb="FF000000"/>
            <rFont val="Calibri"/>
            <family val="34"/>
          </rPr>
          <t xml:space="preserve">
</t>
        </r>
        <r>
          <rPr>
            <sz val="14"/>
            <color rgb="FF000000"/>
            <rFont val="Times New Roman"/>
            <family val="18"/>
          </rPr>
          <t>07/03/1798 Revision: FK Grün Loudon Haupt Wattlet Komp. Nr. 145 [</t>
        </r>
        <r>
          <rPr>
            <i/>
            <sz val="14"/>
            <color rgb="FF000000"/>
            <rFont val="Times New Roman"/>
            <family val="18"/>
          </rPr>
          <t>auf dem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Loudon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3 Haupt Wattlet Komp. Nr. 128 [</t>
        </r>
        <r>
          <rPr>
            <i/>
            <sz val="14"/>
            <color rgb="FF000000"/>
            <rFont val="Times New Roman"/>
            <family val="18"/>
          </rPr>
          <t>auf den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30/04/1799 </t>
        </r>
        <r>
          <rPr>
            <i/>
            <sz val="14"/>
            <color rgb="FF000000"/>
            <rFont val="Times New Roman"/>
            <family val="18"/>
          </rPr>
          <t>Vermog Revisions Erledigung als Unwissend Verloren in Abgang</t>
        </r>
        <r>
          <rPr>
            <sz val="14"/>
            <color rgb="FF000000"/>
            <rFont val="Times New Roman"/>
            <family val="18"/>
          </rPr>
          <t xml:space="preserve"> [RL 1800]</t>
        </r>
        <r>
          <rPr>
            <sz val="14"/>
            <color rgb="FF000000"/>
            <rFont val="Calibri"/>
            <family val="34"/>
          </rPr>
          <t xml:space="preserve">
</t>
        </r>
      </text>
    </comment>
    <comment ref="BG373" authorId="0" shapeId="0" xr:uid="{AF1C6046-B929-2E48-B080-BE4574DBF2F4}">
      <text>
        <r>
          <rPr>
            <sz val="14"/>
            <color rgb="FF000000"/>
            <rFont val="Times New Roman"/>
            <family val="18"/>
          </rPr>
          <t>ML 10.763 FK Grün Laudon (1797-98) – RL Haupt Wattlet Komp. Nr. 145 (Rovigo 07/03/1798)</t>
        </r>
        <r>
          <rPr>
            <sz val="14"/>
            <color rgb="FF000000"/>
            <rFont val="Calibri"/>
            <family val="34"/>
          </rPr>
          <t xml:space="preserve">
</t>
        </r>
        <r>
          <rPr>
            <sz val="14"/>
            <color rgb="FF000000"/>
            <rFont val="Times New Roman"/>
            <family val="18"/>
          </rPr>
          <t xml:space="preserve">ML 10.771 FK Grün Laudon (1796-7) – 1797 ST August (Rovigo 06/06/1798) &amp; December (Rovigo 06/07/1798) </t>
        </r>
        <r>
          <rPr>
            <sz val="14"/>
            <color rgb="FF000000"/>
            <rFont val="Calibri"/>
            <family val="34"/>
          </rPr>
          <t xml:space="preserve">
</t>
        </r>
        <r>
          <rPr>
            <sz val="14"/>
            <color rgb="FF000000"/>
            <rFont val="Times New Roman"/>
            <family val="18"/>
          </rPr>
          <t>ML 10.624 LB 3 (1798-1801) – 1799 RL Haupt Wattlet Komp. Nr. 128 (Rovigo 22/01/1799); 1800 RL Haupt Wattlet Komp. – Abgang (Livorno 04/03/1800)</t>
        </r>
        <r>
          <rPr>
            <sz val="14"/>
            <color rgb="FF000000"/>
            <rFont val="Calibri"/>
            <family val="34"/>
          </rPr>
          <t xml:space="preserve">
</t>
        </r>
      </text>
    </comment>
    <comment ref="BH373" authorId="0" shapeId="0" xr:uid="{D3F266D3-F99B-9843-91D5-782BE46E309B}">
      <text>
        <r>
          <rPr>
            <sz val="14"/>
            <color rgb="FF000000"/>
            <rFont val="Times New Roman"/>
            <family val="18"/>
          </rPr>
          <t xml:space="preserve">FK Grün Loudon (1796-7)
</t>
        </r>
        <r>
          <rPr>
            <sz val="14"/>
            <color rgb="FF000000"/>
            <rFont val="Times New Roman"/>
            <family val="18"/>
          </rPr>
          <t>LB 3 (1798-1799)</t>
        </r>
      </text>
    </comment>
    <comment ref="BF374" authorId="0" shapeId="0" xr:uid="{F49849CE-586A-794E-8525-6F40BAC3E532}">
      <text>
        <r>
          <rPr>
            <sz val="14"/>
            <color rgb="FF000000"/>
            <rFont val="Times New Roman"/>
            <family val="18"/>
          </rPr>
          <t xml:space="preserve">22/04/1797 </t>
        </r>
        <r>
          <rPr>
            <i/>
            <sz val="14"/>
            <color rgb="FF000000"/>
            <rFont val="Times New Roman"/>
            <family val="18"/>
          </rPr>
          <t>Von Regimentswerbbezirk auf Kriegsdauer gestellt und zum IR 1 Reserve Division assentiert</t>
        </r>
        <r>
          <rPr>
            <sz val="14"/>
            <color rgb="FF000000"/>
            <rFont val="Times New Roman"/>
            <family val="18"/>
          </rPr>
          <t xml:space="preserve"> [AL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IR 1 Reserve Division zum 4. Bat. Transferiert und zum Haupt Raimonval 2. Komp. zugeteilt</t>
        </r>
        <r>
          <rPr>
            <sz val="14"/>
            <color rgb="FF000000"/>
            <rFont val="Times New Roman"/>
            <family val="18"/>
          </rPr>
          <t xml:space="preserve"> [TL Aug 1798 &amp; ST May 1797]</t>
        </r>
        <r>
          <rPr>
            <sz val="14"/>
            <color rgb="FF000000"/>
            <rFont val="Calibri"/>
            <family val="34"/>
          </rPr>
          <t xml:space="preserve">
</t>
        </r>
        <r>
          <rPr>
            <sz val="14"/>
            <color rgb="FF000000"/>
            <rFont val="Times New Roman"/>
            <family val="18"/>
          </rPr>
          <t xml:space="preserve">31/10/1797 </t>
        </r>
        <r>
          <rPr>
            <i/>
            <sz val="14"/>
            <color rgb="FF000000"/>
            <rFont val="Times New Roman"/>
            <family val="18"/>
          </rPr>
          <t>Dienst bis mindestens an IR 1 4. Bat. Haupt Raimonval 2. Komp.</t>
        </r>
        <r>
          <rPr>
            <sz val="14"/>
            <color rgb="FF000000"/>
            <rFont val="Times New Roman"/>
            <family val="18"/>
          </rPr>
          <t xml:space="preserve"> [ST Oct 1797]</t>
        </r>
        <r>
          <rPr>
            <sz val="14"/>
            <color rgb="FF000000"/>
            <rFont val="Calibri"/>
            <family val="34"/>
          </rPr>
          <t xml:space="preserve">
</t>
        </r>
      </text>
    </comment>
    <comment ref="BG374" authorId="0" shapeId="0" xr:uid="{007082BF-ED60-A84E-B76A-9F4A7A4E3402}">
      <text>
        <r>
          <rPr>
            <sz val="14"/>
            <color rgb="FF000000"/>
            <rFont val="Times New Roman"/>
            <family val="18"/>
          </rPr>
          <t>ML 68 IR 1 (1797) – ST May (27/06/1797), Oct (Olmütz 27/11/1797)</t>
        </r>
        <r>
          <rPr>
            <sz val="14"/>
            <color rgb="FF000000"/>
            <rFont val="Calibri"/>
            <family val="34"/>
          </rPr>
          <t xml:space="preserve">
</t>
        </r>
        <r>
          <rPr>
            <sz val="14"/>
            <color rgb="FF000000"/>
            <rFont val="Times New Roman"/>
            <family val="18"/>
          </rPr>
          <t>ML 69/70 IR 1 (1797) – AL Unnumbered (Olmütz 28/04/1797); TL IR 1 3 Feld Bats-&gt; 4. Bat Nr. 536 (Freiburg in Breisgau 29/08/1798)</t>
        </r>
        <r>
          <rPr>
            <sz val="14"/>
            <color rgb="FF000000"/>
            <rFont val="Calibri"/>
            <family val="34"/>
          </rPr>
          <t xml:space="preserve">
</t>
        </r>
      </text>
    </comment>
    <comment ref="BH374" authorId="0" shapeId="0" xr:uid="{8D9F3514-EC5D-1C48-830F-32497A5728AE}">
      <text>
        <r>
          <rPr>
            <sz val="14"/>
            <color rgb="FF000000"/>
            <rFont val="Calibri"/>
            <family val="34"/>
          </rPr>
          <t>IR 1 (1797)</t>
        </r>
      </text>
    </comment>
    <comment ref="BF375" authorId="0" shapeId="0" xr:uid="{B5614F62-AB7F-634A-B4A1-3911EB45515B}">
      <text>
        <r>
          <rPr>
            <sz val="14"/>
            <color rgb="FF000000"/>
            <rFont val="Times New Roman"/>
            <family val="18"/>
          </rPr>
          <t xml:space="preserve">25/04/1797 </t>
        </r>
        <r>
          <rPr>
            <i/>
            <sz val="14"/>
            <color rgb="FF000000"/>
            <rFont val="Times New Roman"/>
            <family val="18"/>
          </rPr>
          <t>Auf Kriegsdauer assentiert</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05/09/1805 </t>
        </r>
        <r>
          <rPr>
            <i/>
            <sz val="14"/>
            <color rgb="FF000000"/>
            <rFont val="Times New Roman"/>
            <family val="18"/>
          </rPr>
          <t>Mit Abschied entlassen</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17/09/1805 </t>
        </r>
        <r>
          <rPr>
            <i/>
            <sz val="14"/>
            <color rgb="FF000000"/>
            <rFont val="Times New Roman"/>
            <family val="18"/>
          </rPr>
          <t>Mit 10 Jähriger Capitulation assentiert</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20/01/1814 </t>
        </r>
        <r>
          <rPr>
            <i/>
            <sz val="14"/>
            <color rgb="FF000000"/>
            <rFont val="Times New Roman"/>
            <family val="18"/>
          </rPr>
          <t>Von IR 26 11. Fus. Komp. zum JFK ‚Fenner‘ mittels Einverständnis beide Regimenter transferiert und zum 5. Kompanie eingeheilt als Privat Diener von OberLt, Ferdinand Graf Urschenbeck</t>
        </r>
        <r>
          <rPr>
            <sz val="14"/>
            <color rgb="FF000000"/>
            <rFont val="Times New Roman"/>
            <family val="18"/>
          </rPr>
          <t xml:space="preserve"> [TL July 1814 &amp; ST Jan 1814]</t>
        </r>
        <r>
          <rPr>
            <sz val="14"/>
            <color rgb="FF000000"/>
            <rFont val="Calibri"/>
            <family val="34"/>
          </rPr>
          <t xml:space="preserve">
</t>
        </r>
        <r>
          <rPr>
            <sz val="14"/>
            <color rgb="FF000000"/>
            <rFont val="Times New Roman"/>
            <family val="18"/>
          </rPr>
          <t xml:space="preserve">31/05/1815 </t>
        </r>
        <r>
          <rPr>
            <i/>
            <sz val="14"/>
            <color rgb="FF000000"/>
            <rFont val="Times New Roman"/>
            <family val="18"/>
          </rPr>
          <t>Nach Superarbietrierung als untaugliche Halb Invalid von JFK Fenner 5. Komp. zum HFS 32 zu Padua transferiert</t>
        </r>
        <r>
          <rPr>
            <sz val="14"/>
            <color rgb="FF000000"/>
            <rFont val="Times New Roman"/>
            <family val="18"/>
          </rPr>
          <t xml:space="preserve"> [TL Aug 1815 &amp; ST May 1815]</t>
        </r>
        <r>
          <rPr>
            <sz val="14"/>
            <color rgb="FF000000"/>
            <rFont val="Calibri"/>
            <family val="34"/>
          </rPr>
          <t xml:space="preserve">
</t>
        </r>
        <r>
          <rPr>
            <sz val="14"/>
            <color rgb="FF000000"/>
            <rFont val="Calibri"/>
            <family val="34"/>
          </rPr>
          <t xml:space="preserve">
</t>
        </r>
      </text>
    </comment>
    <comment ref="BG375" authorId="0" shapeId="0" xr:uid="{FD79E946-B0AD-C740-B0E4-2C6AAF4F922B}">
      <text>
        <r>
          <rPr>
            <sz val="14"/>
            <color rgb="FF000000"/>
            <rFont val="Times New Roman"/>
            <family val="18"/>
          </rPr>
          <t>ML 11.083 JFK Fenner (1814) – TL IR 26-&gt;JFK Fenner Nr. 4 (Klagenfurt 01/09/1814); ST Jan (Trient 15/07/1814)</t>
        </r>
        <r>
          <rPr>
            <sz val="14"/>
            <color rgb="FF000000"/>
            <rFont val="Calibri"/>
            <family val="34"/>
          </rPr>
          <t xml:space="preserve">
</t>
        </r>
        <r>
          <rPr>
            <sz val="14"/>
            <color rgb="FF000000"/>
            <rFont val="Times New Roman"/>
            <family val="18"/>
          </rPr>
          <t>ML 11.084 JFK Fenner (1815) – ST May (Innsbruck 26/10/1815)</t>
        </r>
        <r>
          <rPr>
            <sz val="14"/>
            <color rgb="FF000000"/>
            <rFont val="Calibri"/>
            <family val="34"/>
          </rPr>
          <t xml:space="preserve">
</t>
        </r>
        <r>
          <rPr>
            <sz val="14"/>
            <color rgb="FF000000"/>
            <rFont val="Times New Roman"/>
            <family val="18"/>
          </rPr>
          <t>ML 11.085 JFK Fenner (1815) – TL JFK Fenner-&gt; HFS 32 Nr. 4 (Innsbruck 09/08/1815)</t>
        </r>
        <r>
          <rPr>
            <sz val="14"/>
            <color rgb="FF000000"/>
            <rFont val="Calibri"/>
            <family val="34"/>
          </rPr>
          <t xml:space="preserve">
</t>
        </r>
        <r>
          <rPr>
            <sz val="14"/>
            <color rgb="FF000000"/>
            <rFont val="Times New Roman"/>
            <family val="18"/>
          </rPr>
          <t>ML 11.995 HFS 32 (1815/6) – TL JFK Fenner-&gt; HFS 32 Nr. 4 (Innsbruck 09/08/1815)</t>
        </r>
        <r>
          <rPr>
            <sz val="14"/>
            <color rgb="FF000000"/>
            <rFont val="Calibri"/>
            <family val="34"/>
          </rPr>
          <t xml:space="preserve">
</t>
        </r>
      </text>
    </comment>
    <comment ref="BH375" authorId="0" shapeId="0" xr:uid="{CEF3C416-CC5D-824B-B375-B129DC022F08}">
      <text>
        <r>
          <rPr>
            <sz val="14"/>
            <color rgb="FF000000"/>
            <rFont val="Times New Roman"/>
            <family val="18"/>
          </rPr>
          <t xml:space="preserve">IR 26 (1797-1814)
</t>
        </r>
        <r>
          <rPr>
            <sz val="14"/>
            <color rgb="FF000000"/>
            <rFont val="Times New Roman"/>
            <family val="18"/>
          </rPr>
          <t xml:space="preserve">JFK Fenner (1814-1815)
</t>
        </r>
        <r>
          <rPr>
            <sz val="14"/>
            <color rgb="FF000000"/>
            <rFont val="Times New Roman"/>
            <family val="18"/>
          </rPr>
          <t>HFS 32 (1815)</t>
        </r>
      </text>
    </comment>
    <comment ref="BJ375" authorId="0" shapeId="0" xr:uid="{93B478AE-EE35-B840-BE3A-7A8099937427}">
      <text>
        <r>
          <rPr>
            <i/>
            <sz val="14"/>
            <color rgb="FF000000"/>
            <rFont val="Times New Roman"/>
            <family val="18"/>
          </rPr>
          <t>Leistenbruch und Steifheit der Fingern</t>
        </r>
        <r>
          <rPr>
            <sz val="14"/>
            <color rgb="FF000000"/>
            <rFont val="Times New Roman"/>
            <family val="18"/>
          </rPr>
          <t xml:space="preserve"> [TL Aug 1815]</t>
        </r>
        <r>
          <rPr>
            <sz val="14"/>
            <color rgb="FF000000"/>
            <rFont val="Calibri"/>
            <family val="2"/>
          </rPr>
          <t xml:space="preserve"> </t>
        </r>
      </text>
    </comment>
    <comment ref="BF376" authorId="0" shapeId="0" xr:uid="{16A4FDD1-39E9-B245-8335-F41531AFC903}">
      <text>
        <r>
          <rPr>
            <sz val="14"/>
            <color rgb="FF000000"/>
            <rFont val="Times New Roman"/>
            <family val="18"/>
          </rPr>
          <t xml:space="preserve">26/04/1797 </t>
        </r>
        <r>
          <rPr>
            <i/>
            <sz val="14"/>
            <color rgb="FF000000"/>
            <rFont val="Times New Roman"/>
            <family val="18"/>
          </rPr>
          <t>A 3 Fl auf Kriegsdauer zu Krakau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Gollner Nr. 40 [</t>
        </r>
        <r>
          <rPr>
            <i/>
            <sz val="14"/>
            <color rgb="FF000000"/>
            <rFont val="Times New Roman"/>
            <family val="18"/>
          </rPr>
          <t>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03/09/1804 Muster: IR 59 Haupt Gollner Nr. 47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t auch k.k. Feldkriegs und Garisons dinsten untauglich und zu entlassen</t>
        </r>
        <r>
          <rPr>
            <sz val="14"/>
            <color rgb="FF000000"/>
            <rFont val="Times New Roman"/>
            <family val="18"/>
          </rPr>
          <t xml:space="preserve"> [Ist Breits als Kriegscapitulant entlassen worden]</t>
        </r>
        <r>
          <rPr>
            <sz val="14"/>
            <color rgb="FF000000"/>
            <rFont val="Calibri"/>
            <family val="34"/>
          </rPr>
          <t xml:space="preserve">
</t>
        </r>
        <r>
          <rPr>
            <sz val="14"/>
            <color rgb="FF000000"/>
            <rFont val="Times New Roman"/>
            <family val="18"/>
          </rPr>
          <t xml:space="preserve">30/06/1805 </t>
        </r>
        <r>
          <rPr>
            <i/>
            <sz val="14"/>
            <color rgb="FF000000"/>
            <rFont val="Times New Roman"/>
            <family val="18"/>
          </rPr>
          <t xml:space="preserve">Als Kriegscapitulant entlassen </t>
        </r>
        <r>
          <rPr>
            <sz val="14"/>
            <color rgb="FF000000"/>
            <rFont val="Times New Roman"/>
            <family val="18"/>
          </rPr>
          <t>[ML 1806]</t>
        </r>
        <r>
          <rPr>
            <sz val="14"/>
            <color rgb="FF000000"/>
            <rFont val="Calibri"/>
            <family val="34"/>
          </rPr>
          <t xml:space="preserve">
</t>
        </r>
      </text>
    </comment>
    <comment ref="BG376" authorId="0" shapeId="0" xr:uid="{DABA2B5C-E92F-6648-A209-04F2AF8F51FA}">
      <text>
        <r>
          <rPr>
            <sz val="14"/>
            <color rgb="FF000000"/>
            <rFont val="Times New Roman"/>
            <family val="18"/>
          </rPr>
          <t>ML 5015 IR 59 (1803) – Haupt Gollner Komp. Nr. 40 (Enns, 29/08/1803)</t>
        </r>
        <r>
          <rPr>
            <sz val="14"/>
            <color rgb="FF000000"/>
            <rFont val="Calibri"/>
            <family val="34"/>
          </rPr>
          <t xml:space="preserve">
</t>
        </r>
        <r>
          <rPr>
            <sz val="14"/>
            <color rgb="FF000000"/>
            <rFont val="Times New Roman"/>
            <family val="18"/>
          </rPr>
          <t>ML 5016 IR 59 (1804) – Haupt Gollner Komp. Nr. 37 (Innsbruck 03/09/1804)</t>
        </r>
        <r>
          <rPr>
            <sz val="14"/>
            <color rgb="FF000000"/>
            <rFont val="Calibri"/>
            <family val="34"/>
          </rPr>
          <t xml:space="preserve">
</t>
        </r>
        <r>
          <rPr>
            <sz val="14"/>
            <color rgb="FF000000"/>
            <rFont val="Times New Roman"/>
            <family val="18"/>
          </rPr>
          <t>ML 5017/8 IR 59 (1806) – 2. Fus. Komp. Abgang (Florian 27/12/1806)</t>
        </r>
        <r>
          <rPr>
            <sz val="14"/>
            <color rgb="FF000000"/>
            <rFont val="Calibri"/>
            <family val="34"/>
          </rPr>
          <t xml:space="preserve">
</t>
        </r>
        <r>
          <rPr>
            <sz val="14"/>
            <color rgb="FF000000"/>
            <rFont val="Times New Roman"/>
            <family val="18"/>
          </rPr>
          <t>ML 5067 IR 59 (1805) AL/TL – SUP pro Junio Nr. 1 (Kraków 14/06/1805)</t>
        </r>
        <r>
          <rPr>
            <sz val="14"/>
            <color rgb="FF000000"/>
            <rFont val="Calibri"/>
            <family val="34"/>
          </rPr>
          <t xml:space="preserve">
</t>
        </r>
      </text>
    </comment>
    <comment ref="BH376" authorId="0" shapeId="0" xr:uid="{286C49AE-5656-8740-8E45-7FD47A62A55F}">
      <text>
        <r>
          <rPr>
            <sz val="14"/>
            <color rgb="FF000000"/>
            <rFont val="Times New Roman"/>
            <family val="18"/>
          </rPr>
          <t>IR 59 (1797-1805)</t>
        </r>
      </text>
    </comment>
    <comment ref="BF377" authorId="0" shapeId="0" xr:uid="{137909C6-E893-3741-A8B2-D08384E88B68}">
      <text>
        <r>
          <rPr>
            <sz val="14"/>
            <color rgb="FF000000"/>
            <rFont val="Times New Roman"/>
            <family val="18"/>
          </rPr>
          <t xml:space="preserve">27/04/1797 </t>
        </r>
        <r>
          <rPr>
            <i/>
            <sz val="14"/>
            <color rgb="FF000000"/>
            <rFont val="Times New Roman"/>
            <family val="18"/>
          </rPr>
          <t>A 3Fl Handgeld zu Sandomierz in Galizien assentiert</t>
        </r>
        <r>
          <rPr>
            <sz val="14"/>
            <color rgb="FF000000"/>
            <rFont val="Times New Roman"/>
            <family val="18"/>
          </rPr>
          <t xml:space="preserve"> </t>
        </r>
        <r>
          <rPr>
            <b/>
            <sz val="14"/>
            <color rgb="FF000000"/>
            <rFont val="Times New Roman"/>
            <family val="18"/>
          </rPr>
          <t xml:space="preserve">[IR 23] </t>
        </r>
        <r>
          <rPr>
            <sz val="14"/>
            <color rgb="FF000000"/>
            <rFont val="Times New Roman"/>
            <family val="18"/>
          </rPr>
          <t>[ML 1803]</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GH Toscana</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12/09/1803 Muster: IR 4 Haupt Walleck Komp. Nr. 106</t>
        </r>
        <r>
          <rPr>
            <sz val="14"/>
            <color rgb="FF000000"/>
            <rFont val="Calibri"/>
            <family val="34"/>
          </rPr>
          <t xml:space="preserve">
</t>
        </r>
        <r>
          <rPr>
            <sz val="14"/>
            <color rgb="FF000000"/>
            <rFont val="Times New Roman"/>
            <family val="18"/>
          </rPr>
          <t xml:space="preserve">22/06/1805 [Als Privat Diener] </t>
        </r>
        <r>
          <rPr>
            <i/>
            <sz val="14"/>
            <color rgb="FF000000"/>
            <rFont val="Times New Roman"/>
            <family val="18"/>
          </rPr>
          <t>Als ausgedienter Kriegscapitulant mit Abschied entlassen</t>
        </r>
        <r>
          <rPr>
            <sz val="14"/>
            <color rgb="FF000000"/>
            <rFont val="Times New Roman"/>
            <family val="18"/>
          </rPr>
          <t xml:space="preserve"> [ML 1806] 
</t>
        </r>
      </text>
    </comment>
    <comment ref="BG377" authorId="0" shapeId="0" xr:uid="{C2EA3BA3-2D59-5645-9A48-4C8587F80309}">
      <text>
        <r>
          <rPr>
            <sz val="14"/>
            <color rgb="FF000000"/>
            <rFont val="Times New Roman"/>
            <family val="18"/>
          </rPr>
          <t>ML 348 IR 4 (1803) – Haupt Walleck Komp. Nr. 105 (Wiener Neustadt 12/09/1803)</t>
        </r>
        <r>
          <rPr>
            <sz val="14"/>
            <color rgb="FF000000"/>
            <rFont val="Calibri"/>
            <family val="34"/>
          </rPr>
          <t xml:space="preserve">
</t>
        </r>
        <r>
          <rPr>
            <sz val="14"/>
            <color rgb="FF000000"/>
            <rFont val="Times New Roman"/>
            <family val="18"/>
          </rPr>
          <t>ML 349/50 IR 4 (1806) – 11. Fus. Komp. Abgang (Baden 30/12/1806)</t>
        </r>
      </text>
    </comment>
    <comment ref="BH377" authorId="0" shapeId="0" xr:uid="{D477AAEB-512F-7542-BE4A-21BBFCFF83A7}">
      <text>
        <r>
          <rPr>
            <sz val="14"/>
            <color rgb="FF000000"/>
            <rFont val="Calibri"/>
            <family val="34"/>
          </rPr>
          <t xml:space="preserve">IR 23 (1797)
</t>
        </r>
        <r>
          <rPr>
            <sz val="14"/>
            <color rgb="FF000000"/>
            <rFont val="Calibri"/>
            <family val="34"/>
          </rPr>
          <t>IR 4 (1797-1805)</t>
        </r>
      </text>
    </comment>
    <comment ref="BF378" authorId="0" shapeId="0" xr:uid="{C1590C6F-6AB7-E645-9373-F2131406D8CC}">
      <text>
        <r>
          <rPr>
            <sz val="14"/>
            <color rgb="FF000000"/>
            <rFont val="Times New Roman"/>
            <family val="18"/>
          </rPr>
          <t xml:space="preserve">27/04/1797 </t>
        </r>
        <r>
          <rPr>
            <i/>
            <sz val="14"/>
            <color rgb="FF000000"/>
            <rFont val="Times New Roman"/>
            <family val="18"/>
          </rPr>
          <t>A 3Fl Handgeld und mit Capitulation auf Dauer des Krieges</t>
        </r>
        <r>
          <rPr>
            <sz val="14"/>
            <color rgb="FF000000"/>
            <rFont val="Times New Roman"/>
            <family val="18"/>
          </rPr>
          <t xml:space="preserve"> assentiert [TL May 1798]</t>
        </r>
        <r>
          <rPr>
            <sz val="14"/>
            <color rgb="FF000000"/>
            <rFont val="Calibri"/>
            <family val="34"/>
          </rPr>
          <t xml:space="preserve">
</t>
        </r>
        <r>
          <rPr>
            <sz val="14"/>
            <color rgb="FF000000"/>
            <rFont val="Times New Roman"/>
            <family val="18"/>
          </rPr>
          <t xml:space="preserve">21/05/1798 </t>
        </r>
        <r>
          <rPr>
            <i/>
            <sz val="14"/>
            <color rgb="FF000000"/>
            <rFont val="Times New Roman"/>
            <family val="18"/>
          </rPr>
          <t>Von vacante Hohenlohe</t>
        </r>
        <r>
          <rPr>
            <sz val="14"/>
            <color rgb="FF000000"/>
            <rFont val="Times New Roman"/>
            <family val="18"/>
          </rPr>
          <t xml:space="preserve"> [-Kirchberg IR 17] </t>
        </r>
        <r>
          <rPr>
            <i/>
            <sz val="14"/>
            <color rgb="FF000000"/>
            <rFont val="Times New Roman"/>
            <family val="18"/>
          </rPr>
          <t>4. Bataillon vacante Wienzert Komp. zum IR 30 vacant Calzado Komp. transferiert, seitdem auf anhero Marsch</t>
        </r>
        <r>
          <rPr>
            <sz val="14"/>
            <color rgb="FF000000"/>
            <rFont val="Times New Roman"/>
            <family val="18"/>
          </rPr>
          <t xml:space="preserve"> [TL May 1798 &amp; ST June 1798]</t>
        </r>
        <r>
          <rPr>
            <sz val="14"/>
            <color rgb="FF000000"/>
            <rFont val="Calibri"/>
            <family val="34"/>
          </rPr>
          <t xml:space="preserve">
</t>
        </r>
        <r>
          <rPr>
            <sz val="14"/>
            <color rgb="FF000000"/>
            <rFont val="Times New Roman"/>
            <family val="18"/>
          </rPr>
          <t xml:space="preserve">04/06/1798 </t>
        </r>
        <r>
          <rPr>
            <i/>
            <sz val="14"/>
            <color rgb="FF000000"/>
            <rFont val="Times New Roman"/>
            <family val="18"/>
          </rPr>
          <t>In Kompanie eingerückt</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04/10/1798 </t>
        </r>
        <r>
          <rPr>
            <i/>
            <sz val="14"/>
            <color rgb="FF000000"/>
            <rFont val="Times New Roman"/>
            <family val="18"/>
          </rPr>
          <t xml:space="preserve">Von Contonierungstation ohne Feuergewehr desertiert </t>
        </r>
        <r>
          <rPr>
            <sz val="14"/>
            <color rgb="FF000000"/>
            <rFont val="Times New Roman"/>
            <family val="18"/>
          </rPr>
          <t>[ST Oct 1798]</t>
        </r>
        <r>
          <rPr>
            <sz val="14"/>
            <color rgb="FF000000"/>
            <rFont val="Calibri"/>
            <family val="34"/>
          </rPr>
          <t xml:space="preserve">
</t>
        </r>
        <r>
          <rPr>
            <sz val="14"/>
            <color rgb="FF000000"/>
            <rFont val="Times New Roman"/>
            <family val="18"/>
          </rPr>
          <t xml:space="preserve">09/10/1798 </t>
        </r>
        <r>
          <rPr>
            <i/>
            <sz val="14"/>
            <color rgb="FF000000"/>
            <rFont val="Times New Roman"/>
            <family val="18"/>
          </rPr>
          <t xml:space="preserve">Von civile in Reich gegen 12fl 30Xr Taglia und 2Fl 45 Xr umkosten eingebracht, setidem auf anhero Marsch </t>
        </r>
        <r>
          <rPr>
            <sz val="14"/>
            <color rgb="FF000000"/>
            <rFont val="Times New Roman"/>
            <family val="18"/>
          </rPr>
          <t>[ST Oct 1798]</t>
        </r>
        <r>
          <rPr>
            <sz val="14"/>
            <color rgb="FF000000"/>
            <rFont val="Calibri"/>
            <family val="34"/>
          </rPr>
          <t xml:space="preserve">
</t>
        </r>
        <r>
          <rPr>
            <sz val="14"/>
            <color rgb="FF000000"/>
            <rFont val="Times New Roman"/>
            <family val="18"/>
          </rPr>
          <t xml:space="preserve">26/10/1798 </t>
        </r>
        <r>
          <rPr>
            <i/>
            <sz val="14"/>
            <color rgb="FF000000"/>
            <rFont val="Times New Roman"/>
            <family val="18"/>
          </rPr>
          <t>In Kompanie eingerückt und sofort in Arrest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20/11/1798 </t>
        </r>
        <r>
          <rPr>
            <i/>
            <sz val="14"/>
            <color rgb="FF000000"/>
            <rFont val="Times New Roman"/>
            <family val="18"/>
          </rPr>
          <t>Von Arrest Befreit</t>
        </r>
        <r>
          <rPr>
            <sz val="14"/>
            <color rgb="FF000000"/>
            <rFont val="Times New Roman"/>
            <family val="18"/>
          </rPr>
          <t xml:space="preserve"> [ST Nov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text>
    </comment>
    <comment ref="BG378" authorId="0" shapeId="0" xr:uid="{9B6454FD-F5E1-5D4A-B86F-562C7C8573F5}">
      <text>
        <r>
          <rPr>
            <sz val="14"/>
            <color rgb="FF000000"/>
            <rFont val="Times New Roman"/>
            <family val="18"/>
          </rPr>
          <t>ML 2664 IR 30 (1798) – TL IR 17-&gt;IR 30 Nr. 1 (Prague 20/05/1790); ST June (Lemberg 11/03/1803), Oct (Lemberg 08/04/1803), Nov (Tannenheim 19/01/1799), Dec (Theresienstadt 23/07/1799)</t>
        </r>
        <r>
          <rPr>
            <sz val="14"/>
            <color rgb="FF000000"/>
            <rFont val="Calibri"/>
            <family val="34"/>
          </rPr>
          <t xml:space="preserve">
</t>
        </r>
      </text>
    </comment>
    <comment ref="BH378" authorId="0" shapeId="0" xr:uid="{EB555E0C-BD35-5647-BC46-E96C7B71BBA6}">
      <text>
        <r>
          <rPr>
            <sz val="14"/>
            <color rgb="FF000000"/>
            <rFont val="Calibri"/>
            <family val="34"/>
          </rPr>
          <t xml:space="preserve">IR 17 (1797-1798)
</t>
        </r>
        <r>
          <rPr>
            <sz val="14"/>
            <color rgb="FF000000"/>
            <rFont val="Calibri"/>
            <family val="34"/>
          </rPr>
          <t>IR 30 (1798)</t>
        </r>
      </text>
    </comment>
    <comment ref="BI378" authorId="0" shapeId="0" xr:uid="{F0C3A48E-1A14-4E40-87F3-08F8FB7AF78B}">
      <text>
        <r>
          <rPr>
            <i/>
            <sz val="14"/>
            <color rgb="FF000000"/>
            <rFont val="Times New Roman"/>
            <family val="18"/>
          </rPr>
          <t>Gute</t>
        </r>
        <r>
          <rPr>
            <sz val="14"/>
            <color rgb="FF000000"/>
            <rFont val="Times New Roman"/>
            <family val="18"/>
          </rPr>
          <t xml:space="preserve"> [TL May 1798]</t>
        </r>
      </text>
    </comment>
    <comment ref="BF379" authorId="0" shapeId="0" xr:uid="{94139250-BA5A-C549-92E1-5790A68E36F5}">
      <text>
        <r>
          <rPr>
            <sz val="14"/>
            <color rgb="FF000000"/>
            <rFont val="Times New Roman"/>
            <family val="18"/>
          </rPr>
          <t xml:space="preserve">27/04/1797 </t>
        </r>
        <r>
          <rPr>
            <i/>
            <sz val="14"/>
            <color rgb="FF000000"/>
            <rFont val="Times New Roman"/>
            <family val="18"/>
          </rPr>
          <t xml:space="preserve">A 3 Fl Handgeld Ohne Capitulation bei Brachainville Inf </t>
        </r>
        <r>
          <rPr>
            <b/>
            <sz val="14"/>
            <color rgb="FF000000"/>
            <rFont val="Times New Roman"/>
            <family val="18"/>
          </rPr>
          <t>[IR 25]</t>
        </r>
        <r>
          <rPr>
            <sz val="14"/>
            <color rgb="FF000000"/>
            <rFont val="Times New Roman"/>
            <family val="18"/>
          </rPr>
          <t xml:space="preserve"> </t>
        </r>
        <r>
          <rPr>
            <i/>
            <sz val="14"/>
            <color rgb="FF000000"/>
            <rFont val="Times New Roman"/>
            <family val="18"/>
          </rPr>
          <t>zugewachsen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01/01/1800 </t>
        </r>
        <r>
          <rPr>
            <i/>
            <sz val="14"/>
            <color rgb="FF000000"/>
            <rFont val="Times New Roman"/>
            <family val="18"/>
          </rPr>
          <t xml:space="preserve">Zum Gefreyter avanciert </t>
        </r>
        <r>
          <rPr>
            <sz val="14"/>
            <color rgb="FF000000"/>
            <rFont val="Times New Roman"/>
            <family val="18"/>
          </rPr>
          <t>[ML 1803]</t>
        </r>
        <r>
          <rPr>
            <sz val="14"/>
            <color rgb="FF000000"/>
            <rFont val="Calibri"/>
            <family val="34"/>
          </rPr>
          <t xml:space="preserve">
</t>
        </r>
        <r>
          <rPr>
            <sz val="14"/>
            <color rgb="FF000000"/>
            <rFont val="Times New Roman"/>
            <family val="18"/>
          </rPr>
          <t xml:space="preserve">11/11/1800 </t>
        </r>
        <r>
          <rPr>
            <i/>
            <sz val="14"/>
            <color rgb="FF000000"/>
            <rFont val="Times New Roman"/>
            <family val="18"/>
          </rPr>
          <t>Zu Kerpen Inf</t>
        </r>
        <r>
          <rPr>
            <sz val="14"/>
            <color rgb="FF000000"/>
            <rFont val="Times New Roman"/>
            <family val="18"/>
          </rPr>
          <t xml:space="preserve"> [IR 49]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da</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Obrist Komp. Nr. 25 [</t>
        </r>
        <r>
          <rPr>
            <i/>
            <sz val="14"/>
            <color rgb="FF000000"/>
            <rFont val="Times New Roman"/>
            <family val="18"/>
          </rPr>
          <t>Beurlaubt in seinem Geburtsort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12/06/1805 </t>
        </r>
        <r>
          <rPr>
            <i/>
            <sz val="14"/>
            <color rgb="FF000000"/>
            <rFont val="Times New Roman"/>
            <family val="18"/>
          </rPr>
          <t>Vermog General Commando Verordnung von 26 Mai gegen Stellung 2 Ausländer Capitulanten und Erlaag des Doppelten Montur Geldes mit Abschied entlassen</t>
        </r>
        <r>
          <rPr>
            <sz val="14"/>
            <color rgb="FF000000"/>
            <rFont val="Times New Roman"/>
            <family val="18"/>
          </rPr>
          <t xml:space="preserve"> [ML 1806]</t>
        </r>
        <r>
          <rPr>
            <sz val="14"/>
            <color rgb="FF000000"/>
            <rFont val="Calibri"/>
            <family val="34"/>
          </rPr>
          <t xml:space="preserve">
</t>
        </r>
      </text>
    </comment>
    <comment ref="BG379" authorId="0" shapeId="0" xr:uid="{338BFDA8-97A4-3343-8960-1E5E70370956}">
      <text>
        <r>
          <rPr>
            <sz val="14"/>
            <color rgb="FF000000"/>
            <rFont val="Times New Roman"/>
            <family val="18"/>
          </rPr>
          <t>ML 348 IR 4 (1803) – Obrist Komp. Nr. 25 (Vienna 14/09/1803)</t>
        </r>
        <r>
          <rPr>
            <sz val="14"/>
            <color rgb="FF000000"/>
            <rFont val="Calibri"/>
            <family val="34"/>
          </rPr>
          <t xml:space="preserve">
</t>
        </r>
        <r>
          <rPr>
            <sz val="14"/>
            <color rgb="FF000000"/>
            <rFont val="Times New Roman"/>
            <family val="18"/>
          </rPr>
          <t>ML 349/50 IR 4 (1806) – 10. Fus. Komp. Abgang (Haimburg 27/12/1806)</t>
        </r>
        <r>
          <rPr>
            <sz val="14"/>
            <color rgb="FF000000"/>
            <rFont val="Calibri"/>
            <family val="34"/>
          </rPr>
          <t xml:space="preserve">
</t>
        </r>
      </text>
    </comment>
    <comment ref="BH379" authorId="0" shapeId="0" xr:uid="{14F5E69A-89BC-6542-B0B4-FCE292266816}">
      <text>
        <r>
          <rPr>
            <sz val="14"/>
            <color rgb="FF000000"/>
            <rFont val="Calibri"/>
            <family val="34"/>
          </rPr>
          <t xml:space="preserve">IR 25 (1797-1800)
</t>
        </r>
        <r>
          <rPr>
            <sz val="14"/>
            <color rgb="FF000000"/>
            <rFont val="Calibri"/>
            <family val="34"/>
          </rPr>
          <t xml:space="preserve">IR 49 (1800-1802)
</t>
        </r>
        <r>
          <rPr>
            <sz val="14"/>
            <color rgb="FF000000"/>
            <rFont val="Calibri"/>
            <family val="34"/>
          </rPr>
          <t>IR 4 (1802-1805)</t>
        </r>
      </text>
    </comment>
    <comment ref="BF380" authorId="0" shapeId="0" xr:uid="{91B775B0-01E8-DA41-A700-CB74E0D65092}">
      <text>
        <r>
          <rPr>
            <sz val="14"/>
            <color rgb="FF000000"/>
            <rFont val="Times New Roman"/>
            <family val="18"/>
          </rPr>
          <t xml:space="preserve">28/04/1797 </t>
        </r>
        <r>
          <rPr>
            <i/>
            <sz val="14"/>
            <color rgb="FF000000"/>
            <rFont val="Times New Roman"/>
            <family val="18"/>
          </rPr>
          <t xml:space="preserve">Von Land a 3Fl Handgeld auf Kriegsdauer in Galizien gestellt zu IR 3 Reserve Division 1.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r>
          <rPr>
            <sz val="14"/>
            <color rgb="FF000000"/>
            <rFont val="Times New Roman"/>
            <family val="18"/>
          </rPr>
          <t>14/09/1803 Muster: IR 4 Haupt Stachel Komp. Nr. 35 [</t>
        </r>
        <r>
          <rPr>
            <i/>
            <sz val="14"/>
            <color rgb="FF000000"/>
            <rFont val="Times New Roman"/>
            <family val="18"/>
          </rPr>
          <t>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30/11/1804 </t>
        </r>
        <r>
          <rPr>
            <i/>
            <sz val="14"/>
            <color rgb="FF000000"/>
            <rFont val="Times New Roman"/>
            <family val="18"/>
          </rPr>
          <t>Von Urlaub in Galizien desertiert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01/12/1804 </t>
        </r>
        <r>
          <rPr>
            <i/>
            <sz val="14"/>
            <color rgb="FF000000"/>
            <rFont val="Times New Roman"/>
            <family val="18"/>
          </rPr>
          <t>Per Errorem in Abgang gebracht</t>
        </r>
        <r>
          <rPr>
            <sz val="14"/>
            <color rgb="FF000000"/>
            <rFont val="Times New Roman"/>
            <family val="18"/>
          </rPr>
          <t xml:space="preserve"> [ML 1804]
</t>
        </r>
        <r>
          <rPr>
            <sz val="14"/>
            <color rgb="FF000000"/>
            <rFont val="Times New Roman"/>
            <family val="18"/>
          </rPr>
          <t xml:space="preserve">21/07/1805 </t>
        </r>
        <r>
          <rPr>
            <i/>
            <sz val="14"/>
            <color rgb="FF000000"/>
            <rFont val="Times New Roman"/>
            <family val="18"/>
          </rPr>
          <t xml:space="preserve">Von 3. Grenadier </t>
        </r>
        <r>
          <rPr>
            <sz val="14"/>
            <color rgb="FF000000"/>
            <rFont val="Times New Roman"/>
            <family val="18"/>
          </rPr>
          <t xml:space="preserve">[Baron Stael Komp.] </t>
        </r>
        <r>
          <rPr>
            <i/>
            <sz val="14"/>
            <color rgb="FF000000"/>
            <rFont val="Times New Roman"/>
            <family val="18"/>
          </rPr>
          <t>zum Haupt Bretton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10/08/1805 </t>
        </r>
        <r>
          <rPr>
            <i/>
            <sz val="14"/>
            <color rgb="FF000000"/>
            <rFont val="Times New Roman"/>
            <family val="18"/>
          </rPr>
          <t>Als Ausgedienter Kriegscapitulant mit Abschied entlassen</t>
        </r>
        <r>
          <rPr>
            <sz val="14"/>
            <color rgb="FF000000"/>
            <rFont val="Times New Roman"/>
            <family val="18"/>
          </rPr>
          <t xml:space="preserve"> [ML 1806]</t>
        </r>
        <r>
          <rPr>
            <sz val="14"/>
            <color rgb="FF000000"/>
            <rFont val="Calibri"/>
            <family val="2"/>
          </rPr>
          <t xml:space="preserve"> 
</t>
        </r>
      </text>
    </comment>
    <comment ref="BG380" authorId="0" shapeId="0" xr:uid="{DD7BBE9A-01C0-964A-A0F9-B530F1606FA4}">
      <text>
        <r>
          <rPr>
            <sz val="14"/>
            <color rgb="FF000000"/>
            <rFont val="Times New Roman"/>
            <family val="18"/>
          </rPr>
          <t>ML 269 IR 3 (1797) AL/TL – AL Nr. 4 (Sandomierz 02/05/1797), TL IR 3-&gt;IR 4 Nr. 11 (Korneuburg 03/08/1797)</t>
        </r>
        <r>
          <rPr>
            <sz val="14"/>
            <color rgb="FF000000"/>
            <rFont val="Calibri"/>
            <family val="34"/>
          </rPr>
          <t xml:space="preserve">
</t>
        </r>
        <r>
          <rPr>
            <sz val="14"/>
            <color rgb="FF000000"/>
            <rFont val="Times New Roman"/>
            <family val="18"/>
          </rPr>
          <t>ML 348 IR 4 (1803) – Haupt Stachel Nr. 35 (Vienna 14/09/1803)</t>
        </r>
        <r>
          <rPr>
            <sz val="14"/>
            <color rgb="FF000000"/>
            <rFont val="Calibri"/>
            <family val="34"/>
          </rPr>
          <t xml:space="preserve">
</t>
        </r>
        <r>
          <rPr>
            <sz val="14"/>
            <color rgb="FF000000"/>
            <rFont val="Times New Roman"/>
            <family val="18"/>
          </rPr>
          <t>ML 349/50 IR 4 (1806) – 12. Fus. Komp. Abgang (Baden 30/12/1806)</t>
        </r>
        <r>
          <rPr>
            <sz val="14"/>
            <color rgb="FF000000"/>
            <rFont val="Calibri"/>
            <family val="34"/>
          </rPr>
          <t xml:space="preserve">
</t>
        </r>
      </text>
    </comment>
    <comment ref="BH380" authorId="0" shapeId="0" xr:uid="{ABEF5626-4491-4745-897E-E1F423B439ED}">
      <text>
        <r>
          <rPr>
            <sz val="14"/>
            <color rgb="FF000000"/>
            <rFont val="Calibri"/>
            <family val="34"/>
          </rPr>
          <t xml:space="preserve">IR 3 (1797)
</t>
        </r>
        <r>
          <rPr>
            <sz val="14"/>
            <color rgb="FF000000"/>
            <rFont val="Calibri"/>
            <family val="34"/>
          </rPr>
          <t>IR 4 (1797-1805)</t>
        </r>
      </text>
    </comment>
    <comment ref="BI380" authorId="0" shapeId="0" xr:uid="{177E9487-66A5-AD44-90D5-77AD8E97EDA9}">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CN380" authorId="0" shapeId="0" xr:uid="{2836E267-B860-CE41-A8B1-DBA2FE22C256}">
      <text>
        <r>
          <rPr>
            <i/>
            <sz val="14"/>
            <color rgb="FF000000"/>
            <rFont val="Times New Roman"/>
            <family val="18"/>
          </rPr>
          <t>Per Errorem als deserteur eingetragen</t>
        </r>
      </text>
    </comment>
    <comment ref="BF381" authorId="0" shapeId="0" xr:uid="{F538927C-CF34-EE47-8132-158D3F973C32}">
      <text>
        <r>
          <rPr>
            <sz val="14"/>
            <color rgb="FF000000"/>
            <rFont val="Times New Roman"/>
            <family val="18"/>
          </rPr>
          <t xml:space="preserve">28/04/1793 [1797 SIC!] </t>
        </r>
        <r>
          <rPr>
            <i/>
            <sz val="14"/>
            <color rgb="FF000000"/>
            <rFont val="Times New Roman"/>
            <family val="18"/>
          </rPr>
          <t>Auf die Kriegsdauer gestellt und a 3Fl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Lieb Komp. Nr. 63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Auf Urlaub in Polen desertiert</t>
        </r>
        <r>
          <rPr>
            <sz val="14"/>
            <color rgb="FF000000"/>
            <rFont val="Times New Roman"/>
            <family val="18"/>
          </rPr>
          <t xml:space="preserve"> </t>
        </r>
      </text>
    </comment>
    <comment ref="BG381" authorId="0" shapeId="0" xr:uid="{BE291BEA-C34A-A742-8F37-799D6189CE9F}">
      <text>
        <r>
          <rPr>
            <sz val="14"/>
            <color rgb="FF000000"/>
            <rFont val="Times New Roman"/>
            <family val="18"/>
          </rPr>
          <t>ML 10.124 IR 23 (1802) – Lieb Komp. Nr. 67 (Krems 09/09/1802)</t>
        </r>
        <r>
          <rPr>
            <sz val="14"/>
            <color rgb="FF000000"/>
            <rFont val="Calibri"/>
            <family val="34"/>
          </rPr>
          <t xml:space="preserve">
</t>
        </r>
        <r>
          <rPr>
            <sz val="14"/>
            <color rgb="FF000000"/>
            <rFont val="Times New Roman"/>
            <family val="18"/>
          </rPr>
          <t>ML 10.125 IR 23 (1802) – Lieb Komp. Abgang (Execierlager bei St Pölten 07/09/1803)</t>
        </r>
      </text>
    </comment>
    <comment ref="BH381" authorId="0" shapeId="0" xr:uid="{AD49276F-5C48-844E-A79D-205E3DF5C652}">
      <text>
        <r>
          <rPr>
            <sz val="14"/>
            <color rgb="FF000000"/>
            <rFont val="Times New Roman"/>
            <family val="18"/>
          </rPr>
          <t>IR 23 (1797-1802)</t>
        </r>
      </text>
    </comment>
    <comment ref="I382" authorId="0" shapeId="0" xr:uid="{A62A7CA4-CC3A-8C4D-8F74-2383F40D81DD}">
      <text>
        <r>
          <rPr>
            <sz val="14"/>
            <color rgb="FF000000"/>
            <rFont val="Calibri"/>
            <family val="34"/>
          </rPr>
          <t xml:space="preserve">1766 [31 (AL 1797)] 
</t>
        </r>
        <r>
          <rPr>
            <sz val="14"/>
            <color rgb="FF000000"/>
            <rFont val="Calibri"/>
            <family val="34"/>
          </rPr>
          <t xml:space="preserve">OR 
</t>
        </r>
        <r>
          <rPr>
            <b/>
            <sz val="14"/>
            <color rgb="FF000000"/>
            <rFont val="Calibri"/>
            <family val="34"/>
          </rPr>
          <t>1769 [28 (TL 1797)]</t>
        </r>
      </text>
    </comment>
    <comment ref="BF382" authorId="0" shapeId="0" xr:uid="{3E72629F-F45F-3743-A902-50662C67CE2C}">
      <text>
        <r>
          <rPr>
            <sz val="14"/>
            <color rgb="FF000000"/>
            <rFont val="Times New Roman"/>
            <family val="18"/>
          </rPr>
          <t xml:space="preserve">28/04/1797 </t>
        </r>
        <r>
          <rPr>
            <i/>
            <sz val="14"/>
            <color rgb="FF000000"/>
            <rFont val="Times New Roman"/>
            <family val="18"/>
          </rPr>
          <t xml:space="preserve">Von Land a 3Fl Handgeld auf Kriegsdauer gestellt zu IR Reserve Division 3.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31/07/1797 </t>
        </r>
        <r>
          <rPr>
            <i/>
            <sz val="14"/>
            <color rgb="FF000000"/>
            <rFont val="Times New Roman"/>
            <family val="18"/>
          </rPr>
          <t>Von IR 3 ‘Reserve Division’ zu IR 4 ‘Deutschmeister transferiert’</t>
        </r>
        <r>
          <rPr>
            <sz val="14"/>
            <color rgb="FF000000"/>
            <rFont val="Times New Roman"/>
            <family val="18"/>
          </rPr>
          <t xml:space="preserve"> [TL Aug 1797]</t>
        </r>
        <r>
          <rPr>
            <sz val="14"/>
            <color rgb="FF000000"/>
            <rFont val="Calibri"/>
            <family val="34"/>
          </rPr>
          <t xml:space="preserve">
</t>
        </r>
      </text>
    </comment>
    <comment ref="BG382" authorId="0" shapeId="0" xr:uid="{47EC31A9-F4C8-4747-8E98-2676EA8A6062}">
      <text>
        <r>
          <rPr>
            <sz val="14"/>
            <color rgb="FF000000"/>
            <rFont val="Times New Roman"/>
            <family val="18"/>
          </rPr>
          <t>ML 269 IR 3 (1797) AL/TL – AL Nr. 12 (Sandomierz 02/05/1797), TL IR 3-&gt;IR 4 Nr. 120 (Korneuburg 03/08/1797)</t>
        </r>
        <r>
          <rPr>
            <sz val="14"/>
            <color rgb="FF000000"/>
            <rFont val="Calibri"/>
            <family val="34"/>
          </rPr>
          <t xml:space="preserve">
</t>
        </r>
      </text>
    </comment>
    <comment ref="BH382" authorId="0" shapeId="0" xr:uid="{5CD9674A-B977-CC4C-9943-26B2E347860D}">
      <text>
        <r>
          <rPr>
            <sz val="14"/>
            <color rgb="FF000000"/>
            <rFont val="Calibri"/>
            <family val="34"/>
          </rPr>
          <t xml:space="preserve">IR 3 (1797)
</t>
        </r>
        <r>
          <rPr>
            <sz val="14"/>
            <color rgb="FF000000"/>
            <rFont val="Calibri"/>
            <family val="34"/>
          </rPr>
          <t>IR 4 (1797)</t>
        </r>
      </text>
    </comment>
    <comment ref="BI382" authorId="0" shapeId="0" xr:uid="{DBE3E570-AF13-924E-B5CB-C38508581589}">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I383" authorId="0" shapeId="0" xr:uid="{78149E94-4A0B-2D49-A674-984E60E442CD}">
      <text>
        <r>
          <rPr>
            <sz val="14"/>
            <color rgb="FF000000"/>
            <rFont val="Calibri"/>
            <family val="34"/>
          </rPr>
          <t xml:space="preserve">1780 [23 (ML  1803)] 
</t>
        </r>
        <r>
          <rPr>
            <sz val="14"/>
            <color rgb="FF000000"/>
            <rFont val="Calibri"/>
            <family val="34"/>
          </rPr>
          <t xml:space="preserve">OR 
</t>
        </r>
        <r>
          <rPr>
            <b/>
            <sz val="14"/>
            <color rgb="FF000000"/>
            <rFont val="Calibri"/>
            <family val="34"/>
          </rPr>
          <t>1781 [16 (AL 1797)]</t>
        </r>
      </text>
    </comment>
    <comment ref="T383" authorId="0" shapeId="0" xr:uid="{B81DAFC8-C861-5B4E-8B4A-4B9E1406FEC9}">
      <text>
        <r>
          <rPr>
            <b/>
            <sz val="14"/>
            <color rgb="FF000000"/>
            <rFont val="Calibri"/>
            <family val="34"/>
          </rPr>
          <t xml:space="preserve">5.1 [160.63 cm (AL 1797)]
</t>
        </r>
        <r>
          <rPr>
            <sz val="14"/>
            <color rgb="FF000000"/>
            <rFont val="Calibri"/>
            <family val="34"/>
          </rPr>
          <t>5.2.2 [163.7 cm (ML 1803)]</t>
        </r>
      </text>
    </comment>
    <comment ref="BF383" authorId="0" shapeId="0" xr:uid="{DDE17653-C989-AE4A-9472-BCE8442B4E2E}">
      <text>
        <r>
          <rPr>
            <sz val="14"/>
            <color rgb="FF000000"/>
            <rFont val="Times New Roman"/>
            <family val="18"/>
          </rPr>
          <t xml:space="preserve">28/04/1797 </t>
        </r>
        <r>
          <rPr>
            <i/>
            <sz val="14"/>
            <color rgb="FF000000"/>
            <rFont val="Times New Roman"/>
            <family val="18"/>
          </rPr>
          <t>Von Land a 3Fl Handgeld auf Kriegsdauer in Sandomierz gestellt zu IR 3 Reserve Division 1. Abteilung</t>
        </r>
        <r>
          <rPr>
            <sz val="14"/>
            <color rgb="FF000000"/>
            <rFont val="Times New Roman"/>
            <family val="18"/>
          </rPr>
          <t xml:space="preserve"> [AL May 1797]</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r>
          <rPr>
            <sz val="14"/>
            <color rgb="FF000000"/>
            <rFont val="Times New Roman"/>
            <family val="18"/>
          </rPr>
          <t>14/09/1803 Muster: IR 4 Haupt Küffet Komp. Nr. 68 [</t>
        </r>
        <r>
          <rPr>
            <i/>
            <sz val="14"/>
            <color rgb="FF000000"/>
            <rFont val="Times New Roman"/>
            <family val="18"/>
          </rPr>
          <t>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20/06/1805 </t>
        </r>
        <r>
          <rPr>
            <i/>
            <sz val="14"/>
            <color rgb="FF000000"/>
            <rFont val="Times New Roman"/>
            <family val="18"/>
          </rPr>
          <t>Vermog Verodnung von 28. May als ausgediente Krigscapitulanten gegen Renuncierung auf alle Militair Beneficien mit dem dienst Gratiale entlassen</t>
        </r>
        <r>
          <rPr>
            <sz val="14"/>
            <color rgb="FF000000"/>
            <rFont val="Times New Roman"/>
            <family val="18"/>
          </rPr>
          <t xml:space="preserve"> [ML 1806]</t>
        </r>
        <r>
          <rPr>
            <sz val="14"/>
            <color rgb="FF000000"/>
            <rFont val="Calibri"/>
            <family val="34"/>
          </rPr>
          <t xml:space="preserve">
</t>
        </r>
      </text>
    </comment>
    <comment ref="BG383" authorId="0" shapeId="0" xr:uid="{7FF7C3A1-67DE-CC41-B262-8C23380EF133}">
      <text>
        <r>
          <rPr>
            <sz val="14"/>
            <color rgb="FF000000"/>
            <rFont val="Times New Roman"/>
            <family val="18"/>
          </rPr>
          <t>ML 269 IR 3 (1797) AL/TL – AL Nr. 3 (Sandomierz 02/05/1797), TL IR 3-&gt;IR 4 Nr. 50 (Korneuburg 03/08/1797)</t>
        </r>
        <r>
          <rPr>
            <sz val="14"/>
            <color rgb="FF000000"/>
            <rFont val="Calibri"/>
            <family val="34"/>
          </rPr>
          <t xml:space="preserve">
</t>
        </r>
        <r>
          <rPr>
            <sz val="14"/>
            <color rgb="FF000000"/>
            <rFont val="Times New Roman"/>
            <family val="18"/>
          </rPr>
          <t>ML 348 IR 4 (1803) – Haupt Splawsky Nr. 68 (Vienna 14/09/1803)</t>
        </r>
        <r>
          <rPr>
            <sz val="14"/>
            <color rgb="FF000000"/>
            <rFont val="Calibri"/>
            <family val="34"/>
          </rPr>
          <t xml:space="preserve">
</t>
        </r>
        <r>
          <rPr>
            <sz val="14"/>
            <color rgb="FF000000"/>
            <rFont val="Times New Roman"/>
            <family val="18"/>
          </rPr>
          <t>ML 349/50 IR 4 (1806) – 8. Fus. Komp. Abgang (Haimburg 27/12/1806)</t>
        </r>
        <r>
          <rPr>
            <sz val="14"/>
            <color rgb="FF000000"/>
            <rFont val="Calibri"/>
            <family val="34"/>
          </rPr>
          <t xml:space="preserve">
</t>
        </r>
      </text>
    </comment>
    <comment ref="BH383" authorId="0" shapeId="0" xr:uid="{B61BCD25-8424-1B4B-B521-FDB8EA4AE63B}">
      <text>
        <r>
          <rPr>
            <sz val="14"/>
            <color rgb="FF000000"/>
            <rFont val="Calibri"/>
            <family val="34"/>
          </rPr>
          <t xml:space="preserve">IR 3 (1797)
</t>
        </r>
        <r>
          <rPr>
            <sz val="14"/>
            <color rgb="FF000000"/>
            <rFont val="Calibri"/>
            <family val="34"/>
          </rPr>
          <t>IR 4 (1797-1805)</t>
        </r>
      </text>
    </comment>
    <comment ref="BI383" authorId="0" shapeId="0" xr:uid="{B312913B-D036-2741-B89F-4A20E01254F3}">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BF384" authorId="0" shapeId="0" xr:uid="{3C4F8F50-0746-2D43-BC62-61036D3711DE}">
      <text>
        <r>
          <rPr>
            <sz val="14"/>
            <color rgb="FF000000"/>
            <rFont val="Times New Roman"/>
            <family val="18"/>
          </rPr>
          <t xml:space="preserve">28/04/1797 </t>
        </r>
        <r>
          <rPr>
            <i/>
            <sz val="14"/>
            <color rgb="FF000000"/>
            <rFont val="Times New Roman"/>
            <family val="18"/>
          </rPr>
          <t xml:space="preserve">Auf die Kriegsdauer assentiert </t>
        </r>
        <r>
          <rPr>
            <sz val="14"/>
            <color rgb="FF000000"/>
            <rFont val="Times New Roman"/>
            <family val="18"/>
          </rPr>
          <t>[TL May1798]</t>
        </r>
        <r>
          <rPr>
            <sz val="14"/>
            <color rgb="FF000000"/>
            <rFont val="Calibri"/>
            <family val="34"/>
          </rPr>
          <t xml:space="preserve">
</t>
        </r>
        <r>
          <rPr>
            <sz val="14"/>
            <color rgb="FF000000"/>
            <rFont val="Times New Roman"/>
            <family val="18"/>
          </rPr>
          <t xml:space="preserve">21/05/1798 </t>
        </r>
        <r>
          <rPr>
            <i/>
            <sz val="14"/>
            <color rgb="FF000000"/>
            <rFont val="Times New Roman"/>
            <family val="18"/>
          </rPr>
          <t>Von Frehlich Inf</t>
        </r>
        <r>
          <rPr>
            <sz val="14"/>
            <color rgb="FF000000"/>
            <rFont val="Times New Roman"/>
            <family val="18"/>
          </rPr>
          <t xml:space="preserve"> </t>
        </r>
        <r>
          <rPr>
            <i/>
            <sz val="14"/>
            <color rgb="FF000000"/>
            <rFont val="Times New Roman"/>
            <family val="18"/>
          </rPr>
          <t>4. Bataillon</t>
        </r>
        <r>
          <rPr>
            <b/>
            <i/>
            <sz val="14"/>
            <color rgb="FF000000"/>
            <rFont val="Times New Roman"/>
            <family val="18"/>
          </rPr>
          <t xml:space="preserve"> </t>
        </r>
        <r>
          <rPr>
            <b/>
            <sz val="14"/>
            <color rgb="FF000000"/>
            <rFont val="Times New Roman"/>
            <family val="18"/>
          </rPr>
          <t xml:space="preserve">[IR 28] </t>
        </r>
        <r>
          <rPr>
            <i/>
            <sz val="14"/>
            <color rgb="FF000000"/>
            <rFont val="Times New Roman"/>
            <family val="18"/>
          </rPr>
          <t>Nehem Komp. zum IR 30 Nicoll Komp. transferiert, seitdem auf anhero Marsch</t>
        </r>
        <r>
          <rPr>
            <sz val="14"/>
            <color rgb="FF000000"/>
            <rFont val="Times New Roman"/>
            <family val="18"/>
          </rPr>
          <t xml:space="preserve"> [TL May 1798 &amp; ST June 1798]</t>
        </r>
        <r>
          <rPr>
            <sz val="14"/>
            <color rgb="FF000000"/>
            <rFont val="Calibri"/>
            <family val="34"/>
          </rPr>
          <t xml:space="preserve">
</t>
        </r>
        <r>
          <rPr>
            <sz val="14"/>
            <color rgb="FF000000"/>
            <rFont val="Times New Roman"/>
            <family val="18"/>
          </rPr>
          <t xml:space="preserve">24/07/1798 </t>
        </r>
        <r>
          <rPr>
            <i/>
            <sz val="14"/>
            <color rgb="FF000000"/>
            <rFont val="Times New Roman"/>
            <family val="18"/>
          </rPr>
          <t>Krank in Garnisons Spital zu Theresienstadt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21/08/1798 </t>
        </r>
        <r>
          <rPr>
            <i/>
            <sz val="14"/>
            <color rgb="FF000000"/>
            <rFont val="Times New Roman"/>
            <family val="18"/>
          </rPr>
          <t>Rekonvalesziert</t>
        </r>
        <r>
          <rPr>
            <sz val="14"/>
            <color rgb="FF000000"/>
            <rFont val="Times New Roman"/>
            <family val="18"/>
          </rPr>
          <t xml:space="preserve"> [ST Aug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384" authorId="0" shapeId="0" xr:uid="{E8485090-16B4-FC45-8ACE-BA71F07F503A}">
      <text>
        <r>
          <rPr>
            <sz val="14"/>
            <color rgb="FF000000"/>
            <rFont val="Times New Roman"/>
            <family val="18"/>
          </rPr>
          <t>ML 2664 IR 30 (1798) – TL IR 28-&gt;IR 30 Nr. 62 (Prague 31/05/1798); ST June (Lemberg 11/03/1803), ST July (Lemberg 13/03/1803), ST Aug (Lemberg 24/03/1803), Dec (Theresienstadt 23/07/1799)</t>
        </r>
        <r>
          <rPr>
            <sz val="14"/>
            <color rgb="FF000000"/>
            <rFont val="Calibri"/>
            <family val="34"/>
          </rPr>
          <t xml:space="preserve">
</t>
        </r>
      </text>
    </comment>
    <comment ref="BH384" authorId="0" shapeId="0" xr:uid="{CF8A9CD6-21F3-F24F-9DF7-F5200F9AA61A}">
      <text>
        <r>
          <rPr>
            <sz val="14"/>
            <color rgb="FF000000"/>
            <rFont val="Calibri"/>
            <family val="34"/>
          </rPr>
          <t xml:space="preserve">IR 28 (1797-1798)
</t>
        </r>
        <r>
          <rPr>
            <sz val="14"/>
            <color rgb="FF000000"/>
            <rFont val="Calibri"/>
            <family val="34"/>
          </rPr>
          <t>IR 30 (1798)</t>
        </r>
      </text>
    </comment>
    <comment ref="BI384" authorId="0" shapeId="0" xr:uid="{9457DC40-13AF-9347-ABAA-BC1A1C0FD979}">
      <text>
        <r>
          <rPr>
            <i/>
            <sz val="14"/>
            <color rgb="FF000000"/>
            <rFont val="Times New Roman"/>
            <family val="18"/>
          </rPr>
          <t xml:space="preserve">Gut </t>
        </r>
        <r>
          <rPr>
            <sz val="14"/>
            <color rgb="FF000000"/>
            <rFont val="Times New Roman"/>
            <family val="18"/>
          </rPr>
          <t>[TL May 1798]</t>
        </r>
        <r>
          <rPr>
            <sz val="14"/>
            <color rgb="FF000000"/>
            <rFont val="Calibri"/>
            <family val="2"/>
            <scheme val="minor"/>
          </rPr>
          <t xml:space="preserve"> </t>
        </r>
      </text>
    </comment>
    <comment ref="BF385" authorId="0" shapeId="0" xr:uid="{FD39E433-603D-5147-B068-8F6334CCA8F2}">
      <text>
        <r>
          <rPr>
            <sz val="14"/>
            <color rgb="FF000000"/>
            <rFont val="Times New Roman"/>
            <family val="18"/>
          </rPr>
          <t xml:space="preserve">28/04/1797 </t>
        </r>
        <r>
          <rPr>
            <i/>
            <sz val="14"/>
            <color rgb="FF000000"/>
            <rFont val="Times New Roman"/>
            <family val="18"/>
          </rPr>
          <t>Von Land a 3Fl Handgeld auf Kriegsdauer gestellt zu IR 3 Reserve Division 1. Abteilung</t>
        </r>
        <r>
          <rPr>
            <sz val="14"/>
            <color rgb="FF000000"/>
            <rFont val="Times New Roman"/>
            <family val="18"/>
          </rPr>
          <t xml:space="preserve"> [AL May 1797]</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r>
          <rPr>
            <sz val="14"/>
            <color rgb="FF000000"/>
            <rFont val="Times New Roman"/>
            <family val="18"/>
          </rPr>
          <t>12/09/1803 Muster: IR 4 ObristLt. Komp. Nr. 88</t>
        </r>
        <r>
          <rPr>
            <sz val="14"/>
            <color rgb="FF000000"/>
            <rFont val="Calibri"/>
            <family val="34"/>
          </rPr>
          <t xml:space="preserve">
</t>
        </r>
        <r>
          <rPr>
            <sz val="14"/>
            <color rgb="FF000000"/>
            <rFont val="Times New Roman"/>
            <family val="18"/>
          </rPr>
          <t xml:space="preserve">20/06/1805 </t>
        </r>
        <r>
          <rPr>
            <i/>
            <sz val="14"/>
            <color rgb="FF000000"/>
            <rFont val="Times New Roman"/>
            <family val="18"/>
          </rPr>
          <t>Als Kriegscapitulant mit Abschied entlassen</t>
        </r>
        <r>
          <rPr>
            <sz val="14"/>
            <color rgb="FF000000"/>
            <rFont val="Times New Roman"/>
            <family val="18"/>
          </rPr>
          <t xml:space="preserve"> [ML 1806]</t>
        </r>
        <r>
          <rPr>
            <sz val="14"/>
            <color rgb="FF000000"/>
            <rFont val="Calibri"/>
            <family val="34"/>
          </rPr>
          <t xml:space="preserve">
</t>
        </r>
      </text>
    </comment>
    <comment ref="BG385" authorId="0" shapeId="0" xr:uid="{0D156AB7-E26F-B54C-B96A-7BF84174E384}">
      <text>
        <r>
          <rPr>
            <sz val="14"/>
            <color rgb="FF000000"/>
            <rFont val="Times New Roman"/>
            <family val="18"/>
          </rPr>
          <t>ML 269 IR 3 (1797) AL/TL – AL Nr. 2 (Sandomierz 02/05/1797), TL IR 3-&gt;IR 4 Nr. 40 (Korneuburg 03/08/1797)</t>
        </r>
        <r>
          <rPr>
            <sz val="14"/>
            <color rgb="FF000000"/>
            <rFont val="Calibri"/>
            <family val="34"/>
          </rPr>
          <t xml:space="preserve">
</t>
        </r>
        <r>
          <rPr>
            <sz val="14"/>
            <color rgb="FF000000"/>
            <rFont val="Times New Roman"/>
            <family val="18"/>
          </rPr>
          <t>ML 348 IR 4 (1803) – ObristLt Komp. Nr. 88 (Wiener Neustadt 12/09/1803)</t>
        </r>
        <r>
          <rPr>
            <sz val="14"/>
            <color rgb="FF000000"/>
            <rFont val="Calibri"/>
            <family val="34"/>
          </rPr>
          <t xml:space="preserve">
</t>
        </r>
        <r>
          <rPr>
            <sz val="14"/>
            <color rgb="FF000000"/>
            <rFont val="Times New Roman"/>
            <family val="18"/>
          </rPr>
          <t>ML 349/50 IR 4 (1806) – 5. Fus. Komp. Abgang (Baden 30/12/1806)</t>
        </r>
        <r>
          <rPr>
            <sz val="14"/>
            <color rgb="FF000000"/>
            <rFont val="Calibri"/>
            <family val="34"/>
          </rPr>
          <t xml:space="preserve">
</t>
        </r>
      </text>
    </comment>
    <comment ref="BH385" authorId="0" shapeId="0" xr:uid="{E18B5417-827F-6D48-8461-D44CBF9202B1}">
      <text>
        <r>
          <rPr>
            <sz val="14"/>
            <color rgb="FF000000"/>
            <rFont val="Calibri"/>
            <family val="34"/>
          </rPr>
          <t xml:space="preserve">IR 3 (1797)
</t>
        </r>
        <r>
          <rPr>
            <sz val="14"/>
            <color rgb="FF000000"/>
            <rFont val="Calibri"/>
            <family val="34"/>
          </rPr>
          <t xml:space="preserve">IR 4 (1797-1805)
</t>
        </r>
      </text>
    </comment>
    <comment ref="BI385" authorId="0" shapeId="0" xr:uid="{B07264B7-381B-8A4D-9BFA-FABA88C96728}">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BF386" authorId="0" shapeId="0" xr:uid="{97508B34-1976-1C4D-A000-4BF7BA7DC289}">
      <text>
        <r>
          <rPr>
            <sz val="14"/>
            <color rgb="FF000000"/>
            <rFont val="Times New Roman"/>
            <family val="18"/>
          </rPr>
          <t xml:space="preserve">28/04/1797 </t>
        </r>
        <r>
          <rPr>
            <i/>
            <sz val="14"/>
            <color rgb="FF000000"/>
            <rFont val="Times New Roman"/>
            <family val="18"/>
          </rPr>
          <t xml:space="preserve">Von Land a 3Fl Handgeld auf Kriegsdauer gestellt zu IR Reserve Division 2.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31/07/1797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text>
    </comment>
    <comment ref="BG386" authorId="0" shapeId="0" xr:uid="{FD4D5605-29C9-5E44-82AF-71DDAFC7FB0D}">
      <text>
        <r>
          <rPr>
            <sz val="14"/>
            <color rgb="FF000000"/>
            <rFont val="Times New Roman"/>
            <family val="18"/>
          </rPr>
          <t>ML 269 IR 3 (1797) AL/TL – AL Nr. 7 (Sandomierz 02/05/1797), TL IR 3-&gt;IR 4 Nr. 64 (Korneuburg 03/08/1797)</t>
        </r>
        <r>
          <rPr>
            <sz val="14"/>
            <color rgb="FF000000"/>
            <rFont val="Calibri"/>
            <family val="34"/>
          </rPr>
          <t xml:space="preserve">
</t>
        </r>
      </text>
    </comment>
    <comment ref="BH386" authorId="0" shapeId="0" xr:uid="{3B06303A-7B90-234E-9D90-D8938A1B19D2}">
      <text>
        <r>
          <rPr>
            <sz val="14"/>
            <color rgb="FF000000"/>
            <rFont val="Calibri"/>
            <family val="34"/>
          </rPr>
          <t xml:space="preserve">IR 3 (1797)
</t>
        </r>
        <r>
          <rPr>
            <sz val="14"/>
            <color rgb="FF000000"/>
            <rFont val="Calibri"/>
            <family val="34"/>
          </rPr>
          <t>IR 4 (1797)</t>
        </r>
      </text>
    </comment>
    <comment ref="BI386" authorId="0" shapeId="0" xr:uid="{84243CBD-B965-8445-BB41-E7F46283FC81}">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BF387" authorId="0" shapeId="0" xr:uid="{92B16B51-8D6B-A54F-9027-BD796D500D42}">
      <text>
        <r>
          <rPr>
            <sz val="14"/>
            <color rgb="FF000000"/>
            <rFont val="Times New Roman"/>
            <family val="18"/>
          </rPr>
          <t xml:space="preserve">28/04/1797 </t>
        </r>
        <r>
          <rPr>
            <i/>
            <sz val="14"/>
            <color rgb="FF000000"/>
            <rFont val="Times New Roman"/>
            <family val="18"/>
          </rPr>
          <t>A 3Fl Handgeld auf Kriegsdauer zu Sandomir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10/01/1800 </t>
        </r>
        <r>
          <rPr>
            <i/>
            <sz val="14"/>
            <color rgb="FF000000"/>
            <rFont val="Times New Roman"/>
            <family val="18"/>
          </rPr>
          <t>Zu denen Feldt Spital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12/06/1801 </t>
        </r>
        <r>
          <rPr>
            <i/>
            <sz val="14"/>
            <color rgb="FF000000"/>
            <rFont val="Times New Roman"/>
            <family val="18"/>
          </rPr>
          <t>Von FS 15 anhero</t>
        </r>
        <r>
          <rPr>
            <sz val="14"/>
            <color rgb="FF000000"/>
            <rFont val="Times New Roman"/>
            <family val="18"/>
          </rPr>
          <t xml:space="preserve"> [IR 4]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Till de Sternheim Komp, Nr. 71</t>
        </r>
        <r>
          <rPr>
            <sz val="14"/>
            <color rgb="FF000000"/>
            <rFont val="Calibri"/>
            <family val="34"/>
          </rPr>
          <t xml:space="preserve">
</t>
        </r>
        <r>
          <rPr>
            <sz val="14"/>
            <color rgb="FF000000"/>
            <rFont val="Times New Roman"/>
            <family val="18"/>
          </rPr>
          <t xml:space="preserve">10/10/1804 </t>
        </r>
        <r>
          <rPr>
            <i/>
            <sz val="14"/>
            <color rgb="FF000000"/>
            <rFont val="Times New Roman"/>
            <family val="18"/>
          </rPr>
          <t>Gegen Erhalt des Dienst Gratiale von per 16Fl 15Xr als Reale Invalid gegen Renuncierung auf Invalid Versorgung und fortige Beneficien Vermog Verordnung von 24. Sept mit Abschied entlassen</t>
        </r>
        <r>
          <rPr>
            <sz val="14"/>
            <color rgb="FF000000"/>
            <rFont val="Times New Roman"/>
            <family val="18"/>
          </rPr>
          <t xml:space="preserve"> [ST Oct 1804] </t>
        </r>
      </text>
    </comment>
    <comment ref="BG387" authorId="0" shapeId="0" xr:uid="{1F6CF8B2-E46D-F040-B0F6-A2D8325E7E1F}">
      <text>
        <r>
          <rPr>
            <sz val="14"/>
            <color rgb="FF000000"/>
            <rFont val="Times New Roman"/>
            <family val="18"/>
          </rPr>
          <t>ML 348 IR 4 (1803) – Haupt Till de Sternheim Nr. 71 (Vienna 14/09/1803)</t>
        </r>
        <r>
          <rPr>
            <sz val="14"/>
            <color rgb="FF000000"/>
            <rFont val="Calibri"/>
            <family val="34"/>
          </rPr>
          <t xml:space="preserve">
</t>
        </r>
        <r>
          <rPr>
            <sz val="14"/>
            <color rgb="FF000000"/>
            <rFont val="Times New Roman"/>
            <family val="18"/>
          </rPr>
          <t>ML 349/50 IR 4 (1806) – 15. Fus. Komp. Abgang (Wiener Neustadt 31/12/1806)</t>
        </r>
        <r>
          <rPr>
            <sz val="14"/>
            <color rgb="FF000000"/>
            <rFont val="Calibri"/>
            <family val="34"/>
          </rPr>
          <t xml:space="preserve">
</t>
        </r>
        <r>
          <rPr>
            <sz val="14"/>
            <color rgb="FF000000"/>
            <rFont val="Times New Roman"/>
            <family val="18"/>
          </rPr>
          <t>ML 383 IR 4 (1804) – ST Oct (Vienna 15/11/1804)</t>
        </r>
        <r>
          <rPr>
            <sz val="14"/>
            <color rgb="FF000000"/>
            <rFont val="Calibri"/>
            <family val="34"/>
          </rPr>
          <t xml:space="preserve">
</t>
        </r>
      </text>
    </comment>
    <comment ref="BH387" authorId="0" shapeId="0" xr:uid="{F4AE3674-7536-C442-83C3-ACCD5E6CBD8E}">
      <text>
        <r>
          <rPr>
            <sz val="14"/>
            <color rgb="FF000000"/>
            <rFont val="Calibri"/>
            <family val="34"/>
          </rPr>
          <t xml:space="preserve">IR 4 (1797-1800)
</t>
        </r>
        <r>
          <rPr>
            <sz val="14"/>
            <color rgb="FF000000"/>
            <rFont val="Calibri"/>
            <family val="34"/>
          </rPr>
          <t xml:space="preserve">FS (1800)
</t>
        </r>
        <r>
          <rPr>
            <sz val="14"/>
            <color rgb="FF000000"/>
            <rFont val="Calibri"/>
            <family val="34"/>
          </rPr>
          <t xml:space="preserve">FS 15 (1801)
</t>
        </r>
        <r>
          <rPr>
            <sz val="14"/>
            <color rgb="FF000000"/>
            <rFont val="Calibri"/>
            <family val="34"/>
          </rPr>
          <t>IR 4 (1801-1804)</t>
        </r>
      </text>
    </comment>
    <comment ref="BF388" authorId="0" shapeId="0" xr:uid="{DC52985A-DFAE-F348-B1FE-75C337B9118E}">
      <text>
        <r>
          <rPr>
            <sz val="14"/>
            <color rgb="FF000000"/>
            <rFont val="Times New Roman"/>
            <family val="18"/>
          </rPr>
          <t xml:space="preserve">28/04/1797 </t>
        </r>
        <r>
          <rPr>
            <i/>
            <sz val="14"/>
            <color rgb="FF000000"/>
            <rFont val="Times New Roman"/>
            <family val="18"/>
          </rPr>
          <t xml:space="preserve">Von Land a 3Fl Handgeld auf Kriegsdauer gestellt zu IR Reserve Division 2.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31/07/1797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text>
    </comment>
    <comment ref="BG388" authorId="0" shapeId="0" xr:uid="{8B13C184-A148-D647-8429-46CB5B4BD85A}">
      <text>
        <r>
          <rPr>
            <sz val="14"/>
            <color rgb="FF000000"/>
            <rFont val="Times New Roman"/>
            <family val="18"/>
          </rPr>
          <t>ML 269 IR 3 (1797) AL/TL – AL Nr. 8 (Sandomierz 02/05/1797), TL IR 3-&gt;IR 4 Nr. 63 (Korneuburg 03/08/1797)</t>
        </r>
        <r>
          <rPr>
            <sz val="14"/>
            <color rgb="FF000000"/>
            <rFont val="Calibri"/>
            <family val="34"/>
          </rPr>
          <t xml:space="preserve">
</t>
        </r>
      </text>
    </comment>
    <comment ref="BH388" authorId="0" shapeId="0" xr:uid="{1D9E209D-085B-C848-A1A2-FB31B1157186}">
      <text>
        <r>
          <rPr>
            <sz val="14"/>
            <color rgb="FF000000"/>
            <rFont val="Calibri"/>
            <family val="34"/>
          </rPr>
          <t xml:space="preserve">IR 3 (1797)
</t>
        </r>
        <r>
          <rPr>
            <sz val="14"/>
            <color rgb="FF000000"/>
            <rFont val="Calibri"/>
            <family val="34"/>
          </rPr>
          <t>IR 4 (1797)</t>
        </r>
      </text>
    </comment>
    <comment ref="BI388" authorId="0" shapeId="0" xr:uid="{7FFCE582-24A2-1F4E-89AF-A5AEDAD3E2A5}">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T389" authorId="0" shapeId="0" xr:uid="{414B1C50-5996-0249-A3A6-F4D63435C1FD}">
      <text>
        <r>
          <rPr>
            <b/>
            <sz val="14"/>
            <color rgb="FF000000"/>
            <rFont val="Calibri"/>
            <family val="34"/>
          </rPr>
          <t xml:space="preserve">5.2 (1797) [163.26 cm]
</t>
        </r>
        <r>
          <rPr>
            <sz val="14"/>
            <color rgb="FF000000"/>
            <rFont val="Calibri"/>
            <family val="34"/>
          </rPr>
          <t xml:space="preserve">5.1 (1802/3) [160.63 cm]
</t>
        </r>
        <r>
          <rPr>
            <sz val="14"/>
            <color rgb="FF000000"/>
            <rFont val="Calibri"/>
            <family val="34"/>
          </rPr>
          <t>5.2.2 (1804) [163.7 cm]</t>
        </r>
      </text>
    </comment>
    <comment ref="BF389" authorId="0" shapeId="0" xr:uid="{6C5768B5-4A47-0C45-87B8-99D12DABEDCA}">
      <text>
        <r>
          <rPr>
            <sz val="14"/>
            <color rgb="FF000000"/>
            <rFont val="Times New Roman"/>
            <family val="18"/>
          </rPr>
          <t xml:space="preserve">28/04/1797 </t>
        </r>
        <r>
          <rPr>
            <i/>
            <sz val="14"/>
            <color rgb="FF000000"/>
            <rFont val="Times New Roman"/>
            <family val="18"/>
          </rPr>
          <t>Von Land a 3Fl Handgeld auf Kriegsdauer gestellt zu Sandomierz und zu IR 3 Reserve Division 1. Abteilung zugeteilt</t>
        </r>
        <r>
          <rPr>
            <sz val="14"/>
            <color rgb="FF000000"/>
            <rFont val="Times New Roman"/>
            <family val="18"/>
          </rPr>
          <t xml:space="preserve"> [AL May 1797 &amp; ML 1802]</t>
        </r>
        <r>
          <rPr>
            <sz val="14"/>
            <color rgb="FF000000"/>
            <rFont val="Calibri"/>
            <family val="34"/>
          </rPr>
          <t xml:space="preserve">
</t>
        </r>
        <r>
          <rPr>
            <sz val="14"/>
            <color rgb="FF000000"/>
            <rFont val="Times New Roman"/>
            <family val="18"/>
          </rPr>
          <t xml:space="preserve">06/05/1801 </t>
        </r>
        <r>
          <rPr>
            <i/>
            <sz val="14"/>
            <color rgb="FF000000"/>
            <rFont val="Times New Roman"/>
            <family val="18"/>
          </rPr>
          <t>Von Lagleberg zur Haupt Passig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Pissig Komp. Nr. 84</t>
        </r>
        <r>
          <rPr>
            <sz val="14"/>
            <color rgb="FF000000"/>
            <rFont val="Calibri"/>
            <family val="34"/>
          </rPr>
          <t xml:space="preserve">
</t>
        </r>
        <r>
          <rPr>
            <sz val="14"/>
            <color rgb="FF000000"/>
            <rFont val="Times New Roman"/>
            <family val="18"/>
          </rPr>
          <t>03/09/1803 Muster: IR 3 Haupt Pissig Komp. Nr. 72</t>
        </r>
        <r>
          <rPr>
            <sz val="14"/>
            <color rgb="FF000000"/>
            <rFont val="Calibri"/>
            <family val="34"/>
          </rPr>
          <t xml:space="preserve">
</t>
        </r>
        <r>
          <rPr>
            <sz val="14"/>
            <color rgb="FF000000"/>
            <rFont val="Times New Roman"/>
            <family val="18"/>
          </rPr>
          <t>05/09/1804 Muster: IR 3 Haupt Pissing Komp. Nr. 57</t>
        </r>
        <r>
          <rPr>
            <sz val="14"/>
            <color rgb="FF000000"/>
            <rFont val="Calibri"/>
            <family val="34"/>
          </rPr>
          <t xml:space="preserve">
</t>
        </r>
        <r>
          <rPr>
            <sz val="14"/>
            <color rgb="FF000000"/>
            <rFont val="Times New Roman"/>
            <family val="18"/>
          </rPr>
          <t xml:space="preserve">20/10/1805 [Als angehöriger von 16. Fus. Komp.] </t>
        </r>
        <r>
          <rPr>
            <i/>
            <sz val="14"/>
            <color rgb="FF000000"/>
            <rFont val="Times New Roman"/>
            <family val="18"/>
          </rPr>
          <t>In der Affaire bei Ulm in Kriegsgefangenschaft gefallen</t>
        </r>
        <r>
          <rPr>
            <sz val="14"/>
            <color rgb="FF000000"/>
            <rFont val="Times New Roman"/>
            <family val="18"/>
          </rPr>
          <t xml:space="preserve"> [ST Oct 1805]</t>
        </r>
        <r>
          <rPr>
            <sz val="14"/>
            <color rgb="FF000000"/>
            <rFont val="Calibri"/>
            <family val="34"/>
          </rPr>
          <t xml:space="preserve">
</t>
        </r>
      </text>
    </comment>
    <comment ref="BG389" authorId="0" shapeId="0" xr:uid="{E4E7D389-63A5-164C-9ED9-9F84759423DB}">
      <text>
        <r>
          <rPr>
            <sz val="14"/>
            <color rgb="FF000000"/>
            <rFont val="Times New Roman"/>
            <family val="18"/>
          </rPr>
          <t>ML 234-6 IR 3 (1802) – Haupt Pissing Komp. Nr. 84 (Vienna 15/09/1802)</t>
        </r>
        <r>
          <rPr>
            <sz val="14"/>
            <color rgb="FF000000"/>
            <rFont val="Calibri"/>
            <family val="34"/>
          </rPr>
          <t xml:space="preserve">
</t>
        </r>
        <r>
          <rPr>
            <sz val="14"/>
            <color rgb="FF000000"/>
            <rFont val="Times New Roman"/>
            <family val="18"/>
          </rPr>
          <t>ML 237/8 IR 3 (1803) – Haupt Pissing Komp. Nr. 82 (Vienna 03/09/1803)</t>
        </r>
        <r>
          <rPr>
            <sz val="14"/>
            <color rgb="FF000000"/>
            <rFont val="Calibri"/>
            <family val="34"/>
          </rPr>
          <t xml:space="preserve">
</t>
        </r>
        <r>
          <rPr>
            <sz val="14"/>
            <color rgb="FF000000"/>
            <rFont val="Times New Roman"/>
            <family val="18"/>
          </rPr>
          <t>ML 239 IR 3 (1804) – Haupt Pissing Komp. Nr. 57 (Vienna 05/09/1804)</t>
        </r>
        <r>
          <rPr>
            <sz val="14"/>
            <color rgb="FF000000"/>
            <rFont val="Calibri"/>
            <family val="34"/>
          </rPr>
          <t xml:space="preserve">
</t>
        </r>
        <r>
          <rPr>
            <sz val="14"/>
            <color rgb="FF000000"/>
            <rFont val="Times New Roman"/>
            <family val="18"/>
          </rPr>
          <t>ML 269 IR 3 (1797) AL/TL – AL Nr. 1 (Sandomierz 02/05/1797)</t>
        </r>
        <r>
          <rPr>
            <sz val="14"/>
            <color rgb="FF000000"/>
            <rFont val="Calibri"/>
            <family val="34"/>
          </rPr>
          <t xml:space="preserve">
</t>
        </r>
        <r>
          <rPr>
            <sz val="14"/>
            <color rgb="FF000000"/>
            <rFont val="Times New Roman"/>
            <family val="18"/>
          </rPr>
          <t>ML 282 IR 3 (1805) – ST Oct (Krems 08/06/1806)</t>
        </r>
        <r>
          <rPr>
            <sz val="14"/>
            <color rgb="FF000000"/>
            <rFont val="Calibri"/>
            <family val="34"/>
          </rPr>
          <t xml:space="preserve">
</t>
        </r>
      </text>
    </comment>
    <comment ref="BH389" authorId="0" shapeId="0" xr:uid="{2D56E40F-D428-B040-8EFB-F9CDD0D7BE9C}">
      <text>
        <r>
          <rPr>
            <sz val="14"/>
            <color rgb="FF000000"/>
            <rFont val="Calibri"/>
            <family val="34"/>
          </rPr>
          <t>IR 3 (1797-1805)</t>
        </r>
      </text>
    </comment>
    <comment ref="I390" authorId="0" shapeId="0" xr:uid="{3AFCEEBC-2F35-7348-A37B-C33CC2B996A5}">
      <text>
        <r>
          <rPr>
            <sz val="14"/>
            <color rgb="FF000000"/>
            <rFont val="Calibri"/>
            <family val="34"/>
          </rPr>
          <t xml:space="preserve">1776 [27 (ML  1803)] 
</t>
        </r>
        <r>
          <rPr>
            <sz val="14"/>
            <color rgb="FF000000"/>
            <rFont val="Calibri"/>
            <family val="34"/>
          </rPr>
          <t xml:space="preserve">OR 
</t>
        </r>
        <r>
          <rPr>
            <b/>
            <sz val="14"/>
            <color rgb="FF000000"/>
            <rFont val="Calibri"/>
            <family val="34"/>
          </rPr>
          <t>1777 [20 (AL 1797)]</t>
        </r>
      </text>
    </comment>
    <comment ref="T390" authorId="0" shapeId="0" xr:uid="{A9E97AEC-5FF5-B444-985B-FBF913CEAE81}">
      <text>
        <r>
          <rPr>
            <b/>
            <sz val="14"/>
            <color rgb="FF000000"/>
            <rFont val="Calibri"/>
            <family val="34"/>
          </rPr>
          <t xml:space="preserve">5.2 [163.26 cm (ML 1803)]
</t>
        </r>
        <r>
          <rPr>
            <sz val="14"/>
            <color rgb="FF000000"/>
            <rFont val="Calibri"/>
            <family val="34"/>
          </rPr>
          <t>5.3 [165.89 cm (AL 1797)]</t>
        </r>
      </text>
    </comment>
    <comment ref="BF390" authorId="0" shapeId="0" xr:uid="{18AA6501-7B62-EB45-91A4-79CDFA24812D}">
      <text>
        <r>
          <rPr>
            <sz val="14"/>
            <color rgb="FF000000"/>
            <rFont val="Times New Roman"/>
            <family val="18"/>
          </rPr>
          <t xml:space="preserve">28/04/1797 </t>
        </r>
        <r>
          <rPr>
            <i/>
            <sz val="14"/>
            <color rgb="FF000000"/>
            <rFont val="Times New Roman"/>
            <family val="18"/>
          </rPr>
          <t xml:space="preserve">Von Land a 3Fl Handgeld auf Kriegsdauer gestellt zu IR Reserve Division 2.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IR 3 ‘Reserve Division’ zu IR 4 ‘Deutschmeister transferiert’</t>
        </r>
        <r>
          <rPr>
            <sz val="14"/>
            <color rgb="FF000000"/>
            <rFont val="Times New Roman"/>
            <family val="18"/>
          </rPr>
          <t xml:space="preserve"> [TL Aug 1797]</t>
        </r>
        <r>
          <rPr>
            <sz val="14"/>
            <color rgb="FF000000"/>
            <rFont val="Calibri"/>
            <family val="34"/>
          </rPr>
          <t xml:space="preserve">
</t>
        </r>
        <r>
          <rPr>
            <sz val="14"/>
            <color rgb="FF000000"/>
            <rFont val="Times New Roman"/>
            <family val="18"/>
          </rPr>
          <t>12/09/1803 Muster: IR 4 Haupt Petteneck Komp. Nr. 85 [</t>
        </r>
        <r>
          <rPr>
            <i/>
            <sz val="14"/>
            <color rgb="FF000000"/>
            <rFont val="Times New Roman"/>
            <family val="18"/>
          </rPr>
          <t>Kommandiert in Neustatd Spital</t>
        </r>
        <r>
          <rPr>
            <sz val="14"/>
            <color rgb="FF000000"/>
            <rFont val="Times New Roman"/>
            <family val="18"/>
          </rPr>
          <t>]</t>
        </r>
        <r>
          <rPr>
            <sz val="14"/>
            <color rgb="FF000000"/>
            <rFont val="Calibri"/>
            <family val="34"/>
          </rPr>
          <t xml:space="preserve">
</t>
        </r>
        <r>
          <rPr>
            <sz val="14"/>
            <color rgb="FF000000"/>
            <rFont val="Times New Roman"/>
            <family val="18"/>
          </rPr>
          <t xml:space="preserve">01/11/1803 </t>
        </r>
        <r>
          <rPr>
            <i/>
            <sz val="14"/>
            <color rgb="FF000000"/>
            <rFont val="Times New Roman"/>
            <family val="18"/>
          </rPr>
          <t>Auf Marsch nach Beurlaubung in Galizien</t>
        </r>
        <r>
          <rPr>
            <sz val="14"/>
            <color rgb="FF000000"/>
            <rFont val="Times New Roman"/>
            <family val="18"/>
          </rPr>
          <t xml:space="preserve"> [ST Nov 1803]</t>
        </r>
        <r>
          <rPr>
            <sz val="14"/>
            <color rgb="FF000000"/>
            <rFont val="Calibri"/>
            <family val="34"/>
          </rPr>
          <t xml:space="preserve">
</t>
        </r>
        <r>
          <rPr>
            <sz val="14"/>
            <color rgb="FF000000"/>
            <rFont val="Times New Roman"/>
            <family val="18"/>
          </rPr>
          <t xml:space="preserve">01/01/1804 </t>
        </r>
        <r>
          <rPr>
            <i/>
            <sz val="14"/>
            <color rgb="FF000000"/>
            <rFont val="Times New Roman"/>
            <family val="18"/>
          </rPr>
          <t>Auf unbestimmte Zeit beurlaubt</t>
        </r>
        <r>
          <rPr>
            <sz val="14"/>
            <color rgb="FF000000"/>
            <rFont val="Times New Roman"/>
            <family val="18"/>
          </rPr>
          <t xml:space="preserve"> [ST Jan 1804]</t>
        </r>
        <r>
          <rPr>
            <sz val="14"/>
            <color rgb="FF000000"/>
            <rFont val="Calibri"/>
            <family val="34"/>
          </rPr>
          <t xml:space="preserve">
</t>
        </r>
        <r>
          <rPr>
            <sz val="14"/>
            <color rgb="FF000000"/>
            <rFont val="Times New Roman"/>
            <family val="18"/>
          </rPr>
          <t xml:space="preserve">10/08/1805 </t>
        </r>
        <r>
          <rPr>
            <i/>
            <sz val="14"/>
            <color rgb="FF000000"/>
            <rFont val="Times New Roman"/>
            <family val="18"/>
          </rPr>
          <t>Als Ausgedienter Kriegscapitulant mit Abschied entlassen</t>
        </r>
        <r>
          <rPr>
            <sz val="14"/>
            <color rgb="FF000000"/>
            <rFont val="Times New Roman"/>
            <family val="18"/>
          </rPr>
          <t xml:space="preserve"> [ML 1806] </t>
        </r>
      </text>
    </comment>
    <comment ref="BG390" authorId="0" shapeId="0" xr:uid="{E42DAC57-CD6E-4940-8E89-F4315CEB376B}">
      <text>
        <r>
          <rPr>
            <sz val="14"/>
            <color rgb="FF000000"/>
            <rFont val="Times New Roman"/>
            <family val="18"/>
          </rPr>
          <t>ML 269 IR 3 (1797) AL/TL – AL Nr. 6 (Sandomierz 02/05/1797), TL IR 3-&gt;IR 4 Nr. 64 (Korneuburg 03/08/1797)</t>
        </r>
        <r>
          <rPr>
            <sz val="14"/>
            <color rgb="FF000000"/>
            <rFont val="Calibri"/>
            <family val="34"/>
          </rPr>
          <t xml:space="preserve">
</t>
        </r>
        <r>
          <rPr>
            <sz val="14"/>
            <color rgb="FF000000"/>
            <rFont val="Times New Roman"/>
            <family val="18"/>
          </rPr>
          <t>ML 348 IR 4 (1803) – Haupt Petteneck Komp. Nr. 85 (Wiener Neustadt 12/09/1803)</t>
        </r>
        <r>
          <rPr>
            <sz val="14"/>
            <color rgb="FF000000"/>
            <rFont val="Calibri"/>
            <family val="34"/>
          </rPr>
          <t xml:space="preserve">
</t>
        </r>
        <r>
          <rPr>
            <sz val="14"/>
            <color rgb="FF000000"/>
            <rFont val="Times New Roman"/>
            <family val="18"/>
          </rPr>
          <t>ML 380 IR 4 (1803) – ST Nov (Wiener Neustadt 12/09/1803)</t>
        </r>
        <r>
          <rPr>
            <sz val="14"/>
            <color rgb="FF000000"/>
            <rFont val="Calibri"/>
            <family val="34"/>
          </rPr>
          <t xml:space="preserve">
</t>
        </r>
      </text>
    </comment>
    <comment ref="BH390" authorId="0" shapeId="0" xr:uid="{7B26D794-6E61-0D4F-86B7-2DA392AB19EB}">
      <text>
        <r>
          <rPr>
            <sz val="14"/>
            <color rgb="FF000000"/>
            <rFont val="Calibri"/>
            <family val="34"/>
          </rPr>
          <t xml:space="preserve">IR 3 (1797)
</t>
        </r>
        <r>
          <rPr>
            <sz val="14"/>
            <color rgb="FF000000"/>
            <rFont val="Calibri"/>
            <family val="34"/>
          </rPr>
          <t>IR 4 (1797-1805)</t>
        </r>
      </text>
    </comment>
    <comment ref="BI390" authorId="0" shapeId="0" xr:uid="{CE773314-907B-0B43-9A00-5FE3F09E8413}">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K391" authorId="0" shapeId="0" xr:uid="{BFD6CFAA-9592-8F4E-810F-CDF794D5A320}">
      <text>
        <r>
          <rPr>
            <sz val="14"/>
            <color rgb="FF000000"/>
            <rFont val="Calibri"/>
            <family val="34"/>
          </rPr>
          <t xml:space="preserve">Ohne (TL 1797)
</t>
        </r>
        <r>
          <rPr>
            <sz val="14"/>
            <color rgb="FF000000"/>
            <rFont val="Calibri"/>
            <family val="34"/>
          </rPr>
          <t>Brandweinbrenner  (ML 1803)</t>
        </r>
      </text>
    </comment>
    <comment ref="T391" authorId="0" shapeId="0" xr:uid="{1A288683-2901-6F4B-A9CC-44CED6175AE2}">
      <text>
        <r>
          <rPr>
            <b/>
            <sz val="14"/>
            <color rgb="FF000000"/>
            <rFont val="Calibri"/>
            <family val="34"/>
          </rPr>
          <t xml:space="preserve">5.2 [163.26 cm (ML 1803)]
</t>
        </r>
        <r>
          <rPr>
            <sz val="14"/>
            <color rgb="FF000000"/>
            <rFont val="Calibri"/>
            <family val="34"/>
          </rPr>
          <t>5.5 [171.15 cm (ML 1803)]</t>
        </r>
      </text>
    </comment>
    <comment ref="BF391" authorId="0" shapeId="0" xr:uid="{573FBCDA-0A7C-654B-A246-F44B88FD1129}">
      <text>
        <r>
          <rPr>
            <sz val="14"/>
            <color rgb="FF000000"/>
            <rFont val="Times New Roman"/>
            <family val="18"/>
          </rPr>
          <t xml:space="preserve">28/04/1797 </t>
        </r>
        <r>
          <rPr>
            <i/>
            <sz val="14"/>
            <color rgb="FF000000"/>
            <rFont val="Times New Roman"/>
            <family val="18"/>
          </rPr>
          <t xml:space="preserve">Von Land a 3Fl Handgeld auf Kriegsdauer in Galizien gestellt zu IR Reserve Division 2. Abteilung </t>
        </r>
        <r>
          <rPr>
            <sz val="14"/>
            <color rgb="FF000000"/>
            <rFont val="Times New Roman"/>
            <family val="18"/>
          </rPr>
          <t>[AL May 1797 &amp; ML 1803]</t>
        </r>
        <r>
          <rPr>
            <sz val="14"/>
            <color rgb="FF000000"/>
            <rFont val="Calibri"/>
            <family val="34"/>
          </rPr>
          <t xml:space="preserve">
</t>
        </r>
        <r>
          <rPr>
            <sz val="14"/>
            <color rgb="FF000000"/>
            <rFont val="Times New Roman"/>
            <family val="18"/>
          </rPr>
          <t xml:space="preserve">01/07/1797 </t>
        </r>
        <r>
          <rPr>
            <i/>
            <sz val="14"/>
            <color rgb="FF000000"/>
            <rFont val="Times New Roman"/>
            <family val="18"/>
          </rPr>
          <t>Von IR 3 ‘Reserve Division’ zu IR 4 ‘Deutschmeister transferiert’</t>
        </r>
        <r>
          <rPr>
            <sz val="14"/>
            <color rgb="FF000000"/>
            <rFont val="Times New Roman"/>
            <family val="18"/>
          </rPr>
          <t xml:space="preserve"> [TL Aug 1797]</t>
        </r>
        <r>
          <rPr>
            <sz val="14"/>
            <color rgb="FF000000"/>
            <rFont val="Calibri"/>
            <family val="34"/>
          </rPr>
          <t xml:space="preserve">
</t>
        </r>
        <r>
          <rPr>
            <sz val="14"/>
            <color rgb="FF000000"/>
            <rFont val="Times New Roman"/>
            <family val="18"/>
          </rPr>
          <t>14/09/1803 Muster: IR 4 1. Major Komp Komp. Nr. 54 [</t>
        </r>
        <r>
          <rPr>
            <i/>
            <sz val="14"/>
            <color rgb="FF000000"/>
            <rFont val="Times New Roman"/>
            <family val="18"/>
          </rPr>
          <t>Beurlaubt in seinem Geburtsort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01/05/1806 </t>
        </r>
        <r>
          <rPr>
            <i/>
            <sz val="14"/>
            <color rgb="FF000000"/>
            <rFont val="Times New Roman"/>
            <family val="18"/>
          </rPr>
          <t>Krank mit auswärtiger Verpflegung in Armee Spital</t>
        </r>
        <r>
          <rPr>
            <sz val="14"/>
            <color rgb="FF000000"/>
            <rFont val="Times New Roman"/>
            <family val="18"/>
          </rPr>
          <t xml:space="preserve"> [ST May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in Spital Verbeibene wegen unbekannter Existenz als unwissend verloren in Abgang gebracht</t>
        </r>
        <r>
          <rPr>
            <sz val="14"/>
            <color rgb="FF000000"/>
            <rFont val="Times New Roman"/>
            <family val="18"/>
          </rPr>
          <t xml:space="preserve"> [ML 1806] </t>
        </r>
      </text>
    </comment>
    <comment ref="BG391" authorId="0" shapeId="0" xr:uid="{B2DC6630-8B41-3D4E-904D-19EAB32D7E8E}">
      <text>
        <r>
          <rPr>
            <sz val="14"/>
            <color rgb="FF000000"/>
            <rFont val="Times New Roman"/>
            <family val="18"/>
          </rPr>
          <t>ML 269 IR 3 (1797) AL/TL – AL Nr. 5 (Sandomierz 02/05/1797), TL IR 3-&gt;IR 4 Nr. 61 (Korneuburg 03/08/1797)</t>
        </r>
        <r>
          <rPr>
            <sz val="14"/>
            <color rgb="FF000000"/>
            <rFont val="Calibri"/>
            <family val="34"/>
          </rPr>
          <t xml:space="preserve">
</t>
        </r>
      </text>
    </comment>
    <comment ref="BH391" authorId="0" shapeId="0" xr:uid="{8661C361-B05D-374A-A68D-2C32BD7DDD57}">
      <text>
        <r>
          <rPr>
            <sz val="14"/>
            <color rgb="FF000000"/>
            <rFont val="Calibri"/>
            <family val="34"/>
          </rPr>
          <t xml:space="preserve">IR 3 (1797)
</t>
        </r>
        <r>
          <rPr>
            <sz val="14"/>
            <color rgb="FF000000"/>
            <rFont val="Calibri"/>
            <family val="34"/>
          </rPr>
          <t>IR 4 (1797-1806)</t>
        </r>
      </text>
    </comment>
    <comment ref="BI391" authorId="0" shapeId="0" xr:uid="{D9FB010F-5416-814A-9C90-8765C5C153E5}">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BF392" authorId="0" shapeId="0" xr:uid="{0CE714A4-49A7-5948-9573-FEAFA6D39A85}">
      <text>
        <r>
          <rPr>
            <sz val="14"/>
            <color rgb="FF000000"/>
            <rFont val="Times New Roman"/>
            <family val="18"/>
          </rPr>
          <t xml:space="preserve">n 28/04/1797 </t>
        </r>
        <r>
          <rPr>
            <i/>
            <sz val="14"/>
            <color rgb="FF000000"/>
            <rFont val="Times New Roman"/>
            <family val="18"/>
          </rPr>
          <t>A 3Fl Handgeld zu GH Toscana</t>
        </r>
        <r>
          <rPr>
            <sz val="14"/>
            <color rgb="FF000000"/>
            <rFont val="Times New Roman"/>
            <family val="18"/>
          </rPr>
          <t xml:space="preserve"> </t>
        </r>
        <r>
          <rPr>
            <b/>
            <sz val="14"/>
            <color rgb="FF000000"/>
            <rFont val="Times New Roman"/>
            <family val="18"/>
          </rPr>
          <t xml:space="preserve">[IR 23] </t>
        </r>
        <r>
          <rPr>
            <sz val="14"/>
            <color rgb="FF000000"/>
            <rFont val="Times New Roman"/>
            <family val="18"/>
          </rPr>
          <t>[ML 1803]</t>
        </r>
        <r>
          <rPr>
            <sz val="14"/>
            <color rgb="FF000000"/>
            <rFont val="Calibri"/>
            <family val="34"/>
          </rPr>
          <t xml:space="preserve">
</t>
        </r>
        <r>
          <rPr>
            <sz val="14"/>
            <color rgb="FF000000"/>
            <rFont val="Times New Roman"/>
            <family val="18"/>
          </rPr>
          <t xml:space="preserve">01/08/1797 </t>
        </r>
        <r>
          <rPr>
            <i/>
            <sz val="14"/>
            <color rgb="FF000000"/>
            <rFont val="Times New Roman"/>
            <family val="18"/>
          </rPr>
          <t>Von da</t>
        </r>
        <r>
          <rPr>
            <sz val="14"/>
            <color rgb="FF000000"/>
            <rFont val="Times New Roman"/>
            <family val="18"/>
          </rPr>
          <t xml:space="preserve"> [IR 23] </t>
        </r>
        <r>
          <rPr>
            <i/>
            <sz val="14"/>
            <color rgb="FF000000"/>
            <rFont val="Times New Roman"/>
            <family val="18"/>
          </rPr>
          <t>anhero</t>
        </r>
        <r>
          <rPr>
            <sz val="14"/>
            <color rgb="FF000000"/>
            <rFont val="Times New Roman"/>
            <family val="18"/>
          </rPr>
          <t xml:space="preserve"> [IR 4]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12/09/1803 Muster: IR 4 Haupt Lathe Komp. Nr. 106</t>
        </r>
        <r>
          <rPr>
            <sz val="14"/>
            <color rgb="FF000000"/>
            <rFont val="Calibri"/>
            <family val="34"/>
          </rPr>
          <t xml:space="preserve">
</t>
        </r>
        <r>
          <rPr>
            <sz val="14"/>
            <color rgb="FF000000"/>
            <rFont val="Times New Roman"/>
            <family val="18"/>
          </rPr>
          <t xml:space="preserve">10/10/1804 </t>
        </r>
        <r>
          <rPr>
            <i/>
            <sz val="14"/>
            <color rgb="FF000000"/>
            <rFont val="Times New Roman"/>
            <family val="18"/>
          </rPr>
          <t>Gegen Erlag des Dienst Gratiale von 10Fl 15Xr Als Reale Invalid gegen Renuncierung mit Abschied entlassen</t>
        </r>
        <r>
          <rPr>
            <sz val="14"/>
            <color rgb="FF000000"/>
            <rFont val="Times New Roman"/>
            <family val="18"/>
          </rPr>
          <t xml:space="preserve"> [ML 1806] 
</t>
        </r>
      </text>
    </comment>
    <comment ref="BG392" authorId="0" shapeId="0" xr:uid="{7495A899-CA6D-614F-89DD-CEAA4AAB2915}">
      <text>
        <r>
          <rPr>
            <sz val="14"/>
            <color rgb="FF000000"/>
            <rFont val="Times New Roman"/>
            <family val="18"/>
          </rPr>
          <t>ML 348 IR 4 (1803) – Haupt Lathe Komp. Nr. 106 (Wiener Neustadt 12/09/1803)</t>
        </r>
        <r>
          <rPr>
            <sz val="14"/>
            <color rgb="FF000000"/>
            <rFont val="Calibri"/>
            <family val="34"/>
          </rPr>
          <t xml:space="preserve">
</t>
        </r>
        <r>
          <rPr>
            <sz val="14"/>
            <color rgb="FF000000"/>
            <rFont val="Times New Roman"/>
            <family val="18"/>
          </rPr>
          <t>ML 349/50 IR 4 (1806) – 6. Fus. Komp. Abgang (Wiener Neustadt 31/12/1806)</t>
        </r>
      </text>
    </comment>
    <comment ref="BH392" authorId="0" shapeId="0" xr:uid="{8BAA649E-8779-C34B-9B89-1C98292C3E03}">
      <text>
        <r>
          <rPr>
            <sz val="14"/>
            <color rgb="FF000000"/>
            <rFont val="Calibri"/>
            <family val="34"/>
          </rPr>
          <t xml:space="preserve">IR 23 (1797)
</t>
        </r>
        <r>
          <rPr>
            <sz val="14"/>
            <color rgb="FF000000"/>
            <rFont val="Calibri"/>
            <family val="34"/>
          </rPr>
          <t>IR 4 (1797-1805)</t>
        </r>
      </text>
    </comment>
    <comment ref="BF393" authorId="0" shapeId="0" xr:uid="{FE227F02-EE29-464A-961A-C0EB92B15044}">
      <text>
        <r>
          <rPr>
            <sz val="14"/>
            <color rgb="FF000000"/>
            <rFont val="Times New Roman"/>
            <family val="18"/>
          </rPr>
          <t xml:space="preserve">28/04/1797 </t>
        </r>
        <r>
          <rPr>
            <i/>
            <sz val="14"/>
            <color rgb="FF000000"/>
            <rFont val="Times New Roman"/>
            <family val="18"/>
          </rPr>
          <t xml:space="preserve">Von Land a 3Fl Handgeld auf Kriegsdauer gestellt zu IR 3 Reserve Division 3. Abteilung </t>
        </r>
        <r>
          <rPr>
            <sz val="14"/>
            <color rgb="FF000000"/>
            <rFont val="Times New Roman"/>
            <family val="18"/>
          </rPr>
          <t>[AL May 1797]</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IR 3 ‘Reserve Division’ zu IR 4 ‘Deutschmeister transferiert’</t>
        </r>
        <r>
          <rPr>
            <sz val="14"/>
            <color rgb="FF000000"/>
            <rFont val="Times New Roman"/>
            <family val="18"/>
          </rPr>
          <t xml:space="preserve"> [TL Auf 1797]</t>
        </r>
        <r>
          <rPr>
            <sz val="14"/>
            <color rgb="FF000000"/>
            <rFont val="Calibri"/>
            <family val="34"/>
          </rPr>
          <t xml:space="preserve">
</t>
        </r>
        <r>
          <rPr>
            <sz val="14"/>
            <color rgb="FF000000"/>
            <rFont val="Times New Roman"/>
            <family val="18"/>
          </rPr>
          <t xml:space="preserve">16/08/1803 </t>
        </r>
        <r>
          <rPr>
            <i/>
            <sz val="14"/>
            <color rgb="FF000000"/>
            <rFont val="Times New Roman"/>
            <family val="18"/>
          </rPr>
          <t>Von Lieb zum Haupt Bubna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Bubna Komp, Nr. 145 [</t>
        </r>
        <r>
          <rPr>
            <i/>
            <sz val="14"/>
            <color rgb="FF000000"/>
            <rFont val="Times New Roman"/>
            <family val="18"/>
          </rPr>
          <t>Kommandiert zu Wöllersdorf</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20/07/1805 </t>
        </r>
        <r>
          <rPr>
            <i/>
            <sz val="14"/>
            <color rgb="FF000000"/>
            <rFont val="Times New Roman"/>
            <family val="18"/>
          </rPr>
          <t>Als ausgedienter Kriegscapitulant gegen Renuncierung mit Abschied entla</t>
        </r>
        <r>
          <rPr>
            <sz val="14"/>
            <color rgb="FF000000"/>
            <rFont val="Times New Roman"/>
            <family val="18"/>
          </rPr>
          <t xml:space="preserve">ssen [ML 1806] 
</t>
        </r>
      </text>
    </comment>
    <comment ref="BG393" authorId="0" shapeId="0" xr:uid="{785F7C2C-B25B-7B41-BBC5-3B1E0FB224C1}">
      <text>
        <r>
          <rPr>
            <sz val="14"/>
            <color rgb="FF000000"/>
            <rFont val="Times New Roman"/>
            <family val="18"/>
          </rPr>
          <t>ML 269 IR 3 (1797) AL/TL – AL Nr. 9 (Sandomierz 02/05/1797), TL IR 3-&gt;IR 4 Nr. 119 (Korneuburg 03/08/1797)</t>
        </r>
        <r>
          <rPr>
            <sz val="14"/>
            <color rgb="FF000000"/>
            <rFont val="Calibri"/>
            <family val="34"/>
          </rPr>
          <t xml:space="preserve">
</t>
        </r>
        <r>
          <rPr>
            <sz val="14"/>
            <color rgb="FF000000"/>
            <rFont val="Times New Roman"/>
            <family val="18"/>
          </rPr>
          <t>ML 348 IR 4 (1803) – Haupt Bubna Nr. 145 (Vienna 14/09/1803)</t>
        </r>
        <r>
          <rPr>
            <sz val="14"/>
            <color rgb="FF000000"/>
            <rFont val="Calibri"/>
            <family val="34"/>
          </rPr>
          <t xml:space="preserve">
</t>
        </r>
        <r>
          <rPr>
            <sz val="14"/>
            <color rgb="FF000000"/>
            <rFont val="Times New Roman"/>
            <family val="18"/>
          </rPr>
          <t>ML 349/50 IR 4 (1806) – 13. Fus. Komp. Abgang (Wiener Neustadt 31/12/1806)</t>
        </r>
        <r>
          <rPr>
            <sz val="14"/>
            <color rgb="FF000000"/>
            <rFont val="Calibri"/>
            <family val="34"/>
          </rPr>
          <t xml:space="preserve">
</t>
        </r>
      </text>
    </comment>
    <comment ref="BH393" authorId="0" shapeId="0" xr:uid="{E135D2EF-B21C-3E47-9325-2F5FE6F1F302}">
      <text>
        <r>
          <rPr>
            <sz val="14"/>
            <color rgb="FF000000"/>
            <rFont val="Calibri"/>
            <family val="34"/>
          </rPr>
          <t xml:space="preserve">IR 3 (1797)
</t>
        </r>
        <r>
          <rPr>
            <sz val="14"/>
            <color rgb="FF000000"/>
            <rFont val="Calibri"/>
            <family val="34"/>
          </rPr>
          <t>IR 4 (1797-1805)</t>
        </r>
      </text>
    </comment>
    <comment ref="BI393" authorId="0" shapeId="0" xr:uid="{F2B626EE-DF67-F84F-B055-5C982639C0E2}">
      <text>
        <r>
          <rPr>
            <i/>
            <sz val="14"/>
            <color rgb="FF000000"/>
            <rFont val="Times New Roman"/>
            <family val="18"/>
          </rPr>
          <t>Seit ihres heirsein Gut</t>
        </r>
        <r>
          <rPr>
            <sz val="14"/>
            <color rgb="FF000000"/>
            <rFont val="Times New Roman"/>
            <family val="18"/>
          </rPr>
          <t xml:space="preserve"> [TL Aug 1797]</t>
        </r>
        <r>
          <rPr>
            <sz val="14"/>
            <color rgb="FF000000"/>
            <rFont val="Calibri"/>
            <family val="2"/>
          </rPr>
          <t xml:space="preserve"> </t>
        </r>
      </text>
    </comment>
    <comment ref="BF394" authorId="0" shapeId="0" xr:uid="{330FE8F7-887F-4645-B60D-63000D6E7858}">
      <text>
        <r>
          <rPr>
            <sz val="14"/>
            <color rgb="FF000000"/>
            <rFont val="Times New Roman"/>
            <family val="18"/>
          </rPr>
          <t xml:space="preserve">30/04/1797 </t>
        </r>
        <r>
          <rPr>
            <i/>
            <sz val="14"/>
            <color rgb="FF000000"/>
            <rFont val="Times New Roman"/>
            <family val="18"/>
          </rPr>
          <t xml:space="preserve">A 3Fl auf die Dauer des Krieges assentiert </t>
        </r>
        <r>
          <rPr>
            <sz val="14"/>
            <color rgb="FF000000"/>
            <rFont val="Times New Roman"/>
            <family val="18"/>
          </rPr>
          <t>[TL July 1798]</t>
        </r>
        <r>
          <rPr>
            <sz val="14"/>
            <color rgb="FF000000"/>
            <rFont val="Calibri"/>
            <family val="34"/>
          </rPr>
          <t xml:space="preserve">
</t>
        </r>
        <r>
          <rPr>
            <sz val="14"/>
            <color rgb="FF000000"/>
            <rFont val="Times New Roman"/>
            <family val="18"/>
          </rPr>
          <t xml:space="preserve">06/07/1798 </t>
        </r>
        <r>
          <rPr>
            <i/>
            <sz val="14"/>
            <color rgb="FF000000"/>
            <rFont val="Times New Roman"/>
            <family val="18"/>
          </rPr>
          <t>Von Brechainville Inf</t>
        </r>
        <r>
          <rPr>
            <sz val="14"/>
            <color rgb="FF000000"/>
            <rFont val="Times New Roman"/>
            <family val="18"/>
          </rPr>
          <t xml:space="preserve"> </t>
        </r>
        <r>
          <rPr>
            <i/>
            <sz val="14"/>
            <color rgb="FF000000"/>
            <rFont val="Times New Roman"/>
            <family val="18"/>
          </rPr>
          <t xml:space="preserve">4. Bataillon </t>
        </r>
        <r>
          <rPr>
            <sz val="14"/>
            <color rgb="FF000000"/>
            <rFont val="Times New Roman"/>
            <family val="18"/>
          </rPr>
          <t xml:space="preserve">[IR 25] </t>
        </r>
        <r>
          <rPr>
            <i/>
            <sz val="14"/>
            <color rgb="FF000000"/>
            <rFont val="Times New Roman"/>
            <family val="18"/>
          </rPr>
          <t>Gaupper Komp. zum IR 30 Guretzky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June 1798 &amp; ST July 1798]</t>
        </r>
        <r>
          <rPr>
            <sz val="14"/>
            <color rgb="FF000000"/>
            <rFont val="Calibri"/>
            <family val="34"/>
          </rPr>
          <t xml:space="preserve">
</t>
        </r>
        <r>
          <rPr>
            <sz val="14"/>
            <color rgb="FF000000"/>
            <rFont val="Times New Roman"/>
            <family val="18"/>
          </rPr>
          <t xml:space="preserve">19/07/1798 </t>
        </r>
        <r>
          <rPr>
            <i/>
            <sz val="14"/>
            <color rgb="FF000000"/>
            <rFont val="Times New Roman"/>
            <family val="18"/>
          </rPr>
          <t>In Kompanie eingerückt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22/07/1798 </t>
        </r>
        <r>
          <rPr>
            <i/>
            <sz val="14"/>
            <color rgb="FF000000"/>
            <rFont val="Times New Roman"/>
            <family val="18"/>
          </rPr>
          <t>Krank in Garnison Spital in Theresienstadt</t>
        </r>
        <r>
          <rPr>
            <sz val="14"/>
            <color rgb="FF000000"/>
            <rFont val="Times New Roman"/>
            <family val="18"/>
          </rPr>
          <t xml:space="preserve"> [ST July 1798]</t>
        </r>
        <r>
          <rPr>
            <sz val="14"/>
            <color rgb="FF000000"/>
            <rFont val="Calibri"/>
            <family val="34"/>
          </rPr>
          <t xml:space="preserve">
</t>
        </r>
        <r>
          <rPr>
            <sz val="14"/>
            <color rgb="FF000000"/>
            <rFont val="Times New Roman"/>
            <family val="18"/>
          </rPr>
          <t xml:space="preserve">21/11/1798 </t>
        </r>
        <r>
          <rPr>
            <i/>
            <sz val="14"/>
            <color rgb="FF000000"/>
            <rFont val="Times New Roman"/>
            <family val="18"/>
          </rPr>
          <t xml:space="preserve">Rekonvalesziert </t>
        </r>
        <r>
          <rPr>
            <sz val="14"/>
            <color rgb="FF000000"/>
            <rFont val="Times New Roman"/>
            <family val="18"/>
          </rPr>
          <t>[ST Nov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text>
    </comment>
    <comment ref="BG394" authorId="0" shapeId="0" xr:uid="{B1B0F8A8-13FE-E242-8F22-F5F08655F105}">
      <text>
        <r>
          <rPr>
            <sz val="14"/>
            <color rgb="FF000000"/>
            <rFont val="Times New Roman"/>
            <family val="18"/>
          </rPr>
          <t>ML 2664 IR 30 (1798) – TL IR 25-&gt;IR 30 Nr. 13 (Prague 05/07/1798); ST July (Lemberg 13/03/1803), Nov (Tannenheim 19/01/1799), Dec (Theresienstadt 23/07/1799)</t>
        </r>
        <r>
          <rPr>
            <sz val="14"/>
            <color rgb="FF000000"/>
            <rFont val="Calibri"/>
            <family val="34"/>
          </rPr>
          <t xml:space="preserve">
</t>
        </r>
      </text>
    </comment>
    <comment ref="BH394" authorId="0" shapeId="0" xr:uid="{5D5E9FF5-556E-5640-80E3-BBDE6120D389}">
      <text>
        <r>
          <rPr>
            <sz val="14"/>
            <color rgb="FF000000"/>
            <rFont val="Calibri"/>
            <family val="34"/>
          </rPr>
          <t xml:space="preserve">IR 25 (1797-1798)
</t>
        </r>
        <r>
          <rPr>
            <sz val="14"/>
            <color rgb="FF000000"/>
            <rFont val="Calibri"/>
            <family val="34"/>
          </rPr>
          <t>IR 30 (1798)</t>
        </r>
      </text>
    </comment>
    <comment ref="BI394" authorId="0" shapeId="0" xr:uid="{E511D688-5A45-F045-81EC-4BA5E85C0580}">
      <text>
        <r>
          <rPr>
            <i/>
            <sz val="14"/>
            <color rgb="FF000000"/>
            <rFont val="Times New Roman"/>
            <family val="18"/>
          </rPr>
          <t>Gut und nie Bestraft worden</t>
        </r>
        <r>
          <rPr>
            <sz val="14"/>
            <color rgb="FF000000"/>
            <rFont val="Times New Roman"/>
            <family val="18"/>
          </rPr>
          <t xml:space="preserve"> [TL July1798]</t>
        </r>
        <r>
          <rPr>
            <sz val="14"/>
            <color rgb="FF000000"/>
            <rFont val="Calibri"/>
            <family val="2"/>
            <scheme val="minor"/>
          </rPr>
          <t xml:space="preserve"> 
</t>
        </r>
      </text>
    </comment>
    <comment ref="B395" authorId="0" shapeId="0" xr:uid="{490BA8F4-3A87-4942-88DE-4CD6A9325C5A}">
      <text>
        <r>
          <rPr>
            <sz val="14"/>
            <color rgb="FF000000"/>
            <rFont val="Times New Roman"/>
            <family val="18"/>
          </rPr>
          <t xml:space="preserve">Herschel BENJAMIN/ BENJAMUND/ WENJAMINELL </t>
        </r>
      </text>
    </comment>
    <comment ref="BF395" authorId="0" shapeId="0" xr:uid="{08FA6350-637A-CD40-9492-E4D8237C947F}">
      <text>
        <r>
          <rPr>
            <sz val="14"/>
            <color rgb="FF000000"/>
            <rFont val="Times New Roman"/>
            <family val="18"/>
          </rPr>
          <t xml:space="preserve">n Mai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11/08/1797 </t>
        </r>
        <r>
          <rPr>
            <i/>
            <sz val="14"/>
            <color rgb="FF000000"/>
            <rFont val="Times New Roman"/>
            <family val="18"/>
          </rPr>
          <t xml:space="preserve">Ohne Handgeld in die Loco Verpflegung eingebracht und kommt anhero einstwillig von begabte dato ins Haupt Dostall Comp  in Stand und Gebühr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als Handlanger mit Kriegsgebühr kommandiert</t>
        </r>
        <r>
          <rPr>
            <sz val="14"/>
            <color rgb="FF000000"/>
            <rFont val="Times New Roman"/>
            <family val="18"/>
          </rPr>
          <t xml:space="preserve"> [ST Nov 1798]</t>
        </r>
        <r>
          <rPr>
            <sz val="14"/>
            <color rgb="FF000000"/>
            <rFont val="Calibri"/>
            <family val="34"/>
          </rPr>
          <t xml:space="preserve">
</t>
        </r>
        <r>
          <rPr>
            <sz val="14"/>
            <color rgb="FF000000"/>
            <rFont val="Times New Roman"/>
            <family val="18"/>
          </rPr>
          <t>[25/01/1799 Revision:  IR 43 Haupt Dostall Nr. 63 [</t>
        </r>
        <r>
          <rPr>
            <i/>
            <sz val="14"/>
            <color rgb="FF000000"/>
            <rFont val="Times New Roman"/>
            <family val="18"/>
          </rPr>
          <t>Artillerie Handlanger in Palma</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01/04/1799 </t>
        </r>
        <r>
          <rPr>
            <i/>
            <sz val="14"/>
            <color rgb="FF000000"/>
            <rFont val="Times New Roman"/>
            <family val="18"/>
          </rPr>
          <t xml:space="preserve">Als Handlanger Auswärts mit Kriegsgebühr kommandiert </t>
        </r>
        <r>
          <rPr>
            <sz val="14"/>
            <color rgb="FF000000"/>
            <rFont val="Times New Roman"/>
            <family val="18"/>
          </rPr>
          <t>[ST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Dostall Comp. zum Artillerie Handlanger transferiert und seitdem bei dem Artillerie Reserve mit Kriegsgebühr</t>
        </r>
        <r>
          <rPr>
            <sz val="14"/>
            <color rgb="FF000000"/>
            <rFont val="Times New Roman"/>
            <family val="18"/>
          </rPr>
          <t xml:space="preserve"> [teilweise als zum Oberburg Comp gehörige] [ST Aug 1799]</t>
        </r>
        <r>
          <rPr>
            <sz val="14"/>
            <color rgb="FF000000"/>
            <rFont val="Calibri"/>
            <family val="34"/>
          </rPr>
          <t xml:space="preserve">
</t>
        </r>
        <r>
          <rPr>
            <sz val="14"/>
            <color rgb="FF000000"/>
            <rFont val="Times New Roman"/>
            <family val="18"/>
          </rPr>
          <t xml:space="preserve">11/11/1800 </t>
        </r>
        <r>
          <rPr>
            <i/>
            <sz val="14"/>
            <color rgb="FF000000"/>
            <rFont val="Times New Roman"/>
            <family val="18"/>
          </rPr>
          <t>zum Reserve Division Zugeheilt mit Friedensgebühr und ½ Xr Fleischbeitrag</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11/12/1800 </t>
        </r>
        <r>
          <rPr>
            <i/>
            <sz val="14"/>
            <color rgb="FF000000"/>
            <rFont val="Times New Roman"/>
            <family val="18"/>
          </rPr>
          <t>Krank auswärts</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06/04/1801 </t>
        </r>
        <r>
          <rPr>
            <i/>
            <sz val="14"/>
            <color rgb="FF000000"/>
            <rFont val="Times New Roman"/>
            <family val="18"/>
          </rPr>
          <t>Reconvalesciert und zugeheilt beim Reserve Division mit ½ Xr Fleischbeitrag</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Oberburg Companie und beliebt beim Reserve Division zugeheilt mir 4/8 Fleischbeitrag</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15/05/1801 </t>
        </r>
        <r>
          <rPr>
            <i/>
            <sz val="14"/>
            <color rgb="FF000000"/>
            <rFont val="Times New Roman"/>
            <family val="18"/>
          </rPr>
          <t>Zurück in Companie eingerückt</t>
        </r>
        <r>
          <rPr>
            <sz val="14"/>
            <color rgb="FF000000"/>
            <rFont val="Times New Roman"/>
            <family val="18"/>
          </rPr>
          <t xml:space="preserve"> [ST Mai 1801]</t>
        </r>
        <r>
          <rPr>
            <sz val="14"/>
            <color rgb="FF000000"/>
            <rFont val="Calibri"/>
            <family val="34"/>
          </rPr>
          <t xml:space="preserve">
</t>
        </r>
        <r>
          <rPr>
            <sz val="14"/>
            <color rgb="FF000000"/>
            <rFont val="Times New Roman"/>
            <family val="18"/>
          </rPr>
          <t xml:space="preserve">21/12/1801 </t>
        </r>
        <r>
          <rPr>
            <i/>
            <sz val="14"/>
            <color rgb="FF000000"/>
            <rFont val="Times New Roman"/>
            <family val="18"/>
          </rPr>
          <t>zu in loco Cattaro gestorben</t>
        </r>
        <r>
          <rPr>
            <sz val="14"/>
            <color rgb="FF000000"/>
            <rFont val="Times New Roman"/>
            <family val="18"/>
          </rPr>
          <t xml:space="preserve"> [ST Dec 1801 &amp; ML 1802]</t>
        </r>
        <r>
          <rPr>
            <sz val="14"/>
            <color rgb="FF000000"/>
            <rFont val="Calibri"/>
            <family val="34"/>
          </rPr>
          <t xml:space="preserve">
</t>
        </r>
      </text>
    </comment>
    <comment ref="BG395" authorId="0" shapeId="0" xr:uid="{7CE5C401-2AA1-9C4C-8E5E-60D169107D6F}">
      <text>
        <r>
          <rPr>
            <sz val="14"/>
            <color rgb="FF000000"/>
            <rFont val="Times New Roman"/>
            <family val="18"/>
          </rPr>
          <t>ML 10.271 IR 43 (1796-9) – RL Haupt Pasqually Comp. Nr. 63 (Udine 25/01/1799)</t>
        </r>
        <r>
          <rPr>
            <sz val="14"/>
            <color rgb="FF000000"/>
            <rFont val="Calibri"/>
            <family val="34"/>
          </rPr>
          <t xml:space="preserve">
</t>
        </r>
        <r>
          <rPr>
            <sz val="14"/>
            <color rgb="FF000000"/>
            <rFont val="Times New Roman"/>
            <family val="18"/>
          </rPr>
          <t xml:space="preserve">ML 10.272 IR 48 (1802) – Heft von Haupt Frintlos Comp Abgang (Cattaro 28/08/1802) </t>
        </r>
        <r>
          <rPr>
            <sz val="14"/>
            <color rgb="FF000000"/>
            <rFont val="Calibri"/>
            <family val="34"/>
          </rPr>
          <t xml:space="preserve">
</t>
        </r>
        <r>
          <rPr>
            <sz val="14"/>
            <color rgb="FF000000"/>
            <rFont val="Times New Roman"/>
            <family val="18"/>
          </rPr>
          <t>ML 10.305 IR 43 (1797) – ST Aug (01/09/1803)</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April (19/08/1799), August (06/03/1800)</t>
        </r>
        <r>
          <rPr>
            <sz val="14"/>
            <color rgb="FF000000"/>
            <rFont val="Calibri"/>
            <family val="34"/>
          </rPr>
          <t xml:space="preserve">
</t>
        </r>
        <r>
          <rPr>
            <sz val="14"/>
            <color rgb="FF000000"/>
            <rFont val="Times New Roman"/>
            <family val="18"/>
          </rPr>
          <t>ML 10.309 IR 43 (1800) – ST Dez (18/08/1804)</t>
        </r>
        <r>
          <rPr>
            <sz val="14"/>
            <color rgb="FF000000"/>
            <rFont val="Calibri"/>
            <family val="34"/>
          </rPr>
          <t xml:space="preserve">
</t>
        </r>
        <r>
          <rPr>
            <sz val="14"/>
            <color rgb="FF000000"/>
            <rFont val="Times New Roman"/>
            <family val="18"/>
          </rPr>
          <t>ML 10.311 IR 43 (1801) – April (13/10/1804), Mai (10/03/1805) und Dez (13/01/1802)</t>
        </r>
        <r>
          <rPr>
            <sz val="14"/>
            <color rgb="FF000000"/>
            <rFont val="Calibri"/>
            <family val="34"/>
          </rPr>
          <t xml:space="preserve">
</t>
        </r>
      </text>
    </comment>
    <comment ref="BH395" authorId="0" shapeId="0" xr:uid="{73BEEEF7-A694-D14E-8271-7FB07C69837B}">
      <text>
        <r>
          <rPr>
            <sz val="14"/>
            <color rgb="FF000000"/>
            <rFont val="Calibri"/>
            <family val="34"/>
          </rPr>
          <t>IR 43 (1797-1801)</t>
        </r>
      </text>
    </comment>
    <comment ref="BF396" authorId="0" shapeId="0" xr:uid="{8418C2E5-40B3-0F4B-9976-21B5E953974D}">
      <text>
        <r>
          <rPr>
            <sz val="14"/>
            <color rgb="FF000000"/>
            <rFont val="Times New Roman"/>
            <family val="18"/>
          </rPr>
          <t xml:space="preserve">In Mai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21/08/1797 </t>
        </r>
        <r>
          <rPr>
            <i/>
            <sz val="14"/>
            <color rgb="FF000000"/>
            <rFont val="Times New Roman"/>
            <family val="18"/>
          </rPr>
          <t>von Galizischen Ständen gestellt [bis ultimo dicti auswärts verpflegt ohne Z.D. in die loco Verpflegung eingerückt und dahero einstwillig von begabte dato in Haupt Fübich Comp in Stand und Gebühr</t>
        </r>
        <r>
          <rPr>
            <sz val="14"/>
            <color rgb="FF000000"/>
            <rFont val="Times New Roman"/>
            <family val="18"/>
          </rPr>
          <t>] [ST August 1797]</t>
        </r>
        <r>
          <rPr>
            <sz val="14"/>
            <color rgb="FF000000"/>
            <rFont val="Calibri"/>
            <family val="34"/>
          </rPr>
          <t xml:space="preserve">
</t>
        </r>
        <r>
          <rPr>
            <sz val="14"/>
            <color rgb="FF000000"/>
            <rFont val="Times New Roman"/>
            <family val="18"/>
          </rPr>
          <t xml:space="preserve">01/01/1799 </t>
        </r>
        <r>
          <rPr>
            <i/>
            <sz val="14"/>
            <color rgb="FF000000"/>
            <rFont val="Times New Roman"/>
            <family val="18"/>
          </rPr>
          <t>Handlanger beim loco mit Liniengeschütz</t>
        </r>
        <r>
          <rPr>
            <sz val="14"/>
            <color rgb="FF000000"/>
            <rFont val="Times New Roman"/>
            <family val="18"/>
          </rPr>
          <t xml:space="preserve"> [ST Jan 1799]</t>
        </r>
        <r>
          <rPr>
            <sz val="14"/>
            <color rgb="FF000000"/>
            <rFont val="Calibri"/>
            <family val="34"/>
          </rPr>
          <t xml:space="preserve">
</t>
        </r>
        <r>
          <rPr>
            <sz val="14"/>
            <color rgb="FF000000"/>
            <rFont val="Times New Roman"/>
            <family val="18"/>
          </rPr>
          <t>25/01/1799 Revision: IR 43 Haupt Fübich Nr. 125] [</t>
        </r>
        <r>
          <rPr>
            <i/>
            <sz val="14"/>
            <color rgb="FF000000"/>
            <rFont val="Times New Roman"/>
            <family val="18"/>
          </rPr>
          <t>Beim Regiments Liniengeschütz</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28/06/1799 Krank </t>
        </r>
        <r>
          <rPr>
            <i/>
            <sz val="14"/>
            <color rgb="FF000000"/>
            <rFont val="Times New Roman"/>
            <family val="18"/>
          </rPr>
          <t>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20/07/1799 </t>
        </r>
        <r>
          <rPr>
            <i/>
            <sz val="14"/>
            <color rgb="FF000000"/>
            <rFont val="Times New Roman"/>
            <family val="18"/>
          </rPr>
          <t xml:space="preserve">Reconvalesciert </t>
        </r>
        <r>
          <rPr>
            <sz val="14"/>
            <color rgb="FF000000"/>
            <rFont val="Times New Roman"/>
            <family val="18"/>
          </rPr>
          <t>[ST July 1799]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b/>
            <sz val="14"/>
            <color rgb="FF000000"/>
            <rFont val="Times New Roman"/>
            <family val="18"/>
          </rPr>
          <t xml:space="preserve"> </t>
        </r>
        <r>
          <rPr>
            <sz val="14"/>
            <color rgb="FF000000"/>
            <rFont val="Times New Roman"/>
            <family val="18"/>
          </rPr>
          <t xml:space="preserve">[ST Aug 1799] 
</t>
        </r>
        <r>
          <rPr>
            <sz val="14"/>
            <color rgb="FF000000"/>
            <rFont val="Times New Roman"/>
            <family val="18"/>
          </rPr>
          <t xml:space="preserve">19/11/1799 </t>
        </r>
        <r>
          <rPr>
            <i/>
            <sz val="14"/>
            <color rgb="FF000000"/>
            <rFont val="Times New Roman"/>
            <family val="18"/>
          </rPr>
          <t>Als Angehorige von Haupt Leon zu Perugia Gestorben</t>
        </r>
        <r>
          <rPr>
            <sz val="14"/>
            <color rgb="FF000000"/>
            <rFont val="Times New Roman"/>
            <family val="18"/>
          </rPr>
          <t xml:space="preserve"> [ST Nov 1799]</t>
        </r>
        <r>
          <rPr>
            <sz val="14"/>
            <color rgb="FF000000"/>
            <rFont val="Calibri"/>
            <family val="34"/>
          </rPr>
          <t xml:space="preserve">
</t>
        </r>
      </text>
    </comment>
    <comment ref="BG396" authorId="0" shapeId="0" xr:uid="{48BCE43F-06B3-9743-B0C2-AB60FB8F3A5E}">
      <text>
        <r>
          <rPr>
            <sz val="14"/>
            <color rgb="FF000000"/>
            <rFont val="Times New Roman"/>
            <family val="18"/>
          </rPr>
          <t>ML 10.271 IR 43 (1796-9) – RL Haupt Fübich Comp. Nr. 125 (Udine 25/01/1799)</t>
        </r>
        <r>
          <rPr>
            <sz val="14"/>
            <color rgb="FF000000"/>
            <rFont val="Calibri"/>
            <family val="34"/>
          </rPr>
          <t xml:space="preserve">
</t>
        </r>
        <r>
          <rPr>
            <sz val="14"/>
            <color rgb="FF000000"/>
            <rFont val="Times New Roman"/>
            <family val="18"/>
          </rPr>
          <t>ML 10.305 IR 43 (1797) – ST Aug (01/09/1803)</t>
        </r>
        <r>
          <rPr>
            <sz val="14"/>
            <color rgb="FF000000"/>
            <rFont val="Calibri"/>
            <family val="34"/>
          </rPr>
          <t xml:space="preserve">
</t>
        </r>
        <r>
          <rPr>
            <sz val="14"/>
            <color rgb="FF000000"/>
            <rFont val="Times New Roman"/>
            <family val="18"/>
          </rPr>
          <t>ML 10.307 IR 43 (1799) – ST Jän (21/02/1799), Juni (12/12/1799), Juli (01/01/1800), August (06/03/1800), Nov (12/10/1799)</t>
        </r>
      </text>
    </comment>
    <comment ref="BH396" authorId="0" shapeId="0" xr:uid="{5E6BB7CE-5FB2-3B44-A75F-5FBB81FCB628}">
      <text>
        <r>
          <rPr>
            <sz val="14"/>
            <color rgb="FF000000"/>
            <rFont val="Calibri"/>
            <family val="34"/>
          </rPr>
          <t>IR 43 (1797-1799)</t>
        </r>
      </text>
    </comment>
    <comment ref="T397" authorId="0" shapeId="0" xr:uid="{0DCD79DE-41FA-2D4B-BC53-F5D80D7A5B00}">
      <text>
        <r>
          <rPr>
            <sz val="14"/>
            <color rgb="FF000000"/>
            <rFont val="Calibri"/>
            <family val="34"/>
          </rPr>
          <t xml:space="preserve">5.3.2 [166.33 cm] (1802)
</t>
        </r>
        <r>
          <rPr>
            <sz val="14"/>
            <color rgb="FF000000"/>
            <rFont val="Calibri"/>
            <family val="34"/>
          </rPr>
          <t>5.2.1 [163.48 cm] (1811)</t>
        </r>
      </text>
    </comment>
    <comment ref="BF397" authorId="0" shapeId="0" xr:uid="{53E5BB5B-D03B-2244-ACF2-F9AD05208006}">
      <text>
        <r>
          <rPr>
            <sz val="14"/>
            <color rgb="FF000000"/>
            <rFont val="Times New Roman"/>
            <family val="18"/>
          </rPr>
          <t xml:space="preserve">02/05/1797 </t>
        </r>
        <r>
          <rPr>
            <i/>
            <sz val="14"/>
            <color rgb="FF000000"/>
            <rFont val="Times New Roman"/>
            <family val="18"/>
          </rPr>
          <t>a 3Fl Handgeld zu Lattermann</t>
        </r>
        <r>
          <rPr>
            <sz val="14"/>
            <color rgb="FF000000"/>
            <rFont val="Times New Roman"/>
            <family val="18"/>
          </rPr>
          <t xml:space="preserve"> [</t>
        </r>
        <r>
          <rPr>
            <b/>
            <sz val="14"/>
            <color rgb="FF000000"/>
            <rFont val="Times New Roman"/>
            <family val="18"/>
          </rPr>
          <t>IR 45]</t>
        </r>
        <r>
          <rPr>
            <b/>
            <i/>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i/>
            <sz val="14"/>
            <color rgb="FFFF0000"/>
            <rFont val="Times New Roman"/>
            <family val="18"/>
          </rPr>
          <t>Bey Lattermann Inf</t>
        </r>
        <r>
          <rPr>
            <sz val="14"/>
            <color rgb="FFFF0000"/>
            <rFont val="Times New Roman"/>
            <family val="18"/>
          </rPr>
          <t xml:space="preserve"> </t>
        </r>
        <r>
          <rPr>
            <b/>
            <sz val="14"/>
            <color rgb="FFFF0000"/>
            <rFont val="Times New Roman"/>
            <family val="18"/>
          </rPr>
          <t>[IR 45]</t>
        </r>
        <r>
          <rPr>
            <b/>
            <i/>
            <sz val="14"/>
            <color rgb="FFFF0000"/>
            <rFont val="Times New Roman"/>
            <family val="18"/>
          </rPr>
          <t xml:space="preserve"> </t>
        </r>
        <r>
          <rPr>
            <i/>
            <sz val="14"/>
            <color rgb="FFFF0000"/>
            <rFont val="Times New Roman"/>
            <family val="18"/>
          </rPr>
          <t xml:space="preserve">als Rekrut zugewachsen desertierte </t>
        </r>
        <r>
          <rPr>
            <sz val="14"/>
            <color rgb="FFFF0000"/>
            <rFont val="Times New Roman"/>
            <family val="18"/>
          </rPr>
          <t>[ML 1802]</t>
        </r>
        <r>
          <rPr>
            <sz val="14"/>
            <color rgb="FF000000"/>
            <rFont val="Calibri"/>
            <family val="34"/>
          </rPr>
          <t xml:space="preserve">
</t>
        </r>
        <r>
          <rPr>
            <sz val="14"/>
            <color rgb="FF000000"/>
            <rFont val="Times New Roman"/>
            <family val="18"/>
          </rPr>
          <t xml:space="preserve">03/02/1801 </t>
        </r>
        <r>
          <rPr>
            <i/>
            <sz val="14"/>
            <color rgb="FF000000"/>
            <rFont val="Times New Roman"/>
            <family val="18"/>
          </rPr>
          <t>Desertiert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15/05/1801 </t>
        </r>
        <r>
          <rPr>
            <i/>
            <sz val="14"/>
            <color rgb="FF000000"/>
            <rFont val="Times New Roman"/>
            <family val="18"/>
          </rPr>
          <t>Unter den Nahmen Anton Michael auf 10 Jahr zum diesjetzigen Regiment</t>
        </r>
        <r>
          <rPr>
            <sz val="14"/>
            <color rgb="FF000000"/>
            <rFont val="Times New Roman"/>
            <family val="18"/>
          </rPr>
          <t xml:space="preserve"> </t>
        </r>
        <r>
          <rPr>
            <b/>
            <sz val="14"/>
            <color rgb="FF000000"/>
            <rFont val="Times New Roman"/>
            <family val="18"/>
          </rPr>
          <t>[IR 46]</t>
        </r>
        <r>
          <rPr>
            <sz val="14"/>
            <color rgb="FF000000"/>
            <rFont val="Times New Roman"/>
            <family val="18"/>
          </rPr>
          <t xml:space="preserve"> </t>
        </r>
        <r>
          <rPr>
            <i/>
            <sz val="14"/>
            <color rgb="FF000000"/>
            <rFont val="Times New Roman"/>
            <family val="18"/>
          </rPr>
          <t>assentieren</t>
        </r>
        <r>
          <rPr>
            <sz val="14"/>
            <color rgb="FF000000"/>
            <rFont val="Times New Roman"/>
            <family val="18"/>
          </rPr>
          <t xml:space="preserve"> [ML 1802]</t>
        </r>
        <r>
          <rPr>
            <sz val="14"/>
            <color rgb="FF000000"/>
            <rFont val="Calibri"/>
            <family val="34"/>
          </rPr>
          <t xml:space="preserve">
</t>
        </r>
        <r>
          <rPr>
            <i/>
            <sz val="14"/>
            <color rgb="FF000000"/>
            <rFont val="Times New Roman"/>
            <family val="18"/>
          </rPr>
          <t>Hat sich Auf General Pardon Selbst Gemeldet</t>
        </r>
        <r>
          <rPr>
            <sz val="14"/>
            <color rgb="FF000000"/>
            <rFont val="Times New Roman"/>
            <family val="18"/>
          </rPr>
          <t xml:space="preserve"> [ML 1811]</t>
        </r>
        <r>
          <rPr>
            <sz val="14"/>
            <color rgb="FF000000"/>
            <rFont val="Calibri"/>
            <family val="34"/>
          </rPr>
          <t xml:space="preserve">
</t>
        </r>
        <r>
          <rPr>
            <sz val="14"/>
            <color rgb="FF000000"/>
            <rFont val="Times New Roman"/>
            <family val="18"/>
          </rPr>
          <t>17/09/1802 Muster: IR 46 Haupt von Freydong Nr. 59</t>
        </r>
        <r>
          <rPr>
            <sz val="14"/>
            <color rgb="FF000000"/>
            <rFont val="Calibri"/>
            <family val="34"/>
          </rPr>
          <t xml:space="preserve">
</t>
        </r>
        <r>
          <rPr>
            <sz val="14"/>
            <color rgb="FF000000"/>
            <rFont val="Times New Roman"/>
            <family val="18"/>
          </rPr>
          <t xml:space="preserve">11/02/1803 </t>
        </r>
        <r>
          <rPr>
            <i/>
            <sz val="14"/>
            <color rgb="FF000000"/>
            <rFont val="Times New Roman"/>
            <family val="18"/>
          </rPr>
          <t>Von Neugebauer zu De Vaux Inf. Rgt. Nr. 45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Dissolvierte De Vaux Inf. Nr. 45 zum IR 44 transferiert und zur 9. Fus. Komp eigeteilt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9. Fus. Komp. Nr. 187</t>
        </r>
        <r>
          <rPr>
            <sz val="14"/>
            <color rgb="FF000000"/>
            <rFont val="Calibri"/>
            <family val="34"/>
          </rPr>
          <t xml:space="preserve">
</t>
        </r>
        <r>
          <rPr>
            <sz val="14"/>
            <color rgb="FF000000"/>
            <rFont val="Times New Roman"/>
            <family val="18"/>
          </rPr>
          <t>20/09/1811 Muster: IR 44 9. Fus. Komp. Nr. 122</t>
        </r>
        <r>
          <rPr>
            <sz val="14"/>
            <color rgb="FF000000"/>
            <rFont val="Calibri"/>
            <family val="34"/>
          </rPr>
          <t xml:space="preserve">
</t>
        </r>
        <r>
          <rPr>
            <sz val="14"/>
            <color rgb="FF000000"/>
            <rFont val="Times New Roman"/>
            <family val="18"/>
          </rPr>
          <t>19/09/1812 Revision: IR 44 9. Fus. Komp. Nr. 75 [</t>
        </r>
        <r>
          <rPr>
            <i/>
            <sz val="14"/>
            <color rgb="FF000000"/>
            <rFont val="Times New Roman"/>
            <family val="18"/>
          </rPr>
          <t>Beurlaubt in Galizien</t>
        </r>
        <r>
          <rPr>
            <sz val="14"/>
            <color rgb="FF000000"/>
            <rFont val="Times New Roman"/>
            <family val="18"/>
          </rPr>
          <t>]</t>
        </r>
        <r>
          <rPr>
            <sz val="14"/>
            <color rgb="FF000000"/>
            <rFont val="Calibri"/>
            <family val="34"/>
          </rPr>
          <t xml:space="preserve">
</t>
        </r>
      </text>
    </comment>
    <comment ref="BG397" authorId="0" shapeId="0" xr:uid="{271D416E-4585-FB4E-9096-30EAD89B5011}">
      <text>
        <r>
          <rPr>
            <sz val="14"/>
            <color rgb="FF000000"/>
            <rFont val="Times New Roman"/>
            <family val="18"/>
          </rPr>
          <t>ML 10.403 IR 46 (1802) – Haupt Von Freydong Komp. Nr. 59 (Alla 17/09/1802)</t>
        </r>
        <r>
          <rPr>
            <sz val="14"/>
            <color rgb="FF000000"/>
            <rFont val="Calibri"/>
            <family val="34"/>
          </rPr>
          <t xml:space="preserve">
</t>
        </r>
        <r>
          <rPr>
            <sz val="14"/>
            <color rgb="FF000000"/>
            <rFont val="Times New Roman"/>
            <family val="18"/>
          </rPr>
          <t>ML 3911 IR 44 (1808-10) – 9. Fus. Komp. Nr. 187 (Pappa 28/09/1810)</t>
        </r>
        <r>
          <rPr>
            <sz val="14"/>
            <color rgb="FF000000"/>
            <rFont val="Calibri"/>
            <family val="34"/>
          </rPr>
          <t xml:space="preserve">
</t>
        </r>
        <r>
          <rPr>
            <sz val="14"/>
            <color rgb="FF000000"/>
            <rFont val="Times New Roman"/>
            <family val="18"/>
          </rPr>
          <t>ML 3912/3 IR 44 (1811) – 9. Fus. Komp. Nr. 122 (Sthulweissenburg 20/09/1811)</t>
        </r>
        <r>
          <rPr>
            <sz val="14"/>
            <color rgb="FF000000"/>
            <rFont val="Calibri"/>
            <family val="34"/>
          </rPr>
          <t xml:space="preserve">
</t>
        </r>
        <r>
          <rPr>
            <sz val="14"/>
            <color rgb="FF000000"/>
            <rFont val="Times New Roman"/>
            <family val="18"/>
          </rPr>
          <t>ML 3914 IR 44 (1812/6) – 9. Fus. Komp. Nr. 75 (Pest 19/09/1812)</t>
        </r>
        <r>
          <rPr>
            <sz val="14"/>
            <color rgb="FF000000"/>
            <rFont val="Calibri"/>
            <family val="34"/>
          </rPr>
          <t xml:space="preserve">
</t>
        </r>
      </text>
    </comment>
    <comment ref="BH397" authorId="0" shapeId="0" xr:uid="{BFC87ADF-461F-EB41-B839-59B20FAD576C}">
      <text>
        <r>
          <rPr>
            <sz val="14"/>
            <color rgb="FF000000"/>
            <rFont val="Calibri"/>
            <family val="34"/>
          </rPr>
          <t xml:space="preserve">IR 45 (1797-1801)
</t>
        </r>
        <r>
          <rPr>
            <sz val="14"/>
            <color rgb="FF000000"/>
            <rFont val="Calibri"/>
            <family val="34"/>
          </rPr>
          <t xml:space="preserve">IR 46 (1801-1803)
</t>
        </r>
        <r>
          <rPr>
            <sz val="14"/>
            <color rgb="FF000000"/>
            <rFont val="Calibri"/>
            <family val="34"/>
          </rPr>
          <t xml:space="preserve">IR 45 (1803-1810)
</t>
        </r>
        <r>
          <rPr>
            <sz val="14"/>
            <color rgb="FF000000"/>
            <rFont val="Calibri"/>
            <family val="34"/>
          </rPr>
          <t>IR 44 (1810-1812)</t>
        </r>
      </text>
    </comment>
    <comment ref="BF398" authorId="0" shapeId="0" xr:uid="{7D3B63C5-5CEF-9545-B573-E87F19771CAE}">
      <text>
        <r>
          <rPr>
            <sz val="14"/>
            <color rgb="FF000000"/>
            <rFont val="Times New Roman"/>
            <family val="18"/>
          </rPr>
          <t xml:space="preserve">02/05/1797 </t>
        </r>
        <r>
          <rPr>
            <i/>
            <sz val="14"/>
            <color rgb="FF000000"/>
            <rFont val="Times New Roman"/>
            <family val="18"/>
          </rPr>
          <t xml:space="preserve">Von Land gestellt und auf 3Fl Handgeld zum IR 54 4. Bataillon und seitdem mit auswärtiger Verpflegung auf anhero Marsch von Galizien </t>
        </r>
        <r>
          <rPr>
            <sz val="14"/>
            <color rgb="FF000000"/>
            <rFont val="Times New Roman"/>
            <family val="18"/>
          </rPr>
          <t>[AL May 1797 &amp; ST Juli 1797]</t>
        </r>
        <r>
          <rPr>
            <sz val="14"/>
            <color rgb="FF000000"/>
            <rFont val="Calibri"/>
            <family val="34"/>
          </rPr>
          <t xml:space="preserve">
</t>
        </r>
        <r>
          <rPr>
            <sz val="14"/>
            <color rgb="FF000000"/>
            <rFont val="Times New Roman"/>
            <family val="18"/>
          </rPr>
          <t xml:space="preserve">15/06/1797 </t>
        </r>
        <r>
          <rPr>
            <i/>
            <sz val="14"/>
            <color rgb="FF000000"/>
            <rFont val="Times New Roman"/>
            <family val="18"/>
          </rPr>
          <t>in Bataillon eingerückt und zum 1. Companie zugeteilt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25/07/1797 </t>
        </r>
        <r>
          <rPr>
            <i/>
            <sz val="14"/>
            <color rgb="FF000000"/>
            <rFont val="Times New Roman"/>
            <family val="18"/>
          </rPr>
          <t>in Folge Abgehaltene Superarbietrierung deto Prag den 18 Juli 797 wegen Untauglichkeit mit Laufpaß entlassen</t>
        </r>
        <r>
          <rPr>
            <sz val="14"/>
            <color rgb="FF000000"/>
            <rFont val="Times New Roman"/>
            <family val="18"/>
          </rPr>
          <t xml:space="preserve"> [ST Juli 1797]</t>
        </r>
      </text>
    </comment>
    <comment ref="BG398" authorId="0" shapeId="0" xr:uid="{87161CBA-5013-B745-88E3-FDA5A9F5A415}">
      <text>
        <r>
          <rPr>
            <sz val="14"/>
            <color rgb="FF000000"/>
            <rFont val="Times New Roman"/>
            <family val="18"/>
          </rPr>
          <t xml:space="preserve">ML 4659 IR 54 (1797) – AL Nr. 1 (Lublin 02/05/1797) &amp; ST July – Zuwachs &amp; Abgang (15/09/1797) </t>
        </r>
        <r>
          <rPr>
            <sz val="14"/>
            <color rgb="FF000000"/>
            <rFont val="Calibri"/>
            <family val="34"/>
          </rPr>
          <t xml:space="preserve">
</t>
        </r>
      </text>
    </comment>
    <comment ref="BH398" authorId="0" shapeId="0" xr:uid="{53282971-8948-6F42-8D90-B829B32EC243}">
      <text>
        <r>
          <rPr>
            <sz val="14"/>
            <color rgb="FF000000"/>
            <rFont val="Calibri"/>
            <family val="34"/>
          </rPr>
          <t>IR 54 (1797)</t>
        </r>
      </text>
    </comment>
    <comment ref="BF399" authorId="0" shapeId="0" xr:uid="{9DCC0BB5-2653-384E-8F8F-6D14CC78552E}">
      <text>
        <r>
          <rPr>
            <sz val="14"/>
            <color rgb="FF000000"/>
            <rFont val="Times New Roman"/>
            <family val="18"/>
          </rPr>
          <t xml:space="preserve">02/05/1797 </t>
        </r>
        <r>
          <rPr>
            <i/>
            <sz val="14"/>
            <color rgb="FF000000"/>
            <rFont val="Times New Roman"/>
            <family val="18"/>
          </rPr>
          <t xml:space="preserve">Von Land gestellt und auf 3Fl Handgeld zum IR 54 4. Bataillon und seitdem mit auswärtiger Verpflegung auf anhero Marsch von Galizien </t>
        </r>
        <r>
          <rPr>
            <sz val="14"/>
            <color rgb="FF000000"/>
            <rFont val="Times New Roman"/>
            <family val="18"/>
          </rPr>
          <t>[AL May 1797 &amp; ST Juli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in Bataillon eingerückt und zum 4. Companie zugeteilt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25/06/1797 </t>
        </r>
        <r>
          <rPr>
            <i/>
            <sz val="14"/>
            <color rgb="FF000000"/>
            <rFont val="Times New Roman"/>
            <family val="18"/>
          </rPr>
          <t>in Folge Abgehaltene Superarbietrierung deto Prag den 18 Juli 797 wegen Untauglichkeit</t>
        </r>
        <r>
          <rPr>
            <sz val="14"/>
            <color rgb="FF000000"/>
            <rFont val="Times New Roman"/>
            <family val="18"/>
          </rPr>
          <t xml:space="preserve"> </t>
        </r>
        <r>
          <rPr>
            <i/>
            <sz val="14"/>
            <color rgb="FF000000"/>
            <rFont val="Times New Roman"/>
            <family val="18"/>
          </rPr>
          <t>gegen verursachten Unkosten Ersatz mit Laufpaß entlassen</t>
        </r>
        <r>
          <rPr>
            <sz val="14"/>
            <color rgb="FF000000"/>
            <rFont val="Times New Roman"/>
            <family val="18"/>
          </rPr>
          <t xml:space="preserve"> [ST Juli 1797]</t>
        </r>
      </text>
    </comment>
    <comment ref="BG399" authorId="0" shapeId="0" xr:uid="{4CC9DAF9-EE55-0F44-AF2B-473F2A9C3FE0}">
      <text>
        <r>
          <rPr>
            <sz val="14"/>
            <color rgb="FF000000"/>
            <rFont val="Times New Roman"/>
            <family val="18"/>
          </rPr>
          <t xml:space="preserve">ML 4659 IR 54 (1797) – AL Nr. 1 (Lublin 02/05/1797) &amp; ST July 4TH Bat 4. Comp – Zuwachs &amp; Abgang (15/09/1797) </t>
        </r>
        <r>
          <rPr>
            <sz val="14"/>
            <color rgb="FF000000"/>
            <rFont val="Calibri"/>
            <family val="34"/>
          </rPr>
          <t xml:space="preserve">
</t>
        </r>
      </text>
    </comment>
    <comment ref="BH399" authorId="0" shapeId="0" xr:uid="{3F7B84FC-4C75-D845-982A-A2F3129A4634}">
      <text>
        <r>
          <rPr>
            <sz val="14"/>
            <color rgb="FF000000"/>
            <rFont val="Calibri"/>
            <family val="34"/>
          </rPr>
          <t>IR 54 (1797)</t>
        </r>
      </text>
    </comment>
    <comment ref="BF400" authorId="0" shapeId="0" xr:uid="{B9C6E979-9C5F-FB49-BC9F-05954C60BF93}">
      <text>
        <r>
          <rPr>
            <sz val="14"/>
            <color rgb="FF000000"/>
            <rFont val="Times New Roman"/>
            <family val="18"/>
          </rPr>
          <t xml:space="preserve">02/05/1797 </t>
        </r>
        <r>
          <rPr>
            <i/>
            <sz val="14"/>
            <color rgb="FF000000"/>
            <rFont val="Times New Roman"/>
            <family val="18"/>
          </rPr>
          <t>zu Bialla a 3Fl ohne Capitulation assentiert</t>
        </r>
        <r>
          <rPr>
            <sz val="14"/>
            <color rgb="FF000000"/>
            <rFont val="Times New Roman"/>
            <family val="18"/>
          </rPr>
          <t xml:space="preserve"> [TL 1797]</t>
        </r>
        <r>
          <rPr>
            <sz val="14"/>
            <color rgb="FF000000"/>
            <rFont val="Calibri"/>
            <family val="34"/>
          </rPr>
          <t xml:space="preserve">
</t>
        </r>
        <r>
          <rPr>
            <sz val="14"/>
            <color rgb="FF000000"/>
            <rFont val="Times New Roman"/>
            <family val="18"/>
          </rPr>
          <t xml:space="preserve">29/08/1797 </t>
        </r>
        <r>
          <rPr>
            <i/>
            <sz val="14"/>
            <color rgb="FF000000"/>
            <rFont val="Times New Roman"/>
            <family val="18"/>
          </rPr>
          <t>von Galizischen Ständen gestellt [bis ultimo dicti auswärts verpflegt ohne Z.D. in die loco Verpflegung zum Gabrielli Comp eingerückt und dahero einstwillig von begabte dato in Stand und Gebühr</t>
        </r>
        <r>
          <rPr>
            <sz val="14"/>
            <color rgb="FF000000"/>
            <rFont val="Times New Roman"/>
            <family val="18"/>
          </rPr>
          <t>; Absent mit Geld und Brot non 29 bis ultimo mit service aber bis 28 dicti] [ST August 1797]</t>
        </r>
        <r>
          <rPr>
            <sz val="14"/>
            <color rgb="FF000000"/>
            <rFont val="Calibri"/>
            <family val="34"/>
          </rPr>
          <t xml:space="preserve">
</t>
        </r>
        <r>
          <rPr>
            <sz val="14"/>
            <color rgb="FF000000"/>
            <rFont val="Times New Roman"/>
            <family val="18"/>
          </rPr>
          <t xml:space="preserve">09/11/1797 </t>
        </r>
        <r>
          <rPr>
            <i/>
            <sz val="14"/>
            <color rgb="FF000000"/>
            <rFont val="Times New Roman"/>
            <family val="18"/>
          </rPr>
          <t>von IR 43 Gabrielly Comp. zum Feld Spitals stand als Halb Invalid transferierit</t>
        </r>
        <r>
          <rPr>
            <sz val="14"/>
            <color rgb="FF000000"/>
            <rFont val="Times New Roman"/>
            <family val="18"/>
          </rPr>
          <t xml:space="preserve"> [TL 1797]</t>
        </r>
        <r>
          <rPr>
            <sz val="14"/>
            <color rgb="FF000000"/>
            <rFont val="Calibri"/>
            <family val="34"/>
          </rPr>
          <t xml:space="preserve">
</t>
        </r>
      </text>
    </comment>
    <comment ref="BG400" authorId="0" shapeId="0" xr:uid="{F01A67B8-DC09-3F44-9E3B-06C8B5809187}">
      <text>
        <r>
          <rPr>
            <sz val="14"/>
            <color rgb="FF000000"/>
            <rFont val="Calibri"/>
            <family val="34"/>
          </rPr>
          <t>ML 10.305 IR 43 (1797) – ST Aug (01/09/1803) und TL IR 43-&gt; Feld Spital Nr. 1 (Laibach 09/11/1797)</t>
        </r>
      </text>
    </comment>
    <comment ref="BH400" authorId="0" shapeId="0" xr:uid="{CDE4C070-3D8F-9B4F-816B-29507434E98D}">
      <text>
        <r>
          <rPr>
            <sz val="14"/>
            <color rgb="FF000000"/>
            <rFont val="Calibri"/>
            <family val="34"/>
          </rPr>
          <t xml:space="preserve">IR 43 (1797)
</t>
        </r>
        <r>
          <rPr>
            <sz val="14"/>
            <color rgb="FF000000"/>
            <rFont val="Calibri"/>
            <family val="34"/>
          </rPr>
          <t>Feld Spital (1797)</t>
        </r>
      </text>
    </comment>
    <comment ref="BI400" authorId="0" shapeId="0" xr:uid="{2A75698B-E1D1-2347-A1B8-F1480A612603}">
      <text>
        <r>
          <rPr>
            <sz val="14"/>
            <color rgb="FF000000"/>
            <rFont val="Calibri"/>
            <family val="34"/>
          </rPr>
          <t>1810: Gut</t>
        </r>
      </text>
    </comment>
    <comment ref="BJ400" authorId="0" shapeId="0" xr:uid="{6DA3E819-16A3-D145-B4C8-C59EF9F35C37}">
      <text>
        <r>
          <rPr>
            <i/>
            <sz val="14"/>
            <color rgb="FF000000"/>
            <rFont val="Times New Roman"/>
            <family val="18"/>
          </rPr>
          <t xml:space="preserve">Ist zu Klein fur den Infanterie dienst </t>
        </r>
        <r>
          <rPr>
            <sz val="14"/>
            <color rgb="FF000000"/>
            <rFont val="Times New Roman"/>
            <family val="18"/>
          </rPr>
          <t>[1797]</t>
        </r>
      </text>
    </comment>
    <comment ref="BF401" authorId="0" shapeId="0" xr:uid="{A06591EE-D1EA-594B-AE8A-BA337CE1B72D}">
      <text>
        <r>
          <rPr>
            <sz val="14"/>
            <color rgb="FF000000"/>
            <rFont val="Times New Roman"/>
            <family val="18"/>
          </rPr>
          <t xml:space="preserve">04/05/1797 </t>
        </r>
        <r>
          <rPr>
            <i/>
            <sz val="14"/>
            <color rgb="FF000000"/>
            <rFont val="Times New Roman"/>
            <family val="18"/>
          </rPr>
          <t xml:space="preserve">Als Capitulant auf Kriegsdauer assentiert </t>
        </r>
        <r>
          <rPr>
            <sz val="14"/>
            <color rgb="FF000000"/>
            <rFont val="Times New Roman"/>
            <family val="18"/>
          </rPr>
          <t>[TL Oct 1798]</t>
        </r>
        <r>
          <rPr>
            <sz val="14"/>
            <color rgb="FF000000"/>
            <rFont val="Calibri"/>
            <family val="34"/>
          </rPr>
          <t xml:space="preserve">
</t>
        </r>
        <r>
          <rPr>
            <i/>
            <sz val="14"/>
            <color rgb="FF000000"/>
            <rFont val="Times New Roman"/>
            <family val="18"/>
          </rPr>
          <t>In Einer Rebellion begriffen und eodem Attrapiert</t>
        </r>
        <r>
          <rPr>
            <sz val="14"/>
            <color rgb="FF000000"/>
            <rFont val="Times New Roman"/>
            <family val="18"/>
          </rPr>
          <t xml:space="preserve"> [TL Oct 1798] </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Erbach Inf Regiment Nr. 42 4. Bat. Vacant Haupt Len` Komp. zum IR 30 Tirou Komp. transferiert</t>
        </r>
        <r>
          <rPr>
            <sz val="14"/>
            <color rgb="FF000000"/>
            <rFont val="Times New Roman"/>
            <family val="18"/>
          </rPr>
          <t xml:space="preserve"> [TL Sept 1798 &amp; 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01" authorId="0" shapeId="0" xr:uid="{3CC201CC-6840-F143-B461-01EB4444BDDF}">
      <text>
        <r>
          <rPr>
            <sz val="14"/>
            <color rgb="FF000000"/>
            <rFont val="Times New Roman"/>
            <family val="18"/>
          </rPr>
          <t>ML 2664 IR 30 (1798) – TL IR 42-&gt;IR 30 Nr. 7 (Luditz 31/10/1798); ST Sept (Lemberg 24/03/1803), Dec (Theresienstadt 23/07/1799)</t>
        </r>
      </text>
    </comment>
    <comment ref="BH401" authorId="0" shapeId="0" xr:uid="{749EED75-C030-CB47-B073-9E0DF25F1C50}">
      <text>
        <r>
          <rPr>
            <sz val="14"/>
            <color rgb="FF000000"/>
            <rFont val="Calibri"/>
            <family val="34"/>
          </rPr>
          <t xml:space="preserve">IR 42 (1797-1797)
</t>
        </r>
        <r>
          <rPr>
            <sz val="14"/>
            <color rgb="FF000000"/>
            <rFont val="Calibri"/>
            <family val="34"/>
          </rPr>
          <t>IR 30 (1798)</t>
        </r>
      </text>
    </comment>
    <comment ref="BI401" authorId="0" shapeId="0" xr:uid="{EBB870AB-C8C6-4944-96EF-44B346312F5D}">
      <text>
        <r>
          <rPr>
            <i/>
            <sz val="14"/>
            <color rgb="FF000000"/>
            <rFont val="Times New Roman"/>
            <family val="18"/>
          </rPr>
          <t>Mittelmassig</t>
        </r>
        <r>
          <rPr>
            <sz val="14"/>
            <color rgb="FF000000"/>
            <rFont val="Times New Roman"/>
            <family val="18"/>
          </rPr>
          <t xml:space="preserve"> [TL Oct 1798]</t>
        </r>
        <r>
          <rPr>
            <sz val="14"/>
            <color rgb="FF000000"/>
            <rFont val="Calibri"/>
            <family val="2"/>
            <scheme val="minor"/>
          </rPr>
          <t xml:space="preserve"> </t>
        </r>
      </text>
    </comment>
    <comment ref="BF402" authorId="0" shapeId="0" xr:uid="{36A4731A-1CAA-944D-B397-D068D083EAF1}">
      <text>
        <r>
          <rPr>
            <sz val="14"/>
            <color rgb="FF000000"/>
            <rFont val="Times New Roman"/>
            <family val="18"/>
          </rPr>
          <t xml:space="preserve">04/05/1797 </t>
        </r>
        <r>
          <rPr>
            <i/>
            <sz val="14"/>
            <color rgb="FF000000"/>
            <rFont val="Times New Roman"/>
            <family val="18"/>
          </rPr>
          <t>A 3Fl mit Versicherungsschein von standen Gestellt Von standen gestellt und zum IR 21 ‚Reserve Division‘ 3. Companie assentiert</t>
        </r>
        <r>
          <rPr>
            <sz val="14"/>
            <color rgb="FF000000"/>
            <rFont val="Times New Roman"/>
            <family val="18"/>
          </rPr>
          <t xml:space="preserve"> [AL &amp; TL IR 21 1797]</t>
        </r>
        <r>
          <rPr>
            <sz val="14"/>
            <color rgb="FF000000"/>
            <rFont val="Calibri"/>
            <family val="34"/>
          </rPr>
          <t xml:space="preserve">
</t>
        </r>
        <r>
          <rPr>
            <sz val="14"/>
            <color rgb="FF000000"/>
            <rFont val="Times New Roman"/>
            <family val="18"/>
          </rPr>
          <t xml:space="preserve">24/10/1797 </t>
        </r>
        <r>
          <rPr>
            <i/>
            <sz val="14"/>
            <color rgb="FF000000"/>
            <rFont val="Times New Roman"/>
            <family val="18"/>
          </rPr>
          <t>Von IR 21 ,Gemmingen‘ 4. Bataillon Haupt von Engelthal Comp. zum IR 43 OberstLt Comp. transferiert; Seitdem auf anhero Marsch mit Friedensgebühr</t>
        </r>
        <r>
          <rPr>
            <sz val="14"/>
            <color rgb="FF000000"/>
            <rFont val="Times New Roman"/>
            <family val="18"/>
          </rPr>
          <t xml:space="preserve"> [ST October 1797 &amp; TL IR 21 1797]</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Udine Deserteurt</t>
        </r>
        <r>
          <rPr>
            <sz val="14"/>
            <color rgb="FF000000"/>
            <rFont val="Times New Roman"/>
            <family val="18"/>
          </rPr>
          <t xml:space="preserve"> [ML Jan 1799]</t>
        </r>
        <r>
          <rPr>
            <sz val="14"/>
            <color rgb="FF000000"/>
            <rFont val="Calibri"/>
            <family val="34"/>
          </rPr>
          <t xml:space="preserve">
</t>
        </r>
        <r>
          <rPr>
            <sz val="14"/>
            <color rgb="FF000000"/>
            <rFont val="Times New Roman"/>
            <family val="18"/>
          </rPr>
          <t xml:space="preserve">01/11/1801 </t>
        </r>
        <r>
          <rPr>
            <i/>
            <sz val="14"/>
            <color rgb="FF000000"/>
            <rFont val="Times New Roman"/>
            <family val="18"/>
          </rPr>
          <t>Laut monats tabella pro December 1801 per erroem in abgang gebracht, zurück in Stand</t>
        </r>
        <r>
          <rPr>
            <sz val="14"/>
            <color rgb="FF000000"/>
            <rFont val="Times New Roman"/>
            <family val="18"/>
          </rPr>
          <t xml:space="preserve"> [ST Dec 1801]</t>
        </r>
        <r>
          <rPr>
            <sz val="14"/>
            <color rgb="FF000000"/>
            <rFont val="Calibri"/>
            <family val="34"/>
          </rPr>
          <t xml:space="preserve">
</t>
        </r>
        <r>
          <rPr>
            <sz val="14"/>
            <color rgb="FF000000"/>
            <rFont val="Times New Roman"/>
            <family val="18"/>
          </rPr>
          <t xml:space="preserve">21/12/1801 </t>
        </r>
        <r>
          <rPr>
            <i/>
            <sz val="14"/>
            <color rgb="FF000000"/>
            <rFont val="Times New Roman"/>
            <family val="18"/>
          </rPr>
          <t>Per errorem in Zuwachs gebracht</t>
        </r>
        <r>
          <rPr>
            <sz val="14"/>
            <color rgb="FF000000"/>
            <rFont val="Times New Roman"/>
            <family val="18"/>
          </rPr>
          <t xml:space="preserve"> [ST Dec 1801]</t>
        </r>
        <r>
          <rPr>
            <sz val="14"/>
            <color rgb="FF000000"/>
            <rFont val="Calibri"/>
            <family val="34"/>
          </rPr>
          <t xml:space="preserve">
</t>
        </r>
      </text>
    </comment>
    <comment ref="BG402" authorId="0" shapeId="0" xr:uid="{90073703-EE74-0C40-9D51-0FC56D495BD7}">
      <text>
        <r>
          <rPr>
            <sz val="14"/>
            <color rgb="FF000000"/>
            <rFont val="Times New Roman"/>
            <family val="18"/>
          </rPr>
          <t xml:space="preserve">ML 1755 IR 21 (1797) – </t>
        </r>
        <r>
          <rPr>
            <sz val="14"/>
            <color rgb="FF000000"/>
            <rFont val="Times New Roman"/>
            <family val="18"/>
          </rPr>
          <t>AL IR 21 Nr. 45 (Stanislau 21/05/1797), TL IR 21-&gt;IR 43 Nr. 30 (Königgrätz 21/10/1797)</t>
        </r>
        <r>
          <rPr>
            <sz val="14"/>
            <color rgb="FF000000"/>
            <rFont val="Calibri"/>
            <family val="34"/>
          </rPr>
          <t xml:space="preserve">
</t>
        </r>
        <r>
          <rPr>
            <sz val="14"/>
            <color rgb="FF000000"/>
            <rFont val="Times New Roman"/>
            <family val="18"/>
          </rPr>
          <t>ML 10.271 IR 43 (1799) – RL ObristLt Komp. Abgang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10.311 IR 43 (1801) – ST Dez (13/01/1802)</t>
        </r>
        <r>
          <rPr>
            <sz val="14"/>
            <color rgb="FF000000"/>
            <rFont val="Calibri"/>
            <family val="34"/>
          </rPr>
          <t xml:space="preserve">
</t>
        </r>
      </text>
    </comment>
    <comment ref="BH402" authorId="0" shapeId="0" xr:uid="{36BC38C3-BA93-0D48-B3ED-94CA9BE710C4}">
      <text>
        <r>
          <rPr>
            <sz val="14"/>
            <color rgb="FF000000"/>
            <rFont val="Calibri"/>
            <family val="34"/>
          </rPr>
          <t xml:space="preserve">IR 21 (1797)
</t>
        </r>
        <r>
          <rPr>
            <sz val="14"/>
            <color rgb="FF000000"/>
            <rFont val="Calibri"/>
            <family val="34"/>
          </rPr>
          <t>IR 43 (1797-1798)</t>
        </r>
      </text>
    </comment>
    <comment ref="BI402" authorId="0" shapeId="0" xr:uid="{D6A02122-D2F6-CE4D-8C49-F1D5E5379AF9}">
      <text>
        <r>
          <rPr>
            <sz val="14"/>
            <color rgb="FF000000"/>
            <rFont val="Calibri"/>
            <family val="34"/>
          </rPr>
          <t>Gut [TL Oct 1797]</t>
        </r>
      </text>
    </comment>
    <comment ref="BF403" authorId="0" shapeId="0" xr:uid="{7E69F51A-4496-3B40-8C5C-BC3465FB4E43}">
      <text>
        <r>
          <rPr>
            <sz val="14"/>
            <color rgb="FF000000"/>
            <rFont val="Times New Roman"/>
            <family val="18"/>
          </rPr>
          <t xml:space="preserve">05/05/1797 </t>
        </r>
        <r>
          <rPr>
            <i/>
            <sz val="14"/>
            <color rgb="FF000000"/>
            <rFont val="Times New Roman"/>
            <family val="18"/>
          </rPr>
          <t>A 3Fl Von standen gestellt und auf Dauer des Krieges zum IR 21 ‚Reserve Division‘ 4. Assentiert</t>
        </r>
        <r>
          <rPr>
            <sz val="14"/>
            <color rgb="FF000000"/>
            <rFont val="Times New Roman"/>
            <family val="18"/>
          </rPr>
          <t xml:space="preserve"> [AL May Nr. 3]</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4. Bataillon Haupt von Willmovsky Comp. zum IR 43 OberstLt comp. transferiert; Seitdem auf anhero Marsch mit Friedensgebühr</t>
        </r>
        <r>
          <rPr>
            <sz val="14"/>
            <color rgb="FF000000"/>
            <rFont val="Times New Roman"/>
            <family val="18"/>
          </rPr>
          <t xml:space="preserve"> [TL Oct 1797 &amp; ST October 1797]</t>
        </r>
        <r>
          <rPr>
            <sz val="14"/>
            <color rgb="FF000000"/>
            <rFont val="Calibri"/>
            <family val="34"/>
          </rPr>
          <t xml:space="preserve">
</t>
        </r>
        <r>
          <rPr>
            <sz val="14"/>
            <color rgb="FF000000"/>
            <rFont val="Times New Roman"/>
            <family val="18"/>
          </rPr>
          <t>25/01/1799 Revision: IR 43 ObristLt Komp. Nr. 110</t>
        </r>
        <r>
          <rPr>
            <sz val="14"/>
            <color rgb="FF000000"/>
            <rFont val="Calibri"/>
            <family val="34"/>
          </rPr>
          <t xml:space="preserve">
</t>
        </r>
        <r>
          <rPr>
            <sz val="14"/>
            <color rgb="FF000000"/>
            <rFont val="Times New Roman"/>
            <family val="18"/>
          </rPr>
          <t xml:space="preserve">15/08/1799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Reconvalesziert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Oct 1799 </t>
        </r>
        <r>
          <rPr>
            <i/>
            <sz val="14"/>
            <color rgb="FF000000"/>
            <rFont val="Times New Roman"/>
            <family val="18"/>
          </rPr>
          <t>Wieder Krank</t>
        </r>
        <r>
          <rPr>
            <sz val="14"/>
            <color rgb="FF000000"/>
            <rFont val="Calibri"/>
            <family val="34"/>
          </rPr>
          <t xml:space="preserve">
</t>
        </r>
        <r>
          <rPr>
            <sz val="14"/>
            <color rgb="FF000000"/>
            <rFont val="Times New Roman"/>
            <family val="18"/>
          </rPr>
          <t xml:space="preserve">15/11/1799 </t>
        </r>
        <r>
          <rPr>
            <i/>
            <sz val="14"/>
            <color rgb="FF000000"/>
            <rFont val="Times New Roman"/>
            <family val="18"/>
          </rPr>
          <t>Reconvalesziert</t>
        </r>
        <r>
          <rPr>
            <sz val="14"/>
            <color rgb="FF000000"/>
            <rFont val="Times New Roman"/>
            <family val="18"/>
          </rPr>
          <t xml:space="preserve"> [?] [ST Nov 1799]</t>
        </r>
        <r>
          <rPr>
            <sz val="14"/>
            <color rgb="FF000000"/>
            <rFont val="Calibri"/>
            <family val="34"/>
          </rPr>
          <t xml:space="preserve">
</t>
        </r>
        <r>
          <rPr>
            <sz val="14"/>
            <color rgb="FF000000"/>
            <rFont val="Times New Roman"/>
            <family val="18"/>
          </rPr>
          <t xml:space="preserve">01/12/1799 </t>
        </r>
        <r>
          <rPr>
            <i/>
            <sz val="14"/>
            <color rgb="FF000000"/>
            <rFont val="Times New Roman"/>
            <family val="18"/>
          </rPr>
          <t>Zu Perugia gestorben</t>
        </r>
        <r>
          <rPr>
            <sz val="14"/>
            <color rgb="FF000000"/>
            <rFont val="Times New Roman"/>
            <family val="18"/>
          </rPr>
          <t xml:space="preserve"> [ST Jan 1800]</t>
        </r>
        <r>
          <rPr>
            <sz val="14"/>
            <color rgb="FF000000"/>
            <rFont val="Calibri"/>
            <family val="34"/>
          </rPr>
          <t xml:space="preserve">
</t>
        </r>
      </text>
    </comment>
    <comment ref="BG403" authorId="0" shapeId="0" xr:uid="{BAD1FAE0-9F3A-9741-AFAA-624F93835528}">
      <text>
        <r>
          <rPr>
            <sz val="14"/>
            <color rgb="FF000000"/>
            <rFont val="Times New Roman"/>
            <family val="18"/>
          </rPr>
          <t xml:space="preserve">ML 1755 IR 21 (1797) – </t>
        </r>
        <r>
          <rPr>
            <sz val="14"/>
            <color rgb="FF000000"/>
            <rFont val="Times New Roman"/>
            <family val="18"/>
          </rPr>
          <t>AL IR 21 Nr. 3 (Lublin 08/05/1797), TL IR 21-&gt;IR 43 Nr. 25 (Königgrätz 21/10/1797)</t>
        </r>
        <r>
          <rPr>
            <sz val="14"/>
            <color rgb="FF000000"/>
            <rFont val="Calibri"/>
            <family val="34"/>
          </rPr>
          <t xml:space="preserve">
</t>
        </r>
        <r>
          <rPr>
            <sz val="14"/>
            <color rgb="FF000000"/>
            <rFont val="Times New Roman"/>
            <family val="18"/>
          </rPr>
          <t>ML 10.271 IR 43 (1799) – RL ObristLt Komp. Nr. 110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Aug (06/03/1800), Sept (21/07/1800), Nov (12/10/1800)</t>
        </r>
        <r>
          <rPr>
            <sz val="14"/>
            <color rgb="FF000000"/>
            <rFont val="Calibri"/>
            <family val="34"/>
          </rPr>
          <t xml:space="preserve">
</t>
        </r>
        <r>
          <rPr>
            <sz val="14"/>
            <color rgb="FF000000"/>
            <rFont val="Times New Roman"/>
            <family val="18"/>
          </rPr>
          <t>ML 10.309 IR 43 (1800) – ST Jän (26/01/1801)</t>
        </r>
      </text>
    </comment>
    <comment ref="BH403" authorId="0" shapeId="0" xr:uid="{5A432F8E-3852-B946-8B01-042BEFDEC47F}">
      <text>
        <r>
          <rPr>
            <sz val="14"/>
            <color rgb="FF000000"/>
            <rFont val="Calibri"/>
            <family val="34"/>
          </rPr>
          <t xml:space="preserve">IR 21 (1797)
</t>
        </r>
        <r>
          <rPr>
            <sz val="14"/>
            <color rgb="FF000000"/>
            <rFont val="Calibri"/>
            <family val="34"/>
          </rPr>
          <t>IR 43 (1797-1799)</t>
        </r>
      </text>
    </comment>
    <comment ref="BI403" authorId="0" shapeId="0" xr:uid="{836C7B09-F167-C14B-9608-6C8A0B441B79}">
      <text>
        <r>
          <rPr>
            <sz val="14"/>
            <color rgb="FF000000"/>
            <rFont val="Calibri"/>
            <family val="34"/>
          </rPr>
          <t>Gut [TL Oct 1797]</t>
        </r>
      </text>
    </comment>
    <comment ref="I404" authorId="0" shapeId="0" xr:uid="{A8A33753-99D7-F844-90BB-E46A1D947CB4}">
      <text>
        <r>
          <rPr>
            <sz val="14"/>
            <color rgb="FF000000"/>
            <rFont val="Calibri"/>
            <family val="34"/>
          </rPr>
          <t xml:space="preserve">1755 [42 (TL Oct 1797)] 
</t>
        </r>
        <r>
          <rPr>
            <sz val="14"/>
            <color rgb="FF000000"/>
            <rFont val="Calibri"/>
            <family val="34"/>
          </rPr>
          <t xml:space="preserve">OR 
</t>
        </r>
        <r>
          <rPr>
            <sz val="14"/>
            <color rgb="FF000000"/>
            <rFont val="Calibri"/>
            <family val="34"/>
          </rPr>
          <t>1766 [31 (AL May 1797)]</t>
        </r>
      </text>
    </comment>
    <comment ref="J404" authorId="0" shapeId="0" xr:uid="{64763C7E-CF2C-114D-AA6E-8EA7C7A4C380}">
      <text>
        <r>
          <rPr>
            <sz val="14"/>
            <color rgb="FF000000"/>
            <rFont val="Calibri"/>
            <family val="34"/>
          </rPr>
          <t xml:space="preserve">Ledig (AL May 1797)
</t>
        </r>
        <r>
          <rPr>
            <sz val="14"/>
            <color rgb="FF000000"/>
            <rFont val="Calibri"/>
            <family val="34"/>
          </rPr>
          <t>Veheiratet (TL Oct 1797)</t>
        </r>
      </text>
    </comment>
    <comment ref="K404" authorId="0" shapeId="0" xr:uid="{BFA74719-2319-DB45-8329-BEFC7E512B92}">
      <text>
        <r>
          <rPr>
            <sz val="14"/>
            <color rgb="FF000000"/>
            <rFont val="Calibri"/>
            <family val="34"/>
          </rPr>
          <t xml:space="preserve">Ohne (AL 1797)
</t>
        </r>
        <r>
          <rPr>
            <sz val="14"/>
            <color rgb="FF000000"/>
            <rFont val="Calibri"/>
            <family val="34"/>
          </rPr>
          <t>Schneider (TL 1797)</t>
        </r>
      </text>
    </comment>
    <comment ref="BF404" authorId="0" shapeId="0" xr:uid="{6B0CD124-2420-2244-9473-AB75D401F5B4}">
      <text>
        <r>
          <rPr>
            <sz val="14"/>
            <color rgb="FF000000"/>
            <rFont val="Times New Roman"/>
            <family val="18"/>
          </rPr>
          <t xml:space="preserve">06/05/1797 </t>
        </r>
        <r>
          <rPr>
            <i/>
            <sz val="14"/>
            <color rgb="FF000000"/>
            <rFont val="Times New Roman"/>
            <family val="18"/>
          </rPr>
          <t xml:space="preserve">A 3Fl von Ständen gestellt und zum IR 21 ‚Reserve Division‘ 4. Companie assentiert </t>
        </r>
        <r>
          <rPr>
            <sz val="14"/>
            <color rgb="FF000000"/>
            <rFont val="Times New Roman"/>
            <family val="18"/>
          </rPr>
          <t>[AL May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‚Gemmingen‘ 4. Battalion Vacant Comp zum Ir 43 OberstLt Comp. transferiert; Seitdem auf anhero Marsch mit Friedensgebühr</t>
        </r>
        <r>
          <rPr>
            <sz val="14"/>
            <color rgb="FF000000"/>
            <rFont val="Times New Roman"/>
            <family val="18"/>
          </rPr>
          <t xml:space="preserve"> [ST October 1797]</t>
        </r>
        <r>
          <rPr>
            <sz val="14"/>
            <color rgb="FF000000"/>
            <rFont val="Calibri"/>
            <family val="34"/>
          </rPr>
          <t xml:space="preserve">
</t>
        </r>
        <r>
          <rPr>
            <sz val="14"/>
            <color rgb="FF000000"/>
            <rFont val="Times New Roman"/>
            <family val="18"/>
          </rPr>
          <t>25/01/1799 Revision: IR 43 ObristLt. Komp. Nr. 80</t>
        </r>
        <r>
          <rPr>
            <sz val="14"/>
            <color rgb="FF000000"/>
            <rFont val="Calibri"/>
            <family val="34"/>
          </rPr>
          <t xml:space="preserve">
</t>
        </r>
        <r>
          <rPr>
            <sz val="14"/>
            <color rgb="FF000000"/>
            <rFont val="Times New Roman"/>
            <family val="18"/>
          </rPr>
          <t xml:space="preserve">31/05/1799 </t>
        </r>
        <r>
          <rPr>
            <i/>
            <sz val="14"/>
            <color rgb="FF000000"/>
            <rFont val="Times New Roman"/>
            <family val="18"/>
          </rPr>
          <t>Von Haupt Mellanz Companie zum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05/08/1800 </t>
        </r>
        <r>
          <rPr>
            <i/>
            <sz val="14"/>
            <color rgb="FF000000"/>
            <rFont val="Times New Roman"/>
            <family val="18"/>
          </rPr>
          <t>Krank Auswärts mit Kriegsgebühr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29/01/1801 </t>
        </r>
        <r>
          <rPr>
            <i/>
            <sz val="14"/>
            <color rgb="FF000000"/>
            <rFont val="Times New Roman"/>
            <family val="18"/>
          </rPr>
          <t>In Klagenfurt gestorben</t>
        </r>
        <r>
          <rPr>
            <sz val="14"/>
            <color rgb="FF000000"/>
            <rFont val="Times New Roman"/>
            <family val="18"/>
          </rPr>
          <t xml:space="preserve"> [ST April 1801]</t>
        </r>
        <r>
          <rPr>
            <sz val="14"/>
            <color rgb="FF000000"/>
            <rFont val="Calibri"/>
            <family val="34"/>
          </rPr>
          <t xml:space="preserve">
</t>
        </r>
      </text>
    </comment>
    <comment ref="BG404" authorId="0" shapeId="0" xr:uid="{484B842F-FEF0-C34F-9A8C-645F597A1521}">
      <text>
        <r>
          <rPr>
            <sz val="14"/>
            <color rgb="FF000000"/>
            <rFont val="Times New Roman"/>
            <family val="18"/>
          </rPr>
          <t>ML 1755 IR 21 (1797) – AL IR 21 Nr. 51 (Stanislau 21/05/1797), TL IR 21-&gt;IR 43 Nr. 41 (Königgrätz 21/10/1797)</t>
        </r>
        <r>
          <rPr>
            <sz val="14"/>
            <color rgb="FF000000"/>
            <rFont val="Calibri"/>
            <family val="34"/>
          </rPr>
          <t xml:space="preserve">
</t>
        </r>
        <r>
          <rPr>
            <sz val="14"/>
            <color rgb="FF000000"/>
            <rFont val="Times New Roman"/>
            <family val="18"/>
          </rPr>
          <t>ML 10.271 IR 43 (1799) – RL ObristLt Komp. Nr. 80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Juni (12/12/1799)</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r>
          <rPr>
            <sz val="14"/>
            <color rgb="FF000000"/>
            <rFont val="Times New Roman"/>
            <family val="18"/>
          </rPr>
          <t>ML 10.311 IR 43 (1801) – ST April (13/10/1804)</t>
        </r>
        <r>
          <rPr>
            <sz val="14"/>
            <color rgb="FF000000"/>
            <rFont val="Calibri"/>
            <family val="34"/>
          </rPr>
          <t xml:space="preserve">
</t>
        </r>
      </text>
    </comment>
    <comment ref="BH404" authorId="0" shapeId="0" xr:uid="{08D114A0-4CD5-F249-82FE-F19E92F89FC8}">
      <text>
        <r>
          <rPr>
            <sz val="14"/>
            <color rgb="FF000000"/>
            <rFont val="Calibri"/>
            <family val="34"/>
          </rPr>
          <t xml:space="preserve">IR 21 (1797)
</t>
        </r>
        <r>
          <rPr>
            <sz val="14"/>
            <color rgb="FF000000"/>
            <rFont val="Calibri"/>
            <family val="34"/>
          </rPr>
          <t>IR 43 (1797-1801)</t>
        </r>
      </text>
    </comment>
    <comment ref="BI404" authorId="0" shapeId="0" xr:uid="{AAD7F13B-ED1E-FA47-9111-C37E72527561}">
      <text>
        <r>
          <rPr>
            <sz val="14"/>
            <color rgb="FF000000"/>
            <rFont val="Calibri"/>
            <family val="34"/>
          </rPr>
          <t>Gut [TL Oct 1797]</t>
        </r>
      </text>
    </comment>
    <comment ref="BF405" authorId="0" shapeId="0" xr:uid="{FE9A8AA6-4C29-DC46-BBE1-4433CCD8314A}">
      <text>
        <r>
          <rPr>
            <sz val="14"/>
            <color rgb="FF000000"/>
            <rFont val="Times New Roman"/>
            <family val="18"/>
          </rPr>
          <t xml:space="preserve">08/05/1797 </t>
        </r>
        <r>
          <rPr>
            <i/>
            <sz val="14"/>
            <color rgb="FF000000"/>
            <rFont val="Times New Roman"/>
            <family val="18"/>
          </rPr>
          <t xml:space="preserve">von Gute Nemischel statt in Folge GENERAL COMMANDO Verordnung ddt. Prag den 7ten August 796 auf Steuerbare Wirtschaft zu entlassenen Bewilligten diseitingen Regiment Gemeinern JOHANN WESETZKY a 3FL Handgeld als Werbbezirk Recrout gestellt und zum IR 54 4. Bataillon 2. Companie assentiert </t>
        </r>
        <r>
          <rPr>
            <sz val="14"/>
            <color rgb="FF000000"/>
            <rFont val="Times New Roman"/>
            <family val="18"/>
          </rPr>
          <t>[AL May 1797 &amp; ST Mai 1797]</t>
        </r>
        <r>
          <rPr>
            <sz val="14"/>
            <color rgb="FF000000"/>
            <rFont val="Calibri"/>
            <family val="34"/>
          </rPr>
          <t xml:space="preserve">
</t>
        </r>
        <r>
          <rPr>
            <sz val="14"/>
            <color rgb="FF000000"/>
            <rFont val="Times New Roman"/>
            <family val="18"/>
          </rPr>
          <t xml:space="preserve">16/06/1797 </t>
        </r>
        <r>
          <rPr>
            <i/>
            <sz val="14"/>
            <color rgb="FF000000"/>
            <rFont val="Times New Roman"/>
            <family val="18"/>
          </rPr>
          <t xml:space="preserve">Krank in Prager Garrison Spital </t>
        </r>
        <r>
          <rPr>
            <sz val="14"/>
            <color rgb="FF000000"/>
            <rFont val="Times New Roman"/>
            <family val="18"/>
          </rPr>
          <t>[ST Juni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Folge hoher Superarbietrierung dd Prag den 25. Sept 797 als untauglich mit Laufpaß entlassen</t>
        </r>
        <r>
          <rPr>
            <sz val="14"/>
            <color rgb="FF000000"/>
            <rFont val="Times New Roman"/>
            <family val="18"/>
          </rPr>
          <t xml:space="preserve"> [ST Oct 1797]</t>
        </r>
        <r>
          <rPr>
            <sz val="14"/>
            <color rgb="FF000000"/>
            <rFont val="Calibri"/>
            <family val="34"/>
          </rPr>
          <t xml:space="preserve">
</t>
        </r>
      </text>
    </comment>
    <comment ref="BG405" authorId="0" shapeId="0" xr:uid="{D71BD7CC-D704-A04A-83CE-5EAF536013F9}">
      <text>
        <r>
          <rPr>
            <sz val="14"/>
            <color rgb="FF000000"/>
            <rFont val="Times New Roman"/>
            <family val="18"/>
          </rPr>
          <t xml:space="preserve">ML 4659 IR 54 (1797) – AL Nr. 1 (Prag 08/05/1797), ST Mai - Zuwachs (Prag 18/07/1797), ST Juni - Krank (Prag 31/07/1797) und ST Oct – Abgang (Prag 10/12/1797) </t>
        </r>
        <r>
          <rPr>
            <sz val="14"/>
            <color rgb="FF000000"/>
            <rFont val="Calibri"/>
            <family val="34"/>
          </rPr>
          <t xml:space="preserve">
</t>
        </r>
      </text>
    </comment>
    <comment ref="BH405" authorId="0" shapeId="0" xr:uid="{8ADE3714-3BF8-9D49-8102-5EC25E58286C}">
      <text>
        <r>
          <rPr>
            <sz val="14"/>
            <color rgb="FF000000"/>
            <rFont val="Calibri"/>
            <family val="34"/>
          </rPr>
          <t>IR 54 (1797)</t>
        </r>
      </text>
    </comment>
    <comment ref="T406" authorId="0" shapeId="0" xr:uid="{74D8C12C-F323-5A42-8861-BA7E2966B945}">
      <text>
        <r>
          <rPr>
            <sz val="14"/>
            <color rgb="FF000000"/>
            <rFont val="Calibri"/>
            <family val="34"/>
          </rPr>
          <t xml:space="preserve">5.2 [163.26 cm] (Mai 1797)
</t>
        </r>
        <r>
          <rPr>
            <sz val="14"/>
            <color rgb="FF000000"/>
            <rFont val="Calibri"/>
            <family val="34"/>
          </rPr>
          <t>5.3 [165.89 cm] (Okt 1797)</t>
        </r>
      </text>
    </comment>
    <comment ref="BF406" authorId="0" shapeId="0" xr:uid="{5F231235-4D14-2A48-AEA5-4B0998CFBAD5}">
      <text>
        <r>
          <rPr>
            <sz val="14"/>
            <color rgb="FF000000"/>
            <rFont val="Times New Roman"/>
            <family val="18"/>
          </rPr>
          <t xml:space="preserve">08/05/1797 </t>
        </r>
        <r>
          <rPr>
            <i/>
            <sz val="14"/>
            <color rgb="FF000000"/>
            <rFont val="Times New Roman"/>
            <family val="18"/>
          </rPr>
          <t>als Vagabund a 3Fl Von standen gestellt und zum IR 21 ‚Reserve Division‘ 4. Companie Assentiert</t>
        </r>
        <r>
          <rPr>
            <sz val="14"/>
            <color rgb="FF000000"/>
            <rFont val="Times New Roman"/>
            <family val="18"/>
          </rPr>
          <t xml:space="preserve"> [AL May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‚Gemmingen‘ 4. Battalion vacant Comp zum Ir 43 OberstLt Comp. transferiert; Seitdem auf anhero Marsch mit Friedensgebühr</t>
        </r>
        <r>
          <rPr>
            <sz val="14"/>
            <color rgb="FF000000"/>
            <rFont val="Times New Roman"/>
            <family val="18"/>
          </rPr>
          <t xml:space="preserve"> [ST October 1797]</t>
        </r>
        <r>
          <rPr>
            <sz val="14"/>
            <color rgb="FF000000"/>
            <rFont val="Calibri"/>
            <family val="34"/>
          </rPr>
          <t xml:space="preserve">
</t>
        </r>
        <r>
          <rPr>
            <sz val="14"/>
            <color rgb="FF000000"/>
            <rFont val="Times New Roman"/>
            <family val="18"/>
          </rPr>
          <t>01/11/1798 [Mindestens seit] in Palma als Handlanger mit Krieggebuhr kommandiert [ST Nov 1798]</t>
        </r>
        <r>
          <rPr>
            <sz val="14"/>
            <color rgb="FF000000"/>
            <rFont val="Calibri"/>
            <family val="34"/>
          </rPr>
          <t xml:space="preserve">
</t>
        </r>
        <r>
          <rPr>
            <sz val="14"/>
            <color rgb="FF000000"/>
            <rFont val="Times New Roman"/>
            <family val="18"/>
          </rPr>
          <t>25/01/1799 Revision: IR 43 ObristLt. Komp. Nr. 109 [</t>
        </r>
        <r>
          <rPr>
            <i/>
            <sz val="14"/>
            <color rgb="FF000000"/>
            <rFont val="Times New Roman"/>
            <family val="18"/>
          </rPr>
          <t>In Palma als Handlanger Commandiert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31/03/1799 [Bis] </t>
        </r>
        <r>
          <rPr>
            <i/>
            <sz val="14"/>
            <color rgb="FF000000"/>
            <rFont val="Times New Roman"/>
            <family val="18"/>
          </rPr>
          <t>In Palma als Handlanger mit Krieggebuhr commandiert</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01/04/1799 [seit] </t>
        </r>
        <r>
          <rPr>
            <i/>
            <sz val="14"/>
            <color rgb="FF000000"/>
            <rFont val="Times New Roman"/>
            <family val="18"/>
          </rPr>
          <t>als Handlanger Auswärts kommandiert mit Kriegsgebuhr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ObristLt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Schoer Comp transferiert und seitdem 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Oct 1801]</t>
        </r>
        <r>
          <rPr>
            <sz val="14"/>
            <color rgb="FF000000"/>
            <rFont val="Calibri"/>
            <family val="34"/>
          </rPr>
          <t xml:space="preserve">
</t>
        </r>
      </text>
    </comment>
    <comment ref="BG406" authorId="0" shapeId="0" xr:uid="{152AD7EE-5BE5-B646-A5CE-B93C9396D1EE}">
      <text>
        <r>
          <rPr>
            <sz val="14"/>
            <color rgb="FF000000"/>
            <rFont val="Times New Roman"/>
            <family val="18"/>
          </rPr>
          <t>ML 1755 IR 21 (1797) – AL IR 21 Nr. 100 (Stanislau 21/05/1797), TL IR 21-&gt;IR 43 Nr. 49 (Königgrätz 21/10/1797)</t>
        </r>
        <r>
          <rPr>
            <sz val="14"/>
            <color rgb="FF000000"/>
            <rFont val="Calibri"/>
            <family val="34"/>
          </rPr>
          <t xml:space="preserve">
</t>
        </r>
        <r>
          <rPr>
            <sz val="14"/>
            <color rgb="FF000000"/>
            <rFont val="Times New Roman"/>
            <family val="18"/>
          </rPr>
          <t>ML 10.271 IR 43 (1799) – RL ObristLt Komp. Nr. 109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März (30/05/1799), April (19/08/1799), Aug (06/03/1800)</t>
        </r>
        <r>
          <rPr>
            <sz val="14"/>
            <color rgb="FF000000"/>
            <rFont val="Calibri"/>
            <family val="34"/>
          </rPr>
          <t xml:space="preserve">
</t>
        </r>
        <r>
          <rPr>
            <sz val="14"/>
            <color rgb="FF000000"/>
            <rFont val="Times New Roman"/>
            <family val="18"/>
          </rPr>
          <t>ML 10.311 IR 43 (1801) – ST April (13/10/1804), Mai (10/03/1805), Okt (21/07/1805)</t>
        </r>
      </text>
    </comment>
    <comment ref="BH406" authorId="0" shapeId="0" xr:uid="{90D0E7E7-C6E2-1D4B-8040-886FCC1C8376}">
      <text>
        <r>
          <rPr>
            <sz val="14"/>
            <color rgb="FF000000"/>
            <rFont val="Calibri"/>
            <family val="34"/>
          </rPr>
          <t xml:space="preserve">IR 21 (1797)
</t>
        </r>
        <r>
          <rPr>
            <sz val="14"/>
            <color rgb="FF000000"/>
            <rFont val="Calibri"/>
            <family val="34"/>
          </rPr>
          <t>IR 43 (1797-1801)</t>
        </r>
      </text>
    </comment>
    <comment ref="BI406" authorId="0" shapeId="0" xr:uid="{D790F233-C9C5-8842-8E41-FA7201C6CFFB}">
      <text>
        <r>
          <rPr>
            <sz val="14"/>
            <color rgb="FF000000"/>
            <rFont val="Calibri"/>
            <family val="34"/>
          </rPr>
          <t>Gut [TL Oct 1797]</t>
        </r>
      </text>
    </comment>
    <comment ref="I407" authorId="0" shapeId="0" xr:uid="{B5EF6716-56F4-2C42-9A44-D357232092C9}">
      <text>
        <r>
          <rPr>
            <sz val="14"/>
            <color rgb="FF000000"/>
            <rFont val="Calibri"/>
            <family val="34"/>
          </rPr>
          <t xml:space="preserve">1776 [28 (ML 1804)] 
</t>
        </r>
        <r>
          <rPr>
            <sz val="14"/>
            <color rgb="FF000000"/>
            <rFont val="Calibri"/>
            <family val="34"/>
          </rPr>
          <t xml:space="preserve">OR 
</t>
        </r>
        <r>
          <rPr>
            <b/>
            <sz val="14"/>
            <color rgb="FF000000"/>
            <rFont val="Calibri"/>
            <family val="34"/>
          </rPr>
          <t>1777 [20 (AL May 1797)]</t>
        </r>
      </text>
    </comment>
    <comment ref="J407" authorId="0" shapeId="0" xr:uid="{03EB0A8B-5541-0F47-8ED2-CAAC7C9BE2A0}">
      <text>
        <r>
          <rPr>
            <sz val="14"/>
            <color rgb="FF000000"/>
            <rFont val="Calibri"/>
            <family val="34"/>
          </rPr>
          <t xml:space="preserve">Ledig (AL May 1797)
</t>
        </r>
        <r>
          <rPr>
            <sz val="14"/>
            <color rgb="FF000000"/>
            <rFont val="Calibri"/>
            <family val="34"/>
          </rPr>
          <t>Veheiratet (ML 1802ff.)</t>
        </r>
      </text>
    </comment>
    <comment ref="T407" authorId="0" shapeId="0" xr:uid="{AAFA8BCF-D15C-544B-91D7-8BC5ACEEFDB8}">
      <text>
        <r>
          <rPr>
            <b/>
            <sz val="14"/>
            <color rgb="FF000000"/>
            <rFont val="Calibri"/>
            <family val="34"/>
          </rPr>
          <t xml:space="preserve">5.2 (1797) [163.26 cm] 
</t>
        </r>
        <r>
          <rPr>
            <sz val="14"/>
            <color rgb="FF000000"/>
            <rFont val="Calibri"/>
            <family val="34"/>
          </rPr>
          <t xml:space="preserve">5.1 (1802) [160.63 cm]
</t>
        </r>
        <r>
          <rPr>
            <sz val="14"/>
            <color rgb="FF000000"/>
            <rFont val="Calibri"/>
            <family val="34"/>
          </rPr>
          <t>5.2.2 (1804) [163.7 cm]</t>
        </r>
      </text>
    </comment>
    <comment ref="BF407" authorId="0" shapeId="0" xr:uid="{6B7476FA-3858-E34C-B63A-0BFF3B086B4A}">
      <text>
        <r>
          <rPr>
            <sz val="14"/>
            <color rgb="FFFF0000"/>
            <rFont val="Times New Roman"/>
            <family val="18"/>
          </rPr>
          <t xml:space="preserve">26/05/1794 </t>
        </r>
        <r>
          <rPr>
            <i/>
            <sz val="14"/>
            <color rgb="FFFF0000"/>
            <rFont val="Times New Roman"/>
            <family val="18"/>
          </rPr>
          <t>Dient</t>
        </r>
        <r>
          <rPr>
            <sz val="14"/>
            <color rgb="FFFF0000"/>
            <rFont val="Times New Roman"/>
            <family val="18"/>
          </rPr>
          <t xml:space="preserve"> [seit] </t>
        </r>
        <r>
          <rPr>
            <i/>
            <sz val="14"/>
            <color rgb="FFFF0000"/>
            <rFont val="Times New Roman"/>
            <family val="18"/>
          </rPr>
          <t>als landständischer Rekrut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09/05/1797 </t>
        </r>
        <r>
          <rPr>
            <i/>
            <sz val="14"/>
            <color rgb="FF000000"/>
            <rFont val="Times New Roman"/>
            <family val="18"/>
          </rPr>
          <t>Auf Kriegsdauer als landständischer Rekrut</t>
        </r>
        <r>
          <rPr>
            <sz val="14"/>
            <color rgb="FF000000"/>
            <rFont val="Times New Roman"/>
            <family val="18"/>
          </rPr>
          <t xml:space="preserve"> </t>
        </r>
        <r>
          <rPr>
            <i/>
            <sz val="14"/>
            <color rgb="FF000000"/>
            <rFont val="Times New Roman"/>
            <family val="18"/>
          </rPr>
          <t xml:space="preserve">assentiert </t>
        </r>
        <r>
          <rPr>
            <sz val="14"/>
            <color rgb="FF000000"/>
            <rFont val="Times New Roman"/>
            <family val="18"/>
          </rPr>
          <t>[TL Oct 1797]</t>
        </r>
        <r>
          <rPr>
            <sz val="14"/>
            <color rgb="FF000000"/>
            <rFont val="Calibri"/>
            <family val="34"/>
          </rPr>
          <t xml:space="preserve">
</t>
        </r>
        <r>
          <rPr>
            <sz val="14"/>
            <color rgb="FF000000"/>
            <rFont val="Times New Roman"/>
            <family val="18"/>
          </rPr>
          <t xml:space="preserve">03/10/1797 </t>
        </r>
        <r>
          <rPr>
            <i/>
            <sz val="14"/>
            <color rgb="FF000000"/>
            <rFont val="Times New Roman"/>
            <family val="18"/>
          </rPr>
          <t>Von IR 47 Haupt Le Brunn zum IR 21 Haupt Wachsmat Companie transferiert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16/09/1800 </t>
        </r>
        <r>
          <rPr>
            <i/>
            <sz val="14"/>
            <color rgb="FF000000"/>
            <rFont val="Times New Roman"/>
            <family val="18"/>
          </rPr>
          <t>Von Gemmingen Inf Regt</t>
        </r>
        <r>
          <rPr>
            <sz val="14"/>
            <color rgb="FF000000"/>
            <rFont val="Times New Roman"/>
            <family val="18"/>
          </rPr>
          <t xml:space="preserve"> </t>
        </r>
        <r>
          <rPr>
            <b/>
            <sz val="14"/>
            <color rgb="FF000000"/>
            <rFont val="Times New Roman"/>
            <family val="18"/>
          </rPr>
          <t>[IR 21]</t>
        </r>
        <r>
          <rPr>
            <sz val="14"/>
            <color rgb="FF000000"/>
            <rFont val="Times New Roman"/>
            <family val="18"/>
          </rPr>
          <t xml:space="preserve"> </t>
        </r>
        <r>
          <rPr>
            <i/>
            <sz val="14"/>
            <color rgb="FF000000"/>
            <rFont val="Times New Roman"/>
            <family val="18"/>
          </rPr>
          <t>zum IR 3 Haupt Degrall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18/12/1800 </t>
        </r>
        <r>
          <rPr>
            <i/>
            <sz val="14"/>
            <color rgb="FF000000"/>
            <rFont val="Times New Roman"/>
            <family val="18"/>
          </rPr>
          <t>Vermisst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13/03/1802 </t>
        </r>
        <r>
          <rPr>
            <i/>
            <sz val="14"/>
            <color rgb="FF000000"/>
            <rFont val="Times New Roman"/>
            <family val="18"/>
          </rPr>
          <t>Von die Kriegsgefangenschaft sich selbst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Degrall Komp. Nr. 224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03/09/1803 Muster: IR 3 Haupt Degrall Komp. Nr. 177 [</t>
        </r>
        <r>
          <rPr>
            <i/>
            <sz val="14"/>
            <color rgb="FF000000"/>
            <rFont val="Times New Roman"/>
            <family val="18"/>
          </rPr>
          <t>Bis zur Einberufung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3 Haupt Degrall Komp. Nr. 157 [</t>
        </r>
        <r>
          <rPr>
            <i/>
            <sz val="14"/>
            <color rgb="FF000000"/>
            <rFont val="Times New Roman"/>
            <family val="18"/>
          </rPr>
          <t>Bis zur Einberufung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09/08/1805 </t>
        </r>
        <r>
          <rPr>
            <i/>
            <sz val="14"/>
            <color rgb="FF000000"/>
            <rFont val="Times New Roman"/>
            <family val="18"/>
          </rPr>
          <t xml:space="preserve">Als ein Kriegsdauer Capitulant zu Folge Verordnung von 28. Mai von unbestimmtem Urlaub mit Abschied entlassen </t>
        </r>
        <r>
          <rPr>
            <sz val="14"/>
            <color rgb="FF000000"/>
            <rFont val="Times New Roman"/>
            <family val="18"/>
          </rPr>
          <t>[ML Aug 1805]</t>
        </r>
        <r>
          <rPr>
            <sz val="14"/>
            <color rgb="FF000000"/>
            <rFont val="Calibri"/>
            <family val="34"/>
          </rPr>
          <t xml:space="preserve">
</t>
        </r>
      </text>
    </comment>
    <comment ref="BG407" authorId="0" shapeId="0" xr:uid="{1AEB2355-4221-414B-9964-CB26E54DD5CE}">
      <text>
        <r>
          <rPr>
            <sz val="14"/>
            <color rgb="FF000000"/>
            <rFont val="Times New Roman"/>
            <family val="18"/>
          </rPr>
          <t>ML 1755 IR 21 (1797) AL/TL – TL IR 47-&gt;IR 21 Nr. 61 (Prague 03/10/1797)</t>
        </r>
        <r>
          <rPr>
            <sz val="14"/>
            <color rgb="FF000000"/>
            <rFont val="Calibri"/>
            <family val="34"/>
          </rPr>
          <t xml:space="preserve">
</t>
        </r>
        <r>
          <rPr>
            <sz val="14"/>
            <color rgb="FF000000"/>
            <rFont val="Times New Roman"/>
            <family val="18"/>
          </rPr>
          <t>ML 234-6 IR 3 (1802) – Haupt Degrall Komp. Nr. 223 (Vienna 20/09/1802)</t>
        </r>
        <r>
          <rPr>
            <sz val="14"/>
            <color rgb="FF000000"/>
            <rFont val="Calibri"/>
            <family val="34"/>
          </rPr>
          <t xml:space="preserve">
</t>
        </r>
        <r>
          <rPr>
            <sz val="14"/>
            <color rgb="FF000000"/>
            <rFont val="Times New Roman"/>
            <family val="18"/>
          </rPr>
          <t>ML 237/8 IR 3 (1803) – Haupt Degrall Komp. Nr. 177 (Vienna 03/09/1803)</t>
        </r>
        <r>
          <rPr>
            <sz val="14"/>
            <color rgb="FF000000"/>
            <rFont val="Calibri"/>
            <family val="34"/>
          </rPr>
          <t xml:space="preserve">
</t>
        </r>
        <r>
          <rPr>
            <sz val="14"/>
            <color rgb="FF000000"/>
            <rFont val="Times New Roman"/>
            <family val="18"/>
          </rPr>
          <t>ML 239 IR 3 (1804) – Haupt Degrall Komp. Nr. 157 (Vienna 05/09/1804)</t>
        </r>
        <r>
          <rPr>
            <sz val="14"/>
            <color rgb="FF000000"/>
            <rFont val="Calibri"/>
            <family val="34"/>
          </rPr>
          <t xml:space="preserve">
</t>
        </r>
        <r>
          <rPr>
            <sz val="14"/>
            <color rgb="FF000000"/>
            <rFont val="Times New Roman"/>
            <family val="18"/>
          </rPr>
          <t>ML 282 IR 3 (1805) – ST Aug (02/05/1806)</t>
        </r>
      </text>
    </comment>
    <comment ref="BH407" authorId="0" shapeId="0" xr:uid="{C7014DB8-B400-584C-B09F-8C2BAFDCE245}">
      <text>
        <r>
          <rPr>
            <sz val="14"/>
            <color rgb="FF000000"/>
            <rFont val="Calibri"/>
            <family val="34"/>
          </rPr>
          <t xml:space="preserve">IR 47 (1797)
</t>
        </r>
        <r>
          <rPr>
            <sz val="14"/>
            <color rgb="FF000000"/>
            <rFont val="Calibri"/>
            <family val="34"/>
          </rPr>
          <t xml:space="preserve">IR 21 (1797-1800)
</t>
        </r>
        <r>
          <rPr>
            <sz val="14"/>
            <color rgb="FF000000"/>
            <rFont val="Calibri"/>
            <family val="34"/>
          </rPr>
          <t>IR 3 (1800-1805)</t>
        </r>
      </text>
    </comment>
    <comment ref="BI407" authorId="0" shapeId="0" xr:uid="{9EEF6186-C23F-A843-BFFD-B9B8FD09F36A}">
      <text>
        <r>
          <rPr>
            <i/>
            <sz val="14"/>
            <color rgb="FF000000"/>
            <rFont val="Times New Roman"/>
            <family val="18"/>
          </rPr>
          <t>Gut</t>
        </r>
        <r>
          <rPr>
            <sz val="14"/>
            <color rgb="FF000000"/>
            <rFont val="Times New Roman"/>
            <family val="18"/>
          </rPr>
          <t xml:space="preserve"> [TL Oct 1797]</t>
        </r>
        <r>
          <rPr>
            <sz val="14"/>
            <color rgb="FF000000"/>
            <rFont val="Calibri"/>
            <family val="2"/>
            <scheme val="minor"/>
          </rPr>
          <t xml:space="preserve"> </t>
        </r>
      </text>
    </comment>
    <comment ref="BF408" authorId="0" shapeId="0" xr:uid="{CD159F47-F23F-0942-8191-E0ED875A1DDA}">
      <text>
        <r>
          <rPr>
            <sz val="14"/>
            <color rgb="FF000000"/>
            <rFont val="Times New Roman"/>
            <family val="18"/>
          </rPr>
          <t xml:space="preserve">10/05/1797 </t>
        </r>
        <r>
          <rPr>
            <i/>
            <sz val="14"/>
            <color rgb="FF000000"/>
            <rFont val="Times New Roman"/>
            <family val="18"/>
          </rPr>
          <t>zu Lublin auf de Kriegszeit zum IR 10 assentiert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31/10/1797 </t>
        </r>
        <r>
          <rPr>
            <i/>
            <sz val="14"/>
            <color rgb="FF000000"/>
            <rFont val="Times New Roman"/>
            <family val="18"/>
          </rPr>
          <t>von Keuhl Inf Regiment 4. Battalion Haupt Künzler zum IR 43 Haupt Schmoll Comp Transferiert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UNBEKANNT: </t>
        </r>
        <r>
          <rPr>
            <i/>
            <sz val="14"/>
            <color rgb="FF000000"/>
            <rFont val="Times New Roman"/>
            <family val="18"/>
          </rPr>
          <t>Erscheint nicht in der Revisions-Liste von Haupt Schmoll Kompanie zwischen 25. Mai 1798 und Jänner 1799</t>
        </r>
        <r>
          <rPr>
            <sz val="14"/>
            <color rgb="FF000000"/>
            <rFont val="Calibri"/>
            <family val="34"/>
          </rPr>
          <t xml:space="preserve">
</t>
        </r>
      </text>
    </comment>
    <comment ref="BG408" authorId="0" shapeId="0" xr:uid="{56BD27AA-0118-9E40-A4E6-3D7DE3204247}">
      <text>
        <r>
          <rPr>
            <sz val="14"/>
            <color rgb="FF000000"/>
            <rFont val="Times New Roman"/>
            <family val="18"/>
          </rPr>
          <t>ML 10.305 IR 43 (1797) – TL IR 10-&gt;IR 43 Nr. 10 (Budweis 30/10/1797); ST Oct (31/05/1805)</t>
        </r>
        <r>
          <rPr>
            <sz val="14"/>
            <color rgb="FF000000"/>
            <rFont val="Calibri"/>
            <family val="34"/>
          </rPr>
          <t xml:space="preserve">
</t>
        </r>
      </text>
    </comment>
    <comment ref="BH408" authorId="0" shapeId="0" xr:uid="{55949558-88D1-304A-AA82-FEAE750CEB26}">
      <text>
        <r>
          <rPr>
            <sz val="14"/>
            <color rgb="FF000000"/>
            <rFont val="Calibri"/>
            <family val="34"/>
          </rPr>
          <t xml:space="preserve">IR 10 (1797)
</t>
        </r>
        <r>
          <rPr>
            <sz val="14"/>
            <color rgb="FF000000"/>
            <rFont val="Calibri"/>
            <family val="34"/>
          </rPr>
          <t>IR 44 (1797-?1798)</t>
        </r>
      </text>
    </comment>
    <comment ref="BI408" authorId="0" shapeId="0" xr:uid="{FC983D89-82E4-F84C-93C7-E76C61CDE792}">
      <text>
        <r>
          <rPr>
            <sz val="14"/>
            <color rgb="FF000000"/>
            <rFont val="Calibri"/>
            <family val="34"/>
          </rPr>
          <t>Gut [TL Oct 1797]</t>
        </r>
      </text>
    </comment>
    <comment ref="BF409" authorId="0" shapeId="0" xr:uid="{2D98E264-193A-F34B-9950-BB4B57D9EE84}">
      <text>
        <r>
          <rPr>
            <sz val="14"/>
            <color rgb="FF000000"/>
            <rFont val="Times New Roman"/>
            <family val="18"/>
          </rPr>
          <t xml:space="preserve">29/05/1797 </t>
        </r>
        <r>
          <rPr>
            <i/>
            <sz val="14"/>
            <color rgb="FF000000"/>
            <rFont val="Times New Roman"/>
            <family val="18"/>
          </rPr>
          <t>a 12Fl zu Kurzelow ins FK Grün Loudon assentiert und seitdem auf Anhero Marsch</t>
        </r>
        <r>
          <rPr>
            <sz val="14"/>
            <color rgb="FF000000"/>
            <rFont val="Times New Roman"/>
            <family val="18"/>
          </rPr>
          <t xml:space="preserve"> [RL 1798 &amp; ST Aug 1797]</t>
        </r>
        <r>
          <rPr>
            <sz val="14"/>
            <color rgb="FF000000"/>
            <rFont val="Calibri"/>
            <family val="34"/>
          </rPr>
          <t xml:space="preserve">
</t>
        </r>
        <r>
          <rPr>
            <sz val="14"/>
            <color rgb="FF000000"/>
            <rFont val="Times New Roman"/>
            <family val="18"/>
          </rPr>
          <t>07/03/1798 Revision: FK Grün Loudon Haupt Melchior Komp. Nr. 130</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Loudon zum </t>
        </r>
        <r>
          <rPr>
            <b/>
            <sz val="14"/>
            <color rgb="FF000000"/>
            <rFont val="Times New Roman"/>
            <family val="18"/>
          </rPr>
          <t>LB 3</t>
        </r>
        <r>
          <rPr>
            <i/>
            <sz val="14"/>
            <color rgb="FF000000"/>
            <rFont val="Times New Roman"/>
            <family val="18"/>
          </rPr>
          <t xml:space="preserve"> transferiert </t>
        </r>
        <r>
          <rPr>
            <sz val="14"/>
            <color rgb="FF000000"/>
            <rFont val="Times New Roman"/>
            <family val="18"/>
          </rPr>
          <t>[RL 1798]</t>
        </r>
        <r>
          <rPr>
            <sz val="14"/>
            <color rgb="FF000000"/>
            <rFont val="Calibri"/>
            <family val="34"/>
          </rPr>
          <t xml:space="preserve">
</t>
        </r>
        <r>
          <rPr>
            <sz val="14"/>
            <color rgb="FF000000"/>
            <rFont val="Times New Roman"/>
            <family val="18"/>
          </rPr>
          <t>22/01/1799 Revision: LB 3 Haupt Melchior Komp. Nr. 110</t>
        </r>
        <r>
          <rPr>
            <sz val="14"/>
            <color rgb="FF000000"/>
            <rFont val="Calibri"/>
            <family val="34"/>
          </rPr>
          <t xml:space="preserve">
</t>
        </r>
        <r>
          <rPr>
            <sz val="14"/>
            <color rgb="FF000000"/>
            <rFont val="Times New Roman"/>
            <family val="18"/>
          </rPr>
          <t xml:space="preserve">21/02/1800 </t>
        </r>
        <r>
          <rPr>
            <i/>
            <sz val="14"/>
            <color rgb="FF000000"/>
            <rFont val="Times New Roman"/>
            <family val="18"/>
          </rPr>
          <t>In Florenz Gestorben</t>
        </r>
        <r>
          <rPr>
            <sz val="14"/>
            <color rgb="FF000000"/>
            <rFont val="Times New Roman"/>
            <family val="18"/>
          </rPr>
          <t xml:space="preserve"> [RL 1800]</t>
        </r>
        <r>
          <rPr>
            <sz val="14"/>
            <color rgb="FF000000"/>
            <rFont val="Calibri"/>
            <family val="34"/>
          </rPr>
          <t xml:space="preserve">
</t>
        </r>
      </text>
    </comment>
    <comment ref="BG409" authorId="0" shapeId="0" xr:uid="{856DAC58-7E98-9641-A6A7-B3463853E31A}">
      <text>
        <r>
          <rPr>
            <sz val="14"/>
            <color rgb="FF000000"/>
            <rFont val="Times New Roman"/>
            <family val="18"/>
          </rPr>
          <t>ML 10.763 FK Grün Laudon (1797-98) – RL Haupt Melchior Komp. Nr. 130</t>
        </r>
        <r>
          <rPr>
            <sz val="14"/>
            <color rgb="FF000000"/>
            <rFont val="Calibri"/>
            <family val="34"/>
          </rPr>
          <t xml:space="preserve">
</t>
        </r>
        <r>
          <rPr>
            <sz val="14"/>
            <color rgb="FF000000"/>
            <rFont val="Times New Roman"/>
            <family val="18"/>
          </rPr>
          <t>ML 10.771 FK Grün Laudon (1796-97) – 1797 ST August (Rovigo 06/06/1798)</t>
        </r>
        <r>
          <rPr>
            <sz val="14"/>
            <color rgb="FF000000"/>
            <rFont val="Calibri"/>
            <family val="34"/>
          </rPr>
          <t xml:space="preserve">
</t>
        </r>
        <r>
          <rPr>
            <sz val="14"/>
            <color rgb="FF000000"/>
            <rFont val="Times New Roman"/>
            <family val="18"/>
          </rPr>
          <t>ML 10.624 LB 3 (1798-1801) – 1799 RL Haupt Melchior Komp. Nr. 110 (Rovigo 22/01/1799); 1800 RL Haupt Melchior - Abgang (Livorno 04/03/1800)</t>
        </r>
        <r>
          <rPr>
            <sz val="14"/>
            <color rgb="FF000000"/>
            <rFont val="Calibri"/>
            <family val="34"/>
          </rPr>
          <t xml:space="preserve">
</t>
        </r>
        <r>
          <rPr>
            <sz val="14"/>
            <color rgb="FF000000"/>
            <rFont val="Times New Roman"/>
            <family val="18"/>
          </rPr>
          <t>ML 10.625 LB (1799-1801) – GB Haupt Melchior</t>
        </r>
      </text>
    </comment>
    <comment ref="BH409" authorId="0" shapeId="0" xr:uid="{5BC4CF89-AA06-A144-9B54-4E40B9EB25B4}">
      <text>
        <r>
          <rPr>
            <sz val="14"/>
            <color rgb="FF000000"/>
            <rFont val="Times New Roman"/>
            <family val="18"/>
          </rPr>
          <t xml:space="preserve">FK Grün Loudon </t>
        </r>
        <r>
          <rPr>
            <sz val="14"/>
            <color rgb="FF000000"/>
            <rFont val="Calibri"/>
            <family val="34"/>
          </rPr>
          <t xml:space="preserve">(1797-1798)
</t>
        </r>
        <r>
          <rPr>
            <sz val="14"/>
            <color rgb="FF000000"/>
            <rFont val="Calibri"/>
            <family val="34"/>
          </rPr>
          <t>LB 3 (1798-1800)</t>
        </r>
      </text>
    </comment>
    <comment ref="BF410" authorId="0" shapeId="0" xr:uid="{163A9123-0339-924E-BD9B-DB23EC8873F3}">
      <text>
        <r>
          <rPr>
            <sz val="14"/>
            <color rgb="FF000000"/>
            <rFont val="Times New Roman"/>
            <family val="18"/>
          </rPr>
          <t xml:space="preserve">20/06/1797 </t>
        </r>
        <r>
          <rPr>
            <i/>
            <sz val="14"/>
            <color rgb="FF000000"/>
            <rFont val="Times New Roman"/>
            <family val="18"/>
          </rPr>
          <t>Auf die Dauer des Krieges gestellt und a 3 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August Komp Nr. 96</t>
        </r>
        <r>
          <rPr>
            <sz val="14"/>
            <color rgb="FF000000"/>
            <rFont val="Calibri"/>
            <family val="34"/>
          </rPr>
          <t xml:space="preserve">
</t>
        </r>
        <r>
          <rPr>
            <sz val="14"/>
            <color rgb="FF000000"/>
            <rFont val="Times New Roman"/>
            <family val="18"/>
          </rPr>
          <t xml:space="preserve">30/06/1803 </t>
        </r>
        <r>
          <rPr>
            <i/>
            <sz val="14"/>
            <color rgb="FF000000"/>
            <rFont val="Times New Roman"/>
            <family val="18"/>
          </rPr>
          <t>Als ein auf die Dauer des Krieges Gestellte Inländer Capitulanten mit Abschied entlassen</t>
        </r>
        <r>
          <rPr>
            <sz val="14"/>
            <color rgb="FF000000"/>
            <rFont val="Times New Roman"/>
            <family val="18"/>
          </rPr>
          <t xml:space="preserve"> [ML 1803]</t>
        </r>
        <r>
          <rPr>
            <sz val="14"/>
            <color rgb="FF000000"/>
            <rFont val="Calibri"/>
            <family val="2"/>
          </rPr>
          <t xml:space="preserve"> </t>
        </r>
      </text>
    </comment>
    <comment ref="BG410" authorId="0" shapeId="0" xr:uid="{198D1A85-2F77-E946-AD37-D60AE419A5CC}">
      <text>
        <r>
          <rPr>
            <sz val="14"/>
            <color rgb="FF000000"/>
            <rFont val="Times New Roman"/>
            <family val="18"/>
          </rPr>
          <t>ML 10.124 IR 23 (1802) – Haupt August Komp. Nr. 96 (Krems 09/09/1802)</t>
        </r>
        <r>
          <rPr>
            <sz val="14"/>
            <color rgb="FF000000"/>
            <rFont val="Calibri"/>
            <family val="34"/>
          </rPr>
          <t xml:space="preserve">
</t>
        </r>
        <r>
          <rPr>
            <sz val="14"/>
            <color rgb="FF000000"/>
            <rFont val="Times New Roman"/>
            <family val="18"/>
          </rPr>
          <t>ML 10.125 IR 23 (1803) – Haupt Strack Komp. Abgang (Execierlager bei St Pölten 07/09/1803)</t>
        </r>
      </text>
    </comment>
    <comment ref="BH410" authorId="0" shapeId="0" xr:uid="{B95145C3-3F0C-6741-88C2-608071086694}">
      <text>
        <r>
          <rPr>
            <sz val="14"/>
            <color rgb="FF000000"/>
            <rFont val="Calibri"/>
            <family val="34"/>
          </rPr>
          <t>IR 23 (1797-1803)</t>
        </r>
      </text>
    </comment>
    <comment ref="BF411" authorId="0" shapeId="0" xr:uid="{5C4305E0-8B64-9440-B270-BBBB297AEA6D}">
      <text>
        <r>
          <rPr>
            <sz val="14"/>
            <color rgb="FF000000"/>
            <rFont val="Times New Roman"/>
            <family val="18"/>
          </rPr>
          <t xml:space="preserve">21/06/1797 </t>
        </r>
        <r>
          <rPr>
            <i/>
            <sz val="14"/>
            <color rgb="FF000000"/>
            <rFont val="Times New Roman"/>
            <family val="18"/>
          </rPr>
          <t xml:space="preserve">A 3Fl Handgeld zu Zaukiev in Galizien aus Kriegsdauer gestellt </t>
        </r>
        <r>
          <rPr>
            <sz val="14"/>
            <color rgb="FF000000"/>
            <rFont val="Times New Roman"/>
            <family val="18"/>
          </rPr>
          <t>[ML 1803 &amp; ST Nov 1804]</t>
        </r>
        <r>
          <rPr>
            <sz val="14"/>
            <color rgb="FF000000"/>
            <rFont val="Calibri"/>
            <family val="34"/>
          </rPr>
          <t xml:space="preserve">
</t>
        </r>
        <r>
          <rPr>
            <sz val="14"/>
            <color rgb="FF000000"/>
            <rFont val="Times New Roman"/>
            <family val="18"/>
          </rPr>
          <t>12/09/1803 Muster: IR 4 Haupt Görger Komp. Nr. 45</t>
        </r>
        <r>
          <rPr>
            <sz val="14"/>
            <color rgb="FF000000"/>
            <rFont val="Calibri"/>
            <family val="34"/>
          </rPr>
          <t xml:space="preserve">
</t>
        </r>
        <r>
          <rPr>
            <sz val="14"/>
            <color rgb="FF000000"/>
            <rFont val="Times New Roman"/>
            <family val="18"/>
          </rPr>
          <t xml:space="preserve">14/11/1804 </t>
        </r>
        <r>
          <rPr>
            <i/>
            <sz val="14"/>
            <color rgb="FF000000"/>
            <rFont val="Times New Roman"/>
            <family val="18"/>
          </rPr>
          <t>Auf die Verordnung von 5. huj. als ein auf Kriegsdauer gestellte Capitulant ohneentgeldlich von bestimmtem Urlaub mit Abschied entlassen</t>
        </r>
        <r>
          <rPr>
            <sz val="14"/>
            <color rgb="FF000000"/>
            <rFont val="Times New Roman"/>
            <family val="18"/>
          </rPr>
          <t xml:space="preserve"> [ML 1806 &amp; ST Nov 1804]</t>
        </r>
        <r>
          <rPr>
            <sz val="14"/>
            <color rgb="FF000000"/>
            <rFont val="Calibri"/>
            <family val="34"/>
          </rPr>
          <t xml:space="preserve">
</t>
        </r>
      </text>
    </comment>
    <comment ref="BG411" authorId="0" shapeId="0" xr:uid="{46EF5AE9-4AAF-C64D-BB66-5B0088BB0569}">
      <text>
        <r>
          <rPr>
            <sz val="14"/>
            <color rgb="FF000000"/>
            <rFont val="Times New Roman"/>
            <family val="18"/>
          </rPr>
          <t>ML 348 IR 4 (1803) – Görger Komp. Nr. 45 (Wiener Neustadt 12/09/1803)</t>
        </r>
        <r>
          <rPr>
            <sz val="14"/>
            <color rgb="FF000000"/>
            <rFont val="Calibri"/>
            <family val="34"/>
          </rPr>
          <t xml:space="preserve">
</t>
        </r>
        <r>
          <rPr>
            <sz val="14"/>
            <color rgb="FF000000"/>
            <rFont val="Times New Roman"/>
            <family val="18"/>
          </rPr>
          <t>ML 349/50 IR 4 (1806) – 14. Fus. Komp. Abgang (Wiener Neustadt 31/12/1806)</t>
        </r>
        <r>
          <rPr>
            <sz val="14"/>
            <color rgb="FF000000"/>
            <rFont val="Calibri"/>
            <family val="34"/>
          </rPr>
          <t xml:space="preserve">
</t>
        </r>
        <r>
          <rPr>
            <sz val="14"/>
            <color rgb="FF000000"/>
            <rFont val="Times New Roman"/>
            <family val="18"/>
          </rPr>
          <t>ML 383 IR 4 (1804) – ST Nov (Vienna 15/12/1804)</t>
        </r>
        <r>
          <rPr>
            <sz val="14"/>
            <color rgb="FF000000"/>
            <rFont val="Calibri"/>
            <family val="34"/>
          </rPr>
          <t xml:space="preserve">
</t>
        </r>
      </text>
    </comment>
    <comment ref="BH411" authorId="0" shapeId="0" xr:uid="{77D17CEC-B2F9-2941-8B1E-9C89EE236D04}">
      <text>
        <r>
          <rPr>
            <sz val="14"/>
            <color rgb="FF000000"/>
            <rFont val="Calibri"/>
            <family val="34"/>
          </rPr>
          <t xml:space="preserve">IR 4 (1797-1804)
</t>
        </r>
      </text>
    </comment>
    <comment ref="BF412" authorId="0" shapeId="0" xr:uid="{59075F2F-6684-694A-B595-05D70F3A259F}">
      <text>
        <r>
          <rPr>
            <sz val="14"/>
            <color rgb="FF000000"/>
            <rFont val="Times New Roman"/>
            <family val="18"/>
          </rPr>
          <t xml:space="preserve">23/06/1797 </t>
        </r>
        <r>
          <rPr>
            <i/>
            <sz val="14"/>
            <color rgb="FF000000"/>
            <rFont val="Times New Roman"/>
            <family val="18"/>
          </rPr>
          <t xml:space="preserve">A 3Fl Handgeld zu Zaukiev in Galizien aud Dauer des Krieges gestellt </t>
        </r>
        <r>
          <rPr>
            <sz val="14"/>
            <color rgb="FF000000"/>
            <rFont val="Times New Roman"/>
            <family val="18"/>
          </rPr>
          <t>[ML 1803 &amp; ST Jan 1804]</t>
        </r>
        <r>
          <rPr>
            <sz val="14"/>
            <color rgb="FF000000"/>
            <rFont val="Aptos"/>
            <family val="34"/>
          </rPr>
          <t xml:space="preserve">
</t>
        </r>
        <r>
          <rPr>
            <sz val="14"/>
            <color rgb="FF000000"/>
            <rFont val="Times New Roman"/>
            <family val="18"/>
          </rPr>
          <t xml:space="preserve">11/03/1800 </t>
        </r>
        <r>
          <rPr>
            <i/>
            <sz val="14"/>
            <color rgb="FF000000"/>
            <rFont val="Times New Roman"/>
            <family val="18"/>
          </rPr>
          <t>Zum Gefreyter avanciert</t>
        </r>
        <r>
          <rPr>
            <sz val="14"/>
            <color rgb="FF000000"/>
            <rFont val="Times New Roman"/>
            <family val="18"/>
          </rPr>
          <t xml:space="preserve"> [ML 1803]</t>
        </r>
        <r>
          <rPr>
            <sz val="14"/>
            <color rgb="FF000000"/>
            <rFont val="Aptos"/>
            <family val="34"/>
          </rPr>
          <t xml:space="preserve">
</t>
        </r>
        <r>
          <rPr>
            <sz val="14"/>
            <color rgb="FF000000"/>
            <rFont val="Times New Roman"/>
            <family val="18"/>
          </rPr>
          <t xml:space="preserve">16/10/1802 </t>
        </r>
        <r>
          <rPr>
            <i/>
            <sz val="14"/>
            <color rgb="FF000000"/>
            <rFont val="Times New Roman"/>
            <family val="18"/>
          </rPr>
          <t>Zum Gemeiner Freiwillig degradiert</t>
        </r>
        <r>
          <rPr>
            <sz val="14"/>
            <color rgb="FF000000"/>
            <rFont val="Times New Roman"/>
            <family val="18"/>
          </rPr>
          <t xml:space="preserve"> [ML 1803]</t>
        </r>
        <r>
          <rPr>
            <sz val="14"/>
            <color rgb="FF000000"/>
            <rFont val="Aptos"/>
            <family val="34"/>
          </rPr>
          <t xml:space="preserve">
</t>
        </r>
        <r>
          <rPr>
            <sz val="14"/>
            <color rgb="FF000000"/>
            <rFont val="Times New Roman"/>
            <family val="18"/>
          </rPr>
          <t>12/09/1803 Muster: IR 4 Haupt Görger Komp. Nr. 140 [</t>
        </r>
        <r>
          <rPr>
            <i/>
            <sz val="14"/>
            <color rgb="FF000000"/>
            <rFont val="Times New Roman"/>
            <family val="18"/>
          </rPr>
          <t>Beurlaubt in Rawa zu Gallizien</t>
        </r>
        <r>
          <rPr>
            <sz val="14"/>
            <color rgb="FF000000"/>
            <rFont val="Times New Roman"/>
            <family val="18"/>
          </rPr>
          <t>]</t>
        </r>
        <r>
          <rPr>
            <sz val="14"/>
            <color rgb="FF000000"/>
            <rFont val="Aptos"/>
            <family val="34"/>
          </rPr>
          <t xml:space="preserve">
</t>
        </r>
        <r>
          <rPr>
            <sz val="14"/>
            <color rgb="FF000000"/>
            <rFont val="Times New Roman"/>
            <family val="18"/>
          </rPr>
          <t xml:space="preserve">31/12/1803 </t>
        </r>
        <r>
          <rPr>
            <i/>
            <sz val="14"/>
            <color rgb="FF000000"/>
            <rFont val="Times New Roman"/>
            <family val="18"/>
          </rPr>
          <t>Als auf die Dauer des Kriegs gestellte Capitulant vermog Verordnung von 17. Xber 803 von unbestimmtem Urlaub mit Abschied entlassen</t>
        </r>
        <r>
          <rPr>
            <sz val="14"/>
            <color rgb="FF000000"/>
            <rFont val="Times New Roman"/>
            <family val="18"/>
          </rPr>
          <t xml:space="preserve"> [ST Jan 1804] 
</t>
        </r>
      </text>
    </comment>
    <comment ref="BG412" authorId="0" shapeId="0" xr:uid="{CA37EB03-350A-6448-9C89-E4C181FA2775}">
      <text>
        <r>
          <rPr>
            <sz val="14"/>
            <color rgb="FF000000"/>
            <rFont val="Times New Roman"/>
            <family val="18"/>
          </rPr>
          <t>ML 348 IR 4 (1803) – Görger Komp. Nr. 140 (Wiener Neustadt 12/09/1803)</t>
        </r>
        <r>
          <rPr>
            <sz val="14"/>
            <color rgb="FF000000"/>
            <rFont val="Aptos"/>
            <family val="34"/>
          </rPr>
          <t xml:space="preserve">
</t>
        </r>
        <r>
          <rPr>
            <sz val="14"/>
            <color rgb="FF000000"/>
            <rFont val="Times New Roman"/>
            <family val="18"/>
          </rPr>
          <t>ML 383 IR 4 (1804) – ST Jan (Vienna 15/02/1804)</t>
        </r>
        <r>
          <rPr>
            <sz val="14"/>
            <color rgb="FF000000"/>
            <rFont val="Aptos"/>
            <family val="34"/>
          </rPr>
          <t xml:space="preserve">
</t>
        </r>
      </text>
    </comment>
    <comment ref="BH412" authorId="0" shapeId="0" xr:uid="{84F410D1-98A6-5F43-A540-ACDC3D01E35D}">
      <text>
        <r>
          <rPr>
            <sz val="14"/>
            <color rgb="FF000000"/>
            <rFont val="Calibri"/>
            <family val="34"/>
          </rPr>
          <t xml:space="preserve">IR 4 (1797-1803)
</t>
        </r>
      </text>
    </comment>
    <comment ref="BF413" authorId="0" shapeId="0" xr:uid="{0819F88D-70D5-F64E-BA43-04B81639F11F}">
      <text>
        <r>
          <rPr>
            <sz val="14"/>
            <color rgb="FF000000"/>
            <rFont val="Times New Roman"/>
            <family val="18"/>
          </rPr>
          <t xml:space="preserve">24/06/1797 </t>
        </r>
        <r>
          <rPr>
            <i/>
            <sz val="14"/>
            <color rgb="FF000000"/>
            <rFont val="Times New Roman"/>
            <family val="18"/>
          </rPr>
          <t xml:space="preserve">Für Beständig zu Sambor assentiert </t>
        </r>
        <r>
          <rPr>
            <sz val="14"/>
            <color rgb="FF000000"/>
            <rFont val="Times New Roman"/>
            <family val="18"/>
          </rPr>
          <t>[TL Sept 1798]</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Kaunitz Inf Regiment Nr. 20 Haupt von Laaba Komp.</t>
        </r>
        <r>
          <rPr>
            <sz val="14"/>
            <color rgb="FF000000"/>
            <rFont val="Times New Roman"/>
            <family val="18"/>
          </rPr>
          <t xml:space="preserve"> </t>
        </r>
        <r>
          <rPr>
            <i/>
            <sz val="14"/>
            <color rgb="FF000000"/>
            <rFont val="Times New Roman"/>
            <family val="18"/>
          </rPr>
          <t>3. Komp. zum IR 30 Chavaux Komp. transferiert, seitdem auf anhero Marsch</t>
        </r>
        <r>
          <rPr>
            <sz val="14"/>
            <color rgb="FF000000"/>
            <rFont val="Times New Roman"/>
            <family val="18"/>
          </rPr>
          <t xml:space="preserve"> [TL Sept 1798 &amp; ST Aug 1798]</t>
        </r>
        <r>
          <rPr>
            <sz val="14"/>
            <color rgb="FF000000"/>
            <rFont val="Calibri"/>
            <family val="34"/>
          </rPr>
          <t xml:space="preserve">
</t>
        </r>
        <r>
          <rPr>
            <sz val="14"/>
            <color rgb="FF000000"/>
            <rFont val="Times New Roman"/>
            <family val="18"/>
          </rPr>
          <t xml:space="preserve">09/09/1798 </t>
        </r>
        <r>
          <rPr>
            <i/>
            <sz val="14"/>
            <color rgb="FF000000"/>
            <rFont val="Times New Roman"/>
            <family val="18"/>
          </rPr>
          <t>In Kompanie eingerückt</t>
        </r>
        <r>
          <rPr>
            <sz val="14"/>
            <color rgb="FF000000"/>
            <rFont val="Times New Roman"/>
            <family val="18"/>
          </rPr>
          <t xml:space="preserve"> [ST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text>
    </comment>
    <comment ref="BG413" authorId="0" shapeId="0" xr:uid="{AA072372-93B2-044F-A19A-C8FD93E867F5}">
      <text>
        <r>
          <rPr>
            <sz val="14"/>
            <color rgb="FF000000"/>
            <rFont val="Times New Roman"/>
            <family val="18"/>
          </rPr>
          <t>ML 2664 IR 30 (1798) – TL IR 20-&gt;IR 30 Nr. 75 (Neutitschein 20/09/1798); ST Aug (Lemberg 11/03/1803), ST Sept (Lemberg 03/04/1803), Dec (Theresienstadt 23/07/1799)</t>
        </r>
        <r>
          <rPr>
            <sz val="14"/>
            <color rgb="FF000000"/>
            <rFont val="Calibri"/>
            <family val="34"/>
          </rPr>
          <t xml:space="preserve">
</t>
        </r>
      </text>
    </comment>
    <comment ref="BH413" authorId="0" shapeId="0" xr:uid="{87835FB2-AD47-CF42-B38B-E5A00F3C8F00}">
      <text>
        <r>
          <rPr>
            <sz val="14"/>
            <color rgb="FF000000"/>
            <rFont val="Calibri"/>
            <family val="34"/>
          </rPr>
          <t xml:space="preserve">IR 20 (1797-1798)
</t>
        </r>
        <r>
          <rPr>
            <sz val="14"/>
            <color rgb="FF000000"/>
            <rFont val="Calibri"/>
            <family val="34"/>
          </rPr>
          <t>IR 30 (1798)</t>
        </r>
      </text>
    </comment>
    <comment ref="BI413" authorId="0" shapeId="0" xr:uid="{09DFD8E5-A07F-894E-A22E-8A74E8450690}">
      <text>
        <r>
          <rPr>
            <i/>
            <sz val="14"/>
            <color rgb="FF000000"/>
            <rFont val="Times New Roman"/>
            <family val="18"/>
          </rPr>
          <t>Gut</t>
        </r>
        <r>
          <rPr>
            <sz val="14"/>
            <color rgb="FF000000"/>
            <rFont val="Times New Roman"/>
            <family val="18"/>
          </rPr>
          <t xml:space="preserve"> [TL Sept 1798]</t>
        </r>
        <r>
          <rPr>
            <sz val="14"/>
            <color rgb="FF000000"/>
            <rFont val="Calibri"/>
            <family val="2"/>
            <scheme val="minor"/>
          </rPr>
          <t xml:space="preserve"> </t>
        </r>
      </text>
    </comment>
    <comment ref="BF414" authorId="0" shapeId="0" xr:uid="{20AEEF28-3D74-AA43-A575-815AF7451838}">
      <text>
        <r>
          <rPr>
            <sz val="14"/>
            <color rgb="FF000000"/>
            <rFont val="Times New Roman"/>
            <family val="18"/>
          </rPr>
          <t xml:space="preserve">28/06/1797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414" authorId="0" shapeId="0" xr:uid="{8FCC3084-ADEE-E943-836D-0DA8E7BAB045}">
      <text>
        <r>
          <rPr>
            <sz val="14"/>
            <color rgb="FF000000"/>
            <rFont val="Times New Roman"/>
            <family val="18"/>
          </rPr>
          <t>ML 69/70 IR 1 (1797) – AL Unnumbered (Zamosc 13/07/1797); TL IR 1 -&gt; IR 26 Nr. 64 (Olmütz 20/10/1797)</t>
        </r>
        <r>
          <rPr>
            <sz val="14"/>
            <color rgb="FF000000"/>
            <rFont val="Calibri"/>
            <family val="34"/>
          </rPr>
          <t xml:space="preserve">
</t>
        </r>
      </text>
    </comment>
    <comment ref="BH414" authorId="0" shapeId="0" xr:uid="{9831A2E9-D36E-954C-ACF9-786F31DED0A6}">
      <text>
        <r>
          <rPr>
            <sz val="14"/>
            <color rgb="FF000000"/>
            <rFont val="Calibri"/>
            <family val="34"/>
          </rPr>
          <t xml:space="preserve">IR 1 (1797)
</t>
        </r>
        <r>
          <rPr>
            <sz val="14"/>
            <color rgb="FF000000"/>
            <rFont val="Calibri"/>
            <family val="34"/>
          </rPr>
          <t>IR 26 (1797)</t>
        </r>
      </text>
    </comment>
    <comment ref="BF415" authorId="0" shapeId="0" xr:uid="{63B014E2-D3F5-8348-BE87-F4C3F835A97C}">
      <text>
        <r>
          <rPr>
            <sz val="14"/>
            <color rgb="FF000000"/>
            <rFont val="Times New Roman"/>
            <family val="18"/>
          </rPr>
          <t xml:space="preserve">28/06/1797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29/06/1798 </t>
        </r>
        <r>
          <rPr>
            <i/>
            <sz val="14"/>
            <color rgb="FF000000"/>
            <rFont val="Times New Roman"/>
            <family val="18"/>
          </rPr>
          <t>Als angehöriger von 1. Major Lamarine Komp. ex loco desertiert</t>
        </r>
        <r>
          <rPr>
            <sz val="14"/>
            <color rgb="FF000000"/>
            <rFont val="Times New Roman"/>
            <family val="18"/>
          </rPr>
          <t xml:space="preserve"> [ST June 1798]</t>
        </r>
      </text>
    </comment>
    <comment ref="BG415" authorId="0" shapeId="0" xr:uid="{2226D662-8647-AE40-BF6B-3B9E5440C0C9}">
      <text>
        <r>
          <rPr>
            <sz val="14"/>
            <color rgb="FF000000"/>
            <rFont val="Times New Roman"/>
            <family val="18"/>
          </rPr>
          <t>ML 69/70 IR 1 (1797) – AL Unnumbered (Zamosc 13/07/1797)</t>
        </r>
        <r>
          <rPr>
            <sz val="14"/>
            <color rgb="FF000000"/>
            <rFont val="Calibri"/>
            <family val="34"/>
          </rPr>
          <t xml:space="preserve">
</t>
        </r>
        <r>
          <rPr>
            <sz val="14"/>
            <color rgb="FF000000"/>
            <rFont val="Times New Roman"/>
            <family val="18"/>
          </rPr>
          <t>ML 71 IR 1 (1798) – ST June (Brünn 05/05/1802)</t>
        </r>
        <r>
          <rPr>
            <sz val="14"/>
            <color rgb="FF000000"/>
            <rFont val="Calibri"/>
            <family val="34"/>
          </rPr>
          <t xml:space="preserve">
</t>
        </r>
      </text>
    </comment>
    <comment ref="BH415" authorId="0" shapeId="0" xr:uid="{29DF865F-A920-DA48-AB7D-BF8B93918CA9}">
      <text>
        <r>
          <rPr>
            <sz val="14"/>
            <color rgb="FF000000"/>
            <rFont val="Calibri"/>
            <family val="34"/>
          </rPr>
          <t>IR 1 (1797-1798)</t>
        </r>
      </text>
    </comment>
    <comment ref="BF416" authorId="0" shapeId="0" xr:uid="{6E4F4DCA-BCC2-AF42-AD73-68AA1564EDAD}">
      <text>
        <r>
          <rPr>
            <sz val="14"/>
            <color rgb="FF000000"/>
            <rFont val="Times New Roman"/>
            <family val="18"/>
          </rPr>
          <t xml:space="preserve">29/06/1797 </t>
        </r>
        <r>
          <rPr>
            <i/>
            <sz val="14"/>
            <color rgb="FF000000"/>
            <rFont val="Times New Roman"/>
            <family val="18"/>
          </rPr>
          <t xml:space="preserve">A 3Fl auf die Dauer des Krieges assentiert </t>
        </r>
        <r>
          <rPr>
            <sz val="14"/>
            <color rgb="FF000000"/>
            <rFont val="Times New Roman"/>
            <family val="18"/>
          </rPr>
          <t>[TL July 1798]</t>
        </r>
        <r>
          <rPr>
            <sz val="14"/>
            <color rgb="FF000000"/>
            <rFont val="Calibri"/>
            <family val="34"/>
          </rPr>
          <t xml:space="preserve">
</t>
        </r>
        <r>
          <rPr>
            <sz val="14"/>
            <color rgb="FF000000"/>
            <rFont val="Times New Roman"/>
            <family val="18"/>
          </rPr>
          <t xml:space="preserve">06/07/1798 </t>
        </r>
        <r>
          <rPr>
            <i/>
            <sz val="14"/>
            <color rgb="FF000000"/>
            <rFont val="Times New Roman"/>
            <family val="18"/>
          </rPr>
          <t>Von Brechainville Inf</t>
        </r>
        <r>
          <rPr>
            <sz val="14"/>
            <color rgb="FF000000"/>
            <rFont val="Times New Roman"/>
            <family val="18"/>
          </rPr>
          <t xml:space="preserve"> </t>
        </r>
        <r>
          <rPr>
            <i/>
            <sz val="14"/>
            <color rgb="FF000000"/>
            <rFont val="Times New Roman"/>
            <family val="18"/>
          </rPr>
          <t xml:space="preserve">4. Bataillon </t>
        </r>
        <r>
          <rPr>
            <sz val="14"/>
            <color rgb="FF000000"/>
            <rFont val="Times New Roman"/>
            <family val="18"/>
          </rPr>
          <t xml:space="preserve">[IR 25] </t>
        </r>
        <r>
          <rPr>
            <i/>
            <sz val="14"/>
            <color rgb="FF000000"/>
            <rFont val="Times New Roman"/>
            <family val="18"/>
          </rPr>
          <t>Wanzura Komp. zum IR 30 Nicolle Komp. transferiert</t>
        </r>
        <r>
          <rPr>
            <sz val="14"/>
            <color rgb="FF000000"/>
            <rFont val="Times New Roman"/>
            <family val="18"/>
          </rPr>
          <t xml:space="preserve">. </t>
        </r>
        <r>
          <rPr>
            <i/>
            <sz val="14"/>
            <color rgb="FF000000"/>
            <rFont val="Times New Roman"/>
            <family val="18"/>
          </rPr>
          <t>Ist derzeit Krank in Garnisonsspital in Prag</t>
        </r>
        <r>
          <rPr>
            <sz val="14"/>
            <color rgb="FF000000"/>
            <rFont val="Times New Roman"/>
            <family val="18"/>
          </rPr>
          <t xml:space="preserve"> [TL June 1798 &amp; ST July 1798]</t>
        </r>
        <r>
          <rPr>
            <sz val="14"/>
            <color rgb="FF000000"/>
            <rFont val="Calibri"/>
            <family val="34"/>
          </rPr>
          <t xml:space="preserve">
</t>
        </r>
        <r>
          <rPr>
            <sz val="14"/>
            <color rgb="FF000000"/>
            <rFont val="Times New Roman"/>
            <family val="18"/>
          </rPr>
          <t xml:space="preserve">31/07/1798 </t>
        </r>
        <r>
          <rPr>
            <i/>
            <sz val="14"/>
            <color rgb="FF000000"/>
            <rFont val="Times New Roman"/>
            <family val="18"/>
          </rPr>
          <t>Gemäß hoher Superarbietrierung ddto Prag am 25. Juli 798 mit Laufpass als untaglich entlassen</t>
        </r>
        <r>
          <rPr>
            <sz val="14"/>
            <color rgb="FF000000"/>
            <rFont val="Times New Roman"/>
            <family val="18"/>
          </rPr>
          <t xml:space="preserve"> [ST Aug 1798] </t>
        </r>
      </text>
    </comment>
    <comment ref="BG416" authorId="0" shapeId="0" xr:uid="{F47E9636-3582-3C4B-8470-5ECBD1108A5E}">
      <text>
        <r>
          <rPr>
            <sz val="14"/>
            <color rgb="FF000000"/>
            <rFont val="Times New Roman"/>
            <family val="18"/>
          </rPr>
          <t>ML 2664 IR 30 (1798) – TL IR 25-&gt;IR 30 Nr. 3 (Prague 05/07/1798); ST July (Lemberg 13/03/1803), Aug (Lemberg 24/03/1803)</t>
        </r>
        <r>
          <rPr>
            <sz val="14"/>
            <color rgb="FF000000"/>
            <rFont val="Calibri"/>
            <family val="34"/>
          </rPr>
          <t xml:space="preserve">
</t>
        </r>
      </text>
    </comment>
    <comment ref="BH416" authorId="0" shapeId="0" xr:uid="{9ED72CB3-C552-0343-A1E0-0E189C361E21}">
      <text>
        <r>
          <rPr>
            <sz val="14"/>
            <color rgb="FF000000"/>
            <rFont val="Calibri"/>
            <family val="34"/>
          </rPr>
          <t xml:space="preserve">IR 25 (1797-1798)
</t>
        </r>
        <r>
          <rPr>
            <sz val="14"/>
            <color rgb="FF000000"/>
            <rFont val="Calibri"/>
            <family val="34"/>
          </rPr>
          <t>IR 30 (1798)</t>
        </r>
      </text>
    </comment>
    <comment ref="BI416" authorId="0" shapeId="0" xr:uid="{B8ACA831-CA71-6649-AB06-B1879FB49F4B}">
      <text>
        <r>
          <rPr>
            <i/>
            <sz val="14"/>
            <color rgb="FF000000"/>
            <rFont val="Times New Roman"/>
            <family val="18"/>
          </rPr>
          <t>Gut und nie Bestraft worden</t>
        </r>
        <r>
          <rPr>
            <sz val="14"/>
            <color rgb="FF000000"/>
            <rFont val="Times New Roman"/>
            <family val="18"/>
          </rPr>
          <t xml:space="preserve"> [TL July1798]</t>
        </r>
        <r>
          <rPr>
            <sz val="14"/>
            <color rgb="FF000000"/>
            <rFont val="Calibri"/>
            <family val="2"/>
          </rPr>
          <t xml:space="preserve"> 
</t>
        </r>
      </text>
    </comment>
    <comment ref="BJ416" authorId="0" shapeId="0" xr:uid="{E6D5178F-6413-6B4C-9C80-72ABF1C36E07}">
      <text>
        <r>
          <rPr>
            <i/>
            <sz val="14"/>
            <color rgb="FF000000"/>
            <rFont val="Times New Roman"/>
            <family val="18"/>
          </rPr>
          <t>Hat etwas verstopfte Dürste unter Kniebacken</t>
        </r>
        <r>
          <rPr>
            <sz val="14"/>
            <color rgb="FF000000"/>
            <rFont val="Times New Roman"/>
            <family val="18"/>
          </rPr>
          <t xml:space="preserve"> [TL July 1798] 
</t>
        </r>
      </text>
    </comment>
    <comment ref="BF417" authorId="0" shapeId="0" xr:uid="{BC187F97-D5A6-B445-910E-8BEA1C7169C5}">
      <text>
        <r>
          <rPr>
            <sz val="14"/>
            <color rgb="FF000000"/>
            <rFont val="Times New Roman"/>
            <family val="18"/>
          </rPr>
          <t xml:space="preserve">30/06/1797 </t>
        </r>
        <r>
          <rPr>
            <i/>
            <sz val="14"/>
            <color rgb="FF000000"/>
            <rFont val="Times New Roman"/>
            <family val="18"/>
          </rPr>
          <t>Zu Zolkiew gegen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von Eisenkolb Komp. Nr. 95</t>
        </r>
        <r>
          <rPr>
            <sz val="14"/>
            <color rgb="FF000000"/>
            <rFont val="Calibri"/>
            <family val="34"/>
          </rPr>
          <t xml:space="preserve">
</t>
        </r>
        <r>
          <rPr>
            <sz val="14"/>
            <color rgb="FF000000"/>
            <rFont val="Times New Roman"/>
            <family val="18"/>
          </rPr>
          <t>07/09/1803 Muster: IR 23 Haupt von Eisenkolb Komp. Nr. 86</t>
        </r>
        <r>
          <rPr>
            <sz val="14"/>
            <color rgb="FF000000"/>
            <rFont val="Calibri"/>
            <family val="34"/>
          </rPr>
          <t xml:space="preserve">
</t>
        </r>
        <r>
          <rPr>
            <sz val="14"/>
            <color rgb="FF000000"/>
            <rFont val="Times New Roman"/>
            <family val="18"/>
          </rPr>
          <t xml:space="preserve">30/06/1804 </t>
        </r>
        <r>
          <rPr>
            <i/>
            <sz val="14"/>
            <color rgb="FF000000"/>
            <rFont val="Times New Roman"/>
            <family val="18"/>
          </rPr>
          <t>Gegen Stellung Zwei Capitulierte Ausländer Rekruten Michael Kotz und Johann Ziegler mit Abschied entlassen</t>
        </r>
        <r>
          <rPr>
            <sz val="14"/>
            <color rgb="FF000000"/>
            <rFont val="Times New Roman"/>
            <family val="18"/>
          </rPr>
          <t xml:space="preserve"> [ML 1804]</t>
        </r>
        <r>
          <rPr>
            <sz val="14"/>
            <color rgb="FF000000"/>
            <rFont val="Calibri"/>
            <family val="2"/>
          </rPr>
          <t xml:space="preserve"> </t>
        </r>
      </text>
    </comment>
    <comment ref="BG417" authorId="0" shapeId="0" xr:uid="{056C0C13-59C9-B443-9338-B9D2E7342839}">
      <text>
        <r>
          <rPr>
            <sz val="14"/>
            <color rgb="FF000000"/>
            <rFont val="Times New Roman"/>
            <family val="18"/>
          </rPr>
          <t xml:space="preserve">ML 10.124 IR 23 (1802) – Haupt Eisenkolb Komp. Nr. 95 (Krems 09/09/1802)
</t>
        </r>
        <r>
          <rPr>
            <sz val="14"/>
            <color rgb="FF000000"/>
            <rFont val="Times New Roman"/>
            <family val="18"/>
          </rPr>
          <t xml:space="preserve">ML 10/125 IR 23 (1803) – Haupt Eisenkolb Komp. Nr. 86 (Execierlager bei St Pölten 07/09/1803)
</t>
        </r>
        <r>
          <rPr>
            <sz val="14"/>
            <color rgb="FF000000"/>
            <rFont val="Times New Roman"/>
            <family val="18"/>
          </rPr>
          <t xml:space="preserve">ML 10.126 IR 23 (1804) – Haupt Wetzelberg Komp. Nr. 94 (Krems 06/09/1803)
</t>
        </r>
      </text>
    </comment>
    <comment ref="BH417" authorId="0" shapeId="0" xr:uid="{CBE455C3-1688-C843-B458-738C127A22A1}">
      <text>
        <r>
          <rPr>
            <sz val="14"/>
            <color rgb="FF000000"/>
            <rFont val="Calibri"/>
            <family val="34"/>
          </rPr>
          <t>IR 23 (1797-1804)</t>
        </r>
      </text>
    </comment>
    <comment ref="BF418" authorId="0" shapeId="0" xr:uid="{0A3A4F86-4D93-314A-8584-9DAB7D484EAD}">
      <text>
        <r>
          <rPr>
            <sz val="14"/>
            <color rgb="FF000000"/>
            <rFont val="Times New Roman"/>
            <family val="18"/>
          </rPr>
          <t xml:space="preserve">30/06/1797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418" authorId="0" shapeId="0" xr:uid="{18C981D1-091A-904F-879A-DAA7BADDC74C}">
      <text>
        <r>
          <rPr>
            <sz val="14"/>
            <color rgb="FF000000"/>
            <rFont val="Times New Roman"/>
            <family val="18"/>
          </rPr>
          <t>ML 69/70 IR 1 (1797) – AL Unnumbered (Zamosc 13/07/1797); TL IR 1 -&gt; IR 26 Nr. 36 (Olmütz 20/10/1797)</t>
        </r>
        <r>
          <rPr>
            <sz val="14"/>
            <color rgb="FF000000"/>
            <rFont val="Calibri"/>
            <family val="34"/>
          </rPr>
          <t xml:space="preserve">
</t>
        </r>
      </text>
    </comment>
    <comment ref="BH418" authorId="0" shapeId="0" xr:uid="{4ED417B2-BBDC-DE4F-8DD5-BB3370360EA0}">
      <text>
        <r>
          <rPr>
            <sz val="14"/>
            <color rgb="FF000000"/>
            <rFont val="Calibri"/>
            <family val="34"/>
          </rPr>
          <t xml:space="preserve">IR 1 (1797)
</t>
        </r>
        <r>
          <rPr>
            <sz val="14"/>
            <color rgb="FF000000"/>
            <rFont val="Calibri"/>
            <family val="34"/>
          </rPr>
          <t>IR 26 (1797)</t>
        </r>
      </text>
    </comment>
    <comment ref="BF419" authorId="0" shapeId="0" xr:uid="{889E2E54-0D62-1044-A401-987233B7CCC5}">
      <text>
        <r>
          <rPr>
            <sz val="14"/>
            <color rgb="FF000000"/>
            <rFont val="Times New Roman"/>
            <family val="18"/>
          </rPr>
          <t xml:space="preserve">30/06/1797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419" authorId="0" shapeId="0" xr:uid="{11AA7997-7A35-854D-B71B-5BE692959041}">
      <text>
        <r>
          <rPr>
            <sz val="14"/>
            <color rgb="FF000000"/>
            <rFont val="Times New Roman"/>
            <family val="18"/>
          </rPr>
          <t xml:space="preserve">ML 69/70 IR 1 (1797) – AL Unnumbered (Zamosc 13/07/1797); TL IR 1 -&gt; IR 26 Nr. 66 </t>
        </r>
        <r>
          <rPr>
            <sz val="14"/>
            <color rgb="FF000000"/>
            <rFont val="Times New Roman"/>
            <family val="18"/>
          </rPr>
          <t>(Olmütz 20/10/1797)</t>
        </r>
        <r>
          <rPr>
            <sz val="14"/>
            <color rgb="FF000000"/>
            <rFont val="Calibri"/>
            <family val="34"/>
          </rPr>
          <t xml:space="preserve">
</t>
        </r>
      </text>
    </comment>
    <comment ref="BH419" authorId="0" shapeId="0" xr:uid="{E1818C1E-2BFA-9E4C-9FE0-7FD224B79BA5}">
      <text>
        <r>
          <rPr>
            <sz val="14"/>
            <color rgb="FF000000"/>
            <rFont val="Calibri"/>
            <family val="34"/>
          </rPr>
          <t xml:space="preserve">IR 1 (1797)
</t>
        </r>
        <r>
          <rPr>
            <sz val="14"/>
            <color rgb="FF000000"/>
            <rFont val="Calibri"/>
            <family val="34"/>
          </rPr>
          <t>IR 26 (1797)</t>
        </r>
      </text>
    </comment>
    <comment ref="T420" authorId="0" shapeId="0" xr:uid="{4E83A073-5725-774D-8267-736658371E25}">
      <text>
        <r>
          <rPr>
            <b/>
            <sz val="14"/>
            <color rgb="FF000000"/>
            <rFont val="Calibri"/>
            <family val="34"/>
          </rPr>
          <t xml:space="preserve">5.6.1 [174 cm] (1797 bis 1803)
</t>
        </r>
        <r>
          <rPr>
            <sz val="14"/>
            <color rgb="FF000000"/>
            <rFont val="Calibri"/>
            <family val="34"/>
          </rPr>
          <t>5.7 [176.41 cm] (1804)</t>
        </r>
      </text>
    </comment>
    <comment ref="BF420" authorId="0" shapeId="0" xr:uid="{56B636AB-F842-9B45-AF3E-11DDB6424A26}">
      <text>
        <r>
          <rPr>
            <sz val="14"/>
            <color rgb="FF000000"/>
            <rFont val="Times New Roman"/>
            <family val="18"/>
          </rPr>
          <t xml:space="preserve">01/07/1797 </t>
        </r>
        <r>
          <rPr>
            <i/>
            <sz val="14"/>
            <color rgb="FF000000"/>
            <rFont val="Times New Roman"/>
            <family val="18"/>
          </rPr>
          <t xml:space="preserve">Als Landständische Recrout a 3Fl gestellt in IR 3 ‘Reserve Division’ 3. Abtheilung auf Kriegsdauer gestellt </t>
        </r>
        <r>
          <rPr>
            <sz val="14"/>
            <color rgb="FF000000"/>
            <rFont val="Times New Roman"/>
            <family val="18"/>
          </rPr>
          <t>[AL July 1797 &amp; ML 1802]</t>
        </r>
        <r>
          <rPr>
            <sz val="14"/>
            <color rgb="FF000000"/>
            <rFont val="Calibri"/>
            <family val="34"/>
          </rPr>
          <t xml:space="preserve">
</t>
        </r>
        <r>
          <rPr>
            <sz val="14"/>
            <color rgb="FF000000"/>
            <rFont val="Times New Roman"/>
            <family val="18"/>
          </rPr>
          <t xml:space="preserve">05/05/1800 </t>
        </r>
        <r>
          <rPr>
            <i/>
            <sz val="14"/>
            <color rgb="FF000000"/>
            <rFont val="Times New Roman"/>
            <family val="18"/>
          </rPr>
          <t>In die feindliche Kriegsgefangenschaft geraten</t>
        </r>
        <r>
          <rPr>
            <sz val="14"/>
            <color rgb="FF000000"/>
            <rFont val="Times New Roman"/>
            <family val="18"/>
          </rPr>
          <t xml:space="preserve"> </t>
        </r>
        <r>
          <rPr>
            <b/>
            <sz val="14"/>
            <color rgb="FF000000"/>
            <rFont val="Times New Roman"/>
            <family val="18"/>
          </rPr>
          <t>[Schlacht von Messkirch]</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16/12/1800 </t>
        </r>
        <r>
          <rPr>
            <i/>
            <sz val="14"/>
            <color rgb="FF000000"/>
            <rFont val="Times New Roman"/>
            <family val="18"/>
          </rPr>
          <t>Sich selbst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Lieb Komp. Nr. 100</t>
        </r>
        <r>
          <rPr>
            <sz val="14"/>
            <color rgb="FF000000"/>
            <rFont val="Calibri"/>
            <family val="34"/>
          </rPr>
          <t xml:space="preserve">
</t>
        </r>
        <r>
          <rPr>
            <sz val="14"/>
            <color rgb="FF000000"/>
            <rFont val="Times New Roman"/>
            <family val="18"/>
          </rPr>
          <t>03/09/1803 Muster: IR 3 Leib Komp. Nr. 82</t>
        </r>
        <r>
          <rPr>
            <sz val="14"/>
            <color rgb="FF000000"/>
            <rFont val="Calibri"/>
            <family val="34"/>
          </rPr>
          <t xml:space="preserve">
</t>
        </r>
        <r>
          <rPr>
            <sz val="14"/>
            <color rgb="FF000000"/>
            <rFont val="Times New Roman"/>
            <family val="18"/>
          </rPr>
          <t>05/09/1804 Muster: IR 3 Lieb Komp. Nr. 65</t>
        </r>
        <r>
          <rPr>
            <sz val="14"/>
            <color rgb="FF000000"/>
            <rFont val="Calibri"/>
            <family val="34"/>
          </rPr>
          <t xml:space="preserve">
</t>
        </r>
        <r>
          <rPr>
            <sz val="14"/>
            <color rgb="FF000000"/>
            <rFont val="Times New Roman"/>
            <family val="18"/>
          </rPr>
          <t xml:space="preserve">15/06/1805 </t>
        </r>
        <r>
          <rPr>
            <i/>
            <sz val="14"/>
            <color rgb="FF000000"/>
            <rFont val="Times New Roman"/>
            <family val="18"/>
          </rPr>
          <t>Als Dauer des Krieges dienende Inländer vermog Verordnung von 28. Mai mit abschied entlassen</t>
        </r>
        <r>
          <rPr>
            <sz val="14"/>
            <color rgb="FF000000"/>
            <rFont val="Times New Roman"/>
            <family val="18"/>
          </rPr>
          <t xml:space="preserve"> [ST June 1805] </t>
        </r>
      </text>
    </comment>
    <comment ref="BG420" authorId="0" shapeId="0" xr:uid="{EA8081A6-5E73-0749-B584-629FDF128EC9}">
      <text>
        <r>
          <rPr>
            <sz val="14"/>
            <color rgb="FF000000"/>
            <rFont val="Times New Roman"/>
            <family val="18"/>
          </rPr>
          <t>ML 234-6 IR 3 (1802) – Lieb Komp. Nr. 100 (Vienna 15/09/1802)</t>
        </r>
        <r>
          <rPr>
            <sz val="14"/>
            <color rgb="FF000000"/>
            <rFont val="Calibri"/>
            <family val="34"/>
          </rPr>
          <t xml:space="preserve">
</t>
        </r>
        <r>
          <rPr>
            <sz val="14"/>
            <color rgb="FF000000"/>
            <rFont val="Times New Roman"/>
            <family val="18"/>
          </rPr>
          <t>ML 237/8 IR 3 (1803) – Lieb Komp. Nr. 82 (Vienna 03/09/1803)</t>
        </r>
        <r>
          <rPr>
            <sz val="14"/>
            <color rgb="FF000000"/>
            <rFont val="Calibri"/>
            <family val="34"/>
          </rPr>
          <t xml:space="preserve">
</t>
        </r>
        <r>
          <rPr>
            <sz val="14"/>
            <color rgb="FF000000"/>
            <rFont val="Times New Roman"/>
            <family val="18"/>
          </rPr>
          <t>ML 239 IR 3 (1804) – Lieb Komp. Nr. 65 (Vienna 05/09/1804)</t>
        </r>
        <r>
          <rPr>
            <sz val="14"/>
            <color rgb="FF000000"/>
            <rFont val="Calibri"/>
            <family val="34"/>
          </rPr>
          <t xml:space="preserve">
</t>
        </r>
        <r>
          <rPr>
            <sz val="14"/>
            <color rgb="FF000000"/>
            <rFont val="Times New Roman"/>
            <family val="18"/>
          </rPr>
          <t>ML 269 IR 3 (1797) AL/TL – AL Nr. 99 (Sanok 04/07/1797)</t>
        </r>
        <r>
          <rPr>
            <sz val="14"/>
            <color rgb="FF000000"/>
            <rFont val="Calibri"/>
            <family val="34"/>
          </rPr>
          <t xml:space="preserve">
</t>
        </r>
        <r>
          <rPr>
            <sz val="14"/>
            <color rgb="FF000000"/>
            <rFont val="Times New Roman"/>
            <family val="18"/>
          </rPr>
          <t>ML 282 IR 3 (1805) – ST June (20/06/1805)</t>
        </r>
      </text>
    </comment>
    <comment ref="BH420" authorId="0" shapeId="0" xr:uid="{1412E28C-4915-CB44-A7EF-3B680549699A}">
      <text>
        <r>
          <rPr>
            <sz val="14"/>
            <color rgb="FF000000"/>
            <rFont val="Calibri"/>
            <family val="34"/>
          </rPr>
          <t>IR 23 (1797-1805)</t>
        </r>
      </text>
    </comment>
    <comment ref="BF421" authorId="0" shapeId="0" xr:uid="{7491823E-CE55-AE46-9A84-B0322B9065A3}">
      <text>
        <r>
          <rPr>
            <sz val="14"/>
            <color rgb="FF000000"/>
            <rFont val="Times New Roman"/>
            <family val="18"/>
          </rPr>
          <t xml:space="preserve">03/07/1797 </t>
        </r>
        <r>
          <rPr>
            <i/>
            <sz val="14"/>
            <color rgb="FF000000"/>
            <rFont val="Times New Roman"/>
            <family val="18"/>
          </rPr>
          <t>Von Galizischen Standen gestellt und zu, Haupt Pasqually Comp assentiert; seitdem auf anhero Marsch mit Friedensgebühr</t>
        </r>
        <r>
          <rPr>
            <sz val="14"/>
            <color rgb="FF000000"/>
            <rFont val="Times New Roman"/>
            <family val="18"/>
          </rPr>
          <t xml:space="preserve"> [September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Haupt Pasqually Nr. 62]</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b/>
            <sz val="14"/>
            <color rgb="FF000000"/>
            <rFont val="Times New Roman"/>
            <family val="18"/>
          </rPr>
          <t xml:space="preserve"> </t>
        </r>
        <r>
          <rPr>
            <sz val="14"/>
            <color rgb="FF000000"/>
            <rFont val="Times New Roman"/>
            <family val="18"/>
          </rPr>
          <t>[ST Aug 1799]</t>
        </r>
        <r>
          <rPr>
            <sz val="14"/>
            <color rgb="FF000000"/>
            <rFont val="Calibri"/>
            <family val="34"/>
          </rPr>
          <t xml:space="preserve">
</t>
        </r>
        <r>
          <rPr>
            <sz val="14"/>
            <color rgb="FF000000"/>
            <rFont val="Times New Roman"/>
            <family val="18"/>
          </rPr>
          <t xml:space="preserve">30/09/1799 [Mindestens bis]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01/12 1799 </t>
        </r>
        <r>
          <rPr>
            <i/>
            <sz val="14"/>
            <color rgb="FF000000"/>
            <rFont val="Times New Roman"/>
            <family val="18"/>
          </rPr>
          <t>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Reconvalesciert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16/03/1800 </t>
        </r>
        <r>
          <rPr>
            <i/>
            <sz val="14"/>
            <color rgb="FF000000"/>
            <rFont val="Times New Roman"/>
            <family val="18"/>
          </rPr>
          <t>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25/03/1800 </t>
        </r>
        <r>
          <rPr>
            <i/>
            <sz val="14"/>
            <color rgb="FF000000"/>
            <rFont val="Times New Roman"/>
            <family val="18"/>
          </rPr>
          <t>Reconvalesciert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31/07/1801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August 1801]</t>
        </r>
        <r>
          <rPr>
            <sz val="14"/>
            <color rgb="FF000000"/>
            <rFont val="Calibri"/>
            <family val="34"/>
          </rPr>
          <t xml:space="preserve">
</t>
        </r>
      </text>
    </comment>
    <comment ref="BG421" authorId="0" shapeId="0" xr:uid="{1252A805-8951-A444-9828-AF47483A5702}">
      <text>
        <r>
          <rPr>
            <sz val="14"/>
            <color rgb="FF000000"/>
            <rFont val="Times New Roman"/>
            <family val="18"/>
          </rPr>
          <t>ML 10.271 IR 43 (1796-9) – RL Haupt Pasqually Nr. 62 (Udine 25/01/1799)</t>
        </r>
        <r>
          <rPr>
            <sz val="14"/>
            <color rgb="FF000000"/>
            <rFont val="Calibri"/>
            <family val="34"/>
          </rPr>
          <t xml:space="preserve">
</t>
        </r>
        <r>
          <rPr>
            <sz val="14"/>
            <color rgb="FF000000"/>
            <rFont val="Times New Roman"/>
            <family val="18"/>
          </rPr>
          <t>ML 10.305 IR 43 (1797) – ST Sept (02/09/1804) und Okt (31/05/1805)</t>
        </r>
        <r>
          <rPr>
            <sz val="14"/>
            <color rgb="FF000000"/>
            <rFont val="Calibri"/>
            <family val="34"/>
          </rPr>
          <t xml:space="preserve">
</t>
        </r>
        <r>
          <rPr>
            <sz val="14"/>
            <color rgb="FF000000"/>
            <rFont val="Times New Roman"/>
            <family val="18"/>
          </rPr>
          <t>ML 10.307 IR 43 (1799) – ST Aug (06/03/1800), Sept (21/07/1800), Dec (01/11/1800)</t>
        </r>
        <r>
          <rPr>
            <sz val="14"/>
            <color rgb="FF000000"/>
            <rFont val="Calibri"/>
            <family val="34"/>
          </rPr>
          <t xml:space="preserve">
</t>
        </r>
        <r>
          <rPr>
            <sz val="14"/>
            <color rgb="FF000000"/>
            <rFont val="Times New Roman"/>
            <family val="18"/>
          </rPr>
          <t>ML 10.309 IR 43 (1800) – ST Jan (26/02/1801), März (04/10/1801), April (24/01/1802), und Juni (27/08/1803)</t>
        </r>
        <r>
          <rPr>
            <sz val="14"/>
            <color rgb="FF000000"/>
            <rFont val="Calibri"/>
            <family val="34"/>
          </rPr>
          <t xml:space="preserve">
</t>
        </r>
        <r>
          <rPr>
            <sz val="14"/>
            <color rgb="FF000000"/>
            <rFont val="Times New Roman"/>
            <family val="18"/>
          </rPr>
          <t>ML 10.311 IR 43 (1801) – ST Aug (13/07/1805)</t>
        </r>
      </text>
    </comment>
    <comment ref="BH421" authorId="0" shapeId="0" xr:uid="{F842D502-2EA8-1C40-96F2-E31333625729}">
      <text>
        <r>
          <rPr>
            <sz val="14"/>
            <color rgb="FF000000"/>
            <rFont val="Calibri"/>
            <family val="34"/>
          </rPr>
          <t>IR 43 (1797-1801)</t>
        </r>
      </text>
    </comment>
    <comment ref="BF422" authorId="0" shapeId="0" xr:uid="{5FCBD852-551C-034A-8983-38A6095E9FB2}">
      <text>
        <r>
          <rPr>
            <sz val="14"/>
            <color rgb="FF000000"/>
            <rFont val="Times New Roman"/>
            <family val="18"/>
          </rPr>
          <t xml:space="preserve">04/07/1797 </t>
        </r>
        <r>
          <rPr>
            <i/>
            <sz val="14"/>
            <color rgb="FF000000"/>
            <rFont val="Times New Roman"/>
            <family val="18"/>
          </rPr>
          <t xml:space="preserve">Von Galizische Ständen gestellt und zu Tarnopol Assentiert ins 1. Major Comp. assentiert, seitdem auf anhero Marsch mit Friedensgebühr </t>
        </r>
        <r>
          <rPr>
            <sz val="14"/>
            <color rgb="FF000000"/>
            <rFont val="Times New Roman"/>
            <family val="18"/>
          </rPr>
          <t>[ST Sept 1797]</t>
        </r>
        <r>
          <rPr>
            <sz val="14"/>
            <color rgb="FF000000"/>
            <rFont val="Calibri"/>
            <family val="34"/>
          </rPr>
          <t xml:space="preserve">
</t>
        </r>
        <r>
          <rPr>
            <sz val="14"/>
            <color rgb="FF000000"/>
            <rFont val="Times New Roman"/>
            <family val="18"/>
          </rPr>
          <t>30/09/1797</t>
        </r>
        <r>
          <rPr>
            <i/>
            <sz val="14"/>
            <color rgb="FF000000"/>
            <rFont val="Times New Roman"/>
            <family val="18"/>
          </rPr>
          <t xml:space="preserve"> In Companie eingerückt </t>
        </r>
        <r>
          <rPr>
            <sz val="14"/>
            <color rgb="FF000000"/>
            <rFont val="Times New Roman"/>
            <family val="18"/>
          </rPr>
          <t>[ST Okt 1797]</t>
        </r>
        <r>
          <rPr>
            <sz val="14"/>
            <color rgb="FF000000"/>
            <rFont val="Calibri"/>
            <family val="34"/>
          </rPr>
          <t xml:space="preserve">
</t>
        </r>
        <r>
          <rPr>
            <sz val="14"/>
            <color rgb="FF000000"/>
            <rFont val="Times New Roman"/>
            <family val="18"/>
          </rPr>
          <t>25/01/1799 Revision: IR 43 1. Major Comp. Nr. 85</t>
        </r>
        <r>
          <rPr>
            <sz val="14"/>
            <color rgb="FF000000"/>
            <rFont val="Calibri"/>
            <family val="34"/>
          </rPr>
          <t xml:space="preserve">
</t>
        </r>
        <r>
          <rPr>
            <sz val="14"/>
            <color rgb="FF000000"/>
            <rFont val="Times New Roman"/>
            <family val="18"/>
          </rPr>
          <t xml:space="preserve">16/04/1799 </t>
        </r>
        <r>
          <rPr>
            <i/>
            <sz val="14"/>
            <color rgb="FF000000"/>
            <rFont val="Times New Roman"/>
            <family val="18"/>
          </rPr>
          <t>Krank auswärts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04/08/1799 </t>
        </r>
        <r>
          <rPr>
            <i/>
            <sz val="14"/>
            <color rgb="FF000000"/>
            <rFont val="Times New Roman"/>
            <family val="18"/>
          </rPr>
          <t>zu Udine Gestorben</t>
        </r>
        <r>
          <rPr>
            <sz val="14"/>
            <color rgb="FF000000"/>
            <rFont val="Times New Roman"/>
            <family val="18"/>
          </rPr>
          <t xml:space="preserve"> [ST Sept 1799]</t>
        </r>
        <r>
          <rPr>
            <sz val="14"/>
            <color rgb="FF000000"/>
            <rFont val="Calibri"/>
            <family val="34"/>
          </rPr>
          <t xml:space="preserve">
</t>
        </r>
      </text>
    </comment>
    <comment ref="BG422" authorId="0" shapeId="0" xr:uid="{BC713AC1-53A8-BF4D-89DC-F8867285F5F0}">
      <text>
        <r>
          <rPr>
            <sz val="14"/>
            <color rgb="FF000000"/>
            <rFont val="Times New Roman"/>
            <family val="18"/>
          </rPr>
          <t xml:space="preserve">ML 10.271 IR 43 (1796-9) – RL 1. Major Comp. Nr. 85 (Udine 25/01/1799)
</t>
        </r>
        <r>
          <rPr>
            <sz val="14"/>
            <color rgb="FF000000"/>
            <rFont val="Times New Roman"/>
            <family val="18"/>
          </rPr>
          <t xml:space="preserve">ML 10.305 IR 43 (1797) – ST Sept (02/09/1804), Oct (31/05/1805)
</t>
        </r>
        <r>
          <rPr>
            <sz val="14"/>
            <color rgb="FF000000"/>
            <rFont val="Times New Roman"/>
            <family val="18"/>
          </rPr>
          <t>ML 10.307 IR 43 (1799) – ST April (19/08/1799) und Sept (21/07/1800)</t>
        </r>
      </text>
    </comment>
    <comment ref="BH422" authorId="0" shapeId="0" xr:uid="{42B44576-DCA6-A44E-ABD4-D035734DCD39}">
      <text>
        <r>
          <rPr>
            <sz val="14"/>
            <color rgb="FF000000"/>
            <rFont val="Calibri"/>
            <family val="34"/>
          </rPr>
          <t>IR 43 (1797-1799)</t>
        </r>
      </text>
    </comment>
    <comment ref="I423" authorId="0" shapeId="0" xr:uid="{E85215B1-92DA-5849-805E-9F5C5EC1690F}">
      <text>
        <r>
          <rPr>
            <sz val="14"/>
            <color rgb="FF000000"/>
            <rFont val="Calibri"/>
            <family val="34"/>
          </rPr>
          <t xml:space="preserve">1777 [25 (1802)] 
</t>
        </r>
        <r>
          <rPr>
            <sz val="14"/>
            <color rgb="FF000000"/>
            <rFont val="Calibri"/>
            <family val="34"/>
          </rPr>
          <t xml:space="preserve">OR 
</t>
        </r>
        <r>
          <rPr>
            <b/>
            <sz val="14"/>
            <color rgb="FF000000"/>
            <rFont val="Calibri"/>
            <family val="34"/>
          </rPr>
          <t>1778 [19 (1797)]</t>
        </r>
      </text>
    </comment>
    <comment ref="T423" authorId="0" shapeId="0" xr:uid="{D4B99693-1DB4-194C-86DB-460D83B2AB25}">
      <text>
        <r>
          <rPr>
            <sz val="14"/>
            <color rgb="FF000000"/>
            <rFont val="Calibri"/>
            <family val="34"/>
          </rPr>
          <t xml:space="preserve">5.2.1 [163.5 cm] (1797)
</t>
        </r>
        <r>
          <rPr>
            <sz val="14"/>
            <color rgb="FF000000"/>
            <rFont val="Calibri"/>
            <family val="34"/>
          </rPr>
          <t xml:space="preserve">5.6 [173.8 cm] (1802)
</t>
        </r>
        <r>
          <rPr>
            <sz val="14"/>
            <color rgb="FF000000"/>
            <rFont val="Calibri"/>
            <family val="34"/>
          </rPr>
          <t>5.1.2 [161.1] (1803-5)</t>
        </r>
      </text>
    </comment>
    <comment ref="BF423" authorId="0" shapeId="0" xr:uid="{84D05AE6-0695-5C4A-85D5-BC3B6C1848A4}">
      <text>
        <r>
          <rPr>
            <sz val="14"/>
            <color rgb="FFFF0000"/>
            <rFont val="Times New Roman"/>
            <family val="18"/>
          </rPr>
          <t xml:space="preserve">01/03/1797 </t>
        </r>
        <r>
          <rPr>
            <i/>
            <sz val="14"/>
            <color rgb="FFFF0000"/>
            <rFont val="Times New Roman"/>
            <family val="18"/>
          </rPr>
          <t>Von Ständen a 3Fl auf die Dauer des Krieges gestellt</t>
        </r>
        <r>
          <rPr>
            <sz val="14"/>
            <color rgb="FFFF0000"/>
            <rFont val="Times New Roman"/>
            <family val="18"/>
          </rPr>
          <t xml:space="preserve"> [ML 1803-5]</t>
        </r>
        <r>
          <rPr>
            <sz val="14"/>
            <color rgb="FF000000"/>
            <rFont val="Times New Roman"/>
            <family val="18"/>
          </rPr>
          <t xml:space="preserve">
</t>
        </r>
        <r>
          <rPr>
            <sz val="14"/>
            <color rgb="FFFF0000"/>
            <rFont val="Times New Roman"/>
            <family val="18"/>
          </rPr>
          <t xml:space="preserve">01/07/1797 </t>
        </r>
        <r>
          <rPr>
            <i/>
            <sz val="14"/>
            <color rgb="FFFF0000"/>
            <rFont val="Times New Roman"/>
            <family val="18"/>
          </rPr>
          <t>Von Ständen a 3Fl auf die Dauer des Krieges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03/07/1797 </t>
        </r>
        <r>
          <rPr>
            <i/>
            <sz val="14"/>
            <color rgb="FF000000"/>
            <rFont val="Times New Roman"/>
            <family val="18"/>
          </rPr>
          <t>Als galizische landständische Recrout auf 3Fl und Versicherungsschein auf die Zeit des Krieges ins IR 54 ‚Callenberg‘ in Sanok assentiert, seitdem auf dem Aufmarsch von Galizien</t>
        </r>
        <r>
          <rPr>
            <sz val="14"/>
            <color rgb="FF000000"/>
            <rFont val="Times New Roman"/>
            <family val="18"/>
          </rPr>
          <t xml:space="preserve"> [IR 54 AL 1797]
</t>
        </r>
        <r>
          <rPr>
            <sz val="14"/>
            <color rgb="FF000000"/>
            <rFont val="Times New Roman"/>
            <family val="18"/>
          </rPr>
          <t xml:space="preserve">24/08/1797 </t>
        </r>
        <r>
          <rPr>
            <i/>
            <sz val="14"/>
            <color rgb="FF000000"/>
            <rFont val="Times New Roman"/>
            <family val="18"/>
          </rPr>
          <t>in IR 54 4. Bataillon in Prag eingerückt und zum 4. Companie zugeteilt</t>
        </r>
        <r>
          <rPr>
            <sz val="14"/>
            <color rgb="FF000000"/>
            <rFont val="Times New Roman"/>
            <family val="18"/>
          </rPr>
          <t xml:space="preserve"> [IR 54 ST Aug 1797]
</t>
        </r>
        <r>
          <rPr>
            <sz val="14"/>
            <color rgb="FF000000"/>
            <rFont val="Times New Roman"/>
            <family val="18"/>
          </rPr>
          <t xml:space="preserve">21/10/1797 </t>
        </r>
        <r>
          <rPr>
            <i/>
            <sz val="14"/>
            <color rgb="FF000000"/>
            <rFont val="Times New Roman"/>
            <family val="18"/>
          </rPr>
          <t>Von IR 54 4. Bataillon 4. Companie zum Thurn Infantrie Regiment IR 43 transferiert</t>
        </r>
        <r>
          <rPr>
            <sz val="14"/>
            <color rgb="FF000000"/>
            <rFont val="Times New Roman"/>
            <family val="18"/>
          </rPr>
          <t xml:space="preserve"> [IR 54 ST Okt 1797]
</t>
        </r>
        <r>
          <rPr>
            <sz val="14"/>
            <color rgb="FF000000"/>
            <rFont val="Times New Roman"/>
            <family val="18"/>
          </rPr>
          <t xml:space="preserve">26/01/1799 Revision: IR 43 Haupt Pasqually Nr. 111 
</t>
        </r>
        <r>
          <rPr>
            <sz val="14"/>
            <color rgb="FF000000"/>
            <rFont val="Times New Roman"/>
            <family val="18"/>
          </rPr>
          <t xml:space="preserve">28/08/1802 Muster: IR 43 Haupt Pasqually Nr. 48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 1803]
</t>
        </r>
        <r>
          <rPr>
            <sz val="14"/>
            <color rgb="FF000000"/>
            <rFont val="Times New Roman"/>
            <family val="18"/>
          </rPr>
          <t>03/11/1803 Muster: IR 43 Haupt Pasqually Nr. 46 [</t>
        </r>
        <r>
          <rPr>
            <i/>
            <sz val="14"/>
            <color rgb="FF000000"/>
            <rFont val="Times New Roman"/>
            <family val="18"/>
          </rPr>
          <t>Auf Urlaub bis zur Einberufung in seinem Geburtsort</t>
        </r>
        <r>
          <rPr>
            <sz val="14"/>
            <color rgb="FF000000"/>
            <rFont val="Times New Roman"/>
            <family val="18"/>
          </rPr>
          <t xml:space="preserve">]
</t>
        </r>
        <r>
          <rPr>
            <sz val="14"/>
            <color rgb="FF000000"/>
            <rFont val="Times New Roman"/>
            <family val="18"/>
          </rPr>
          <t>05/10/1804 Muster: IR 43 Haupt Pasqually Nr. 43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10/11/1805 Muster: IR 43 15. Fus. Komp. Nr. 43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[ST Okt 1806 &amp; ML 1806]
</t>
        </r>
      </text>
    </comment>
    <comment ref="BG423" authorId="0" shapeId="0" xr:uid="{09565B92-ED1F-3947-96B7-F37F90FFC3B5}">
      <text>
        <r>
          <rPr>
            <sz val="14"/>
            <color rgb="FF000000"/>
            <rFont val="Times New Roman"/>
            <family val="18"/>
          </rPr>
          <t xml:space="preserve">ML 4659 IR 54 (1797) – AL Nr. 77 (Sanok 07/08/1797), ST Juli – Zuwachs &amp; Eingerückt (Prag 01/10/1797), ST Oct – Abgang (Prag 10/12/1797)
</t>
        </r>
        <r>
          <rPr>
            <sz val="14"/>
            <color rgb="FF000000"/>
            <rFont val="Times New Roman"/>
            <family val="18"/>
          </rPr>
          <t xml:space="preserve">ML 10.271 IR 43 (1799) – Haupt Pasqually Nr. 111 (Cividale 26/01/1799)
</t>
        </r>
        <r>
          <rPr>
            <sz val="14"/>
            <color rgb="FF000000"/>
            <rFont val="Times New Roman"/>
            <family val="18"/>
          </rPr>
          <t xml:space="preserve">ML 10.272 IR 43 (1802) –Haupt Pasqually Nr. 48 (Cattaro 28/08/1802)
</t>
        </r>
        <r>
          <rPr>
            <sz val="14"/>
            <color rgb="FF000000"/>
            <rFont val="Times New Roman"/>
            <family val="18"/>
          </rPr>
          <t xml:space="preserve">ML 10.273 IR 43 (1803) –Haupt Pasqually Nr. 46 (Cattaro 02/11/1803)
</t>
        </r>
        <r>
          <rPr>
            <sz val="14"/>
            <color rgb="FF000000"/>
            <rFont val="Times New Roman"/>
            <family val="18"/>
          </rPr>
          <t xml:space="preserve">ML 10.274 IR 43 (1804) –Haupt Pasqually Comp. Nr. 43 (Theodo 05/10/1804)
</t>
        </r>
        <r>
          <rPr>
            <sz val="14"/>
            <color rgb="FF000000"/>
            <rFont val="Times New Roman"/>
            <family val="18"/>
          </rPr>
          <t xml:space="preserve">ML 10.275/6 IR 43 (1805) –15. Fus Komp. Nr. 43 (Macarsca (10/11/1805)
</t>
        </r>
        <r>
          <rPr>
            <sz val="14"/>
            <color rgb="FF000000"/>
            <rFont val="Times New Roman"/>
            <family val="18"/>
          </rPr>
          <t>ML 10/277/8 IR 43 (1806) –9. Fus Komp. – Abgang (Neustadt 05/12/1806)</t>
        </r>
      </text>
    </comment>
    <comment ref="BH423" authorId="0" shapeId="0" xr:uid="{DC009956-8EC3-484D-901A-F101D156A8E2}">
      <text>
        <r>
          <rPr>
            <sz val="14"/>
            <color rgb="FF000000"/>
            <rFont val="Calibri"/>
            <family val="34"/>
          </rPr>
          <t xml:space="preserve">IR 54 (1797)
</t>
        </r>
        <r>
          <rPr>
            <sz val="14"/>
            <color rgb="FF000000"/>
            <rFont val="Calibri"/>
            <family val="34"/>
          </rPr>
          <t>IR 43 (1797-1806)</t>
        </r>
      </text>
    </comment>
    <comment ref="BF424" authorId="0" shapeId="0" xr:uid="{DDAE9B54-C33B-2C47-9E17-FAA1C6F648BF}">
      <text>
        <r>
          <rPr>
            <sz val="14"/>
            <color rgb="FF000000"/>
            <rFont val="Times New Roman"/>
            <family val="18"/>
          </rPr>
          <t xml:space="preserve">04/07/1797 </t>
        </r>
        <r>
          <rPr>
            <i/>
            <sz val="14"/>
            <color rgb="FF000000"/>
            <rFont val="Times New Roman"/>
            <family val="18"/>
          </rPr>
          <t>von Galizische Standen gestellt und zu Tarnopol ins 1. Major Comp assentiert, seitdem auf anehero Marsch mit fiedens Gebuhr</t>
        </r>
        <r>
          <rPr>
            <sz val="14"/>
            <color rgb="FF000000"/>
            <rFont val="Times New Roman"/>
            <family val="18"/>
          </rPr>
          <t xml:space="preserve"> [ST Sept 1797] </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25/01/1799 Revision: 1. Major Comp Nr. 83 </t>
        </r>
        <r>
          <rPr>
            <sz val="14"/>
            <color rgb="FF000000"/>
            <rFont val="Calibri"/>
            <family val="34"/>
          </rPr>
          <t xml:space="preserve">
</t>
        </r>
        <r>
          <rPr>
            <sz val="14"/>
            <color rgb="FF000000"/>
            <rFont val="Times New Roman"/>
            <family val="18"/>
          </rPr>
          <t xml:space="preserve">05/04/1799 </t>
        </r>
        <r>
          <rPr>
            <i/>
            <sz val="14"/>
            <color rgb="FF000000"/>
            <rFont val="Times New Roman"/>
            <family val="18"/>
          </rPr>
          <t xml:space="preserve">bei der affaire zu Verona </t>
        </r>
        <r>
          <rPr>
            <b/>
            <sz val="14"/>
            <color rgb="FF000000"/>
            <rFont val="Times New Roman"/>
            <family val="18"/>
          </rPr>
          <t xml:space="preserve">[Battle of Magnano] </t>
        </r>
        <r>
          <rPr>
            <i/>
            <sz val="14"/>
            <color rgb="FF000000"/>
            <rFont val="Times New Roman"/>
            <family val="18"/>
          </rPr>
          <t>vorn Feind geblieben</t>
        </r>
        <r>
          <rPr>
            <sz val="14"/>
            <color rgb="FF000000"/>
            <rFont val="Times New Roman"/>
            <family val="18"/>
          </rPr>
          <t xml:space="preserve"> [ST April 1799]</t>
        </r>
        <r>
          <rPr>
            <sz val="14"/>
            <color rgb="FF000000"/>
            <rFont val="Calibri"/>
            <family val="34"/>
          </rPr>
          <t xml:space="preserve">
</t>
        </r>
      </text>
    </comment>
    <comment ref="BG424" authorId="0" shapeId="0" xr:uid="{9CDD671E-5971-E74B-8851-294814A8923D}">
      <text>
        <r>
          <rPr>
            <sz val="14"/>
            <color rgb="FF000000"/>
            <rFont val="Times New Roman"/>
            <family val="18"/>
          </rPr>
          <t>ML 10.271 IR 43 (1796-9) – RL 1. Major Comp. Nr. 83 (Udine 25/01/1799)</t>
        </r>
        <r>
          <rPr>
            <sz val="14"/>
            <color rgb="FF000000"/>
            <rFont val="Calibri"/>
            <family val="34"/>
          </rPr>
          <t xml:space="preserve">
</t>
        </r>
        <r>
          <rPr>
            <sz val="14"/>
            <color rgb="FF000000"/>
            <rFont val="Times New Roman"/>
            <family val="18"/>
          </rPr>
          <t>ML 10.305 IR 43 (1797) – ST Sept (02/09/1804), Oct (31/05/1805)</t>
        </r>
        <r>
          <rPr>
            <sz val="14"/>
            <color rgb="FF000000"/>
            <rFont val="Calibri"/>
            <family val="34"/>
          </rPr>
          <t xml:space="preserve">
</t>
        </r>
        <r>
          <rPr>
            <sz val="14"/>
            <color rgb="FF000000"/>
            <rFont val="Times New Roman"/>
            <family val="18"/>
          </rPr>
          <t>ML 10.307 IR 43 (1799) – ST April (19/08/1799)</t>
        </r>
      </text>
    </comment>
    <comment ref="BH424" authorId="0" shapeId="0" xr:uid="{25D879C9-7DE9-514B-831F-13B21E0DB521}">
      <text>
        <r>
          <rPr>
            <sz val="14"/>
            <color rgb="FF000000"/>
            <rFont val="Calibri"/>
            <family val="34"/>
          </rPr>
          <t>IR 43 (1797-1799)</t>
        </r>
      </text>
    </comment>
    <comment ref="BF425" authorId="0" shapeId="0" xr:uid="{0FFEDEFE-04F3-D249-BA61-B59C5C8BE37F}">
      <text>
        <r>
          <rPr>
            <sz val="14"/>
            <color rgb="FF000000"/>
            <rFont val="Times New Roman"/>
            <family val="18"/>
          </rPr>
          <t xml:space="preserve">03/07/1797 </t>
        </r>
        <r>
          <rPr>
            <i/>
            <sz val="14"/>
            <color rgb="FF000000"/>
            <rFont val="Times New Roman"/>
            <family val="18"/>
          </rPr>
          <t>Von galizischen Ständen gestellt und zu, Haupt Pasqually Comp assentiert; seitdem auf anhero Marsch mit Friedensgebühr</t>
        </r>
        <r>
          <rPr>
            <sz val="14"/>
            <color rgb="FF000000"/>
            <rFont val="Times New Roman"/>
            <family val="18"/>
          </rPr>
          <t xml:space="preserve"> [September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17/10/1797 [Seit] </t>
        </r>
        <r>
          <rPr>
            <i/>
            <sz val="14"/>
            <color rgb="FF000000"/>
            <rFont val="Times New Roman"/>
            <family val="18"/>
          </rPr>
          <t>Krank in loco Spital</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26/01/1799 Revision: IR 43 Haupt Pasqually Nr. 61</t>
        </r>
        <r>
          <rPr>
            <sz val="14"/>
            <color rgb="FF000000"/>
            <rFont val="Calibri"/>
            <family val="34"/>
          </rPr>
          <t xml:space="preserve">
</t>
        </r>
        <r>
          <rPr>
            <sz val="14"/>
            <color rgb="FF000000"/>
            <rFont val="Times New Roman"/>
            <family val="18"/>
          </rPr>
          <t xml:space="preserve">01/06/1799 </t>
        </r>
        <r>
          <rPr>
            <i/>
            <sz val="14"/>
            <color rgb="FF000000"/>
            <rFont val="Times New Roman"/>
            <family val="18"/>
          </rPr>
          <t>Krank 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15/04/1800 </t>
        </r>
        <r>
          <rPr>
            <i/>
            <sz val="14"/>
            <color rgb="FF000000"/>
            <rFont val="Times New Roman"/>
            <family val="18"/>
          </rPr>
          <t>In Haupt Pasqually Komp.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01/03/1801 </t>
        </r>
        <r>
          <rPr>
            <i/>
            <sz val="14"/>
            <color rgb="FF000000"/>
            <rFont val="Times New Roman"/>
            <family val="18"/>
          </rPr>
          <t>In die Reserve Division mit Friedensgebühr und ½Xr Fleischbeitrag zugetheilt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15/05/1801 </t>
        </r>
        <r>
          <rPr>
            <i/>
            <sz val="14"/>
            <color rgb="FF000000"/>
            <rFont val="Times New Roman"/>
            <family val="18"/>
          </rPr>
          <t>In Haupt Pasqually Comp. Zurück</t>
        </r>
        <r>
          <rPr>
            <sz val="14"/>
            <color rgb="FF000000"/>
            <rFont val="Times New Roman"/>
            <family val="18"/>
          </rPr>
          <t xml:space="preserve"> [ST May 1801]</t>
        </r>
        <r>
          <rPr>
            <sz val="14"/>
            <color rgb="FF000000"/>
            <rFont val="Calibri"/>
            <family val="34"/>
          </rPr>
          <t xml:space="preserve">
</t>
        </r>
        <r>
          <rPr>
            <sz val="14"/>
            <color rgb="FF000000"/>
            <rFont val="Times New Roman"/>
            <family val="18"/>
          </rPr>
          <t>28/08/1802 Muster: IR 43 Haupt Pasqually Komp. Nr. 67 [</t>
        </r>
        <r>
          <rPr>
            <i/>
            <sz val="14"/>
            <color rgb="FF000000"/>
            <rFont val="Times New Roman"/>
            <family val="18"/>
          </rPr>
          <t>Auf 5-tägige Wacht zu St. Trinita</t>
        </r>
        <r>
          <rPr>
            <sz val="14"/>
            <color rgb="FF000000"/>
            <rFont val="Times New Roman"/>
            <family val="18"/>
          </rPr>
          <t>]</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Pasqually Komp. Nr. 60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 IR 43 Haupt Pasqually Komp. Nr. 56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At Muster 10/11/1805 15. Fus Comp Nr. 52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05/01/1806 </t>
        </r>
        <r>
          <rPr>
            <i/>
            <sz val="14"/>
            <color rgb="FF000000"/>
            <rFont val="Times New Roman"/>
            <family val="18"/>
          </rPr>
          <t>Auf Urlaub gestorben</t>
        </r>
        <r>
          <rPr>
            <sz val="14"/>
            <color rgb="FF000000"/>
            <rFont val="Times New Roman"/>
            <family val="18"/>
          </rPr>
          <t xml:space="preserve"> [ST July 1806 &amp; ML 1806]</t>
        </r>
        <r>
          <rPr>
            <sz val="14"/>
            <color rgb="FF000000"/>
            <rFont val="Calibri"/>
            <family val="34"/>
          </rPr>
          <t xml:space="preserve">
</t>
        </r>
      </text>
    </comment>
    <comment ref="BG425" authorId="0" shapeId="0" xr:uid="{F3CDEEFC-87A1-AC47-9E8C-C4F19497BDA5}">
      <text>
        <r>
          <rPr>
            <sz val="14"/>
            <color rgb="FF000000"/>
            <rFont val="Times New Roman"/>
            <family val="18"/>
          </rPr>
          <t>ML 10.271 IR 43 (1799) – RL Haupt Pasqually Nr. 61 (26/01/1799)</t>
        </r>
        <r>
          <rPr>
            <sz val="14"/>
            <color rgb="FF000000"/>
            <rFont val="Calibri"/>
            <family val="34"/>
          </rPr>
          <t xml:space="preserve">
</t>
        </r>
        <r>
          <rPr>
            <sz val="14"/>
            <color rgb="FF000000"/>
            <rFont val="Times New Roman"/>
            <family val="18"/>
          </rPr>
          <t>ML 10.272 IR 43 (1802) – Haupt Pasqually Nr. 67 (Cattaro 28/08/1802)</t>
        </r>
        <r>
          <rPr>
            <sz val="14"/>
            <color rgb="FF000000"/>
            <rFont val="Calibri"/>
            <family val="34"/>
          </rPr>
          <t xml:space="preserve">
</t>
        </r>
        <r>
          <rPr>
            <sz val="14"/>
            <color rgb="FF000000"/>
            <rFont val="Times New Roman"/>
            <family val="18"/>
          </rPr>
          <t>ML 10.273 IR 43 (1803) – Haupt Pasqually Nr. 60 (Cattaro 02/11/1803)</t>
        </r>
        <r>
          <rPr>
            <sz val="14"/>
            <color rgb="FF000000"/>
            <rFont val="Calibri"/>
            <family val="34"/>
          </rPr>
          <t xml:space="preserve">
</t>
        </r>
        <r>
          <rPr>
            <sz val="14"/>
            <color rgb="FF000000"/>
            <rFont val="Times New Roman"/>
            <family val="18"/>
          </rPr>
          <t>ML 10.274 IR 43 (1804) – Haupt Pasqually Comp. Nr. 56 (Theodo 05/10/1804)</t>
        </r>
        <r>
          <rPr>
            <sz val="14"/>
            <color rgb="FF000000"/>
            <rFont val="Calibri"/>
            <family val="34"/>
          </rPr>
          <t xml:space="preserve">
</t>
        </r>
        <r>
          <rPr>
            <sz val="14"/>
            <color rgb="FF000000"/>
            <rFont val="Times New Roman"/>
            <family val="18"/>
          </rPr>
          <t>ML 10.275/6 IR 43 (1805) – Heft von 15. Fus Comp. Nr. 52 (Macarsca (10/11/1805)</t>
        </r>
        <r>
          <rPr>
            <sz val="14"/>
            <color rgb="FF000000"/>
            <rFont val="Calibri"/>
            <family val="34"/>
          </rPr>
          <t xml:space="preserve">
</t>
        </r>
        <r>
          <rPr>
            <sz val="14"/>
            <color rgb="FF000000"/>
            <rFont val="Times New Roman"/>
            <family val="18"/>
          </rPr>
          <t>ML 10/277/8 (1806) – Heft von 9. Fus Comp. Abgang (Neustadt 05/12/1806)</t>
        </r>
        <r>
          <rPr>
            <sz val="14"/>
            <color rgb="FF000000"/>
            <rFont val="Calibri"/>
            <family val="34"/>
          </rPr>
          <t xml:space="preserve">
</t>
        </r>
        <r>
          <rPr>
            <sz val="14"/>
            <color rgb="FF000000"/>
            <rFont val="Times New Roman"/>
            <family val="18"/>
          </rPr>
          <t>ML 10.305 IR 43 (1797) – ST Sept (02/09/1804), Okt (21/05/1805)</t>
        </r>
        <r>
          <rPr>
            <sz val="14"/>
            <color rgb="FF000000"/>
            <rFont val="Calibri"/>
            <family val="34"/>
          </rPr>
          <t xml:space="preserve">
</t>
        </r>
        <r>
          <rPr>
            <sz val="14"/>
            <color rgb="FF000000"/>
            <rFont val="Times New Roman"/>
            <family val="18"/>
          </rPr>
          <t>ML 10.307 IR 43 (1799) – ST Juni (12/12/1799)</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März (10/10/1804), Mai (10/03/1805)</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10.317 IR 43 (1806) – ST Juli (15/11/1806)</t>
        </r>
      </text>
    </comment>
    <comment ref="BH425" authorId="0" shapeId="0" xr:uid="{DAC64D0E-6141-0C42-A774-F76C21D0BDAC}">
      <text>
        <r>
          <rPr>
            <sz val="14"/>
            <color rgb="FF000000"/>
            <rFont val="Calibri"/>
            <family val="34"/>
          </rPr>
          <t>IR 43 (1797-1806)</t>
        </r>
      </text>
    </comment>
    <comment ref="BF426" authorId="0" shapeId="0" xr:uid="{3F693ED0-E260-1F46-A0CB-3537624D1BC3}">
      <text>
        <r>
          <rPr>
            <sz val="14"/>
            <color rgb="FF000000"/>
            <rFont val="Times New Roman"/>
            <family val="18"/>
          </rPr>
          <t xml:space="preserve">11/07/1797 </t>
        </r>
        <r>
          <rPr>
            <i/>
            <sz val="14"/>
            <color rgb="FF000000"/>
            <rFont val="Times New Roman"/>
            <family val="18"/>
          </rPr>
          <t xml:space="preserve">Von galizischen Ständen gestellt und zu Tarnopol ins Haupt Selmbach Komp. assentiert worden </t>
        </r>
        <r>
          <rPr>
            <sz val="14"/>
            <color rgb="FF000000"/>
            <rFont val="Times New Roman"/>
            <family val="18"/>
          </rPr>
          <t>[ST Sept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Kompanie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Selmbach Nr. 85</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Selmbach Komp. zum Artillerie Handlanger transferiert</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31/10/1799 [Bevor] </t>
        </r>
        <r>
          <rPr>
            <i/>
            <sz val="14"/>
            <color rgb="FF000000"/>
            <rFont val="Times New Roman"/>
            <family val="18"/>
          </rPr>
          <t xml:space="preserve">Unbekannt: Fehlt ab Dezember in die Standes- und Dienst-Tabellen </t>
        </r>
        <r>
          <rPr>
            <sz val="14"/>
            <color rgb="FF000000"/>
            <rFont val="Calibri"/>
            <family val="34"/>
          </rPr>
          <t xml:space="preserve">
</t>
        </r>
      </text>
    </comment>
    <comment ref="BG426" authorId="0" shapeId="0" xr:uid="{64741BFC-9C22-D547-91D4-A054EA2A46B2}">
      <text>
        <r>
          <rPr>
            <sz val="14"/>
            <color rgb="FF000000"/>
            <rFont val="Times New Roman"/>
            <family val="18"/>
          </rPr>
          <t>ML 10.271 IR 43 (1796-9) – RL Haupt Höffern Nr. 145 und Zuwachs (Udine 25/01/1799)</t>
        </r>
        <r>
          <rPr>
            <sz val="14"/>
            <color rgb="FF000000"/>
            <rFont val="Calibri"/>
            <family val="34"/>
          </rPr>
          <t xml:space="preserve">
</t>
        </r>
        <r>
          <rPr>
            <sz val="14"/>
            <color rgb="FF000000"/>
            <rFont val="Times New Roman"/>
            <family val="18"/>
          </rPr>
          <t>ML 10.305 IR 43 (1797) – ST Sept (02/09/1804), Okt (05/09/1804)</t>
        </r>
        <r>
          <rPr>
            <sz val="14"/>
            <color rgb="FF000000"/>
            <rFont val="Calibri"/>
            <family val="34"/>
          </rPr>
          <t xml:space="preserve">
</t>
        </r>
        <r>
          <rPr>
            <sz val="14"/>
            <color rgb="FF000000"/>
            <rFont val="Times New Roman"/>
            <family val="18"/>
          </rPr>
          <t>ML 10.307 IR 43 (1799) – ST Sept (21/07/1800)</t>
        </r>
      </text>
    </comment>
    <comment ref="BH426" authorId="0" shapeId="0" xr:uid="{2C887FF7-B4B0-EB41-8692-40F906198E4A}">
      <text>
        <r>
          <rPr>
            <sz val="14"/>
            <color rgb="FF000000"/>
            <rFont val="Calibri"/>
            <family val="34"/>
          </rPr>
          <t>IR 43 (1797-1799)</t>
        </r>
      </text>
    </comment>
    <comment ref="BF427" authorId="0" shapeId="0" xr:uid="{AFE9ED29-EBFE-3D42-A760-0CE0B7FA096C}">
      <text>
        <r>
          <rPr>
            <sz val="14"/>
            <color rgb="FF000000"/>
            <rFont val="Times New Roman"/>
            <family val="18"/>
          </rPr>
          <t xml:space="preserve">11/07/1797 </t>
        </r>
        <r>
          <rPr>
            <i/>
            <sz val="14"/>
            <color rgb="FF000000"/>
            <rFont val="Times New Roman"/>
            <family val="18"/>
          </rPr>
          <t>Von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Stark Komp Nr. 86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t>
        </r>
        <r>
          <rPr>
            <sz val="14"/>
            <color rgb="FF000000"/>
            <rFont val="Calibri"/>
            <family val="2"/>
          </rPr>
          <t xml:space="preserve"> </t>
        </r>
      </text>
    </comment>
    <comment ref="BG427" authorId="0" shapeId="0" xr:uid="{266838C1-C2DF-464D-837C-F49F3307F2C4}">
      <text>
        <r>
          <rPr>
            <sz val="14"/>
            <color rgb="FF000000"/>
            <rFont val="Times New Roman"/>
            <family val="18"/>
          </rPr>
          <t>ML 10.124 IR 23 (1802) – Haupt Starck Komp. Nr. 86 (Krems 09/09/1802)</t>
        </r>
        <r>
          <rPr>
            <sz val="14"/>
            <color rgb="FF000000"/>
            <rFont val="Calibri"/>
            <family val="34"/>
          </rPr>
          <t xml:space="preserve">
</t>
        </r>
        <r>
          <rPr>
            <sz val="14"/>
            <color rgb="FF000000"/>
            <rFont val="Times New Roman"/>
            <family val="18"/>
          </rPr>
          <t>ML 10.125 IR 23 (1803) – Haupt Starck Komp. Abgang (Execierlager bei St Pölten 07/09/1803)</t>
        </r>
      </text>
    </comment>
    <comment ref="BH427" authorId="0" shapeId="0" xr:uid="{0C347DBB-01D3-6C4F-AC47-743803150BB5}">
      <text>
        <r>
          <rPr>
            <sz val="14"/>
            <color rgb="FF000000"/>
            <rFont val="Calibri"/>
            <family val="34"/>
          </rPr>
          <t>IR 23 (1797-1803)</t>
        </r>
      </text>
    </comment>
    <comment ref="BF428" authorId="0" shapeId="0" xr:uid="{9D14C0EE-4589-0040-9C64-7B43EE91E815}">
      <text>
        <r>
          <rPr>
            <sz val="14"/>
            <color rgb="FF000000"/>
            <rFont val="Times New Roman"/>
            <family val="18"/>
          </rPr>
          <t xml:space="preserve">15/07/1797 </t>
        </r>
        <r>
          <rPr>
            <i/>
            <sz val="14"/>
            <color rgb="FF000000"/>
            <rFont val="Times New Roman"/>
            <family val="18"/>
          </rPr>
          <t>A 3Fl Handgeld und mit Capitulation auf Dauer des Krieges</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May 1798]</t>
        </r>
        <r>
          <rPr>
            <sz val="14"/>
            <color rgb="FF000000"/>
            <rFont val="Calibri"/>
            <family val="34"/>
          </rPr>
          <t xml:space="preserve">
</t>
        </r>
        <r>
          <rPr>
            <sz val="14"/>
            <color rgb="FF000000"/>
            <rFont val="Times New Roman"/>
            <family val="18"/>
          </rPr>
          <t xml:space="preserve">21/05/1798 </t>
        </r>
        <r>
          <rPr>
            <i/>
            <sz val="14"/>
            <color rgb="FF000000"/>
            <rFont val="Times New Roman"/>
            <family val="18"/>
          </rPr>
          <t>Von vacante Hohenlohe</t>
        </r>
        <r>
          <rPr>
            <sz val="14"/>
            <color rgb="FF000000"/>
            <rFont val="Times New Roman"/>
            <family val="18"/>
          </rPr>
          <t xml:space="preserve"> [-Kirchberg IR 17] </t>
        </r>
        <r>
          <rPr>
            <i/>
            <sz val="14"/>
            <color rgb="FF000000"/>
            <rFont val="Times New Roman"/>
            <family val="18"/>
          </rPr>
          <t>4. Bataillon vacante Wienzert Komp. zum IR 30 vacant Dalvich Komp. transferiert, seitdem auf Anhero Marsch</t>
        </r>
        <r>
          <rPr>
            <sz val="14"/>
            <color rgb="FF000000"/>
            <rFont val="Times New Roman"/>
            <family val="18"/>
          </rPr>
          <t xml:space="preserve"> [TL May 1798 &amp; ST June 1803]</t>
        </r>
        <r>
          <rPr>
            <sz val="14"/>
            <color rgb="FF000000"/>
            <rFont val="Calibri"/>
            <family val="34"/>
          </rPr>
          <t xml:space="preserve">
</t>
        </r>
        <r>
          <rPr>
            <sz val="14"/>
            <color rgb="FF000000"/>
            <rFont val="Times New Roman"/>
            <family val="18"/>
          </rPr>
          <t xml:space="preserve">04/06/1798 </t>
        </r>
        <r>
          <rPr>
            <i/>
            <sz val="14"/>
            <color rgb="FF000000"/>
            <rFont val="Times New Roman"/>
            <family val="18"/>
          </rPr>
          <t>In Kompanie eingerückt</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text>
    </comment>
    <comment ref="BG428" authorId="0" shapeId="0" xr:uid="{146AADB3-B893-304C-AE54-3AD78B40013F}">
      <text>
        <r>
          <rPr>
            <sz val="14"/>
            <color rgb="FF000000"/>
            <rFont val="Times New Roman"/>
            <family val="18"/>
          </rPr>
          <t>ML 2664 IR 30 (1798) – TL IR 17-&gt;IR 30 Nr. 23 (Prague 20/05/1798); ST June (Lemberg 11/03/1803), Dec (Theresienstadt 23/07/1799)</t>
        </r>
      </text>
    </comment>
    <comment ref="BH428" authorId="0" shapeId="0" xr:uid="{14965512-0957-3344-B3F0-1A57BB096867}">
      <text>
        <r>
          <rPr>
            <sz val="14"/>
            <color rgb="FF000000"/>
            <rFont val="Calibri"/>
            <family val="34"/>
          </rPr>
          <t xml:space="preserve">IR 17 (1797-1798)
</t>
        </r>
        <r>
          <rPr>
            <sz val="14"/>
            <color rgb="FF000000"/>
            <rFont val="Calibri"/>
            <family val="34"/>
          </rPr>
          <t>IR 30 (1798)</t>
        </r>
      </text>
    </comment>
    <comment ref="BI428" authorId="0" shapeId="0" xr:uid="{6C742F06-221B-B94D-9014-F1774ADABA3C}">
      <text>
        <r>
          <rPr>
            <i/>
            <sz val="14"/>
            <color rgb="FF000000"/>
            <rFont val="Times New Roman"/>
            <family val="18"/>
          </rPr>
          <t>Gute</t>
        </r>
        <r>
          <rPr>
            <sz val="14"/>
            <color rgb="FF000000"/>
            <rFont val="Times New Roman"/>
            <family val="18"/>
          </rPr>
          <t xml:space="preserve"> [TL May 1798]</t>
        </r>
        <r>
          <rPr>
            <sz val="14"/>
            <color rgb="FF000000"/>
            <rFont val="Calibri"/>
            <family val="2"/>
            <scheme val="minor"/>
          </rPr>
          <t xml:space="preserve"> </t>
        </r>
      </text>
    </comment>
    <comment ref="BF429" authorId="0" shapeId="0" xr:uid="{CA5E5937-7A03-A246-A42A-8801578BB399}">
      <text>
        <r>
          <rPr>
            <sz val="14"/>
            <color rgb="FF000000"/>
            <rFont val="Times New Roman"/>
            <family val="18"/>
          </rPr>
          <t xml:space="preserve">22/07/1797 </t>
        </r>
        <r>
          <rPr>
            <i/>
            <sz val="14"/>
            <color rgb="FF000000"/>
            <rFont val="Times New Roman"/>
            <family val="18"/>
          </rPr>
          <t>Von Galizischen Ständen gestellt mit Capitulation auf die Kriegsdauer assentiert, hat 3 Fl Handgeld empfangen</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Ebertin Nr. 77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 </t>
        </r>
      </text>
    </comment>
    <comment ref="BG429" authorId="0" shapeId="0" xr:uid="{0ABF6ED9-6D84-0E4F-BDDA-C37F04218257}">
      <text>
        <r>
          <rPr>
            <sz val="14"/>
            <color rgb="FF000000"/>
            <rFont val="Times New Roman"/>
            <family val="18"/>
          </rPr>
          <t>ML 10.124 IR 23 (1802) – Haupt Ebertin Komp. Nr. 77 (Krems 09/09/1802)</t>
        </r>
        <r>
          <rPr>
            <sz val="14"/>
            <color rgb="FF000000"/>
            <rFont val="Calibri"/>
            <family val="34"/>
          </rPr>
          <t xml:space="preserve">
</t>
        </r>
        <r>
          <rPr>
            <sz val="14"/>
            <color rgb="FF000000"/>
            <rFont val="Times New Roman"/>
            <family val="18"/>
          </rPr>
          <t>ML 10.125 IR 23 (1802) – Haupt Kleinschmidt Komp. Abgang (Execierlager bei St Pölten 07/09/1802)</t>
        </r>
      </text>
    </comment>
    <comment ref="BH429" authorId="0" shapeId="0" xr:uid="{2607D67C-1E75-4846-B09D-67AB3D78C5EB}">
      <text>
        <r>
          <rPr>
            <sz val="14"/>
            <color rgb="FF000000"/>
            <rFont val="Calibri"/>
            <family val="34"/>
          </rPr>
          <t>IR 23 (1797-1803)</t>
        </r>
      </text>
    </comment>
    <comment ref="BF430" authorId="0" shapeId="0" xr:uid="{3D83D227-D7CE-854B-B133-E2B932E0BCB5}">
      <text>
        <r>
          <rPr>
            <sz val="14"/>
            <color rgb="FF000000"/>
            <rFont val="Times New Roman"/>
            <family val="18"/>
          </rPr>
          <t xml:space="preserve">29/07/1797 </t>
        </r>
        <r>
          <rPr>
            <i/>
            <sz val="14"/>
            <color rgb="FF000000"/>
            <rFont val="Times New Roman"/>
            <family val="18"/>
          </rPr>
          <t>als Gallizische Landstandische Recrout a 3Fl Handgeld mit Capitulaiton zu Sanok auf Kriegseszeit assentiert</t>
        </r>
        <r>
          <rPr>
            <sz val="14"/>
            <color rgb="FF000000"/>
            <rFont val="Times New Roman"/>
            <family val="18"/>
          </rPr>
          <t xml:space="preserve"> [AL 1797 &amp; ST Oct 1797]</t>
        </r>
        <r>
          <rPr>
            <sz val="14"/>
            <color rgb="FF000000"/>
            <rFont val="Calibri"/>
            <family val="34"/>
          </rPr>
          <t xml:space="preserve">
</t>
        </r>
        <r>
          <rPr>
            <sz val="14"/>
            <color rgb="FF000000"/>
            <rFont val="Times New Roman"/>
            <family val="18"/>
          </rPr>
          <t xml:space="preserve">01/10/1797 </t>
        </r>
        <r>
          <rPr>
            <i/>
            <sz val="14"/>
            <color rgb="FF000000"/>
            <rFont val="Times New Roman"/>
            <family val="18"/>
          </rPr>
          <t>in Battalion zu Prag eingeruckt und zum 4. Companie zugeteilt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in Folge Superarbitrierung als untauglich mit Laufpaß entlassen</t>
        </r>
        <r>
          <rPr>
            <sz val="14"/>
            <color rgb="FF000000"/>
            <rFont val="Times New Roman"/>
            <family val="18"/>
          </rPr>
          <t xml:space="preserve"> [ST Oct 1797]</t>
        </r>
      </text>
    </comment>
    <comment ref="BG430" authorId="0" shapeId="0" xr:uid="{18B2FD29-24DB-3241-ACA0-E517EA2FFDF7}">
      <text>
        <r>
          <rPr>
            <sz val="14"/>
            <color rgb="FF000000"/>
            <rFont val="Times New Roman"/>
            <family val="18"/>
          </rPr>
          <t xml:space="preserve">ML 4659 IR 54 (1797) – AL Nr. 23 (Sanok 07/08/1797), ST Oct – Zuwachs, eingerückt Abgang (Prag 10/12/1797) </t>
        </r>
        <r>
          <rPr>
            <sz val="14"/>
            <color rgb="FF000000"/>
            <rFont val="Calibri"/>
            <family val="34"/>
          </rPr>
          <t xml:space="preserve">
</t>
        </r>
      </text>
    </comment>
    <comment ref="BH430" authorId="0" shapeId="0" xr:uid="{B7E7D1A1-F6DB-9B48-832E-ECFBA4087D7A}">
      <text>
        <r>
          <rPr>
            <sz val="14"/>
            <color rgb="FF000000"/>
            <rFont val="Calibri"/>
            <family val="34"/>
          </rPr>
          <t>IR 54 (1797)</t>
        </r>
      </text>
    </comment>
    <comment ref="I431" authorId="0" shapeId="0" xr:uid="{8169624A-FF0E-C445-AEE7-BF4A98D7CB41}">
      <text>
        <r>
          <rPr>
            <b/>
            <sz val="14"/>
            <color rgb="FF000000"/>
            <rFont val="Calibri"/>
            <family val="34"/>
          </rPr>
          <t xml:space="preserve">1780 [23 (ML 1803)] 
</t>
        </r>
        <r>
          <rPr>
            <sz val="14"/>
            <color rgb="FF000000"/>
            <rFont val="Calibri"/>
            <family val="34"/>
          </rPr>
          <t xml:space="preserve">OR 
</t>
        </r>
        <r>
          <rPr>
            <sz val="14"/>
            <color rgb="FF000000"/>
            <rFont val="Calibri"/>
            <family val="34"/>
          </rPr>
          <t>1779 [32 (ML 1811)]</t>
        </r>
      </text>
    </comment>
    <comment ref="J431" authorId="0" shapeId="0" xr:uid="{31FDD021-439E-A049-A4BB-59F804F27B35}">
      <text>
        <r>
          <rPr>
            <sz val="14"/>
            <color rgb="FF000000"/>
            <rFont val="Calibri"/>
            <family val="34"/>
          </rPr>
          <t xml:space="preserve">Ledig (1803-1806)
</t>
        </r>
        <r>
          <rPr>
            <sz val="14"/>
            <color rgb="FF000000"/>
            <rFont val="Calibri"/>
            <family val="34"/>
          </rPr>
          <t>Veheiratet (1811)</t>
        </r>
      </text>
    </comment>
    <comment ref="BF431" authorId="0" shapeId="0" xr:uid="{5BE2E1DF-4558-5E4B-9435-3631765D80BE}">
      <text>
        <r>
          <rPr>
            <sz val="14"/>
            <color rgb="FF000000"/>
            <rFont val="Times New Roman"/>
            <family val="18"/>
          </rPr>
          <t xml:space="preserve">08/08/1797 </t>
        </r>
        <r>
          <rPr>
            <i/>
            <sz val="14"/>
            <color rgb="FF000000"/>
            <rFont val="Times New Roman"/>
            <family val="18"/>
          </rPr>
          <t>A 3Fl Handgeld von gallizischen Ständen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12/09/1803 Muster: IR 4 Haupt Lathe Komp. Nr. 41</t>
        </r>
        <r>
          <rPr>
            <sz val="14"/>
            <color rgb="FF000000"/>
            <rFont val="Calibri"/>
            <family val="34"/>
          </rPr>
          <t xml:space="preserve">
</t>
        </r>
        <r>
          <rPr>
            <sz val="14"/>
            <color rgb="FF000000"/>
            <rFont val="Times New Roman"/>
            <family val="18"/>
          </rPr>
          <t xml:space="preserve">16/11/1804 </t>
        </r>
        <r>
          <rPr>
            <i/>
            <sz val="14"/>
            <color rgb="FF000000"/>
            <rFont val="Times New Roman"/>
            <family val="18"/>
          </rPr>
          <t xml:space="preserve">Von Haupt. Lathe zum Haupt. Erdmann Komp. transferiert </t>
        </r>
        <r>
          <rPr>
            <sz val="14"/>
            <color rgb="FF000000"/>
            <rFont val="Times New Roman"/>
            <family val="18"/>
          </rPr>
          <t>[ML 1806]</t>
        </r>
        <r>
          <rPr>
            <sz val="14"/>
            <color rgb="FF000000"/>
            <rFont val="Calibri"/>
            <family val="34"/>
          </rPr>
          <t xml:space="preserve">
</t>
        </r>
        <r>
          <rPr>
            <sz val="14"/>
            <color rgb="FF000000"/>
            <rFont val="Times New Roman"/>
            <family val="18"/>
          </rPr>
          <t>13/12/1806 Muster: IR 4 2. Fus. Komp. Nr. 65</t>
        </r>
        <r>
          <rPr>
            <sz val="14"/>
            <color rgb="FF000000"/>
            <rFont val="Calibri"/>
            <family val="34"/>
          </rPr>
          <t xml:space="preserve">
</t>
        </r>
        <r>
          <rPr>
            <sz val="14"/>
            <color rgb="FF000000"/>
            <rFont val="Times New Roman"/>
            <family val="18"/>
          </rPr>
          <t xml:space="preserve">16/12/1807 </t>
        </r>
        <r>
          <rPr>
            <i/>
            <sz val="14"/>
            <color rgb="FF000000"/>
            <rFont val="Times New Roman"/>
            <family val="18"/>
          </rPr>
          <t>Gegen 20Fl Handgeld auf weitere 10 Jahre reengagiert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01/10/1808 </t>
        </r>
        <r>
          <rPr>
            <i/>
            <sz val="14"/>
            <color rgb="FF000000"/>
            <rFont val="Times New Roman"/>
            <family val="18"/>
          </rPr>
          <t>Zum Gefreyter avanciert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Corporal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06/09/1811 Muster: IR 4 2. Fus. Komp. Nr. 18</t>
        </r>
        <r>
          <rPr>
            <sz val="14"/>
            <color rgb="FF000000"/>
            <rFont val="Calibri"/>
            <family val="34"/>
          </rPr>
          <t xml:space="preserve">
</t>
        </r>
        <r>
          <rPr>
            <sz val="14"/>
            <color rgb="FF000000"/>
            <rFont val="Times New Roman"/>
            <family val="18"/>
          </rPr>
          <t>Hat des Veteranen Zeichen 1. Art</t>
        </r>
        <r>
          <rPr>
            <sz val="14"/>
            <color rgb="FF000000"/>
            <rFont val="Calibri"/>
            <family val="34"/>
          </rPr>
          <t xml:space="preserve">
</t>
        </r>
      </text>
    </comment>
    <comment ref="BG431" authorId="0" shapeId="0" xr:uid="{FB16BBB5-91F7-AB41-BF77-A9AAAC74827D}">
      <text>
        <r>
          <rPr>
            <sz val="14"/>
            <color rgb="FF000000"/>
            <rFont val="Times New Roman"/>
            <family val="18"/>
          </rPr>
          <t>ML 348 IR 4 (1803) – Haupt Lathe Komp. Nr. 41 (Wiener Neustadt 12/09/1803)</t>
        </r>
        <r>
          <rPr>
            <sz val="14"/>
            <color rgb="FF000000"/>
            <rFont val="Calibri"/>
            <family val="34"/>
          </rPr>
          <t xml:space="preserve">
</t>
        </r>
        <r>
          <rPr>
            <sz val="14"/>
            <color rgb="FF000000"/>
            <rFont val="Times New Roman"/>
            <family val="18"/>
          </rPr>
          <t>ML 349/50 IR 4 (1806) – 2. Fus. Komp. Nr. 65 (Baden 30/12/1806)</t>
        </r>
        <r>
          <rPr>
            <sz val="14"/>
            <color rgb="FF000000"/>
            <rFont val="Calibri"/>
            <family val="34"/>
          </rPr>
          <t xml:space="preserve">
</t>
        </r>
        <r>
          <rPr>
            <sz val="14"/>
            <color rgb="FF000000"/>
            <rFont val="Times New Roman"/>
            <family val="18"/>
          </rPr>
          <t>ML 351/2 IR 4 (1811) – 2. Fus. Komp. Nr. 18 (Vienna 06/09/1811)</t>
        </r>
        <r>
          <rPr>
            <sz val="14"/>
            <color rgb="FF000000"/>
            <rFont val="Calibri"/>
            <family val="34"/>
          </rPr>
          <t xml:space="preserve">
</t>
        </r>
      </text>
    </comment>
    <comment ref="BH431" authorId="0" shapeId="0" xr:uid="{211BD094-7437-504F-8B22-E6F00E6A6CBF}">
      <text>
        <r>
          <rPr>
            <sz val="14"/>
            <color rgb="FF000000"/>
            <rFont val="Calibri"/>
            <family val="34"/>
          </rPr>
          <t>IR 4 (1797-1811)</t>
        </r>
      </text>
    </comment>
    <comment ref="CR431" authorId="0" shapeId="0" xr:uid="{705F8FEF-2004-D448-92D0-0818CF5EBF94}">
      <text>
        <r>
          <rPr>
            <sz val="14"/>
            <color rgb="FF000000"/>
            <rFont val="Times New Roman"/>
            <family val="18"/>
          </rPr>
          <t>1803-11:</t>
        </r>
        <r>
          <rPr>
            <i/>
            <sz val="14"/>
            <color rgb="FF000000"/>
            <rFont val="Times New Roman"/>
            <family val="18"/>
          </rPr>
          <t xml:space="preserve"> Getaufter Jude</t>
        </r>
      </text>
    </comment>
    <comment ref="BF432" authorId="0" shapeId="0" xr:uid="{F7BE9C3F-17A4-F94E-96B6-38C76B01CC3A}">
      <text>
        <r>
          <rPr>
            <sz val="14"/>
            <color rgb="FF000000"/>
            <rFont val="Times New Roman"/>
            <family val="18"/>
          </rPr>
          <t xml:space="preserve">19/08/1797 </t>
        </r>
        <r>
          <rPr>
            <i/>
            <sz val="14"/>
            <color rgb="FF000000"/>
            <rFont val="Times New Roman"/>
            <family val="18"/>
          </rPr>
          <t>Auf Dauer des Kriegs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22/10/1797 </t>
        </r>
        <r>
          <rPr>
            <i/>
            <sz val="14"/>
            <color rgb="FF000000"/>
            <rFont val="Times New Roman"/>
            <family val="18"/>
          </rPr>
          <t>Von</t>
        </r>
        <r>
          <rPr>
            <b/>
            <i/>
            <sz val="14"/>
            <color rgb="FF000000"/>
            <rFont val="Times New Roman"/>
            <family val="18"/>
          </rPr>
          <t xml:space="preserve"> </t>
        </r>
        <r>
          <rPr>
            <i/>
            <sz val="14"/>
            <color rgb="FF000000"/>
            <rFont val="Times New Roman"/>
            <family val="18"/>
          </rPr>
          <t>Michael Graf Wallis Infantrie Regiment</t>
        </r>
        <r>
          <rPr>
            <sz val="14"/>
            <color rgb="FF000000"/>
            <rFont val="Times New Roman"/>
            <family val="18"/>
          </rPr>
          <t xml:space="preserve"> </t>
        </r>
        <r>
          <rPr>
            <b/>
            <sz val="14"/>
            <color rgb="FF000000"/>
            <rFont val="Times New Roman"/>
            <family val="18"/>
          </rPr>
          <t>[IR 11]</t>
        </r>
        <r>
          <rPr>
            <i/>
            <sz val="14"/>
            <color rgb="FF000000"/>
            <rFont val="Times New Roman"/>
            <family val="18"/>
          </rPr>
          <t xml:space="preserve"> zum IR 43 ‚Thurn‘</t>
        </r>
        <r>
          <rPr>
            <sz val="14"/>
            <color rgb="FF000000"/>
            <rFont val="Calibri"/>
            <family val="34"/>
          </rPr>
          <t xml:space="preserve">
</t>
        </r>
        <r>
          <rPr>
            <i/>
            <sz val="14"/>
            <color rgb="FF000000"/>
            <rFont val="Times New Roman"/>
            <family val="18"/>
          </rPr>
          <t>Transferiert und zur Haupt Selmbach Kompanie eingetheilt; Seitdem auf anhero Marsch mit Friedensgebühr</t>
        </r>
        <r>
          <rPr>
            <sz val="14"/>
            <color rgb="FF000000"/>
            <rFont val="Times New Roman"/>
            <family val="18"/>
          </rPr>
          <t xml:space="preserve"> [ST Okt 1797]</t>
        </r>
        <r>
          <rPr>
            <sz val="14"/>
            <color rgb="FF000000"/>
            <rFont val="Calibri"/>
            <family val="34"/>
          </rPr>
          <t xml:space="preserve">
</t>
        </r>
        <r>
          <rPr>
            <sz val="14"/>
            <color rgb="FF000000"/>
            <rFont val="Times New Roman"/>
            <family val="18"/>
          </rPr>
          <t>25/01/1799 Muster: IR 43 Haupt Selmbach Nr. 103</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b/>
            <sz val="14"/>
            <color rgb="FF000000"/>
            <rFont val="Times New Roman"/>
            <family val="18"/>
          </rPr>
          <t xml:space="preserve"> </t>
        </r>
        <r>
          <rPr>
            <sz val="14"/>
            <color rgb="FF000000"/>
            <rFont val="Times New Roman"/>
            <family val="18"/>
          </rPr>
          <t>[ST Aug 1799]</t>
        </r>
        <r>
          <rPr>
            <sz val="14"/>
            <color rgb="FF000000"/>
            <rFont val="Calibri"/>
            <family val="34"/>
          </rPr>
          <t xml:space="preserve">
</t>
        </r>
        <r>
          <rPr>
            <sz val="14"/>
            <color rgb="FF000000"/>
            <rFont val="Times New Roman"/>
            <family val="18"/>
          </rPr>
          <t>31/08/1799 Rekonvalesziert [ST Sept 1799]</t>
        </r>
        <r>
          <rPr>
            <sz val="14"/>
            <color rgb="FF000000"/>
            <rFont val="Calibri"/>
            <family val="34"/>
          </rPr>
          <t xml:space="preserve">
</t>
        </r>
        <r>
          <rPr>
            <sz val="14"/>
            <color rgb="FF000000"/>
            <rFont val="Times New Roman"/>
            <family val="18"/>
          </rPr>
          <t xml:space="preserve">04/09/1799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30/09/1799 [Bis Mindestens]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24/08/1802 Muster: IR 43 Haupt Selmbach Nr. 45</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Krain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Krain</t>
        </r>
        <r>
          <rPr>
            <sz val="14"/>
            <color rgb="FF000000"/>
            <rFont val="Times New Roman"/>
            <family val="18"/>
          </rPr>
          <t xml:space="preserve"> </t>
        </r>
        <r>
          <rPr>
            <b/>
            <sz val="14"/>
            <color rgb="FF000000"/>
            <rFont val="Times New Roman"/>
            <family val="18"/>
          </rPr>
          <t>[in Wirklichkeit Böhmen]</t>
        </r>
        <r>
          <rPr>
            <sz val="14"/>
            <color rgb="FF000000"/>
            <rFont val="Times New Roman"/>
            <family val="18"/>
          </rPr>
          <t xml:space="preserve"> </t>
        </r>
        <r>
          <rPr>
            <i/>
            <sz val="14"/>
            <color rgb="FF000000"/>
            <rFont val="Times New Roman"/>
            <family val="18"/>
          </rPr>
          <t>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42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12/09/1804 Muster: IR 43 Haupt Selmbach Komp. Nr. 45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Musterung: IR 43 13. Fus. Komp. Nr. 45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Komp. als unwissend verloren in Abgang</t>
        </r>
        <r>
          <rPr>
            <sz val="14"/>
            <color rgb="FF000000"/>
            <rFont val="Times New Roman"/>
            <family val="18"/>
          </rPr>
          <t xml:space="preserve"> [ST Oct 1806 &amp; ML 1806]</t>
        </r>
      </text>
    </comment>
    <comment ref="BG432" authorId="0" shapeId="0" xr:uid="{AE36FF30-F3B9-334D-A0D8-399F62CA56BC}">
      <text>
        <r>
          <rPr>
            <sz val="14"/>
            <color rgb="FF000000"/>
            <rFont val="Times New Roman"/>
            <family val="18"/>
          </rPr>
          <t>ML 10.271 IR 43 (1799) – RL Haupt Selmbach Nr. 103 (Udine 25/01/1799)</t>
        </r>
        <r>
          <rPr>
            <sz val="14"/>
            <color rgb="FF000000"/>
            <rFont val="Calibri"/>
            <family val="34"/>
          </rPr>
          <t xml:space="preserve">
</t>
        </r>
        <r>
          <rPr>
            <sz val="14"/>
            <color rgb="FF000000"/>
            <rFont val="Times New Roman"/>
            <family val="18"/>
          </rPr>
          <t>ML 10.272 IR 43 (1802) – Haupt Selmbach Komp. Nr. 45 (Budua 24/08/1802)</t>
        </r>
        <r>
          <rPr>
            <sz val="14"/>
            <color rgb="FF000000"/>
            <rFont val="Calibri"/>
            <family val="34"/>
          </rPr>
          <t xml:space="preserve">
</t>
        </r>
        <r>
          <rPr>
            <sz val="14"/>
            <color rgb="FF000000"/>
            <rFont val="Times New Roman"/>
            <family val="18"/>
          </rPr>
          <t>ML 10.273 IR 43 (1803) – Haupt Selmbach Komp. Nr. 42 (Knin 04/11/1803)</t>
        </r>
        <r>
          <rPr>
            <sz val="14"/>
            <color rgb="FF000000"/>
            <rFont val="Calibri"/>
            <family val="34"/>
          </rPr>
          <t xml:space="preserve">
</t>
        </r>
        <r>
          <rPr>
            <sz val="14"/>
            <color rgb="FF000000"/>
            <rFont val="Times New Roman"/>
            <family val="18"/>
          </rPr>
          <t>ML 10.274 IR 43 (1804) –Haupt Selmbach Komp. Nr. 45 (Zara 15/09/1804)</t>
        </r>
        <r>
          <rPr>
            <sz val="14"/>
            <color rgb="FF000000"/>
            <rFont val="Calibri"/>
            <family val="34"/>
          </rPr>
          <t xml:space="preserve">
</t>
        </r>
        <r>
          <rPr>
            <sz val="14"/>
            <color rgb="FF000000"/>
            <rFont val="Times New Roman"/>
            <family val="18"/>
          </rPr>
          <t>ML 10.275/6 IR 43 (1805) –13. Fus Comp. Nr. 45 (Zara 01/10/1805)</t>
        </r>
        <r>
          <rPr>
            <sz val="14"/>
            <color rgb="FF000000"/>
            <rFont val="Calibri"/>
            <family val="34"/>
          </rPr>
          <t xml:space="preserve">
</t>
        </r>
        <r>
          <rPr>
            <sz val="14"/>
            <color rgb="FF000000"/>
            <rFont val="Times New Roman"/>
            <family val="18"/>
          </rPr>
          <t>ML 10/277/8 (1806) –3. Fus Comp. Abgang (Laibach 01/12/1806)</t>
        </r>
        <r>
          <rPr>
            <sz val="14"/>
            <color rgb="FF000000"/>
            <rFont val="Calibri"/>
            <family val="34"/>
          </rPr>
          <t xml:space="preserve">
</t>
        </r>
        <r>
          <rPr>
            <sz val="14"/>
            <color rgb="FF000000"/>
            <rFont val="Times New Roman"/>
            <family val="18"/>
          </rPr>
          <t>ML 10.305 IR 43 (1797) – ST Okt. (31/05/1805)</t>
        </r>
        <r>
          <rPr>
            <sz val="14"/>
            <color rgb="FF000000"/>
            <rFont val="Calibri"/>
            <family val="34"/>
          </rPr>
          <t xml:space="preserve">
</t>
        </r>
        <r>
          <rPr>
            <sz val="14"/>
            <color rgb="FF000000"/>
            <rFont val="Times New Roman"/>
            <family val="18"/>
          </rPr>
          <t>ML 10.307 IR 43 (1799) – ST Aug. (06/03/1800), Sept (21/07/1800)</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10.319 IR 43 (1807) – ST Okt. (27/11/1806)</t>
        </r>
      </text>
    </comment>
    <comment ref="BH432" authorId="0" shapeId="0" xr:uid="{587BC00D-973B-FB44-A67C-BA33F1AA317F}">
      <text>
        <r>
          <rPr>
            <sz val="14"/>
            <color rgb="FF000000"/>
            <rFont val="Calibri"/>
            <family val="34"/>
          </rPr>
          <t xml:space="preserve">IR 11 (1797)
</t>
        </r>
        <r>
          <rPr>
            <sz val="14"/>
            <color rgb="FF000000"/>
            <rFont val="Calibri"/>
            <family val="34"/>
          </rPr>
          <t>IR 43 (1797-1806)</t>
        </r>
      </text>
    </comment>
    <comment ref="BF433" authorId="0" shapeId="0" xr:uid="{B603BF74-4F17-E342-ADED-362D6745126E}">
      <text>
        <r>
          <rPr>
            <sz val="14"/>
            <color rgb="FF000000"/>
            <rFont val="Times New Roman"/>
            <family val="18"/>
          </rPr>
          <t xml:space="preserve">c. 09/1797 </t>
        </r>
        <r>
          <rPr>
            <i/>
            <sz val="14"/>
            <color rgb="FF000000"/>
            <rFont val="Times New Roman"/>
            <family val="18"/>
          </rPr>
          <t xml:space="preserve">Auf riegsdauer gestellt
</t>
        </r>
        <r>
          <rPr>
            <sz val="14"/>
            <color rgb="FF000000"/>
            <rFont val="Times New Roman"/>
            <family val="18"/>
          </rPr>
          <t xml:space="preserve">c. 09/1797 </t>
        </r>
        <r>
          <rPr>
            <i/>
            <sz val="14"/>
            <color rgb="FF000000"/>
            <rFont val="Times New Roman"/>
            <family val="18"/>
          </rPr>
          <t xml:space="preserve">Wegen Untauglichkeit gegen Stellung von  Rekrut Hersch JEIK mit Laufpaß entlassen  </t>
        </r>
        <r>
          <rPr>
            <sz val="14"/>
            <color rgb="FF000000"/>
            <rFont val="Times New Roman"/>
            <family val="18"/>
          </rPr>
          <t>[TL June 1798]</t>
        </r>
      </text>
    </comment>
    <comment ref="BG433" authorId="0" shapeId="0" xr:uid="{17DFE3A8-8F6A-4F49-B523-D368601E9C88}">
      <text>
        <r>
          <rPr>
            <sz val="14"/>
            <color rgb="FF000000"/>
            <rFont val="Times New Roman"/>
            <family val="18"/>
          </rPr>
          <t>ML 2664 IR 30 (1798) – TL IR 25-&gt;IR 30 Nr. 7 (Prague 17/06/1798)</t>
        </r>
      </text>
    </comment>
    <comment ref="BH433" authorId="0" shapeId="0" xr:uid="{94DC1E4E-8614-9E4C-BFEC-D4AFA0D6A45F}">
      <text>
        <r>
          <rPr>
            <sz val="14"/>
            <color rgb="FF000000"/>
            <rFont val="Calibri"/>
            <family val="34"/>
          </rPr>
          <t>IR 25 (1797)</t>
        </r>
      </text>
    </comment>
    <comment ref="BF434" authorId="0" shapeId="0" xr:uid="{D3BC200F-E852-A943-927A-58BA517EB3E6}">
      <text>
        <r>
          <rPr>
            <sz val="14"/>
            <color rgb="FF000000"/>
            <rFont val="Times New Roman"/>
            <family val="18"/>
          </rPr>
          <t xml:space="preserve">01/09/1797 </t>
        </r>
        <r>
          <rPr>
            <i/>
            <sz val="14"/>
            <color rgb="FF000000"/>
            <rFont val="Times New Roman"/>
            <family val="18"/>
          </rPr>
          <t xml:space="preserve">Statt des wegen Untauglichkeit mit Laufpaß entlassene Samuel ITZIG auf Kriegsdauer gestellt </t>
        </r>
        <r>
          <rPr>
            <sz val="14"/>
            <color rgb="FF000000"/>
            <rFont val="Times New Roman"/>
            <family val="18"/>
          </rPr>
          <t>[TL June 1798]</t>
        </r>
        <r>
          <rPr>
            <sz val="14"/>
            <color rgb="FF000000"/>
            <rFont val="Calibri"/>
            <family val="34"/>
          </rPr>
          <t xml:space="preserve">
</t>
        </r>
        <r>
          <rPr>
            <sz val="14"/>
            <color rgb="FF000000"/>
            <rFont val="Times New Roman"/>
            <family val="18"/>
          </rPr>
          <t xml:space="preserve">16/06/1798 </t>
        </r>
        <r>
          <rPr>
            <i/>
            <sz val="14"/>
            <color rgb="FF000000"/>
            <rFont val="Times New Roman"/>
            <family val="18"/>
          </rPr>
          <t>Von Brechainville Inf</t>
        </r>
        <r>
          <rPr>
            <sz val="14"/>
            <color rgb="FF000000"/>
            <rFont val="Times New Roman"/>
            <family val="18"/>
          </rPr>
          <t xml:space="preserve"> </t>
        </r>
        <r>
          <rPr>
            <i/>
            <sz val="14"/>
            <color rgb="FF000000"/>
            <rFont val="Times New Roman"/>
            <family val="18"/>
          </rPr>
          <t xml:space="preserve">4. Bataillon </t>
        </r>
        <r>
          <rPr>
            <sz val="14"/>
            <color rgb="FF000000"/>
            <rFont val="Times New Roman"/>
            <family val="18"/>
          </rPr>
          <t xml:space="preserve">[IR 25] </t>
        </r>
        <r>
          <rPr>
            <i/>
            <sz val="14"/>
            <color rgb="FF000000"/>
            <rFont val="Times New Roman"/>
            <family val="18"/>
          </rPr>
          <t>Wanzura Komp. zum IR 30 Fontaine Komp. transferiert</t>
        </r>
        <r>
          <rPr>
            <sz val="14"/>
            <color rgb="FF000000"/>
            <rFont val="Times New Roman"/>
            <family val="18"/>
          </rPr>
          <t xml:space="preserve"> [TL June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text>
    </comment>
    <comment ref="BG434" authorId="0" shapeId="0" xr:uid="{37FABE90-3A07-7F44-A150-64A052639259}">
      <text>
        <r>
          <rPr>
            <sz val="14"/>
            <color rgb="FF000000"/>
            <rFont val="Times New Roman"/>
            <family val="18"/>
          </rPr>
          <t>ML 2664 IR 30 (1798) – TL IR 25-&gt;IR 30 Nr. 7 (Prague 17/06/1798); ST June (Lemberg 28/03/1803), Dec (Theresienstadt 23/07/1799)</t>
        </r>
      </text>
    </comment>
    <comment ref="BH434" authorId="0" shapeId="0" xr:uid="{06B1E216-0ED7-6C49-9AB6-28C7DCCCA5BF}">
      <text>
        <r>
          <rPr>
            <sz val="14"/>
            <color rgb="FF000000"/>
            <rFont val="Calibri"/>
            <family val="34"/>
          </rPr>
          <t xml:space="preserve">IR 25 (1797-1798)
</t>
        </r>
        <r>
          <rPr>
            <sz val="14"/>
            <color rgb="FF000000"/>
            <rFont val="Calibri"/>
            <family val="34"/>
          </rPr>
          <t>IR 30 (1798)</t>
        </r>
      </text>
    </comment>
    <comment ref="BI434" authorId="0" shapeId="0" xr:uid="{228DD304-F22E-3A4A-975B-3AAF2FAAA3E8}">
      <text>
        <r>
          <rPr>
            <i/>
            <sz val="14"/>
            <color rgb="FF000000"/>
            <rFont val="Times New Roman"/>
            <family val="18"/>
          </rPr>
          <t>Gut und nie Bestraft worden</t>
        </r>
        <r>
          <rPr>
            <sz val="14"/>
            <color rgb="FF000000"/>
            <rFont val="Times New Roman"/>
            <family val="18"/>
          </rPr>
          <t xml:space="preserve"> [TL June 1798]</t>
        </r>
      </text>
    </comment>
    <comment ref="BF435" authorId="0" shapeId="0" xr:uid="{A526D2D4-B29B-1847-9A63-55AF4470CCD8}">
      <text>
        <r>
          <rPr>
            <sz val="14"/>
            <color rgb="FF000000"/>
            <rFont val="Times New Roman"/>
            <family val="18"/>
          </rPr>
          <t xml:space="preserve">27/09/1797 </t>
        </r>
        <r>
          <rPr>
            <i/>
            <sz val="14"/>
            <color rgb="FF000000"/>
            <rFont val="Times New Roman"/>
            <family val="18"/>
          </rPr>
          <t>Dient seit auf Kriegsdauer gestellt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11 Haupt Baumgarten Komp. Nr. 37</t>
        </r>
        <r>
          <rPr>
            <sz val="14"/>
            <color rgb="FF000000"/>
            <rFont val="Times New Roman"/>
            <family val="18"/>
          </rPr>
          <t xml:space="preserve">
</t>
        </r>
        <r>
          <rPr>
            <sz val="14"/>
            <color rgb="FF000000"/>
            <rFont val="Times New Roman"/>
            <family val="18"/>
          </rPr>
          <t>25/08/1804 Muster: IR 11 Haupt Baumgarten Komp. Nr. 32 [</t>
        </r>
        <r>
          <rPr>
            <i/>
            <sz val="14"/>
            <color rgb="FF000000"/>
            <rFont val="Times New Roman"/>
            <family val="18"/>
          </rPr>
          <t>Beurlaubt zur Einberufung in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06/07/1805 </t>
        </r>
        <r>
          <rPr>
            <i/>
            <sz val="14"/>
            <color rgb="FF000000"/>
            <rFont val="Times New Roman"/>
            <family val="18"/>
          </rPr>
          <t>Als Kriegs Capitulant mit Abschied</t>
        </r>
        <r>
          <rPr>
            <sz val="14"/>
            <color rgb="FF000000"/>
            <rFont val="Times New Roman"/>
            <family val="18"/>
          </rPr>
          <t xml:space="preserve"> entlassen [ML 1806] </t>
        </r>
        <r>
          <rPr>
            <sz val="14"/>
            <color rgb="FF000000"/>
            <rFont val="Times New Roman"/>
            <family val="18"/>
          </rPr>
          <t xml:space="preserve">
</t>
        </r>
      </text>
    </comment>
    <comment ref="BG435" authorId="0" shapeId="0" xr:uid="{7E6DDFC3-BDAA-F74A-977B-BBD12167C789}">
      <text>
        <r>
          <rPr>
            <sz val="14"/>
            <color rgb="FF000000"/>
            <rFont val="Times New Roman"/>
            <family val="18"/>
          </rPr>
          <t>ML 804/5 IR 11 (1802) – Haupt Baumgarten Komp. Nr. 37 (Prague 16/09/1802)</t>
        </r>
        <r>
          <rPr>
            <sz val="14"/>
            <color rgb="FF000000"/>
            <rFont val="Times New Roman"/>
            <family val="18"/>
          </rPr>
          <t xml:space="preserve">
</t>
        </r>
        <r>
          <rPr>
            <sz val="14"/>
            <color rgb="FF000000"/>
            <rFont val="Times New Roman"/>
            <family val="18"/>
          </rPr>
          <t>ML 806 IR 11 (1804) – Haupt Baumgarten Komp. Nr. 32 (Prague 25/08/1804)</t>
        </r>
        <r>
          <rPr>
            <sz val="14"/>
            <color rgb="FF000000"/>
            <rFont val="Times New Roman"/>
            <family val="18"/>
          </rPr>
          <t xml:space="preserve">
</t>
        </r>
        <r>
          <rPr>
            <sz val="14"/>
            <color rgb="FF000000"/>
            <rFont val="Times New Roman"/>
            <family val="18"/>
          </rPr>
          <t>ML 807/8 IR 11 (1806) – 10. Fus. Komp. Abgang (Prague 23/12/1806)</t>
        </r>
        <r>
          <rPr>
            <sz val="14"/>
            <color rgb="FF000000"/>
            <rFont val="Times New Roman"/>
            <family val="18"/>
          </rPr>
          <t xml:space="preserve">
</t>
        </r>
      </text>
    </comment>
    <comment ref="BH435" authorId="0" shapeId="0" xr:uid="{53EE1717-48DC-E645-BAC9-B0688603892E}">
      <text>
        <r>
          <rPr>
            <sz val="14"/>
            <color rgb="FF000000"/>
            <rFont val="Calibri"/>
            <family val="34"/>
          </rPr>
          <t>IR 11 (1797-1805)</t>
        </r>
      </text>
    </comment>
    <comment ref="BF436" authorId="0" shapeId="0" xr:uid="{76AEA3AF-CAE9-564E-95CF-C119CF267502}">
      <text>
        <r>
          <rPr>
            <sz val="14"/>
            <color rgb="FF000000"/>
            <rFont val="Times New Roman"/>
            <family val="18"/>
          </rPr>
          <t xml:space="preserve">02/10/1797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23/09/1799 </t>
        </r>
        <r>
          <rPr>
            <i/>
            <sz val="14"/>
            <color rgb="FF000000"/>
            <rFont val="Times New Roman"/>
            <family val="18"/>
          </rPr>
          <t>krank in Armée Spital</t>
        </r>
        <r>
          <rPr>
            <sz val="14"/>
            <color rgb="FF000000"/>
            <rFont val="Times New Roman"/>
            <family val="18"/>
          </rPr>
          <t xml:space="preserve"> [ST Oct 1799]</t>
        </r>
        <r>
          <rPr>
            <sz val="14"/>
            <color rgb="FF000000"/>
            <rFont val="Calibri"/>
            <family val="34"/>
          </rPr>
          <t xml:space="preserve">
</t>
        </r>
        <r>
          <rPr>
            <sz val="14"/>
            <color rgb="FF000000"/>
            <rFont val="Times New Roman"/>
            <family val="18"/>
          </rPr>
          <t>16/09/1802 Muster: IR 23 Haupt Balbus Nr. 68</t>
        </r>
        <r>
          <rPr>
            <sz val="14"/>
            <color rgb="FF000000"/>
            <rFont val="Calibri"/>
            <family val="34"/>
          </rPr>
          <t xml:space="preserve">
</t>
        </r>
        <r>
          <rPr>
            <sz val="14"/>
            <color rgb="FF000000"/>
            <rFont val="Times New Roman"/>
            <family val="18"/>
          </rPr>
          <t>13/09/1803 Muster: IR 23 Haupt Balbus Nr. 58 [</t>
        </r>
        <r>
          <rPr>
            <i/>
            <sz val="14"/>
            <color rgb="FF000000"/>
            <rFont val="Times New Roman"/>
            <family val="18"/>
          </rPr>
          <t>Bestimmt 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30/06/1804 </t>
        </r>
        <r>
          <rPr>
            <i/>
            <sz val="14"/>
            <color rgb="FF000000"/>
            <rFont val="Times New Roman"/>
            <family val="18"/>
          </rPr>
          <t>Von Urlaub in Polen desertiert</t>
        </r>
        <r>
          <rPr>
            <sz val="14"/>
            <color rgb="FF000000"/>
            <rFont val="Times New Roman"/>
            <family val="18"/>
          </rPr>
          <t xml:space="preserve"> [ML 1804] </t>
        </r>
      </text>
    </comment>
    <comment ref="BG436" authorId="0" shapeId="0" xr:uid="{03422AF6-EFB7-554C-88DF-CE2F0E4ED3B4}">
      <text>
        <r>
          <rPr>
            <sz val="14"/>
            <color rgb="FF000000"/>
            <rFont val="Times New Roman"/>
            <family val="18"/>
          </rPr>
          <t>ML 10.124 IR 23 (1802) – Haupt Balbus Komp. Nr. 68 (Vienna 16/09/1802)</t>
        </r>
        <r>
          <rPr>
            <sz val="14"/>
            <color rgb="FF000000"/>
            <rFont val="Calibri"/>
            <family val="34"/>
          </rPr>
          <t xml:space="preserve">
</t>
        </r>
        <r>
          <rPr>
            <sz val="14"/>
            <color rgb="FF000000"/>
            <rFont val="Times New Roman"/>
            <family val="18"/>
          </rPr>
          <t>ML 10.125 IR 23 (1803) – Haupt Balbus Komp. Nr. 58 (Vienna 13/09/1803)</t>
        </r>
        <r>
          <rPr>
            <sz val="14"/>
            <color rgb="FF000000"/>
            <rFont val="Calibri"/>
            <family val="34"/>
          </rPr>
          <t xml:space="preserve">
</t>
        </r>
        <r>
          <rPr>
            <sz val="14"/>
            <color rgb="FF000000"/>
            <rFont val="Times New Roman"/>
            <family val="18"/>
          </rPr>
          <t>ML 10.126 IR 23 (1804) – Haupt Balbus Komp. Abgang (Krems 06/09/1804)</t>
        </r>
        <r>
          <rPr>
            <sz val="14"/>
            <color rgb="FF000000"/>
            <rFont val="Calibri"/>
            <family val="34"/>
          </rPr>
          <t xml:space="preserve">
</t>
        </r>
        <r>
          <rPr>
            <sz val="14"/>
            <color rgb="FF000000"/>
            <rFont val="Times New Roman"/>
            <family val="18"/>
          </rPr>
          <t>ML 10.164 IR 23 (1800) – Oct (06/04/1801)</t>
        </r>
        <r>
          <rPr>
            <sz val="14"/>
            <color rgb="FF000000"/>
            <rFont val="Calibri"/>
            <family val="34"/>
          </rPr>
          <t xml:space="preserve">
</t>
        </r>
      </text>
    </comment>
    <comment ref="BH436" authorId="0" shapeId="0" xr:uid="{EB60ACDC-A2AA-1E40-83A0-9445C0F6A64D}">
      <text>
        <r>
          <rPr>
            <sz val="14"/>
            <color rgb="FF000000"/>
            <rFont val="Calibri"/>
            <family val="34"/>
          </rPr>
          <t>IR 23 (1797-1804)</t>
        </r>
      </text>
    </comment>
    <comment ref="BF437" authorId="0" shapeId="0" xr:uid="{BEA7266B-2B30-C741-A767-FCE8B6EB77E8}">
      <text>
        <r>
          <rPr>
            <sz val="14"/>
            <color rgb="FF000000"/>
            <rFont val="Times New Roman"/>
            <family val="18"/>
          </rPr>
          <t xml:space="preserve">05/10/1797 </t>
        </r>
        <r>
          <rPr>
            <i/>
            <sz val="14"/>
            <color rgb="FF000000"/>
            <rFont val="Times New Roman"/>
            <family val="18"/>
          </rPr>
          <t>Gegen 3Fl Handgeld und Versicherungsschein auf Dauer des Krieges von Land Ausgehoben und zum IR 1 4. Bat Haupt Dientlinger Komp. zugeteilt</t>
        </r>
        <r>
          <rPr>
            <sz val="14"/>
            <color rgb="FF000000"/>
            <rFont val="Times New Roman"/>
            <family val="18"/>
          </rPr>
          <t xml:space="preserve"> [AL Oct 1797]</t>
        </r>
        <r>
          <rPr>
            <sz val="14"/>
            <color rgb="FF000000"/>
            <rFont val="Calibri"/>
            <family val="34"/>
          </rPr>
          <t xml:space="preserve">
</t>
        </r>
        <r>
          <rPr>
            <sz val="14"/>
            <color rgb="FF000000"/>
            <rFont val="Times New Roman"/>
            <family val="18"/>
          </rPr>
          <t xml:space="preserve">15/03/1799 [Als Angehöriger 4. Bat. 4. Vacant [Haupt Dietlinger Komp.] </t>
        </r>
        <r>
          <rPr>
            <i/>
            <sz val="14"/>
            <color rgb="FF000000"/>
            <rFont val="Times New Roman"/>
            <family val="18"/>
          </rPr>
          <t xml:space="preserve">Vermog hoher General Kommando Verordnung dto Brünn den 6. März mit Abschied entlassen </t>
        </r>
        <r>
          <rPr>
            <sz val="14"/>
            <color rgb="FF000000"/>
            <rFont val="Times New Roman"/>
            <family val="18"/>
          </rPr>
          <t>[ST March 1799]</t>
        </r>
      </text>
    </comment>
    <comment ref="BG437" authorId="0" shapeId="0" xr:uid="{3F8D9223-81CE-B647-8638-E8C34CFDC455}">
      <text>
        <r>
          <rPr>
            <sz val="14"/>
            <color rgb="FF000000"/>
            <rFont val="Times New Roman"/>
            <family val="18"/>
          </rPr>
          <t xml:space="preserve">ML 69/70 IR 1 (1797) – AL Nr. 3 </t>
        </r>
        <r>
          <rPr>
            <sz val="14"/>
            <color rgb="FF000000"/>
            <rFont val="Times New Roman"/>
            <family val="18"/>
          </rPr>
          <t>(Olmütz 29/10/1799)</t>
        </r>
        <r>
          <rPr>
            <sz val="14"/>
            <color rgb="FF000000"/>
            <rFont val="Calibri"/>
            <family val="34"/>
          </rPr>
          <t xml:space="preserve">
</t>
        </r>
        <r>
          <rPr>
            <sz val="14"/>
            <color rgb="FF000000"/>
            <rFont val="Times New Roman"/>
            <family val="18"/>
          </rPr>
          <t xml:space="preserve">ML 72 IR 1 (1799) – </t>
        </r>
        <r>
          <rPr>
            <sz val="14"/>
            <color rgb="FF000000"/>
            <rFont val="Times New Roman"/>
            <family val="18"/>
          </rPr>
          <t>ST March (Olmütz 03/08/1799)</t>
        </r>
      </text>
    </comment>
    <comment ref="BH437" authorId="0" shapeId="0" xr:uid="{E180AB18-E9FA-8343-A742-4D5E03216FBB}">
      <text>
        <r>
          <rPr>
            <sz val="14"/>
            <color rgb="FF000000"/>
            <rFont val="Calibri"/>
            <family val="34"/>
          </rPr>
          <t>IR 1 (1797-1799)</t>
        </r>
      </text>
    </comment>
    <comment ref="BF438" authorId="0" shapeId="0" xr:uid="{DAD03D76-03A8-6947-9578-0B25354003D2}">
      <text>
        <r>
          <rPr>
            <sz val="14"/>
            <color rgb="FF000000"/>
            <rFont val="Times New Roman"/>
            <family val="18"/>
          </rPr>
          <t xml:space="preserve">21/12/1797 </t>
        </r>
        <r>
          <rPr>
            <i/>
            <sz val="14"/>
            <color rgb="FF000000"/>
            <rFont val="Times New Roman"/>
            <family val="18"/>
          </rPr>
          <t>Von MLFK I.Ö. Armee Reserve Commando zum IR 10 transferiert und zum Proviant Fuhrwesen eingeteilt</t>
        </r>
        <r>
          <rPr>
            <sz val="14"/>
            <color rgb="FF000000"/>
            <rFont val="Times New Roman"/>
            <family val="18"/>
          </rPr>
          <t xml:space="preserve"> [ST Oct ST &amp; TL 1797]</t>
        </r>
        <r>
          <rPr>
            <sz val="14"/>
            <color rgb="FF000000"/>
            <rFont val="Calibri"/>
            <family val="34"/>
          </rPr>
          <t xml:space="preserve">
</t>
        </r>
        <r>
          <rPr>
            <sz val="14"/>
            <color rgb="FF000000"/>
            <rFont val="Times New Roman"/>
            <family val="18"/>
          </rPr>
          <t>15/03/1798 Revision: IR 10 Proviant Fuhrwesen Nr. 22 [</t>
        </r>
        <r>
          <rPr>
            <i/>
            <sz val="14"/>
            <color rgb="FF000000"/>
            <rFont val="Times New Roman"/>
            <family val="18"/>
          </rPr>
          <t>Beilaufer</t>
        </r>
        <r>
          <rPr>
            <sz val="14"/>
            <color rgb="FF000000"/>
            <rFont val="Times New Roman"/>
            <family val="18"/>
          </rPr>
          <t>]</t>
        </r>
        <r>
          <rPr>
            <sz val="14"/>
            <color rgb="FF000000"/>
            <rFont val="Calibri"/>
            <family val="34"/>
          </rPr>
          <t xml:space="preserve">
</t>
        </r>
        <r>
          <rPr>
            <sz val="14"/>
            <color rgb="FF000000"/>
            <rFont val="Times New Roman"/>
            <family val="18"/>
          </rPr>
          <t xml:space="preserve">31/10/1799 </t>
        </r>
        <r>
          <rPr>
            <i/>
            <sz val="14"/>
            <color rgb="FF000000"/>
            <rFont val="Times New Roman"/>
            <family val="18"/>
          </rPr>
          <t>Von IR 10 Proviant Fuhrwesen Krankheithalber zum MFWK transferiert</t>
        </r>
        <r>
          <rPr>
            <sz val="14"/>
            <color rgb="FF000000"/>
            <rFont val="Times New Roman"/>
            <family val="18"/>
          </rPr>
          <t xml:space="preserve"> [ST Nov 1799]</t>
        </r>
        <r>
          <rPr>
            <sz val="14"/>
            <color rgb="FF000000"/>
            <rFont val="Calibri"/>
            <family val="34"/>
          </rPr>
          <t xml:space="preserve">
</t>
        </r>
      </text>
    </comment>
    <comment ref="BG438" authorId="0" shapeId="0" xr:uid="{598D349C-117B-8045-8CAC-AB3D81D6EA4A}">
      <text>
        <r>
          <rPr>
            <sz val="14"/>
            <color rgb="FF000000"/>
            <rFont val="Times New Roman"/>
            <family val="18"/>
          </rPr>
          <t>ML 711/2 IR 10 (1798) – Proviant Fuhrwesen Nr. 22 (Mestre 15/03/1798)</t>
        </r>
        <r>
          <rPr>
            <sz val="14"/>
            <color rgb="FF000000"/>
            <rFont val="Calibri"/>
            <family val="34"/>
          </rPr>
          <t xml:space="preserve">
</t>
        </r>
        <r>
          <rPr>
            <sz val="14"/>
            <color rgb="FF000000"/>
            <rFont val="Times New Roman"/>
            <family val="18"/>
          </rPr>
          <t>ML 746 IR 10 (1798/9) – ST Nov 1799 (13/05/1800)</t>
        </r>
        <r>
          <rPr>
            <sz val="14"/>
            <color rgb="FF000000"/>
            <rFont val="Calibri"/>
            <family val="34"/>
          </rPr>
          <t xml:space="preserve">
</t>
        </r>
      </text>
    </comment>
    <comment ref="BH438" authorId="0" shapeId="0" xr:uid="{A6CA28D9-9FFE-E541-BF33-4A3C8DE29759}">
      <text>
        <r>
          <rPr>
            <sz val="14"/>
            <color rgb="FF000000"/>
            <rFont val="Calibri"/>
            <family val="34"/>
          </rPr>
          <t xml:space="preserve">MFWK (1797-1799)
</t>
        </r>
      </text>
    </comment>
    <comment ref="BF439" authorId="0" shapeId="0" xr:uid="{2D6DFC0D-F686-AD43-BBDE-7F3F6D4FC8CB}">
      <text>
        <r>
          <rPr>
            <sz val="14"/>
            <color rgb="FF000000"/>
            <rFont val="Times New Roman"/>
            <family val="18"/>
          </rPr>
          <t xml:space="preserve">01/11/1797 </t>
        </r>
        <r>
          <rPr>
            <i/>
            <sz val="14"/>
            <color rgb="FF000000"/>
            <rFont val="Times New Roman"/>
            <family val="18"/>
          </rPr>
          <t>Auf Kriegsdauer zu O’Donnell Freycorps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01/07/1798 </t>
        </r>
        <r>
          <rPr>
            <i/>
            <sz val="14"/>
            <color rgb="FF000000"/>
            <rFont val="Times New Roman"/>
            <family val="18"/>
          </rPr>
          <t xml:space="preserve">Von O’Donnell FK zum Strozzy </t>
        </r>
        <r>
          <rPr>
            <b/>
            <sz val="14"/>
            <color rgb="FF000000"/>
            <rFont val="Times New Roman"/>
            <family val="18"/>
          </rPr>
          <t>LB 1</t>
        </r>
        <r>
          <rPr>
            <i/>
            <sz val="14"/>
            <color rgb="FF000000"/>
            <rFont val="Times New Roman"/>
            <family val="18"/>
          </rPr>
          <t xml:space="preserve">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31/08/1801 </t>
        </r>
        <r>
          <rPr>
            <i/>
            <sz val="14"/>
            <color rgb="FF000000"/>
            <rFont val="Times New Roman"/>
            <family val="18"/>
          </rPr>
          <t>Von LB 1 zum GR 2 transferiert und zur Haupt Kienmayer Kompanie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1 Haupt Kienmayer Komp. Nr. 342</t>
        </r>
        <r>
          <rPr>
            <sz val="14"/>
            <color rgb="FF000000"/>
            <rFont val="Calibri"/>
            <family val="34"/>
          </rPr>
          <t xml:space="preserve">
</t>
        </r>
        <r>
          <rPr>
            <sz val="14"/>
            <color rgb="FF000000"/>
            <rFont val="Times New Roman"/>
            <family val="18"/>
          </rPr>
          <t>26/08/1803 Muster: GR 2 Haupt Branconot Komp. Nr. 299 [</t>
        </r>
        <r>
          <rPr>
            <i/>
            <sz val="14"/>
            <color rgb="FF000000"/>
            <rFont val="Times New Roman"/>
            <family val="18"/>
          </rPr>
          <t>In Regiment Stockhaus in Zamosc</t>
        </r>
        <r>
          <rPr>
            <sz val="14"/>
            <color rgb="FF000000"/>
            <rFont val="Times New Roman"/>
            <family val="18"/>
          </rPr>
          <t>]</t>
        </r>
        <r>
          <rPr>
            <sz val="14"/>
            <color rgb="FF000000"/>
            <rFont val="Calibri"/>
            <family val="34"/>
          </rPr>
          <t xml:space="preserve">
</t>
        </r>
        <r>
          <rPr>
            <sz val="14"/>
            <color rgb="FF000000"/>
            <rFont val="Times New Roman"/>
            <family val="18"/>
          </rPr>
          <t xml:space="preserve">26/05/1804 </t>
        </r>
        <r>
          <rPr>
            <i/>
            <sz val="14"/>
            <color rgb="FF000000"/>
            <rFont val="Times New Roman"/>
            <family val="18"/>
          </rPr>
          <t>Von Sonsten Desertiert</t>
        </r>
        <r>
          <rPr>
            <sz val="14"/>
            <color rgb="FF000000"/>
            <rFont val="Times New Roman"/>
            <family val="18"/>
          </rPr>
          <t xml:space="preserve"> [ML 1804]</t>
        </r>
      </text>
    </comment>
    <comment ref="BG439" authorId="0" shapeId="0" xr:uid="{7CE655F5-6BF6-C34B-AA28-708B083DB38F}">
      <text>
        <r>
          <rPr>
            <sz val="14"/>
            <color rgb="FF000000"/>
            <rFont val="Times New Roman"/>
            <family val="18"/>
          </rPr>
          <t>ML 11.182 GR 2 (1802) – Haupt Keinmayer Komp. Nr. 342 (Zamosc 30/08/1802)</t>
        </r>
        <r>
          <rPr>
            <sz val="14"/>
            <color rgb="FF000000"/>
            <rFont val="Calibri"/>
            <family val="34"/>
          </rPr>
          <t xml:space="preserve">
</t>
        </r>
        <r>
          <rPr>
            <sz val="14"/>
            <color rgb="FF000000"/>
            <rFont val="Times New Roman"/>
            <family val="18"/>
          </rPr>
          <t>ML 11.184 GR 2 (1803) – Haupt Branconot Komp. Nr. 299 (Lemberg 26/08/1803)</t>
        </r>
        <r>
          <rPr>
            <sz val="14"/>
            <color rgb="FF000000"/>
            <rFont val="Calibri"/>
            <family val="34"/>
          </rPr>
          <t xml:space="preserve">
</t>
        </r>
        <r>
          <rPr>
            <sz val="14"/>
            <color rgb="FF000000"/>
            <rFont val="Times New Roman"/>
            <family val="18"/>
          </rPr>
          <t>ML 11.185 GR 2 (1804) – Haupt Branconot Komp. Abgang (??? 10/08/1804)</t>
        </r>
      </text>
    </comment>
    <comment ref="BH439" authorId="0" shapeId="0" xr:uid="{DA08BCB5-D5E5-6B44-824F-0162F77385F9}">
      <text>
        <r>
          <rPr>
            <sz val="14"/>
            <color rgb="FF000000"/>
            <rFont val="Calibri"/>
            <family val="34"/>
          </rPr>
          <t xml:space="preserve">FK O'Donnel  (1797-1798)
</t>
        </r>
        <r>
          <rPr>
            <sz val="14"/>
            <color rgb="FF000000"/>
            <rFont val="Calibri"/>
            <family val="34"/>
          </rPr>
          <t xml:space="preserve">LB 1 (1798-1801)
</t>
        </r>
        <r>
          <rPr>
            <sz val="14"/>
            <color rgb="FF000000"/>
            <rFont val="Calibri"/>
            <family val="34"/>
          </rPr>
          <t>GR 2 (1801-1804)</t>
        </r>
      </text>
    </comment>
    <comment ref="BF440" authorId="0" shapeId="0" xr:uid="{8B7BE8DE-CC41-CB42-8D24-92715AA3891B}">
      <text>
        <r>
          <rPr>
            <i/>
            <sz val="14"/>
            <color rgb="FF000000"/>
            <rFont val="Times New Roman"/>
            <family val="18"/>
          </rPr>
          <t>Soll bei O’Donnell Frey Corps gedient haben</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1798 </t>
        </r>
        <r>
          <rPr>
            <i/>
            <sz val="14"/>
            <color rgb="FF000000"/>
            <rFont val="Times New Roman"/>
            <family val="18"/>
          </rPr>
          <t>Als Landständischer Recrout gestellt worden</t>
        </r>
        <r>
          <rPr>
            <sz val="14"/>
            <color rgb="FF000000"/>
            <rFont val="Times New Roman"/>
            <family val="18"/>
          </rPr>
          <t xml:space="preserve"> [TL Nov 1801]</t>
        </r>
        <r>
          <rPr>
            <sz val="14"/>
            <color rgb="FF000000"/>
            <rFont val="Calibri"/>
            <family val="34"/>
          </rPr>
          <t xml:space="preserve">
</t>
        </r>
        <r>
          <rPr>
            <i/>
            <sz val="14"/>
            <color rgb="FF000000"/>
            <rFont val="Times New Roman"/>
            <family val="18"/>
          </rPr>
          <t>Halbe Jahr nach der Assentierung bey Schweinforth entwichen</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16/01/1801 </t>
        </r>
        <r>
          <rPr>
            <i/>
            <sz val="14"/>
            <color rgb="FF000000"/>
            <rFont val="Times New Roman"/>
            <family val="18"/>
          </rPr>
          <t>Als selbst gemeldeter Deserteur zu Höxter präsentiert</t>
        </r>
        <r>
          <rPr>
            <sz val="14"/>
            <color rgb="FF000000"/>
            <rFont val="Times New Roman"/>
            <family val="18"/>
          </rPr>
          <t xml:space="preserve"> [DL 1801]</t>
        </r>
        <r>
          <rPr>
            <sz val="14"/>
            <color rgb="FF000000"/>
            <rFont val="Calibri"/>
            <family val="34"/>
          </rPr>
          <t xml:space="preserve">
</t>
        </r>
        <r>
          <rPr>
            <sz val="14"/>
            <color rgb="FF000000"/>
            <rFont val="Times New Roman"/>
            <family val="18"/>
          </rPr>
          <t>31/10/1801 Dissolvierung: LBat 3 Major Wattlet Komp. Nr. 42 [</t>
        </r>
        <r>
          <rPr>
            <i/>
            <sz val="14"/>
            <color rgb="FF000000"/>
            <rFont val="Times New Roman"/>
            <family val="18"/>
          </rPr>
          <t>Zu Bellegarde Inf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Major Wattlet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11/02/1802 </t>
        </r>
        <r>
          <rPr>
            <i/>
            <sz val="14"/>
            <color rgb="FF000000"/>
            <rFont val="Times New Roman"/>
            <family val="18"/>
          </rPr>
          <t xml:space="preserve">Auf Unbestimmte Zeit ins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10 Februar 802 mit Abschied entlassen und ist für selbe, der in der Monat Tabella pro Februario 1802 bei Lieb Companie in Zuwachs genommenen Recrout Matheo Bachich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440" authorId="0" shapeId="0" xr:uid="{7F2CD65E-5C4D-124A-9F8D-A68A86EDB4D6}">
      <text>
        <r>
          <rPr>
            <sz val="14"/>
            <color rgb="FF000000"/>
            <rFont val="Times New Roman"/>
            <family val="18"/>
          </rPr>
          <t>ML 10.624 LB 3 (1798-1801) – DL 1801 Major Komp. Nr. 42 (Cervignano 31/10/1801)</t>
        </r>
        <r>
          <rPr>
            <sz val="14"/>
            <color rgb="FF000000"/>
            <rFont val="Calibri"/>
            <family val="34"/>
          </rPr>
          <t xml:space="preserve">
</t>
        </r>
        <r>
          <rPr>
            <sz val="14"/>
            <color rgb="FF000000"/>
            <rFont val="Times New Roman"/>
            <family val="18"/>
          </rPr>
          <t>ML 10.629 LB 3 (1801-2) – TL LB 3-&gt;IR 44 Nr. 26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440" authorId="0" shapeId="0" xr:uid="{DE461311-E7C6-B942-8EF5-8BE8737A83CE}">
      <text>
        <r>
          <rPr>
            <sz val="14"/>
            <color rgb="FF000000"/>
            <rFont val="Times New Roman"/>
            <family val="18"/>
          </rPr>
          <t xml:space="preserve">FK O'Donnell (1798)
</t>
        </r>
        <r>
          <rPr>
            <sz val="14"/>
            <color rgb="FF000000"/>
            <rFont val="Times New Roman"/>
            <family val="18"/>
          </rPr>
          <t xml:space="preserve">LB 3 (1801)
</t>
        </r>
        <r>
          <rPr>
            <sz val="14"/>
            <color rgb="FF000000"/>
            <rFont val="Times New Roman"/>
            <family val="18"/>
          </rPr>
          <t>IR 44 (1801-1802)</t>
        </r>
      </text>
    </comment>
    <comment ref="BI440" authorId="0" shapeId="0" xr:uid="{F0BD790B-273C-2045-BFC5-5E4D89531503}">
      <text>
        <r>
          <rPr>
            <sz val="14"/>
            <color rgb="FF000000"/>
            <rFont val="Calibri"/>
            <family val="34"/>
          </rPr>
          <t>Gut (TL Nov 1801)</t>
        </r>
      </text>
    </comment>
    <comment ref="I441" authorId="0" shapeId="0" xr:uid="{34C89929-FC6A-E547-9846-6792A6E904F1}">
      <text>
        <r>
          <rPr>
            <sz val="14"/>
            <color rgb="FF000000"/>
            <rFont val="Times New Roman"/>
            <family val="18"/>
          </rPr>
          <t xml:space="preserve">31 (1799)
</t>
        </r>
        <r>
          <rPr>
            <sz val="14"/>
            <color rgb="FF000000"/>
            <rFont val="Times New Roman"/>
            <family val="18"/>
          </rPr>
          <t xml:space="preserve">31 (1801) </t>
        </r>
      </text>
    </comment>
    <comment ref="BF441" authorId="0" shapeId="0" xr:uid="{D1075CDF-597C-154B-B547-5830A190EFA5}">
      <text>
        <r>
          <rPr>
            <i/>
            <sz val="14"/>
            <color rgb="FF000000"/>
            <rFont val="Times New Roman"/>
            <family val="18"/>
          </rPr>
          <t xml:space="preserve">Dient 3 Jahr </t>
        </r>
        <r>
          <rPr>
            <sz val="14"/>
            <color rgb="FF000000"/>
            <rFont val="Times New Roman"/>
            <family val="18"/>
          </rPr>
          <t xml:space="preserve">[TL 1801]
</t>
        </r>
        <r>
          <rPr>
            <sz val="14"/>
            <color rgb="FF000000"/>
            <rFont val="Times New Roman"/>
            <family val="18"/>
          </rPr>
          <t xml:space="preserve">30/04/1801 </t>
        </r>
        <r>
          <rPr>
            <i/>
            <sz val="14"/>
            <color rgb="FF000000"/>
            <rFont val="Times New Roman"/>
            <family val="18"/>
          </rPr>
          <t xml:space="preserve">Von Vacant Belgiojosischen Infanterie Regiment No 44 Provinat Fuhrwesen zum k.k. Italienischem Militair Fuhrwesens Reserve Depot transferiert </t>
        </r>
        <r>
          <rPr>
            <sz val="14"/>
            <color rgb="FF000000"/>
            <rFont val="Times New Roman"/>
            <family val="18"/>
          </rPr>
          <t xml:space="preserve">[TL 1801 &amp; ST May 1801]
</t>
        </r>
      </text>
    </comment>
    <comment ref="BG441" authorId="0" shapeId="0" xr:uid="{A4637A4E-AFE2-7540-B774-3A1626099EC3}">
      <text>
        <r>
          <rPr>
            <sz val="14"/>
            <color rgb="FF000000"/>
            <rFont val="Times New Roman"/>
            <family val="18"/>
          </rPr>
          <t>ML 5102-4 IR 60 (1802) – Proviant Fuhrwesen Zuwachs &amp; Abgang (Tamesvar 15/09/1802)</t>
        </r>
        <r>
          <rPr>
            <sz val="14"/>
            <color rgb="FF000000"/>
            <rFont val="Calibri"/>
            <family val="34"/>
          </rPr>
          <t xml:space="preserve">
</t>
        </r>
        <r>
          <rPr>
            <sz val="14"/>
            <color rgb="FF000000"/>
            <rFont val="Times New Roman"/>
            <family val="18"/>
          </rPr>
          <t>ML 5221 IR 60 (1799) AL/TL – TL MFWK-&gt;IR 60 Nr. 1 (Bregenz 28/04/1799)</t>
        </r>
        <r>
          <rPr>
            <sz val="14"/>
            <color rgb="FF000000"/>
            <rFont val="Calibri"/>
            <family val="34"/>
          </rPr>
          <t xml:space="preserve">
</t>
        </r>
        <r>
          <rPr>
            <sz val="14"/>
            <color rgb="FF000000"/>
            <rFont val="Times New Roman"/>
            <family val="18"/>
          </rPr>
          <t>ML 5125 IR 60 (1801) AL/TL – TL IR 60-&gt;MFWK Nr. 1 (Temesvar 31/05/1803)</t>
        </r>
      </text>
    </comment>
    <comment ref="BH441" authorId="0" shapeId="0" xr:uid="{75DB435F-3858-9A45-A921-0EEBFECB73A2}">
      <text>
        <r>
          <rPr>
            <sz val="14"/>
            <color rgb="FF000000"/>
            <rFont val="Calibri"/>
            <family val="34"/>
          </rPr>
          <t xml:space="preserve">MFWK (1798-1801)
</t>
        </r>
      </text>
    </comment>
    <comment ref="BF442" authorId="0" shapeId="0" xr:uid="{C7384A08-F22D-4941-BBE5-99A846E0F5E8}">
      <text>
        <r>
          <rPr>
            <sz val="14"/>
            <color rgb="FF000000"/>
            <rFont val="Times New Roman"/>
            <family val="18"/>
          </rPr>
          <t xml:space="preserve">10/02/1798 </t>
        </r>
        <r>
          <rPr>
            <i/>
            <sz val="14"/>
            <color rgb="FF000000"/>
            <rFont val="Times New Roman"/>
            <family val="18"/>
          </rPr>
          <t xml:space="preserve">Für Beständig assentiert </t>
        </r>
        <r>
          <rPr>
            <sz val="14"/>
            <color rgb="FF000000"/>
            <rFont val="Times New Roman"/>
            <family val="18"/>
          </rPr>
          <t>[TL Sept 1798]</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Kaunitz Inf Regiment Nr. 20 Haupt von christ Komp.</t>
        </r>
        <r>
          <rPr>
            <sz val="14"/>
            <color rgb="FF000000"/>
            <rFont val="Times New Roman"/>
            <family val="18"/>
          </rPr>
          <t xml:space="preserve"> </t>
        </r>
        <r>
          <rPr>
            <i/>
            <sz val="14"/>
            <color rgb="FF000000"/>
            <rFont val="Times New Roman"/>
            <family val="18"/>
          </rPr>
          <t>3. Komp. zum IR 30 Casier Komp. transferiert und seitdem auf anhero Marsch</t>
        </r>
        <r>
          <rPr>
            <sz val="14"/>
            <color rgb="FF000000"/>
            <rFont val="Times New Roman"/>
            <family val="18"/>
          </rPr>
          <t xml:space="preserve"> [TL Sept 1798 &amp; ST Aug 1798]</t>
        </r>
        <r>
          <rPr>
            <sz val="14"/>
            <color rgb="FF000000"/>
            <rFont val="Calibri"/>
            <family val="34"/>
          </rPr>
          <t xml:space="preserve">
</t>
        </r>
        <r>
          <rPr>
            <sz val="14"/>
            <color rgb="FF000000"/>
            <rFont val="Times New Roman"/>
            <family val="18"/>
          </rPr>
          <t xml:space="preserve">09/09/1798 </t>
        </r>
        <r>
          <rPr>
            <i/>
            <sz val="14"/>
            <color rgb="FF000000"/>
            <rFont val="Times New Roman"/>
            <family val="18"/>
          </rPr>
          <t>In Kompanie eingerückt</t>
        </r>
        <r>
          <rPr>
            <sz val="14"/>
            <color rgb="FF000000"/>
            <rFont val="Times New Roman"/>
            <family val="18"/>
          </rPr>
          <t xml:space="preserve"> [ST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42" authorId="0" shapeId="0" xr:uid="{B2426221-BCC5-6A47-B00B-59A02CF87EE7}">
      <text>
        <r>
          <rPr>
            <sz val="14"/>
            <color rgb="FF000000"/>
            <rFont val="Times New Roman"/>
            <family val="18"/>
          </rPr>
          <t>ML 2664 IR 30 (1798) – TL IR 20-&gt;IR 30 Nr. 31 (Neutitschein 20/09/1798); ST Aug (Lemberg 24/03/1803), Sept (Lemberg 03/04/1803), Dec (Theresienstadt 23/07/1799)</t>
        </r>
        <r>
          <rPr>
            <sz val="14"/>
            <color rgb="FF000000"/>
            <rFont val="Calibri"/>
            <family val="34"/>
          </rPr>
          <t xml:space="preserve">
</t>
        </r>
      </text>
    </comment>
    <comment ref="BH442" authorId="0" shapeId="0" xr:uid="{1752064D-456F-2448-8772-106643031479}">
      <text>
        <r>
          <rPr>
            <sz val="14"/>
            <color rgb="FF000000"/>
            <rFont val="Calibri"/>
            <family val="34"/>
          </rPr>
          <t xml:space="preserve">IR 20 (1798)
</t>
        </r>
        <r>
          <rPr>
            <sz val="14"/>
            <color rgb="FF000000"/>
            <rFont val="Calibri"/>
            <family val="34"/>
          </rPr>
          <t>IR 30 (1798)</t>
        </r>
      </text>
    </comment>
    <comment ref="BI442" authorId="0" shapeId="0" xr:uid="{95C76910-59D4-5849-B458-E39E87E02BBC}">
      <text>
        <r>
          <rPr>
            <i/>
            <sz val="14"/>
            <color rgb="FF000000"/>
            <rFont val="Times New Roman"/>
            <family val="18"/>
          </rPr>
          <t>Gut</t>
        </r>
        <r>
          <rPr>
            <sz val="14"/>
            <color rgb="FF000000"/>
            <rFont val="Times New Roman"/>
            <family val="18"/>
          </rPr>
          <t xml:space="preserve"> [TL Sept 1798]</t>
        </r>
        <r>
          <rPr>
            <sz val="14"/>
            <color rgb="FF000000"/>
            <rFont val="Calibri"/>
            <family val="2"/>
          </rPr>
          <t xml:space="preserve"> </t>
        </r>
      </text>
    </comment>
    <comment ref="BF443" authorId="0" shapeId="0" xr:uid="{8BB6D634-1891-E14E-B687-E94C4C2E7BAB}">
      <text>
        <r>
          <rPr>
            <sz val="14"/>
            <color rgb="FF000000"/>
            <rFont val="Times New Roman"/>
            <family val="18"/>
          </rPr>
          <t xml:space="preserve">10/02/1798 </t>
        </r>
        <r>
          <rPr>
            <i/>
            <sz val="14"/>
            <color rgb="FF000000"/>
            <rFont val="Times New Roman"/>
            <family val="18"/>
          </rPr>
          <t xml:space="preserve">Für Beständig assentiert </t>
        </r>
        <r>
          <rPr>
            <sz val="14"/>
            <color rgb="FF000000"/>
            <rFont val="Times New Roman"/>
            <family val="18"/>
          </rPr>
          <t>[TL Sept 1798]</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Kaunitz Inf Regiment Nr. 20 Haupt von Christ Komp.</t>
        </r>
        <r>
          <rPr>
            <sz val="14"/>
            <color rgb="FF000000"/>
            <rFont val="Times New Roman"/>
            <family val="18"/>
          </rPr>
          <t xml:space="preserve"> </t>
        </r>
        <r>
          <rPr>
            <i/>
            <sz val="14"/>
            <color rgb="FF000000"/>
            <rFont val="Times New Roman"/>
            <family val="18"/>
          </rPr>
          <t>3. Komp. zum IR 30 Leib Komp. transferiert, seitdem auf anhero Marsch</t>
        </r>
        <r>
          <rPr>
            <sz val="14"/>
            <color rgb="FF000000"/>
            <rFont val="Times New Roman"/>
            <family val="18"/>
          </rPr>
          <t xml:space="preserve"> [TL Sept 1798 &amp; ST Aug 1798]</t>
        </r>
        <r>
          <rPr>
            <sz val="14"/>
            <color rgb="FF000000"/>
            <rFont val="Calibri"/>
            <family val="34"/>
          </rPr>
          <t xml:space="preserve">
</t>
        </r>
        <r>
          <rPr>
            <sz val="14"/>
            <color rgb="FF000000"/>
            <rFont val="Times New Roman"/>
            <family val="18"/>
          </rPr>
          <t xml:space="preserve">08/09/1798 </t>
        </r>
        <r>
          <rPr>
            <i/>
            <sz val="14"/>
            <color rgb="FF000000"/>
            <rFont val="Times New Roman"/>
            <family val="18"/>
          </rPr>
          <t xml:space="preserve">In Kompanie eingerückt </t>
        </r>
        <r>
          <rPr>
            <sz val="14"/>
            <color rgb="FF000000"/>
            <rFont val="Times New Roman"/>
            <family val="18"/>
          </rPr>
          <t>[ST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43" authorId="0" shapeId="0" xr:uid="{0E744201-83D3-BF4A-B5B7-5483A11DF5A9}">
      <text>
        <r>
          <rPr>
            <sz val="14"/>
            <color rgb="FF000000"/>
            <rFont val="Times New Roman"/>
            <family val="18"/>
          </rPr>
          <t>ML 2664 IR 30 (1798) – TL IR 20-&gt;IR 30 Nr. 33 (Neutitschein 20/09/1798); ST Aug (Lemberg 24/03/1803), ST Sept (Lemberg 03/04/1798), ST Dec (Theresienstadt 23/07/1799)</t>
        </r>
        <r>
          <rPr>
            <sz val="14"/>
            <color rgb="FF000000"/>
            <rFont val="Calibri"/>
            <family val="34"/>
          </rPr>
          <t xml:space="preserve">
</t>
        </r>
      </text>
    </comment>
    <comment ref="BH443" authorId="0" shapeId="0" xr:uid="{499A6EEE-5819-3448-B4D6-528739CAC4C7}">
      <text>
        <r>
          <rPr>
            <sz val="14"/>
            <color rgb="FF000000"/>
            <rFont val="Calibri"/>
            <family val="34"/>
          </rPr>
          <t xml:space="preserve">IR 20 (1798)
</t>
        </r>
        <r>
          <rPr>
            <sz val="14"/>
            <color rgb="FF000000"/>
            <rFont val="Calibri"/>
            <family val="34"/>
          </rPr>
          <t>IR 30 (1798)</t>
        </r>
      </text>
    </comment>
    <comment ref="BI443" authorId="0" shapeId="0" xr:uid="{53F46B15-5085-8543-A3B5-2F0E886570F8}">
      <text>
        <r>
          <rPr>
            <i/>
            <sz val="14"/>
            <color rgb="FF000000"/>
            <rFont val="Times New Roman"/>
            <family val="18"/>
          </rPr>
          <t>Gut</t>
        </r>
        <r>
          <rPr>
            <sz val="14"/>
            <color rgb="FF000000"/>
            <rFont val="Times New Roman"/>
            <family val="18"/>
          </rPr>
          <t xml:space="preserve"> [TL Sept 1798]</t>
        </r>
        <r>
          <rPr>
            <sz val="14"/>
            <color rgb="FF000000"/>
            <rFont val="Calibri"/>
            <family val="2"/>
          </rPr>
          <t xml:space="preserve"> </t>
        </r>
      </text>
    </comment>
    <comment ref="BF444" authorId="0" shapeId="0" xr:uid="{719AF7DE-0301-EC46-83D1-6F6862495EAF}">
      <text>
        <r>
          <rPr>
            <sz val="14"/>
            <color rgb="FF000000"/>
            <rFont val="Times New Roman"/>
            <family val="18"/>
          </rPr>
          <t xml:space="preserve">10/02/1798 </t>
        </r>
        <r>
          <rPr>
            <i/>
            <sz val="14"/>
            <color rgb="FF000000"/>
            <rFont val="Times New Roman"/>
            <family val="18"/>
          </rPr>
          <t xml:space="preserve">Für Beständig assentiert </t>
        </r>
        <r>
          <rPr>
            <sz val="14"/>
            <color rgb="FF000000"/>
            <rFont val="Times New Roman"/>
            <family val="18"/>
          </rPr>
          <t>[TL Sept 1798]</t>
        </r>
        <r>
          <rPr>
            <sz val="14"/>
            <color rgb="FF000000"/>
            <rFont val="Calibri"/>
            <family val="34"/>
          </rPr>
          <t xml:space="preserve">
</t>
        </r>
        <r>
          <rPr>
            <sz val="14"/>
            <color rgb="FF000000"/>
            <rFont val="Times New Roman"/>
            <family val="18"/>
          </rPr>
          <t xml:space="preserve">16/08/1798 </t>
        </r>
        <r>
          <rPr>
            <i/>
            <sz val="14"/>
            <color rgb="FF000000"/>
            <rFont val="Times New Roman"/>
            <family val="18"/>
          </rPr>
          <t>Von Kaunitz Inf Regiment Nr. 20 Haupt von Christ Komp.</t>
        </r>
        <r>
          <rPr>
            <sz val="14"/>
            <color rgb="FF000000"/>
            <rFont val="Times New Roman"/>
            <family val="18"/>
          </rPr>
          <t xml:space="preserve"> </t>
        </r>
        <r>
          <rPr>
            <i/>
            <sz val="14"/>
            <color rgb="FF000000"/>
            <rFont val="Times New Roman"/>
            <family val="18"/>
          </rPr>
          <t>3. Komp. zum IR 30 Schmid Komp. transferiert seitdem auf anhero Marsch</t>
        </r>
        <r>
          <rPr>
            <sz val="14"/>
            <color rgb="FF000000"/>
            <rFont val="Times New Roman"/>
            <family val="18"/>
          </rPr>
          <t xml:space="preserve"> [TL Aug 1798]</t>
        </r>
        <r>
          <rPr>
            <sz val="14"/>
            <color rgb="FF000000"/>
            <rFont val="Calibri"/>
            <family val="34"/>
          </rPr>
          <t xml:space="preserve">
</t>
        </r>
        <r>
          <rPr>
            <sz val="14"/>
            <color rgb="FF000000"/>
            <rFont val="Times New Roman"/>
            <family val="18"/>
          </rPr>
          <t xml:space="preserve">09/09/1798 </t>
        </r>
        <r>
          <rPr>
            <i/>
            <sz val="14"/>
            <color rgb="FF000000"/>
            <rFont val="Times New Roman"/>
            <family val="18"/>
          </rPr>
          <t>In Kompanie eingerückt</t>
        </r>
        <r>
          <rPr>
            <sz val="14"/>
            <color rgb="FF000000"/>
            <rFont val="Times New Roman"/>
            <family val="18"/>
          </rPr>
          <t xml:space="preserve"> [ST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44" authorId="0" shapeId="0" xr:uid="{0F052AA9-3AAA-F746-AE30-17C968320FA5}">
      <text>
        <r>
          <rPr>
            <sz val="14"/>
            <color rgb="FF000000"/>
            <rFont val="Times New Roman"/>
            <family val="18"/>
          </rPr>
          <t>ML 2664 IR 30 (1798) – TL IR 20-&gt;IR 30 Nr. 32 (Neutitschein 20/09/1798); ST Aug (Lemberg 24/03/1803); Sept (Lemberg 03/04/1803), Dec (Theresienstadt 23/07/1799)</t>
        </r>
        <r>
          <rPr>
            <sz val="14"/>
            <color rgb="FF000000"/>
            <rFont val="Calibri"/>
            <family val="34"/>
          </rPr>
          <t xml:space="preserve">
</t>
        </r>
      </text>
    </comment>
    <comment ref="BH444" authorId="0" shapeId="0" xr:uid="{A427BACC-13C7-0F4F-8418-20160A81D7BF}">
      <text>
        <r>
          <rPr>
            <sz val="14"/>
            <color rgb="FF000000"/>
            <rFont val="Calibri"/>
            <family val="34"/>
          </rPr>
          <t xml:space="preserve">IR 20 (1798)
</t>
        </r>
        <r>
          <rPr>
            <sz val="14"/>
            <color rgb="FF000000"/>
            <rFont val="Calibri"/>
            <family val="34"/>
          </rPr>
          <t>IR 30 (1798)</t>
        </r>
      </text>
    </comment>
    <comment ref="BI444" authorId="0" shapeId="0" xr:uid="{A60994A6-6A35-DA4A-B52D-6726535A0795}">
      <text>
        <r>
          <rPr>
            <i/>
            <sz val="14"/>
            <color rgb="FF000000"/>
            <rFont val="Times New Roman"/>
            <family val="18"/>
          </rPr>
          <t>Gut</t>
        </r>
        <r>
          <rPr>
            <sz val="14"/>
            <color rgb="FF000000"/>
            <rFont val="Times New Roman"/>
            <family val="18"/>
          </rPr>
          <t xml:space="preserve"> [TL Sept 1798]</t>
        </r>
        <r>
          <rPr>
            <sz val="14"/>
            <color rgb="FF000000"/>
            <rFont val="Calibri"/>
            <family val="2"/>
          </rPr>
          <t xml:space="preserve"> </t>
        </r>
      </text>
    </comment>
    <comment ref="BF445" authorId="0" shapeId="0" xr:uid="{EFAC5D7D-8700-4348-A040-2624FFDBAA2B}">
      <text>
        <r>
          <rPr>
            <sz val="14"/>
            <color rgb="FF000000"/>
            <rFont val="Times New Roman"/>
            <family val="18"/>
          </rPr>
          <t xml:space="preserve">18/03/1798 </t>
        </r>
        <r>
          <rPr>
            <i/>
            <sz val="14"/>
            <color rgb="FF000000"/>
            <rFont val="Times New Roman"/>
            <family val="18"/>
          </rPr>
          <t>Dient seit mit 6. Jahriger Capitulation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De Vaux Inf</t>
        </r>
        <r>
          <rPr>
            <sz val="14"/>
            <color rgb="FF000000"/>
            <rFont val="Times New Roman"/>
            <family val="18"/>
          </rPr>
          <t xml:space="preserve"> </t>
        </r>
        <r>
          <rPr>
            <b/>
            <sz val="14"/>
            <color rgb="FF000000"/>
            <rFont val="Times New Roman"/>
            <family val="18"/>
          </rPr>
          <t>[IR 45]</t>
        </r>
        <r>
          <rPr>
            <sz val="14"/>
            <color rgb="FF000000"/>
            <rFont val="Times New Roman"/>
            <family val="18"/>
          </rPr>
          <t xml:space="preserve"> </t>
        </r>
        <r>
          <rPr>
            <i/>
            <sz val="14"/>
            <color rgb="FF000000"/>
            <rFont val="Times New Roman"/>
            <family val="18"/>
          </rPr>
          <t>zum IR 44 transferiert und zur 4. Fus. Komp. eingeteilt</t>
        </r>
        <r>
          <rPr>
            <sz val="14"/>
            <color rgb="FF000000"/>
            <rFont val="Times New Roman"/>
            <family val="18"/>
          </rPr>
          <t xml:space="preserve"> [ML 1811] </t>
        </r>
        <r>
          <rPr>
            <sz val="14"/>
            <color rgb="FF000000"/>
            <rFont val="Calibri"/>
            <family val="34"/>
          </rPr>
          <t xml:space="preserve">
</t>
        </r>
        <r>
          <rPr>
            <sz val="14"/>
            <color rgb="FF000000"/>
            <rFont val="Times New Roman"/>
            <family val="18"/>
          </rPr>
          <t>25/09/1810 Revision: IR 44 4. Fus. Komp. Nr. 184</t>
        </r>
        <r>
          <rPr>
            <sz val="14"/>
            <color rgb="FF000000"/>
            <rFont val="Calibri"/>
            <family val="34"/>
          </rPr>
          <t xml:space="preserve">
</t>
        </r>
        <r>
          <rPr>
            <sz val="14"/>
            <color rgb="FF000000"/>
            <rFont val="Times New Roman"/>
            <family val="18"/>
          </rPr>
          <t>18/09/1811 Muster: IR 44 4. Fus. Komp. Nr. 117</t>
        </r>
        <r>
          <rPr>
            <sz val="14"/>
            <color rgb="FF000000"/>
            <rFont val="Calibri"/>
            <family val="34"/>
          </rPr>
          <t xml:space="preserve">
</t>
        </r>
        <r>
          <rPr>
            <sz val="14"/>
            <color rgb="FF000000"/>
            <rFont val="Times New Roman"/>
            <family val="18"/>
          </rPr>
          <t xml:space="preserve">05/02/1812 </t>
        </r>
        <r>
          <rPr>
            <i/>
            <sz val="14"/>
            <color rgb="FF000000"/>
            <rFont val="Times New Roman"/>
            <family val="18"/>
          </rPr>
          <t xml:space="preserve">Gegen Stellung zwey Andere und Erlaag doppolte Montur Geld mit Abschied entlassen </t>
        </r>
        <r>
          <rPr>
            <sz val="14"/>
            <color rgb="FF000000"/>
            <rFont val="Times New Roman"/>
            <family val="18"/>
          </rPr>
          <t>[RL 1812]</t>
        </r>
        <r>
          <rPr>
            <sz val="14"/>
            <color rgb="FF000000"/>
            <rFont val="Calibri"/>
            <family val="34"/>
          </rPr>
          <t xml:space="preserve">
</t>
        </r>
      </text>
    </comment>
    <comment ref="BG445" authorId="0" shapeId="0" xr:uid="{40BA6AF4-A5D0-D84A-92BF-E0947B1C444C}">
      <text>
        <r>
          <rPr>
            <sz val="14"/>
            <color rgb="FF000000"/>
            <rFont val="Times New Roman"/>
            <family val="18"/>
          </rPr>
          <t>ML 3911 IR 44 (1808-10) – RL 4. Fus. Komp. Nr. 15 (Sthulweissenburg 25/09/1810)</t>
        </r>
        <r>
          <rPr>
            <sz val="14"/>
            <color rgb="FF000000"/>
            <rFont val="Calibri"/>
            <family val="34"/>
          </rPr>
          <t xml:space="preserve">
</t>
        </r>
        <r>
          <rPr>
            <sz val="14"/>
            <color rgb="FF000000"/>
            <rFont val="Times New Roman"/>
            <family val="18"/>
          </rPr>
          <t>ML 3912-3 IR 44 (1811) – 4. Fus. Komp. Nr. 117 (Pappa 18/09/1811)</t>
        </r>
        <r>
          <rPr>
            <sz val="14"/>
            <color rgb="FF000000"/>
            <rFont val="Calibri"/>
            <family val="34"/>
          </rPr>
          <t xml:space="preserve">
</t>
        </r>
        <r>
          <rPr>
            <sz val="14"/>
            <color rgb="FF000000"/>
            <rFont val="Times New Roman"/>
            <family val="18"/>
          </rPr>
          <t>ML 3914 IR 44 (1812/6) – 3. Fus. Komp. Abgang (Pest 19/09/1812)</t>
        </r>
        <r>
          <rPr>
            <sz val="14"/>
            <color rgb="FF000000"/>
            <rFont val="Calibri"/>
            <family val="34"/>
          </rPr>
          <t xml:space="preserve">
</t>
        </r>
      </text>
    </comment>
    <comment ref="BH445" authorId="0" shapeId="0" xr:uid="{00BE1BA0-6F0A-204D-BE62-A825711784C0}">
      <text>
        <r>
          <rPr>
            <sz val="14"/>
            <color rgb="FF000000"/>
            <rFont val="Calibri"/>
            <family val="34"/>
          </rPr>
          <t xml:space="preserve">IR 45 (1798-1810)
</t>
        </r>
        <r>
          <rPr>
            <sz val="14"/>
            <color rgb="FF000000"/>
            <rFont val="Calibri"/>
            <family val="34"/>
          </rPr>
          <t>IR 44 (1810-1812)</t>
        </r>
      </text>
    </comment>
    <comment ref="BF446" authorId="0" shapeId="0" xr:uid="{8830EDDF-3E35-1447-9777-4F6CB18315F7}">
      <text>
        <r>
          <rPr>
            <i/>
            <sz val="14"/>
            <color rgb="FF000000"/>
            <rFont val="Times New Roman"/>
            <family val="18"/>
          </rPr>
          <t xml:space="preserve">Dient 3 Jahr </t>
        </r>
        <r>
          <rPr>
            <sz val="14"/>
            <color rgb="FF000000"/>
            <rFont val="Times New Roman"/>
            <family val="18"/>
          </rPr>
          <t xml:space="preserve">[TL 1801]
</t>
        </r>
        <r>
          <rPr>
            <sz val="14"/>
            <color rgb="FF000000"/>
            <rFont val="Times New Roman"/>
            <family val="18"/>
          </rPr>
          <t xml:space="preserve">30/04/1801 </t>
        </r>
        <r>
          <rPr>
            <i/>
            <sz val="14"/>
            <color rgb="FF000000"/>
            <rFont val="Times New Roman"/>
            <family val="18"/>
          </rPr>
          <t xml:space="preserve">Von Vacant Belgiojosischen Infanterie Regiment No 44 Provinat Fuhrwesen zum k.k. Italienischem Militair Fuhrwesens Reserve Depot transferiert </t>
        </r>
        <r>
          <rPr>
            <sz val="14"/>
            <color rgb="FF000000"/>
            <rFont val="Times New Roman"/>
            <family val="18"/>
          </rPr>
          <t xml:space="preserve">[TL 1801 &amp; ST May 1801]
</t>
        </r>
      </text>
    </comment>
    <comment ref="BG446" authorId="0" shapeId="0" xr:uid="{B0E819EA-2E8D-F44D-9996-36BEB5187871}">
      <text>
        <r>
          <rPr>
            <sz val="14"/>
            <color rgb="FF000000"/>
            <rFont val="Times New Roman"/>
            <family val="18"/>
          </rPr>
          <t xml:space="preserve">ML 3943 IR 44 (1801) ST May Proviant Fuhrwesen - Abgang (St Gotthard 30/10/1803)
</t>
        </r>
        <r>
          <rPr>
            <sz val="14"/>
            <color rgb="FF000000"/>
            <rFont val="Times New Roman"/>
            <family val="18"/>
          </rPr>
          <t>ML 3943 IR 44 (1801) AL/TL TL IR 43-&gt;MFWK Nr. 3 (St Gotthard 30/04/1801)</t>
        </r>
      </text>
    </comment>
    <comment ref="BH446" authorId="0" shapeId="0" xr:uid="{62948AE5-4294-3E41-8E91-97AB4A7E8880}">
      <text>
        <r>
          <rPr>
            <sz val="14"/>
            <color rgb="FF000000"/>
            <rFont val="Calibri"/>
            <family val="34"/>
          </rPr>
          <t>MFWK (1798-1801)</t>
        </r>
      </text>
    </comment>
    <comment ref="BF447" authorId="0" shapeId="0" xr:uid="{83F199A2-5E35-644D-A8FD-3FF851D15C9B}">
      <text>
        <r>
          <rPr>
            <sz val="14"/>
            <color rgb="FF000000"/>
            <rFont val="Times New Roman"/>
            <family val="18"/>
          </rPr>
          <t xml:space="preserve">Jan. 1798 </t>
        </r>
        <r>
          <rPr>
            <i/>
            <sz val="14"/>
            <color rgb="FF000000"/>
            <rFont val="Times New Roman"/>
            <family val="18"/>
          </rPr>
          <t>A 3Fl Handgeld landständisch assentiert worden</t>
        </r>
        <r>
          <rPr>
            <sz val="14"/>
            <color rgb="FF000000"/>
            <rFont val="Times New Roman"/>
            <family val="18"/>
          </rPr>
          <t xml:space="preserve"> [TL April 1799]</t>
        </r>
        <r>
          <rPr>
            <sz val="14"/>
            <color rgb="FF000000"/>
            <rFont val="Calibri"/>
            <family val="34"/>
          </rPr>
          <t xml:space="preserve">
</t>
        </r>
        <r>
          <rPr>
            <sz val="14"/>
            <color rgb="FF000000"/>
            <rFont val="Times New Roman"/>
            <family val="18"/>
          </rPr>
          <t xml:space="preserve">28/04/1799 </t>
        </r>
        <r>
          <rPr>
            <i/>
            <sz val="14"/>
            <color rgb="FF000000"/>
            <rFont val="Times New Roman"/>
            <family val="18"/>
          </rPr>
          <t>von K.K. Militar Fuhrwesens Corps Reserve Division zur ungarische Inf. Regt. Nr. 60. 2 Feld Bataillons eingeteilt</t>
        </r>
        <r>
          <rPr>
            <sz val="14"/>
            <color rgb="FF000000"/>
            <rFont val="Times New Roman"/>
            <family val="18"/>
          </rPr>
          <t xml:space="preserve"> [TL April 1799]</t>
        </r>
        <r>
          <rPr>
            <sz val="14"/>
            <color rgb="FF000000"/>
            <rFont val="Calibri"/>
            <family val="34"/>
          </rPr>
          <t xml:space="preserve">
</t>
        </r>
        <r>
          <rPr>
            <sz val="14"/>
            <color rgb="FF000000"/>
            <rFont val="Times New Roman"/>
            <family val="18"/>
          </rPr>
          <t xml:space="preserve">20/02/1801 </t>
        </r>
        <r>
          <rPr>
            <i/>
            <sz val="14"/>
            <color rgb="FF000000"/>
            <rFont val="Times New Roman"/>
            <family val="18"/>
          </rPr>
          <t>Von IR 60 Proviant Fuhrwesen zum MFWK 91. Pro Cento Division transferiert</t>
        </r>
        <r>
          <rPr>
            <sz val="14"/>
            <color rgb="FF000000"/>
            <rFont val="Times New Roman"/>
            <family val="18"/>
          </rPr>
          <t xml:space="preserve"> [TL May 1803]</t>
        </r>
        <r>
          <rPr>
            <sz val="14"/>
            <color rgb="FF000000"/>
            <rFont val="Calibri"/>
            <family val="34"/>
          </rPr>
          <t xml:space="preserve">
</t>
        </r>
      </text>
    </comment>
    <comment ref="BG447" authorId="0" shapeId="0" xr:uid="{1928FAD1-E725-FE4C-B1F1-815FBFABD5B3}">
      <text>
        <r>
          <rPr>
            <sz val="14"/>
            <color rgb="FF000000"/>
            <rFont val="Times New Roman"/>
            <family val="18"/>
          </rPr>
          <t xml:space="preserve">ML 3943 IR 44 (1801) ST May Proviant Fuhrwesen - Abgang (St Gotthard 30/10/1803)
</t>
        </r>
        <r>
          <rPr>
            <sz val="14"/>
            <color rgb="FF000000"/>
            <rFont val="Times New Roman"/>
            <family val="18"/>
          </rPr>
          <t>ML 3943 IR 44 (1801) AL/TL TL IR 43-&gt;MFWK Nr. 3 (St Gotthard 30/04/1801)</t>
        </r>
      </text>
    </comment>
    <comment ref="BH447" authorId="0" shapeId="0" xr:uid="{2AC950A7-AB93-4E47-BB4E-4F22A9F77CAF}">
      <text>
        <r>
          <rPr>
            <sz val="14"/>
            <color rgb="FF000000"/>
            <rFont val="Calibri"/>
            <family val="34"/>
          </rPr>
          <t>MFWK (1798-1801)</t>
        </r>
      </text>
    </comment>
    <comment ref="BF448" authorId="0" shapeId="0" xr:uid="{E726127A-70C3-E345-8E7B-17F411A46829}">
      <text>
        <r>
          <rPr>
            <sz val="14"/>
            <color rgb="FF000000"/>
            <rFont val="Times New Roman"/>
            <family val="18"/>
          </rPr>
          <t xml:space="preserve">04/05/1798 </t>
        </r>
        <r>
          <rPr>
            <i/>
            <sz val="14"/>
            <color rgb="FF000000"/>
            <rFont val="Times New Roman"/>
            <family val="18"/>
          </rPr>
          <t>Zu Konsky a 3Fl Handgeld als ländstandischer Recrout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01/04/1802 </t>
        </r>
        <r>
          <rPr>
            <i/>
            <sz val="14"/>
            <color rgb="FF000000"/>
            <rFont val="Times New Roman"/>
            <family val="18"/>
          </rPr>
          <t xml:space="preserve">Beurlaubt in seinem Geburtsort </t>
        </r>
        <r>
          <rPr>
            <sz val="14"/>
            <color rgb="FF000000"/>
            <rFont val="Times New Roman"/>
            <family val="18"/>
          </rPr>
          <t xml:space="preserve">[ML 1806] </t>
        </r>
        <r>
          <rPr>
            <sz val="14"/>
            <color rgb="FF000000"/>
            <rFont val="Calibri"/>
            <family val="34"/>
          </rPr>
          <t xml:space="preserve">
</t>
        </r>
        <r>
          <rPr>
            <sz val="14"/>
            <color rgb="FF000000"/>
            <rFont val="Times New Roman"/>
            <family val="18"/>
          </rPr>
          <t>30/08/1803 Muster: IR 59 Haupt. Revelard Komp. Nr. 104 [</t>
        </r>
        <r>
          <rPr>
            <i/>
            <sz val="14"/>
            <color rgb="FF000000"/>
            <rFont val="Times New Roman"/>
            <family val="18"/>
          </rPr>
          <t>Unbestimmt beurlaubt in seinem geburtsort Opotzna</t>
        </r>
        <r>
          <rPr>
            <sz val="14"/>
            <color rgb="FF000000"/>
            <rFont val="Times New Roman"/>
            <family val="18"/>
          </rPr>
          <t>]</t>
        </r>
        <r>
          <rPr>
            <sz val="14"/>
            <color rgb="FF000000"/>
            <rFont val="Calibri"/>
            <family val="34"/>
          </rPr>
          <t xml:space="preserve">
</t>
        </r>
        <r>
          <rPr>
            <sz val="14"/>
            <color rgb="FF000000"/>
            <rFont val="Times New Roman"/>
            <family val="18"/>
          </rPr>
          <t>05/09/1804 Muster: IR 59 Haupt. Revelard Komp. Nr. 99 [</t>
        </r>
        <r>
          <rPr>
            <i/>
            <sz val="14"/>
            <color rgb="FF000000"/>
            <rFont val="Times New Roman"/>
            <family val="18"/>
          </rPr>
          <t>Beurlaubt in Ort und Herrschaft Stadt Opotzna, West Gallizein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448" authorId="0" shapeId="0" xr:uid="{27BCED65-DDC8-8A46-884F-189564510EEF}">
      <text>
        <r>
          <rPr>
            <sz val="14"/>
            <color rgb="FF000000"/>
            <rFont val="Times New Roman"/>
            <family val="18"/>
          </rPr>
          <t>ML 5015 IR 59 (1803) – Haupt Revelard Nr. 104 (Wells 30/08/1803)</t>
        </r>
        <r>
          <rPr>
            <sz val="14"/>
            <color rgb="FF000000"/>
            <rFont val="Calibri"/>
            <family val="34"/>
          </rPr>
          <t xml:space="preserve">
</t>
        </r>
        <r>
          <rPr>
            <sz val="14"/>
            <color rgb="FF000000"/>
            <rFont val="Times New Roman"/>
            <family val="18"/>
          </rPr>
          <t>ML 5016 IR 59 (1804) –Haupt. Revelard Komp Nr. 99 (Mils bei Hall 05/09/1804)</t>
        </r>
        <r>
          <rPr>
            <sz val="14"/>
            <color rgb="FF000000"/>
            <rFont val="Calibri"/>
            <family val="34"/>
          </rPr>
          <t xml:space="preserve">
</t>
        </r>
        <r>
          <rPr>
            <sz val="14"/>
            <color rgb="FF000000"/>
            <rFont val="Times New Roman"/>
            <family val="18"/>
          </rPr>
          <t>ML 5017/8 IR 59 (1806) – Cons. ‚Unwissend verlohren‘ Nr. 171 (Linz 10/07/1807)</t>
        </r>
        <r>
          <rPr>
            <sz val="14"/>
            <color rgb="FF000000"/>
            <rFont val="Calibri"/>
            <family val="34"/>
          </rPr>
          <t xml:space="preserve">
</t>
        </r>
      </text>
    </comment>
    <comment ref="BH448" authorId="0" shapeId="0" xr:uid="{CAC50560-200A-304E-80AF-A78D8B0FAE4C}">
      <text>
        <r>
          <rPr>
            <sz val="14"/>
            <color rgb="FF000000"/>
            <rFont val="Calibri"/>
            <family val="34"/>
          </rPr>
          <t>IR 59 (1798-1806)</t>
        </r>
      </text>
    </comment>
    <comment ref="I449" authorId="0" shapeId="0" xr:uid="{13299448-2E09-5A49-B4EB-39D9EDF080FA}">
      <text>
        <r>
          <rPr>
            <b/>
            <sz val="14"/>
            <color rgb="FF000000"/>
            <rFont val="Calibri"/>
            <family val="34"/>
          </rPr>
          <t xml:space="preserve">1772 [31 (1802)] 
</t>
        </r>
        <r>
          <rPr>
            <sz val="14"/>
            <color rgb="FF000000"/>
            <rFont val="Calibri"/>
            <family val="34"/>
          </rPr>
          <t xml:space="preserve">OR 
</t>
        </r>
        <r>
          <rPr>
            <sz val="14"/>
            <color rgb="FF000000"/>
            <rFont val="Calibri"/>
            <family val="34"/>
          </rPr>
          <t>1774 [25 (1799)]</t>
        </r>
      </text>
    </comment>
    <comment ref="T449" authorId="0" shapeId="0" xr:uid="{6690C386-0E57-4E40-9B47-8B10C18E64C5}">
      <text>
        <r>
          <rPr>
            <sz val="14"/>
            <color rgb="FF000000"/>
            <rFont val="Calibri"/>
            <family val="34"/>
          </rPr>
          <t xml:space="preserve">5.5.1  [171.37 cm] (1799)
</t>
        </r>
        <r>
          <rPr>
            <b/>
            <sz val="14"/>
            <color rgb="FF000000"/>
            <rFont val="Calibri"/>
            <family val="34"/>
          </rPr>
          <t>5.4.1 [168.74 cm] (1803)</t>
        </r>
      </text>
    </comment>
    <comment ref="BF449" authorId="0" shapeId="0" xr:uid="{932BB392-4436-D443-828E-F1F02B902ED1}">
      <text>
        <r>
          <rPr>
            <sz val="14"/>
            <color rgb="FF000000"/>
            <rFont val="Times New Roman"/>
            <family val="18"/>
          </rPr>
          <t xml:space="preserve">14/06/1798 </t>
        </r>
        <r>
          <rPr>
            <i/>
            <sz val="14"/>
            <color rgb="FF000000"/>
            <rFont val="Times New Roman"/>
            <family val="18"/>
          </rPr>
          <t>Ohne Capitulation assentiert</t>
        </r>
        <r>
          <rPr>
            <sz val="14"/>
            <color rgb="FF000000"/>
            <rFont val="Times New Roman"/>
            <family val="18"/>
          </rPr>
          <t xml:space="preserve"> [TL March 1799] </t>
        </r>
        <r>
          <rPr>
            <sz val="14"/>
            <color rgb="FF000000"/>
            <rFont val="Calibri"/>
            <family val="34"/>
          </rPr>
          <t xml:space="preserve">
</t>
        </r>
        <r>
          <rPr>
            <sz val="14"/>
            <color rgb="FFFF0000"/>
            <rFont val="Times New Roman"/>
            <family val="18"/>
          </rPr>
          <t xml:space="preserve">26/06/1798 </t>
        </r>
        <r>
          <rPr>
            <i/>
            <sz val="14"/>
            <color rgb="FFFF0000"/>
            <rFont val="Times New Roman"/>
            <family val="18"/>
          </rPr>
          <t>Gegen Versicherungsschein auf Dauer des Krieges assentiert</t>
        </r>
        <r>
          <rPr>
            <sz val="14"/>
            <color rgb="FFFF0000"/>
            <rFont val="Times New Roman"/>
            <family val="18"/>
          </rPr>
          <t xml:space="preserve"> [ML 1803]</t>
        </r>
        <r>
          <rPr>
            <sz val="14"/>
            <color rgb="FF000000"/>
            <rFont val="Calibri"/>
            <family val="34"/>
          </rPr>
          <t xml:space="preserve">
</t>
        </r>
        <r>
          <rPr>
            <sz val="14"/>
            <color rgb="FF000000"/>
            <rFont val="Times New Roman"/>
            <family val="18"/>
          </rPr>
          <t xml:space="preserve">31/07/1798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01/08/1798 </t>
        </r>
        <r>
          <rPr>
            <i/>
            <sz val="14"/>
            <color rgb="FF000000"/>
            <rFont val="Times New Roman"/>
            <family val="18"/>
          </rPr>
          <t>Selbst gemeldet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18/01/1799 </t>
        </r>
        <r>
          <rPr>
            <i/>
            <sz val="14"/>
            <color rgb="FF000000"/>
            <rFont val="Times New Roman"/>
            <family val="18"/>
          </rPr>
          <t>Von IR 1 Reserve Division 4. Haupt Dientlinger Komp. zum IR 1 Feld Battalions transferiert</t>
        </r>
        <r>
          <rPr>
            <sz val="14"/>
            <color rgb="FF000000"/>
            <rFont val="Times New Roman"/>
            <family val="18"/>
          </rPr>
          <t xml:space="preserve"> [TL March 1799]</t>
        </r>
        <r>
          <rPr>
            <sz val="14"/>
            <color rgb="FF000000"/>
            <rFont val="Calibri"/>
            <family val="34"/>
          </rPr>
          <t xml:space="preserve">
</t>
        </r>
        <r>
          <rPr>
            <sz val="14"/>
            <color rgb="FF000000"/>
            <rFont val="Times New Roman"/>
            <family val="18"/>
          </rPr>
          <t xml:space="preserve">01/05/1800 </t>
        </r>
        <r>
          <rPr>
            <i/>
            <sz val="14"/>
            <color rgb="FF000000"/>
            <rFont val="Times New Roman"/>
            <family val="18"/>
          </rPr>
          <t>Zum Gefreyter avanciert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01/11/1800 </t>
        </r>
        <r>
          <rPr>
            <i/>
            <sz val="14"/>
            <color rgb="FF000000"/>
            <rFont val="Times New Roman"/>
            <family val="18"/>
          </rPr>
          <t>Zum Corporal avanciert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13/09/1803 Muster: IR 1 Haupt Nangle Komp. Nr. 11</t>
        </r>
        <r>
          <rPr>
            <sz val="14"/>
            <color rgb="FF000000"/>
            <rFont val="Calibri"/>
            <family val="34"/>
          </rPr>
          <t xml:space="preserve">
</t>
        </r>
        <r>
          <rPr>
            <sz val="14"/>
            <color rgb="FF000000"/>
            <rFont val="Times New Roman"/>
            <family val="18"/>
          </rPr>
          <t xml:space="preserve">26/02/1804 </t>
        </r>
        <r>
          <rPr>
            <i/>
            <sz val="14"/>
            <color rgb="FF000000"/>
            <rFont val="Times New Roman"/>
            <family val="18"/>
          </rPr>
          <t>Aus der Festung Olmütz außer Dienst einsichtig desertiert</t>
        </r>
        <r>
          <rPr>
            <sz val="14"/>
            <color rgb="FF000000"/>
            <rFont val="Times New Roman"/>
            <family val="18"/>
          </rPr>
          <t xml:space="preserve"> [ML 1804]</t>
        </r>
        <r>
          <rPr>
            <sz val="14"/>
            <color rgb="FF000000"/>
            <rFont val="Calibri"/>
            <family val="34"/>
          </rPr>
          <t xml:space="preserve">
</t>
        </r>
      </text>
    </comment>
    <comment ref="BG449" authorId="0" shapeId="0" xr:uid="{7C995A6F-911C-A747-A63C-3D4747C90B61}">
      <text>
        <r>
          <rPr>
            <sz val="14"/>
            <color rgb="FF000000"/>
            <rFont val="Times New Roman"/>
            <family val="18"/>
          </rPr>
          <t>ML 29 IR 1 (1803) – Haupt Nangle Komp. Nr. 11 (</t>
        </r>
        <r>
          <rPr>
            <sz val="14"/>
            <color rgb="FF000000"/>
            <rFont val="Times New Roman"/>
            <family val="18"/>
          </rPr>
          <t>Karthaus nächst Brünn 13/09/1803</t>
        </r>
        <r>
          <rPr>
            <sz val="14"/>
            <color rgb="FF000000"/>
            <rFont val="Times New Roman"/>
            <family val="18"/>
          </rPr>
          <t>)</t>
        </r>
        <r>
          <rPr>
            <sz val="14"/>
            <color rgb="FF000000"/>
            <rFont val="Calibri"/>
            <family val="34"/>
          </rPr>
          <t xml:space="preserve">
</t>
        </r>
        <r>
          <rPr>
            <sz val="14"/>
            <color rgb="FF000000"/>
            <rFont val="Times New Roman"/>
            <family val="18"/>
          </rPr>
          <t>ML 30 IR 1 (1803) – Haupt Nangle Komp. Abgang (</t>
        </r>
        <r>
          <rPr>
            <sz val="14"/>
            <color rgb="FF000000"/>
            <rFont val="Times New Roman"/>
            <family val="18"/>
          </rPr>
          <t>Olm</t>
        </r>
        <r>
          <rPr>
            <sz val="14"/>
            <color rgb="FF000000"/>
            <rFont val="Times New Roman"/>
            <family val="18"/>
          </rPr>
          <t>ü</t>
        </r>
        <r>
          <rPr>
            <sz val="14"/>
            <color rgb="FF000000"/>
            <rFont val="Times New Roman"/>
            <family val="18"/>
          </rPr>
          <t>tz</t>
        </r>
        <r>
          <rPr>
            <sz val="14"/>
            <color rgb="FF000000"/>
            <rFont val="Times New Roman"/>
            <family val="18"/>
          </rPr>
          <t xml:space="preserve"> 13/0</t>
        </r>
        <r>
          <rPr>
            <sz val="14"/>
            <color rgb="FF000000"/>
            <rFont val="Times New Roman"/>
            <family val="18"/>
          </rPr>
          <t>8</t>
        </r>
        <r>
          <rPr>
            <sz val="14"/>
            <color rgb="FF000000"/>
            <rFont val="Times New Roman"/>
            <family val="18"/>
          </rPr>
          <t>/180</t>
        </r>
        <r>
          <rPr>
            <sz val="14"/>
            <color rgb="FF000000"/>
            <rFont val="Times New Roman"/>
            <family val="18"/>
          </rPr>
          <t>4</t>
        </r>
        <r>
          <rPr>
            <sz val="14"/>
            <color rgb="FF000000"/>
            <rFont val="Times New Roman"/>
            <family val="18"/>
          </rPr>
          <t>)</t>
        </r>
        <r>
          <rPr>
            <sz val="14"/>
            <color rgb="FF000000"/>
            <rFont val="Calibri"/>
            <family val="34"/>
          </rPr>
          <t xml:space="preserve">
</t>
        </r>
        <r>
          <rPr>
            <sz val="14"/>
            <color rgb="FF000000"/>
            <rFont val="Times New Roman"/>
            <family val="18"/>
          </rPr>
          <t xml:space="preserve">ML 73 (1799) AL/TL – TL IR 1 4. Bat-&gt; Feld Bats Nr. 265 </t>
        </r>
        <r>
          <rPr>
            <sz val="14"/>
            <color rgb="FF000000"/>
            <rFont val="Times New Roman"/>
            <family val="18"/>
          </rPr>
          <t>(</t>
        </r>
        <r>
          <rPr>
            <sz val="14"/>
            <color rgb="FF000000"/>
            <rFont val="Times New Roman"/>
            <family val="18"/>
          </rPr>
          <t>Olm</t>
        </r>
        <r>
          <rPr>
            <sz val="14"/>
            <color rgb="FF000000"/>
            <rFont val="Times New Roman"/>
            <family val="18"/>
          </rPr>
          <t>ü</t>
        </r>
        <r>
          <rPr>
            <sz val="14"/>
            <color rgb="FF000000"/>
            <rFont val="Times New Roman"/>
            <family val="18"/>
          </rPr>
          <t>tz</t>
        </r>
        <r>
          <rPr>
            <sz val="14"/>
            <color rgb="FF000000"/>
            <rFont val="Times New Roman"/>
            <family val="18"/>
          </rPr>
          <t xml:space="preserve"> 15/03/1799)</t>
        </r>
        <r>
          <rPr>
            <sz val="14"/>
            <color rgb="FF000000"/>
            <rFont val="Calibri"/>
            <family val="34"/>
          </rPr>
          <t xml:space="preserve">
</t>
        </r>
      </text>
    </comment>
    <comment ref="BH449" authorId="0" shapeId="0" xr:uid="{A7F853BC-FAE3-1E46-A038-B42A0013F8C3}">
      <text>
        <r>
          <rPr>
            <sz val="14"/>
            <color rgb="FF000000"/>
            <rFont val="Calibri"/>
            <family val="34"/>
          </rPr>
          <t>IR 1 (1798-1804)</t>
        </r>
      </text>
    </comment>
    <comment ref="BF450" authorId="0" shapeId="0" xr:uid="{BF17A3F9-1E7F-B94E-AC3E-95F030133CFC}">
      <text>
        <r>
          <rPr>
            <sz val="14"/>
            <color rgb="FF000000"/>
            <rFont val="Times New Roman"/>
            <family val="18"/>
          </rPr>
          <t xml:space="preserve">c. 07/1798 </t>
        </r>
        <r>
          <rPr>
            <i/>
            <sz val="14"/>
            <color rgb="FF000000"/>
            <rFont val="Times New Roman"/>
            <family val="18"/>
          </rPr>
          <t>dient 1 Jahr</t>
        </r>
        <r>
          <rPr>
            <sz val="14"/>
            <color rgb="FF000000"/>
            <rFont val="Times New Roman"/>
            <family val="18"/>
          </rPr>
          <t xml:space="preserve"> [TL July 1799]</t>
        </r>
        <r>
          <rPr>
            <sz val="14"/>
            <color rgb="FF000000"/>
            <rFont val="Calibri"/>
            <family val="34"/>
          </rPr>
          <t xml:space="preserve">
</t>
        </r>
        <r>
          <rPr>
            <sz val="14"/>
            <color rgb="FF000000"/>
            <rFont val="Times New Roman"/>
            <family val="18"/>
          </rPr>
          <t xml:space="preserve">26/07/1799 </t>
        </r>
        <r>
          <rPr>
            <i/>
            <sz val="14"/>
            <color rgb="FF000000"/>
            <rFont val="Times New Roman"/>
            <family val="18"/>
          </rPr>
          <t>Von dem Fuhrwesens Reserve Italischen Armee Feld Depot zum IR 43 Artillerie Bespannung transferiert</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IR 43 regiment Artillerie Bespannung zum Italienischen Fuhrwesen Reserve transferiert</t>
        </r>
        <r>
          <rPr>
            <sz val="14"/>
            <color rgb="FF000000"/>
            <rFont val="Times New Roman"/>
            <family val="18"/>
          </rPr>
          <t xml:space="preserve"> [ST Aug 1799]</t>
        </r>
        <r>
          <rPr>
            <sz val="14"/>
            <color rgb="FF000000"/>
            <rFont val="Calibri"/>
            <family val="34"/>
          </rPr>
          <t xml:space="preserve">
</t>
        </r>
      </text>
    </comment>
    <comment ref="BG450" authorId="0" shapeId="0" xr:uid="{323442C9-EEEA-4A45-B252-145140E020C2}">
      <text>
        <r>
          <rPr>
            <sz val="14"/>
            <color rgb="FF000000"/>
            <rFont val="Times New Roman"/>
            <family val="18"/>
          </rPr>
          <t xml:space="preserve">c. 07/1798 </t>
        </r>
        <r>
          <rPr>
            <i/>
            <sz val="14"/>
            <color rgb="FF000000"/>
            <rFont val="Times New Roman"/>
            <family val="18"/>
          </rPr>
          <t>dient 1 Jahr</t>
        </r>
        <r>
          <rPr>
            <sz val="14"/>
            <color rgb="FF000000"/>
            <rFont val="Times New Roman"/>
            <family val="18"/>
          </rPr>
          <t xml:space="preserve"> [TL July 1799]</t>
        </r>
        <r>
          <rPr>
            <sz val="14"/>
            <color rgb="FF000000"/>
            <rFont val="Calibri"/>
            <family val="34"/>
          </rPr>
          <t xml:space="preserve">
</t>
        </r>
        <r>
          <rPr>
            <sz val="14"/>
            <color rgb="FF000000"/>
            <rFont val="Times New Roman"/>
            <family val="18"/>
          </rPr>
          <t xml:space="preserve">26/07/1799 </t>
        </r>
        <r>
          <rPr>
            <i/>
            <sz val="14"/>
            <color rgb="FF000000"/>
            <rFont val="Times New Roman"/>
            <family val="18"/>
          </rPr>
          <t>Von dem Fuhrwesens Reserve Italischen Armee Feld Depot zum IR 43 Artillerie Bespannung transferiert</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IR 43 regiment Artillerie Bespannung zum Italienischen Fuhrwesen Reserve transferiert</t>
        </r>
        <r>
          <rPr>
            <sz val="14"/>
            <color rgb="FF000000"/>
            <rFont val="Times New Roman"/>
            <family val="18"/>
          </rPr>
          <t xml:space="preserve"> [ST Aug 1799]</t>
        </r>
        <r>
          <rPr>
            <sz val="14"/>
            <color rgb="FF000000"/>
            <rFont val="Calibri"/>
            <family val="34"/>
          </rPr>
          <t xml:space="preserve">
</t>
        </r>
      </text>
    </comment>
    <comment ref="BH450" authorId="0" shapeId="0" xr:uid="{1A1125A2-928E-B542-8466-E492E6B7D031}">
      <text>
        <r>
          <rPr>
            <sz val="14"/>
            <color rgb="FF000000"/>
            <rFont val="Calibri"/>
            <family val="34"/>
          </rPr>
          <t>MFWK (1798-1799))</t>
        </r>
      </text>
    </comment>
    <comment ref="BF451" authorId="0" shapeId="0" xr:uid="{F2D827C7-069E-7943-B787-25FAC589B99D}">
      <text>
        <r>
          <rPr>
            <sz val="14"/>
            <color rgb="FF000000"/>
            <rFont val="Times New Roman"/>
            <family val="18"/>
          </rPr>
          <t xml:space="preserve">13/07/1798 </t>
        </r>
        <r>
          <rPr>
            <i/>
            <sz val="14"/>
            <color rgb="FF000000"/>
            <rFont val="Times New Roman"/>
            <family val="18"/>
          </rPr>
          <t xml:space="preserve">Als Ost Galizische Recrout zum IR 30 gestellt und zum Haupt Chevaux Komp. transferiert, seitdem auf anhero Marsch </t>
        </r>
        <r>
          <rPr>
            <sz val="14"/>
            <color rgb="FF000000"/>
            <rFont val="Times New Roman"/>
            <family val="18"/>
          </rPr>
          <t>[AL Aug 1798 &amp; ST Aug 1798]</t>
        </r>
        <r>
          <rPr>
            <sz val="14"/>
            <color rgb="FF000000"/>
            <rFont val="Calibri"/>
            <family val="34"/>
          </rPr>
          <t xml:space="preserve">
</t>
        </r>
        <r>
          <rPr>
            <sz val="14"/>
            <color rgb="FF000000"/>
            <rFont val="Times New Roman"/>
            <family val="18"/>
          </rPr>
          <t xml:space="preserve">11/10/1798 </t>
        </r>
        <r>
          <rPr>
            <i/>
            <sz val="14"/>
            <color rgb="FF000000"/>
            <rFont val="Times New Roman"/>
            <family val="18"/>
          </rPr>
          <t>In Kompanie eingerückt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51" authorId="0" shapeId="0" xr:uid="{D4311C45-64CC-DA43-A719-88BC544B4E54}">
      <text>
        <r>
          <rPr>
            <sz val="14"/>
            <color rgb="FF000000"/>
            <rFont val="Times New Roman"/>
            <family val="18"/>
          </rPr>
          <t>ML 2664 IR 30 (1798) – AL Nr. 9 (Przemysl 06/08/1798; ST June (Lemberg 11/03/1803); Oct (Lemberg 08/04/1803), Dec (Theresienstadt 23/07/1799)</t>
        </r>
        <r>
          <rPr>
            <sz val="14"/>
            <color rgb="FF000000"/>
            <rFont val="Calibri"/>
            <family val="34"/>
          </rPr>
          <t xml:space="preserve">
</t>
        </r>
      </text>
    </comment>
    <comment ref="BH451" authorId="0" shapeId="0" xr:uid="{3B4FD0CD-9F65-2640-B172-FE1DD9080055}">
      <text>
        <r>
          <rPr>
            <sz val="14"/>
            <color rgb="FF000000"/>
            <rFont val="Calibri"/>
            <family val="34"/>
          </rPr>
          <t>IR 30 (1798)</t>
        </r>
      </text>
    </comment>
    <comment ref="T452" authorId="0" shapeId="0" xr:uid="{71BA6819-A54E-1C4F-B8A9-1AC8134F9FB8}">
      <text>
        <r>
          <rPr>
            <sz val="14"/>
            <color rgb="FF000000"/>
            <rFont val="Calibri"/>
            <family val="34"/>
          </rPr>
          <t xml:space="preserve">5.1  [160.63 cm] (1798)
</t>
        </r>
        <r>
          <rPr>
            <b/>
            <sz val="14"/>
            <color rgb="FF000000"/>
            <rFont val="Calibri"/>
            <family val="34"/>
          </rPr>
          <t>5.0.2 [158.44 cm] (1802)</t>
        </r>
      </text>
    </comment>
    <comment ref="BF452" authorId="0" shapeId="0" xr:uid="{0A88AFAA-88C8-8641-8A3C-DAA12F042DDB}">
      <text>
        <r>
          <rPr>
            <sz val="14"/>
            <color rgb="FF000000"/>
            <rFont val="Times New Roman"/>
            <family val="18"/>
          </rPr>
          <t xml:space="preserve">18/07/1798 </t>
        </r>
        <r>
          <rPr>
            <i/>
            <sz val="14"/>
            <color rgb="FF000000"/>
            <rFont val="Times New Roman"/>
            <family val="18"/>
          </rPr>
          <t>Ohne Capitulation assentiert</t>
        </r>
        <r>
          <rPr>
            <sz val="14"/>
            <color rgb="FF000000"/>
            <rFont val="Times New Roman"/>
            <family val="18"/>
          </rPr>
          <t xml:space="preserve"> [TL March 1799] </t>
        </r>
        <r>
          <rPr>
            <sz val="14"/>
            <color rgb="FF000000"/>
            <rFont val="Calibri"/>
            <family val="34"/>
          </rPr>
          <t xml:space="preserve">
</t>
        </r>
        <r>
          <rPr>
            <sz val="14"/>
            <color rgb="FF000000"/>
            <rFont val="Times New Roman"/>
            <family val="18"/>
          </rPr>
          <t xml:space="preserve">18/01/1799 </t>
        </r>
        <r>
          <rPr>
            <i/>
            <sz val="14"/>
            <color rgb="FF000000"/>
            <rFont val="Times New Roman"/>
            <family val="18"/>
          </rPr>
          <t xml:space="preserve">Von IR 1 Reserve Division 4. Haupt Dientlinger Komp. zum IR 1 Feld Battalions transferiert </t>
        </r>
        <r>
          <rPr>
            <sz val="14"/>
            <color rgb="FF000000"/>
            <rFont val="Times New Roman"/>
            <family val="18"/>
          </rPr>
          <t>[TL March 1799]</t>
        </r>
        <r>
          <rPr>
            <sz val="14"/>
            <color rgb="FF000000"/>
            <rFont val="Calibri"/>
            <family val="34"/>
          </rPr>
          <t xml:space="preserve">
</t>
        </r>
        <r>
          <rPr>
            <sz val="14"/>
            <color rgb="FF000000"/>
            <rFont val="Times New Roman"/>
            <family val="18"/>
          </rPr>
          <t xml:space="preserve">10/08/1802 </t>
        </r>
        <r>
          <rPr>
            <i/>
            <sz val="14"/>
            <color rgb="FF000000"/>
            <rFont val="Times New Roman"/>
            <family val="18"/>
          </rPr>
          <t>Von IR 1 Haupt Vanderbauk Komp. zum IR 57 transferiert</t>
        </r>
        <r>
          <rPr>
            <sz val="14"/>
            <color rgb="FF000000"/>
            <rFont val="Times New Roman"/>
            <family val="18"/>
          </rPr>
          <t xml:space="preserve"> [TL Nov 1802]</t>
        </r>
        <r>
          <rPr>
            <sz val="14"/>
            <color rgb="FF000000"/>
            <rFont val="Calibri"/>
            <family val="34"/>
          </rPr>
          <t xml:space="preserve">
</t>
        </r>
      </text>
    </comment>
    <comment ref="BG452" authorId="0" shapeId="0" xr:uid="{045AA27D-119F-6A45-B2AC-2E826ADF9E97}">
      <text>
        <r>
          <rPr>
            <sz val="14"/>
            <color rgb="FF000000"/>
            <rFont val="Times New Roman"/>
            <family val="18"/>
          </rPr>
          <t>cML 73 IR 1 (1799) AL/TL – TL IR 1 4. Bat-&gt; Feld Bats Nr. 265 (Olmutz 15/03/1799)</t>
        </r>
        <r>
          <rPr>
            <sz val="14"/>
            <color rgb="FF000000"/>
            <rFont val="Calibri"/>
            <family val="34"/>
          </rPr>
          <t xml:space="preserve">
</t>
        </r>
        <r>
          <rPr>
            <sz val="14"/>
            <color rgb="FF000000"/>
            <rFont val="Times New Roman"/>
            <family val="18"/>
          </rPr>
          <t>ML 79 IR 1 (1802) AL/TL – TL IR 1-&gt;IR 57 Nr. 703 (Prossnitz /09/11/1802)</t>
        </r>
        <r>
          <rPr>
            <sz val="14"/>
            <color rgb="FF000000"/>
            <rFont val="Calibri"/>
            <family val="34"/>
          </rPr>
          <t xml:space="preserve">
</t>
        </r>
      </text>
    </comment>
    <comment ref="BH452" authorId="0" shapeId="0" xr:uid="{845B980D-59F4-4145-99F6-6AED06290D41}">
      <text>
        <r>
          <rPr>
            <sz val="14"/>
            <color rgb="FF000000"/>
            <rFont val="Times New Roman"/>
            <family val="18"/>
          </rPr>
          <t xml:space="preserve">IR 1 (1798-1802)
</t>
        </r>
        <r>
          <rPr>
            <sz val="14"/>
            <color rgb="FF000000"/>
            <rFont val="Times New Roman"/>
            <family val="18"/>
          </rPr>
          <t>IR 57 (1802)</t>
        </r>
      </text>
    </comment>
    <comment ref="BI452" authorId="0" shapeId="0" xr:uid="{EDB22542-3C41-594D-B21B-5D0368C0C626}">
      <text>
        <r>
          <rPr>
            <i/>
            <sz val="14"/>
            <color rgb="FF000000"/>
            <rFont val="Times New Roman"/>
            <family val="18"/>
          </rPr>
          <t>Gut</t>
        </r>
        <r>
          <rPr>
            <sz val="14"/>
            <color rgb="FF000000"/>
            <rFont val="Times New Roman"/>
            <family val="18"/>
          </rPr>
          <t xml:space="preserve"> [TL Nov 1802]</t>
        </r>
        <r>
          <rPr>
            <sz val="14"/>
            <color rgb="FF000000"/>
            <rFont val="Calibri"/>
            <family val="2"/>
            <scheme val="minor"/>
          </rPr>
          <t xml:space="preserve"> </t>
        </r>
      </text>
    </comment>
    <comment ref="BF453" authorId="0" shapeId="0" xr:uid="{89C44F8F-5F4F-8D40-8A82-347D502C6A2C}">
      <text>
        <r>
          <rPr>
            <sz val="14"/>
            <color rgb="FF000000"/>
            <rFont val="Times New Roman"/>
            <family val="18"/>
          </rPr>
          <t xml:space="preserve">28/07/1798 </t>
        </r>
        <r>
          <rPr>
            <i/>
            <sz val="14"/>
            <color rgb="FF000000"/>
            <rFont val="Times New Roman"/>
            <family val="18"/>
          </rPr>
          <t xml:space="preserve">Als Ost Galizische Recrout zum IR 30 gestellt und zum 2. Major Komp. eingeteilt, seitdem auf anhero Marsch von Galizien </t>
        </r>
        <r>
          <rPr>
            <sz val="14"/>
            <color rgb="FF000000"/>
            <rFont val="Times New Roman"/>
            <family val="18"/>
          </rPr>
          <t>[AL Aug 1798]</t>
        </r>
        <r>
          <rPr>
            <sz val="14"/>
            <color rgb="FF000000"/>
            <rFont val="Calibri"/>
            <family val="34"/>
          </rPr>
          <t xml:space="preserve">
</t>
        </r>
        <r>
          <rPr>
            <sz val="14"/>
            <color rgb="FF000000"/>
            <rFont val="Times New Roman"/>
            <family val="18"/>
          </rPr>
          <t xml:space="preserve">08/09/1798 </t>
        </r>
        <r>
          <rPr>
            <i/>
            <sz val="14"/>
            <color rgb="FF000000"/>
            <rFont val="Times New Roman"/>
            <family val="18"/>
          </rPr>
          <t xml:space="preserve">In Kompanie eingerückt </t>
        </r>
        <r>
          <rPr>
            <sz val="14"/>
            <color rgb="FF000000"/>
            <rFont val="Times New Roman"/>
            <family val="18"/>
          </rPr>
          <t>[ST Sept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53" authorId="0" shapeId="0" xr:uid="{A8CE9375-A4D5-F446-836F-D4975399D3F9}">
      <text>
        <r>
          <rPr>
            <sz val="14"/>
            <color rgb="FF000000"/>
            <rFont val="Times New Roman"/>
            <family val="18"/>
          </rPr>
          <t>ML 2664 IR 30 (1798) – AL Nr. 31 (Przemysl 05/08/1798); ST Aug (Lemberg 24/03/1803), ST Sept (Lemberg 03/04/1798), ST Dec (Theresienstadt 23/07/1799)</t>
        </r>
        <r>
          <rPr>
            <sz val="14"/>
            <color rgb="FF000000"/>
            <rFont val="Calibri"/>
            <family val="34"/>
          </rPr>
          <t xml:space="preserve">
</t>
        </r>
      </text>
    </comment>
    <comment ref="BH453" authorId="0" shapeId="0" xr:uid="{0D0739C1-02F3-534A-BBE8-F9116C6D480B}">
      <text>
        <r>
          <rPr>
            <sz val="14"/>
            <color rgb="FF000000"/>
            <rFont val="Calibri"/>
            <family val="34"/>
          </rPr>
          <t>IR 30 (1798)</t>
        </r>
      </text>
    </comment>
    <comment ref="BF454" authorId="0" shapeId="0" xr:uid="{C137DD12-5E1A-964D-9A9D-9E0CF088DB8F}">
      <text>
        <r>
          <rPr>
            <sz val="14"/>
            <color rgb="FF000000"/>
            <rFont val="Times New Roman"/>
            <family val="18"/>
          </rPr>
          <t xml:space="preserve">30/07/1798 </t>
        </r>
        <r>
          <rPr>
            <i/>
            <sz val="14"/>
            <color rgb="FF000000"/>
            <rFont val="Times New Roman"/>
            <family val="18"/>
          </rPr>
          <t xml:space="preserve">Als Ost Galizische Recrout zum IR 30 gestellt und zum Haupt Chelaincourt Komp. transferiert, seitdem auf anhero Marsch </t>
        </r>
        <r>
          <rPr>
            <sz val="14"/>
            <color rgb="FF000000"/>
            <rFont val="Times New Roman"/>
            <family val="18"/>
          </rPr>
          <t>[AL Aug 1798 &amp; ST Aug 1798]</t>
        </r>
        <r>
          <rPr>
            <sz val="14"/>
            <color rgb="FF000000"/>
            <rFont val="Calibri"/>
            <family val="34"/>
          </rPr>
          <t xml:space="preserve">
</t>
        </r>
        <r>
          <rPr>
            <sz val="14"/>
            <color rgb="FF000000"/>
            <rFont val="Times New Roman"/>
            <family val="18"/>
          </rPr>
          <t xml:space="preserve">09/10/1798 </t>
        </r>
        <r>
          <rPr>
            <i/>
            <sz val="14"/>
            <color rgb="FF000000"/>
            <rFont val="Times New Roman"/>
            <family val="18"/>
          </rPr>
          <t>In Kompanie eingerückt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54" authorId="0" shapeId="0" xr:uid="{1849E58B-BE09-A140-9CE6-70C99405769F}">
      <text>
        <r>
          <rPr>
            <sz val="14"/>
            <color rgb="FF000000"/>
            <rFont val="Times New Roman"/>
            <family val="18"/>
          </rPr>
          <t>ML 2664 IR 30 (1798) – AL Nr. 44 (Przemysl 05/08/1798); ST Aug (Lemberg 24/03/1803), Oct (Lemberg 08/04/1803), Dec (Theresienstadt 23/07/1799)</t>
        </r>
        <r>
          <rPr>
            <sz val="14"/>
            <color rgb="FF000000"/>
            <rFont val="Calibri"/>
            <family val="34"/>
          </rPr>
          <t xml:space="preserve">
</t>
        </r>
      </text>
    </comment>
    <comment ref="BH454" authorId="0" shapeId="0" xr:uid="{8ECD670E-C5EE-B44E-A7B1-E5A62FBAD5B9}">
      <text>
        <r>
          <rPr>
            <sz val="14"/>
            <color rgb="FF000000"/>
            <rFont val="Calibri"/>
            <family val="34"/>
          </rPr>
          <t>IR 30 (1798)</t>
        </r>
      </text>
    </comment>
    <comment ref="BF455" authorId="0" shapeId="0" xr:uid="{33E3B511-2C3A-654A-9434-3E8B6C049F70}">
      <text>
        <r>
          <rPr>
            <sz val="14"/>
            <color rgb="FF000000"/>
            <rFont val="Times New Roman"/>
            <family val="18"/>
          </rPr>
          <t xml:space="preserve">31/07/1798 </t>
        </r>
        <r>
          <rPr>
            <i/>
            <sz val="14"/>
            <color rgb="FF000000"/>
            <rFont val="Times New Roman"/>
            <family val="18"/>
          </rPr>
          <t xml:space="preserve">Als Ost Galizische Recrout zum IR 30 gestellt und zum Haupt Schmid Komp. transferiert, seitdem auf Anhero Marsch aus Galizien </t>
        </r>
        <r>
          <rPr>
            <sz val="14"/>
            <color rgb="FF000000"/>
            <rFont val="Times New Roman"/>
            <family val="18"/>
          </rPr>
          <t>[AL Aug 1798 &amp; ST Aug 1798]</t>
        </r>
        <r>
          <rPr>
            <sz val="14"/>
            <color rgb="FF000000"/>
            <rFont val="Calibri"/>
            <family val="34"/>
          </rPr>
          <t xml:space="preserve">
</t>
        </r>
        <r>
          <rPr>
            <sz val="14"/>
            <color rgb="FF000000"/>
            <rFont val="Times New Roman"/>
            <family val="18"/>
          </rPr>
          <t xml:space="preserve">11/10/1798 </t>
        </r>
        <r>
          <rPr>
            <i/>
            <sz val="14"/>
            <color rgb="FF000000"/>
            <rFont val="Times New Roman"/>
            <family val="18"/>
          </rPr>
          <t>In Kompanie eingerückt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55" authorId="0" shapeId="0" xr:uid="{7A4310A3-F685-E046-9792-35B735BE4E36}">
      <text>
        <r>
          <rPr>
            <sz val="14"/>
            <color rgb="FF000000"/>
            <rFont val="Times New Roman"/>
            <family val="18"/>
          </rPr>
          <t>ML 2664 IR 30 (1798) – AL Nr. 49 (Przemysl 05/08/1798); ST Aug (Lemberg 24/03/1803), Oct (Lemberg 08/04/1798), Dec (Theresienstadt 23/07/1799)</t>
        </r>
        <r>
          <rPr>
            <sz val="14"/>
            <color rgb="FF000000"/>
            <rFont val="Calibri"/>
            <family val="34"/>
          </rPr>
          <t xml:space="preserve">
</t>
        </r>
      </text>
    </comment>
    <comment ref="BH455" authorId="0" shapeId="0" xr:uid="{67B139D9-1891-7643-8306-F2931B997BA0}">
      <text>
        <r>
          <rPr>
            <sz val="14"/>
            <color rgb="FF000000"/>
            <rFont val="Calibri"/>
            <family val="34"/>
          </rPr>
          <t>IR 30 (1798)</t>
        </r>
      </text>
    </comment>
    <comment ref="BF456" authorId="0" shapeId="0" xr:uid="{AECD2B2C-F153-7D4D-A4A5-732AB322CBC7}">
      <text>
        <r>
          <rPr>
            <sz val="14"/>
            <color rgb="FF000000"/>
            <rFont val="Times New Roman"/>
            <family val="18"/>
          </rPr>
          <t xml:space="preserve">07/08/1798 </t>
        </r>
        <r>
          <rPr>
            <i/>
            <sz val="14"/>
            <color rgb="FF000000"/>
            <rFont val="Times New Roman"/>
            <family val="18"/>
          </rPr>
          <t>Dienst seit auf Beständig</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16/04/1801 </t>
        </r>
        <r>
          <rPr>
            <i/>
            <sz val="14"/>
            <color rgb="FF000000"/>
            <rFont val="Times New Roman"/>
            <family val="18"/>
          </rPr>
          <t>Von Artillerie Handleger zum ObristLt Komp.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11 ObristLt. Komp. Nr. 88</t>
        </r>
        <r>
          <rPr>
            <sz val="14"/>
            <color rgb="FF000000"/>
            <rFont val="Times New Roman"/>
            <family val="18"/>
          </rPr>
          <t xml:space="preserve">
</t>
        </r>
        <r>
          <rPr>
            <sz val="14"/>
            <color rgb="FF000000"/>
            <rFont val="Times New Roman"/>
            <family val="18"/>
          </rPr>
          <t>25/08/1804 Muster: IR 11 ObristLt. Komp. Nr. 77 [</t>
        </r>
        <r>
          <rPr>
            <i/>
            <sz val="14"/>
            <color rgb="FF000000"/>
            <rFont val="Times New Roman"/>
            <family val="18"/>
          </rPr>
          <t>Beurlaubt bis zur Einberufung in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20/10/1805 </t>
        </r>
        <r>
          <rPr>
            <i/>
            <sz val="14"/>
            <color rgb="FF000000"/>
            <rFont val="Times New Roman"/>
            <family val="18"/>
          </rPr>
          <t>Zum Ulm in Kriegsgefangenschaft</t>
        </r>
        <r>
          <rPr>
            <sz val="14"/>
            <color rgb="FF000000"/>
            <rFont val="Times New Roman"/>
            <family val="18"/>
          </rPr>
          <t xml:space="preserve"> [ML 1806] </t>
        </r>
      </text>
    </comment>
    <comment ref="BG456" authorId="0" shapeId="0" xr:uid="{A58E3853-647D-3A40-BC10-3D80AB3D73B3}">
      <text>
        <r>
          <rPr>
            <sz val="14"/>
            <color rgb="FF000000"/>
            <rFont val="Times New Roman"/>
            <family val="18"/>
          </rPr>
          <t>ML 804/5 IR 11 (1802) – ObristLt. Komp. Nr. 88 (Prag 16/09/1802)</t>
        </r>
        <r>
          <rPr>
            <sz val="14"/>
            <color rgb="FF000000"/>
            <rFont val="Times New Roman"/>
            <family val="18"/>
          </rPr>
          <t xml:space="preserve">
</t>
        </r>
        <r>
          <rPr>
            <sz val="14"/>
            <color rgb="FF000000"/>
            <rFont val="Times New Roman"/>
            <family val="18"/>
          </rPr>
          <t>ML 806 IR 11 (1804) – ObristLt. Komp. Nr. 77 (Prag 25/08/1804)</t>
        </r>
        <r>
          <rPr>
            <sz val="14"/>
            <color rgb="FF000000"/>
            <rFont val="Times New Roman"/>
            <family val="18"/>
          </rPr>
          <t xml:space="preserve">
</t>
        </r>
        <r>
          <rPr>
            <sz val="14"/>
            <color rgb="FF000000"/>
            <rFont val="Times New Roman"/>
            <family val="18"/>
          </rPr>
          <t>ML 807/8 IR 11 (1806) – 13. Fus. Komp. Abgang (Königgrätz 19/12/1806)</t>
        </r>
      </text>
    </comment>
    <comment ref="BH456" authorId="0" shapeId="0" xr:uid="{FBD729EE-080A-3844-9A8B-1228606AB7C7}">
      <text>
        <r>
          <rPr>
            <sz val="14"/>
            <color rgb="FF000000"/>
            <rFont val="Calibri"/>
            <family val="34"/>
          </rPr>
          <t>IR 11 (1798-1805)</t>
        </r>
      </text>
    </comment>
    <comment ref="B457" authorId="0" shapeId="0" xr:uid="{D3B7E9AF-A4AC-BD42-8CC9-9B7720C2AB22}">
      <text>
        <r>
          <rPr>
            <sz val="14"/>
            <color rgb="FF000000"/>
            <rFont val="Calibri"/>
            <family val="34"/>
          </rPr>
          <t xml:space="preserve">LEBOWIZ/ LEBOVIZ/ LEBOWITSCH/ LEWOWITZ/ LUBISO/ LEVOVITH; Nosen/Nathan/ Natan/ Natal/ Mathias/ Jakob/ Anton/ Andre </t>
        </r>
      </text>
    </comment>
    <comment ref="BF457" authorId="0" shapeId="0" xr:uid="{7C8DB78B-ACF2-CB4A-8D7B-2F7C0A8B15F7}">
      <text>
        <r>
          <rPr>
            <sz val="14"/>
            <color rgb="FF000000"/>
            <rFont val="Times New Roman"/>
            <family val="18"/>
          </rPr>
          <t xml:space="preserve">07/08/1798 </t>
        </r>
        <r>
          <rPr>
            <i/>
            <sz val="14"/>
            <color rgb="FF000000"/>
            <rFont val="Times New Roman"/>
            <family val="18"/>
          </rPr>
          <t xml:space="preserve">In Galizien a 15fl mit Sechs Jähriger Capitulation assentiert und zum Haupt Höffern Comp zugeteilt, Seitdem auf anhero Marsch mit Friedensgebühr </t>
        </r>
        <r>
          <rPr>
            <sz val="14"/>
            <color rgb="FF000000"/>
            <rFont val="Times New Roman"/>
            <family val="18"/>
          </rPr>
          <t xml:space="preserve">[ST Nov 1798 &amp; ML Jan 1799 &amp; ML 1802]
</t>
        </r>
        <r>
          <rPr>
            <sz val="14"/>
            <color rgb="FF000000"/>
            <rFont val="Times New Roman"/>
            <family val="18"/>
          </rPr>
          <t>26/01/1799 Revision: IR 43 Haupt Höffern Nr. 145] [</t>
        </r>
        <r>
          <rPr>
            <i/>
            <sz val="14"/>
            <color rgb="FF000000"/>
            <rFont val="Times New Roman"/>
            <family val="18"/>
          </rPr>
          <t>Aussen Anhero Marsch</t>
        </r>
        <r>
          <rPr>
            <sz val="14"/>
            <color rgb="FF000000"/>
            <rFont val="Times New Roman"/>
            <family val="18"/>
          </rPr>
          <t xml:space="preserve">]
</t>
        </r>
        <r>
          <rPr>
            <sz val="14"/>
            <color rgb="FF000000"/>
            <rFont val="Times New Roman"/>
            <family val="18"/>
          </rPr>
          <t xml:space="preserve">26/02/1799 </t>
        </r>
        <r>
          <rPr>
            <i/>
            <sz val="14"/>
            <color rgb="FF000000"/>
            <rFont val="Times New Roman"/>
            <family val="18"/>
          </rPr>
          <t xml:space="preserve">Einkunft in Companie und Zuteilung ins Reserve Division in Laibach mit Friedens Gebühr </t>
        </r>
        <r>
          <rPr>
            <sz val="14"/>
            <color rgb="FF000000"/>
            <rFont val="Times New Roman"/>
            <family val="18"/>
          </rPr>
          <t xml:space="preserve">[ST Feb 1799]
</t>
        </r>
        <r>
          <rPr>
            <sz val="14"/>
            <color rgb="FF000000"/>
            <rFont val="Times New Roman"/>
            <family val="18"/>
          </rPr>
          <t xml:space="preserve">21/04/1799 </t>
        </r>
        <r>
          <rPr>
            <i/>
            <sz val="14"/>
            <color rgb="FF000000"/>
            <rFont val="Times New Roman"/>
            <family val="18"/>
          </rPr>
          <t xml:space="preserve">Auf Anhero Marsch von Reserve Division mit Friedensgebühr </t>
        </r>
        <r>
          <rPr>
            <sz val="14"/>
            <color rgb="FF000000"/>
            <rFont val="Times New Roman"/>
            <family val="18"/>
          </rPr>
          <t xml:space="preserve">[ST April 1799] 
</t>
        </r>
        <r>
          <rPr>
            <sz val="14"/>
            <color rgb="FF000000"/>
            <rFont val="Times New Roman"/>
            <family val="18"/>
          </rPr>
          <t xml:space="preserve">17/05/1799 </t>
        </r>
        <r>
          <rPr>
            <i/>
            <sz val="14"/>
            <color rgb="FF000000"/>
            <rFont val="Times New Roman"/>
            <family val="18"/>
          </rPr>
          <t xml:space="preserve">In Höffern Comp. eingerückt und dann zum ObristLt Comp transferiert </t>
        </r>
        <r>
          <rPr>
            <sz val="14"/>
            <color rgb="FF000000"/>
            <rFont val="Times New Roman"/>
            <family val="18"/>
          </rPr>
          <t xml:space="preserve">[ST May 1799]
</t>
        </r>
        <r>
          <rPr>
            <sz val="14"/>
            <color rgb="FF000000"/>
            <rFont val="Times New Roman"/>
            <family val="18"/>
          </rPr>
          <t xml:space="preserve">15/08/1799 </t>
        </r>
        <r>
          <rPr>
            <i/>
            <sz val="14"/>
            <color rgb="FF000000"/>
            <rFont val="Times New Roman"/>
            <family val="18"/>
          </rPr>
          <t xml:space="preserve">Krank auswärts mit Kriegsgebühr </t>
        </r>
        <r>
          <rPr>
            <b/>
            <sz val="14"/>
            <color rgb="FF000000"/>
            <rFont val="Times New Roman"/>
            <family val="18"/>
          </rPr>
          <t xml:space="preserve">[Verletzt an der Schlacht von Novi?] </t>
        </r>
        <r>
          <rPr>
            <sz val="14"/>
            <color rgb="FF000000"/>
            <rFont val="Times New Roman"/>
            <family val="18"/>
          </rPr>
          <t xml:space="preserve">[ST Aug 1799]
</t>
        </r>
        <r>
          <rPr>
            <sz val="14"/>
            <color rgb="FF000000"/>
            <rFont val="Times New Roman"/>
            <family val="18"/>
          </rPr>
          <t xml:space="preserve">25/09/1799 </t>
        </r>
        <r>
          <rPr>
            <i/>
            <sz val="14"/>
            <color rgb="FF000000"/>
            <rFont val="Times New Roman"/>
            <family val="18"/>
          </rPr>
          <t xml:space="preserve">Reconvalesciert
</t>
        </r>
        <r>
          <rPr>
            <sz val="14"/>
            <color rgb="FF000000"/>
            <rFont val="Times New Roman"/>
            <family val="18"/>
          </rPr>
          <t xml:space="preserve">28/05/1800 </t>
        </r>
        <r>
          <rPr>
            <i/>
            <sz val="14"/>
            <color rgb="FF000000"/>
            <rFont val="Times New Roman"/>
            <family val="18"/>
          </rPr>
          <t xml:space="preserve">In Arrest </t>
        </r>
        <r>
          <rPr>
            <sz val="14"/>
            <color rgb="FF000000"/>
            <rFont val="Times New Roman"/>
            <family val="18"/>
          </rPr>
          <t xml:space="preserve">[ST May 1800]
</t>
        </r>
        <r>
          <rPr>
            <sz val="14"/>
            <color rgb="FF000000"/>
            <rFont val="Times New Roman"/>
            <family val="18"/>
          </rPr>
          <t xml:space="preserve">29/05/1800 </t>
        </r>
        <r>
          <rPr>
            <i/>
            <sz val="14"/>
            <color rgb="FF000000"/>
            <rFont val="Times New Roman"/>
            <family val="18"/>
          </rPr>
          <t xml:space="preserve">Befreit </t>
        </r>
        <r>
          <rPr>
            <sz val="14"/>
            <color rgb="FF000000"/>
            <rFont val="Times New Roman"/>
            <family val="18"/>
          </rPr>
          <t xml:space="preserve">[ST May 1800]
</t>
        </r>
        <r>
          <rPr>
            <sz val="14"/>
            <color rgb="FF000000"/>
            <rFont val="Times New Roman"/>
            <family val="18"/>
          </rPr>
          <t xml:space="preserve">17/08/1801 </t>
        </r>
        <r>
          <rPr>
            <i/>
            <sz val="14"/>
            <color rgb="FF000000"/>
            <rFont val="Times New Roman"/>
            <family val="18"/>
          </rPr>
          <t xml:space="preserve">Für 20Fl Handgeld auf Beständig reengagiert </t>
        </r>
        <r>
          <rPr>
            <sz val="14"/>
            <color rgb="FF000000"/>
            <rFont val="Times New Roman"/>
            <family val="18"/>
          </rPr>
          <t xml:space="preserve">[ST Aug 1801]
</t>
        </r>
        <r>
          <rPr>
            <sz val="14"/>
            <color rgb="FF000000"/>
            <rFont val="Times New Roman"/>
            <family val="18"/>
          </rPr>
          <t xml:space="preserve">28/08/1802 Musterung: IR 43 ObristLt Comp Nr. 72
</t>
        </r>
        <r>
          <rPr>
            <sz val="14"/>
            <color rgb="FF000000"/>
            <rFont val="Times New Roman"/>
            <family val="18"/>
          </rPr>
          <t xml:space="preserve">18/06/1803 </t>
        </r>
        <r>
          <rPr>
            <i/>
            <sz val="14"/>
            <color rgb="FF000000"/>
            <rFont val="Times New Roman"/>
            <family val="18"/>
          </rPr>
          <t xml:space="preserve">In Arrest a 4Xr </t>
        </r>
        <r>
          <rPr>
            <sz val="14"/>
            <color rgb="FF000000"/>
            <rFont val="Times New Roman"/>
            <family val="18"/>
          </rPr>
          <t xml:space="preserve">[ST Juli 1803]
</t>
        </r>
        <r>
          <rPr>
            <sz val="14"/>
            <color rgb="FF000000"/>
            <rFont val="Times New Roman"/>
            <family val="18"/>
          </rPr>
          <t xml:space="preserve">28/07/1803 </t>
        </r>
        <r>
          <rPr>
            <i/>
            <sz val="14"/>
            <color rgb="FF000000"/>
            <rFont val="Times New Roman"/>
            <family val="18"/>
          </rPr>
          <t>Befreit</t>
        </r>
        <r>
          <rPr>
            <sz val="14"/>
            <color rgb="FF000000"/>
            <rFont val="Times New Roman"/>
            <family val="18"/>
          </rPr>
          <t xml:space="preserve"> [ST Aug 1803]
</t>
        </r>
        <r>
          <rPr>
            <sz val="14"/>
            <color rgb="FF000000"/>
            <rFont val="Times New Roman"/>
            <family val="18"/>
          </rPr>
          <t xml:space="preserve">02/11/1803 Musterung: IR 43 ObrestLt Comp. Nr. 63
</t>
        </r>
        <r>
          <rPr>
            <sz val="14"/>
            <color rgb="FF000000"/>
            <rFont val="Times New Roman"/>
            <family val="18"/>
          </rPr>
          <t xml:space="preserve">13/11/1803 </t>
        </r>
        <r>
          <rPr>
            <i/>
            <sz val="14"/>
            <color rgb="FF000000"/>
            <rFont val="Times New Roman"/>
            <family val="18"/>
          </rPr>
          <t xml:space="preserve">In Arrest a 4xr </t>
        </r>
        <r>
          <rPr>
            <sz val="14"/>
            <color rgb="FF000000"/>
            <rFont val="Times New Roman"/>
            <family val="18"/>
          </rPr>
          <t xml:space="preserve">[ST Dec 1803] 
</t>
        </r>
        <r>
          <rPr>
            <sz val="14"/>
            <color rgb="FF000000"/>
            <rFont val="Times New Roman"/>
            <family val="18"/>
          </rPr>
          <t xml:space="preserve">31/05/1804 </t>
        </r>
        <r>
          <rPr>
            <i/>
            <sz val="14"/>
            <color rgb="FF000000"/>
            <rFont val="Times New Roman"/>
            <family val="18"/>
          </rPr>
          <t xml:space="preserve">Befreit </t>
        </r>
        <r>
          <rPr>
            <sz val="14"/>
            <color rgb="FF000000"/>
            <rFont val="Times New Roman"/>
            <family val="18"/>
          </rPr>
          <t xml:space="preserve">[ [ST June 1804]
</t>
        </r>
        <r>
          <rPr>
            <sz val="14"/>
            <color rgb="FF000000"/>
            <rFont val="Times New Roman"/>
            <family val="18"/>
          </rPr>
          <t xml:space="preserve">02/09/1804 </t>
        </r>
        <r>
          <rPr>
            <i/>
            <sz val="14"/>
            <color rgb="FF000000"/>
            <rFont val="Times New Roman"/>
            <family val="18"/>
          </rPr>
          <t xml:space="preserve">In Arrest a 4Xr </t>
        </r>
        <r>
          <rPr>
            <sz val="14"/>
            <color rgb="FF000000"/>
            <rFont val="Times New Roman"/>
            <family val="18"/>
          </rPr>
          <t xml:space="preserve">[ST Sept 1804]
</t>
        </r>
        <r>
          <rPr>
            <sz val="14"/>
            <color rgb="FF000000"/>
            <rFont val="Times New Roman"/>
            <family val="18"/>
          </rPr>
          <t>05/10/1804 Musterung: IR 43 ObristLt Comp. Nr. 61 [</t>
        </r>
        <r>
          <rPr>
            <i/>
            <sz val="14"/>
            <color rgb="FF000000"/>
            <rFont val="Times New Roman"/>
            <family val="18"/>
          </rPr>
          <t>Als Arrestant zu Cattaro passiert</t>
        </r>
        <r>
          <rPr>
            <sz val="14"/>
            <color rgb="FF000000"/>
            <rFont val="Times New Roman"/>
            <family val="18"/>
          </rPr>
          <t xml:space="preserve">]
</t>
        </r>
        <r>
          <rPr>
            <sz val="14"/>
            <color rgb="FF000000"/>
            <rFont val="Times New Roman"/>
            <family val="18"/>
          </rPr>
          <t xml:space="preserve">07/01/1805 </t>
        </r>
        <r>
          <rPr>
            <i/>
            <sz val="14"/>
            <color rgb="FF000000"/>
            <rFont val="Times New Roman"/>
            <family val="18"/>
          </rPr>
          <t>Befreit</t>
        </r>
        <r>
          <rPr>
            <sz val="14"/>
            <color rgb="FF000000"/>
            <rFont val="Times New Roman"/>
            <family val="18"/>
          </rPr>
          <t xml:space="preserve"> [ST Jan 1805]
</t>
        </r>
        <r>
          <rPr>
            <sz val="14"/>
            <color rgb="FF000000"/>
            <rFont val="Times New Roman"/>
            <family val="18"/>
          </rPr>
          <t>31/10/1805 Musterung: 9. Fus Comp Nr. 53 [</t>
        </r>
        <r>
          <rPr>
            <i/>
            <sz val="14"/>
            <color rgb="FF000000"/>
            <rFont val="Times New Roman"/>
            <family val="18"/>
          </rPr>
          <t>Krank in Loco Spital</t>
        </r>
        <r>
          <rPr>
            <sz val="14"/>
            <color rgb="FF000000"/>
            <rFont val="Times New Roman"/>
            <family val="18"/>
          </rPr>
          <t xml:space="preserve">]
</t>
        </r>
        <r>
          <rPr>
            <sz val="14"/>
            <color rgb="FF000000"/>
            <rFont val="Times New Roman"/>
            <family val="18"/>
          </rPr>
          <t xml:space="preserve">11/10/1806 </t>
        </r>
        <r>
          <rPr>
            <i/>
            <sz val="14"/>
            <color rgb="FF000000"/>
            <rFont val="Times New Roman"/>
            <family val="18"/>
          </rPr>
          <t xml:space="preserve">In Arrest a 4Xr </t>
        </r>
        <r>
          <rPr>
            <sz val="14"/>
            <color rgb="FF000000"/>
            <rFont val="Times New Roman"/>
            <family val="18"/>
          </rPr>
          <t xml:space="preserve">[ST Oct 1806] 
</t>
        </r>
        <r>
          <rPr>
            <sz val="14"/>
            <color rgb="FF000000"/>
            <rFont val="Times New Roman"/>
            <family val="18"/>
          </rPr>
          <t>23/11/1806</t>
        </r>
        <r>
          <rPr>
            <i/>
            <sz val="14"/>
            <color rgb="FF000000"/>
            <rFont val="Times New Roman"/>
            <family val="18"/>
          </rPr>
          <t xml:space="preserve"> Befreit </t>
        </r>
        <r>
          <rPr>
            <sz val="14"/>
            <color rgb="FF000000"/>
            <rFont val="Times New Roman"/>
            <family val="18"/>
          </rPr>
          <t xml:space="preserve">[ST Nov 1806] 
</t>
        </r>
        <r>
          <rPr>
            <sz val="14"/>
            <color rgb="FF000000"/>
            <rFont val="Times New Roman"/>
            <family val="18"/>
          </rPr>
          <t>01/12/1806 Musterung: 13. Fus Comp Nr. 71 [</t>
        </r>
        <r>
          <rPr>
            <i/>
            <sz val="14"/>
            <color rgb="FF000000"/>
            <rFont val="Times New Roman"/>
            <family val="18"/>
          </rPr>
          <t>Krank in Loco Spital</t>
        </r>
        <r>
          <rPr>
            <sz val="14"/>
            <color rgb="FF000000"/>
            <rFont val="Times New Roman"/>
            <family val="18"/>
          </rPr>
          <t xml:space="preserve">]
</t>
        </r>
        <r>
          <rPr>
            <sz val="14"/>
            <color rgb="FF000000"/>
            <rFont val="Times New Roman"/>
            <family val="18"/>
          </rPr>
          <t xml:space="preserve">01/01/1807 </t>
        </r>
        <r>
          <rPr>
            <i/>
            <sz val="14"/>
            <color rgb="FF000000"/>
            <rFont val="Times New Roman"/>
            <family val="18"/>
          </rPr>
          <t xml:space="preserve">In Arrest a 4Fl </t>
        </r>
        <r>
          <rPr>
            <sz val="14"/>
            <color rgb="FF000000"/>
            <rFont val="Times New Roman"/>
            <family val="18"/>
          </rPr>
          <t xml:space="preserve">[ST Jan 1807]
</t>
        </r>
        <r>
          <rPr>
            <sz val="14"/>
            <color rgb="FF000000"/>
            <rFont val="Times New Roman"/>
            <family val="18"/>
          </rPr>
          <t xml:space="preserve">16/01/1807 </t>
        </r>
        <r>
          <rPr>
            <i/>
            <sz val="14"/>
            <color rgb="FF000000"/>
            <rFont val="Times New Roman"/>
            <family val="18"/>
          </rPr>
          <t xml:space="preserve">Befreit und zum 5. Fus Comp transferiert </t>
        </r>
        <r>
          <rPr>
            <sz val="14"/>
            <color rgb="FF000000"/>
            <rFont val="Times New Roman"/>
            <family val="18"/>
          </rPr>
          <t xml:space="preserve">[ST Jan 1807 &amp; ML 1807]
</t>
        </r>
        <r>
          <rPr>
            <sz val="14"/>
            <color rgb="FF000000"/>
            <rFont val="Times New Roman"/>
            <family val="18"/>
          </rPr>
          <t xml:space="preserve">21/04/1807 </t>
        </r>
        <r>
          <rPr>
            <i/>
            <sz val="14"/>
            <color rgb="FF000000"/>
            <rFont val="Times New Roman"/>
            <family val="18"/>
          </rPr>
          <t xml:space="preserve">In Arrest a 4Fl </t>
        </r>
        <r>
          <rPr>
            <sz val="14"/>
            <color rgb="FF000000"/>
            <rFont val="Times New Roman"/>
            <family val="18"/>
          </rPr>
          <t xml:space="preserve">[ST April 1807]
</t>
        </r>
        <r>
          <rPr>
            <sz val="14"/>
            <color rgb="FF000000"/>
            <rFont val="Times New Roman"/>
            <family val="18"/>
          </rPr>
          <t xml:space="preserve">25/06/1807 </t>
        </r>
        <r>
          <rPr>
            <i/>
            <sz val="14"/>
            <color rgb="FF000000"/>
            <rFont val="Times New Roman"/>
            <family val="18"/>
          </rPr>
          <t xml:space="preserve">Vermog Kriegsrechtlichen Sentenz von 12. Juni zu Schatz Arbeit Condemniert Von Arrest übergaben </t>
        </r>
        <r>
          <rPr>
            <sz val="14"/>
            <color rgb="FF000000"/>
            <rFont val="Times New Roman"/>
            <family val="18"/>
          </rPr>
          <t xml:space="preserve">[ST June 1807 &amp; ML 1807]
</t>
        </r>
        <r>
          <rPr>
            <sz val="14"/>
            <color rgb="FF000000"/>
            <rFont val="Times New Roman"/>
            <family val="18"/>
          </rPr>
          <t xml:space="preserve">26/06/1807 </t>
        </r>
        <r>
          <rPr>
            <i/>
            <sz val="14"/>
            <color rgb="FF000000"/>
            <rFont val="Times New Roman"/>
            <family val="18"/>
          </rPr>
          <t xml:space="preserve">Als auf Schatz Arbeit condemniert unrecht in Abgang gebracht da vermog Hofkriegsratlichen Rescript det. Wien am 27. Juni 807 Nr. 2531 dessen Sentenz in Weg der Gabe abgeändert wurde kommet dannach von 26. Juni wieder in stand und Gebühr </t>
        </r>
        <r>
          <rPr>
            <sz val="14"/>
            <color rgb="FF000000"/>
            <rFont val="Times New Roman"/>
            <family val="18"/>
          </rPr>
          <t xml:space="preserve">[ML 1807]
</t>
        </r>
        <r>
          <rPr>
            <sz val="14"/>
            <color rgb="FF000000"/>
            <rFont val="Times New Roman"/>
            <family val="18"/>
          </rPr>
          <t xml:space="preserve">15/07/1807 </t>
        </r>
        <r>
          <rPr>
            <i/>
            <sz val="14"/>
            <color rgb="FF000000"/>
            <rFont val="Times New Roman"/>
            <family val="18"/>
          </rPr>
          <t xml:space="preserve">Zu 9. Fus Comp transferiert </t>
        </r>
        <r>
          <rPr>
            <sz val="14"/>
            <color rgb="FF000000"/>
            <rFont val="Times New Roman"/>
            <family val="18"/>
          </rPr>
          <t xml:space="preserve">[ST Juli ML 1807]
</t>
        </r>
        <r>
          <rPr>
            <sz val="14"/>
            <color rgb="FF000000"/>
            <rFont val="Times New Roman"/>
            <family val="18"/>
          </rPr>
          <t xml:space="preserve">15/08/1807 </t>
        </r>
        <r>
          <rPr>
            <i/>
            <sz val="14"/>
            <color rgb="FF000000"/>
            <rFont val="Times New Roman"/>
            <family val="18"/>
          </rPr>
          <t xml:space="preserve">Von 5. zu 9. Fusilier comp transferiert </t>
        </r>
        <r>
          <rPr>
            <sz val="14"/>
            <color rgb="FF000000"/>
            <rFont val="Times New Roman"/>
            <family val="18"/>
          </rPr>
          <t xml:space="preserve">[ST Sept ML 1807]
</t>
        </r>
        <r>
          <rPr>
            <sz val="14"/>
            <color rgb="FF000000"/>
            <rFont val="Times New Roman"/>
            <family val="18"/>
          </rPr>
          <t xml:space="preserve">18/04/1808 </t>
        </r>
        <r>
          <rPr>
            <i/>
            <sz val="14"/>
            <color rgb="FF000000"/>
            <rFont val="Times New Roman"/>
            <family val="18"/>
          </rPr>
          <t xml:space="preserve">In Arrest a 4xr </t>
        </r>
        <r>
          <rPr>
            <sz val="14"/>
            <color rgb="FF000000"/>
            <rFont val="Times New Roman"/>
            <family val="18"/>
          </rPr>
          <t xml:space="preserve">[ST April 1808] 
</t>
        </r>
        <r>
          <rPr>
            <sz val="14"/>
            <color rgb="FF000000"/>
            <rFont val="Times New Roman"/>
            <family val="18"/>
          </rPr>
          <t xml:space="preserve">30/04/1808 </t>
        </r>
        <r>
          <rPr>
            <i/>
            <sz val="14"/>
            <color rgb="FF000000"/>
            <rFont val="Times New Roman"/>
            <family val="18"/>
          </rPr>
          <t xml:space="preserve">Befreit </t>
        </r>
        <r>
          <rPr>
            <sz val="14"/>
            <color rgb="FF000000"/>
            <rFont val="Times New Roman"/>
            <family val="18"/>
          </rPr>
          <t xml:space="preserve">[ST May 1808] 
</t>
        </r>
        <r>
          <rPr>
            <sz val="14"/>
            <color rgb="FF000000"/>
            <rFont val="Times New Roman"/>
            <family val="18"/>
          </rPr>
          <t xml:space="preserve">11/08/1808 </t>
        </r>
        <r>
          <rPr>
            <i/>
            <sz val="14"/>
            <color rgb="FF000000"/>
            <rFont val="Times New Roman"/>
            <family val="18"/>
          </rPr>
          <t xml:space="preserve">In Arrest a 4xr </t>
        </r>
        <r>
          <rPr>
            <sz val="14"/>
            <color rgb="FF000000"/>
            <rFont val="Times New Roman"/>
            <family val="18"/>
          </rPr>
          <t xml:space="preserve">[ST Aug 1808] 
</t>
        </r>
        <r>
          <rPr>
            <sz val="14"/>
            <color rgb="FF000000"/>
            <rFont val="Times New Roman"/>
            <family val="18"/>
          </rPr>
          <t xml:space="preserve">22/08/1808 </t>
        </r>
        <r>
          <rPr>
            <i/>
            <sz val="14"/>
            <color rgb="FF000000"/>
            <rFont val="Times New Roman"/>
            <family val="18"/>
          </rPr>
          <t xml:space="preserve">Befreit </t>
        </r>
        <r>
          <rPr>
            <sz val="14"/>
            <color rgb="FF000000"/>
            <rFont val="Times New Roman"/>
            <family val="18"/>
          </rPr>
          <t xml:space="preserve">[ST Aug 1808]
</t>
        </r>
        <r>
          <rPr>
            <sz val="14"/>
            <color rgb="FF000000"/>
            <rFont val="Times New Roman"/>
            <family val="18"/>
          </rPr>
          <t xml:space="preserve">06/09/1808 Musterung: IR 43 9. Fus Comp Nr. 148
</t>
        </r>
        <r>
          <rPr>
            <sz val="14"/>
            <color rgb="FF000000"/>
            <rFont val="Times New Roman"/>
            <family val="18"/>
          </rPr>
          <t xml:space="preserve">21/04/1809 Krank auswärts [ST April 1809] </t>
        </r>
        <r>
          <rPr>
            <b/>
            <sz val="14"/>
            <color rgb="FF000000"/>
            <rFont val="Times New Roman"/>
            <family val="18"/>
          </rPr>
          <t xml:space="preserve">[Verletzt?]
</t>
        </r>
        <r>
          <rPr>
            <sz val="14"/>
            <color rgb="FF000000"/>
            <rFont val="Times New Roman"/>
            <family val="18"/>
          </rPr>
          <t>25/02/1810 Dissolvierung: IR 43 9. Fus  Comp Nr. 119: [</t>
        </r>
        <r>
          <rPr>
            <i/>
            <sz val="14"/>
            <color rgb="FF000000"/>
            <rFont val="Times New Roman"/>
            <family val="18"/>
          </rPr>
          <t>Krank in Ungarn</t>
        </r>
        <r>
          <rPr>
            <sz val="14"/>
            <color rgb="FF000000"/>
            <rFont val="Times New Roman"/>
            <family val="18"/>
          </rPr>
          <t xml:space="preserve">]
</t>
        </r>
        <r>
          <rPr>
            <sz val="14"/>
            <color rgb="FF000000"/>
            <rFont val="Times New Roman"/>
            <family val="18"/>
          </rPr>
          <t xml:space="preserve">31/10/1810 </t>
        </r>
        <r>
          <rPr>
            <i/>
            <sz val="14"/>
            <color rgb="FF000000"/>
            <rFont val="Times New Roman"/>
            <family val="18"/>
          </rPr>
          <t xml:space="preserve">als deren Existenz über 1 Jahr unbekannt als unwissend verloren </t>
        </r>
        <r>
          <rPr>
            <sz val="14"/>
            <color rgb="FF000000"/>
            <rFont val="Times New Roman"/>
            <family val="18"/>
          </rPr>
          <t xml:space="preserve">[ST Oct 1810]
</t>
        </r>
      </text>
    </comment>
    <comment ref="BG457" authorId="0" shapeId="0" xr:uid="{EB125946-545B-0F42-8CBF-78DA70AD9B67}">
      <text>
        <r>
          <rPr>
            <sz val="14"/>
            <color rgb="FF000000"/>
            <rFont val="Calibri"/>
            <family val="34"/>
          </rPr>
          <t xml:space="preserve">ML 10.271 IR 43 (1799) – RL Haupt Höffern Nr. 145 und Zuwachs (Cividalle 26/01/1799)
</t>
        </r>
        <r>
          <rPr>
            <sz val="14"/>
            <color rgb="FF000000"/>
            <rFont val="Calibri"/>
            <family val="34"/>
          </rPr>
          <t xml:space="preserve">ML 10.272 IR 43 (1802) – ObristLt Comp Nr. 72 (Cattaro 28/08/1802)
</t>
        </r>
        <r>
          <rPr>
            <sz val="14"/>
            <color rgb="FF000000"/>
            <rFont val="Calibri"/>
            <family val="34"/>
          </rPr>
          <t xml:space="preserve">ML 10.273 IR 43 (1803) – ObristLt Comp Nr. 63 (Cattaro 02/11/1803)
</t>
        </r>
        <r>
          <rPr>
            <sz val="14"/>
            <color rgb="FF000000"/>
            <rFont val="Calibri"/>
            <family val="34"/>
          </rPr>
          <t xml:space="preserve">ML 10.274 IR 43 (1804) – ObristLt Comp Nr. 61 (Theodo 04/10/1804)
</t>
        </r>
        <r>
          <rPr>
            <sz val="14"/>
            <color rgb="FF000000"/>
            <rFont val="Calibri"/>
            <family val="34"/>
          </rPr>
          <t xml:space="preserve">ML 10.275/6 IR 43 (1805) – 9. Fus Comp Nr. 53 (Sebenico 31/10/1805)
</t>
        </r>
        <r>
          <rPr>
            <sz val="14"/>
            <color rgb="FF000000"/>
            <rFont val="Calibri"/>
            <family val="34"/>
          </rPr>
          <t xml:space="preserve">ML 10.277/8 IR 43 (1806) – 13. Fus Comp Nr. 71 (Laibach 01/12/1806)
</t>
        </r>
        <r>
          <rPr>
            <sz val="14"/>
            <color rgb="FF000000"/>
            <rFont val="Calibri"/>
            <family val="34"/>
          </rPr>
          <t xml:space="preserve">ML 10.279 IR 43 (1808-10) – RL 9. Fus Nr. 148 (Laibach 06/09/1808) &amp; DL 9. Fus Comp (Vordenberg 25/10/1810)
</t>
        </r>
        <r>
          <rPr>
            <sz val="14"/>
            <color rgb="FF000000"/>
            <rFont val="Calibri"/>
            <family val="34"/>
          </rPr>
          <t xml:space="preserve">ML 10.307 IR 43 (1799) – ST Feb (29/04/1799), April (18/08/1799), May (22/09/1799), August (06/03/1800), und Sept (21/07/1800)
</t>
        </r>
        <r>
          <rPr>
            <sz val="14"/>
            <color rgb="FF000000"/>
            <rFont val="Calibri"/>
            <family val="34"/>
          </rPr>
          <t xml:space="preserve">ML 10.309 IR 43 (1800) – ST May (??/??/180?)
</t>
        </r>
        <r>
          <rPr>
            <sz val="14"/>
            <color rgb="FF000000"/>
            <rFont val="Calibri"/>
            <family val="34"/>
          </rPr>
          <t xml:space="preserve">ML 10.311 IR 43 (1801) – ST Aug (13/07/1805)
</t>
        </r>
        <r>
          <rPr>
            <sz val="14"/>
            <color rgb="FF000000"/>
            <rFont val="Calibri"/>
            <family val="34"/>
          </rPr>
          <t xml:space="preserve">ML 10.313 IR 43 (1803) – ST July (15/08/1803), August (15/09/1803), und Nov (15/12/1803)
</t>
        </r>
        <r>
          <rPr>
            <sz val="14"/>
            <color rgb="FF000000"/>
            <rFont val="Calibri"/>
            <family val="34"/>
          </rPr>
          <t xml:space="preserve">ML 10.314 IR 43 (1804) – ST June (15/07/1804) and Sept (15/10/1804)
</t>
        </r>
        <r>
          <rPr>
            <sz val="14"/>
            <color rgb="FF000000"/>
            <rFont val="Calibri"/>
            <family val="34"/>
          </rPr>
          <t xml:space="preserve">ML 10.315 IR 43 (1805) – ST Januar (15/02/1805)
</t>
        </r>
        <r>
          <rPr>
            <sz val="14"/>
            <color rgb="FF000000"/>
            <rFont val="Calibri"/>
            <family val="34"/>
          </rPr>
          <t xml:space="preserve">ML 10.317 IR 43 (1806) – ST Oktober (17/11/1806) und November (15/12/1806)
</t>
        </r>
        <r>
          <rPr>
            <sz val="14"/>
            <color rgb="FF000000"/>
            <rFont val="Calibri"/>
            <family val="34"/>
          </rPr>
          <t xml:space="preserve">ML 10.319 IR 43 (1807) – ST Januar (15/02/1807), April (15/05/1807), June (15/07/1807), July (15/08/1807)
</t>
        </r>
        <r>
          <rPr>
            <sz val="14"/>
            <color rgb="FF000000"/>
            <rFont val="Calibri"/>
            <family val="34"/>
          </rPr>
          <t xml:space="preserve">ML 10.321 IR 43 (1808) – ST April (14/05/1808), Mai (11/06/1808)
</t>
        </r>
        <r>
          <rPr>
            <sz val="14"/>
            <color rgb="FF000000"/>
            <rFont val="Calibri"/>
            <family val="34"/>
          </rPr>
          <t xml:space="preserve">ML 10.323 IR 43 (1809) – ST April (11/10/1810) bis Dezember (23/01/1811)
</t>
        </r>
        <r>
          <rPr>
            <sz val="14"/>
            <color rgb="FF000000"/>
            <rFont val="Calibri"/>
            <family val="34"/>
          </rPr>
          <t>ML 10.325 IR 43 (1810) – ST Januar (01/03/1811) bis Oktober (22/03/1811)</t>
        </r>
      </text>
    </comment>
    <comment ref="BH457" authorId="0" shapeId="0" xr:uid="{83B54FA7-F306-7746-BC15-9800891D13E2}">
      <text>
        <r>
          <rPr>
            <sz val="14"/>
            <color rgb="FF000000"/>
            <rFont val="Calibri"/>
            <family val="34"/>
          </rPr>
          <t>IR 43 (1798-1810)</t>
        </r>
      </text>
    </comment>
    <comment ref="BF458" authorId="0" shapeId="0" xr:uid="{608B5ECD-896B-1B4A-9E35-60A15040804F}">
      <text>
        <r>
          <rPr>
            <sz val="14"/>
            <color rgb="FF000000"/>
            <rFont val="Times New Roman"/>
            <family val="18"/>
          </rPr>
          <t xml:space="preserve">16/08/1798 </t>
        </r>
        <r>
          <rPr>
            <i/>
            <sz val="14"/>
            <color rgb="FF000000"/>
            <rFont val="Times New Roman"/>
            <family val="18"/>
          </rPr>
          <t>Auf 10 Jahr zu Kaiser Inf</t>
        </r>
        <r>
          <rPr>
            <sz val="14"/>
            <color rgb="FF000000"/>
            <rFont val="Times New Roman"/>
            <family val="18"/>
          </rPr>
          <t xml:space="preserve"> </t>
        </r>
        <r>
          <rPr>
            <b/>
            <sz val="14"/>
            <color rgb="FF000000"/>
            <rFont val="Times New Roman"/>
            <family val="18"/>
          </rPr>
          <t xml:space="preserve">[IR 1] </t>
        </r>
        <r>
          <rPr>
            <i/>
            <sz val="14"/>
            <color rgb="FF000000"/>
            <rFont val="Times New Roman"/>
            <family val="18"/>
          </rPr>
          <t>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26/09/1798 </t>
        </r>
        <r>
          <rPr>
            <i/>
            <sz val="14"/>
            <color rgb="FF000000"/>
            <rFont val="Times New Roman"/>
            <family val="18"/>
          </rPr>
          <t>Von Kaiser Infanterie</t>
        </r>
        <r>
          <rPr>
            <sz val="14"/>
            <color rgb="FF000000"/>
            <rFont val="Times New Roman"/>
            <family val="18"/>
          </rPr>
          <t xml:space="preserve"> </t>
        </r>
        <r>
          <rPr>
            <b/>
            <sz val="14"/>
            <color rgb="FF000000"/>
            <rFont val="Times New Roman"/>
            <family val="18"/>
          </rPr>
          <t xml:space="preserve">[IR 1] </t>
        </r>
        <r>
          <rPr>
            <i/>
            <sz val="14"/>
            <color rgb="FF000000"/>
            <rFont val="Times New Roman"/>
            <family val="18"/>
          </rPr>
          <t>4. Bat 2. Komp Haupt Bocke zum IR 30 Haupt Nicolle Komp trasnferiert, seitdem auf anhero Marsch</t>
        </r>
        <r>
          <rPr>
            <sz val="14"/>
            <color rgb="FF000000"/>
            <rFont val="Times New Roman"/>
            <family val="18"/>
          </rPr>
          <t xml:space="preserve"> [TL Sept 1798]</t>
        </r>
        <r>
          <rPr>
            <sz val="14"/>
            <color rgb="FF000000"/>
            <rFont val="Calibri"/>
            <family val="34"/>
          </rPr>
          <t xml:space="preserve">
</t>
        </r>
        <r>
          <rPr>
            <sz val="14"/>
            <color rgb="FF000000"/>
            <rFont val="Times New Roman"/>
            <family val="18"/>
          </rPr>
          <t xml:space="preserve">10/10/1798 </t>
        </r>
        <r>
          <rPr>
            <i/>
            <sz val="14"/>
            <color rgb="FF000000"/>
            <rFont val="Times New Roman"/>
            <family val="18"/>
          </rPr>
          <t>In Kompanie eingerückt</t>
        </r>
        <r>
          <rPr>
            <sz val="14"/>
            <color rgb="FF000000"/>
            <rFont val="Times New Roman"/>
            <family val="18"/>
          </rPr>
          <t xml:space="preserve"> [ST Oct 1798]</t>
        </r>
        <r>
          <rPr>
            <sz val="14"/>
            <color rgb="FF000000"/>
            <rFont val="Calibri"/>
            <family val="34"/>
          </rPr>
          <t xml:space="preserve">
</t>
        </r>
        <r>
          <rPr>
            <sz val="14"/>
            <color rgb="FF000000"/>
            <rFont val="Times New Roman"/>
            <family val="18"/>
          </rPr>
          <t xml:space="preserve">03/12/1800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 xml:space="preserve">[Battle of Hohenlinden] </t>
        </r>
        <r>
          <rPr>
            <sz val="14"/>
            <color rgb="FF000000"/>
            <rFont val="Times New Roman"/>
            <family val="18"/>
          </rPr>
          <t>[ML 1803]</t>
        </r>
        <r>
          <rPr>
            <sz val="14"/>
            <color rgb="FF000000"/>
            <rFont val="Calibri"/>
            <family val="34"/>
          </rPr>
          <t xml:space="preserve">
</t>
        </r>
        <r>
          <rPr>
            <sz val="14"/>
            <color rgb="FF000000"/>
            <rFont val="Times New Roman"/>
            <family val="18"/>
          </rPr>
          <t xml:space="preserve">28/09/1801 </t>
        </r>
        <r>
          <rPr>
            <i/>
            <sz val="14"/>
            <color rgb="FF000000"/>
            <rFont val="Times New Roman"/>
            <family val="18"/>
          </rPr>
          <t>Sich selbst ranzioniert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Schmitt Komp. Nr. 48 [</t>
        </r>
        <r>
          <rPr>
            <i/>
            <sz val="14"/>
            <color rgb="FF000000"/>
            <rFont val="Times New Roman"/>
            <family val="18"/>
          </rPr>
          <t>Arrestant</t>
        </r>
        <r>
          <rPr>
            <sz val="14"/>
            <color rgb="FF000000"/>
            <rFont val="Times New Roman"/>
            <family val="18"/>
          </rPr>
          <t>]</t>
        </r>
        <r>
          <rPr>
            <sz val="14"/>
            <color rgb="FF000000"/>
            <rFont val="Calibri"/>
            <family val="34"/>
          </rPr>
          <t xml:space="preserve">
</t>
        </r>
        <r>
          <rPr>
            <sz val="14"/>
            <color rgb="FF000000"/>
            <rFont val="Times New Roman"/>
            <family val="18"/>
          </rPr>
          <t>19/09/1804 Muster: IR 30 Haupt Schmitt Komp. Nr. 44</t>
        </r>
        <r>
          <rPr>
            <sz val="14"/>
            <color rgb="FF000000"/>
            <rFont val="Calibri"/>
            <family val="34"/>
          </rPr>
          <t xml:space="preserve">
</t>
        </r>
        <r>
          <rPr>
            <sz val="14"/>
            <color rgb="FF000000"/>
            <rFont val="Times New Roman"/>
            <family val="18"/>
          </rPr>
          <t>12/06/1805 Revision: IR 30 Haupt Schmitt Komp. Nr. 41</t>
        </r>
        <r>
          <rPr>
            <sz val="14"/>
            <color rgb="FF000000"/>
            <rFont val="Calibri"/>
            <family val="34"/>
          </rPr>
          <t xml:space="preserve">
</t>
        </r>
      </text>
    </comment>
    <comment ref="BG458" authorId="0" shapeId="0" xr:uid="{6FB59A23-C3A6-5748-8BC2-47D42B47405F}">
      <text>
        <r>
          <rPr>
            <sz val="14"/>
            <color rgb="FF000000"/>
            <rFont val="Times New Roman"/>
            <family val="18"/>
          </rPr>
          <t>ML 2630 IR 30 (1803) – Haupt Schmitt Komp. Nr. 48 (Lemberg 12/08/1803)</t>
        </r>
        <r>
          <rPr>
            <sz val="14"/>
            <color rgb="FF000000"/>
            <rFont val="Calibri"/>
            <family val="34"/>
          </rPr>
          <t xml:space="preserve">
</t>
        </r>
        <r>
          <rPr>
            <sz val="14"/>
            <color rgb="FF000000"/>
            <rFont val="Times New Roman"/>
            <family val="18"/>
          </rPr>
          <t xml:space="preserve">ML 2631 IR 30 (1804) – Haupt Schmitt Komp. Nr. 44 (Lemberg 19/09/1804) </t>
        </r>
        <r>
          <rPr>
            <sz val="14"/>
            <color rgb="FF000000"/>
            <rFont val="Calibri"/>
            <family val="34"/>
          </rPr>
          <t xml:space="preserve">
</t>
        </r>
        <r>
          <rPr>
            <sz val="14"/>
            <color rgb="FF000000"/>
            <rFont val="Times New Roman"/>
            <family val="18"/>
          </rPr>
          <t>ML 2632 IR 30 (1805-10) – RL 1805 Haupt Schmitt Komp. Nr. 41 (Lemberg 12/06/1805)</t>
        </r>
        <r>
          <rPr>
            <sz val="14"/>
            <color rgb="FF000000"/>
            <rFont val="Calibri"/>
            <family val="34"/>
          </rPr>
          <t xml:space="preserve">
</t>
        </r>
        <r>
          <rPr>
            <sz val="14"/>
            <color rgb="FF000000"/>
            <rFont val="Times New Roman"/>
            <family val="18"/>
          </rPr>
          <t>ML 2664 IR 30 (1798) – TL IR 1-&gt;IR 30 Nr. 10 (Olmütz 27/09/1798); ST Sept (Lemberg 03/04/1803); Oct (Lemberg 08/04/1803), Dec (Theresienstadt 23/07/1799)</t>
        </r>
        <r>
          <rPr>
            <sz val="14"/>
            <color rgb="FF000000"/>
            <rFont val="Calibri"/>
            <family val="34"/>
          </rPr>
          <t xml:space="preserve">
</t>
        </r>
      </text>
    </comment>
    <comment ref="BH458" authorId="0" shapeId="0" xr:uid="{FE8859B0-3D6A-9E45-AF49-32653AF91590}">
      <text>
        <r>
          <rPr>
            <sz val="14"/>
            <color rgb="FF000000"/>
            <rFont val="Times New Roman"/>
            <family val="18"/>
          </rPr>
          <t xml:space="preserve">IR 1 (1798)
</t>
        </r>
        <r>
          <rPr>
            <sz val="14"/>
            <color rgb="FF000000"/>
            <rFont val="Times New Roman"/>
            <family val="18"/>
          </rPr>
          <t>IR 30 (1798-1805)</t>
        </r>
      </text>
    </comment>
    <comment ref="I459" authorId="0" shapeId="0" xr:uid="{CDCA909E-BE04-AB48-9835-F2B4BE5C3803}">
      <text>
        <r>
          <rPr>
            <sz val="14"/>
            <color rgb="FF000000"/>
            <rFont val="Calibri"/>
            <family val="34"/>
          </rPr>
          <t xml:space="preserve">1772 [28 (1800)] 
</t>
        </r>
        <r>
          <rPr>
            <sz val="14"/>
            <color rgb="FF000000"/>
            <rFont val="Calibri"/>
            <family val="34"/>
          </rPr>
          <t xml:space="preserve">OR 
</t>
        </r>
        <r>
          <rPr>
            <sz val="14"/>
            <color rgb="FF000000"/>
            <rFont val="Calibri"/>
            <family val="34"/>
          </rPr>
          <t xml:space="preserve">1770 [32 (1802)]
</t>
        </r>
        <r>
          <rPr>
            <sz val="14"/>
            <color rgb="FF000000"/>
            <rFont val="Calibri"/>
            <family val="34"/>
          </rPr>
          <t xml:space="preserve">OR 
</t>
        </r>
        <r>
          <rPr>
            <sz val="14"/>
            <color rgb="FF000000"/>
            <rFont val="Calibri"/>
            <family val="34"/>
          </rPr>
          <t>1771 [32 (1803)]</t>
        </r>
      </text>
    </comment>
    <comment ref="BF459" authorId="0" shapeId="0" xr:uid="{8EC97A41-B1BE-124B-BC92-E9C0C1062657}">
      <text>
        <r>
          <rPr>
            <sz val="14"/>
            <color rgb="FF000000"/>
            <rFont val="Times New Roman"/>
            <family val="18"/>
          </rPr>
          <t xml:space="preserve">24/09/1798 </t>
        </r>
        <r>
          <rPr>
            <i/>
            <sz val="14"/>
            <color rgb="FF000000"/>
            <rFont val="Times New Roman"/>
            <family val="18"/>
          </rPr>
          <t>Gegen 3Fl Handgeld als Vagabund auf Beständig assentiert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16/03/1800 </t>
        </r>
        <r>
          <rPr>
            <i/>
            <sz val="14"/>
            <color rgb="FF000000"/>
            <rFont val="Times New Roman"/>
            <family val="18"/>
          </rPr>
          <t>Zum Gefreyter avanciert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26/07/1802 </t>
        </r>
        <r>
          <rPr>
            <i/>
            <sz val="14"/>
            <color rgb="FF000000"/>
            <rFont val="Times New Roman"/>
            <family val="18"/>
          </rPr>
          <t>Von Murray Regiment Wautier Komp.</t>
        </r>
        <r>
          <rPr>
            <sz val="14"/>
            <color rgb="FF000000"/>
            <rFont val="Times New Roman"/>
            <family val="18"/>
          </rPr>
          <t xml:space="preserve"> </t>
        </r>
        <r>
          <rPr>
            <b/>
            <sz val="14"/>
            <color rgb="FF000000"/>
            <rFont val="Times New Roman"/>
            <family val="18"/>
          </rPr>
          <t>[IR 55]</t>
        </r>
        <r>
          <rPr>
            <sz val="14"/>
            <color rgb="FF000000"/>
            <rFont val="Times New Roman"/>
            <family val="18"/>
          </rPr>
          <t xml:space="preserve"> </t>
        </r>
        <r>
          <rPr>
            <i/>
            <sz val="14"/>
            <color rgb="FF000000"/>
            <rFont val="Times New Roman"/>
            <family val="18"/>
          </rPr>
          <t>zum IR 44 transferiert und zur Obrist Komp. eingeheilt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20/06/1803 </t>
        </r>
        <r>
          <rPr>
            <i/>
            <sz val="14"/>
            <color rgb="FF000000"/>
            <rFont val="Times New Roman"/>
            <family val="18"/>
          </rPr>
          <t>Von Obrist zu Haupt Manzoni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19/09/1803 Muster: IR 44 Haupt Manzoni Komp. Nr. 23</t>
        </r>
        <r>
          <rPr>
            <sz val="14"/>
            <color rgb="FF000000"/>
            <rFont val="Calibri"/>
            <family val="34"/>
          </rPr>
          <t xml:space="preserve">
</t>
        </r>
        <r>
          <rPr>
            <sz val="14"/>
            <color rgb="FF000000"/>
            <rFont val="Times New Roman"/>
            <family val="18"/>
          </rPr>
          <t>12/05/1804 Muster: IR 44 Haupt Manzoni Komp. Nr. 20</t>
        </r>
        <r>
          <rPr>
            <sz val="14"/>
            <color rgb="FF000000"/>
            <rFont val="Calibri"/>
            <family val="34"/>
          </rPr>
          <t xml:space="preserve">
</t>
        </r>
        <r>
          <rPr>
            <sz val="14"/>
            <color rgb="FF000000"/>
            <rFont val="Times New Roman"/>
            <family val="18"/>
          </rPr>
          <t xml:space="preserve">20/04/1805 </t>
        </r>
        <r>
          <rPr>
            <i/>
            <sz val="14"/>
            <color rgb="FF000000"/>
            <rFont val="Times New Roman"/>
            <family val="18"/>
          </rPr>
          <t>Gegen Renuncierung alle Militar Beneficien Vermog besondere Verordnung mit Abschied entlassen</t>
        </r>
        <r>
          <rPr>
            <sz val="14"/>
            <color rgb="FF000000"/>
            <rFont val="Times New Roman"/>
            <family val="18"/>
          </rPr>
          <t xml:space="preserve"> [ML 1806]</t>
        </r>
        <r>
          <rPr>
            <sz val="14"/>
            <color rgb="FF000000"/>
            <rFont val="Calibri"/>
            <family val="34"/>
          </rPr>
          <t xml:space="preserve">
</t>
        </r>
      </text>
    </comment>
    <comment ref="BG459" authorId="0" shapeId="0" xr:uid="{2294D34F-0353-6C41-8118-983AF3C17B83}">
      <text>
        <r>
          <rPr>
            <sz val="14"/>
            <color rgb="FF000000"/>
            <rFont val="Times New Roman"/>
            <family val="18"/>
          </rPr>
          <t>ML 3908 IR 44 (1803) – Haupt Manzoni Komp. Nr. 23 (Venice 19/09/1803)</t>
        </r>
        <r>
          <rPr>
            <sz val="14"/>
            <color rgb="FF000000"/>
            <rFont val="Calibri"/>
            <family val="34"/>
          </rPr>
          <t xml:space="preserve">
</t>
        </r>
        <r>
          <rPr>
            <sz val="14"/>
            <color rgb="FF000000"/>
            <rFont val="Times New Roman"/>
            <family val="18"/>
          </rPr>
          <t>ML 3909 IR 44 (1804) – Haupt Manzoni Komp. Nr. 23 (Vicenza 12/05/1805)</t>
        </r>
        <r>
          <rPr>
            <sz val="14"/>
            <color rgb="FF000000"/>
            <rFont val="Calibri"/>
            <family val="34"/>
          </rPr>
          <t xml:space="preserve">
</t>
        </r>
        <r>
          <rPr>
            <sz val="14"/>
            <color rgb="FF000000"/>
            <rFont val="Times New Roman"/>
            <family val="18"/>
          </rPr>
          <t>ML 3910 IR 44 (1806) – CaptLt. Czwich Abgang (Fiume 10/12/1806)</t>
        </r>
        <r>
          <rPr>
            <sz val="14"/>
            <color rgb="FF000000"/>
            <rFont val="Calibri"/>
            <family val="34"/>
          </rPr>
          <t xml:space="preserve">
</t>
        </r>
        <r>
          <rPr>
            <sz val="14"/>
            <color rgb="FF000000"/>
            <rFont val="Times New Roman"/>
            <family val="18"/>
          </rPr>
          <t>ML 3946 IR 44 (1802) – AL IR 55-&gt; IR 44 Nr. 5 (Lublin 24/07/1802)</t>
        </r>
        <r>
          <rPr>
            <sz val="14"/>
            <color rgb="FF000000"/>
            <rFont val="Calibri"/>
            <family val="34"/>
          </rPr>
          <t xml:space="preserve">
</t>
        </r>
      </text>
    </comment>
    <comment ref="BH459" authorId="0" shapeId="0" xr:uid="{C9B12E53-6877-DE46-966F-6714B8F7E478}">
      <text>
        <r>
          <rPr>
            <sz val="14"/>
            <color rgb="FF000000"/>
            <rFont val="Calibri"/>
            <family val="34"/>
          </rPr>
          <t xml:space="preserve">IR 43 (1798-1802)
</t>
        </r>
        <r>
          <rPr>
            <sz val="14"/>
            <color rgb="FF000000"/>
            <rFont val="Calibri"/>
            <family val="34"/>
          </rPr>
          <t>IR 44 (1802-1805)</t>
        </r>
      </text>
    </comment>
    <comment ref="BI459" authorId="0" shapeId="0" xr:uid="{CB463C92-325B-DB4D-8949-8B35604F9FED}">
      <text>
        <r>
          <rPr>
            <sz val="14"/>
            <color rgb="FF000000"/>
            <rFont val="Calibri"/>
            <family val="34"/>
          </rPr>
          <t>Gut (TL July 1802)</t>
        </r>
      </text>
    </comment>
    <comment ref="C460" authorId="0" shapeId="0" xr:uid="{2251EA3F-F638-8847-BF47-55DFD9D6F28B}">
      <text>
        <r>
          <rPr>
            <b/>
            <u/>
            <sz val="12"/>
            <color rgb="FF0563C1"/>
            <rFont val="Times New Roman"/>
            <family val="18"/>
          </rPr>
          <t>Janów Lubelski, Poland</t>
        </r>
        <r>
          <rPr>
            <sz val="12"/>
            <color rgb="FF000000"/>
            <rFont val="Times New Roman"/>
            <family val="18"/>
          </rPr>
          <t xml:space="preserve">
</t>
        </r>
        <r>
          <rPr>
            <sz val="12"/>
            <color rgb="FF000000"/>
            <rFont val="Times New Roman"/>
            <family val="18"/>
          </rPr>
          <t xml:space="preserve">OR
</t>
        </r>
        <r>
          <rPr>
            <b/>
            <u/>
            <sz val="12"/>
            <color rgb="FF0563C1"/>
            <rFont val="Times New Roman"/>
            <family val="18"/>
          </rPr>
          <t>Janów Podlaski, Poland</t>
        </r>
        <r>
          <rPr>
            <sz val="12"/>
            <color rgb="FF000000"/>
            <rFont val="Calibri"/>
            <family val="2"/>
          </rPr>
          <t xml:space="preserve"> </t>
        </r>
        <r>
          <rPr>
            <sz val="12"/>
            <color rgb="FF000000"/>
            <rFont val="Times New Roman"/>
            <family val="18"/>
          </rPr>
          <t xml:space="preserve">
</t>
        </r>
      </text>
    </comment>
    <comment ref="T460" authorId="0" shapeId="0" xr:uid="{5DD62532-7145-C74A-9ADD-1C6561CBFD3B}">
      <text>
        <r>
          <rPr>
            <sz val="14"/>
            <color rgb="FF000000"/>
            <rFont val="Calibri"/>
            <family val="34"/>
          </rPr>
          <t xml:space="preserve">5.3.3  [166.55 cm] (1803/4)
</t>
        </r>
        <r>
          <rPr>
            <sz val="14"/>
            <color rgb="FF000000"/>
            <rFont val="Calibri"/>
            <family val="34"/>
          </rPr>
          <t>5.3.1 [169.18 cm] (1802)</t>
        </r>
      </text>
    </comment>
    <comment ref="BF460" authorId="0" shapeId="0" xr:uid="{0F63A662-3323-BA4E-9875-88E474AB57F8}">
      <text>
        <r>
          <rPr>
            <sz val="14"/>
            <color rgb="FFFF0000"/>
            <rFont val="Times New Roman"/>
            <family val="18"/>
          </rPr>
          <t xml:space="preserve">20/08/1796 </t>
        </r>
        <r>
          <rPr>
            <i/>
            <sz val="14"/>
            <color rgb="FFFF0000"/>
            <rFont val="Times New Roman"/>
            <family val="18"/>
          </rPr>
          <t>Von Ständen a 3Fl gestellt worden</t>
        </r>
        <r>
          <rPr>
            <sz val="14"/>
            <color rgb="FFFF0000"/>
            <rFont val="Times New Roman"/>
            <family val="18"/>
          </rPr>
          <t xml:space="preserve"> [ML 1802]</t>
        </r>
        <r>
          <rPr>
            <sz val="14"/>
            <color rgb="FF000000"/>
            <rFont val="Times New Roman"/>
            <family val="18"/>
          </rPr>
          <t xml:space="preserve">
</t>
        </r>
        <r>
          <rPr>
            <sz val="14"/>
            <color rgb="FFFF0000"/>
            <rFont val="Times New Roman"/>
            <family val="18"/>
          </rPr>
          <t xml:space="preserve">20/08/1796 </t>
        </r>
        <r>
          <rPr>
            <i/>
            <sz val="14"/>
            <color rgb="FFFF0000"/>
            <rFont val="Times New Roman"/>
            <family val="18"/>
          </rPr>
          <t>A 3Fl Handgeld assentiert</t>
        </r>
        <r>
          <rPr>
            <sz val="14"/>
            <color rgb="FFFF0000"/>
            <rFont val="Times New Roman"/>
            <family val="18"/>
          </rPr>
          <t xml:space="preserve"> [ML 1803/4]</t>
        </r>
        <r>
          <rPr>
            <sz val="14"/>
            <color rgb="FF000000"/>
            <rFont val="Times New Roman"/>
            <family val="18"/>
          </rPr>
          <t xml:space="preserve">
</t>
        </r>
        <r>
          <rPr>
            <sz val="14"/>
            <color rgb="FF000000"/>
            <rFont val="Times New Roman"/>
            <family val="18"/>
          </rPr>
          <t xml:space="preserve">24/09/1798 </t>
        </r>
        <r>
          <rPr>
            <i/>
            <sz val="14"/>
            <color rgb="FF000000"/>
            <rFont val="Times New Roman"/>
            <family val="18"/>
          </rPr>
          <t>Von Ständen a 3Fl Handgeld als galizische Recrout gestellt und assentiert und seitdem mit Friedensgebühr</t>
        </r>
        <r>
          <rPr>
            <sz val="14"/>
            <color rgb="FF000000"/>
            <rFont val="Times New Roman"/>
            <family val="18"/>
          </rPr>
          <t xml:space="preserve"> [ST Jan 1799]
</t>
        </r>
        <r>
          <rPr>
            <sz val="14"/>
            <color rgb="FF000000"/>
            <rFont val="Times New Roman"/>
            <family val="18"/>
          </rPr>
          <t xml:space="preserve">09/01/1799 </t>
        </r>
        <r>
          <rPr>
            <i/>
            <sz val="14"/>
            <color rgb="FF000000"/>
            <rFont val="Times New Roman"/>
            <family val="18"/>
          </rPr>
          <t>In Haupt Schoer Comp eingeruckt</t>
        </r>
        <r>
          <rPr>
            <sz val="14"/>
            <color rgb="FF000000"/>
            <rFont val="Times New Roman"/>
            <family val="18"/>
          </rPr>
          <t xml:space="preserve"> [ST Jan 1799]
</t>
        </r>
        <r>
          <rPr>
            <sz val="14"/>
            <color rgb="FF000000"/>
            <rFont val="Times New Roman"/>
            <family val="18"/>
          </rPr>
          <t xml:space="preserve">03/08/1799 </t>
        </r>
        <r>
          <rPr>
            <i/>
            <sz val="14"/>
            <color rgb="FF000000"/>
            <rFont val="Times New Roman"/>
            <family val="18"/>
          </rPr>
          <t>Krank auswärts mit Kriegs gebühr</t>
        </r>
        <r>
          <rPr>
            <sz val="14"/>
            <color rgb="FF000000"/>
            <rFont val="Times New Roman"/>
            <family val="18"/>
          </rPr>
          <t xml:space="preserve"> [ST Aug 1799] [Als Martin Wolf]
</t>
        </r>
        <r>
          <rPr>
            <sz val="14"/>
            <color rgb="FF000000"/>
            <rFont val="Times New Roman"/>
            <family val="18"/>
          </rPr>
          <t xml:space="preserve">30/04/1800 </t>
        </r>
        <r>
          <rPr>
            <i/>
            <sz val="14"/>
            <color rgb="FF000000"/>
            <rFont val="Times New Roman"/>
            <family val="18"/>
          </rPr>
          <t>Rekonvalesziert und ins Haupt Schoerr Comp eingerückt</t>
        </r>
        <r>
          <rPr>
            <sz val="14"/>
            <color rgb="FF000000"/>
            <rFont val="Times New Roman"/>
            <family val="18"/>
          </rPr>
          <t xml:space="preserve"> [ST April 1800]
</t>
        </r>
        <r>
          <rPr>
            <sz val="14"/>
            <color rgb="FF000000"/>
            <rFont val="Times New Roman"/>
            <family val="18"/>
          </rPr>
          <t xml:space="preserve">07/06/1800 </t>
        </r>
        <r>
          <rPr>
            <i/>
            <sz val="14"/>
            <color rgb="FF000000"/>
            <rFont val="Times New Roman"/>
            <family val="18"/>
          </rPr>
          <t>Krank auswärts mit Kriegs Gebühr</t>
        </r>
        <r>
          <rPr>
            <sz val="14"/>
            <color rgb="FF000000"/>
            <rFont val="Times New Roman"/>
            <family val="18"/>
          </rPr>
          <t xml:space="preserve"> </t>
        </r>
        <r>
          <rPr>
            <b/>
            <sz val="14"/>
            <color rgb="FFFF0000"/>
            <rFont val="Times New Roman"/>
            <family val="18"/>
          </rPr>
          <t>[Wounded at Montalto]</t>
        </r>
        <r>
          <rPr>
            <sz val="14"/>
            <color rgb="FF000000"/>
            <rFont val="Times New Roman"/>
            <family val="18"/>
          </rPr>
          <t xml:space="preserve"> [ST June 1800] 
</t>
        </r>
        <r>
          <rPr>
            <sz val="14"/>
            <color rgb="FF000000"/>
            <rFont val="Times New Roman"/>
            <family val="18"/>
          </rPr>
          <t xml:space="preserve">15/07/1800 </t>
        </r>
        <r>
          <rPr>
            <i/>
            <sz val="14"/>
            <color rgb="FF000000"/>
            <rFont val="Times New Roman"/>
            <family val="18"/>
          </rPr>
          <t>Rekonvalesziert</t>
        </r>
        <r>
          <rPr>
            <sz val="14"/>
            <color rgb="FF000000"/>
            <rFont val="Times New Roman"/>
            <family val="18"/>
          </rPr>
          <t xml:space="preserve"> [ST July/Aug 1800] </t>
        </r>
        <r>
          <rPr>
            <sz val="14"/>
            <color rgb="FFFF0000"/>
            <rFont val="Times New Roman"/>
            <family val="18"/>
          </rPr>
          <t>[Appears in two tables]</t>
        </r>
        <r>
          <rPr>
            <sz val="14"/>
            <color rgb="FF000000"/>
            <rFont val="Times New Roman"/>
            <family val="18"/>
          </rPr>
          <t xml:space="preserve">
</t>
        </r>
        <r>
          <rPr>
            <sz val="14"/>
            <color rgb="FF000000"/>
            <rFont val="Times New Roman"/>
            <family val="18"/>
          </rPr>
          <t xml:space="preserve">11/09/1802 Muster: IR 43 Haupt. Schoer Komp Nr. 61
</t>
        </r>
        <r>
          <rPr>
            <sz val="14"/>
            <color rgb="FF000000"/>
            <rFont val="Times New Roman"/>
            <family val="18"/>
          </rPr>
          <t xml:space="preserve">28/09/1803 Muster: IR 43 Haupt Schoer Komp Nr. 90
</t>
        </r>
        <r>
          <rPr>
            <sz val="14"/>
            <color rgb="FF000000"/>
            <rFont val="Times New Roman"/>
            <family val="18"/>
          </rPr>
          <t xml:space="preserve">07/10/1804 Muster: IR 43 Haupt Schoer Komp Nr. 86 
</t>
        </r>
        <r>
          <rPr>
            <sz val="14"/>
            <color rgb="FF000000"/>
            <rFont val="Times New Roman"/>
            <family val="18"/>
          </rPr>
          <t xml:space="preserve">25/03/1805 </t>
        </r>
        <r>
          <rPr>
            <i/>
            <sz val="14"/>
            <color rgb="FF000000"/>
            <rFont val="Times New Roman"/>
            <family val="18"/>
          </rPr>
          <t>Zu loco Castelnovo gestorben</t>
        </r>
        <r>
          <rPr>
            <sz val="14"/>
            <color rgb="FF000000"/>
            <rFont val="Times New Roman"/>
            <family val="18"/>
          </rPr>
          <t xml:space="preserve"> [ST March 1805 &amp; ML 1805]
</t>
        </r>
      </text>
    </comment>
    <comment ref="BG460" authorId="0" shapeId="0" xr:uid="{64A02205-B424-E24A-A29F-9A8387F3E22B}">
      <text>
        <r>
          <rPr>
            <sz val="14"/>
            <color rgb="FF000000"/>
            <rFont val="Times New Roman"/>
            <family val="18"/>
          </rPr>
          <t>ML 10.272 IR 43 (1802) – Heft von Haupt Schoer Comp. Nr 61 (Zara 11/09/1802)</t>
        </r>
        <r>
          <rPr>
            <sz val="14"/>
            <color rgb="FF000000"/>
            <rFont val="Calibri"/>
            <family val="34"/>
          </rPr>
          <t xml:space="preserve">
</t>
        </r>
        <r>
          <rPr>
            <sz val="14"/>
            <color rgb="FF000000"/>
            <rFont val="Times New Roman"/>
            <family val="18"/>
          </rPr>
          <t>ML 10.273 IR 43 (1803) – Heft von Haupt Schoer Comp. Nr 90 (Zara 28/09/1803)</t>
        </r>
        <r>
          <rPr>
            <sz val="14"/>
            <color rgb="FF000000"/>
            <rFont val="Calibri"/>
            <family val="34"/>
          </rPr>
          <t xml:space="preserve">
</t>
        </r>
        <r>
          <rPr>
            <sz val="14"/>
            <color rgb="FF000000"/>
            <rFont val="Times New Roman"/>
            <family val="18"/>
          </rPr>
          <t>ML 10.274 IR 43 (1804) – Heft von Haupt Schoer Comp. Nr 86 (Cattaro 07/10/1804)</t>
        </r>
        <r>
          <rPr>
            <sz val="14"/>
            <color rgb="FF000000"/>
            <rFont val="Calibri"/>
            <family val="34"/>
          </rPr>
          <t xml:space="preserve">
</t>
        </r>
        <r>
          <rPr>
            <sz val="14"/>
            <color rgb="FF000000"/>
            <rFont val="Times New Roman"/>
            <family val="18"/>
          </rPr>
          <t>ML 10.275/6 IR 43 (1805) – Heft von 6. Fus Comp. Abgang (Zara 01/10/1805)</t>
        </r>
        <r>
          <rPr>
            <sz val="14"/>
            <color rgb="FF000000"/>
            <rFont val="Calibri"/>
            <family val="34"/>
          </rPr>
          <t xml:space="preserve">
</t>
        </r>
        <r>
          <rPr>
            <sz val="14"/>
            <color rgb="FF000000"/>
            <rFont val="Times New Roman"/>
            <family val="18"/>
          </rPr>
          <t>ML 10.307 IR 43 (1799) – ST Jan (21/02/1799), Aug (06/03/1800)</t>
        </r>
        <r>
          <rPr>
            <sz val="14"/>
            <color rgb="FF000000"/>
            <rFont val="Calibri"/>
            <family val="34"/>
          </rPr>
          <t xml:space="preserve">
</t>
        </r>
        <r>
          <rPr>
            <sz val="14"/>
            <color rgb="FF000000"/>
            <rFont val="Times New Roman"/>
            <family val="18"/>
          </rPr>
          <t>ML 10.309 IR 43 (1800) – ST Juni (27/08/1803), Juli (24/10/1803), Aug (31/01/1804)</t>
        </r>
        <r>
          <rPr>
            <sz val="14"/>
            <color rgb="FF000000"/>
            <rFont val="Calibri"/>
            <family val="34"/>
          </rPr>
          <t xml:space="preserve">
</t>
        </r>
        <r>
          <rPr>
            <sz val="14"/>
            <color rgb="FF000000"/>
            <rFont val="Times New Roman"/>
            <family val="18"/>
          </rPr>
          <t>ML 10.315 IR 43 (1805) – ST März (15/04/1804)</t>
        </r>
        <r>
          <rPr>
            <sz val="14"/>
            <color rgb="FF000000"/>
            <rFont val="Calibri"/>
            <family val="34"/>
          </rPr>
          <t xml:space="preserve">
</t>
        </r>
      </text>
    </comment>
    <comment ref="BH460" authorId="0" shapeId="0" xr:uid="{1B87A339-D9DA-9642-82E5-C6D4B2CF0F97}">
      <text>
        <r>
          <rPr>
            <sz val="14"/>
            <color rgb="FF000000"/>
            <rFont val="Calibri"/>
            <family val="34"/>
          </rPr>
          <t>IR 43 (1798-1805)</t>
        </r>
      </text>
    </comment>
    <comment ref="BF461" authorId="0" shapeId="0" xr:uid="{8F6916E1-F969-2A41-85FF-546DE5A038C9}">
      <text>
        <r>
          <rPr>
            <sz val="14"/>
            <color rgb="FF000000"/>
            <rFont val="Times New Roman"/>
            <family val="18"/>
          </rPr>
          <t xml:space="preserve">12/10/1798 </t>
        </r>
        <r>
          <rPr>
            <i/>
            <sz val="14"/>
            <color rgb="FF000000"/>
            <rFont val="Times New Roman"/>
            <family val="18"/>
          </rPr>
          <t xml:space="preserve">Auf Beständig zu Murray Inft: Regt </t>
        </r>
        <r>
          <rPr>
            <b/>
            <i/>
            <sz val="14"/>
            <color rgb="FF000000"/>
            <rFont val="Times New Roman"/>
            <family val="18"/>
          </rPr>
          <t>Nr. 55</t>
        </r>
        <r>
          <rPr>
            <i/>
            <sz val="14"/>
            <color rgb="FF000000"/>
            <rFont val="Times New Roman"/>
            <family val="18"/>
          </rPr>
          <t xml:space="preserve">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21/06/1802 </t>
        </r>
        <r>
          <rPr>
            <i/>
            <sz val="14"/>
            <color rgb="FF000000"/>
            <rFont val="Times New Roman"/>
            <family val="18"/>
          </rPr>
          <t>Von IR 55 zum GR 2 transferiert und zur Fleischer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2 Haupt Fleischer Komp. Nr. 138</t>
        </r>
        <r>
          <rPr>
            <sz val="14"/>
            <color rgb="FF000000"/>
            <rFont val="Calibri"/>
            <family val="34"/>
          </rPr>
          <t xml:space="preserve">
</t>
        </r>
        <r>
          <rPr>
            <sz val="14"/>
            <color rgb="FF000000"/>
            <rFont val="Times New Roman"/>
            <family val="18"/>
          </rPr>
          <t xml:space="preserve">06/03/1803 </t>
        </r>
        <r>
          <rPr>
            <i/>
            <sz val="14"/>
            <color rgb="FF000000"/>
            <rFont val="Times New Roman"/>
            <family val="18"/>
          </rPr>
          <t xml:space="preserve">Aus der Station Hrubitzow </t>
        </r>
        <r>
          <rPr>
            <b/>
            <sz val="14"/>
            <color rgb="FF000000"/>
            <rFont val="Times New Roman"/>
            <family val="18"/>
          </rPr>
          <t>[</t>
        </r>
        <r>
          <rPr>
            <b/>
            <u/>
            <sz val="14"/>
            <color rgb="FF0563C1"/>
            <rFont val="Times New Roman"/>
            <family val="18"/>
          </rPr>
          <t>Hrubieszów, Poland</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461" authorId="0" shapeId="0" xr:uid="{5202257E-F2DF-C348-8A8C-FC451325855A}">
      <text>
        <r>
          <rPr>
            <sz val="14"/>
            <color rgb="FF000000"/>
            <rFont val="Times New Roman"/>
            <family val="18"/>
          </rPr>
          <t>ML 11.183 GR 2 (1802) – Haupt Fleischer Komp. Nr. 138 (Zamosc 01/09/1802)</t>
        </r>
        <r>
          <rPr>
            <sz val="14"/>
            <color rgb="FF000000"/>
            <rFont val="Calibri"/>
            <family val="34"/>
          </rPr>
          <t xml:space="preserve">
</t>
        </r>
        <r>
          <rPr>
            <sz val="14"/>
            <color rgb="FF000000"/>
            <rFont val="Times New Roman"/>
            <family val="18"/>
          </rPr>
          <t>ML 11.184 GR 2 (1803) – Haupt Fleischer Komp. Abgang (Hrubieszów 03/09/1803)</t>
        </r>
        <r>
          <rPr>
            <sz val="14"/>
            <color rgb="FF000000"/>
            <rFont val="Calibri"/>
            <family val="34"/>
          </rPr>
          <t xml:space="preserve">
</t>
        </r>
      </text>
    </comment>
    <comment ref="BH461" authorId="0" shapeId="0" xr:uid="{D811FDB2-7DF0-B242-B6CA-FEAC5DA0D26F}">
      <text>
        <r>
          <rPr>
            <sz val="14"/>
            <color rgb="FF000000"/>
            <rFont val="Times New Roman"/>
            <family val="18"/>
          </rPr>
          <t xml:space="preserve">IR 55 (1798-1802)
</t>
        </r>
        <r>
          <rPr>
            <sz val="14"/>
            <color rgb="FF000000"/>
            <rFont val="Times New Roman"/>
            <family val="18"/>
          </rPr>
          <t>GR 2 (1802-1803)</t>
        </r>
      </text>
    </comment>
    <comment ref="BF462" authorId="0" shapeId="0" xr:uid="{AFD55257-2E3C-6444-BF1C-E2EE0C2AFE4A}">
      <text>
        <r>
          <rPr>
            <sz val="14"/>
            <color rgb="FF000000"/>
            <rFont val="Times New Roman"/>
            <family val="18"/>
          </rPr>
          <t xml:space="preserve">17/10/1798 </t>
        </r>
        <r>
          <rPr>
            <i/>
            <sz val="14"/>
            <color rgb="FF000000"/>
            <rFont val="Times New Roman"/>
            <family val="18"/>
          </rPr>
          <t xml:space="preserve">Als Ost Galizische Recrout zum IR 30 gestellt und zum 2. Major Komp. eingeteilt, seitdem auf anhero Marsch </t>
        </r>
        <r>
          <rPr>
            <sz val="14"/>
            <color rgb="FF000000"/>
            <rFont val="Times New Roman"/>
            <family val="18"/>
          </rPr>
          <t>[AL Oct 1798 &amp; ST Dec 1798]</t>
        </r>
        <r>
          <rPr>
            <sz val="14"/>
            <color rgb="FF000000"/>
            <rFont val="Calibri"/>
            <family val="34"/>
          </rPr>
          <t xml:space="preserve">
</t>
        </r>
        <r>
          <rPr>
            <sz val="14"/>
            <color rgb="FF000000"/>
            <rFont val="Times New Roman"/>
            <family val="18"/>
          </rPr>
          <t xml:space="preserve">03/12/1798 </t>
        </r>
        <r>
          <rPr>
            <i/>
            <sz val="14"/>
            <color rgb="FF000000"/>
            <rFont val="Times New Roman"/>
            <family val="18"/>
          </rPr>
          <t>In Kompanie eingerückt</t>
        </r>
        <r>
          <rPr>
            <sz val="14"/>
            <color rgb="FF000000"/>
            <rFont val="Times New Roman"/>
            <family val="18"/>
          </rPr>
          <t xml:space="preserve"> [ST Dec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62" authorId="0" shapeId="0" xr:uid="{F5A1A062-355C-394E-8AE9-AA82D4BA702E}">
      <text>
        <r>
          <rPr>
            <sz val="14"/>
            <color rgb="FF000000"/>
            <rFont val="Times New Roman"/>
            <family val="18"/>
          </rPr>
          <t>ML 2664 IR 30 (1798) – AL Nr. 131 (Bochina 31/10/1798); ST Dec (Theresienstadt 23/07/1799)</t>
        </r>
        <r>
          <rPr>
            <sz val="14"/>
            <color rgb="FF000000"/>
            <rFont val="Calibri"/>
            <family val="34"/>
          </rPr>
          <t xml:space="preserve">
</t>
        </r>
      </text>
    </comment>
    <comment ref="BH462" authorId="0" shapeId="0" xr:uid="{B86D3132-AA61-4A44-96EF-D9DFBC0D074A}">
      <text>
        <r>
          <rPr>
            <sz val="14"/>
            <color rgb="FF000000"/>
            <rFont val="Calibri"/>
            <family val="34"/>
          </rPr>
          <t>IR 30 (1798)</t>
        </r>
      </text>
    </comment>
    <comment ref="BF463" authorId="0" shapeId="0" xr:uid="{8CC4A794-E0C1-D049-ADA2-B2198CFB1480}">
      <text>
        <r>
          <rPr>
            <sz val="14"/>
            <color rgb="FF000000"/>
            <rFont val="Times New Roman"/>
            <family val="18"/>
          </rPr>
          <t xml:space="preserve">18/10/1798 </t>
        </r>
        <r>
          <rPr>
            <i/>
            <sz val="14"/>
            <color rgb="FF000000"/>
            <rFont val="Times New Roman"/>
            <family val="18"/>
          </rPr>
          <t xml:space="preserve">Als Ost Galizische Recrout zum IR 30 gestellt und zum 2. Major Komp. eingeteilt, seitdem auf anhero Marsch </t>
        </r>
        <r>
          <rPr>
            <sz val="14"/>
            <color rgb="FF000000"/>
            <rFont val="Times New Roman"/>
            <family val="18"/>
          </rPr>
          <t>[AL Oct 1798 &amp; ST Dec 1798]</t>
        </r>
        <r>
          <rPr>
            <sz val="14"/>
            <color rgb="FF000000"/>
            <rFont val="Calibri"/>
            <family val="34"/>
          </rPr>
          <t xml:space="preserve">
</t>
        </r>
        <r>
          <rPr>
            <sz val="14"/>
            <color rgb="FF000000"/>
            <rFont val="Times New Roman"/>
            <family val="18"/>
          </rPr>
          <t xml:space="preserve">03/12/1798 </t>
        </r>
        <r>
          <rPr>
            <i/>
            <sz val="14"/>
            <color rgb="FF000000"/>
            <rFont val="Times New Roman"/>
            <family val="18"/>
          </rPr>
          <t>In Kompanie eingerückt</t>
        </r>
        <r>
          <rPr>
            <sz val="14"/>
            <color rgb="FF000000"/>
            <rFont val="Times New Roman"/>
            <family val="18"/>
          </rPr>
          <t xml:space="preserve"> [ST Dec 1798]</t>
        </r>
        <r>
          <rPr>
            <sz val="14"/>
            <color rgb="FF000000"/>
            <rFont val="Calibri"/>
            <family val="34"/>
          </rPr>
          <t xml:space="preserve">
</t>
        </r>
        <r>
          <rPr>
            <sz val="14"/>
            <color rgb="FF000000"/>
            <rFont val="Times New Roman"/>
            <family val="18"/>
          </rPr>
          <t xml:space="preserve">31/12/1798 </t>
        </r>
        <r>
          <rPr>
            <i/>
            <sz val="14"/>
            <color rgb="FF000000"/>
            <rFont val="Times New Roman"/>
            <family val="18"/>
          </rPr>
          <t>Dient bis mindestens</t>
        </r>
        <r>
          <rPr>
            <sz val="14"/>
            <color rgb="FF000000"/>
            <rFont val="Times New Roman"/>
            <family val="18"/>
          </rPr>
          <t xml:space="preserve"> [ST Dec 1798]</t>
        </r>
        <r>
          <rPr>
            <sz val="14"/>
            <color rgb="FF000000"/>
            <rFont val="Calibri"/>
            <family val="34"/>
          </rPr>
          <t xml:space="preserve">
</t>
        </r>
      </text>
    </comment>
    <comment ref="BG463" authorId="0" shapeId="0" xr:uid="{928D8EAD-0EE5-9F4D-B9C0-A0593F00BCF6}">
      <text>
        <r>
          <rPr>
            <sz val="14"/>
            <color rgb="FF000000"/>
            <rFont val="Times New Roman"/>
            <family val="18"/>
          </rPr>
          <t>ML 2664 IR 30 (1798) – AL Nr. 27 (Myslenice 22/10/1798); ST Dec (Theresienstadt 23/07/1799)</t>
        </r>
        <r>
          <rPr>
            <sz val="14"/>
            <color rgb="FF000000"/>
            <rFont val="Calibri"/>
            <family val="34"/>
          </rPr>
          <t xml:space="preserve">
</t>
        </r>
      </text>
    </comment>
    <comment ref="BH463" authorId="0" shapeId="0" xr:uid="{36BFD13D-7558-6E4C-B867-E07149C54D25}">
      <text>
        <r>
          <rPr>
            <sz val="14"/>
            <color rgb="FF000000"/>
            <rFont val="Calibri"/>
            <family val="34"/>
          </rPr>
          <t>IR 30 (1798)</t>
        </r>
      </text>
    </comment>
    <comment ref="BF464" authorId="0" shapeId="0" xr:uid="{EEDC9A2D-43A7-3948-96B0-4073FB47536E}">
      <text>
        <r>
          <rPr>
            <sz val="14"/>
            <color rgb="FF000000"/>
            <rFont val="Times New Roman"/>
            <family val="18"/>
          </rPr>
          <t xml:space="preserve">20/10/1798 </t>
        </r>
        <r>
          <rPr>
            <i/>
            <sz val="14"/>
            <color rgb="FF000000"/>
            <rFont val="Times New Roman"/>
            <family val="18"/>
          </rPr>
          <t xml:space="preserve">Als Ost Galizische Recrout von Kreis Myslenitz zum IR 30 gestellt und zum 2. Major Komp. eingeteilt, seitdem auf anhero Marsch </t>
        </r>
        <r>
          <rPr>
            <sz val="14"/>
            <color rgb="FF000000"/>
            <rFont val="Times New Roman"/>
            <family val="18"/>
          </rPr>
          <t>[AL Oct 1798 &amp; ST Dec 1798]</t>
        </r>
        <r>
          <rPr>
            <sz val="14"/>
            <color rgb="FF000000"/>
            <rFont val="Calibri"/>
            <family val="34"/>
          </rPr>
          <t xml:space="preserve">
</t>
        </r>
        <r>
          <rPr>
            <sz val="14"/>
            <color rgb="FF000000"/>
            <rFont val="Times New Roman"/>
            <family val="18"/>
          </rPr>
          <t xml:space="preserve">03/12/1798 </t>
        </r>
        <r>
          <rPr>
            <i/>
            <sz val="14"/>
            <color rgb="FF000000"/>
            <rFont val="Times New Roman"/>
            <family val="18"/>
          </rPr>
          <t>In Kompanie eingerückt</t>
        </r>
        <r>
          <rPr>
            <sz val="14"/>
            <color rgb="FF000000"/>
            <rFont val="Times New Roman"/>
            <family val="18"/>
          </rPr>
          <t xml:space="preserve"> [ST Dec 1798]</t>
        </r>
        <r>
          <rPr>
            <sz val="14"/>
            <color rgb="FF000000"/>
            <rFont val="Calibri"/>
            <family val="34"/>
          </rPr>
          <t xml:space="preserve">
</t>
        </r>
        <r>
          <rPr>
            <sz val="14"/>
            <color rgb="FF000000"/>
            <rFont val="Times New Roman"/>
            <family val="18"/>
          </rPr>
          <t xml:space="preserve">01/03/1800 </t>
        </r>
        <r>
          <rPr>
            <i/>
            <sz val="14"/>
            <color rgb="FF000000"/>
            <rFont val="Times New Roman"/>
            <family val="18"/>
          </rPr>
          <t>Hierzu</t>
        </r>
        <r>
          <rPr>
            <sz val="14"/>
            <color rgb="FF000000"/>
            <rFont val="Times New Roman"/>
            <family val="18"/>
          </rPr>
          <t xml:space="preserve"> [zum Gefreyter] </t>
        </r>
        <r>
          <rPr>
            <i/>
            <sz val="14"/>
            <color rgb="FF000000"/>
            <rFont val="Times New Roman"/>
            <family val="18"/>
          </rPr>
          <t>avanciert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Schmid Comp. Nr. 23</t>
        </r>
        <r>
          <rPr>
            <sz val="14"/>
            <color rgb="FF000000"/>
            <rFont val="Calibri"/>
            <family val="34"/>
          </rPr>
          <t xml:space="preserve">
</t>
        </r>
        <r>
          <rPr>
            <sz val="14"/>
            <color rgb="FF000000"/>
            <rFont val="Times New Roman"/>
            <family val="18"/>
          </rPr>
          <t>19/09/1804 Muster: IR 30 Haupt Schmid Comp. Nr. 20 [</t>
        </r>
        <r>
          <rPr>
            <i/>
            <sz val="14"/>
            <color rgb="FF000000"/>
            <rFont val="Times New Roman"/>
            <family val="18"/>
          </rPr>
          <t>Commandiert an Aufsucht, Bett Fourniert in Loco</t>
        </r>
        <r>
          <rPr>
            <sz val="14"/>
            <color rgb="FF000000"/>
            <rFont val="Times New Roman"/>
            <family val="18"/>
          </rPr>
          <t>]</t>
        </r>
        <r>
          <rPr>
            <sz val="14"/>
            <color rgb="FF000000"/>
            <rFont val="Calibri"/>
            <family val="34"/>
          </rPr>
          <t xml:space="preserve">
</t>
        </r>
        <r>
          <rPr>
            <sz val="14"/>
            <color rgb="FF000000"/>
            <rFont val="Times New Roman"/>
            <family val="18"/>
          </rPr>
          <t xml:space="preserve">17/09/1808 Revision: IR 30 12. Fus. Komp. Nr. 9 </t>
        </r>
        <r>
          <rPr>
            <sz val="14"/>
            <color rgb="FF000000"/>
            <rFont val="Calibri"/>
            <family val="34"/>
          </rPr>
          <t xml:space="preserve">
</t>
        </r>
      </text>
    </comment>
    <comment ref="BG464" authorId="0" shapeId="0" xr:uid="{B6A81C80-4817-824C-8A8E-93759A6236D9}">
      <text>
        <r>
          <rPr>
            <sz val="14"/>
            <color rgb="FF000000"/>
            <rFont val="Times New Roman"/>
            <family val="18"/>
          </rPr>
          <t>ML 2630 IR 30 (1803) – Haupt Schmid Komp. Nr. 23 (Lemberg 12/08/1803)</t>
        </r>
        <r>
          <rPr>
            <sz val="14"/>
            <color rgb="FF000000"/>
            <rFont val="Calibri"/>
            <family val="34"/>
          </rPr>
          <t xml:space="preserve">
</t>
        </r>
        <r>
          <rPr>
            <sz val="14"/>
            <color rgb="FF000000"/>
            <rFont val="Times New Roman"/>
            <family val="18"/>
          </rPr>
          <t>ML 2631 IR 30 (1804) – Haupt Schmid Komp. Nr. 20 (Lemberg 19/09/1804)</t>
        </r>
        <r>
          <rPr>
            <sz val="14"/>
            <color rgb="FF000000"/>
            <rFont val="Calibri"/>
            <family val="34"/>
          </rPr>
          <t xml:space="preserve">
</t>
        </r>
        <r>
          <rPr>
            <sz val="14"/>
            <color rgb="FF000000"/>
            <rFont val="Times New Roman"/>
            <family val="18"/>
          </rPr>
          <t>ML 2632 IR 30 (1805-10) – 12. Fus. Komp. Nr. 9 (Krzeczow 17/09/1808)</t>
        </r>
        <r>
          <rPr>
            <sz val="14"/>
            <color rgb="FF000000"/>
            <rFont val="Calibri"/>
            <family val="34"/>
          </rPr>
          <t xml:space="preserve">
</t>
        </r>
        <r>
          <rPr>
            <sz val="14"/>
            <color rgb="FF000000"/>
            <rFont val="Times New Roman"/>
            <family val="18"/>
          </rPr>
          <t>ML 2664 IR 30 (1798) – AL Nr. 202 (Myslenice 30/10/1798); ST Dec (Theresienstadt 23/07/1799)</t>
        </r>
        <r>
          <rPr>
            <sz val="14"/>
            <color rgb="FF000000"/>
            <rFont val="Calibri"/>
            <family val="34"/>
          </rPr>
          <t xml:space="preserve">
</t>
        </r>
      </text>
    </comment>
    <comment ref="BH464" authorId="0" shapeId="0" xr:uid="{7B9206B8-CA4E-AF44-A325-807516F820B8}">
      <text>
        <r>
          <rPr>
            <sz val="14"/>
            <color rgb="FF000000"/>
            <rFont val="Calibri"/>
            <family val="34"/>
          </rPr>
          <t>IR 30 (1798-1808)</t>
        </r>
      </text>
    </comment>
    <comment ref="BF465" authorId="0" shapeId="0" xr:uid="{91A3F594-16A7-4940-B7AB-B10117E5F4E3}">
      <text>
        <r>
          <rPr>
            <sz val="14"/>
            <color rgb="FF000000"/>
            <rFont val="Times New Roman"/>
            <family val="18"/>
          </rPr>
          <t xml:space="preserve">05/11/1797 </t>
        </r>
        <r>
          <rPr>
            <i/>
            <sz val="14"/>
            <color rgb="FF000000"/>
            <rFont val="Times New Roman"/>
            <family val="18"/>
          </rPr>
          <t>In IR 11 zum IR 11 4. Bataillon Haupt Esparts Kompanie assentiert</t>
        </r>
        <r>
          <rPr>
            <sz val="14"/>
            <color rgb="FF000000"/>
            <rFont val="Times New Roman"/>
            <family val="18"/>
          </rPr>
          <t xml:space="preserve"> [SUP Nov 1797]</t>
        </r>
        <r>
          <rPr>
            <sz val="14"/>
            <color rgb="FF000000"/>
            <rFont val="Calibri"/>
            <family val="34"/>
          </rPr>
          <t xml:space="preserve">
</t>
        </r>
        <r>
          <rPr>
            <sz val="14"/>
            <color rgb="FF000000"/>
            <rFont val="Times New Roman"/>
            <family val="18"/>
          </rPr>
          <t xml:space="preserve">19/11/1797 </t>
        </r>
        <r>
          <rPr>
            <i/>
            <sz val="14"/>
            <color rgb="FF000000"/>
            <rFont val="Times New Roman"/>
            <family val="18"/>
          </rPr>
          <t>Ist nach 14 Tagen seiner Assentierung in eine Lungenentzündung befallen und in das Prager Garnisons Spital gebracht worden, nach ehrlicher Krankheit derselben mit einer inkurablen asthmatischen Brust defekt von Blut auf verbracht asthmatischen Kurzer Atmen behalten</t>
        </r>
        <r>
          <rPr>
            <sz val="14"/>
            <color rgb="FF000000"/>
            <rFont val="Times New Roman"/>
            <family val="18"/>
          </rPr>
          <t xml:space="preserve"> [SUP Nov 1797]</t>
        </r>
        <r>
          <rPr>
            <sz val="14"/>
            <color rgb="FF000000"/>
            <rFont val="Calibri"/>
            <family val="34"/>
          </rPr>
          <t xml:space="preserve">
</t>
        </r>
        <r>
          <rPr>
            <sz val="14"/>
            <color rgb="FF000000"/>
            <rFont val="Times New Roman"/>
            <family val="18"/>
          </rPr>
          <t>26/11/1797</t>
        </r>
        <r>
          <rPr>
            <i/>
            <sz val="14"/>
            <color rgb="FF000000"/>
            <rFont val="Times New Roman"/>
            <family val="18"/>
          </rPr>
          <t xml:space="preserve"> In Prager Garnisonspital Superarbietriert</t>
        </r>
        <r>
          <rPr>
            <sz val="14"/>
            <color rgb="FF000000"/>
            <rFont val="Calibri"/>
            <family val="34"/>
          </rPr>
          <t xml:space="preserve">
</t>
        </r>
        <r>
          <rPr>
            <sz val="14"/>
            <color rgb="FF000000"/>
            <rFont val="Times New Roman"/>
            <family val="18"/>
          </rPr>
          <t xml:space="preserve">05/12/1797 </t>
        </r>
        <r>
          <rPr>
            <i/>
            <sz val="14"/>
            <color rgb="FF000000"/>
            <rFont val="Times New Roman"/>
            <family val="18"/>
          </rPr>
          <t>Kommt wegen kurzer Dienstzeit mit 5. Dezember a,c, mit Laufpass zu entlassen</t>
        </r>
        <r>
          <rPr>
            <sz val="14"/>
            <color rgb="FF000000"/>
            <rFont val="Times New Roman"/>
            <family val="18"/>
          </rPr>
          <t xml:space="preserve"> [SUP Nov 1797]</t>
        </r>
        <r>
          <rPr>
            <sz val="14"/>
            <color rgb="FF000000"/>
            <rFont val="Calibri"/>
            <family val="34"/>
          </rPr>
          <t xml:space="preserve">
</t>
        </r>
      </text>
    </comment>
    <comment ref="BG465" authorId="0" shapeId="0" xr:uid="{9BE8FABB-F701-F244-B819-A912EF029FA9}">
      <text>
        <r>
          <rPr>
            <sz val="14"/>
            <color rgb="FF000000"/>
            <rFont val="Times New Roman"/>
            <family val="18"/>
          </rPr>
          <t>ML 835 IR 11 (1797) – SUP Nr. 1 (Prague 26/11/1798)</t>
        </r>
      </text>
    </comment>
    <comment ref="BH465" authorId="0" shapeId="0" xr:uid="{A9879811-3BBD-3C40-98A4-4C6BB95FF604}">
      <text>
        <r>
          <rPr>
            <sz val="14"/>
            <color rgb="FF000000"/>
            <rFont val="Calibri"/>
            <family val="34"/>
          </rPr>
          <t>IR 11 (1798)</t>
        </r>
      </text>
    </comment>
    <comment ref="BJ465" authorId="0" shapeId="0" xr:uid="{B929A009-B6C5-D24E-8E9B-1B65677E7EBC}">
      <text>
        <r>
          <rPr>
            <i/>
            <sz val="14"/>
            <color rgb="FF000000"/>
            <rFont val="Times New Roman"/>
            <family val="18"/>
          </rPr>
          <t>Ist nach 14 Tagen seiner Assentierung in eine Lungenentzündung befallen und in das Prager Garnisons Spital gebracht worden, nach ehrlicher Krankheit derselben mit einer inkurablen asthmatischen Brust defekt von Blut auf verbracht asthmatischen Kurzer Atmen behalten</t>
        </r>
        <r>
          <rPr>
            <sz val="14"/>
            <color rgb="FF000000"/>
            <rFont val="Times New Roman"/>
            <family val="18"/>
          </rPr>
          <t xml:space="preserve"> ;  </t>
        </r>
        <r>
          <rPr>
            <i/>
            <sz val="14"/>
            <color rgb="FF000000"/>
            <rFont val="Times New Roman"/>
            <family val="18"/>
          </rPr>
          <t>Haben die defect nach dem assentierung ohne seine Verschuld bekommen</t>
        </r>
        <r>
          <rPr>
            <sz val="14"/>
            <color rgb="FF000000"/>
            <rFont val="Calibri"/>
            <family val="34"/>
          </rPr>
          <t xml:space="preserve"> ; </t>
        </r>
        <r>
          <rPr>
            <i/>
            <sz val="14"/>
            <color rgb="FF000000"/>
            <rFont val="Times New Roman"/>
            <family val="18"/>
          </rPr>
          <t>Hat diese Defecten nach der Assentierung nach einer überkommenden Lungenentzündung verhalten und zu derren Herstellung all Mittel benutzt</t>
        </r>
        <r>
          <rPr>
            <sz val="14"/>
            <color rgb="FF000000"/>
            <rFont val="Calibri"/>
            <family val="34"/>
          </rPr>
          <t xml:space="preserve">
</t>
        </r>
      </text>
    </comment>
    <comment ref="I466" authorId="0" shapeId="0" xr:uid="{B16C0E86-D948-9A4D-98A6-8397EC536C25}">
      <text>
        <r>
          <rPr>
            <sz val="14"/>
            <color rgb="FF000000"/>
            <rFont val="Calibri"/>
            <family val="34"/>
          </rPr>
          <t xml:space="preserve">1780 [26 (1806)]
</t>
        </r>
        <r>
          <rPr>
            <sz val="14"/>
            <color rgb="FF000000"/>
            <rFont val="Calibri"/>
            <family val="34"/>
          </rPr>
          <t xml:space="preserve">OR
</t>
        </r>
        <r>
          <rPr>
            <b/>
            <sz val="14"/>
            <color rgb="FF000000"/>
            <rFont val="Calibri"/>
            <family val="34"/>
          </rPr>
          <t>1781 [17 (1798)]</t>
        </r>
      </text>
    </comment>
    <comment ref="BF466" authorId="0" shapeId="0" xr:uid="{9D864DD0-98B9-AE48-9A92-49714AFA0445}">
      <text>
        <r>
          <rPr>
            <i/>
            <sz val="14"/>
            <color rgb="FFFF0000"/>
            <rFont val="Times New Roman"/>
            <family val="18"/>
          </rPr>
          <t xml:space="preserve">Hat 3 Jahr und 3 Monaten bei IR 1 Kaiser gedient und von dort mit Abschied entlassen </t>
        </r>
        <r>
          <rPr>
            <sz val="14"/>
            <color rgb="FFFF0000"/>
            <rFont val="Times New Roman"/>
            <family val="18"/>
          </rPr>
          <t>[AL July 1805]</t>
        </r>
        <r>
          <rPr>
            <sz val="14"/>
            <color rgb="FF000000"/>
            <rFont val="Times New Roman"/>
            <family val="18"/>
          </rPr>
          <t xml:space="preserve">
</t>
        </r>
        <r>
          <rPr>
            <sz val="14"/>
            <color rgb="FF000000"/>
            <rFont val="Times New Roman"/>
            <family val="18"/>
          </rPr>
          <t xml:space="preserve">12/11/1798 </t>
        </r>
        <r>
          <rPr>
            <i/>
            <sz val="14"/>
            <color rgb="FF000000"/>
            <rFont val="Times New Roman"/>
            <family val="18"/>
          </rPr>
          <t>Von IR 1 Werbbzirk a 3Fl Handgeld ausgehoben und zum 4. Bat 2. CaptLt von Boczke Komp. assentiert</t>
        </r>
        <r>
          <rPr>
            <sz val="14"/>
            <color rgb="FF000000"/>
            <rFont val="Times New Roman"/>
            <family val="18"/>
          </rPr>
          <t xml:space="preserve"> [AL Dec 1798]
</t>
        </r>
        <r>
          <rPr>
            <sz val="14"/>
            <color rgb="FF000000"/>
            <rFont val="Times New Roman"/>
            <family val="18"/>
          </rPr>
          <t xml:space="preserve">01/07/1800 </t>
        </r>
        <r>
          <rPr>
            <i/>
            <sz val="14"/>
            <color rgb="FF000000"/>
            <rFont val="Times New Roman"/>
            <family val="18"/>
          </rPr>
          <t>Von 4. Bat. 2. Schick zum Haupt Vanderbank Kompanie transferiert und seitdem auf anhero Marsch</t>
        </r>
        <r>
          <rPr>
            <sz val="14"/>
            <color rgb="FF000000"/>
            <rFont val="Times New Roman"/>
            <family val="18"/>
          </rPr>
          <t xml:space="preserve"> [ST Aug 1800]
</t>
        </r>
        <r>
          <rPr>
            <sz val="14"/>
            <color rgb="FF000000"/>
            <rFont val="Times New Roman"/>
            <family val="18"/>
          </rPr>
          <t xml:space="preserve">09/07/1800 </t>
        </r>
        <r>
          <rPr>
            <i/>
            <sz val="14"/>
            <color rgb="FF000000"/>
            <rFont val="Times New Roman"/>
            <family val="18"/>
          </rPr>
          <t>In Kompanie eingerückt, seitdem Krank in Armee Spital</t>
        </r>
        <r>
          <rPr>
            <sz val="14"/>
            <color rgb="FF000000"/>
            <rFont val="Times New Roman"/>
            <family val="18"/>
          </rPr>
          <t xml:space="preserve"> [ST Aug 1800]
</t>
        </r>
        <r>
          <rPr>
            <sz val="14"/>
            <color rgb="FF000000"/>
            <rFont val="Times New Roman"/>
            <family val="18"/>
          </rPr>
          <t xml:space="preserve">01/09/1800 </t>
        </r>
        <r>
          <rPr>
            <i/>
            <sz val="14"/>
            <color rgb="FF000000"/>
            <rFont val="Times New Roman"/>
            <family val="18"/>
          </rPr>
          <t>Rekonvalesziert und von Haupt Vanderbank zum 4. Bat. 2. Haupt Schick Komp. transferiert</t>
        </r>
        <r>
          <rPr>
            <sz val="14"/>
            <color rgb="FF000000"/>
            <rFont val="Times New Roman"/>
            <family val="18"/>
          </rPr>
          <t xml:space="preserve"> [ST Sept 1800] 
</t>
        </r>
        <r>
          <rPr>
            <sz val="14"/>
            <color rgb="FF000000"/>
            <rFont val="Times New Roman"/>
            <family val="18"/>
          </rPr>
          <t xml:space="preserve">15/02/1802 [Als Angehöriger von 2. Major Komp.] </t>
        </r>
        <r>
          <rPr>
            <i/>
            <sz val="14"/>
            <color rgb="FF000000"/>
            <rFont val="Times New Roman"/>
            <family val="18"/>
          </rPr>
          <t xml:space="preserve">Zu Folge hoher k.k. General Militär Kommando Verordnung ddt. Brünn am 20. Jänner als auf die Dauer des Krieges ausgedienter Capitulant von unbestimmtem Urlaub entlassen </t>
        </r>
        <r>
          <rPr>
            <sz val="14"/>
            <color rgb="FF000000"/>
            <rFont val="Times New Roman"/>
            <family val="18"/>
          </rPr>
          <t xml:space="preserve">[ST Feb 1802]
</t>
        </r>
        <r>
          <rPr>
            <sz val="14"/>
            <color rgb="FF000000"/>
            <rFont val="Times New Roman"/>
            <family val="18"/>
          </rPr>
          <t xml:space="preserve">25/07/1805 </t>
        </r>
        <r>
          <rPr>
            <i/>
            <sz val="14"/>
            <color rgb="FF000000"/>
            <rFont val="Times New Roman"/>
            <family val="18"/>
          </rPr>
          <t>Von Ständen a 3 Fl Handgeld mit 10 jahrigen Capitulation in Olmütz zum IR 4 gestellt und zum Janda Komp. eingeteilt</t>
        </r>
        <r>
          <rPr>
            <sz val="14"/>
            <color rgb="FF000000"/>
            <rFont val="Times New Roman"/>
            <family val="18"/>
          </rPr>
          <t xml:space="preserve"> [AL July 1805]
</t>
        </r>
        <r>
          <rPr>
            <sz val="14"/>
            <color rgb="FF000000"/>
            <rFont val="Times New Roman"/>
            <family val="18"/>
          </rPr>
          <t xml:space="preserve">15/12/1806 Muster: IR 1 Haupt Janda Komp. Nr. 46
</t>
        </r>
        <r>
          <rPr>
            <sz val="14"/>
            <color rgb="FF000000"/>
            <rFont val="Times New Roman"/>
            <family val="18"/>
          </rPr>
          <t xml:space="preserve">24/04/1807 </t>
        </r>
        <r>
          <rPr>
            <i/>
            <sz val="14"/>
            <color rgb="FF000000"/>
            <rFont val="Times New Roman"/>
            <family val="18"/>
          </rPr>
          <t>Wegen Schwache Körperbau in Brünn Superarbitriert</t>
        </r>
        <r>
          <rPr>
            <sz val="14"/>
            <color rgb="FF000000"/>
            <rFont val="Times New Roman"/>
            <family val="18"/>
          </rPr>
          <t xml:space="preserve">: </t>
        </r>
        <r>
          <rPr>
            <i/>
            <sz val="14"/>
            <color rgb="FF000000"/>
            <rFont val="Times New Roman"/>
            <family val="18"/>
          </rPr>
          <t>Sehr geschwächte Korper und kurzsichtig</t>
        </r>
        <r>
          <rPr>
            <sz val="14"/>
            <color rgb="FF000000"/>
            <rFont val="Times New Roman"/>
            <family val="18"/>
          </rPr>
          <t xml:space="preserve">; Mit Abschied ohne Gratiale zu entlassen [SUP March 1807]
</t>
        </r>
        <r>
          <rPr>
            <sz val="14"/>
            <color rgb="FF000000"/>
            <rFont val="Times New Roman"/>
            <family val="18"/>
          </rPr>
          <t>15/06/1807</t>
        </r>
        <r>
          <rPr>
            <i/>
            <sz val="14"/>
            <color rgb="FF000000"/>
            <rFont val="Times New Roman"/>
            <family val="18"/>
          </rPr>
          <t xml:space="preserve"> Zu Folge hoher General Kommando Verordnung ddt. Brünn den 3. Juni R: 3322 und der mit derselbe am 26. Mai 807 zu Brünn vorhergenommene Superarbietreirung als Reale Invalid ohne Gratiale mit Abschied entlassen</t>
        </r>
        <r>
          <rPr>
            <sz val="14"/>
            <color rgb="FF000000"/>
            <rFont val="Times New Roman"/>
            <family val="18"/>
          </rPr>
          <t xml:space="preserve"> [ST April 1807] </t>
        </r>
      </text>
    </comment>
    <comment ref="BG466" authorId="0" shapeId="0" xr:uid="{0EE3D8F9-0158-444E-A19B-AE098F661351}">
      <text>
        <r>
          <rPr>
            <sz val="14"/>
            <color rgb="FF000000"/>
            <rFont val="Times New Roman"/>
            <family val="18"/>
          </rPr>
          <t>ML 31/2 IR 1 (1806) – Haupt Janda Komp. Nr. 46 (Brünn 15/12/1806)</t>
        </r>
        <r>
          <rPr>
            <sz val="14"/>
            <color rgb="FF000000"/>
            <rFont val="Calibri"/>
            <family val="34"/>
          </rPr>
          <t xml:space="preserve">
</t>
        </r>
        <r>
          <rPr>
            <sz val="14"/>
            <color rgb="FF000000"/>
            <rFont val="Times New Roman"/>
            <family val="18"/>
          </rPr>
          <t>ML 71 IR 1 (1798) – AL  Nr. 11 (Olmütz 01/12/1798)</t>
        </r>
        <r>
          <rPr>
            <sz val="14"/>
            <color rgb="FF000000"/>
            <rFont val="Calibri"/>
            <family val="34"/>
          </rPr>
          <t xml:space="preserve">
</t>
        </r>
        <r>
          <rPr>
            <sz val="14"/>
            <color rgb="FF000000"/>
            <rFont val="Times New Roman"/>
            <family val="18"/>
          </rPr>
          <t>ML 74 IR 1 (1800) – ST Aug (Olmütz 28/11/1800), Sept (Olmütz 28/12/1800)</t>
        </r>
        <r>
          <rPr>
            <sz val="14"/>
            <color rgb="FF000000"/>
            <rFont val="Calibri"/>
            <family val="34"/>
          </rPr>
          <t xml:space="preserve">
</t>
        </r>
        <r>
          <rPr>
            <sz val="14"/>
            <color rgb="FF000000"/>
            <rFont val="Times New Roman"/>
            <family val="18"/>
          </rPr>
          <t>ML 78 IR 1 (1802) – ST Feb (Olmütz 14/03/1802)</t>
        </r>
        <r>
          <rPr>
            <sz val="14"/>
            <color rgb="FF000000"/>
            <rFont val="Calibri"/>
            <family val="34"/>
          </rPr>
          <t xml:space="preserve">
</t>
        </r>
        <r>
          <rPr>
            <sz val="14"/>
            <color rgb="FF000000"/>
            <rFont val="Times New Roman"/>
            <family val="18"/>
          </rPr>
          <t>ML 87 IR 1 (1807) – June (Brünn 27/08/1807)</t>
        </r>
        <r>
          <rPr>
            <sz val="14"/>
            <color rgb="FF000000"/>
            <rFont val="Calibri"/>
            <family val="34"/>
          </rPr>
          <t xml:space="preserve">
</t>
        </r>
        <r>
          <rPr>
            <sz val="14"/>
            <color rgb="FF000000"/>
            <rFont val="Times New Roman"/>
            <family val="18"/>
          </rPr>
          <t>ML 88 IR 1 (1807) – SUP Nr. 2 (Brünn 24/04/1807)</t>
        </r>
        <r>
          <rPr>
            <sz val="14"/>
            <color rgb="FF000000"/>
            <rFont val="Calibri"/>
            <family val="34"/>
          </rPr>
          <t xml:space="preserve">
</t>
        </r>
      </text>
    </comment>
    <comment ref="BH466" authorId="0" shapeId="0" xr:uid="{801729FD-B108-E74B-923F-76B11DCC3972}">
      <text>
        <r>
          <rPr>
            <sz val="14"/>
            <color rgb="FF000000"/>
            <rFont val="Calibri"/>
            <family val="34"/>
          </rPr>
          <t xml:space="preserve">IR 1 (1798-1802)
</t>
        </r>
        <r>
          <rPr>
            <sz val="14"/>
            <color rgb="FF000000"/>
            <rFont val="Calibri"/>
            <family val="34"/>
          </rPr>
          <t>IR 1 (1805-1807)</t>
        </r>
      </text>
    </comment>
    <comment ref="BJ466" authorId="0" shapeId="0" xr:uid="{655D14EF-6522-ED42-A7D5-6A41643F2B3E}">
      <text>
        <r>
          <rPr>
            <i/>
            <sz val="14"/>
            <color rgb="FF000000"/>
            <rFont val="Times New Roman"/>
            <family val="18"/>
          </rPr>
          <t xml:space="preserve">Sehr geschwächte Körper und kurzsichtig </t>
        </r>
        <r>
          <rPr>
            <sz val="14"/>
            <color rgb="FF000000"/>
            <rFont val="Times New Roman"/>
            <family val="18"/>
          </rPr>
          <t>[SUP March 1807]</t>
        </r>
      </text>
    </comment>
    <comment ref="T467" authorId="0" shapeId="0" xr:uid="{17B5F982-85AF-7649-BDD7-2640434387C3}">
      <text>
        <r>
          <rPr>
            <b/>
            <sz val="14"/>
            <color rgb="FF000000"/>
            <rFont val="Calibri"/>
            <family val="34"/>
          </rPr>
          <t xml:space="preserve">5.6.1 [174 cm] (ML 1803)
</t>
        </r>
        <r>
          <rPr>
            <sz val="14"/>
            <color rgb="FF000000"/>
            <rFont val="Calibri"/>
            <family val="34"/>
          </rPr>
          <t>5.6.2 [174.22 cm] (ML 1806)</t>
        </r>
      </text>
    </comment>
    <comment ref="BF467" authorId="0" shapeId="0" xr:uid="{F7448B7C-9BEE-5048-8ECF-9FC46920A205}">
      <text>
        <r>
          <rPr>
            <sz val="14"/>
            <color rgb="FF000000"/>
            <rFont val="Times New Roman"/>
            <family val="18"/>
          </rPr>
          <t xml:space="preserve">20/11/1798 </t>
        </r>
        <r>
          <rPr>
            <i/>
            <sz val="14"/>
            <color rgb="FF000000"/>
            <rFont val="Times New Roman"/>
            <family val="18"/>
          </rPr>
          <t xml:space="preserve">A 3Fl Handgeld zu Zolkiew in Gallizien assentiert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01/04/1803 </t>
        </r>
        <r>
          <rPr>
            <i/>
            <sz val="14"/>
            <color rgb="FF000000"/>
            <rFont val="Times New Roman"/>
            <family val="18"/>
          </rPr>
          <t>Von Haupt Küfth Komp. zum 1. Gren.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1. Gren. Komp. Nr. 119</t>
        </r>
        <r>
          <rPr>
            <sz val="14"/>
            <color rgb="FF000000"/>
            <rFont val="Calibri"/>
            <family val="34"/>
          </rPr>
          <t xml:space="preserve">
</t>
        </r>
        <r>
          <rPr>
            <sz val="14"/>
            <color rgb="FF000000"/>
            <rFont val="Times New Roman"/>
            <family val="18"/>
          </rPr>
          <t>31/12/1806 Muster: IR 4 1. Gren. Komp. Nr. 90</t>
        </r>
        <r>
          <rPr>
            <sz val="14"/>
            <color rgb="FF000000"/>
            <rFont val="Calibri"/>
            <family val="34"/>
          </rPr>
          <t xml:space="preserve">
</t>
        </r>
      </text>
    </comment>
    <comment ref="BG467" authorId="0" shapeId="0" xr:uid="{2B88C83E-99D8-FF42-8327-D3E54751F034}">
      <text>
        <r>
          <rPr>
            <sz val="14"/>
            <color rgb="FF000000"/>
            <rFont val="Times New Roman"/>
            <family val="18"/>
          </rPr>
          <t>ML 348 IR 4 (1803) – 1. Gren Komp. Nr. 119 (Vienna 14/09/1803)</t>
        </r>
        <r>
          <rPr>
            <sz val="14"/>
            <color rgb="FF000000"/>
            <rFont val="Calibri"/>
            <family val="34"/>
          </rPr>
          <t xml:space="preserve">
</t>
        </r>
        <r>
          <rPr>
            <sz val="14"/>
            <color rgb="FF000000"/>
            <rFont val="Times New Roman"/>
            <family val="18"/>
          </rPr>
          <t>ML 349/50 IR 4 (1806) – 1. Gren Komp. Nr. 90 (Wiener Neustadt 31/12/1806)</t>
        </r>
        <r>
          <rPr>
            <sz val="14"/>
            <color rgb="FF000000"/>
            <rFont val="Calibri"/>
            <family val="34"/>
          </rPr>
          <t xml:space="preserve">
</t>
        </r>
      </text>
    </comment>
    <comment ref="BH467" authorId="0" shapeId="0" xr:uid="{7782DC8B-FA06-734E-A9C2-3F533751D18C}">
      <text>
        <r>
          <rPr>
            <sz val="14"/>
            <color rgb="FF000000"/>
            <rFont val="Calibri"/>
            <family val="34"/>
          </rPr>
          <t xml:space="preserve">IR 4 (1798-1806)
</t>
        </r>
      </text>
    </comment>
    <comment ref="BF468" authorId="0" shapeId="0" xr:uid="{56795905-B41E-B24F-8620-005C1C7B405F}">
      <text>
        <r>
          <rPr>
            <sz val="14"/>
            <color rgb="FF000000"/>
            <rFont val="Times New Roman"/>
            <family val="18"/>
          </rPr>
          <t xml:space="preserve">20/11/1798 </t>
        </r>
        <r>
          <rPr>
            <i/>
            <sz val="14"/>
            <color rgb="FF000000"/>
            <rFont val="Times New Roman"/>
            <family val="18"/>
          </rPr>
          <t>Von Ständen a 3Fl Handgeld in Gallizien gestellt in reserve Division zugeteilt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11/06/1799 </t>
        </r>
        <r>
          <rPr>
            <i/>
            <sz val="14"/>
            <color rgb="FF000000"/>
            <rFont val="Times New Roman"/>
            <family val="18"/>
          </rPr>
          <t>Von anhero Marsch nach Regiment in Italien</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01/08/1799 </t>
        </r>
        <r>
          <rPr>
            <i/>
            <sz val="14"/>
            <color rgb="FF000000"/>
            <rFont val="Times New Roman"/>
            <family val="18"/>
          </rPr>
          <t>In Haupt Passqually companie engeruckt</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Reconvalesziert und in Kompanie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UNBEKANNT: </t>
        </r>
        <r>
          <rPr>
            <i/>
            <sz val="14"/>
            <color rgb="FF000000"/>
            <rFont val="Times New Roman"/>
            <family val="18"/>
          </rPr>
          <t>Erscheint nach der Lücke im Oktober 1799 nicht mehr in den Stades-Tabellen</t>
        </r>
        <r>
          <rPr>
            <sz val="14"/>
            <color rgb="FF000000"/>
            <rFont val="Calibri"/>
            <family val="34"/>
          </rPr>
          <t xml:space="preserve">
</t>
        </r>
      </text>
    </comment>
    <comment ref="BG468" authorId="0" shapeId="0" xr:uid="{84315FE8-94B1-CE47-B7DF-122442181054}">
      <text>
        <r>
          <rPr>
            <sz val="14"/>
            <color rgb="FF000000"/>
            <rFont val="Times New Roman"/>
            <family val="18"/>
          </rPr>
          <t>ML 10.307 IR 43 (1799) – ST Feb (29/04/1799), Juni (12/12/1799), Aug (06/03/1799), Sept (21/07/1800)</t>
        </r>
        <r>
          <rPr>
            <sz val="14"/>
            <color rgb="FF000000"/>
            <rFont val="Calibri"/>
            <family val="34"/>
          </rPr>
          <t xml:space="preserve">
</t>
        </r>
      </text>
    </comment>
    <comment ref="BH468" authorId="0" shapeId="0" xr:uid="{C4B4799E-CBF1-3745-9654-C68D52DB406B}">
      <text>
        <r>
          <rPr>
            <sz val="14"/>
            <color rgb="FF000000"/>
            <rFont val="Calibri"/>
            <family val="34"/>
          </rPr>
          <t>IR 43 (1798-1799)</t>
        </r>
      </text>
    </comment>
    <comment ref="BF469" authorId="0" shapeId="0" xr:uid="{D1C6CC35-EA8C-744A-A8C2-6127EFC78C95}">
      <text>
        <r>
          <rPr>
            <sz val="14"/>
            <color rgb="FF000000"/>
            <rFont val="Times New Roman"/>
            <family val="18"/>
          </rPr>
          <t xml:space="preserve">20/1120/11/1798 </t>
        </r>
        <r>
          <rPr>
            <i/>
            <sz val="14"/>
            <color rgb="FF000000"/>
            <rFont val="Times New Roman"/>
            <family val="18"/>
          </rPr>
          <t>Von Ständen a 3Fl Handgeld in Gallizien gestellt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21/03/1799 </t>
        </r>
        <r>
          <rPr>
            <i/>
            <sz val="14"/>
            <color rgb="FF000000"/>
            <rFont val="Times New Roman"/>
            <family val="18"/>
          </rPr>
          <t>Krank Auswärts</t>
        </r>
        <r>
          <rPr>
            <sz val="14"/>
            <color rgb="FF000000"/>
            <rFont val="Times New Roman"/>
            <family val="18"/>
          </rPr>
          <t xml:space="preserve"> [ST March 1799] </t>
        </r>
        <r>
          <rPr>
            <sz val="14"/>
            <color rgb="FF000000"/>
            <rFont val="Calibri"/>
            <family val="34"/>
          </rPr>
          <t xml:space="preserve">
</t>
        </r>
        <r>
          <rPr>
            <sz val="14"/>
            <color rgb="FF000000"/>
            <rFont val="Times New Roman"/>
            <family val="18"/>
          </rPr>
          <t xml:space="preserve">15/04/1799 </t>
        </r>
        <r>
          <rPr>
            <i/>
            <sz val="14"/>
            <color rgb="FF000000"/>
            <rFont val="Times New Roman"/>
            <family val="18"/>
          </rPr>
          <t>Reconvalesziert</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11/05/1799 </t>
        </r>
        <r>
          <rPr>
            <i/>
            <sz val="14"/>
            <color rgb="FF000000"/>
            <rFont val="Times New Roman"/>
            <family val="18"/>
          </rPr>
          <t>Auf marsch zum Regiment in Italien</t>
        </r>
        <r>
          <rPr>
            <sz val="14"/>
            <color rgb="FF000000"/>
            <rFont val="Times New Roman"/>
            <family val="18"/>
          </rPr>
          <t xml:space="preserve"> [ST May 1799]</t>
        </r>
        <r>
          <rPr>
            <sz val="14"/>
            <color rgb="FF000000"/>
            <rFont val="Calibri"/>
            <family val="34"/>
          </rPr>
          <t xml:space="preserve">
</t>
        </r>
        <r>
          <rPr>
            <sz val="14"/>
            <color rgb="FF000000"/>
            <rFont val="Times New Roman"/>
            <family val="18"/>
          </rPr>
          <t xml:space="preserve">06/06/1799 </t>
        </r>
        <r>
          <rPr>
            <i/>
            <sz val="14"/>
            <color rgb="FF000000"/>
            <rFont val="Times New Roman"/>
            <family val="18"/>
          </rPr>
          <t>Von Reserve Division in 2. Major Comp.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b/>
            <sz val="14"/>
            <color rgb="FF000000"/>
            <rFont val="Times New Roman"/>
            <family val="18"/>
          </rPr>
          <t xml:space="preserve"> </t>
        </r>
        <r>
          <rPr>
            <sz val="14"/>
            <color rgb="FF000000"/>
            <rFont val="Times New Roman"/>
            <family val="18"/>
          </rPr>
          <t>[ST Aug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Zu Perugia Gestorben</t>
        </r>
        <r>
          <rPr>
            <sz val="14"/>
            <color rgb="FF000000"/>
            <rFont val="Times New Roman"/>
            <family val="18"/>
          </rPr>
          <t xml:space="preserve"> [ST Dec 1799]</t>
        </r>
        <r>
          <rPr>
            <sz val="14"/>
            <color rgb="FF000000"/>
            <rFont val="Calibri"/>
            <family val="34"/>
          </rPr>
          <t xml:space="preserve">
</t>
        </r>
      </text>
    </comment>
    <comment ref="BG469" authorId="0" shapeId="0" xr:uid="{11A16629-841E-4242-BDF3-87D86B1F6FEC}">
      <text>
        <r>
          <rPr>
            <sz val="14"/>
            <color rgb="FF000000"/>
            <rFont val="Times New Roman"/>
            <family val="18"/>
          </rPr>
          <t>ML 10.307 IR 43 (1799) – ST Feb (29/04/1799), März (30/05/1799), April (19/08/1799), Mai (22/09/1799), Juni (12/12/1799), Aug (06/03/1800), Dez (01/11/1800)</t>
        </r>
        <r>
          <rPr>
            <sz val="14"/>
            <color rgb="FF000000"/>
            <rFont val="Calibri"/>
            <family val="34"/>
          </rPr>
          <t xml:space="preserve">
</t>
        </r>
      </text>
    </comment>
    <comment ref="BH469" authorId="0" shapeId="0" xr:uid="{ED3BE255-8F36-EE4F-8717-AE4F993B93EA}">
      <text>
        <r>
          <rPr>
            <sz val="14"/>
            <color rgb="FF000000"/>
            <rFont val="Calibri"/>
            <family val="34"/>
          </rPr>
          <t>IR 43 (1798-1799)</t>
        </r>
      </text>
    </comment>
    <comment ref="BF470" authorId="0" shapeId="0" xr:uid="{A5E9A60F-DC5D-AF4C-9325-17B639A92493}">
      <text>
        <r>
          <rPr>
            <sz val="14"/>
            <color rgb="FFFF0000"/>
            <rFont val="Times New Roman"/>
            <family val="18"/>
          </rPr>
          <t xml:space="preserve">20/09/1796 </t>
        </r>
        <r>
          <rPr>
            <i/>
            <sz val="14"/>
            <color rgb="FFFF0000"/>
            <rFont val="Times New Roman"/>
            <family val="18"/>
          </rPr>
          <t>Zu Tarnopol a 3Fl gestellt worden</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21/11/1798 </t>
        </r>
        <r>
          <rPr>
            <i/>
            <sz val="14"/>
            <color rgb="FF000000"/>
            <rFont val="Times New Roman"/>
            <family val="18"/>
          </rPr>
          <t>von standen a 3Fl Handgeld in Galizien gestellt, seitdem auf anhero Marsch mit Friedensgebühr</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10/07/1799 </t>
        </r>
        <r>
          <rPr>
            <i/>
            <sz val="14"/>
            <color rgb="FF000000"/>
            <rFont val="Times New Roman"/>
            <family val="18"/>
          </rPr>
          <t xml:space="preserve">In Reserve Division eingerückt </t>
        </r>
        <r>
          <rPr>
            <sz val="14"/>
            <color rgb="FF000000"/>
            <rFont val="Times New Roman"/>
            <family val="18"/>
          </rPr>
          <t>[ST July 1799]</t>
        </r>
        <r>
          <rPr>
            <sz val="14"/>
            <color rgb="FF000000"/>
            <rFont val="Calibri"/>
            <family val="34"/>
          </rPr>
          <t xml:space="preserve">
</t>
        </r>
        <r>
          <rPr>
            <sz val="14"/>
            <color rgb="FF000000"/>
            <rFont val="Times New Roman"/>
            <family val="18"/>
          </rPr>
          <t xml:space="preserve">10/01/1800 </t>
        </r>
        <r>
          <rPr>
            <i/>
            <sz val="14"/>
            <color rgb="FF000000"/>
            <rFont val="Times New Roman"/>
            <family val="18"/>
          </rPr>
          <t>Auf dem Marche von IR 43 Reserve Division in Feld Bataillons</t>
        </r>
        <r>
          <rPr>
            <sz val="14"/>
            <color rgb="FF000000"/>
            <rFont val="Times New Roman"/>
            <family val="18"/>
          </rPr>
          <t xml:space="preserve"> [TL Jan 1800]</t>
        </r>
        <r>
          <rPr>
            <sz val="14"/>
            <color rgb="FF000000"/>
            <rFont val="Calibri"/>
            <family val="34"/>
          </rPr>
          <t xml:space="preserve">
</t>
        </r>
        <r>
          <rPr>
            <sz val="14"/>
            <color rgb="FF000000"/>
            <rFont val="Times New Roman"/>
            <family val="18"/>
          </rPr>
          <t xml:space="preserve">15/03/1800 </t>
        </r>
        <r>
          <rPr>
            <i/>
            <sz val="14"/>
            <color rgb="FF000000"/>
            <rFont val="Times New Roman"/>
            <family val="18"/>
          </rPr>
          <t>Von Reserve Division in Haupt Schoer Komp. transferiert</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In die Kriegsgefangenschaft gefallen</t>
        </r>
        <r>
          <rPr>
            <sz val="14"/>
            <color rgb="FF000000"/>
            <rFont val="Times New Roman"/>
            <family val="18"/>
          </rPr>
          <t xml:space="preserve"> </t>
        </r>
        <r>
          <rPr>
            <b/>
            <sz val="14"/>
            <color rgb="FFFF0000"/>
            <rFont val="Times New Roman"/>
            <family val="18"/>
          </rPr>
          <t>[Action of Montalto]</t>
        </r>
        <r>
          <rPr>
            <sz val="14"/>
            <color rgb="FFFF0000"/>
            <rFont val="Times New Roman"/>
            <family val="18"/>
          </rPr>
          <t xml:space="preserve"> </t>
        </r>
        <r>
          <rPr>
            <sz val="14"/>
            <color rgb="FF000000"/>
            <rFont val="Times New Roman"/>
            <family val="18"/>
          </rPr>
          <t>[ST June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Von Kriegsgefangenschaft sich selbst ranzioniert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11/09/1802 Muster: IR 43 Nr. 65</t>
        </r>
        <r>
          <rPr>
            <sz val="14"/>
            <color rgb="FF000000"/>
            <rFont val="Calibri"/>
            <family val="34"/>
          </rPr>
          <t xml:space="preserve">
</t>
        </r>
        <r>
          <rPr>
            <sz val="14"/>
            <color rgb="FF000000"/>
            <rFont val="Times New Roman"/>
            <family val="18"/>
          </rPr>
          <t xml:space="preserve">08/11/1802 [seit] </t>
        </r>
        <r>
          <rPr>
            <i/>
            <sz val="14"/>
            <color rgb="FF000000"/>
            <rFont val="Times New Roman"/>
            <family val="18"/>
          </rPr>
          <t>Auf dem Marsch mit unbestimmtem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31/07/1803 </t>
        </r>
        <r>
          <rPr>
            <i/>
            <sz val="14"/>
            <color rgb="FF000000"/>
            <rFont val="Times New Roman"/>
            <family val="18"/>
          </rPr>
          <t>Auf seinem Urlaub Ort Stry in Galizien desertiert</t>
        </r>
        <r>
          <rPr>
            <sz val="14"/>
            <color rgb="FF000000"/>
            <rFont val="Times New Roman"/>
            <family val="18"/>
          </rPr>
          <t xml:space="preserve"> [ST Aug 1803 &amp; ML 1803]</t>
        </r>
        <r>
          <rPr>
            <sz val="14"/>
            <color rgb="FF000000"/>
            <rFont val="Calibri"/>
            <family val="34"/>
          </rPr>
          <t xml:space="preserve">
</t>
        </r>
      </text>
    </comment>
    <comment ref="BG470" authorId="0" shapeId="0" xr:uid="{43D002BB-0766-B84D-AC56-B277E243F487}">
      <text>
        <r>
          <rPr>
            <sz val="14"/>
            <color rgb="FF000000"/>
            <rFont val="Times New Roman"/>
            <family val="18"/>
          </rPr>
          <t>ML 10.272 IR 43 (1802) – Haupt Schoer Komp. Nr. 65 (Zara 11/09/1802)</t>
        </r>
        <r>
          <rPr>
            <sz val="14"/>
            <color rgb="FF000000"/>
            <rFont val="Calibri"/>
            <family val="34"/>
          </rPr>
          <t xml:space="preserve">
</t>
        </r>
        <r>
          <rPr>
            <sz val="14"/>
            <color rgb="FF000000"/>
            <rFont val="Times New Roman"/>
            <family val="18"/>
          </rPr>
          <t>ML 10.273 IR 43 (1803) – Haupt Schoer Abgang (Zara 28/09/1803)</t>
        </r>
        <r>
          <rPr>
            <sz val="14"/>
            <color rgb="FF000000"/>
            <rFont val="Calibri"/>
            <family val="34"/>
          </rPr>
          <t xml:space="preserve">
</t>
        </r>
        <r>
          <rPr>
            <sz val="14"/>
            <color rgb="FF000000"/>
            <rFont val="Times New Roman"/>
            <family val="18"/>
          </rPr>
          <t>ML 10.307 IR 43 (1799) – ST March (30/05/1799), July (01/01/1800)</t>
        </r>
        <r>
          <rPr>
            <sz val="14"/>
            <color rgb="FF000000"/>
            <rFont val="Calibri"/>
            <family val="34"/>
          </rPr>
          <t xml:space="preserve">
</t>
        </r>
        <r>
          <rPr>
            <sz val="14"/>
            <color rgb="FF000000"/>
            <rFont val="Times New Roman"/>
            <family val="18"/>
          </rPr>
          <t>ML 10.309 IR 43 (1800) – ST Jan (26/02/1801), March (04/101801), June (27/08/1803)</t>
        </r>
        <r>
          <rPr>
            <sz val="14"/>
            <color rgb="FF000000"/>
            <rFont val="Calibri"/>
            <family val="34"/>
          </rPr>
          <t xml:space="preserve">
</t>
        </r>
        <r>
          <rPr>
            <sz val="14"/>
            <color rgb="FF000000"/>
            <rFont val="Times New Roman"/>
            <family val="18"/>
          </rPr>
          <t>ML 10.312 IR 43 (1802) – ST Nov (15/11/1802)</t>
        </r>
        <r>
          <rPr>
            <sz val="14"/>
            <color rgb="FF000000"/>
            <rFont val="Calibri"/>
            <family val="34"/>
          </rPr>
          <t xml:space="preserve">
</t>
        </r>
        <r>
          <rPr>
            <sz val="14"/>
            <color rgb="FF000000"/>
            <rFont val="Times New Roman"/>
            <family val="18"/>
          </rPr>
          <t>ML 10.313 IR 43 (1803) – ST Aug (15/09/1803)</t>
        </r>
        <r>
          <rPr>
            <sz val="14"/>
            <color rgb="FF000000"/>
            <rFont val="Calibri"/>
            <family val="34"/>
          </rPr>
          <t xml:space="preserve">
</t>
        </r>
      </text>
    </comment>
    <comment ref="BH470" authorId="0" shapeId="0" xr:uid="{4C588941-68AA-D641-A64D-238BE5FC3A9C}">
      <text>
        <r>
          <rPr>
            <sz val="14"/>
            <color rgb="FF000000"/>
            <rFont val="Calibri"/>
            <family val="34"/>
          </rPr>
          <t>IR 43 (1798-1803)</t>
        </r>
      </text>
    </comment>
    <comment ref="BF471" authorId="0" shapeId="0" xr:uid="{EB539302-93EA-4343-8D6B-257E831CE27A}">
      <text>
        <r>
          <rPr>
            <sz val="14"/>
            <color rgb="FF000000"/>
            <rFont val="Times New Roman"/>
            <family val="18"/>
          </rPr>
          <t xml:space="preserve">21/11/1798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471" authorId="0" shapeId="0" xr:uid="{FE03010E-5AEA-5947-A138-78314401BECA}">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471" authorId="0" shapeId="0" xr:uid="{CFB3D803-F41B-524A-ADF8-4E48BE2814CB}">
      <text>
        <r>
          <rPr>
            <sz val="14"/>
            <color rgb="FF000000"/>
            <rFont val="Calibri"/>
            <family val="34"/>
          </rPr>
          <t>IR 43 (1798-1801)</t>
        </r>
      </text>
    </comment>
    <comment ref="BF472" authorId="0" shapeId="0" xr:uid="{9DF3A37E-A650-4445-8E62-BCD2B950892A}">
      <text>
        <r>
          <rPr>
            <sz val="14"/>
            <color rgb="FF000000"/>
            <rFont val="Times New Roman"/>
            <family val="18"/>
          </rPr>
          <t xml:space="preserve">21/11/1798 </t>
        </r>
        <r>
          <rPr>
            <i/>
            <sz val="14"/>
            <color rgb="FF000000"/>
            <rFont val="Times New Roman"/>
            <family val="18"/>
          </rPr>
          <t>A 3 Fl Handgeld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Till de Sternheim Komp, Nr. 33</t>
        </r>
        <r>
          <rPr>
            <sz val="14"/>
            <color rgb="FF000000"/>
            <rFont val="Calibri"/>
            <family val="34"/>
          </rPr>
          <t xml:space="preserve">
</t>
        </r>
        <r>
          <rPr>
            <sz val="14"/>
            <color rgb="FF000000"/>
            <rFont val="Times New Roman"/>
            <family val="18"/>
          </rPr>
          <t xml:space="preserve">31/03/1805 [Auf Urlaub] </t>
        </r>
        <r>
          <rPr>
            <i/>
            <sz val="14"/>
            <color rgb="FF000000"/>
            <rFont val="Times New Roman"/>
            <family val="18"/>
          </rPr>
          <t>in Zolkiew gestorben</t>
        </r>
        <r>
          <rPr>
            <sz val="14"/>
            <color rgb="FF000000"/>
            <rFont val="Times New Roman"/>
            <family val="18"/>
          </rPr>
          <t xml:space="preserve"> [ML 1806] </t>
        </r>
        <r>
          <rPr>
            <sz val="14"/>
            <color rgb="FF000000"/>
            <rFont val="Calibri"/>
            <family val="34"/>
          </rPr>
          <t xml:space="preserve">
</t>
        </r>
      </text>
    </comment>
    <comment ref="BG472" authorId="0" shapeId="0" xr:uid="{008BB231-94E3-0446-8A02-47412ACF15FA}">
      <text>
        <r>
          <rPr>
            <sz val="14"/>
            <color rgb="FF000000"/>
            <rFont val="Times New Roman"/>
            <family val="18"/>
          </rPr>
          <t>ML 348 IR 4 (1803) – Haupt Till de Sternheim Nr. 33 (Vienna 14/09/1803)</t>
        </r>
        <r>
          <rPr>
            <sz val="14"/>
            <color rgb="FF000000"/>
            <rFont val="Calibri"/>
            <family val="34"/>
          </rPr>
          <t xml:space="preserve">
</t>
        </r>
        <r>
          <rPr>
            <sz val="14"/>
            <color rgb="FF000000"/>
            <rFont val="Times New Roman"/>
            <family val="18"/>
          </rPr>
          <t>ML 349/50 IR 4 (1806) – 15. Fus. Komp. Abgang (Wiener Neustadt 31/12/1806)</t>
        </r>
      </text>
    </comment>
    <comment ref="BH472" authorId="0" shapeId="0" xr:uid="{78AE8F57-6440-E249-9E84-D56218EA3C84}">
      <text>
        <r>
          <rPr>
            <sz val="14"/>
            <color rgb="FF000000"/>
            <rFont val="Calibri"/>
            <family val="34"/>
          </rPr>
          <t>IR 4 (1798-1805)</t>
        </r>
      </text>
    </comment>
    <comment ref="BF473" authorId="0" shapeId="0" xr:uid="{618B8902-DB35-3146-92D6-3C2F378F99D6}">
      <text>
        <r>
          <rPr>
            <sz val="14"/>
            <color rgb="FF000000"/>
            <rFont val="Times New Roman"/>
            <family val="18"/>
          </rPr>
          <t xml:space="preserve">21/11/1798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06/03/1799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473" authorId="0" shapeId="0" xr:uid="{90E2BAE4-D611-764B-B9A0-7D4C936059CC}">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473" authorId="0" shapeId="0" xr:uid="{04C7FB6D-0221-304F-906A-CC03CB292EEB}">
      <text>
        <r>
          <rPr>
            <sz val="14"/>
            <color rgb="FF000000"/>
            <rFont val="Calibri"/>
            <family val="34"/>
          </rPr>
          <t>IR 43 (1798-1801)</t>
        </r>
      </text>
    </comment>
    <comment ref="O474" authorId="0" shapeId="0" xr:uid="{1B98D0AD-2063-CC47-BC4A-C25159B950A5}">
      <text>
        <r>
          <rPr>
            <sz val="14"/>
            <color rgb="FF000000"/>
            <rFont val="Times New Roman"/>
            <family val="18"/>
          </rPr>
          <t>Josel (1810)</t>
        </r>
      </text>
    </comment>
    <comment ref="BF474" authorId="0" shapeId="0" xr:uid="{5466F551-CEFC-5B4B-BC6A-CF2999A2BA10}">
      <text>
        <r>
          <rPr>
            <sz val="14"/>
            <color rgb="FF000000"/>
            <rFont val="Times New Roman"/>
            <family val="18"/>
          </rPr>
          <t xml:space="preserve">22/11/1798 </t>
        </r>
        <r>
          <rPr>
            <i/>
            <sz val="14"/>
            <color rgb="FF000000"/>
            <rFont val="Times New Roman"/>
            <family val="18"/>
          </rPr>
          <t>Als Landständischen Rekrut gestellt und a 3Fl</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03/05/1809 </t>
        </r>
        <r>
          <rPr>
            <i/>
            <sz val="14"/>
            <color rgb="FF000000"/>
            <rFont val="Times New Roman"/>
            <family val="18"/>
          </rPr>
          <t xml:space="preserve">Kriegsgefangen </t>
        </r>
        <r>
          <rPr>
            <b/>
            <sz val="14"/>
            <color rgb="FF000000"/>
            <rFont val="Times New Roman"/>
            <family val="18"/>
          </rPr>
          <t>[Battle of Ebelsberg]</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17/05/1812 </t>
        </r>
        <r>
          <rPr>
            <i/>
            <sz val="14"/>
            <color rgb="FF000000"/>
            <rFont val="Times New Roman"/>
            <family val="18"/>
          </rPr>
          <t>Zu Leitmeritz als rancionirt praesentiert und seitdem ins Arrest</t>
        </r>
        <r>
          <rPr>
            <sz val="14"/>
            <color rgb="FF000000"/>
            <rFont val="Times New Roman"/>
            <family val="18"/>
          </rPr>
          <t xml:space="preserve"> [ST July 1812]</t>
        </r>
        <r>
          <rPr>
            <sz val="14"/>
            <color rgb="FF000000"/>
            <rFont val="Calibri"/>
            <family val="34"/>
          </rPr>
          <t xml:space="preserve">
</t>
        </r>
        <r>
          <rPr>
            <sz val="14"/>
            <color rgb="FF000000"/>
            <rFont val="Times New Roman"/>
            <family val="18"/>
          </rPr>
          <t>20/07/1812 Vo</t>
        </r>
        <r>
          <rPr>
            <i/>
            <sz val="14"/>
            <color rgb="FF000000"/>
            <rFont val="Times New Roman"/>
            <family val="18"/>
          </rPr>
          <t xml:space="preserve">n arrest entlassen </t>
        </r>
        <r>
          <rPr>
            <sz val="14"/>
            <color rgb="FF000000"/>
            <rFont val="Times New Roman"/>
            <family val="18"/>
          </rPr>
          <t>[ST July 1812]</t>
        </r>
        <r>
          <rPr>
            <sz val="14"/>
            <color rgb="FF000000"/>
            <rFont val="Calibri"/>
            <family val="34"/>
          </rPr>
          <t xml:space="preserve">
</t>
        </r>
        <r>
          <rPr>
            <sz val="14"/>
            <color rgb="FF000000"/>
            <rFont val="Times New Roman"/>
            <family val="18"/>
          </rPr>
          <t xml:space="preserve">23/07/1812 </t>
        </r>
        <r>
          <rPr>
            <i/>
            <sz val="14"/>
            <color rgb="FF000000"/>
            <rFont val="Times New Roman"/>
            <family val="18"/>
          </rPr>
          <t>In Loco eingeruckt und zum 3. Fus. Komp. eingeteilt</t>
        </r>
        <r>
          <rPr>
            <sz val="14"/>
            <color rgb="FF000000"/>
            <rFont val="Times New Roman"/>
            <family val="18"/>
          </rPr>
          <t xml:space="preserve"> [ST July 1812]</t>
        </r>
        <r>
          <rPr>
            <sz val="14"/>
            <color rgb="FF000000"/>
            <rFont val="Calibri"/>
            <family val="34"/>
          </rPr>
          <t xml:space="preserve">
</t>
        </r>
        <r>
          <rPr>
            <sz val="14"/>
            <color rgb="FF000000"/>
            <rFont val="Times New Roman"/>
            <family val="18"/>
          </rPr>
          <t xml:space="preserve">01/03/1817 </t>
        </r>
        <r>
          <rPr>
            <i/>
            <sz val="14"/>
            <color rgb="FF000000"/>
            <rFont val="Times New Roman"/>
            <family val="18"/>
          </rPr>
          <t>von Kerpen Infanterie anhero</t>
        </r>
        <r>
          <rPr>
            <sz val="14"/>
            <color rgb="FF000000"/>
            <rFont val="Times New Roman"/>
            <family val="18"/>
          </rPr>
          <t xml:space="preserve"> </t>
        </r>
        <r>
          <rPr>
            <b/>
            <sz val="14"/>
            <color rgb="FF000000"/>
            <rFont val="Times New Roman"/>
            <family val="18"/>
          </rPr>
          <t>[GK NÖ]</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GK NÖ 2. Komp [Haupt Grosser) Nr. 59 [ML 1817]</t>
        </r>
        <r>
          <rPr>
            <sz val="14"/>
            <color rgb="FF000000"/>
            <rFont val="Calibri"/>
            <family val="34"/>
          </rPr>
          <t xml:space="preserve">
</t>
        </r>
        <r>
          <rPr>
            <sz val="14"/>
            <color rgb="FF000000"/>
            <rFont val="Times New Roman"/>
            <family val="18"/>
          </rPr>
          <t xml:space="preserve">25/09/1817 </t>
        </r>
        <r>
          <rPr>
            <i/>
            <sz val="14"/>
            <color rgb="FF000000"/>
            <rFont val="Times New Roman"/>
            <family val="18"/>
          </rPr>
          <t>In die Versorgung als Real Invalid in Pester InvalidenHaus</t>
        </r>
        <r>
          <rPr>
            <sz val="14"/>
            <color rgb="FF000000"/>
            <rFont val="Times New Roman"/>
            <family val="18"/>
          </rPr>
          <t xml:space="preserve"> [ML 1818]</t>
        </r>
        <r>
          <rPr>
            <sz val="14"/>
            <color rgb="FF000000"/>
            <rFont val="Calibri"/>
            <family val="34"/>
          </rPr>
          <t xml:space="preserve">
</t>
        </r>
      </text>
    </comment>
    <comment ref="BG474" authorId="0" shapeId="0" xr:uid="{2A85A43A-A95F-8345-99CA-28F9675F8F1A}">
      <text>
        <r>
          <rPr>
            <sz val="14"/>
            <color rgb="FF000000"/>
            <rFont val="Times New Roman"/>
            <family val="18"/>
          </rPr>
          <t>ML 4247 IR 49 (1812) – ST Juli (St. Pölten 20/08/1812)</t>
        </r>
        <r>
          <rPr>
            <sz val="14"/>
            <color rgb="FF000000"/>
            <rFont val="Calibri"/>
            <family val="34"/>
          </rPr>
          <t xml:space="preserve">
</t>
        </r>
        <r>
          <rPr>
            <sz val="14"/>
            <color rgb="FF000000"/>
            <rFont val="Times New Roman"/>
            <family val="18"/>
          </rPr>
          <t>ML 8750 GK NÖ (1811-20) – Haupt. Grosser 2. Komp. Nr. 59 (Marchegg 25/09/1817); Haupt. Grosser 2. Komp. Abgang (Marchegg 28/09/1818)</t>
        </r>
      </text>
    </comment>
    <comment ref="BH474" authorId="0" shapeId="0" xr:uid="{78733B0F-8037-DF4D-B63E-CF3E06DC703C}">
      <text>
        <r>
          <rPr>
            <sz val="14"/>
            <color rgb="FF000000"/>
            <rFont val="Calibri"/>
            <family val="34"/>
          </rPr>
          <t xml:space="preserve">IR 49 (1798-1817)
</t>
        </r>
        <r>
          <rPr>
            <sz val="14"/>
            <color rgb="FF000000"/>
            <rFont val="Calibri"/>
            <family val="34"/>
          </rPr>
          <t xml:space="preserve">GK NÖ (1817)
</t>
        </r>
        <r>
          <rPr>
            <sz val="14"/>
            <color rgb="FF000000"/>
            <rFont val="Calibri"/>
            <family val="34"/>
          </rPr>
          <t>InvH Pest  (1817)</t>
        </r>
      </text>
    </comment>
    <comment ref="I475" authorId="0" shapeId="0" xr:uid="{CCA1BDCD-0435-0B49-8400-936E7AB8B1C8}">
      <text>
        <r>
          <rPr>
            <sz val="14"/>
            <color rgb="FF000000"/>
            <rFont val="Calibri"/>
            <family val="34"/>
          </rPr>
          <t xml:space="preserve">1772 [28 (TL 1800)] 
</t>
        </r>
        <r>
          <rPr>
            <sz val="14"/>
            <color rgb="FF000000"/>
            <rFont val="Calibri"/>
            <family val="34"/>
          </rPr>
          <t xml:space="preserve">OR
</t>
        </r>
        <r>
          <rPr>
            <sz val="14"/>
            <color rgb="FF000000"/>
            <rFont val="Calibri"/>
            <family val="34"/>
          </rPr>
          <t xml:space="preserve">1775 [23 (AL 1799) 
</t>
        </r>
        <r>
          <rPr>
            <sz val="14"/>
            <color rgb="FF000000"/>
            <rFont val="Calibri"/>
            <family val="34"/>
          </rPr>
          <t xml:space="preserve">OR
</t>
        </r>
        <r>
          <rPr>
            <sz val="14"/>
            <color rgb="FF000000"/>
            <rFont val="Calibri"/>
            <family val="34"/>
          </rPr>
          <t>1776 [28 (ML 1804)]</t>
        </r>
      </text>
    </comment>
    <comment ref="T475" authorId="0" shapeId="0" xr:uid="{5DAF4F1A-7EF9-3943-A10E-BC8EAE24FC63}">
      <text>
        <r>
          <rPr>
            <sz val="14"/>
            <color rgb="FF000000"/>
            <rFont val="Calibri"/>
            <family val="34"/>
          </rPr>
          <t xml:space="preserve">5.3.3 [166.55 cm] (1799)
</t>
        </r>
        <r>
          <rPr>
            <sz val="14"/>
            <color rgb="FF000000"/>
            <rFont val="Calibri"/>
            <family val="34"/>
          </rPr>
          <t xml:space="preserve">5.3.2 [166.33 cm] (1802)
</t>
        </r>
        <r>
          <rPr>
            <sz val="14"/>
            <color rgb="FF000000"/>
            <rFont val="Calibri"/>
            <family val="34"/>
          </rPr>
          <t>5.3 [165.89 cm] (1806)</t>
        </r>
      </text>
    </comment>
    <comment ref="BF475" authorId="0" shapeId="0" xr:uid="{04D426DF-91F8-A94C-9934-4A118920F085}">
      <text>
        <r>
          <rPr>
            <sz val="14"/>
            <color rgb="FF000000"/>
            <rFont val="Times New Roman"/>
            <family val="18"/>
          </rPr>
          <t xml:space="preserve">24/11/1798 </t>
        </r>
        <r>
          <rPr>
            <i/>
            <sz val="14"/>
            <color rgb="FF000000"/>
            <rFont val="Times New Roman"/>
            <family val="18"/>
          </rPr>
          <t xml:space="preserve">Von galizischen Ständen gestellt und a 3Fl Handgeld assentiert und seitdem mit auswärtiger Verpflegung auf Anhero Marsch aus galizien </t>
        </r>
        <r>
          <rPr>
            <sz val="14"/>
            <color rgb="FF000000"/>
            <rFont val="Times New Roman"/>
            <family val="18"/>
          </rPr>
          <t>[ST April 1799 &amp; ML 1802]</t>
        </r>
        <r>
          <rPr>
            <sz val="14"/>
            <color rgb="FF000000"/>
            <rFont val="Calibri"/>
            <family val="34"/>
          </rPr>
          <t xml:space="preserve">
</t>
        </r>
        <r>
          <rPr>
            <sz val="14"/>
            <color rgb="FF000000"/>
            <rFont val="Times New Roman"/>
            <family val="18"/>
          </rPr>
          <t xml:space="preserve">21/04/1799 </t>
        </r>
        <r>
          <rPr>
            <i/>
            <sz val="14"/>
            <color rgb="FF000000"/>
            <rFont val="Times New Roman"/>
            <family val="18"/>
          </rPr>
          <t>Ankunft in die Reserve Division</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21/06/1799 </t>
        </r>
        <r>
          <rPr>
            <i/>
            <sz val="14"/>
            <color rgb="FF000000"/>
            <rFont val="Times New Roman"/>
            <family val="18"/>
          </rPr>
          <t>Von Reserve Division zum Haupt Wolf Komp Transferiert und seitdem auf Anmarsch ohne Feld und Fleisch Beitrag mit Schlaffgeld</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01/07/1799 </t>
        </r>
        <r>
          <rPr>
            <i/>
            <sz val="14"/>
            <color rgb="FF000000"/>
            <rFont val="Times New Roman"/>
            <family val="18"/>
          </rPr>
          <t>seitdem ganz ohne Gebühr, welche in die Künftige Monat nachgetragen wird</t>
        </r>
        <r>
          <rPr>
            <sz val="14"/>
            <color rgb="FF000000"/>
            <rFont val="Times New Roman"/>
            <family val="18"/>
          </rPr>
          <t xml:space="preserve"> [ST July 1799]</t>
        </r>
        <r>
          <rPr>
            <sz val="14"/>
            <color rgb="FF000000"/>
            <rFont val="Calibri"/>
            <family val="34"/>
          </rPr>
          <t xml:space="preserve">
</t>
        </r>
        <r>
          <rPr>
            <i/>
            <sz val="14"/>
            <color rgb="FF000000"/>
            <rFont val="Times New Roman"/>
            <family val="18"/>
          </rPr>
          <t>Worden seit 1. Juli ohne Gebuht Gefordert, welche dermale und zwar von 16. bis 25. Juli mit Täglichen ½ Xr. und von, 26. Juli und Dato mit tägl. 2xr Fleischbeitrag, ohne Feldbeitrag, deto von. 1 Juli bis 12 August mit Schlafgeld nachgetragen worden</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03/09/1799 Ankunft in Komp [ST Sept 1799]</t>
        </r>
        <r>
          <rPr>
            <sz val="14"/>
            <color rgb="FF000000"/>
            <rFont val="Calibri"/>
            <family val="34"/>
          </rPr>
          <t xml:space="preserve">
</t>
        </r>
        <r>
          <rPr>
            <sz val="14"/>
            <color rgb="FF000000"/>
            <rFont val="Times New Roman"/>
            <family val="18"/>
          </rPr>
          <t xml:space="preserve">23/09/1799 </t>
        </r>
        <r>
          <rPr>
            <i/>
            <sz val="14"/>
            <color rgb="FF000000"/>
            <rFont val="Times New Roman"/>
            <family val="18"/>
          </rPr>
          <t>Krank in Armee Spital</t>
        </r>
        <r>
          <rPr>
            <sz val="14"/>
            <color rgb="FF000000"/>
            <rFont val="Times New Roman"/>
            <family val="18"/>
          </rPr>
          <t xml:space="preserve"> [ST Sept 1799]</t>
        </r>
        <r>
          <rPr>
            <sz val="14"/>
            <color rgb="FF000000"/>
            <rFont val="Calibri"/>
            <family val="34"/>
          </rPr>
          <t xml:space="preserve">
</t>
        </r>
        <r>
          <rPr>
            <sz val="14"/>
            <color rgb="FFFF0000"/>
            <rFont val="Times New Roman"/>
            <family val="18"/>
          </rPr>
          <t xml:space="preserve">04/12/1799 </t>
        </r>
        <r>
          <rPr>
            <i/>
            <sz val="14"/>
            <color rgb="FFFF0000"/>
            <rFont val="Times New Roman"/>
            <family val="18"/>
          </rPr>
          <t>In Feldspital in Mailand gestorben</t>
        </r>
        <r>
          <rPr>
            <sz val="14"/>
            <color rgb="FFFF0000"/>
            <rFont val="Times New Roman"/>
            <family val="18"/>
          </rPr>
          <t xml:space="preserve"> [ST Dec 1799] [SIC!]</t>
        </r>
        <r>
          <rPr>
            <sz val="14"/>
            <color rgb="FF000000"/>
            <rFont val="Calibri"/>
            <family val="34"/>
          </rPr>
          <t xml:space="preserve">
</t>
        </r>
        <r>
          <rPr>
            <sz val="14"/>
            <color rgb="FF000000"/>
            <rFont val="Times New Roman"/>
            <family val="18"/>
          </rPr>
          <t xml:space="preserve">30/09/1800 </t>
        </r>
        <r>
          <rPr>
            <i/>
            <sz val="14"/>
            <color rgb="FF000000"/>
            <rFont val="Times New Roman"/>
            <family val="18"/>
          </rPr>
          <t>Von IR 23 Haupt Young zum italienischen Haupt Feldspital Nr. 19 transferiert</t>
        </r>
        <r>
          <rPr>
            <sz val="14"/>
            <color rgb="FF000000"/>
            <rFont val="Times New Roman"/>
            <family val="18"/>
          </rPr>
          <t xml:space="preserve"> [TL April 1802]</t>
        </r>
        <r>
          <rPr>
            <sz val="14"/>
            <color rgb="FF000000"/>
            <rFont val="Calibri"/>
            <family val="34"/>
          </rPr>
          <t xml:space="preserve">
</t>
        </r>
        <r>
          <rPr>
            <sz val="14"/>
            <color rgb="FF000000"/>
            <rFont val="Times New Roman"/>
            <family val="18"/>
          </rPr>
          <t>01/05/1801</t>
        </r>
        <r>
          <rPr>
            <i/>
            <sz val="14"/>
            <color rgb="FF000000"/>
            <rFont val="Times New Roman"/>
            <family val="18"/>
          </rPr>
          <t xml:space="preserve"> Von italienischen Haupt Feld Spital Nr. 19 zum IR 23 Haupt Young Komp. transferiert </t>
        </r>
        <r>
          <rPr>
            <sz val="14"/>
            <color rgb="FF000000"/>
            <rFont val="Times New Roman"/>
            <family val="18"/>
          </rPr>
          <t>[ML 1802]</t>
        </r>
        <r>
          <rPr>
            <sz val="14"/>
            <color rgb="FF000000"/>
            <rFont val="Calibri"/>
            <family val="34"/>
          </rPr>
          <t xml:space="preserve">
</t>
        </r>
        <r>
          <rPr>
            <sz val="14"/>
            <color rgb="FF000000"/>
            <rFont val="Times New Roman"/>
            <family val="18"/>
          </rPr>
          <t>09/09/1802 Muster: IR 23 Haupt Young Nr. 94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01/07/1803 </t>
        </r>
        <r>
          <rPr>
            <i/>
            <sz val="14"/>
            <color rgb="FF000000"/>
            <rFont val="Times New Roman"/>
            <family val="18"/>
          </rPr>
          <t>Von Haupt Young zum Balbus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13/09/1803 Muster: IR 23 Haupt Balbus Nr. 152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06/09/1804 Muster: IR 23 Haupt Balbus Nr. 137 [</t>
        </r>
        <r>
          <rPr>
            <i/>
            <sz val="14"/>
            <color rgb="FF000000"/>
            <rFont val="Times New Roman"/>
            <family val="18"/>
          </rPr>
          <t>Bis zur Einberufung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 xml:space="preserve">13/11/1805 </t>
        </r>
        <r>
          <rPr>
            <i/>
            <sz val="14"/>
            <color rgb="FF000000"/>
            <rFont val="Times New Roman"/>
            <family val="18"/>
          </rPr>
          <t>In Hauptspital zu Wien in die Kriegsgefangenschaft gefallen</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09/02/1806 </t>
        </r>
        <r>
          <rPr>
            <i/>
            <sz val="14"/>
            <color rgb="FF000000"/>
            <rFont val="Times New Roman"/>
            <family val="18"/>
          </rPr>
          <t>Wieder Ranzioniert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22/01/1807 Muster: IR 23 Haupt Balbus Komp Nr. 111</t>
        </r>
        <r>
          <rPr>
            <sz val="14"/>
            <color rgb="FF000000"/>
            <rFont val="Calibri"/>
            <family val="34"/>
          </rPr>
          <t xml:space="preserve">
</t>
        </r>
        <r>
          <rPr>
            <sz val="14"/>
            <color rgb="FF000000"/>
            <rFont val="Times New Roman"/>
            <family val="18"/>
          </rPr>
          <t>23/09/1808 Muster: IR 23 Haupt Balbus Komp Nr. 63 [</t>
        </r>
        <r>
          <rPr>
            <i/>
            <sz val="14"/>
            <color rgb="FF000000"/>
            <rFont val="Times New Roman"/>
            <family val="18"/>
          </rPr>
          <t>Beim aushilf Werbbezirk zu Chelm kommandiert</t>
        </r>
        <r>
          <rPr>
            <sz val="14"/>
            <color rgb="FF000000"/>
            <rFont val="Times New Roman"/>
            <family val="18"/>
          </rPr>
          <t>]</t>
        </r>
        <r>
          <rPr>
            <sz val="14"/>
            <color rgb="FF000000"/>
            <rFont val="Calibri"/>
            <family val="34"/>
          </rPr>
          <t xml:space="preserve">
</t>
        </r>
        <r>
          <rPr>
            <sz val="14"/>
            <color rgb="FF000000"/>
            <rFont val="Times New Roman"/>
            <family val="18"/>
          </rPr>
          <t xml:space="preserve">31/10/1808 </t>
        </r>
        <r>
          <rPr>
            <i/>
            <sz val="14"/>
            <color rgb="FF000000"/>
            <rFont val="Times New Roman"/>
            <family val="18"/>
          </rPr>
          <t>Wieder in Local-Verpflegung</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15. Fus Komp. zum Depot Division transferiert, seitdem auf Marsch nach Zamosc</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Zwischen 01/05/1809 bis 10/05/1809 </t>
        </r>
        <r>
          <rPr>
            <i/>
            <sz val="14"/>
            <color rgb="FF000000"/>
            <rFont val="Times New Roman"/>
            <family val="18"/>
          </rPr>
          <t xml:space="preserve">Auf dem Marsch mit dem pensionierten Hauptmann Weisvogel in die Polische Kriegsgefangenschaft gefallen </t>
        </r>
        <r>
          <rPr>
            <sz val="14"/>
            <color rgb="FF000000"/>
            <rFont val="Times New Roman"/>
            <family val="18"/>
          </rPr>
          <t xml:space="preserve">[ST May 1809] </t>
        </r>
      </text>
    </comment>
    <comment ref="BG475" authorId="0" shapeId="0" xr:uid="{F7DD7DA0-2D72-EE47-AD16-C5A3C7EA33D3}">
      <text>
        <r>
          <rPr>
            <sz val="14"/>
            <color rgb="FF000000"/>
            <rFont val="Times New Roman"/>
            <family val="18"/>
          </rPr>
          <t>ML 10.124 IR 23 (1802) – Haupt Young Komp. Nr. 94 (Krems 09/09/1802)</t>
        </r>
        <r>
          <rPr>
            <sz val="14"/>
            <color rgb="FF000000"/>
            <rFont val="Calibri"/>
            <family val="34"/>
          </rPr>
          <t xml:space="preserve">
</t>
        </r>
        <r>
          <rPr>
            <sz val="14"/>
            <color rgb="FF000000"/>
            <rFont val="Times New Roman"/>
            <family val="18"/>
          </rPr>
          <t>ML 10.125 IR 23 (1803) – Haupt Balbus Komp. Nr. 152 (Vienna 13/09/1803)</t>
        </r>
        <r>
          <rPr>
            <sz val="14"/>
            <color rgb="FF000000"/>
            <rFont val="Calibri"/>
            <family val="34"/>
          </rPr>
          <t xml:space="preserve">
</t>
        </r>
        <r>
          <rPr>
            <sz val="14"/>
            <color rgb="FF000000"/>
            <rFont val="Times New Roman"/>
            <family val="18"/>
          </rPr>
          <t>ML 10.126 IR 23 (1804) – Haupt Balbus Komp. Nr. 137 (Krems 06/09/1804)</t>
        </r>
        <r>
          <rPr>
            <sz val="14"/>
            <color rgb="FF000000"/>
            <rFont val="Calibri"/>
            <family val="34"/>
          </rPr>
          <t xml:space="preserve">
</t>
        </r>
        <r>
          <rPr>
            <sz val="14"/>
            <color rgb="FF000000"/>
            <rFont val="Times New Roman"/>
            <family val="18"/>
          </rPr>
          <t>ML 10.127/8 IR 23 (1807) – Haupt Balbus Komp. Nr. 111 (Rötz 26/01/1807)</t>
        </r>
        <r>
          <rPr>
            <sz val="14"/>
            <color rgb="FF000000"/>
            <rFont val="Calibri"/>
            <family val="34"/>
          </rPr>
          <t xml:space="preserve">
</t>
        </r>
        <r>
          <rPr>
            <sz val="14"/>
            <color rgb="FF000000"/>
            <rFont val="Times New Roman"/>
            <family val="18"/>
          </rPr>
          <t>ML 10.129 IR 23 (1808) – Haupt Balbus Komp. Nr. 63 (Zamosc 23/09/1808)</t>
        </r>
        <r>
          <rPr>
            <sz val="14"/>
            <color rgb="FF000000"/>
            <rFont val="Calibri"/>
            <family val="34"/>
          </rPr>
          <t xml:space="preserve">
</t>
        </r>
        <r>
          <rPr>
            <sz val="14"/>
            <color rgb="FF000000"/>
            <rFont val="Times New Roman"/>
            <family val="18"/>
          </rPr>
          <t>ML 10.164 IR 23 (1799) – ST April (??), June (21/07/1800), July (12/10/1800), ST Aug (22/10/1800), Sept (01/04/1801), Dec (10/07/1801)</t>
        </r>
        <r>
          <rPr>
            <sz val="14"/>
            <color rgb="FF000000"/>
            <rFont val="Calibri"/>
            <family val="34"/>
          </rPr>
          <t xml:space="preserve">
</t>
        </r>
        <r>
          <rPr>
            <sz val="14"/>
            <color rgb="FF000000"/>
            <rFont val="Times New Roman"/>
            <family val="18"/>
          </rPr>
          <t>ML 10.165 IR 23 (1799) AL/TL – AL Nr. 123 (Zolkiew 19/12/1798)</t>
        </r>
        <r>
          <rPr>
            <sz val="14"/>
            <color rgb="FF000000"/>
            <rFont val="Calibri"/>
            <family val="34"/>
          </rPr>
          <t xml:space="preserve">
</t>
        </r>
        <r>
          <rPr>
            <sz val="14"/>
            <color rgb="FF000000"/>
            <rFont val="Times New Roman"/>
            <family val="18"/>
          </rPr>
          <t>ML 10.166 IR 23 (1800) – TL IR 23-&gt; HFS 19 Nr. (6 Krems 20/04/1802)</t>
        </r>
        <r>
          <rPr>
            <sz val="14"/>
            <color rgb="FF000000"/>
            <rFont val="Calibri"/>
            <family val="34"/>
          </rPr>
          <t xml:space="preserve">
</t>
        </r>
        <r>
          <rPr>
            <sz val="14"/>
            <color rgb="FF000000"/>
            <rFont val="Times New Roman"/>
            <family val="18"/>
          </rPr>
          <t>ML 10.179 IR 23 (1808) – ST Nov (Olmütz 11/04/1809)</t>
        </r>
        <r>
          <rPr>
            <sz val="14"/>
            <color rgb="FF000000"/>
            <rFont val="Calibri"/>
            <family val="34"/>
          </rPr>
          <t xml:space="preserve">
</t>
        </r>
        <r>
          <rPr>
            <sz val="14"/>
            <color rgb="FF000000"/>
            <rFont val="Times New Roman"/>
            <family val="18"/>
          </rPr>
          <t>ML 10.181 IR 23 (1809) – ST March (Comorn 05/11/1810), May (10/03/1811)</t>
        </r>
        <r>
          <rPr>
            <sz val="14"/>
            <color rgb="FF000000"/>
            <rFont val="Calibri"/>
            <family val="34"/>
          </rPr>
          <t xml:space="preserve">
</t>
        </r>
      </text>
    </comment>
    <comment ref="BH475" authorId="0" shapeId="0" xr:uid="{6B886BA8-00EA-AC43-A2AE-9841DAF8F10D}">
      <text>
        <r>
          <rPr>
            <sz val="14"/>
            <color rgb="FF000000"/>
            <rFont val="Calibri"/>
            <family val="34"/>
          </rPr>
          <t xml:space="preserve">IR 23 (1798-1800)
</t>
        </r>
        <r>
          <rPr>
            <sz val="14"/>
            <color rgb="FF000000"/>
            <rFont val="Calibri"/>
            <family val="34"/>
          </rPr>
          <t xml:space="preserve">HFS 19 (1800-1801)
</t>
        </r>
        <r>
          <rPr>
            <sz val="14"/>
            <color rgb="FF000000"/>
            <rFont val="Calibri"/>
            <family val="34"/>
          </rPr>
          <t>IR 23 (1801-1809)</t>
        </r>
      </text>
    </comment>
    <comment ref="BJ475" authorId="0" shapeId="0" xr:uid="{5E614DF2-9185-044D-9124-F1621841F386}">
      <text>
        <r>
          <rPr>
            <sz val="14"/>
            <color rgb="FF000000"/>
            <rFont val="Times New Roman"/>
            <family val="18"/>
          </rPr>
          <t>HALB INVALID (</t>
        </r>
        <r>
          <rPr>
            <i/>
            <sz val="14"/>
            <color rgb="FF000000"/>
            <rFont val="Times New Roman"/>
            <family val="18"/>
          </rPr>
          <t>Sind bei der Armee Spitalern Superarbitriert worden, und sind dessen Defekten hier unbekannt</t>
        </r>
        <r>
          <rPr>
            <sz val="14"/>
            <color rgb="FF000000"/>
            <rFont val="Times New Roman"/>
            <family val="18"/>
          </rPr>
          <t>) [TL April 1803]</t>
        </r>
        <r>
          <rPr>
            <sz val="14"/>
            <color rgb="FF000000"/>
            <rFont val="Calibri"/>
            <family val="34"/>
          </rPr>
          <t xml:space="preserve">
</t>
        </r>
      </text>
    </comment>
    <comment ref="BF476" authorId="0" shapeId="0" xr:uid="{38486478-4BA2-A047-9116-7AB7587306FE}">
      <text>
        <r>
          <rPr>
            <sz val="14"/>
            <color rgb="FF000000"/>
            <rFont val="Times New Roman"/>
            <family val="18"/>
          </rPr>
          <t xml:space="preserve">24/11/1798 </t>
        </r>
        <r>
          <rPr>
            <i/>
            <sz val="14"/>
            <color rgb="FF000000"/>
            <rFont val="Times New Roman"/>
            <family val="18"/>
          </rPr>
          <t>Zum</t>
        </r>
        <r>
          <rPr>
            <sz val="14"/>
            <color rgb="FF000000"/>
            <rFont val="Times New Roman"/>
            <family val="18"/>
          </rPr>
          <t xml:space="preserve"> </t>
        </r>
        <r>
          <rPr>
            <i/>
            <sz val="14"/>
            <color rgb="FF000000"/>
            <rFont val="Times New Roman"/>
            <family val="18"/>
          </rPr>
          <t>3 Fl Handgeld als Inländische Rekrut zum Reserve Division gestellt</t>
        </r>
        <r>
          <rPr>
            <sz val="14"/>
            <color rgb="FF000000"/>
            <rFont val="Times New Roman"/>
            <family val="18"/>
          </rPr>
          <t xml:space="preserve"> [AL Dec 1798]
</t>
        </r>
        <r>
          <rPr>
            <sz val="14"/>
            <color rgb="FF000000"/>
            <rFont val="Times New Roman"/>
            <family val="18"/>
          </rPr>
          <t xml:space="preserve">15/02/1799 </t>
        </r>
        <r>
          <rPr>
            <i/>
            <sz val="14"/>
            <color rgb="FF000000"/>
            <rFont val="Times New Roman"/>
            <family val="18"/>
          </rPr>
          <t>In Folge hohe General Kommando Verordnung detto Wien der 27 Aprili 1799 wegen Dienstuntauglichkeit mit Laufpaß entlassen: statt dero 21 Juni 1800 von den Stadt Zolkiew gestellten und assentierten Rekruten Wolf Stock</t>
        </r>
        <r>
          <rPr>
            <sz val="14"/>
            <color rgb="FF000000"/>
            <rFont val="Times New Roman"/>
            <family val="18"/>
          </rPr>
          <t xml:space="preserve"> [ST Aug 1799 &amp; AL Juni 1800]
</t>
        </r>
      </text>
    </comment>
    <comment ref="BG476" authorId="0" shapeId="0" xr:uid="{4EEC57F7-E129-714D-82B1-FB514B168CD6}">
      <text>
        <r>
          <rPr>
            <sz val="14"/>
            <color rgb="FF000000"/>
            <rFont val="Times New Roman"/>
            <family val="18"/>
          </rPr>
          <t xml:space="preserve">ML 10.164 IR 23 (1799) – ST von Reserve Division von Marz bis Aug 1799
</t>
        </r>
        <r>
          <rPr>
            <sz val="14"/>
            <color rgb="FF000000"/>
            <rFont val="Times New Roman"/>
            <family val="18"/>
          </rPr>
          <t xml:space="preserve">ML 10.165 IR 23 (1799) – AL pro Marz 1799 Nr. 124 (Zolkiew 19/12/1798)
</t>
        </r>
        <r>
          <rPr>
            <sz val="14"/>
            <color rgb="FF000000"/>
            <rFont val="Times New Roman"/>
            <family val="18"/>
          </rPr>
          <t xml:space="preserve">ML 10.167 IR 23 (1800) – AL pro Sept 1800 Nr. 2 (Zolkiew 21/06/1800)
</t>
        </r>
      </text>
    </comment>
    <comment ref="BH476" authorId="0" shapeId="0" xr:uid="{038EBD6C-0F88-704A-8B3E-F5D4229D2892}">
      <text>
        <r>
          <rPr>
            <sz val="14"/>
            <color rgb="FF000000"/>
            <rFont val="Calibri"/>
            <family val="34"/>
          </rPr>
          <t>IR 43 (1798-1799)</t>
        </r>
      </text>
    </comment>
    <comment ref="BF477" authorId="0" shapeId="0" xr:uid="{2B538510-B935-9B43-8BF6-6471FAAD18A5}">
      <text>
        <r>
          <rPr>
            <sz val="14"/>
            <color rgb="FF000000"/>
            <rFont val="Times New Roman"/>
            <family val="18"/>
          </rPr>
          <t xml:space="preserve">24/11/1798 </t>
        </r>
        <r>
          <rPr>
            <i/>
            <sz val="14"/>
            <color rgb="FF000000"/>
            <rFont val="Times New Roman"/>
            <family val="18"/>
          </rPr>
          <t xml:space="preserve">Von galizischen Ständen gestellt und a 3 Fl Handgeld assentiert und seitdem mit Auswärtiger Verpflegung auf Anmarsch von Galizien </t>
        </r>
        <r>
          <rPr>
            <sz val="14"/>
            <color rgb="FF000000"/>
            <rFont val="Times New Roman"/>
            <family val="18"/>
          </rPr>
          <t xml:space="preserve">[AL 1798]
</t>
        </r>
        <r>
          <rPr>
            <sz val="14"/>
            <color rgb="FF000000"/>
            <rFont val="Times New Roman"/>
            <family val="18"/>
          </rPr>
          <t xml:space="preserve">08/12/1798 </t>
        </r>
        <r>
          <rPr>
            <i/>
            <sz val="14"/>
            <color rgb="FF000000"/>
            <rFont val="Times New Roman"/>
            <family val="18"/>
          </rPr>
          <t xml:space="preserve">Wegen Dienstuntaglichkeit mit Abschied entlassen </t>
        </r>
        <r>
          <rPr>
            <sz val="14"/>
            <color rgb="FF000000"/>
            <rFont val="Times New Roman"/>
            <family val="18"/>
          </rPr>
          <t xml:space="preserve">[ST August 1799]
</t>
        </r>
      </text>
    </comment>
    <comment ref="BG477" authorId="0" shapeId="0" xr:uid="{0740CA58-C8D2-2F48-9DEB-19125383288A}">
      <text>
        <r>
          <rPr>
            <sz val="14"/>
            <color rgb="FF000000"/>
            <rFont val="Times New Roman"/>
            <family val="18"/>
          </rPr>
          <t xml:space="preserve">ML 10.164 IR 23 (1799) – ST von Reserve Division von Marz bis Aug 1799 (22/10/1800)
</t>
        </r>
        <r>
          <rPr>
            <sz val="14"/>
            <color rgb="FF000000"/>
            <rFont val="Times New Roman"/>
            <family val="18"/>
          </rPr>
          <t>ML 10.165 IR 23 (1799) – AL von Reserve Division pro Marz 1799, Nr. 121 (Zolkiew 19/12/1798)</t>
        </r>
      </text>
    </comment>
    <comment ref="BH477" authorId="0" shapeId="0" xr:uid="{B46B3127-359F-D942-BC4E-2316CB48487E}">
      <text>
        <r>
          <rPr>
            <sz val="14"/>
            <color rgb="FF000000"/>
            <rFont val="Calibri"/>
            <family val="34"/>
          </rPr>
          <t>IR 23 (1798)</t>
        </r>
      </text>
    </comment>
    <comment ref="BF478" authorId="0" shapeId="0" xr:uid="{68C8C042-829A-404A-A17B-DC13A818AC48}">
      <text>
        <r>
          <rPr>
            <sz val="14"/>
            <color rgb="FF000000"/>
            <rFont val="Times New Roman"/>
            <family val="18"/>
          </rPr>
          <t xml:space="preserve">24/11/1798 </t>
        </r>
        <r>
          <rPr>
            <i/>
            <sz val="14"/>
            <color rgb="FF000000"/>
            <rFont val="Times New Roman"/>
            <family val="18"/>
          </rPr>
          <t>Zum 3 Fl Handgeld als Inländische Rekrut zum Reserve Division gestellt</t>
        </r>
        <r>
          <rPr>
            <sz val="14"/>
            <color rgb="FF000000"/>
            <rFont val="Times New Roman"/>
            <family val="18"/>
          </rPr>
          <t xml:space="preserve"> [AL Dec 1798]
</t>
        </r>
        <r>
          <rPr>
            <sz val="14"/>
            <color rgb="FF000000"/>
            <rFont val="Times New Roman"/>
            <family val="18"/>
          </rPr>
          <t xml:space="preserve">29/12/1798 </t>
        </r>
        <r>
          <rPr>
            <i/>
            <sz val="14"/>
            <color rgb="FF000000"/>
            <rFont val="Times New Roman"/>
            <family val="18"/>
          </rPr>
          <t>In Folge hohe General Kommando Verordnung detto Wien der 19 January 1799 wegen Dienstuntauglichkeit mit Laufpaß entlassen: statt dero 18 Juni 1800 von den Stadt Zolkiew gestellten und assentierten Rekruten Hirschel Model</t>
        </r>
        <r>
          <rPr>
            <sz val="14"/>
            <color rgb="FF000000"/>
            <rFont val="Times New Roman"/>
            <family val="18"/>
          </rPr>
          <t xml:space="preserve"> [St March 1799 &amp; AL June 1800]
</t>
        </r>
      </text>
    </comment>
    <comment ref="BG478" authorId="0" shapeId="0" xr:uid="{86599731-126F-E94E-9F76-DB928D10FB08}">
      <text>
        <r>
          <rPr>
            <sz val="14"/>
            <color rgb="FF000000"/>
            <rFont val="Times New Roman"/>
            <family val="18"/>
          </rPr>
          <t>ML 10.164 IR 23 (1799) – ST von Reserve Division von Marz bis April 1799</t>
        </r>
        <r>
          <rPr>
            <sz val="14"/>
            <color rgb="FF000000"/>
            <rFont val="Times New Roman"/>
            <family val="18"/>
          </rPr>
          <t xml:space="preserve">
</t>
        </r>
        <r>
          <rPr>
            <sz val="14"/>
            <color rgb="FF000000"/>
            <rFont val="Times New Roman"/>
            <family val="18"/>
          </rPr>
          <t>ML 10.165 IR 23 (1799) – AL von Reserve Division pro Marz 1799, Nr. 122 (Zolkiew 19/12/1798)</t>
        </r>
        <r>
          <rPr>
            <sz val="14"/>
            <color rgb="FF000000"/>
            <rFont val="Times New Roman"/>
            <family val="18"/>
          </rPr>
          <t xml:space="preserve">
</t>
        </r>
        <r>
          <rPr>
            <sz val="14"/>
            <color rgb="FF000000"/>
            <rFont val="Times New Roman"/>
            <family val="18"/>
          </rPr>
          <t>ML 10.167 IR 23 (1800) – AL von Reserve Division pro Sept 1800 Nr. 1 (Zolkiew 21/06/1800)</t>
        </r>
      </text>
    </comment>
    <comment ref="BH478" authorId="0" shapeId="0" xr:uid="{9AE0B9D3-3110-B740-8464-D6483F109C32}">
      <text>
        <r>
          <rPr>
            <sz val="14"/>
            <color rgb="FF000000"/>
            <rFont val="Calibri"/>
            <family val="34"/>
          </rPr>
          <t>IR 23 (1798)</t>
        </r>
      </text>
    </comment>
    <comment ref="I479" authorId="0" shapeId="0" xr:uid="{0D6AE240-DF68-7F4D-AA66-3487D07FBCEC}">
      <text>
        <r>
          <rPr>
            <sz val="14"/>
            <color rgb="FF000000"/>
            <rFont val="Calibri"/>
            <family val="34"/>
          </rPr>
          <t xml:space="preserve">1769 [33 (1802)] 
</t>
        </r>
        <r>
          <rPr>
            <sz val="14"/>
            <color rgb="FF000000"/>
            <rFont val="Calibri"/>
            <family val="34"/>
          </rPr>
          <t xml:space="preserve">OR 
</t>
        </r>
        <r>
          <rPr>
            <sz val="14"/>
            <color rgb="FF000000"/>
            <rFont val="Calibri"/>
            <family val="34"/>
          </rPr>
          <t>1776 [22 (1798)]</t>
        </r>
      </text>
    </comment>
    <comment ref="BF479" authorId="0" shapeId="0" xr:uid="{77509F29-3B64-FB49-BEBF-AE251F152A7A}">
      <text>
        <r>
          <rPr>
            <sz val="14"/>
            <color rgb="FF000000"/>
            <rFont val="Times New Roman"/>
            <family val="18"/>
          </rPr>
          <t xml:space="preserve">25/11/1798 </t>
        </r>
        <r>
          <rPr>
            <i/>
            <sz val="14"/>
            <color rgb="FF000000"/>
            <rFont val="Times New Roman"/>
            <family val="18"/>
          </rPr>
          <t>Von galizischen Ständen Gestellt a 3Fl Handgeld auf Beständig gestellt und zum IR 23 Reserve Division assentiert, und seitdem mit Auswärtiger Verpflegung auf Anmarsch von Galizien</t>
        </r>
        <r>
          <rPr>
            <sz val="14"/>
            <color rgb="FF000000"/>
            <rFont val="Times New Roman"/>
            <family val="18"/>
          </rPr>
          <t xml:space="preserve"> [AL Dec 1799 &amp; ML 1802]</t>
        </r>
        <r>
          <rPr>
            <sz val="14"/>
            <color rgb="FF000000"/>
            <rFont val="Calibri"/>
            <family val="34"/>
          </rPr>
          <t xml:space="preserve">
</t>
        </r>
        <r>
          <rPr>
            <sz val="14"/>
            <color rgb="FF000000"/>
            <rFont val="Times New Roman"/>
            <family val="18"/>
          </rPr>
          <t xml:space="preserve">06/05/1799 </t>
        </r>
        <r>
          <rPr>
            <i/>
            <sz val="14"/>
            <color rgb="FF000000"/>
            <rFont val="Times New Roman"/>
            <family val="18"/>
          </rPr>
          <t>Ankunft in Reserve Division</t>
        </r>
        <r>
          <rPr>
            <sz val="14"/>
            <color rgb="FF000000"/>
            <rFont val="Times New Roman"/>
            <family val="18"/>
          </rPr>
          <t xml:space="preserve"> [ST May 1799]</t>
        </r>
        <r>
          <rPr>
            <sz val="14"/>
            <color rgb="FF000000"/>
            <rFont val="Calibri"/>
            <family val="34"/>
          </rPr>
          <t xml:space="preserve">
</t>
        </r>
        <r>
          <rPr>
            <sz val="14"/>
            <color rgb="FF000000"/>
            <rFont val="Times New Roman"/>
            <family val="18"/>
          </rPr>
          <t xml:space="preserve">01/10/1799 </t>
        </r>
        <r>
          <rPr>
            <i/>
            <sz val="14"/>
            <color rgb="FF000000"/>
            <rFont val="Times New Roman"/>
            <family val="18"/>
          </rPr>
          <t>von dem Reserve Division Anhero, und dato mit Local Verpflegung in Anmarsch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30/10/1799 </t>
        </r>
        <r>
          <rPr>
            <i/>
            <sz val="14"/>
            <color rgb="FF000000"/>
            <rFont val="Times New Roman"/>
            <family val="18"/>
          </rPr>
          <t>Ankunft in Companie</t>
        </r>
        <r>
          <rPr>
            <sz val="14"/>
            <color rgb="FF000000"/>
            <rFont val="Times New Roman"/>
            <family val="18"/>
          </rPr>
          <t xml:space="preserve"> [ST Oct 1799]</t>
        </r>
        <r>
          <rPr>
            <sz val="14"/>
            <color rgb="FF000000"/>
            <rFont val="Calibri"/>
            <family val="34"/>
          </rPr>
          <t xml:space="preserve">
</t>
        </r>
        <r>
          <rPr>
            <sz val="14"/>
            <color rgb="FF000000"/>
            <rFont val="Times New Roman"/>
            <family val="18"/>
          </rPr>
          <t>09/09/1802 Muster: IR 23 Haupt August Komp Nr. 89 [</t>
        </r>
        <r>
          <rPr>
            <i/>
            <sz val="14"/>
            <color rgb="FF000000"/>
            <rFont val="Times New Roman"/>
            <family val="18"/>
          </rPr>
          <t>Beurlaubt in Pohlen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Urlaub in Polen desertiert</t>
        </r>
        <r>
          <rPr>
            <sz val="14"/>
            <color rgb="FF000000"/>
            <rFont val="Times New Roman"/>
            <family val="18"/>
          </rPr>
          <t xml:space="preserve"> [ML 1803]</t>
        </r>
        <r>
          <rPr>
            <sz val="14"/>
            <color rgb="FF000000"/>
            <rFont val="Calibri"/>
            <family val="2"/>
          </rPr>
          <t xml:space="preserve"> </t>
        </r>
      </text>
    </comment>
    <comment ref="BG479" authorId="0" shapeId="0" xr:uid="{06736930-1C25-AB42-B937-9529A0E5FC88}">
      <text>
        <r>
          <rPr>
            <sz val="14"/>
            <color rgb="FF000000"/>
            <rFont val="Times New Roman"/>
            <family val="18"/>
          </rPr>
          <t>ML 10.124 IR 23 (1802) – Haupt August Komp. Nr. 89 (Krems 09/09/1802)</t>
        </r>
        <r>
          <rPr>
            <sz val="14"/>
            <color rgb="FF000000"/>
            <rFont val="Calibri"/>
            <family val="34"/>
          </rPr>
          <t xml:space="preserve">
</t>
        </r>
        <r>
          <rPr>
            <sz val="14"/>
            <color rgb="FF000000"/>
            <rFont val="Times New Roman"/>
            <family val="18"/>
          </rPr>
          <t>ML 10.125 IR 23 (1803) – Haupt Strack Komp. Abgang (Execierlager bei St Pölten 07/09/1803)</t>
        </r>
        <r>
          <rPr>
            <sz val="14"/>
            <color rgb="FF000000"/>
            <rFont val="Calibri"/>
            <family val="34"/>
          </rPr>
          <t xml:space="preserve">
</t>
        </r>
        <r>
          <rPr>
            <sz val="14"/>
            <color rgb="FF000000"/>
            <rFont val="Times New Roman"/>
            <family val="18"/>
          </rPr>
          <t>ML 10.164 IR 23 (1799) – ST May (20/06/1800), October (06/04/1802)</t>
        </r>
        <r>
          <rPr>
            <sz val="14"/>
            <color rgb="FF000000"/>
            <rFont val="Calibri"/>
            <family val="34"/>
          </rPr>
          <t xml:space="preserve">
</t>
        </r>
        <r>
          <rPr>
            <sz val="14"/>
            <color rgb="FF000000"/>
            <rFont val="Times New Roman"/>
            <family val="18"/>
          </rPr>
          <t>ML 10.165 IR 23 (1799) – AL. Nr. 129 (Zolkiew 17/12/1798)</t>
        </r>
        <r>
          <rPr>
            <sz val="14"/>
            <color rgb="FF000000"/>
            <rFont val="Calibri"/>
            <family val="34"/>
          </rPr>
          <t xml:space="preserve">
</t>
        </r>
      </text>
    </comment>
    <comment ref="BH479" authorId="0" shapeId="0" xr:uid="{56877EF1-6C0F-354D-AC17-7A3A82236C3F}">
      <text>
        <r>
          <rPr>
            <sz val="14"/>
            <color rgb="FF000000"/>
            <rFont val="Calibri"/>
            <family val="34"/>
          </rPr>
          <t>IR 23 (1798-1803)</t>
        </r>
      </text>
    </comment>
    <comment ref="I480" authorId="0" shapeId="0" xr:uid="{A35C95F8-2C32-C449-B9C4-41474CF79D6B}">
      <text>
        <r>
          <rPr>
            <sz val="14"/>
            <color rgb="FF000000"/>
            <rFont val="Calibri"/>
            <family val="34"/>
          </rPr>
          <t xml:space="preserve">1769 [35 (1804)] 
</t>
        </r>
        <r>
          <rPr>
            <sz val="14"/>
            <color rgb="FF000000"/>
            <rFont val="Calibri"/>
            <family val="34"/>
          </rPr>
          <t xml:space="preserve">OR 
</t>
        </r>
        <r>
          <rPr>
            <sz val="14"/>
            <color rgb="FF000000"/>
            <rFont val="Calibri"/>
            <family val="34"/>
          </rPr>
          <t>1763 [36 (1799)]</t>
        </r>
      </text>
    </comment>
    <comment ref="T480" authorId="0" shapeId="0" xr:uid="{29466070-B557-394C-9051-C9EF5F57470D}">
      <text>
        <r>
          <rPr>
            <sz val="14"/>
            <color rgb="FF000000"/>
            <rFont val="Calibri"/>
            <family val="34"/>
          </rPr>
          <t xml:space="preserve">5.6  [173.78 cm] (1799)
</t>
        </r>
        <r>
          <rPr>
            <sz val="14"/>
            <color rgb="FF000000"/>
            <rFont val="Calibri"/>
            <family val="34"/>
          </rPr>
          <t>5.6.2 [174.22 cm] (1802)</t>
        </r>
      </text>
    </comment>
    <comment ref="BF480" authorId="0" shapeId="0" xr:uid="{402ED783-731B-5E42-A88A-18CD05892907}">
      <text>
        <r>
          <rPr>
            <sz val="14"/>
            <color rgb="FF000000"/>
            <rFont val="Times New Roman"/>
            <family val="18"/>
          </rPr>
          <t xml:space="preserve">25/11/1798 </t>
        </r>
        <r>
          <rPr>
            <i/>
            <sz val="14"/>
            <color rgb="FF000000"/>
            <rFont val="Times New Roman"/>
            <family val="18"/>
          </rPr>
          <t xml:space="preserve">Zu Zolkiew als Landständischer Recrout auf Beständig gestellt und a 3Fl Handgeld zum IR 23 Reserve Division assentiert; und seitdem mit Auswärtiger Verpflegung auf Anmarsch von Galizien </t>
        </r>
        <r>
          <rPr>
            <sz val="14"/>
            <color rgb="FF000000"/>
            <rFont val="Times New Roman"/>
            <family val="18"/>
          </rPr>
          <t xml:space="preserve"> [AL Dec 1799 &amp; ST April 1799 &amp;ML 1802]</t>
        </r>
        <r>
          <rPr>
            <sz val="14"/>
            <color rgb="FF000000"/>
            <rFont val="Calibri"/>
            <family val="34"/>
          </rPr>
          <t xml:space="preserve">
</t>
        </r>
        <r>
          <rPr>
            <sz val="14"/>
            <color rgb="FF000000"/>
            <rFont val="Times New Roman"/>
            <family val="18"/>
          </rPr>
          <t xml:space="preserve">21/04/1799 </t>
        </r>
        <r>
          <rPr>
            <i/>
            <sz val="14"/>
            <color rgb="FF000000"/>
            <rFont val="Times New Roman"/>
            <family val="18"/>
          </rPr>
          <t>Ankunft in loco in der Reserve Division</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21/06/1799 </t>
        </r>
        <r>
          <rPr>
            <i/>
            <sz val="14"/>
            <color rgb="FF000000"/>
            <rFont val="Times New Roman"/>
            <family val="18"/>
          </rPr>
          <t>Von Reserve Division zum Haupt Sallberg Comp transferiert und seitdem auf Anmarsch ohne Feld und Fleisch Beitrag mit Schlafsgeld</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01/07/1799 </t>
        </r>
        <r>
          <rPr>
            <i/>
            <sz val="14"/>
            <color rgb="FF000000"/>
            <rFont val="Times New Roman"/>
            <family val="18"/>
          </rPr>
          <t>Seitdem ganz ohne Gebühr, welche in die Künftige Monat nachgetragen wird</t>
        </r>
        <r>
          <rPr>
            <sz val="14"/>
            <color rgb="FF000000"/>
            <rFont val="Times New Roman"/>
            <family val="18"/>
          </rPr>
          <t xml:space="preserve"> [ST July 1799]</t>
        </r>
        <r>
          <rPr>
            <sz val="14"/>
            <color rgb="FF000000"/>
            <rFont val="Calibri"/>
            <family val="34"/>
          </rPr>
          <t xml:space="preserve">
</t>
        </r>
        <r>
          <rPr>
            <i/>
            <sz val="14"/>
            <color rgb="FF000000"/>
            <rFont val="Times New Roman"/>
            <family val="18"/>
          </rPr>
          <t>Worden seit 1. Juli ohne Gebuht Gefordert, welche dermale und zwar von 16. bis 25. Juli mit Täglichen ½ Xr. und von, 26. Juli und Dato mit tägl. 2xr Fleischbeitrag, ohne Feldbeitrag, deto von. 1 Juli bis 12 August mit Schlafgeld nachgetragen worden</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03/09/1799 </t>
        </r>
        <r>
          <rPr>
            <i/>
            <sz val="14"/>
            <color rgb="FF000000"/>
            <rFont val="Times New Roman"/>
            <family val="18"/>
          </rPr>
          <t xml:space="preserve">Ankunft in Komp. </t>
        </r>
        <r>
          <rPr>
            <sz val="14"/>
            <color rgb="FF000000"/>
            <rFont val="Times New Roman"/>
            <family val="18"/>
          </rPr>
          <t>[</t>
        </r>
        <r>
          <rPr>
            <i/>
            <sz val="14"/>
            <color rgb="FF000000"/>
            <rFont val="Times New Roman"/>
            <family val="18"/>
          </rPr>
          <t>von vorhin bis 2. mit Fleischbeitrag ohne Feldbeitrag und ohne Schlafbeitrag bis 4. mit Brot, ist eingerückt und seit 3. mit Geld und seit 5. mit Brot in loco</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09/09/1802 Muster: IR 23 Haupt Böhm Nr. 78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Böhm Nr. 70 [</t>
        </r>
        <r>
          <rPr>
            <i/>
            <sz val="14"/>
            <color rgb="FF000000"/>
            <rFont val="Times New Roman"/>
            <family val="18"/>
          </rPr>
          <t>In seinem Geburtsort bis zur Einberufung beurlaubt in Gallizien</t>
        </r>
        <r>
          <rPr>
            <sz val="14"/>
            <color rgb="FF000000"/>
            <rFont val="Times New Roman"/>
            <family val="18"/>
          </rPr>
          <t>]</t>
        </r>
        <r>
          <rPr>
            <sz val="14"/>
            <color rgb="FF000000"/>
            <rFont val="Calibri"/>
            <family val="34"/>
          </rPr>
          <t xml:space="preserve">
</t>
        </r>
        <r>
          <rPr>
            <sz val="14"/>
            <color rgb="FF000000"/>
            <rFont val="Times New Roman"/>
            <family val="18"/>
          </rPr>
          <t>13/09/1804 Muster: IR 23 Haupt Böhm Nr. 62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[ST May 1806 &amp; ML 1807] </t>
        </r>
      </text>
    </comment>
    <comment ref="BG480" authorId="0" shapeId="0" xr:uid="{2B8E3DF5-D2FA-9D44-9DC6-28D10970A0A0}">
      <text>
        <r>
          <rPr>
            <sz val="14"/>
            <color rgb="FF000000"/>
            <rFont val="Times New Roman"/>
            <family val="18"/>
          </rPr>
          <t>ML 10.124 IR 23 (1802) – Haupt Böhm Komp. Nr. 78 (Krems 09/09/1802)</t>
        </r>
        <r>
          <rPr>
            <sz val="14"/>
            <color rgb="FF000000"/>
            <rFont val="Calibri"/>
            <family val="34"/>
          </rPr>
          <t xml:space="preserve">
</t>
        </r>
        <r>
          <rPr>
            <sz val="14"/>
            <color rgb="FF000000"/>
            <rFont val="Times New Roman"/>
            <family val="18"/>
          </rPr>
          <t>ML 10.125 IR 23 (1803) – Haupt Böhm Komp. Nr. 78 (Execierlager bei St Pölten 07/09/1803)</t>
        </r>
        <r>
          <rPr>
            <sz val="14"/>
            <color rgb="FF000000"/>
            <rFont val="Calibri"/>
            <family val="34"/>
          </rPr>
          <t xml:space="preserve">
</t>
        </r>
        <r>
          <rPr>
            <sz val="14"/>
            <color rgb="FF000000"/>
            <rFont val="Times New Roman"/>
            <family val="18"/>
          </rPr>
          <t>ML 10.126 IR 23 (1804) – Haupt Böhm Komp. Nr. 78 (Vienna 13/09/1804)</t>
        </r>
        <r>
          <rPr>
            <sz val="14"/>
            <color rgb="FF000000"/>
            <rFont val="Calibri"/>
            <family val="34"/>
          </rPr>
          <t xml:space="preserve">
</t>
        </r>
        <r>
          <rPr>
            <sz val="14"/>
            <color rgb="FF000000"/>
            <rFont val="Times New Roman"/>
            <family val="18"/>
          </rPr>
          <t>ML 10.164 IR 23 (1799) – ST April (??), June (21/07/1800), July (12/10/1800), ST Aug (22/10/1800), Sept (01/04/1801)</t>
        </r>
        <r>
          <rPr>
            <sz val="14"/>
            <color rgb="FF000000"/>
            <rFont val="Calibri"/>
            <family val="34"/>
          </rPr>
          <t xml:space="preserve">
</t>
        </r>
        <r>
          <rPr>
            <sz val="14"/>
            <color rgb="FF000000"/>
            <rFont val="Times New Roman"/>
            <family val="18"/>
          </rPr>
          <t>ML 10.165 IR 23 (1799) – AL Nr. 130 (Zolkiew 19/12/1799)</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480" authorId="0" shapeId="0" xr:uid="{34BB966A-8FB0-6B48-8321-4B548AF3E449}">
      <text>
        <r>
          <rPr>
            <sz val="14"/>
            <color rgb="FF000000"/>
            <rFont val="Calibri"/>
            <family val="34"/>
          </rPr>
          <t>IR 23 (1798-1806)</t>
        </r>
      </text>
    </comment>
    <comment ref="O481" authorId="0" shapeId="0" xr:uid="{22FDD206-378B-654F-96C8-7D48C9626B63}">
      <text>
        <r>
          <rPr>
            <sz val="14"/>
            <color rgb="FF000000"/>
            <rFont val="Times New Roman"/>
            <family val="18"/>
          </rPr>
          <t>Riska (1799)</t>
        </r>
      </text>
    </comment>
    <comment ref="BF481" authorId="0" shapeId="0" xr:uid="{D1BF0776-85F4-D348-A0F4-26FD90CBC381}">
      <text>
        <r>
          <rPr>
            <sz val="14"/>
            <color rgb="FF000000"/>
            <rFont val="Times New Roman"/>
            <family val="18"/>
          </rPr>
          <t xml:space="preserve">26/11/1798 </t>
        </r>
        <r>
          <rPr>
            <i/>
            <sz val="14"/>
            <color rgb="FF000000"/>
            <rFont val="Times New Roman"/>
            <family val="18"/>
          </rPr>
          <t>A 3Fl Handgeld zu Zolkiew in Galizien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4 Obrist Komp. Nr. 41 [</t>
        </r>
        <r>
          <rPr>
            <i/>
            <sz val="14"/>
            <color rgb="FF000000"/>
            <rFont val="Times New Roman"/>
            <family val="18"/>
          </rPr>
          <t>Beurlaubt in seinem Geburtsort in Galizien</t>
        </r>
        <r>
          <rPr>
            <sz val="14"/>
            <color rgb="FF000000"/>
            <rFont val="Times New Roman"/>
            <family val="18"/>
          </rPr>
          <t>]</t>
        </r>
        <r>
          <rPr>
            <sz val="14"/>
            <color rgb="FF000000"/>
            <rFont val="Aptos"/>
            <family val="34"/>
          </rPr>
          <t xml:space="preserve">
</t>
        </r>
        <r>
          <rPr>
            <sz val="14"/>
            <color rgb="FF000000"/>
            <rFont val="Times New Roman"/>
            <family val="18"/>
          </rPr>
          <t>04/1804 UNBEKANNT: Erscheint nicht in der Revisions-Liste von Haupt Leib Kompanie zwischen 31. März und 1. Mai 1804</t>
        </r>
        <r>
          <rPr>
            <sz val="14"/>
            <color rgb="FF000000"/>
            <rFont val="Aptos"/>
            <family val="34"/>
          </rPr>
          <t xml:space="preserve">
</t>
        </r>
      </text>
    </comment>
    <comment ref="BG481" authorId="0" shapeId="0" xr:uid="{0D73E8B2-6B62-1F4E-B4D4-EF7B658B70E3}">
      <text>
        <r>
          <rPr>
            <sz val="14"/>
            <color rgb="FF000000"/>
            <rFont val="Times New Roman"/>
            <family val="18"/>
          </rPr>
          <t>ML 348 IR 4 (1803) – Obrist Komp. Nr. 41 (Vienna 14/09/1803)</t>
        </r>
      </text>
    </comment>
    <comment ref="BH481" authorId="0" shapeId="0" xr:uid="{FF98F602-D16E-B54C-8B5E-9CFBBDD4378F}">
      <text>
        <r>
          <rPr>
            <sz val="14"/>
            <color rgb="FF000000"/>
            <rFont val="Calibri"/>
            <family val="34"/>
          </rPr>
          <t>IR 4 (1798-1804)</t>
        </r>
      </text>
    </comment>
    <comment ref="BF482" authorId="0" shapeId="0" xr:uid="{3A1A03E9-C898-0E44-892F-7EAFBF5914ED}">
      <text>
        <r>
          <rPr>
            <sz val="14"/>
            <color rgb="FF000000"/>
            <rFont val="Times New Roman"/>
            <family val="18"/>
          </rPr>
          <t xml:space="preserve">27/11/1798 </t>
        </r>
        <r>
          <rPr>
            <i/>
            <sz val="14"/>
            <color rgb="FF000000"/>
            <rFont val="Times New Roman"/>
            <family val="18"/>
          </rPr>
          <t xml:space="preserve">A 3Fl Handgeld zu Zaukiev in Galizien assentiert </t>
        </r>
        <r>
          <rPr>
            <sz val="14"/>
            <color rgb="FF000000"/>
            <rFont val="Times New Roman"/>
            <family val="18"/>
          </rPr>
          <t>[ML 1803]</t>
        </r>
        <r>
          <rPr>
            <sz val="14"/>
            <color rgb="FF000000"/>
            <rFont val="Aptos"/>
            <family val="34"/>
          </rPr>
          <t xml:space="preserve">
</t>
        </r>
        <r>
          <rPr>
            <sz val="14"/>
            <color rgb="FF000000"/>
            <rFont val="Times New Roman"/>
            <family val="18"/>
          </rPr>
          <t>14/09/1803 Muster: IR 4 Haupt Küffel Komp. Nr. 59 [</t>
        </r>
        <r>
          <rPr>
            <i/>
            <sz val="14"/>
            <color rgb="FF000000"/>
            <rFont val="Times New Roman"/>
            <family val="18"/>
          </rPr>
          <t>Beurlaubt in seinem Geburtsort</t>
        </r>
        <r>
          <rPr>
            <sz val="14"/>
            <color rgb="FF000000"/>
            <rFont val="Times New Roman"/>
            <family val="18"/>
          </rPr>
          <t>]</t>
        </r>
        <r>
          <rPr>
            <sz val="14"/>
            <color rgb="FF000000"/>
            <rFont val="Aptos"/>
            <family val="34"/>
          </rPr>
          <t xml:space="preserve">
</t>
        </r>
        <r>
          <rPr>
            <sz val="14"/>
            <color rgb="FF000000"/>
            <rFont val="Times New Roman"/>
            <family val="18"/>
          </rPr>
          <t xml:space="preserve">15/12 1803 </t>
        </r>
        <r>
          <rPr>
            <i/>
            <sz val="14"/>
            <color rgb="FF000000"/>
            <rFont val="Times New Roman"/>
            <family val="18"/>
          </rPr>
          <t>Wegen Unentbehrlichkeit bei seiner Wirtschaft gegen denen gestellten 2 Ausländer Recroutten Joseph DERASOA und Franz LASOKY und Erlaag des doppelten Monturs Geldes mit 52Fl 24 Xr Vermig Verordnung von 5ten Juli. 803 mit Abschied entlassen</t>
        </r>
        <r>
          <rPr>
            <sz val="14"/>
            <color rgb="FF000000"/>
            <rFont val="Times New Roman"/>
            <family val="18"/>
          </rPr>
          <t xml:space="preserve"> [ST Dec 1803] </t>
        </r>
        <r>
          <rPr>
            <sz val="14"/>
            <color rgb="FF000000"/>
            <rFont val="Aptos"/>
            <family val="34"/>
          </rPr>
          <t xml:space="preserve">
</t>
        </r>
      </text>
    </comment>
    <comment ref="BG482" authorId="0" shapeId="0" xr:uid="{8E9E4F41-F2B0-294E-97E8-E576517FA919}">
      <text>
        <r>
          <rPr>
            <sz val="14"/>
            <color rgb="FF000000"/>
            <rFont val="Times New Roman"/>
            <family val="18"/>
          </rPr>
          <t>ML 348 IR 4 (1803) – Haupt Küffel Komp. Nr. 45 (Vienna 14/09/1803)</t>
        </r>
        <r>
          <rPr>
            <sz val="14"/>
            <color rgb="FF000000"/>
            <rFont val="Aptos"/>
            <family val="34"/>
          </rPr>
          <t xml:space="preserve">
</t>
        </r>
        <r>
          <rPr>
            <sz val="14"/>
            <color rgb="FF000000"/>
            <rFont val="Times New Roman"/>
            <family val="18"/>
          </rPr>
          <t>ML 380 IR 4 (1803) – ST Dec (Vienna 15/01/1804)</t>
        </r>
      </text>
    </comment>
    <comment ref="BH482" authorId="0" shapeId="0" xr:uid="{E6133E70-B99D-864B-9334-A4E265FC5598}">
      <text>
        <r>
          <rPr>
            <sz val="14"/>
            <color rgb="FF000000"/>
            <rFont val="Calibri"/>
            <family val="34"/>
          </rPr>
          <t>IR 4 (1798-1803)</t>
        </r>
      </text>
    </comment>
    <comment ref="BF483" authorId="0" shapeId="0" xr:uid="{6605AF9F-6B58-C84B-95D2-1B38776847E6}">
      <text>
        <r>
          <rPr>
            <sz val="14"/>
            <color rgb="FF000000"/>
            <rFont val="Times New Roman"/>
            <family val="18"/>
          </rPr>
          <t xml:space="preserve">28/11/1798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483" authorId="0" shapeId="0" xr:uid="{8648A353-3E04-F749-B1DE-FD4C0E038E49}">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483" authorId="0" shapeId="0" xr:uid="{A1BEDDAD-5744-7944-842F-C910183F707C}">
      <text>
        <r>
          <rPr>
            <sz val="14"/>
            <color rgb="FF000000"/>
            <rFont val="Calibri"/>
            <family val="34"/>
          </rPr>
          <t>IR 43 (1798-1801)</t>
        </r>
      </text>
    </comment>
    <comment ref="BF484" authorId="0" shapeId="0" xr:uid="{955F0CE7-4E27-2A45-B15F-548447F61E9C}">
      <text>
        <r>
          <rPr>
            <sz val="14"/>
            <color rgb="FF000000"/>
            <rFont val="Times New Roman"/>
            <family val="18"/>
          </rPr>
          <t xml:space="preserve">28/11/1798 </t>
        </r>
        <r>
          <rPr>
            <i/>
            <sz val="14"/>
            <color rgb="FF000000"/>
            <rFont val="Times New Roman"/>
            <family val="18"/>
          </rPr>
          <t>von Ständen a 3Fl Handgeld in Galizien gestellt und seitdem auf den Marsch mit Friedensgebühr</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In 02/1798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FF0000"/>
            <rFont val="Times New Roman"/>
            <family val="18"/>
          </rPr>
          <t xml:space="preserve">14/07/1799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zum Haupt Geistler Komp. transferiert und seitdem ins Regiments Erziehungshaus mit Tagl. 4/8 Xr Fleischgeld kommandiert</t>
        </r>
        <r>
          <rPr>
            <sz val="14"/>
            <color rgb="FF000000"/>
            <rFont val="Times New Roman"/>
            <family val="18"/>
          </rPr>
          <t xml:space="preserve"> [spater respt 1Xr Fleischgeld] </t>
        </r>
        <r>
          <rPr>
            <sz val="14"/>
            <color rgb="FF000000"/>
            <rFont val="Calibri"/>
            <family val="34"/>
          </rPr>
          <t xml:space="preserve">
</t>
        </r>
        <r>
          <rPr>
            <sz val="14"/>
            <color rgb="FF000000"/>
            <rFont val="Times New Roman"/>
            <family val="18"/>
          </rPr>
          <t xml:space="preserve">11/04/1802 </t>
        </r>
        <r>
          <rPr>
            <i/>
            <sz val="14"/>
            <color rgb="FF000000"/>
            <rFont val="Times New Roman"/>
            <family val="18"/>
          </rPr>
          <t>Krank in Laibach</t>
        </r>
        <r>
          <rPr>
            <sz val="14"/>
            <color rgb="FF000000"/>
            <rFont val="Times New Roman"/>
            <family val="18"/>
          </rPr>
          <t xml:space="preserve"> [ST April 1802]</t>
        </r>
        <r>
          <rPr>
            <sz val="14"/>
            <color rgb="FF000000"/>
            <rFont val="Calibri"/>
            <family val="34"/>
          </rPr>
          <t xml:space="preserve">
</t>
        </r>
        <r>
          <rPr>
            <sz val="14"/>
            <color rgb="FF000000"/>
            <rFont val="Times New Roman"/>
            <family val="18"/>
          </rPr>
          <t xml:space="preserve">20/05/1802 </t>
        </r>
        <r>
          <rPr>
            <i/>
            <sz val="14"/>
            <color rgb="FF000000"/>
            <rFont val="Times New Roman"/>
            <family val="18"/>
          </rPr>
          <t>Rekonvalesziert</t>
        </r>
        <r>
          <rPr>
            <sz val="14"/>
            <color rgb="FF000000"/>
            <rFont val="Times New Roman"/>
            <family val="18"/>
          </rPr>
          <t xml:space="preserve"> [ST Juni 1802]</t>
        </r>
        <r>
          <rPr>
            <sz val="14"/>
            <color rgb="FF000000"/>
            <rFont val="Calibri"/>
            <family val="34"/>
          </rPr>
          <t xml:space="preserve">
</t>
        </r>
        <r>
          <rPr>
            <sz val="14"/>
            <color rgb="FF000000"/>
            <rFont val="Times New Roman"/>
            <family val="18"/>
          </rPr>
          <t xml:space="preserve">06/06/1802 </t>
        </r>
        <r>
          <rPr>
            <i/>
            <sz val="14"/>
            <color rgb="FF000000"/>
            <rFont val="Times New Roman"/>
            <family val="18"/>
          </rPr>
          <t>Auf Bestimmte Zeit beurlaubt</t>
        </r>
        <r>
          <rPr>
            <sz val="14"/>
            <color rgb="FF000000"/>
            <rFont val="Times New Roman"/>
            <family val="18"/>
          </rPr>
          <t xml:space="preserve"> [ST Juni 1802]</t>
        </r>
        <r>
          <rPr>
            <sz val="14"/>
            <color rgb="FF000000"/>
            <rFont val="Calibri"/>
            <family val="34"/>
          </rPr>
          <t xml:space="preserve">
</t>
        </r>
        <r>
          <rPr>
            <sz val="14"/>
            <color rgb="FF000000"/>
            <rFont val="Times New Roman"/>
            <family val="18"/>
          </rPr>
          <t>28/08/1802 Muster: IR 43 Haupt Geistler Komp. Nr. 86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20/08/1803 </t>
        </r>
        <r>
          <rPr>
            <i/>
            <sz val="14"/>
            <color rgb="FF000000"/>
            <rFont val="Times New Roman"/>
            <family val="18"/>
          </rPr>
          <t>Vermog abgehaltenen Superarbietrierung als Real Invalid, gegen Renuncierung auf alle Militair Beneficien Mit Abschied entlassen</t>
        </r>
        <r>
          <rPr>
            <sz val="14"/>
            <color rgb="FF000000"/>
            <rFont val="Times New Roman"/>
            <family val="18"/>
          </rPr>
          <t xml:space="preserve"> [ST Aug 1803 &amp; ML 1803] </t>
        </r>
        <r>
          <rPr>
            <sz val="14"/>
            <color rgb="FF000000"/>
            <rFont val="Calibri"/>
            <family val="34"/>
          </rPr>
          <t xml:space="preserve">
</t>
        </r>
      </text>
    </comment>
    <comment ref="BG484" authorId="0" shapeId="0" xr:uid="{E80DFAC4-AE5C-2641-82B1-A922043826E4}">
      <text>
        <r>
          <rPr>
            <sz val="14"/>
            <color rgb="FF000000"/>
            <rFont val="Times New Roman"/>
            <family val="18"/>
          </rPr>
          <t>ML 10.272 IR 43 (1802) – Haupt Geistler Komp. Nr. 86 (Cattaro 28/08/1802)</t>
        </r>
        <r>
          <rPr>
            <sz val="14"/>
            <color rgb="FF000000"/>
            <rFont val="Calibri"/>
            <family val="34"/>
          </rPr>
          <t xml:space="preserve">
</t>
        </r>
        <r>
          <rPr>
            <sz val="14"/>
            <color rgb="FF000000"/>
            <rFont val="Times New Roman"/>
            <family val="18"/>
          </rPr>
          <t>ML 10.273 IR 43 (1803) – Haupt Geistler Abgang (Zara 02/11/1803)</t>
        </r>
        <r>
          <rPr>
            <sz val="14"/>
            <color rgb="FF000000"/>
            <rFont val="Calibri"/>
            <family val="34"/>
          </rPr>
          <t xml:space="preserve">
</t>
        </r>
        <r>
          <rPr>
            <sz val="14"/>
            <color rgb="FF000000"/>
            <rFont val="Times New Roman"/>
            <family val="18"/>
          </rPr>
          <t>ML 10.307 IR 43 (1799) – ST Feb (29/04/1799)</t>
        </r>
        <r>
          <rPr>
            <sz val="14"/>
            <color rgb="FF000000"/>
            <rFont val="Calibri"/>
            <family val="34"/>
          </rPr>
          <t xml:space="preserve">
</t>
        </r>
        <r>
          <rPr>
            <sz val="14"/>
            <color rgb="FF000000"/>
            <rFont val="Times New Roman"/>
            <family val="18"/>
          </rPr>
          <t>ML 10.311 IR 43 (1801) – ST June (20/06/1805)</t>
        </r>
        <r>
          <rPr>
            <sz val="14"/>
            <color rgb="FF000000"/>
            <rFont val="Calibri"/>
            <family val="34"/>
          </rPr>
          <t xml:space="preserve">
</t>
        </r>
        <r>
          <rPr>
            <sz val="14"/>
            <color rgb="FF000000"/>
            <rFont val="Times New Roman"/>
            <family val="18"/>
          </rPr>
          <t>ML 10.312 IR 43 (1802) – ST April (15/05/1802), Juni (15/07/1802)</t>
        </r>
        <r>
          <rPr>
            <sz val="14"/>
            <color rgb="FF000000"/>
            <rFont val="Calibri"/>
            <family val="34"/>
          </rPr>
          <t xml:space="preserve">
</t>
        </r>
        <r>
          <rPr>
            <sz val="14"/>
            <color rgb="FF000000"/>
            <rFont val="Times New Roman"/>
            <family val="18"/>
          </rPr>
          <t>ML 10.313 IR 43 (1803) – ST Aug (15/09/1803)</t>
        </r>
        <r>
          <rPr>
            <sz val="14"/>
            <color rgb="FF000000"/>
            <rFont val="Calibri"/>
            <family val="34"/>
          </rPr>
          <t xml:space="preserve">
</t>
        </r>
      </text>
    </comment>
    <comment ref="BH484" authorId="0" shapeId="0" xr:uid="{78DCCB02-E770-A94B-AB57-5CEDD39F9E73}">
      <text>
        <r>
          <rPr>
            <sz val="14"/>
            <color rgb="FF000000"/>
            <rFont val="Calibri"/>
            <family val="34"/>
          </rPr>
          <t>IR 43 (1798-1803)</t>
        </r>
      </text>
    </comment>
    <comment ref="T485" authorId="0" shapeId="0" xr:uid="{D43EED43-9823-2E45-8C3C-AFA517E80AFD}">
      <text>
        <r>
          <rPr>
            <sz val="14"/>
            <color rgb="FF000000"/>
            <rFont val="Calibri"/>
            <family val="34"/>
          </rPr>
          <t xml:space="preserve">5.2  [13.26 cm] (1798)
</t>
        </r>
        <r>
          <rPr>
            <sz val="14"/>
            <color rgb="FF000000"/>
            <rFont val="Calibri"/>
            <family val="34"/>
          </rPr>
          <t>5.3 [169.89 cm] (1802)</t>
        </r>
      </text>
    </comment>
    <comment ref="BF485" authorId="0" shapeId="0" xr:uid="{A6FDD07D-1477-7249-B263-5C437A3C37CD}">
      <text>
        <r>
          <rPr>
            <sz val="14"/>
            <color rgb="FF000000"/>
            <rFont val="Times New Roman"/>
            <family val="18"/>
          </rPr>
          <t xml:space="preserve">30/11/1798 </t>
        </r>
        <r>
          <rPr>
            <i/>
            <sz val="14"/>
            <color rgb="FF000000"/>
            <rFont val="Times New Roman"/>
            <family val="18"/>
          </rPr>
          <t>Von Galicischen Ständen auf Beständig assentiert</t>
        </r>
        <r>
          <rPr>
            <sz val="14"/>
            <color rgb="FF000000"/>
            <rFont val="Times New Roman"/>
            <family val="18"/>
          </rPr>
          <t xml:space="preserve"> </t>
        </r>
        <r>
          <rPr>
            <i/>
            <sz val="14"/>
            <color rgb="FF000000"/>
            <rFont val="Times New Roman"/>
            <family val="18"/>
          </rPr>
          <t xml:space="preserve">gestellt und a 3Fl Handgeld zum IR 23 Reserve Division assentiert und seitdem auf anhero Marsch mit auswärtiger Verpflegung </t>
        </r>
        <r>
          <rPr>
            <sz val="14"/>
            <color rgb="FF000000"/>
            <rFont val="Times New Roman"/>
            <family val="18"/>
          </rPr>
          <t>[AL Dec 1799 &amp; ST 1799 &amp; ST March 1799 &amp; ML 1802 ]</t>
        </r>
        <r>
          <rPr>
            <sz val="14"/>
            <color rgb="FF000000"/>
            <rFont val="Calibri"/>
            <family val="34"/>
          </rPr>
          <t xml:space="preserve">
</t>
        </r>
        <r>
          <rPr>
            <sz val="14"/>
            <color rgb="FF000000"/>
            <rFont val="Times New Roman"/>
            <family val="18"/>
          </rPr>
          <t>09/09/1802 Muster: IR 23 Haupt Ebertin Nr. 70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	</t>
        </r>
      </text>
    </comment>
    <comment ref="BG485" authorId="0" shapeId="0" xr:uid="{9E09FBED-8D3F-6849-B08D-BA11FB662202}">
      <text>
        <r>
          <rPr>
            <sz val="14"/>
            <color rgb="FF000000"/>
            <rFont val="Times New Roman"/>
            <family val="18"/>
          </rPr>
          <t>ML 10.124 IR 23 (1802) – Haupt Ebertin Komp. Nr. 70 (Krems 09/09/1802)</t>
        </r>
        <r>
          <rPr>
            <sz val="14"/>
            <color rgb="FF000000"/>
            <rFont val="Calibri"/>
            <family val="34"/>
          </rPr>
          <t xml:space="preserve">
</t>
        </r>
        <r>
          <rPr>
            <sz val="14"/>
            <color rgb="FF000000"/>
            <rFont val="Times New Roman"/>
            <family val="18"/>
          </rPr>
          <t>ML 10.125 IR 23 (1802) – Haupt Kleinschmidt Komp. Abgang (Execierlager bei St Pölten 07/09/1802)</t>
        </r>
        <r>
          <rPr>
            <sz val="14"/>
            <color rgb="FF000000"/>
            <rFont val="Calibri"/>
            <family val="34"/>
          </rPr>
          <t xml:space="preserve">
</t>
        </r>
        <r>
          <rPr>
            <sz val="14"/>
            <color rgb="FF000000"/>
            <rFont val="Times New Roman"/>
            <family val="18"/>
          </rPr>
          <t>ML 10.164 IR 23 (1799) – ST March (??)</t>
        </r>
        <r>
          <rPr>
            <sz val="14"/>
            <color rgb="FF000000"/>
            <rFont val="Calibri"/>
            <family val="34"/>
          </rPr>
          <t xml:space="preserve">
</t>
        </r>
        <r>
          <rPr>
            <sz val="14"/>
            <color rgb="FF000000"/>
            <rFont val="Times New Roman"/>
            <family val="18"/>
          </rPr>
          <t>ML 10.165 IR 23 (1799) AL/TL – AL Nr. 160 (Zolkiew 19/12/1798)</t>
        </r>
      </text>
    </comment>
    <comment ref="BH485" authorId="0" shapeId="0" xr:uid="{D68BF1C3-A620-CA4D-8F5D-3D7FD32CDA34}">
      <text>
        <r>
          <rPr>
            <sz val="14"/>
            <color rgb="FF000000"/>
            <rFont val="Calibri"/>
            <family val="34"/>
          </rPr>
          <t>IR 23 (1798-1803)</t>
        </r>
      </text>
    </comment>
    <comment ref="BF486" authorId="0" shapeId="0" xr:uid="{081A3FC8-78CD-464B-961B-33CB17257D69}">
      <text>
        <r>
          <rPr>
            <sz val="14"/>
            <color rgb="FF000000"/>
            <rFont val="Times New Roman"/>
            <family val="18"/>
          </rPr>
          <t xml:space="preserve">07/12/1798 </t>
        </r>
        <r>
          <rPr>
            <i/>
            <sz val="14"/>
            <color rgb="FF000000"/>
            <rFont val="Times New Roman"/>
            <family val="18"/>
          </rPr>
          <t>Von den Galizischen Stände a 3Fl gestellt und zu Olkusz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In seinem Geburtsort Beurlaubt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Petrick Nr. 69 [</t>
        </r>
        <r>
          <rPr>
            <i/>
            <sz val="14"/>
            <color rgb="FF000000"/>
            <rFont val="Times New Roman"/>
            <family val="18"/>
          </rPr>
          <t>Beurlaubt bis zur Einberufung in Galizien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Petrick Nr. 67</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als unwissend verloren in Abgang</t>
        </r>
        <r>
          <rPr>
            <sz val="14"/>
            <color rgb="FF000000"/>
            <rFont val="Times New Roman"/>
            <family val="18"/>
          </rPr>
          <t xml:space="preserve"> [ML 1806]
</t>
        </r>
        <r>
          <rPr>
            <sz val="14"/>
            <color rgb="FF000000"/>
            <rFont val="Times New Roman"/>
            <family val="18"/>
          </rPr>
          <t>01/09/1806</t>
        </r>
        <r>
          <rPr>
            <b/>
            <sz val="14"/>
            <color rgb="FF000000"/>
            <rFont val="Times New Roman"/>
            <family val="18"/>
          </rPr>
          <t xml:space="preserve"> </t>
        </r>
        <r>
          <rPr>
            <i/>
            <sz val="14"/>
            <color rgb="FF000000"/>
            <rFont val="Times New Roman"/>
            <family val="18"/>
          </rPr>
          <t>Per Errorem in Abgang</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02/02/1806 </t>
        </r>
        <r>
          <rPr>
            <i/>
            <sz val="14"/>
            <color rgb="FF000000"/>
            <rFont val="Times New Roman"/>
            <family val="18"/>
          </rPr>
          <t>Zu Krakow Gestorben</t>
        </r>
        <r>
          <rPr>
            <sz val="14"/>
            <color rgb="FF000000"/>
            <rFont val="Times New Roman"/>
            <family val="18"/>
          </rPr>
          <t xml:space="preserve"> [RL 1808]</t>
        </r>
        <r>
          <rPr>
            <sz val="14"/>
            <color rgb="FF000000"/>
            <rFont val="Calibri"/>
            <family val="34"/>
          </rPr>
          <t xml:space="preserve">
</t>
        </r>
      </text>
    </comment>
    <comment ref="BG486" authorId="0" shapeId="0" xr:uid="{98DCE271-4012-B440-9D1A-79ADC1C37DF9}">
      <text>
        <r>
          <rPr>
            <sz val="14"/>
            <color rgb="FF000000"/>
            <rFont val="Times New Roman"/>
            <family val="18"/>
          </rPr>
          <t>ML 5015 IR 59 (1803) –Haupt. Petrick Komp. Nr. 69 (Enns 29/08/1803)</t>
        </r>
        <r>
          <rPr>
            <sz val="14"/>
            <color rgb="FF000000"/>
            <rFont val="Calibri"/>
            <family val="34"/>
          </rPr>
          <t xml:space="preserve">
</t>
        </r>
        <r>
          <rPr>
            <sz val="14"/>
            <color rgb="FF000000"/>
            <rFont val="Times New Roman"/>
            <family val="18"/>
          </rPr>
          <t>ML 5015 IR 59 (1804) –Haupt. Petrick Komp Nr. 67 (Innsbruck 03/09/1804)</t>
        </r>
        <r>
          <rPr>
            <sz val="14"/>
            <color rgb="FF000000"/>
            <rFont val="Calibri"/>
            <family val="34"/>
          </rPr>
          <t xml:space="preserve">
</t>
        </r>
        <r>
          <rPr>
            <sz val="14"/>
            <color rgb="FF000000"/>
            <rFont val="Times New Roman"/>
            <family val="18"/>
          </rPr>
          <t xml:space="preserve">ML 5017/8 IR 59 (1806) – 4. Fus. Komp. Aagang &amp; Cons. Unwissend verlohren‘ Nr. 83 (Linz 10/07/1807)
</t>
        </r>
        <r>
          <rPr>
            <sz val="14"/>
            <color rgb="FF000000"/>
            <rFont val="Times New Roman"/>
            <family val="18"/>
          </rPr>
          <t>ML 5019 IR 59 (1808-10) – RL 4. Fus. Komp. Zuwachs/ Abgang (Enns 05/09/1808)</t>
        </r>
        <r>
          <rPr>
            <sz val="14"/>
            <color rgb="FF000000"/>
            <rFont val="Calibri"/>
            <family val="34"/>
          </rPr>
          <t xml:space="preserve">
</t>
        </r>
        <r>
          <rPr>
            <sz val="14"/>
            <color rgb="FF000000"/>
            <rFont val="Calibri"/>
            <family val="34"/>
          </rPr>
          <t xml:space="preserve">
</t>
        </r>
      </text>
    </comment>
    <comment ref="BH486" authorId="0" shapeId="0" xr:uid="{303123B6-AFEE-304F-AF9D-AD1033DD2469}">
      <text>
        <r>
          <rPr>
            <sz val="14"/>
            <color rgb="FF000000"/>
            <rFont val="Calibri"/>
            <family val="34"/>
          </rPr>
          <t>IR 43 (1798-1806)</t>
        </r>
      </text>
    </comment>
    <comment ref="I487" authorId="0" shapeId="0" xr:uid="{A209377D-5AA8-2E4B-8BEE-0AA1B07F48A3}">
      <text>
        <r>
          <rPr>
            <sz val="14"/>
            <color rgb="FF000000"/>
            <rFont val="Calibri"/>
            <family val="34"/>
          </rPr>
          <t xml:space="preserve">1780 [23 (1803)] 
</t>
        </r>
        <r>
          <rPr>
            <sz val="14"/>
            <color rgb="FF000000"/>
            <rFont val="Calibri"/>
            <family val="34"/>
          </rPr>
          <t xml:space="preserve">OR 
</t>
        </r>
        <r>
          <rPr>
            <sz val="14"/>
            <color rgb="FF000000"/>
            <rFont val="Calibri"/>
            <family val="34"/>
          </rPr>
          <t>1775 [30 (1805)]</t>
        </r>
      </text>
    </comment>
    <comment ref="BF487" authorId="0" shapeId="0" xr:uid="{EC77553E-9215-DC40-A487-F6A439EFCEE4}">
      <text>
        <r>
          <rPr>
            <sz val="14"/>
            <color rgb="FFFF0000"/>
            <rFont val="Times New Roman"/>
            <family val="18"/>
          </rPr>
          <t xml:space="preserve">c. 1795 </t>
        </r>
        <r>
          <rPr>
            <i/>
            <sz val="14"/>
            <color rgb="FFFF0000"/>
            <rFont val="Times New Roman"/>
            <family val="18"/>
          </rPr>
          <t>10 Dienst Jahren in 1805</t>
        </r>
        <r>
          <rPr>
            <sz val="14"/>
            <color rgb="FFFF0000"/>
            <rFont val="Times New Roman"/>
            <family val="18"/>
          </rPr>
          <t xml:space="preserve"> [SUP June 1805)</t>
        </r>
        <r>
          <rPr>
            <sz val="14"/>
            <color rgb="FF000000"/>
            <rFont val="Times New Roman"/>
            <family val="18"/>
          </rPr>
          <t xml:space="preserve">
</t>
        </r>
        <r>
          <rPr>
            <sz val="14"/>
            <color rgb="FF000000"/>
            <rFont val="Times New Roman"/>
            <family val="18"/>
          </rPr>
          <t xml:space="preserve">07/12/1798 </t>
        </r>
        <r>
          <rPr>
            <i/>
            <sz val="14"/>
            <color rgb="FF000000"/>
            <rFont val="Times New Roman"/>
            <family val="18"/>
          </rPr>
          <t>Von galizischen Ständen a 3Fl gestellt</t>
        </r>
        <r>
          <rPr>
            <sz val="14"/>
            <color rgb="FF000000"/>
            <rFont val="Times New Roman"/>
            <family val="18"/>
          </rPr>
          <t xml:space="preserve"> [ML 1804]
</t>
        </r>
        <r>
          <rPr>
            <sz val="14"/>
            <color rgb="FF000000"/>
            <rFont val="Times New Roman"/>
            <family val="18"/>
          </rPr>
          <t>29/08/1803 Muster: IR 59 Haupt Petrick Nr. 67 [</t>
        </r>
        <r>
          <rPr>
            <i/>
            <sz val="14"/>
            <color rgb="FF000000"/>
            <rFont val="Times New Roman"/>
            <family val="18"/>
          </rPr>
          <t>Beurlaubt in Galizien in seinem Geburtsort</t>
        </r>
        <r>
          <rPr>
            <sz val="14"/>
            <color rgb="FF000000"/>
            <rFont val="Times New Roman"/>
            <family val="18"/>
          </rPr>
          <t xml:space="preserve">] 
</t>
        </r>
        <r>
          <rPr>
            <sz val="14"/>
            <color rgb="FF000000"/>
            <rFont val="Times New Roman"/>
            <family val="18"/>
          </rPr>
          <t>03/09/1804 Muster: IR 59 Haupt Petrick Nr. 65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14/06/1805 Als von unbestimmtem Urlaub eingerückte in Krakow Superarbitriert: </t>
        </r>
        <r>
          <rPr>
            <i/>
            <sz val="14"/>
            <color rgb="FF000000"/>
            <rFont val="Times New Roman"/>
            <family val="18"/>
          </rPr>
          <t>Real Invalid und in folge Hofkriegsratlicher Verordnung von 10/05/1805 zu entlassen</t>
        </r>
        <r>
          <rPr>
            <sz val="14"/>
            <color rgb="FF000000"/>
            <rFont val="Times New Roman"/>
            <family val="18"/>
          </rPr>
          <t xml:space="preserve"> [SUP June 1806]
</t>
        </r>
        <r>
          <rPr>
            <sz val="14"/>
            <color rgb="FF000000"/>
            <rFont val="Times New Roman"/>
            <family val="18"/>
          </rPr>
          <t xml:space="preserve">14/06/1805 </t>
        </r>
        <r>
          <rPr>
            <i/>
            <sz val="14"/>
            <color rgb="FF000000"/>
            <rFont val="Times New Roman"/>
            <family val="18"/>
          </rPr>
          <t>Gegen Renuncierung als Reale Invalid mit Abschied entlassen</t>
        </r>
        <r>
          <rPr>
            <sz val="14"/>
            <color rgb="FF000000"/>
            <rFont val="Times New Roman"/>
            <family val="18"/>
          </rPr>
          <t xml:space="preserve"> [ML 1806]
</t>
        </r>
      </text>
    </comment>
    <comment ref="BG487" authorId="0" shapeId="0" xr:uid="{F2F6124C-7443-1D44-834F-5179821ED7D1}">
      <text>
        <r>
          <rPr>
            <sz val="14"/>
            <color rgb="FF000000"/>
            <rFont val="Times New Roman"/>
            <family val="18"/>
          </rPr>
          <t xml:space="preserve">ML 5015 IR 59 (1803) – Haupt Petrick Comp. Nr. 67 (Enns, 29/08/1803)
</t>
        </r>
        <r>
          <rPr>
            <sz val="14"/>
            <color rgb="FF000000"/>
            <rFont val="Times New Roman"/>
            <family val="18"/>
          </rPr>
          <t xml:space="preserve">ML 5016 IR 59 (1804) – Haupt Petrick Comp. Nr. 65 (Innsbruck 03/09/1804)
</t>
        </r>
        <r>
          <rPr>
            <sz val="14"/>
            <color rgb="FF000000"/>
            <rFont val="Times New Roman"/>
            <family val="18"/>
          </rPr>
          <t xml:space="preserve">ML 5017/8 IR 59 (1806) – 4. Fus. Abgang (Florian 27/12/1806)
</t>
        </r>
        <r>
          <rPr>
            <sz val="14"/>
            <color rgb="FF000000"/>
            <rFont val="Times New Roman"/>
            <family val="18"/>
          </rPr>
          <t xml:space="preserve">ML 5067 IR 59 (1805) – AL/TL SUP pro Junio Nr. 1 (Kraków 14/06/1805)
</t>
        </r>
      </text>
    </comment>
    <comment ref="BH487" authorId="0" shapeId="0" xr:uid="{5CF92FFB-8149-4647-B04F-C919BBCA8C78}">
      <text>
        <r>
          <rPr>
            <sz val="14"/>
            <color rgb="FF000000"/>
            <rFont val="Calibri"/>
            <family val="34"/>
          </rPr>
          <t>IR 43 (1798-1805)</t>
        </r>
      </text>
    </comment>
    <comment ref="BJ487" authorId="0" shapeId="0" xr:uid="{2B8545CA-EC1A-374E-8DD2-7E814DAEB783}">
      <text>
        <r>
          <rPr>
            <i/>
            <sz val="14"/>
            <color rgb="FF000000"/>
            <rFont val="Times New Roman"/>
            <family val="18"/>
          </rPr>
          <t xml:space="preserve">Mit Blut Spucken starke Balsthals, ist ankönnend ein Hals Bindel zu tragen, auch Anlage zur Lungenschandsucht </t>
        </r>
        <r>
          <rPr>
            <sz val="14"/>
            <color rgb="FF000000"/>
            <rFont val="Times New Roman"/>
            <family val="18"/>
          </rPr>
          <t>[SUP June 1815]</t>
        </r>
      </text>
    </comment>
    <comment ref="BF488" authorId="0" shapeId="0" xr:uid="{FFDED21B-76F3-1F42-9B79-033F5E173986}">
      <text>
        <r>
          <rPr>
            <sz val="14"/>
            <color rgb="FF000000"/>
            <rFont val="Times New Roman"/>
            <family val="18"/>
          </rPr>
          <t xml:space="preserve">01/01/1799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06/11/1799 </t>
        </r>
        <r>
          <rPr>
            <i/>
            <sz val="14"/>
            <color rgb="FF000000"/>
            <rFont val="Times New Roman"/>
            <family val="18"/>
          </rPr>
          <t>Bei affair zu Novi blessiert, seitdem Krank in Armee Spital</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 in Abgang</t>
        </r>
        <r>
          <rPr>
            <sz val="14"/>
            <color rgb="FF000000"/>
            <rFont val="Times New Roman"/>
            <family val="18"/>
          </rPr>
          <t xml:space="preserve"> [ML 1802]</t>
        </r>
        <r>
          <rPr>
            <sz val="14"/>
            <color rgb="FF000000"/>
            <rFont val="Calibri"/>
            <family val="34"/>
          </rPr>
          <t xml:space="preserve">
</t>
        </r>
      </text>
    </comment>
    <comment ref="BG488" authorId="0" shapeId="0" xr:uid="{FD395751-CD62-014B-A8A8-436FFD7961C9}">
      <text>
        <r>
          <rPr>
            <sz val="14"/>
            <color rgb="FF000000"/>
            <rFont val="Times New Roman"/>
            <family val="18"/>
          </rPr>
          <t>ML 10.124 IR 23 (1802) – Haupt Rauch Komp. Abgang (Vienna 16/09/1802)</t>
        </r>
        <r>
          <rPr>
            <sz val="14"/>
            <color rgb="FF000000"/>
            <rFont val="Calibri"/>
            <family val="34"/>
          </rPr>
          <t xml:space="preserve">
</t>
        </r>
        <r>
          <rPr>
            <sz val="14"/>
            <color rgb="FF000000"/>
            <rFont val="Times New Roman"/>
            <family val="18"/>
          </rPr>
          <t>ML 10.164 IR 23 (1799) – Nov (??)</t>
        </r>
      </text>
    </comment>
    <comment ref="BH488" authorId="0" shapeId="0" xr:uid="{3F57ECEE-1900-9946-B60A-00E41039441C}">
      <text>
        <r>
          <rPr>
            <sz val="14"/>
            <color rgb="FF000000"/>
            <rFont val="Calibri"/>
            <family val="34"/>
          </rPr>
          <t>IR 23 (1799-1801)</t>
        </r>
      </text>
    </comment>
    <comment ref="T489" authorId="0" shapeId="0" xr:uid="{9ABBF7DD-C426-134F-9FF7-C3A9F126E7AE}">
      <text>
        <r>
          <rPr>
            <sz val="14"/>
            <color rgb="FF000000"/>
            <rFont val="Calibri"/>
            <family val="34"/>
          </rPr>
          <t xml:space="preserve">5.1.2  [161.07 cm] (1799)
</t>
        </r>
        <r>
          <rPr>
            <b/>
            <sz val="14"/>
            <color rgb="FF000000"/>
            <rFont val="Calibri"/>
            <family val="34"/>
          </rPr>
          <t>5.2.1 [163.48 cm] (1802)</t>
        </r>
      </text>
    </comment>
    <comment ref="BF489" authorId="0" shapeId="0" xr:uid="{94F21AE5-D4CC-B245-945A-F84140A8891E}">
      <text>
        <r>
          <rPr>
            <sz val="14"/>
            <color rgb="FF000000"/>
            <rFont val="Times New Roman"/>
            <family val="18"/>
          </rPr>
          <t xml:space="preserve">01/01/1799 </t>
        </r>
        <r>
          <rPr>
            <i/>
            <sz val="14"/>
            <color rgb="FF000000"/>
            <rFont val="Times New Roman"/>
            <family val="18"/>
          </rPr>
          <t>Von Werbbezirk a 3 Fl Handgeld ausgehoben und zum IR 1 4. Bataillon 4, Haupt Dietlingen Komp. assentiert</t>
        </r>
        <r>
          <rPr>
            <sz val="14"/>
            <color rgb="FF000000"/>
            <rFont val="Times New Roman"/>
            <family val="18"/>
          </rPr>
          <t xml:space="preserve"> [AL Jan 1799]</t>
        </r>
        <r>
          <rPr>
            <sz val="14"/>
            <color rgb="FF000000"/>
            <rFont val="Calibri"/>
            <family val="34"/>
          </rPr>
          <t xml:space="preserve">
</t>
        </r>
        <r>
          <rPr>
            <sz val="14"/>
            <color rgb="FF000000"/>
            <rFont val="Times New Roman"/>
            <family val="18"/>
          </rPr>
          <t xml:space="preserve">10/08/1802 </t>
        </r>
        <r>
          <rPr>
            <i/>
            <sz val="14"/>
            <color rgb="FF000000"/>
            <rFont val="Times New Roman"/>
            <family val="18"/>
          </rPr>
          <t>Von IR 1 Haupt Penater Komp. zum IR 57 transferiert</t>
        </r>
        <r>
          <rPr>
            <sz val="14"/>
            <color rgb="FF000000"/>
            <rFont val="Times New Roman"/>
            <family val="18"/>
          </rPr>
          <t xml:space="preserve"> [TL Nov 1802]</t>
        </r>
        <r>
          <rPr>
            <sz val="14"/>
            <color rgb="FF000000"/>
            <rFont val="Calibri"/>
            <family val="34"/>
          </rPr>
          <t xml:space="preserve">
</t>
        </r>
      </text>
    </comment>
    <comment ref="BG489" authorId="0" shapeId="0" xr:uid="{5EBB9B78-5503-AD44-8351-A6FFF1FFADFC}">
      <text>
        <r>
          <rPr>
            <sz val="14"/>
            <color rgb="FF000000"/>
            <rFont val="Times New Roman"/>
            <family val="18"/>
          </rPr>
          <t>ML 73 IR 1 (1799) AL/TL – AL Unnumbered (Olmütz 18/01/1799)</t>
        </r>
        <r>
          <rPr>
            <sz val="14"/>
            <color rgb="FF000000"/>
            <rFont val="Calibri"/>
            <family val="34"/>
          </rPr>
          <t xml:space="preserve">
</t>
        </r>
        <r>
          <rPr>
            <sz val="14"/>
            <color rgb="FF000000"/>
            <rFont val="Times New Roman"/>
            <family val="18"/>
          </rPr>
          <t>ML 79 IR 1 (1802) AL/TL – TL IR 1-&gt;IR 57 Nr. 821 (Prossnitz /09/11/1802)</t>
        </r>
      </text>
    </comment>
    <comment ref="BH489" authorId="0" shapeId="0" xr:uid="{FD58D03B-1AB5-7442-B200-952802623971}">
      <text>
        <r>
          <rPr>
            <sz val="14"/>
            <color rgb="FF000000"/>
            <rFont val="Calibri"/>
            <family val="34"/>
          </rPr>
          <t xml:space="preserve">IR 1 (1799-1802)
</t>
        </r>
        <r>
          <rPr>
            <sz val="14"/>
            <color rgb="FF000000"/>
            <rFont val="Calibri"/>
            <family val="34"/>
          </rPr>
          <t>IR 57  (1802)</t>
        </r>
      </text>
    </comment>
    <comment ref="BI489" authorId="0" shapeId="0" xr:uid="{F60A9810-6277-D24B-84F1-6161284CABDC}">
      <text>
        <r>
          <rPr>
            <i/>
            <sz val="14"/>
            <color rgb="FF000000"/>
            <rFont val="Times New Roman"/>
            <family val="18"/>
          </rPr>
          <t>Gut</t>
        </r>
        <r>
          <rPr>
            <sz val="14"/>
            <color rgb="FF000000"/>
            <rFont val="Times New Roman"/>
            <family val="18"/>
          </rPr>
          <t xml:space="preserve"> [TL Nov 1802]</t>
        </r>
        <r>
          <rPr>
            <sz val="14"/>
            <color rgb="FF000000"/>
            <rFont val="Calibri"/>
            <family val="34"/>
          </rPr>
          <t xml:space="preserve">
</t>
        </r>
      </text>
    </comment>
    <comment ref="BF490" authorId="0" shapeId="0" xr:uid="{5A1632D2-AC19-B647-9579-E81DFE179F02}">
      <text>
        <r>
          <rPr>
            <sz val="14"/>
            <color rgb="FF000000"/>
            <rFont val="Times New Roman"/>
            <family val="18"/>
          </rPr>
          <t xml:space="preserve">01/02/1799 </t>
        </r>
        <r>
          <rPr>
            <i/>
            <sz val="14"/>
            <color rgb="FF000000"/>
            <rFont val="Times New Roman"/>
            <family val="18"/>
          </rPr>
          <t>Von Werbbezirk a 3 Fl Handgeld ausgehoben und zum IR 1 4. Bataillon 1. Major von Ribolet Komp. assentiert</t>
        </r>
        <r>
          <rPr>
            <sz val="14"/>
            <color rgb="FF000000"/>
            <rFont val="Times New Roman"/>
            <family val="18"/>
          </rPr>
          <t xml:space="preserve"> [AL Feb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Von IR 23 4. Bat. Major von Ribolet Komp. zum IR 8 transferiert</t>
        </r>
        <r>
          <rPr>
            <sz val="14"/>
            <color rgb="FF000000"/>
            <rFont val="Times New Roman"/>
            <family val="18"/>
          </rPr>
          <t xml:space="preserve"> [TL Oct 1799]</t>
        </r>
        <r>
          <rPr>
            <sz val="14"/>
            <color rgb="FF000000"/>
            <rFont val="Calibri"/>
            <family val="34"/>
          </rPr>
          <t xml:space="preserve">
</t>
        </r>
      </text>
    </comment>
    <comment ref="BG490" authorId="0" shapeId="0" xr:uid="{2AE70F29-EA35-4846-AEC3-83A721B625B8}">
      <text>
        <r>
          <rPr>
            <sz val="14"/>
            <color rgb="FF000000"/>
            <rFont val="Times New Roman"/>
            <family val="18"/>
          </rPr>
          <t>ML 73 IR 1 (1799) AL/TL – AL Unnumbered (Olmütz 25/02/1799); TL IR 1-&gt; IR 8 Nr. 11 (Olmütz 18/09/1799)</t>
        </r>
      </text>
    </comment>
    <comment ref="BH490" authorId="0" shapeId="0" xr:uid="{3ABEAE7A-285C-AB45-865B-E6F80F19967C}">
      <text>
        <r>
          <rPr>
            <sz val="14"/>
            <color rgb="FF000000"/>
            <rFont val="Calibri"/>
            <family val="34"/>
          </rPr>
          <t xml:space="preserve">IR 1 (1799)
</t>
        </r>
        <r>
          <rPr>
            <sz val="14"/>
            <color rgb="FF000000"/>
            <rFont val="Calibri"/>
            <family val="34"/>
          </rPr>
          <t>IR 8  (1799)</t>
        </r>
      </text>
    </comment>
    <comment ref="I491" authorId="0" shapeId="0" xr:uid="{085FD102-E962-3B40-AD9E-0FCE3C297EB7}">
      <text>
        <r>
          <rPr>
            <b/>
            <sz val="14"/>
            <color rgb="FF000000"/>
            <rFont val="Calibri"/>
            <family val="34"/>
          </rPr>
          <t xml:space="preserve">1779 [27 (ML 1806)] 
</t>
        </r>
        <r>
          <rPr>
            <sz val="14"/>
            <color rgb="FF000000"/>
            <rFont val="Calibri"/>
            <family val="34"/>
          </rPr>
          <t xml:space="preserve">OR 
</t>
        </r>
        <r>
          <rPr>
            <sz val="14"/>
            <color rgb="FF000000"/>
            <rFont val="Calibri"/>
            <family val="34"/>
          </rPr>
          <t>1785 [26 (ML 181)]</t>
        </r>
      </text>
    </comment>
    <comment ref="T491" authorId="0" shapeId="0" xr:uid="{FFE3BA41-53B2-954E-8DB6-573E4E61D892}">
      <text>
        <r>
          <rPr>
            <b/>
            <sz val="14"/>
            <color rgb="FF000000"/>
            <rFont val="Calibri"/>
            <family val="34"/>
          </rPr>
          <t xml:space="preserve">5.3  [165.89 cm (ML 1806)]
</t>
        </r>
        <r>
          <rPr>
            <sz val="14"/>
            <color rgb="FF000000"/>
            <rFont val="Calibri"/>
            <family val="34"/>
          </rPr>
          <t>5.3.2 [166.33 cm] (ML 1811)</t>
        </r>
      </text>
    </comment>
    <comment ref="BF491" authorId="0" shapeId="0" xr:uid="{E2E17492-EEAD-FB4B-9F73-7CD2A50E7584}">
      <text>
        <r>
          <rPr>
            <sz val="14"/>
            <color rgb="FFFF0000"/>
            <rFont val="Times New Roman"/>
            <family val="18"/>
          </rPr>
          <t xml:space="preserve">16/05/1798 </t>
        </r>
        <r>
          <rPr>
            <i/>
            <sz val="14"/>
            <color rgb="FFFF0000"/>
            <rFont val="Times New Roman"/>
            <family val="18"/>
          </rPr>
          <t>A 3 Fl von Ständen gestellt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19/01/1799 </t>
        </r>
        <r>
          <rPr>
            <i/>
            <sz val="14"/>
            <color rgb="FF000000"/>
            <rFont val="Times New Roman"/>
            <family val="18"/>
          </rPr>
          <t>Als conscribirter Inländer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reducierte Steinmans zum Haupt Kollar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18/10/1805 </t>
        </r>
        <r>
          <rPr>
            <i/>
            <sz val="14"/>
            <color rgb="FF000000"/>
            <rFont val="Times New Roman"/>
            <family val="18"/>
          </rPr>
          <t>In Kriegsgefangenschaft Gefallen</t>
        </r>
        <r>
          <rPr>
            <sz val="14"/>
            <color rgb="FF000000"/>
            <rFont val="Times New Roman"/>
            <family val="18"/>
          </rPr>
          <t xml:space="preserve"> </t>
        </r>
        <r>
          <rPr>
            <b/>
            <sz val="14"/>
            <color rgb="FF000000"/>
            <rFont val="Times New Roman"/>
            <family val="18"/>
          </rPr>
          <t>[Capitulation von Trochtelingen]</t>
        </r>
        <r>
          <rPr>
            <sz val="14"/>
            <color rgb="FF000000"/>
            <rFont val="Calibri"/>
            <family val="34"/>
          </rPr>
          <t xml:space="preserve">
</t>
        </r>
        <r>
          <rPr>
            <sz val="14"/>
            <color rgb="FF000000"/>
            <rFont val="Times New Roman"/>
            <family val="18"/>
          </rPr>
          <t xml:space="preserve">28/10/1806 </t>
        </r>
        <r>
          <rPr>
            <i/>
            <sz val="14"/>
            <color rgb="FF000000"/>
            <rFont val="Times New Roman"/>
            <family val="18"/>
          </rPr>
          <t>von Kriegsgefangenschaft zurückgelegt</t>
        </r>
        <r>
          <rPr>
            <sz val="14"/>
            <color rgb="FF000000"/>
            <rFont val="Times New Roman"/>
            <family val="18"/>
          </rPr>
          <t xml:space="preserve"> [ML 1806]</t>
        </r>
        <r>
          <rPr>
            <sz val="14"/>
            <color rgb="FF000000"/>
            <rFont val="Calibri"/>
            <family val="34"/>
          </rPr>
          <t xml:space="preserve">
</t>
        </r>
        <r>
          <rPr>
            <sz val="14"/>
            <color rgb="FF000000"/>
            <rFont val="Times New Roman"/>
            <family val="18"/>
          </rPr>
          <t>06/12/1806 Muster: IR 38 2. Haupt. Goguel Komp. Nr. 166</t>
        </r>
        <r>
          <rPr>
            <sz val="14"/>
            <color rgb="FF000000"/>
            <rFont val="Calibri"/>
            <family val="34"/>
          </rPr>
          <t xml:space="preserve">
</t>
        </r>
        <r>
          <rPr>
            <sz val="14"/>
            <color rgb="FF000000"/>
            <rFont val="Times New Roman"/>
            <family val="18"/>
          </rPr>
          <t xml:space="preserve">Before 21/09/1810 </t>
        </r>
        <r>
          <rPr>
            <i/>
            <sz val="14"/>
            <color rgb="FF000000"/>
            <rFont val="Times New Roman"/>
            <family val="18"/>
          </rPr>
          <t>Von IR 38 zum IR 9 transferiert</t>
        </r>
        <r>
          <rPr>
            <sz val="14"/>
            <color rgb="FF000000"/>
            <rFont val="Calibri"/>
            <family val="34"/>
          </rPr>
          <t xml:space="preserve">
</t>
        </r>
        <r>
          <rPr>
            <sz val="14"/>
            <color rgb="FF000000"/>
            <rFont val="Times New Roman"/>
            <family val="18"/>
          </rPr>
          <t>19/09/1811 Muster: IR 9 9. Fus. Komp. Nr. 75 [</t>
        </r>
        <r>
          <rPr>
            <i/>
            <sz val="14"/>
            <color rgb="FF000000"/>
            <rFont val="Times New Roman"/>
            <family val="18"/>
          </rPr>
          <t>Beurlaubt in seiner Heimat auf Bestimmte Zeit</t>
        </r>
        <r>
          <rPr>
            <sz val="14"/>
            <color rgb="FF000000"/>
            <rFont val="Times New Roman"/>
            <family val="18"/>
          </rPr>
          <t>]</t>
        </r>
        <r>
          <rPr>
            <sz val="14"/>
            <color rgb="FF000000"/>
            <rFont val="Calibri"/>
            <family val="34"/>
          </rPr>
          <t xml:space="preserve">
</t>
        </r>
      </text>
    </comment>
    <comment ref="BG491" authorId="0" shapeId="0" xr:uid="{12AF9369-5EDC-C847-A09B-6CAEF67F6565}">
      <text>
        <r>
          <rPr>
            <sz val="14"/>
            <color rgb="FF000000"/>
            <rFont val="Times New Roman"/>
            <family val="18"/>
          </rPr>
          <t>10.208/9 IR 38 (1806) – Haupt Goguel Komp. Nr. 166 (Liepnick 06/12/1806)</t>
        </r>
        <r>
          <rPr>
            <sz val="14"/>
            <color rgb="FF000000"/>
            <rFont val="Calibri"/>
            <family val="34"/>
          </rPr>
          <t xml:space="preserve">
</t>
        </r>
        <r>
          <rPr>
            <sz val="14"/>
            <color rgb="FF000000"/>
            <rFont val="Times New Roman"/>
            <family val="18"/>
          </rPr>
          <t>ML 634 IR 9 (1811) – 9. Fus. Komp. Nr. 75 (Caschau 19/09/1811)</t>
        </r>
      </text>
    </comment>
    <comment ref="BH491" authorId="0" shapeId="0" xr:uid="{9D453B17-DDE5-7242-976F-0513EF03F13A}">
      <text>
        <r>
          <rPr>
            <sz val="14"/>
            <color rgb="FF000000"/>
            <rFont val="Calibri"/>
            <family val="34"/>
          </rPr>
          <t xml:space="preserve">IR 38 (1799-1810)
</t>
        </r>
        <r>
          <rPr>
            <sz val="14"/>
            <color rgb="FF000000"/>
            <rFont val="Calibri"/>
            <family val="34"/>
          </rPr>
          <t>IR 9  (1810-1811)</t>
        </r>
      </text>
    </comment>
    <comment ref="BF492" authorId="0" shapeId="0" xr:uid="{5D412124-FAEB-504A-AC2A-7232E0388521}">
      <text>
        <r>
          <rPr>
            <sz val="14"/>
            <color rgb="FF000000"/>
            <rFont val="Times New Roman"/>
            <family val="18"/>
          </rPr>
          <t xml:space="preserve">15/02/1799 </t>
        </r>
        <r>
          <rPr>
            <i/>
            <sz val="14"/>
            <color rgb="FF000000"/>
            <rFont val="Times New Roman"/>
            <family val="18"/>
          </rPr>
          <t>Dient Seit</t>
        </r>
        <r>
          <rPr>
            <sz val="14"/>
            <color rgb="FF000000"/>
            <rFont val="Times New Roman"/>
            <family val="18"/>
          </rPr>
          <t xml:space="preserve"> [TL Jan 1800]</t>
        </r>
        <r>
          <rPr>
            <sz val="14"/>
            <color rgb="FF000000"/>
            <rFont val="Calibri"/>
            <family val="34"/>
          </rPr>
          <t xml:space="preserve">
</t>
        </r>
        <r>
          <rPr>
            <sz val="14"/>
            <color rgb="FF000000"/>
            <rFont val="Times New Roman"/>
            <family val="18"/>
          </rPr>
          <t xml:space="preserve">20/12/1799 </t>
        </r>
        <r>
          <rPr>
            <i/>
            <sz val="14"/>
            <color rgb="FF000000"/>
            <rFont val="Times New Roman"/>
            <family val="18"/>
          </rPr>
          <t xml:space="preserve">Von IR 29 Haupt Bakuwsky zum IR 1 Haupt Horny Komp. transferiert und seitdem auf Anhero Marsch </t>
        </r>
        <r>
          <rPr>
            <sz val="14"/>
            <color rgb="FF000000"/>
            <rFont val="Times New Roman"/>
            <family val="18"/>
          </rPr>
          <t>[ST Jan 1800]</t>
        </r>
        <r>
          <rPr>
            <sz val="14"/>
            <color rgb="FF000000"/>
            <rFont val="Calibri"/>
            <family val="34"/>
          </rPr>
          <t xml:space="preserve">
</t>
        </r>
        <r>
          <rPr>
            <sz val="14"/>
            <color rgb="FF000000"/>
            <rFont val="Times New Roman"/>
            <family val="18"/>
          </rPr>
          <t xml:space="preserve">31/12/1799 </t>
        </r>
        <r>
          <rPr>
            <i/>
            <sz val="14"/>
            <color rgb="FF000000"/>
            <rFont val="Times New Roman"/>
            <family val="18"/>
          </rPr>
          <t>In Kompanie eingerückt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10/08/1803 </t>
        </r>
        <r>
          <rPr>
            <i/>
            <sz val="14"/>
            <color rgb="FF000000"/>
            <rFont val="Times New Roman"/>
            <family val="18"/>
          </rPr>
          <t>Nach geflogenen Einvernehmen mit dem betroffenen Kreisamt auf Steuerbare Wirtschaft entlassen</t>
        </r>
        <r>
          <rPr>
            <sz val="14"/>
            <color rgb="FF000000"/>
            <rFont val="Times New Roman"/>
            <family val="18"/>
          </rPr>
          <t xml:space="preserve"> [ML 1803]</t>
        </r>
        <r>
          <rPr>
            <sz val="14"/>
            <color rgb="FF000000"/>
            <rFont val="Calibri"/>
            <family val="34"/>
          </rPr>
          <t xml:space="preserve">
</t>
        </r>
      </text>
    </comment>
    <comment ref="BG492" authorId="0" shapeId="0" xr:uid="{B27CF55F-A878-4243-AFD2-155C606C37A9}">
      <text>
        <r>
          <rPr>
            <sz val="14"/>
            <color rgb="FF000000"/>
            <rFont val="Times New Roman"/>
            <family val="18"/>
          </rPr>
          <t>ML 29 IR 1 (1803) – Haupt Gall Komp. Abgang (Karthaus nächst Brünn 13/09/1803)</t>
        </r>
        <r>
          <rPr>
            <sz val="14"/>
            <color rgb="FF000000"/>
            <rFont val="Calibri"/>
            <family val="34"/>
          </rPr>
          <t xml:space="preserve">
</t>
        </r>
        <r>
          <rPr>
            <sz val="14"/>
            <color rgb="FF000000"/>
            <rFont val="Times New Roman"/>
            <family val="18"/>
          </rPr>
          <t>ML 74 IR 1 (1800) – ST Jan (01/04/1800)</t>
        </r>
        <r>
          <rPr>
            <sz val="14"/>
            <color rgb="FF000000"/>
            <rFont val="Calibri"/>
            <family val="34"/>
          </rPr>
          <t xml:space="preserve">
</t>
        </r>
        <r>
          <rPr>
            <sz val="14"/>
            <color rgb="FF000000"/>
            <rFont val="Times New Roman"/>
            <family val="18"/>
          </rPr>
          <t>ML 75 IR 1 (1800) AL/TL – TL IR 29-&gt;IR 1 Nr. 1 (Brünn 18/01/1800)</t>
        </r>
      </text>
    </comment>
    <comment ref="BH492" authorId="0" shapeId="0" xr:uid="{DF9B9410-0985-1D4A-B816-943ABC7416BA}">
      <text>
        <r>
          <rPr>
            <sz val="14"/>
            <color rgb="FF000000"/>
            <rFont val="Calibri"/>
            <family val="34"/>
          </rPr>
          <t xml:space="preserve">IR 29 (1799)
</t>
        </r>
        <r>
          <rPr>
            <sz val="14"/>
            <color rgb="FF000000"/>
            <rFont val="Calibri"/>
            <family val="34"/>
          </rPr>
          <t>IR 1  (1799-1803)</t>
        </r>
      </text>
    </comment>
    <comment ref="T493" authorId="0" shapeId="0" xr:uid="{FDE37A19-958C-B349-8FBD-E5D59DB7AB8E}">
      <text>
        <r>
          <rPr>
            <b/>
            <sz val="14"/>
            <color rgb="FF000000"/>
            <rFont val="Calibri"/>
            <family val="34"/>
          </rPr>
          <t xml:space="preserve">5.2.2 [163.7 cm] (1799)
</t>
        </r>
        <r>
          <rPr>
            <sz val="14"/>
            <color rgb="FF000000"/>
            <rFont val="Calibri"/>
            <family val="34"/>
          </rPr>
          <t>5.3 [165.89 cm] (180)</t>
        </r>
      </text>
    </comment>
    <comment ref="BF493" authorId="0" shapeId="0" xr:uid="{8BDEA0FD-9950-6A49-91A2-853D24C757CC}">
      <text>
        <r>
          <rPr>
            <sz val="14"/>
            <color rgb="FF000000"/>
            <rFont val="Times New Roman"/>
            <family val="18"/>
          </rPr>
          <t xml:space="preserve">23/02/1799 </t>
        </r>
        <r>
          <rPr>
            <i/>
            <sz val="14"/>
            <color rgb="FF000000"/>
            <rFont val="Times New Roman"/>
            <family val="18"/>
          </rPr>
          <t>Von Werbbezirk a 3 Fl Handgeld ausgehoben und zum IR 1 4. Bataillon 4, Haupt Dietlingen Komp. assentiert</t>
        </r>
        <r>
          <rPr>
            <sz val="14"/>
            <color rgb="FF000000"/>
            <rFont val="Times New Roman"/>
            <family val="18"/>
          </rPr>
          <t xml:space="preserve"> [AL Feb 1799]</t>
        </r>
        <r>
          <rPr>
            <sz val="14"/>
            <color rgb="FF000000"/>
            <rFont val="Calibri"/>
            <family val="34"/>
          </rPr>
          <t xml:space="preserve">
</t>
        </r>
        <r>
          <rPr>
            <sz val="14"/>
            <color rgb="FF000000"/>
            <rFont val="Times New Roman"/>
            <family val="18"/>
          </rPr>
          <t>13/09/1803 Muster: IR 1 Haupt Gall Komp. Nr. 75 [</t>
        </r>
        <r>
          <rPr>
            <i/>
            <sz val="14"/>
            <color rgb="FF000000"/>
            <rFont val="Times New Roman"/>
            <family val="18"/>
          </rPr>
          <t>Beurlaubt bis zur Einberufung in Mähren zu Boskowitz</t>
        </r>
        <r>
          <rPr>
            <sz val="14"/>
            <color rgb="FF000000"/>
            <rFont val="Times New Roman"/>
            <family val="18"/>
          </rPr>
          <t xml:space="preserve">] </t>
        </r>
        <r>
          <rPr>
            <sz val="14"/>
            <color rgb="FF000000"/>
            <rFont val="Calibri"/>
            <family val="34"/>
          </rPr>
          <t xml:space="preserve">
</t>
        </r>
        <r>
          <rPr>
            <sz val="14"/>
            <color rgb="FF000000"/>
            <rFont val="Times New Roman"/>
            <family val="18"/>
          </rPr>
          <t>20/08/1804 Muster: IR 1 Haupt Gall Komp. Nr. 71 [</t>
        </r>
        <r>
          <rPr>
            <i/>
            <sz val="14"/>
            <color rgb="FF000000"/>
            <rFont val="Times New Roman"/>
            <family val="18"/>
          </rPr>
          <t>Beurlaubt bis zur Einberufung zu Boskowitz in Mähren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In 08/1805 </t>
        </r>
        <r>
          <rPr>
            <i/>
            <sz val="14"/>
            <color rgb="FF000000"/>
            <rFont val="Times New Roman"/>
            <family val="18"/>
          </rPr>
          <t>Seit unbewusste datum von Urlaub desertiert</t>
        </r>
        <r>
          <rPr>
            <sz val="14"/>
            <color rgb="FF000000"/>
            <rFont val="Times New Roman"/>
            <family val="18"/>
          </rPr>
          <t xml:space="preserve"> [ML 1806]</t>
        </r>
        <r>
          <rPr>
            <sz val="14"/>
            <color rgb="FF000000"/>
            <rFont val="Calibri"/>
            <family val="34"/>
          </rPr>
          <t xml:space="preserve">
</t>
        </r>
      </text>
    </comment>
    <comment ref="BG493" authorId="0" shapeId="0" xr:uid="{10D5F8F0-4879-E345-8EBD-4C3F2B750B06}">
      <text>
        <r>
          <rPr>
            <sz val="14"/>
            <color rgb="FF000000"/>
            <rFont val="Times New Roman"/>
            <family val="18"/>
          </rPr>
          <t>ML 29 IR 1 (1803) – Haupt Gall Komp. Nr. 75 (</t>
        </r>
        <r>
          <rPr>
            <sz val="14"/>
            <color rgb="FF000000"/>
            <rFont val="Times New Roman"/>
            <family val="18"/>
          </rPr>
          <t>Karthaus nächst Brünn 13/09/1803</t>
        </r>
        <r>
          <rPr>
            <sz val="14"/>
            <color rgb="FF000000"/>
            <rFont val="Times New Roman"/>
            <family val="18"/>
          </rPr>
          <t>)</t>
        </r>
        <r>
          <rPr>
            <sz val="14"/>
            <color rgb="FF000000"/>
            <rFont val="Calibri"/>
            <family val="34"/>
          </rPr>
          <t xml:space="preserve">
</t>
        </r>
        <r>
          <rPr>
            <sz val="14"/>
            <color rgb="FF000000"/>
            <rFont val="Times New Roman"/>
            <family val="18"/>
          </rPr>
          <t>ML 30 IR 1 (1804) – Haupt Gall Komp. Nr. 71 (</t>
        </r>
        <r>
          <rPr>
            <sz val="14"/>
            <color rgb="FF000000"/>
            <rFont val="Times New Roman"/>
            <family val="18"/>
          </rPr>
          <t>Karthaus nächst Brünn 20/08/1804</t>
        </r>
        <r>
          <rPr>
            <sz val="14"/>
            <color rgb="FF000000"/>
            <rFont val="Times New Roman"/>
            <family val="18"/>
          </rPr>
          <t>)</t>
        </r>
        <r>
          <rPr>
            <sz val="14"/>
            <color rgb="FF000000"/>
            <rFont val="Calibri"/>
            <family val="34"/>
          </rPr>
          <t xml:space="preserve">
</t>
        </r>
        <r>
          <rPr>
            <sz val="14"/>
            <color rgb="FF000000"/>
            <rFont val="Times New Roman"/>
            <family val="18"/>
          </rPr>
          <t>ML 31/2 IR 1 (1806) – Haupt Gal Komp. Abgang (Proßnitz 17/12/1806)</t>
        </r>
        <r>
          <rPr>
            <sz val="14"/>
            <color rgb="FF000000"/>
            <rFont val="Calibri"/>
            <family val="34"/>
          </rPr>
          <t xml:space="preserve">
</t>
        </r>
        <r>
          <rPr>
            <sz val="14"/>
            <color rgb="FF000000"/>
            <rFont val="Times New Roman"/>
            <family val="18"/>
          </rPr>
          <t>ML 73 IR 1 (1799) AL/TL – AL Nr. 36 (Olmütz 25/02/1799)</t>
        </r>
        <r>
          <rPr>
            <sz val="14"/>
            <color rgb="FF000000"/>
            <rFont val="Calibri"/>
            <family val="34"/>
          </rPr>
          <t xml:space="preserve">
</t>
        </r>
      </text>
    </comment>
    <comment ref="BH493" authorId="0" shapeId="0" xr:uid="{3E4A97C6-301E-2240-8A43-C781999FF9C5}">
      <text>
        <r>
          <rPr>
            <sz val="14"/>
            <color rgb="FF000000"/>
            <rFont val="Calibri"/>
            <family val="34"/>
          </rPr>
          <t>IR 1 (1799-1805)</t>
        </r>
      </text>
    </comment>
    <comment ref="BF494" authorId="0" shapeId="0" xr:uid="{86732E8B-C6AA-DE4E-AA1C-CF5F18E582E4}">
      <text>
        <r>
          <rPr>
            <sz val="14"/>
            <color rgb="FF000000"/>
            <rFont val="Times New Roman"/>
            <family val="18"/>
          </rPr>
          <t xml:space="preserve">20/03/1799 </t>
        </r>
        <r>
          <rPr>
            <i/>
            <sz val="14"/>
            <color rgb="FF000000"/>
            <rFont val="Times New Roman"/>
            <family val="18"/>
          </rPr>
          <t>Von Werbbezirk a 3 Fl Handgeld ausgehoben und zum IR 1 4. Bataillon 1. Major von Ribolet Komp. assentiert</t>
        </r>
        <r>
          <rPr>
            <sz val="14"/>
            <color rgb="FF000000"/>
            <rFont val="Times New Roman"/>
            <family val="18"/>
          </rPr>
          <t xml:space="preserve"> [AL March 1799]</t>
        </r>
        <r>
          <rPr>
            <sz val="14"/>
            <color rgb="FF000000"/>
            <rFont val="Calibri"/>
            <family val="34"/>
          </rPr>
          <t xml:space="preserve">
</t>
        </r>
        <r>
          <rPr>
            <sz val="14"/>
            <color rgb="FF000000"/>
            <rFont val="Times New Roman"/>
            <family val="18"/>
          </rPr>
          <t xml:space="preserve">25/04/1799 </t>
        </r>
        <r>
          <rPr>
            <i/>
            <sz val="14"/>
            <color rgb="FF000000"/>
            <rFont val="Times New Roman"/>
            <family val="18"/>
          </rPr>
          <t>Von IR 1 4. Bat 4. Vacante Komp. zum CR 7 Reserve Escadron transferiert</t>
        </r>
        <r>
          <rPr>
            <sz val="14"/>
            <color rgb="FF000000"/>
            <rFont val="Times New Roman"/>
            <family val="18"/>
          </rPr>
          <t xml:space="preserve"> [TL May 1797]</t>
        </r>
        <r>
          <rPr>
            <sz val="14"/>
            <color rgb="FF000000"/>
            <rFont val="Calibri"/>
            <family val="34"/>
          </rPr>
          <t xml:space="preserve">
</t>
        </r>
      </text>
    </comment>
    <comment ref="BG494" authorId="0" shapeId="0" xr:uid="{EBE9CBAF-23C2-354A-BF9A-EC80991AC0C2}">
      <text>
        <r>
          <rPr>
            <sz val="14"/>
            <color rgb="FF000000"/>
            <rFont val="Times New Roman"/>
            <family val="18"/>
          </rPr>
          <t>ML 73 IR 1 (1799) AL/TL – AL Nr. 27 (Olmütz 27/03/1799); TL IR 1-&gt; CR 7 Nr. 3 (Olmütz 24/05/1799)</t>
        </r>
      </text>
    </comment>
    <comment ref="BH494" authorId="0" shapeId="0" xr:uid="{7ECCC66C-E84C-3449-98D9-99848EBC70F4}">
      <text>
        <r>
          <rPr>
            <sz val="14"/>
            <color rgb="FF000000"/>
            <rFont val="Calibri"/>
            <family val="34"/>
          </rPr>
          <t xml:space="preserve">IR 1 (1799)
</t>
        </r>
        <r>
          <rPr>
            <sz val="14"/>
            <color rgb="FF000000"/>
            <rFont val="Calibri"/>
            <family val="34"/>
          </rPr>
          <t>CR 7  (1799)</t>
        </r>
      </text>
    </comment>
    <comment ref="T495" authorId="0" shapeId="0" xr:uid="{BA195794-5AA1-1E45-AB6E-F4469D001B08}">
      <text>
        <r>
          <rPr>
            <b/>
            <sz val="14"/>
            <color rgb="FF000000"/>
            <rFont val="Calibri"/>
            <family val="34"/>
          </rPr>
          <t xml:space="preserve">5.4.3 [169.18 cm] (1802)
</t>
        </r>
        <r>
          <rPr>
            <sz val="14"/>
            <color rgb="FF000000"/>
            <rFont val="Calibri"/>
            <family val="34"/>
          </rPr>
          <t>5.6 [173.78 cm] (1800)</t>
        </r>
      </text>
    </comment>
    <comment ref="BF495" authorId="0" shapeId="0" xr:uid="{44C0FF40-06CB-FA4C-BDA6-F530AAA93407}">
      <text>
        <r>
          <rPr>
            <sz val="14"/>
            <color rgb="FF000000"/>
            <rFont val="Times New Roman"/>
            <family val="18"/>
          </rPr>
          <t xml:space="preserve">21/03/1799 </t>
        </r>
        <r>
          <rPr>
            <i/>
            <sz val="14"/>
            <color rgb="FF000000"/>
            <rFont val="Times New Roman"/>
            <family val="18"/>
          </rPr>
          <t xml:space="preserve">Landständisch bei Gemmingen Inf. </t>
        </r>
        <r>
          <rPr>
            <b/>
            <sz val="14"/>
            <color rgb="FF000000"/>
            <rFont val="Times New Roman"/>
            <family val="18"/>
          </rPr>
          <t xml:space="preserve">[IR 21] </t>
        </r>
        <r>
          <rPr>
            <i/>
            <sz val="14"/>
            <color rgb="FF000000"/>
            <rFont val="Times New Roman"/>
            <family val="18"/>
          </rPr>
          <t>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16/09/1800 </t>
        </r>
        <r>
          <rPr>
            <i/>
            <sz val="14"/>
            <color rgb="FF000000"/>
            <rFont val="Times New Roman"/>
            <family val="18"/>
          </rPr>
          <t>Von IR 21 Haupt Schaffenhauer zum IR 3 Haupt Pissing Komp transferiert</t>
        </r>
        <r>
          <rPr>
            <sz val="14"/>
            <color rgb="FF000000"/>
            <rFont val="Times New Roman"/>
            <family val="18"/>
          </rPr>
          <t xml:space="preserve"> [TL Sept 1800]</t>
        </r>
        <r>
          <rPr>
            <sz val="14"/>
            <color rgb="FF000000"/>
            <rFont val="Calibri"/>
            <family val="34"/>
          </rPr>
          <t xml:space="preserve">
</t>
        </r>
        <r>
          <rPr>
            <sz val="14"/>
            <color rgb="FF000000"/>
            <rFont val="Times New Roman"/>
            <family val="18"/>
          </rPr>
          <t>15/09/1802 Muster: IR 3 Haupt Baumgartener Komp. Nr. 131</t>
        </r>
        <r>
          <rPr>
            <sz val="14"/>
            <color rgb="FF000000"/>
            <rFont val="Calibri"/>
            <family val="34"/>
          </rPr>
          <t xml:space="preserve">
</t>
        </r>
        <r>
          <rPr>
            <sz val="14"/>
            <color rgb="FF000000"/>
            <rFont val="Times New Roman"/>
            <family val="18"/>
          </rPr>
          <t xml:space="preserve">31/01/1803 </t>
        </r>
        <r>
          <rPr>
            <i/>
            <sz val="14"/>
            <color rgb="FF000000"/>
            <rFont val="Times New Roman"/>
            <family val="18"/>
          </rPr>
          <t>Von IR 3 Haupt Baumgartner Komp. zum IR 21 transferiert</t>
        </r>
        <r>
          <rPr>
            <sz val="14"/>
            <color rgb="FF000000"/>
            <rFont val="Times New Roman"/>
            <family val="18"/>
          </rPr>
          <t xml:space="preserve"> [ML 1803]</t>
        </r>
        <r>
          <rPr>
            <sz val="14"/>
            <color rgb="FF000000"/>
            <rFont val="Calibri"/>
            <family val="34"/>
          </rPr>
          <t xml:space="preserve">
</t>
        </r>
      </text>
    </comment>
    <comment ref="BG495" authorId="0" shapeId="0" xr:uid="{2EBB64B2-8958-C54C-A026-F7A63E731AA5}">
      <text>
        <r>
          <rPr>
            <sz val="14"/>
            <color rgb="FF000000"/>
            <rFont val="Times New Roman"/>
            <family val="18"/>
          </rPr>
          <t>ML 234-6 IR 3 (1802) – Haupt Baumgartner Komp. Nr. 131 (Vienna 15/09/1802)</t>
        </r>
        <r>
          <rPr>
            <sz val="14"/>
            <color rgb="FF000000"/>
            <rFont val="Calibri"/>
            <family val="34"/>
          </rPr>
          <t xml:space="preserve">
</t>
        </r>
        <r>
          <rPr>
            <sz val="14"/>
            <color rgb="FF000000"/>
            <rFont val="Times New Roman"/>
            <family val="18"/>
          </rPr>
          <t>ML 237/8 IR 3 (1803) – Haupt Baumgartner Komp. Abgang (Vienna 03/09/1803)</t>
        </r>
        <r>
          <rPr>
            <sz val="14"/>
            <color rgb="FF000000"/>
            <rFont val="Calibri"/>
            <family val="34"/>
          </rPr>
          <t xml:space="preserve">
</t>
        </r>
        <r>
          <rPr>
            <sz val="14"/>
            <color rgb="FF000000"/>
            <rFont val="Times New Roman"/>
            <family val="18"/>
          </rPr>
          <t>ML 274 IR 3 (1800) – TL IR 21-&gt;IR 3 Nr. 84 (Laager beim Amfing 25/09/1800)</t>
        </r>
        <r>
          <rPr>
            <sz val="14"/>
            <color rgb="FF000000"/>
            <rFont val="Calibri"/>
            <family val="34"/>
          </rPr>
          <t xml:space="preserve">
</t>
        </r>
      </text>
    </comment>
    <comment ref="BH495" authorId="0" shapeId="0" xr:uid="{FAB94836-7855-D94E-A868-8F7DFE405BD5}">
      <text>
        <r>
          <rPr>
            <sz val="14"/>
            <color rgb="FF000000"/>
            <rFont val="Calibri"/>
            <family val="34"/>
          </rPr>
          <t xml:space="preserve">IR 21 (1799-1800)
</t>
        </r>
        <r>
          <rPr>
            <sz val="14"/>
            <color rgb="FF000000"/>
            <rFont val="Calibri"/>
            <family val="34"/>
          </rPr>
          <t xml:space="preserve">IR 3  (1800-1803)
</t>
        </r>
        <r>
          <rPr>
            <sz val="14"/>
            <color rgb="FF000000"/>
            <rFont val="Calibri"/>
            <family val="34"/>
          </rPr>
          <t>IR 21 (1803)</t>
        </r>
      </text>
    </comment>
    <comment ref="BF496" authorId="0" shapeId="0" xr:uid="{811CBFEE-2BB5-1B46-8EF8-2F2F3DAE9E52}">
      <text>
        <r>
          <rPr>
            <sz val="14"/>
            <color rgb="FF000000"/>
            <rFont val="Times New Roman"/>
            <family val="18"/>
          </rPr>
          <t xml:space="preserve">c. 04/1799 </t>
        </r>
        <r>
          <rPr>
            <i/>
            <sz val="14"/>
            <color rgb="FF000000"/>
            <rFont val="Times New Roman"/>
            <family val="18"/>
          </rPr>
          <t>Dient Seit</t>
        </r>
        <r>
          <rPr>
            <sz val="14"/>
            <color rgb="FF000000"/>
            <rFont val="Times New Roman"/>
            <family val="18"/>
          </rPr>
          <t xml:space="preserve"> [TL April 1801]</t>
        </r>
        <r>
          <rPr>
            <sz val="14"/>
            <color rgb="FF000000"/>
            <rFont val="Calibri"/>
            <family val="34"/>
          </rPr>
          <t xml:space="preserve">
</t>
        </r>
        <r>
          <rPr>
            <sz val="14"/>
            <color rgb="FF000000"/>
            <rFont val="Times New Roman"/>
            <family val="18"/>
          </rPr>
          <t xml:space="preserve">01/01/1800 </t>
        </r>
        <r>
          <rPr>
            <i/>
            <sz val="14"/>
            <color rgb="FF000000"/>
            <rFont val="Times New Roman"/>
            <family val="18"/>
          </rPr>
          <t xml:space="preserve">Von der MFWK Artillerie Haupt Reserve zu, IR 60 Regiment Artillerie Bespannung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08/04/1801 </t>
        </r>
        <r>
          <rPr>
            <i/>
            <sz val="14"/>
            <color rgb="FF000000"/>
            <rFont val="Times New Roman"/>
            <family val="18"/>
          </rPr>
          <t xml:space="preserve">Von IR 60 Regiments Fuhrwesen ins MFWK Artillerie Haupt Reserve in Simmering Division Nr. 47. </t>
        </r>
        <r>
          <rPr>
            <sz val="14"/>
            <color rgb="FF000000"/>
            <rFont val="Times New Roman"/>
            <family val="18"/>
          </rPr>
          <t>[TL 1801 &amp; ML 1802]</t>
        </r>
        <r>
          <rPr>
            <sz val="14"/>
            <color rgb="FF000000"/>
            <rFont val="Calibri"/>
            <family val="34"/>
          </rPr>
          <t xml:space="preserve">
</t>
        </r>
      </text>
    </comment>
    <comment ref="BG496" authorId="0" shapeId="0" xr:uid="{96667FB5-A981-8249-8695-6416F9594544}">
      <text>
        <r>
          <rPr>
            <sz val="14"/>
            <color rgb="FF000000"/>
            <rFont val="Calibri"/>
            <family val="34"/>
          </rPr>
          <t xml:space="preserve">ML 5102-4 IR 60 (1802) – Artillerie Bespannung Zuwachs &amp; Abgang (Tamesvar 15/09/1802)
</t>
        </r>
        <r>
          <rPr>
            <sz val="14"/>
            <color rgb="FF000000"/>
            <rFont val="Calibri"/>
            <family val="34"/>
          </rPr>
          <t>ML 5125 IR 60 (1801) AL/TL – TL IR 60-&gt;MFWK Nr. 3 (Ebersdorf 08/04/1801)</t>
        </r>
      </text>
    </comment>
    <comment ref="BH496" authorId="0" shapeId="0" xr:uid="{995C4231-DC8F-9E42-88C1-43748B8C1D96}">
      <text>
        <r>
          <rPr>
            <sz val="14"/>
            <color rgb="FF000000"/>
            <rFont val="Calibri"/>
            <family val="34"/>
          </rPr>
          <t>MFWK (1799-1801)</t>
        </r>
      </text>
    </comment>
    <comment ref="BF497" authorId="0" shapeId="0" xr:uid="{5B7C2485-B0D3-5E4B-BBD4-0E833CBBEA85}">
      <text>
        <r>
          <rPr>
            <sz val="14"/>
            <color rgb="FF000000"/>
            <rFont val="Times New Roman"/>
            <family val="18"/>
          </rPr>
          <t xml:space="preserve">06/04/1799 </t>
        </r>
        <r>
          <rPr>
            <i/>
            <sz val="14"/>
            <color rgb="FF000000"/>
            <rFont val="Times New Roman"/>
            <family val="18"/>
          </rPr>
          <t>Unwissend Verloren</t>
        </r>
        <r>
          <rPr>
            <sz val="14"/>
            <color rgb="FF000000"/>
            <rFont val="Times New Roman"/>
            <family val="18"/>
          </rPr>
          <t xml:space="preserve"> [ML 1802]</t>
        </r>
        <r>
          <rPr>
            <sz val="14"/>
            <color rgb="FF000000"/>
            <rFont val="Calibri"/>
            <family val="34"/>
          </rPr>
          <t xml:space="preserve">
</t>
        </r>
      </text>
    </comment>
    <comment ref="BG497" authorId="0" shapeId="0" xr:uid="{08319792-731A-0E4C-B065-587214F94BFF}">
      <text>
        <r>
          <rPr>
            <sz val="14"/>
            <color rgb="FF000000"/>
            <rFont val="Times New Roman"/>
            <family val="18"/>
          </rPr>
          <t>ML 1937 IR 24 (1802) – Haupt Fraaz Abgang (Vienna 16/09/1802)</t>
        </r>
        <r>
          <rPr>
            <sz val="14"/>
            <color rgb="FF000000"/>
            <rFont val="Calibri"/>
            <family val="2"/>
          </rPr>
          <t xml:space="preserve"> </t>
        </r>
      </text>
    </comment>
    <comment ref="BH497" authorId="0" shapeId="0" xr:uid="{1D08C0D8-02DD-EC43-AAF3-4DF554761B62}">
      <text>
        <r>
          <rPr>
            <sz val="14"/>
            <color rgb="FF000000"/>
            <rFont val="Calibri"/>
            <family val="34"/>
          </rPr>
          <t>IR 24 (1799)</t>
        </r>
      </text>
    </comment>
    <comment ref="BF498" authorId="0" shapeId="0" xr:uid="{24942997-7178-DC4F-92EB-B25AD5E84D65}">
      <text>
        <r>
          <rPr>
            <sz val="14"/>
            <color rgb="FF000000"/>
            <rFont val="Times New Roman"/>
            <family val="18"/>
          </rPr>
          <t xml:space="preserve">06/04/1799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[Battle of Marengo]</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23/05/1801 </t>
        </r>
        <r>
          <rPr>
            <i/>
            <sz val="14"/>
            <color rgb="FF000000"/>
            <rFont val="Times New Roman"/>
            <family val="18"/>
          </rPr>
          <t>Ranzioniert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Obrist Komp. Nr. 126</t>
        </r>
        <r>
          <rPr>
            <sz val="14"/>
            <color rgb="FF000000"/>
            <rFont val="Times New Roman"/>
            <family val="18"/>
          </rPr>
          <t xml:space="preserve">
</t>
        </r>
        <r>
          <rPr>
            <sz val="14"/>
            <color rgb="FF000000"/>
            <rFont val="Times New Roman"/>
            <family val="18"/>
          </rPr>
          <t>25/08/1804 Muster: IR 11 Obrist Komp. Nr. 105 [</t>
        </r>
        <r>
          <rPr>
            <i/>
            <sz val="14"/>
            <color rgb="FF000000"/>
            <rFont val="Times New Roman"/>
            <family val="18"/>
          </rPr>
          <t>Bis zur Einberufung beurlaubt zu Prag in Böhmen</t>
        </r>
        <r>
          <rPr>
            <sz val="14"/>
            <color rgb="FF000000"/>
            <rFont val="Times New Roman"/>
            <family val="18"/>
          </rPr>
          <t>]</t>
        </r>
        <r>
          <rPr>
            <sz val="14"/>
            <color rgb="FF000000"/>
            <rFont val="Times New Roman"/>
            <family val="18"/>
          </rPr>
          <t xml:space="preserve">
</t>
        </r>
        <r>
          <rPr>
            <sz val="14"/>
            <color rgb="FF000000"/>
            <rFont val="Times New Roman"/>
            <family val="18"/>
          </rPr>
          <t xml:space="preserve">20/10/1805 </t>
        </r>
        <r>
          <rPr>
            <i/>
            <sz val="14"/>
            <color rgb="FF000000"/>
            <rFont val="Times New Roman"/>
            <family val="18"/>
          </rPr>
          <t xml:space="preserve">In </t>
        </r>
        <r>
          <rPr>
            <b/>
            <i/>
            <sz val="14"/>
            <color rgb="FF000000"/>
            <rFont val="Times New Roman"/>
            <family val="18"/>
          </rPr>
          <t>Ulm</t>
        </r>
        <r>
          <rPr>
            <i/>
            <sz val="14"/>
            <color rgb="FF000000"/>
            <rFont val="Times New Roman"/>
            <family val="18"/>
          </rPr>
          <t xml:space="preserve"> Kriegsgefangen</t>
        </r>
        <r>
          <rPr>
            <sz val="14"/>
            <color rgb="FF000000"/>
            <rFont val="Times New Roman"/>
            <family val="18"/>
          </rPr>
          <t xml:space="preserve"> [ML 1806] </t>
        </r>
      </text>
    </comment>
    <comment ref="BG498" authorId="0" shapeId="0" xr:uid="{36626ADD-77AF-3144-A333-343A07459590}">
      <text>
        <r>
          <rPr>
            <sz val="14"/>
            <color rgb="FF000000"/>
            <rFont val="Times New Roman"/>
            <family val="18"/>
          </rPr>
          <t xml:space="preserve">ML 804/5 IR 11 (1802) – Obrist Komp. Nr. 126 (Wisotczan 17/09/1802)
</t>
        </r>
        <r>
          <rPr>
            <sz val="14"/>
            <color rgb="FF000000"/>
            <rFont val="Times New Roman"/>
            <family val="18"/>
          </rPr>
          <t xml:space="preserve">ML 806 IR 11 (1804) – Obrist Komp. Nr. 105 (Prague 25/08/1804)
</t>
        </r>
        <r>
          <rPr>
            <sz val="14"/>
            <color rgb="FF000000"/>
            <rFont val="Times New Roman"/>
            <family val="18"/>
          </rPr>
          <t>ML 807/8 IR 11 (1806) – 12. Fus. Komp. Abgang (Prague 23/12/1806)</t>
        </r>
      </text>
    </comment>
    <comment ref="BH498" authorId="0" shapeId="0" xr:uid="{A58BC359-8ABE-F14D-A4BF-74EFD7C907D4}">
      <text>
        <r>
          <rPr>
            <sz val="14"/>
            <color rgb="FF000000"/>
            <rFont val="Calibri"/>
            <family val="34"/>
          </rPr>
          <t>IR 11 (1799-1805)</t>
        </r>
      </text>
    </comment>
    <comment ref="BF499" authorId="0" shapeId="0" xr:uid="{9B2C3487-CCAB-3D4D-BD32-9845E00AD14A}">
      <text>
        <r>
          <rPr>
            <sz val="14"/>
            <color rgb="FF000000"/>
            <rFont val="Times New Roman"/>
            <family val="18"/>
          </rPr>
          <t xml:space="preserve">17/04/1799 </t>
        </r>
        <r>
          <rPr>
            <i/>
            <sz val="14"/>
            <color rgb="FF000000"/>
            <rFont val="Times New Roman"/>
            <family val="18"/>
          </rPr>
          <t>Von Werbbezirk a 3 Fl Handgeld ausgehoben und zum IR 1 4. Bataillon 4. Haupt Abrahamovich Komp. assentiert</t>
        </r>
        <r>
          <rPr>
            <sz val="14"/>
            <color rgb="FF000000"/>
            <rFont val="Times New Roman"/>
            <family val="18"/>
          </rPr>
          <t xml:space="preserve"> [AL April 1799]</t>
        </r>
        <r>
          <rPr>
            <sz val="14"/>
            <color rgb="FF000000"/>
            <rFont val="Calibri"/>
            <family val="34"/>
          </rPr>
          <t xml:space="preserve">
</t>
        </r>
        <r>
          <rPr>
            <sz val="14"/>
            <color rgb="FF000000"/>
            <rFont val="Times New Roman"/>
            <family val="18"/>
          </rPr>
          <t xml:space="preserve">08/03/1800 </t>
        </r>
        <r>
          <rPr>
            <i/>
            <sz val="14"/>
            <color rgb="FF000000"/>
            <rFont val="Times New Roman"/>
            <family val="18"/>
          </rPr>
          <t xml:space="preserve">Zu Folge hoher Verordnung ddo. Brünn den 26. Februar und 12. März wegen aufhabender Defekten und kurzer Dienstzeit mit Laufpaß entlassen </t>
        </r>
        <r>
          <rPr>
            <sz val="14"/>
            <color rgb="FF000000"/>
            <rFont val="Times New Roman"/>
            <family val="18"/>
          </rPr>
          <t>[ST Aug 1800]</t>
        </r>
        <r>
          <rPr>
            <sz val="14"/>
            <color rgb="FF000000"/>
            <rFont val="Calibri"/>
            <family val="34"/>
          </rPr>
          <t xml:space="preserve">
</t>
        </r>
      </text>
    </comment>
    <comment ref="BG499" authorId="0" shapeId="0" xr:uid="{F62EE129-8D57-6947-9B04-80C4EA8FDACE}">
      <text>
        <r>
          <rPr>
            <sz val="14"/>
            <color rgb="FF000000"/>
            <rFont val="Times New Roman"/>
            <family val="18"/>
          </rPr>
          <t xml:space="preserve">ML 73 IR 1 (1799) AL/TL – </t>
        </r>
        <r>
          <rPr>
            <sz val="14"/>
            <color rgb="FF000000"/>
            <rFont val="Times New Roman"/>
            <family val="18"/>
          </rPr>
          <t>AL Nr. 32 (Olmütz 30/04/1799)</t>
        </r>
        <r>
          <rPr>
            <sz val="14"/>
            <color rgb="FF000000"/>
            <rFont val="Calibri"/>
            <family val="34"/>
          </rPr>
          <t xml:space="preserve">
</t>
        </r>
        <r>
          <rPr>
            <sz val="14"/>
            <color rgb="FF000000"/>
            <rFont val="Times New Roman"/>
            <family val="18"/>
          </rPr>
          <t>ML 74 IR 1 (1800) – ST March (Olmütz 06/06/1800)</t>
        </r>
        <r>
          <rPr>
            <sz val="14"/>
            <color rgb="FF000000"/>
            <rFont val="Calibri"/>
            <family val="34"/>
          </rPr>
          <t xml:space="preserve">
</t>
        </r>
      </text>
    </comment>
    <comment ref="BH499" authorId="0" shapeId="0" xr:uid="{36AD781D-3067-6E44-876B-3044A8096719}">
      <text>
        <r>
          <rPr>
            <sz val="14"/>
            <color rgb="FF000000"/>
            <rFont val="Calibri"/>
            <family val="34"/>
          </rPr>
          <t>IR 1 (1799-1800)</t>
        </r>
      </text>
    </comment>
    <comment ref="BF500" authorId="0" shapeId="0" xr:uid="{B255A73C-5BBA-2043-9122-059221E989F3}">
      <text>
        <r>
          <rPr>
            <sz val="14"/>
            <color rgb="FF000000"/>
            <rFont val="Times New Roman"/>
            <family val="18"/>
          </rPr>
          <t xml:space="preserve">05/1799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11/01/1800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500" authorId="0" shapeId="0" xr:uid="{65D0A9C4-0C48-7A42-BC4F-3B15C62873C1}">
      <text>
        <r>
          <rPr>
            <sz val="14"/>
            <color rgb="FF000000"/>
            <rFont val="Times New Roman"/>
            <family val="18"/>
          </rPr>
          <t>ML 3543 IR 39 (1800) – TL IR 39-&gt;MFWK Nr. 6 (Eperies 30/08/1800); ST Jan 1800 (01/01/1801)</t>
        </r>
      </text>
    </comment>
    <comment ref="BH500" authorId="0" shapeId="0" xr:uid="{D5BA7957-878D-684D-A7EE-DA6B99F8373E}">
      <text>
        <r>
          <rPr>
            <sz val="14"/>
            <color rgb="FF000000"/>
            <rFont val="Calibri"/>
            <family val="34"/>
          </rPr>
          <t>MFWK (1799-1800)</t>
        </r>
      </text>
    </comment>
    <comment ref="BF501" authorId="0" shapeId="0" xr:uid="{E4B4ADB1-4E9E-A14F-8982-A5118D0523DB}">
      <text>
        <r>
          <rPr>
            <sz val="14"/>
            <color rgb="FF000000"/>
            <rFont val="Times New Roman"/>
            <family val="18"/>
          </rPr>
          <t>30/05/1799 In dienst seit [ML 1802]</t>
        </r>
        <r>
          <rPr>
            <sz val="14"/>
            <color rgb="FF000000"/>
            <rFont val="Calibri"/>
            <family val="34"/>
          </rPr>
          <t xml:space="preserve">
</t>
        </r>
        <r>
          <rPr>
            <i/>
            <sz val="14"/>
            <color rgb="FFFF0000"/>
            <rFont val="Times New Roman"/>
            <family val="18"/>
          </rPr>
          <t>Diente in ‘Frehlich’ Infanterie 11 Jahr und 2 Monat</t>
        </r>
        <r>
          <rPr>
            <sz val="14"/>
            <color rgb="FFFF0000"/>
            <rFont val="Times New Roman"/>
            <family val="18"/>
          </rPr>
          <t xml:space="preserve"> [ML 1811]</t>
        </r>
        <r>
          <rPr>
            <sz val="14"/>
            <color rgb="FF000000"/>
            <rFont val="Calibri"/>
            <family val="34"/>
          </rPr>
          <t xml:space="preserve">
</t>
        </r>
        <r>
          <rPr>
            <sz val="14"/>
            <color rgb="FF000000"/>
            <rFont val="Times New Roman"/>
            <family val="18"/>
          </rPr>
          <t>18/09/1802 Muster: IR 28 Obrist Komp. Nr. 61</t>
        </r>
        <r>
          <rPr>
            <sz val="14"/>
            <color rgb="FF000000"/>
            <rFont val="Calibri"/>
            <family val="34"/>
          </rPr>
          <t xml:space="preserve">
</t>
        </r>
        <r>
          <rPr>
            <sz val="14"/>
            <color rgb="FF000000"/>
            <rFont val="Times New Roman"/>
            <family val="18"/>
          </rPr>
          <t xml:space="preserve">15/10/1810 </t>
        </r>
        <r>
          <rPr>
            <i/>
            <sz val="14"/>
            <color rgb="FF000000"/>
            <rFont val="Times New Roman"/>
            <family val="18"/>
          </rPr>
          <t>Mit Rang von Gefreiter von Regiment entlassen und zur Versorgung in Prager Invalidenhaus übersetzt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16/10/1810 </t>
        </r>
        <r>
          <rPr>
            <i/>
            <sz val="14"/>
            <color rgb="FF000000"/>
            <rFont val="Times New Roman"/>
            <family val="18"/>
          </rPr>
          <t>An der Prager Invalidenhaus zugekommen</t>
        </r>
        <r>
          <rPr>
            <sz val="14"/>
            <color rgb="FF000000"/>
            <rFont val="Calibri"/>
            <family val="34"/>
          </rPr>
          <t xml:space="preserve">
</t>
        </r>
        <r>
          <rPr>
            <sz val="14"/>
            <color rgb="FF000000"/>
            <rFont val="Times New Roman"/>
            <family val="18"/>
          </rPr>
          <t>24/06/1811 Muster: InvH Prag 13. &amp; 14 Chambre Nr. 77 [</t>
        </r>
        <r>
          <rPr>
            <i/>
            <sz val="14"/>
            <color rgb="FF000000"/>
            <rFont val="Times New Roman"/>
            <family val="18"/>
          </rPr>
          <t>Beurlaubt &amp; Für Haus Dienst untauglich</t>
        </r>
        <r>
          <rPr>
            <sz val="14"/>
            <color rgb="FF000000"/>
            <rFont val="Times New Roman"/>
            <family val="18"/>
          </rPr>
          <t>]</t>
        </r>
        <r>
          <rPr>
            <sz val="14"/>
            <color rgb="FF000000"/>
            <rFont val="Calibri"/>
            <family val="34"/>
          </rPr>
          <t xml:space="preserve">
</t>
        </r>
        <r>
          <rPr>
            <sz val="14"/>
            <color rgb="FF000000"/>
            <rFont val="Times New Roman"/>
            <family val="18"/>
          </rPr>
          <t xml:space="preserve">
</t>
        </r>
      </text>
    </comment>
    <comment ref="BG501" authorId="0" shapeId="0" xr:uid="{9A7FA91A-3F4C-944A-A4C9-DB673C5BFE31}">
      <text>
        <r>
          <rPr>
            <sz val="14"/>
            <color rgb="FF000000"/>
            <rFont val="Times New Roman"/>
            <family val="18"/>
          </rPr>
          <t>ML 2402 ML IR 28 (1802) – Obrist Komp. Nr. 61 (Hloupetin 18/09/1802)</t>
        </r>
        <r>
          <rPr>
            <sz val="14"/>
            <color rgb="FF000000"/>
            <rFont val="Calibri"/>
            <family val="34"/>
          </rPr>
          <t xml:space="preserve">
</t>
        </r>
        <r>
          <rPr>
            <sz val="14"/>
            <color rgb="FF000000"/>
            <rFont val="Times New Roman"/>
            <family val="18"/>
          </rPr>
          <t>ML 9664 InvH Prag (1811) –13. &amp; 14. Chambre Nr. 77 &amp; Zuwachs (Prag 24/06/1811)</t>
        </r>
      </text>
    </comment>
    <comment ref="BH501" authorId="0" shapeId="0" xr:uid="{9B1CA4C3-F0F4-DB43-B4CD-FF579F4497CD}">
      <text>
        <r>
          <rPr>
            <sz val="14"/>
            <color rgb="FF000000"/>
            <rFont val="Calibri"/>
            <family val="34"/>
          </rPr>
          <t xml:space="preserve">IR 28 (1799-1810)
</t>
        </r>
        <r>
          <rPr>
            <sz val="14"/>
            <color rgb="FF000000"/>
            <rFont val="Calibri"/>
            <family val="34"/>
          </rPr>
          <t>InvH Prag  (1810-1811)</t>
        </r>
      </text>
    </comment>
    <comment ref="BJ501" authorId="0" shapeId="0" xr:uid="{BB5ACD29-3340-954A-AE70-4DFD9647F78B}">
      <text>
        <r>
          <rPr>
            <i/>
            <sz val="14"/>
            <color rgb="FF000000"/>
            <rFont val="Times New Roman"/>
            <family val="18"/>
          </rPr>
          <t xml:space="preserve">Mit sichbarem Blindsucht </t>
        </r>
        <r>
          <rPr>
            <sz val="14"/>
            <color rgb="FF000000"/>
            <rFont val="Times New Roman"/>
            <family val="18"/>
          </rPr>
          <t>[ML June 1811]</t>
        </r>
      </text>
    </comment>
    <comment ref="BF502" authorId="0" shapeId="0" xr:uid="{FC777736-2E9A-0A4B-8456-23AE53CE1E45}">
      <text>
        <r>
          <rPr>
            <sz val="14"/>
            <color rgb="FF000000"/>
            <rFont val="Times New Roman"/>
            <family val="18"/>
          </rPr>
          <t xml:space="preserve">06/1799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14/01/1800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502" authorId="0" shapeId="0" xr:uid="{34607191-9DCE-B543-8240-5DC1B0ADC4A6}">
      <text>
        <r>
          <rPr>
            <sz val="14"/>
            <color rgb="FF000000"/>
            <rFont val="Times New Roman"/>
            <family val="18"/>
          </rPr>
          <t>ML 3543 IR 39 (1800) – TL IR 39-&gt;MFWK Nr. 10 (Eperies 30/08/1800); ST Jan 1800 (01/01/1801)</t>
        </r>
      </text>
    </comment>
    <comment ref="BH502" authorId="0" shapeId="0" xr:uid="{A064D327-2174-C047-AEE8-9D67A736C57C}">
      <text>
        <r>
          <rPr>
            <sz val="14"/>
            <color rgb="FF000000"/>
            <rFont val="Calibri"/>
            <family val="34"/>
          </rPr>
          <t>MFWK (1799-1800)</t>
        </r>
      </text>
    </comment>
    <comment ref="BF503" authorId="0" shapeId="0" xr:uid="{CBADBBCA-6A78-2D48-9965-4DA88B3B5413}">
      <text>
        <r>
          <rPr>
            <sz val="14"/>
            <color rgb="FF000000"/>
            <rFont val="+mn-lt"/>
            <charset val="1"/>
          </rPr>
          <t>??</t>
        </r>
        <r>
          <rPr>
            <sz val="14"/>
            <color rgb="FF000000"/>
            <rFont val="Times New Roman"/>
            <family val="18"/>
          </rPr>
          <t xml:space="preserve">06/1799 </t>
        </r>
        <r>
          <rPr>
            <i/>
            <sz val="14"/>
            <color rgb="FF000000"/>
            <rFont val="Times New Roman"/>
            <family val="18"/>
          </rPr>
          <t>Von Ständen gestellt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18/11/1799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Krank auswärts mit Friedensgebühr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15/01/1800 </t>
        </r>
        <r>
          <rPr>
            <i/>
            <sz val="14"/>
            <color rgb="FF000000"/>
            <rFont val="Times New Roman"/>
            <family val="18"/>
          </rPr>
          <t>Rekonvalesziert</t>
        </r>
        <r>
          <rPr>
            <sz val="14"/>
            <color rgb="FF000000"/>
            <rFont val="Times New Roman"/>
            <family val="18"/>
          </rPr>
          <t xml:space="preserve"> [ST Jan 1800]</t>
        </r>
        <r>
          <rPr>
            <sz val="14"/>
            <color rgb="FF000000"/>
            <rFont val="Calibri"/>
            <family val="34"/>
          </rPr>
          <t xml:space="preserve">
</t>
        </r>
        <r>
          <rPr>
            <sz val="14"/>
            <color rgb="FFFF0000"/>
            <rFont val="Times New Roman"/>
            <family val="18"/>
          </rPr>
          <t xml:space="preserve">14/06/1800 </t>
        </r>
        <r>
          <rPr>
            <i/>
            <sz val="14"/>
            <color rgb="FFFF0000"/>
            <rFont val="Times New Roman"/>
            <family val="18"/>
          </rPr>
          <t>Von Ständen a 3Fl gestellt und zum IR 43 eingeteilt</t>
        </r>
        <r>
          <rPr>
            <sz val="14"/>
            <color rgb="FFFF0000"/>
            <rFont val="Times New Roman"/>
            <family val="18"/>
          </rPr>
          <t xml:space="preserve"> [ML 1806 &amp; ML 1811]</t>
        </r>
        <r>
          <rPr>
            <sz val="14"/>
            <color rgb="FF000000"/>
            <rFont val="Calibri"/>
            <family val="34"/>
          </rPr>
          <t xml:space="preserve">
</t>
        </r>
        <r>
          <rPr>
            <sz val="14"/>
            <color rgb="FF000000"/>
            <rFont val="Times New Roman"/>
            <family val="18"/>
          </rPr>
          <t xml:space="preserve">05/06/1800 </t>
        </r>
        <r>
          <rPr>
            <i/>
            <sz val="14"/>
            <color rgb="FF000000"/>
            <rFont val="Times New Roman"/>
            <family val="18"/>
          </rPr>
          <t>Auf die Marsch von Reserve Division zum IR Feld Bataillons</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01/07/1800 </t>
        </r>
        <r>
          <rPr>
            <i/>
            <sz val="14"/>
            <color rgb="FF000000"/>
            <rFont val="Times New Roman"/>
            <family val="18"/>
          </rPr>
          <t xml:space="preserve">Ins Regiment eingerückt und zum ObristLt Comp. eingeteilt </t>
        </r>
        <r>
          <rPr>
            <sz val="14"/>
            <color rgb="FF000000"/>
            <rFont val="Times New Roman"/>
            <family val="18"/>
          </rPr>
          <t>[ST July 1800]</t>
        </r>
        <r>
          <rPr>
            <sz val="14"/>
            <color rgb="FF000000"/>
            <rFont val="Calibri"/>
            <family val="34"/>
          </rPr>
          <t xml:space="preserve">
</t>
        </r>
        <r>
          <rPr>
            <sz val="14"/>
            <color rgb="FF000000"/>
            <rFont val="Times New Roman"/>
            <family val="18"/>
          </rPr>
          <t>28/08/1802 Muster: IR 43 ObristLt Komp: Nr. 120</t>
        </r>
        <r>
          <rPr>
            <sz val="14"/>
            <color rgb="FF000000"/>
            <rFont val="Calibri"/>
            <family val="34"/>
          </rPr>
          <t xml:space="preserve">
</t>
        </r>
        <r>
          <rPr>
            <sz val="14"/>
            <color rgb="FF000000"/>
            <rFont val="Times New Roman"/>
            <family val="18"/>
          </rPr>
          <t>02/11/1803 Muster: IR 43 ObristLt Komp. Nr. 106</t>
        </r>
        <r>
          <rPr>
            <sz val="14"/>
            <color rgb="FF000000"/>
            <rFont val="Calibri"/>
            <family val="34"/>
          </rPr>
          <t xml:space="preserve">
</t>
        </r>
        <r>
          <rPr>
            <sz val="14"/>
            <color rgb="FF000000"/>
            <rFont val="Times New Roman"/>
            <family val="18"/>
          </rPr>
          <t xml:space="preserve">18/06/1804 </t>
        </r>
        <r>
          <rPr>
            <i/>
            <sz val="14"/>
            <color rgb="FF000000"/>
            <rFont val="Times New Roman"/>
            <family val="18"/>
          </rPr>
          <t>Auf Fortifikations Arbeit mit Loco Service Gebühr</t>
        </r>
        <r>
          <rPr>
            <sz val="14"/>
            <color rgb="FF000000"/>
            <rFont val="Times New Roman"/>
            <family val="18"/>
          </rPr>
          <t xml:space="preserve"> [ST Juni 1804] </t>
        </r>
        <r>
          <rPr>
            <sz val="14"/>
            <color rgb="FF000000"/>
            <rFont val="Calibri"/>
            <family val="34"/>
          </rPr>
          <t xml:space="preserve">
</t>
        </r>
        <r>
          <rPr>
            <sz val="14"/>
            <color rgb="FF000000"/>
            <rFont val="Times New Roman"/>
            <family val="18"/>
          </rPr>
          <t xml:space="preserve">11/09/1804 </t>
        </r>
        <r>
          <rPr>
            <i/>
            <sz val="14"/>
            <color rgb="FF000000"/>
            <rFont val="Times New Roman"/>
            <family val="18"/>
          </rPr>
          <t>Zurück ins Kompanie</t>
        </r>
        <r>
          <rPr>
            <sz val="14"/>
            <color rgb="FF000000"/>
            <rFont val="Times New Roman"/>
            <family val="18"/>
          </rPr>
          <t xml:space="preserve"> [ST Oct 1804] </t>
        </r>
        <r>
          <rPr>
            <sz val="14"/>
            <color rgb="FF000000"/>
            <rFont val="Calibri"/>
            <family val="34"/>
          </rPr>
          <t xml:space="preserve">
</t>
        </r>
        <r>
          <rPr>
            <sz val="14"/>
            <color rgb="FF000000"/>
            <rFont val="Times New Roman"/>
            <family val="18"/>
          </rPr>
          <t>05/10/1804 Muster: IR 43 ObristLt. Komp. Nr. 99</t>
        </r>
        <r>
          <rPr>
            <sz val="14"/>
            <color rgb="FF000000"/>
            <rFont val="Calibri"/>
            <family val="34"/>
          </rPr>
          <t xml:space="preserve">
</t>
        </r>
        <r>
          <rPr>
            <sz val="14"/>
            <color rgb="FF000000"/>
            <rFont val="Times New Roman"/>
            <family val="18"/>
          </rPr>
          <t>31/10/1805 Muster: IR 43 9. Fus Komp. Nr. 83</t>
        </r>
        <r>
          <rPr>
            <sz val="14"/>
            <color rgb="FF000000"/>
            <rFont val="Calibri"/>
            <family val="34"/>
          </rPr>
          <t xml:space="preserve">
</t>
        </r>
        <r>
          <rPr>
            <sz val="14"/>
            <color rgb="FF000000"/>
            <rFont val="Times New Roman"/>
            <family val="18"/>
          </rPr>
          <t xml:space="preserve">01/10/1805 </t>
        </r>
        <r>
          <rPr>
            <i/>
            <sz val="14"/>
            <color rgb="FF000000"/>
            <rFont val="Times New Roman"/>
            <family val="18"/>
          </rPr>
          <t xml:space="preserve">Von 9. Fus Comp. in die Artillerie Handleger transferiert </t>
        </r>
        <r>
          <rPr>
            <sz val="14"/>
            <color rgb="FF000000"/>
            <rFont val="Times New Roman"/>
            <family val="18"/>
          </rPr>
          <t>[ST Oct 1805 &amp;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Artillerie Handleger zurück in [Jetzt 13. Fus] Companie transferiert</t>
        </r>
        <r>
          <rPr>
            <sz val="14"/>
            <color rgb="FF000000"/>
            <rFont val="Times New Roman"/>
            <family val="18"/>
          </rPr>
          <t xml:space="preserve"> [ST April 1806 &amp; ML 1806]</t>
        </r>
        <r>
          <rPr>
            <sz val="14"/>
            <color rgb="FF000000"/>
            <rFont val="Calibri"/>
            <family val="34"/>
          </rPr>
          <t xml:space="preserve">
</t>
        </r>
        <r>
          <rPr>
            <sz val="14"/>
            <color rgb="FF000000"/>
            <rFont val="Times New Roman"/>
            <family val="18"/>
          </rPr>
          <t>01/12/1806 Muster: IR 43 13. Fus Komp. Nr. 80</t>
        </r>
        <r>
          <rPr>
            <sz val="14"/>
            <color rgb="FF000000"/>
            <rFont val="Calibri"/>
            <family val="34"/>
          </rPr>
          <t xml:space="preserve">
</t>
        </r>
        <r>
          <rPr>
            <sz val="14"/>
            <color rgb="FF000000"/>
            <rFont val="Times New Roman"/>
            <family val="18"/>
          </rPr>
          <t>02/09/1808 Revision: IR 43 13. Fus Komp. Nr. 72</t>
        </r>
        <r>
          <rPr>
            <sz val="14"/>
            <color rgb="FF000000"/>
            <rFont val="Calibri"/>
            <family val="34"/>
          </rPr>
          <t xml:space="preserve">
</t>
        </r>
        <r>
          <rPr>
            <sz val="14"/>
            <color rgb="FF000000"/>
            <rFont val="Times New Roman"/>
            <family val="18"/>
          </rPr>
          <t>15/02/1810 Dissolvierung: IR 43 13. Fus Komp. Nr. 76 [</t>
        </r>
        <r>
          <rPr>
            <i/>
            <sz val="14"/>
            <color rgb="FF000000"/>
            <rFont val="Times New Roman"/>
            <family val="18"/>
          </rPr>
          <t>Zu IR 30 De Ligne einzuteilen</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13. Fus Comp des Dissolvierte IR 43 zum IR 30 De Ligne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24/09/1811 Muster: IR 30 5. Fus Komp. Nr. 250 [</t>
        </r>
        <r>
          <rPr>
            <i/>
            <sz val="14"/>
            <color rgb="FF000000"/>
            <rFont val="Times New Roman"/>
            <family val="18"/>
          </rPr>
          <t>Zum Superarbietrierung beim Staab &amp; hat vermög Patent bis 04/05/1812 zu dienen</t>
        </r>
        <r>
          <rPr>
            <sz val="14"/>
            <color rgb="FF000000"/>
            <rFont val="Times New Roman"/>
            <family val="18"/>
          </rPr>
          <t>]</t>
        </r>
        <r>
          <rPr>
            <sz val="14"/>
            <color rgb="FF000000"/>
            <rFont val="Calibri"/>
            <family val="34"/>
          </rPr>
          <t xml:space="preserve">
</t>
        </r>
        <r>
          <rPr>
            <sz val="14"/>
            <color rgb="FF000000"/>
            <rFont val="Times New Roman"/>
            <family val="18"/>
          </rPr>
          <t xml:space="preserve">05/10/1811 </t>
        </r>
        <r>
          <rPr>
            <i/>
            <sz val="14"/>
            <color rgb="FF000000"/>
            <rFont val="Times New Roman"/>
            <family val="18"/>
          </rPr>
          <t>Zu Folge hohen SUPERARBITIO vom 31. August und General COMMANDO verordnung ddt. Lemberg am 15. Sept. 1811 als Real Invalid Gegen Renuncierung aller Militar Beneficien mit Abschied entlassen</t>
        </r>
        <r>
          <rPr>
            <sz val="14"/>
            <color rgb="FF000000"/>
            <rFont val="Times New Roman"/>
            <family val="18"/>
          </rPr>
          <t xml:space="preserve"> [ST Oct 1811] </t>
        </r>
      </text>
    </comment>
    <comment ref="BG503" authorId="0" shapeId="0" xr:uid="{7F0A82FD-7922-AE4B-80AF-C419B96452C4}">
      <text>
        <r>
          <rPr>
            <sz val="14"/>
            <color rgb="FF000000"/>
            <rFont val="Times New Roman"/>
            <family val="18"/>
          </rPr>
          <t>ML 10.272 IR 43 (1802) – ObristLt Komp. Nr. 120 (28/08/1802)</t>
        </r>
        <r>
          <rPr>
            <sz val="14"/>
            <color rgb="FF000000"/>
            <rFont val="Calibri"/>
            <family val="34"/>
          </rPr>
          <t xml:space="preserve">
</t>
        </r>
        <r>
          <rPr>
            <sz val="14"/>
            <color rgb="FF000000"/>
            <rFont val="Times New Roman"/>
            <family val="18"/>
          </rPr>
          <t>ML 10.273 IR 43 (1803) – ObristLt Komp. Nr. 106 (02/11/1803)</t>
        </r>
        <r>
          <rPr>
            <sz val="14"/>
            <color rgb="FF000000"/>
            <rFont val="Calibri"/>
            <family val="34"/>
          </rPr>
          <t xml:space="preserve">
</t>
        </r>
        <r>
          <rPr>
            <sz val="14"/>
            <color rgb="FF000000"/>
            <rFont val="Times New Roman"/>
            <family val="18"/>
          </rPr>
          <t xml:space="preserve">ML 10.274 IR 43 (1804) – ObristLt Komp. Nr. 99 </t>
        </r>
        <r>
          <rPr>
            <sz val="14"/>
            <color rgb="FF000000"/>
            <rFont val="Calibri"/>
            <family val="34"/>
          </rPr>
          <t xml:space="preserve">
</t>
        </r>
        <r>
          <rPr>
            <sz val="14"/>
            <color rgb="FF000000"/>
            <rFont val="Times New Roman"/>
            <family val="18"/>
          </rPr>
          <t>ML 10.275/6 IR 43 (1805) –9. Fus Komp. Nr. 83</t>
        </r>
        <r>
          <rPr>
            <sz val="14"/>
            <color rgb="FF000000"/>
            <rFont val="Calibri"/>
            <family val="34"/>
          </rPr>
          <t xml:space="preserve">
</t>
        </r>
        <r>
          <rPr>
            <sz val="14"/>
            <color rgb="FF000000"/>
            <rFont val="Times New Roman"/>
            <family val="18"/>
          </rPr>
          <t>ML 10.277/8 IR 43 (1806) – 13. Fus Komp. Nr. 80 (Laibach 01/12/1806)</t>
        </r>
        <r>
          <rPr>
            <sz val="14"/>
            <color rgb="FF000000"/>
            <rFont val="Calibri"/>
            <family val="34"/>
          </rPr>
          <t xml:space="preserve">
</t>
        </r>
        <r>
          <rPr>
            <sz val="14"/>
            <color rgb="FF000000"/>
            <rFont val="Times New Roman"/>
            <family val="18"/>
          </rPr>
          <t>ML 10.279 IR 43 (1808-10) – RL 13. Fus Nr. 72 (Neustadt 02/09/1808) &amp; DL 13. Fus Nr. 76 (Vordenbrg 15/02/1810)</t>
        </r>
        <r>
          <rPr>
            <sz val="14"/>
            <color rgb="FF000000"/>
            <rFont val="Calibri"/>
            <family val="34"/>
          </rPr>
          <t xml:space="preserve">
</t>
        </r>
        <r>
          <rPr>
            <sz val="14"/>
            <color rgb="FF000000"/>
            <rFont val="Times New Roman"/>
            <family val="18"/>
          </rPr>
          <t>ML 10.307 IR 43 (1799) – ST November (12/10/1800) und Dezember (01/11/1800)</t>
        </r>
        <r>
          <rPr>
            <sz val="14"/>
            <color rgb="FF000000"/>
            <rFont val="Calibri"/>
            <family val="34"/>
          </rPr>
          <t xml:space="preserve">
</t>
        </r>
        <r>
          <rPr>
            <sz val="14"/>
            <color rgb="FF000000"/>
            <rFont val="Times New Roman"/>
            <family val="18"/>
          </rPr>
          <t>ML 10.309 IR 43 (1800) – ST Januar (26/02/1801) und Juli (24/10/1803)</t>
        </r>
        <r>
          <rPr>
            <sz val="14"/>
            <color rgb="FF000000"/>
            <rFont val="Calibri"/>
            <family val="34"/>
          </rPr>
          <t xml:space="preserve">
</t>
        </r>
        <r>
          <rPr>
            <sz val="14"/>
            <color rgb="FF000000"/>
            <rFont val="Times New Roman"/>
            <family val="18"/>
          </rPr>
          <t>ML 10.310 IR 43 (1800) – TL IR 43 Res Div-&gt; Feld Bat Nr. 8 (Laibach 05/06/1800)</t>
        </r>
        <r>
          <rPr>
            <sz val="14"/>
            <color rgb="FF000000"/>
            <rFont val="Calibri"/>
            <family val="34"/>
          </rPr>
          <t xml:space="preserve">
</t>
        </r>
        <r>
          <rPr>
            <sz val="14"/>
            <color rgb="FF000000"/>
            <rFont val="Times New Roman"/>
            <family val="18"/>
          </rPr>
          <t>ML 10.314 IR 43 (1804) – ST Juni (15/07/1804) und Oktober (08/12/1804)</t>
        </r>
        <r>
          <rPr>
            <sz val="14"/>
            <color rgb="FF000000"/>
            <rFont val="Calibri"/>
            <family val="34"/>
          </rPr>
          <t xml:space="preserve">
</t>
        </r>
        <r>
          <rPr>
            <sz val="14"/>
            <color rgb="FF000000"/>
            <rFont val="Times New Roman"/>
            <family val="18"/>
          </rPr>
          <t>ML 10.315 IR 43 (1805) – ST Oktober (22/05/1806)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10.326 IR 43 (1810) – TL IR 43-&gt; IR 30 Nr. 76 (Klagenfurt 31/05/1810)</t>
        </r>
        <r>
          <rPr>
            <sz val="14"/>
            <color rgb="FF000000"/>
            <rFont val="Calibri"/>
            <family val="34"/>
          </rPr>
          <t xml:space="preserve">
</t>
        </r>
        <r>
          <rPr>
            <sz val="14"/>
            <color rgb="FF000000"/>
            <rFont val="Times New Roman"/>
            <family val="18"/>
          </rPr>
          <t>ML 2633 IR 30 (1811) – 5. Fus Nr. 250 (Kutty 24/09/1811)</t>
        </r>
        <r>
          <rPr>
            <sz val="14"/>
            <color rgb="FF000000"/>
            <rFont val="Calibri"/>
            <family val="34"/>
          </rPr>
          <t xml:space="preserve">
</t>
        </r>
        <r>
          <rPr>
            <sz val="14"/>
            <color rgb="FF000000"/>
            <rFont val="Times New Roman"/>
            <family val="18"/>
          </rPr>
          <t>ML 2686 IR 30 (1811) – ST Oct (Czernowitz 30/11/1811)</t>
        </r>
      </text>
    </comment>
    <comment ref="BH503" authorId="0" shapeId="0" xr:uid="{7F24F1A7-1F82-B94C-8424-C5F2219CFA66}">
      <text>
        <r>
          <rPr>
            <sz val="14"/>
            <color rgb="FF000000"/>
            <rFont val="Calibri"/>
            <family val="34"/>
          </rPr>
          <t xml:space="preserve">IR 43 (1799-1810)
</t>
        </r>
        <r>
          <rPr>
            <sz val="14"/>
            <color rgb="FF000000"/>
            <rFont val="Calibri"/>
            <family val="34"/>
          </rPr>
          <t>IR 30 (1810-1811)</t>
        </r>
      </text>
    </comment>
    <comment ref="BI503" authorId="0" shapeId="0" xr:uid="{CE258878-5DBA-FF48-BCFA-1B8A4938B1AE}">
      <text>
        <r>
          <rPr>
            <sz val="14"/>
            <color rgb="FF000000"/>
            <rFont val="Calibri"/>
            <family val="34"/>
          </rPr>
          <t>1810: Gut</t>
        </r>
      </text>
    </comment>
    <comment ref="BF504" authorId="0" shapeId="0" xr:uid="{83399918-007A-F64C-B43D-C4871A1475C6}">
      <text>
        <r>
          <rPr>
            <sz val="14"/>
            <color rgb="FF000000"/>
            <rFont val="Times New Roman"/>
            <family val="18"/>
          </rPr>
          <t xml:space="preserve">In 06/1799 </t>
        </r>
        <r>
          <rPr>
            <i/>
            <sz val="14"/>
            <color rgb="FF000000"/>
            <rFont val="Times New Roman"/>
            <family val="18"/>
          </rPr>
          <t xml:space="preserve">Assentiert </t>
        </r>
        <r>
          <rPr>
            <sz val="14"/>
            <color rgb="FF000000"/>
            <rFont val="Times New Roman"/>
            <family val="18"/>
          </rPr>
          <t>[TL Juni 1800]</t>
        </r>
        <r>
          <rPr>
            <sz val="14"/>
            <color rgb="FF000000"/>
            <rFont val="Calibri"/>
            <family val="34"/>
          </rPr>
          <t xml:space="preserve">
</t>
        </r>
        <r>
          <rPr>
            <sz val="14"/>
            <color rgb="FF000000"/>
            <rFont val="Times New Roman"/>
            <family val="18"/>
          </rPr>
          <t xml:space="preserve">22/06/1800 </t>
        </r>
        <r>
          <rPr>
            <i/>
            <sz val="14"/>
            <color rgb="FF000000"/>
            <rFont val="Times New Roman"/>
            <family val="18"/>
          </rPr>
          <t>Von MFWK Italienischen Feld Armee depot in IR 43 Regiments Proviant Bespannung Transferiert</t>
        </r>
        <r>
          <rPr>
            <sz val="14"/>
            <color rgb="FF000000"/>
            <rFont val="Times New Roman"/>
            <family val="18"/>
          </rPr>
          <t xml:space="preserve"> [TL Juni 1800]</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text>
    </comment>
    <comment ref="BG504" authorId="0" shapeId="0" xr:uid="{04CB49AC-571F-1B44-90B4-BC0C78AD4A3C}">
      <text>
        <r>
          <rPr>
            <sz val="14"/>
            <color rgb="FF000000"/>
            <rFont val="Times New Roman"/>
            <family val="18"/>
          </rPr>
          <t>ML 10.310 IR 43 (1800) – TL MFWK-&gt;IR 43 Nr. 1 (Vicenza 22/06/1800)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504" authorId="0" shapeId="0" xr:uid="{7AB059CB-74FA-D548-ACF5-859469113EC7}">
      <text>
        <r>
          <rPr>
            <sz val="14"/>
            <color rgb="FF000000"/>
            <rFont val="Calibri"/>
            <family val="34"/>
          </rPr>
          <t>MFWK (1799-1801)</t>
        </r>
      </text>
    </comment>
    <comment ref="BF505" authorId="0" shapeId="0" xr:uid="{DDB369DB-94CF-D442-9774-B59F6579C14D}">
      <text>
        <r>
          <rPr>
            <sz val="14"/>
            <color rgb="FF000000"/>
            <rFont val="Times New Roman"/>
            <family val="18"/>
          </rPr>
          <t xml:space="preserve">In 06/1799 </t>
        </r>
        <r>
          <rPr>
            <i/>
            <sz val="14"/>
            <color rgb="FF000000"/>
            <rFont val="Times New Roman"/>
            <family val="18"/>
          </rPr>
          <t xml:space="preserve">Assentiert </t>
        </r>
        <r>
          <rPr>
            <sz val="14"/>
            <color rgb="FF000000"/>
            <rFont val="Times New Roman"/>
            <family val="18"/>
          </rPr>
          <t>[TL Juni 1800]</t>
        </r>
        <r>
          <rPr>
            <sz val="14"/>
            <color rgb="FF000000"/>
            <rFont val="Calibri"/>
            <family val="34"/>
          </rPr>
          <t xml:space="preserve">
</t>
        </r>
        <r>
          <rPr>
            <sz val="14"/>
            <color rgb="FF000000"/>
            <rFont val="Times New Roman"/>
            <family val="18"/>
          </rPr>
          <t xml:space="preserve">22/06/1800 </t>
        </r>
        <r>
          <rPr>
            <i/>
            <sz val="14"/>
            <color rgb="FF000000"/>
            <rFont val="Times New Roman"/>
            <family val="18"/>
          </rPr>
          <t>Von MFWK Italienischen Feld Armee depot in IR 43 Regiments Proviant Bespannung Transferiert</t>
        </r>
        <r>
          <rPr>
            <sz val="14"/>
            <color rgb="FF000000"/>
            <rFont val="Times New Roman"/>
            <family val="18"/>
          </rPr>
          <t xml:space="preserve"> [TL Juni 1800]</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text>
    </comment>
    <comment ref="BG505" authorId="0" shapeId="0" xr:uid="{E2231E14-4374-0D44-B00D-45625B3DD14E}">
      <text>
        <r>
          <rPr>
            <sz val="14"/>
            <color rgb="FF000000"/>
            <rFont val="Times New Roman"/>
            <family val="18"/>
          </rPr>
          <t>ML 10.310 IR 43 (1800) – TL MFWK-&gt;IR 43 Nr. 2 (Vicenza 22/06/1800)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505" authorId="0" shapeId="0" xr:uid="{163D92F3-2E55-7E4C-916E-10D0602B6458}">
      <text>
        <r>
          <rPr>
            <sz val="14"/>
            <color rgb="FF000000"/>
            <rFont val="Calibri"/>
            <family val="34"/>
          </rPr>
          <t>MFWK (1799-1801)</t>
        </r>
      </text>
    </comment>
    <comment ref="T506" authorId="0" shapeId="0" xr:uid="{1958C353-D3FB-BC41-9CBD-3467BE1F711A}">
      <text>
        <r>
          <rPr>
            <sz val="14"/>
            <color rgb="FF000000"/>
            <rFont val="Calibri"/>
            <family val="34"/>
          </rPr>
          <t xml:space="preserve">5.1.2  [161.07 cm] (1802-4)
</t>
        </r>
        <r>
          <rPr>
            <sz val="14"/>
            <color rgb="FF000000"/>
            <rFont val="Calibri"/>
            <family val="34"/>
          </rPr>
          <t>5.2 [163.26 cm] (1800)</t>
        </r>
      </text>
    </comment>
    <comment ref="BF506" authorId="0" shapeId="0" xr:uid="{C0C75F49-2B33-3749-86C8-04F1C8A8D229}">
      <text>
        <r>
          <rPr>
            <sz val="14"/>
            <color rgb="FFFF0000"/>
            <rFont val="Times New Roman"/>
            <family val="18"/>
          </rPr>
          <t xml:space="preserve">01/04/1799 </t>
        </r>
        <r>
          <rPr>
            <i/>
            <sz val="14"/>
            <color rgb="FFFF0000"/>
            <rFont val="Times New Roman"/>
            <family val="18"/>
          </rPr>
          <t xml:space="preserve">A 3Fl Von Ständen gestellt </t>
        </r>
        <r>
          <rPr>
            <sz val="14"/>
            <color rgb="FFFF0000"/>
            <rFont val="Times New Roman"/>
            <family val="18"/>
          </rPr>
          <t>[TL Feb 1800]</t>
        </r>
        <r>
          <rPr>
            <sz val="14"/>
            <color rgb="FF000000"/>
            <rFont val="Calibri"/>
            <family val="34"/>
          </rPr>
          <t xml:space="preserve">
</t>
        </r>
        <r>
          <rPr>
            <sz val="14"/>
            <color rgb="FFFF0000"/>
            <rFont val="Times New Roman"/>
            <family val="18"/>
          </rPr>
          <t xml:space="preserve">??/06/1799 </t>
        </r>
        <r>
          <rPr>
            <i/>
            <sz val="14"/>
            <color rgb="FFFF0000"/>
            <rFont val="Times New Roman"/>
            <family val="18"/>
          </rPr>
          <t xml:space="preserve">A 3Fl auf Beständig assentiert </t>
        </r>
        <r>
          <rPr>
            <sz val="14"/>
            <color rgb="FFFF0000"/>
            <rFont val="Times New Roman"/>
            <family val="18"/>
          </rPr>
          <t>[TL Aug 1802]</t>
        </r>
        <r>
          <rPr>
            <sz val="14"/>
            <color rgb="FF000000"/>
            <rFont val="Calibri"/>
            <family val="34"/>
          </rPr>
          <t xml:space="preserve">
</t>
        </r>
        <r>
          <rPr>
            <sz val="14"/>
            <color rgb="FF000000"/>
            <rFont val="Times New Roman"/>
            <family val="18"/>
          </rPr>
          <t xml:space="preserve">06/06/1799 </t>
        </r>
        <r>
          <rPr>
            <i/>
            <sz val="14"/>
            <color rgb="FF000000"/>
            <rFont val="Times New Roman"/>
            <family val="18"/>
          </rPr>
          <t>A 3Fl auf Beständig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??/10/1799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06/02/1800 </t>
        </r>
        <r>
          <rPr>
            <i/>
            <sz val="14"/>
            <color rgb="FF000000"/>
            <rFont val="Times New Roman"/>
            <family val="18"/>
          </rPr>
          <t>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07/07/1800 </t>
        </r>
        <r>
          <rPr>
            <i/>
            <sz val="14"/>
            <color rgb="FF000000"/>
            <rFont val="Times New Roman"/>
            <family val="18"/>
          </rPr>
          <t>Zu Treviso Gestorben</t>
        </r>
        <r>
          <rPr>
            <sz val="14"/>
            <color rgb="FF000000"/>
            <rFont val="Times New Roman"/>
            <family val="18"/>
          </rPr>
          <t xml:space="preserve"> [ST July 1800] [SIC!]</t>
        </r>
        <r>
          <rPr>
            <sz val="14"/>
            <color rgb="FF000000"/>
            <rFont val="Calibri"/>
            <family val="34"/>
          </rPr>
          <t xml:space="preserve">
</t>
        </r>
        <r>
          <rPr>
            <sz val="14"/>
            <color rgb="FF000000"/>
            <rFont val="Times New Roman"/>
            <family val="18"/>
          </rPr>
          <t xml:space="preserve">20/12/1800 </t>
        </r>
        <r>
          <rPr>
            <i/>
            <sz val="14"/>
            <color rgb="FF000000"/>
            <rFont val="Times New Roman"/>
            <family val="18"/>
          </rPr>
          <t>Bis dahin ohne Verpflegung und Zuwachs Dokument eingerückt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20/02/1801 </t>
        </r>
        <r>
          <rPr>
            <i/>
            <sz val="14"/>
            <color rgb="FF000000"/>
            <rFont val="Times New Roman"/>
            <family val="18"/>
          </rPr>
          <t>Krank Auswärts</t>
        </r>
        <r>
          <rPr>
            <sz val="14"/>
            <color rgb="FF000000"/>
            <rFont val="Times New Roman"/>
            <family val="18"/>
          </rPr>
          <t xml:space="preserve"> [ST Feb 1801] </t>
        </r>
        <r>
          <rPr>
            <sz val="14"/>
            <color rgb="FF000000"/>
            <rFont val="Calibri"/>
            <family val="34"/>
          </rPr>
          <t xml:space="preserve">
</t>
        </r>
        <r>
          <rPr>
            <sz val="14"/>
            <color rgb="FF000000"/>
            <rFont val="Times New Roman"/>
            <family val="18"/>
          </rPr>
          <t xml:space="preserve">31/05/1801 </t>
        </r>
        <r>
          <rPr>
            <i/>
            <sz val="14"/>
            <color rgb="FF000000"/>
            <rFont val="Times New Roman"/>
            <family val="18"/>
          </rPr>
          <t>Rekonvalesziert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Assandri Nr. 93 [</t>
        </r>
        <r>
          <rPr>
            <i/>
            <sz val="14"/>
            <color rgb="FF000000"/>
            <rFont val="Times New Roman"/>
            <family val="18"/>
          </rPr>
          <t>Auf unbestimmte Zeit beurlaubt in Modlibiszinska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89 [</t>
        </r>
        <r>
          <rPr>
            <i/>
            <sz val="14"/>
            <color rgb="FF000000"/>
            <rFont val="Times New Roman"/>
            <family val="18"/>
          </rPr>
          <t>Beurlaubt zu Modliposicz Josephower Kreis, in West Gallizien but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506" authorId="0" shapeId="0" xr:uid="{A039855F-8556-534A-BB6F-335A79691907}">
      <text>
        <r>
          <rPr>
            <sz val="14"/>
            <color rgb="FF000000"/>
            <rFont val="Times New Roman"/>
            <family val="18"/>
          </rPr>
          <t>ML 10.309 IR 43 (1800) – ST Feb (06/04/1801), Juni (27/08/1803), Dez (18/08/1804)</t>
        </r>
        <r>
          <rPr>
            <sz val="14"/>
            <color rgb="FF000000"/>
            <rFont val="Calibri"/>
            <family val="34"/>
          </rPr>
          <t xml:space="preserve">
</t>
        </r>
        <r>
          <rPr>
            <sz val="14"/>
            <color rgb="FF000000"/>
            <rFont val="Times New Roman"/>
            <family val="18"/>
          </rPr>
          <t>ML 10.310 IR 43 (1800) – TL Res. Div.-&gt; Feld Bats. Nr. 62 (Laibach 05/02/1800)</t>
        </r>
        <r>
          <rPr>
            <sz val="14"/>
            <color rgb="FF000000"/>
            <rFont val="Calibri"/>
            <family val="34"/>
          </rPr>
          <t xml:space="preserve">
</t>
        </r>
        <r>
          <rPr>
            <sz val="14"/>
            <color rgb="FF000000"/>
            <rFont val="Times New Roman"/>
            <family val="18"/>
          </rPr>
          <t>ML 10.311 IR 43 (1801) – ST Feb (28/09/1804), April (13/10/1804)</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93 (Venice 19/09/1803)</t>
        </r>
        <r>
          <rPr>
            <sz val="14"/>
            <color rgb="FF000000"/>
            <rFont val="Calibri"/>
            <family val="34"/>
          </rPr>
          <t xml:space="preserve">
</t>
        </r>
        <r>
          <rPr>
            <sz val="14"/>
            <color rgb="FF000000"/>
            <rFont val="Times New Roman"/>
            <family val="18"/>
          </rPr>
          <t>ML 3909 IR 44 (1804) – Haupt Assandri Komp. Nr. 89 (Vicenza 12/05/1804)</t>
        </r>
        <r>
          <rPr>
            <sz val="14"/>
            <color rgb="FF000000"/>
            <rFont val="Calibri"/>
            <family val="34"/>
          </rPr>
          <t xml:space="preserve">
</t>
        </r>
        <r>
          <rPr>
            <sz val="14"/>
            <color rgb="FF000000"/>
            <rFont val="Times New Roman"/>
            <family val="18"/>
          </rPr>
          <t>ML 3946 IR 44 (1802) – AL IR 43-&gt; IR 43 Nr. 17 (Zara 14/08/1802)</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text>
    </comment>
    <comment ref="BH506" authorId="0" shapeId="0" xr:uid="{CC7CB2A0-4961-8347-93AC-45D8C71D53B7}">
      <text>
        <r>
          <rPr>
            <sz val="14"/>
            <color rgb="FF000000"/>
            <rFont val="Calibri"/>
            <family val="34"/>
          </rPr>
          <t xml:space="preserve">IR 43 (1799-1802)
</t>
        </r>
        <r>
          <rPr>
            <sz val="14"/>
            <color rgb="FF000000"/>
            <rFont val="Calibri"/>
            <family val="34"/>
          </rPr>
          <t>IR 44 (1802-1806)</t>
        </r>
      </text>
    </comment>
    <comment ref="BI506" authorId="0" shapeId="0" xr:uid="{EAA993E0-C260-D443-AAA7-E3207603B86E}">
      <text>
        <r>
          <rPr>
            <sz val="14"/>
            <color rgb="FF000000"/>
            <rFont val="Calibri"/>
            <family val="34"/>
          </rPr>
          <t>Gut [TL Aug 1802]</t>
        </r>
      </text>
    </comment>
    <comment ref="I507" authorId="0" shapeId="0" xr:uid="{4FC702CC-5EF3-2D4B-8B62-95F7F25FF4CD}">
      <text>
        <r>
          <rPr>
            <sz val="14"/>
            <color rgb="FF000000"/>
            <rFont val="Calibri"/>
            <family val="34"/>
          </rPr>
          <t xml:space="preserve">1772 [31 (1803)] 
</t>
        </r>
        <r>
          <rPr>
            <sz val="14"/>
            <color rgb="FF000000"/>
            <rFont val="Calibri"/>
            <family val="34"/>
          </rPr>
          <t xml:space="preserve">OR 
</t>
        </r>
        <r>
          <rPr>
            <sz val="14"/>
            <color rgb="FF000000"/>
            <rFont val="Calibri"/>
            <family val="34"/>
          </rPr>
          <t>1776 [24 (1800)]</t>
        </r>
      </text>
    </comment>
    <comment ref="BF507" authorId="0" shapeId="0" xr:uid="{34A91206-DE43-B34E-9841-CDFB74CA59B9}">
      <text>
        <r>
          <rPr>
            <sz val="14"/>
            <color rgb="FFFF0000"/>
            <rFont val="Times New Roman"/>
            <family val="18"/>
          </rPr>
          <t xml:space="preserve">??/06/1799 </t>
        </r>
        <r>
          <rPr>
            <i/>
            <sz val="14"/>
            <color rgb="FFFF0000"/>
            <rFont val="Times New Roman"/>
            <family val="18"/>
          </rPr>
          <t>In Juny 1799 a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06/06/1799 </t>
        </r>
        <r>
          <rPr>
            <i/>
            <sz val="14"/>
            <color rgb="FF000000"/>
            <rFont val="Times New Roman"/>
            <family val="18"/>
          </rPr>
          <t>von Ständen gestellt und zum IR 43 assentiert, sietdem Anhero Marsch mit Friedensgebühr</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In 07/1799 </t>
        </r>
        <r>
          <rPr>
            <i/>
            <sz val="14"/>
            <color rgb="FFFF0000"/>
            <rFont val="Times New Roman"/>
            <family val="18"/>
          </rPr>
          <t xml:space="preserve">von Ständen gestellt und zum Ir 43 assentiert, sietdem Anhero Marsch mit Friedensgebühr </t>
        </r>
        <r>
          <rPr>
            <sz val="14"/>
            <color rgb="FFFF0000"/>
            <rFont val="Times New Roman"/>
            <family val="18"/>
          </rPr>
          <t>[TL Feb 1800 &amp;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28/12/1799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10/01/1800 </t>
        </r>
        <r>
          <rPr>
            <i/>
            <sz val="14"/>
            <color rgb="FF000000"/>
            <rFont val="Times New Roman"/>
            <family val="18"/>
          </rPr>
          <t>Rekonvalesziert</t>
        </r>
        <r>
          <rPr>
            <sz val="14"/>
            <color rgb="FF000000"/>
            <rFont val="Times New Roman"/>
            <family val="18"/>
          </rPr>
          <t xml:space="preserve"> [ST Jan 1800] </t>
        </r>
        <r>
          <rPr>
            <sz val="14"/>
            <color rgb="FF000000"/>
            <rFont val="Calibri"/>
            <family val="34"/>
          </rPr>
          <t xml:space="preserve">
</t>
        </r>
        <r>
          <rPr>
            <sz val="14"/>
            <color rgb="FF000000"/>
            <rFont val="Times New Roman"/>
            <family val="18"/>
          </rPr>
          <t xml:space="preserve">06/02/1800 </t>
        </r>
        <r>
          <rPr>
            <i/>
            <sz val="14"/>
            <color rgb="FF000000"/>
            <rFont val="Times New Roman"/>
            <family val="18"/>
          </rPr>
          <t>Ferners Aufmarsch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Geistler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[ST Aug 1802 &amp; TL Aug 1802]</t>
        </r>
        <r>
          <rPr>
            <sz val="14"/>
            <color rgb="FF000000"/>
            <rFont val="Calibri"/>
            <family val="34"/>
          </rPr>
          <t xml:space="preserve">
</t>
        </r>
        <r>
          <rPr>
            <sz val="14"/>
            <color rgb="FF000000"/>
            <rFont val="Times New Roman"/>
            <family val="18"/>
          </rPr>
          <t>19/09/1803 IR 44: Haupt Assandri Nr. 92 [</t>
        </r>
        <r>
          <rPr>
            <i/>
            <sz val="14"/>
            <color rgb="FF000000"/>
            <rFont val="Times New Roman"/>
            <family val="18"/>
          </rPr>
          <t>Auf unbestimmte zeit beuralubt in Rachow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88 [</t>
        </r>
        <r>
          <rPr>
            <i/>
            <sz val="14"/>
            <color rgb="FF000000"/>
            <rFont val="Times New Roman"/>
            <family val="18"/>
          </rPr>
          <t>Beuralubt zu Rachow in Zlocower Kreis in West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56</t>
        </r>
        <r>
          <rPr>
            <sz val="14"/>
            <color rgb="FF000000"/>
            <rFont val="Calibri"/>
            <family val="34"/>
          </rPr>
          <t xml:space="preserve">
</t>
        </r>
        <r>
          <rPr>
            <sz val="14"/>
            <color rgb="FF000000"/>
            <rFont val="Times New Roman"/>
            <family val="18"/>
          </rPr>
          <t>19/09/1808 Revision: IR 44 Haupt Liebler Nr. 41</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4. zum 15.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15. zum neue 17.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20/04/1810 </t>
        </r>
        <r>
          <rPr>
            <i/>
            <sz val="14"/>
            <color rgb="FF000000"/>
            <rFont val="Times New Roman"/>
            <family val="18"/>
          </rPr>
          <t>Von. 6. Zum 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219</t>
        </r>
        <r>
          <rPr>
            <sz val="14"/>
            <color rgb="FF000000"/>
            <rFont val="Calibri"/>
            <family val="34"/>
          </rPr>
          <t xml:space="preserve">
</t>
        </r>
        <r>
          <rPr>
            <sz val="14"/>
            <color rgb="FF000000"/>
            <rFont val="Times New Roman"/>
            <family val="18"/>
          </rPr>
          <t xml:space="preserve">30/09/1810 </t>
        </r>
        <r>
          <rPr>
            <i/>
            <sz val="14"/>
            <color rgb="FF000000"/>
            <rFont val="Times New Roman"/>
            <family val="18"/>
          </rPr>
          <t>Als ausgedienter Capitulant mit Abschied entlassen</t>
        </r>
        <r>
          <rPr>
            <sz val="14"/>
            <color rgb="FF000000"/>
            <rFont val="Times New Roman"/>
            <family val="18"/>
          </rPr>
          <t xml:space="preserve"> [ML 1811]</t>
        </r>
        <r>
          <rPr>
            <sz val="14"/>
            <color rgb="FF000000"/>
            <rFont val="Calibri"/>
            <family val="34"/>
          </rPr>
          <t xml:space="preserve">
</t>
        </r>
      </text>
    </comment>
    <comment ref="BG507" authorId="0" shapeId="0" xr:uid="{87367EE3-05C7-A94A-836D-3E00FB6A526E}">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Jän (26/02/1801), Feb (06/04/1801), April (24/01/1802)</t>
        </r>
        <r>
          <rPr>
            <sz val="14"/>
            <color rgb="FF000000"/>
            <rFont val="Calibri"/>
            <family val="34"/>
          </rPr>
          <t xml:space="preserve">
</t>
        </r>
        <r>
          <rPr>
            <sz val="14"/>
            <color rgb="FF000000"/>
            <rFont val="Times New Roman"/>
            <family val="18"/>
          </rPr>
          <t>ML 10.310 IR 43 (1800) – TL Res. Div.-&gt; Feld Bats. Nr. 50 (Laibach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Assandri Komp. Nr. 92 (Venice 19/09/1803)</t>
        </r>
        <r>
          <rPr>
            <sz val="14"/>
            <color rgb="FF000000"/>
            <rFont val="Calibri"/>
            <family val="34"/>
          </rPr>
          <t xml:space="preserve">
</t>
        </r>
        <r>
          <rPr>
            <sz val="14"/>
            <color rgb="FF000000"/>
            <rFont val="Times New Roman"/>
            <family val="18"/>
          </rPr>
          <t>ML 3909 IR 44 (1804) – Haupt Assandri Komp. Nr. 88 (Vicenza 12/05/1804)</t>
        </r>
        <r>
          <rPr>
            <sz val="14"/>
            <color rgb="FF000000"/>
            <rFont val="Calibri"/>
            <family val="34"/>
          </rPr>
          <t xml:space="preserve">
</t>
        </r>
        <r>
          <rPr>
            <sz val="14"/>
            <color rgb="FF000000"/>
            <rFont val="Times New Roman"/>
            <family val="18"/>
          </rPr>
          <t>ML 3910 IR 44 (1806) – Haupt. Liebler Nr. 56 (Fiume 10/12/1806)</t>
        </r>
        <r>
          <rPr>
            <sz val="14"/>
            <color rgb="FF000000"/>
            <rFont val="Calibri"/>
            <family val="34"/>
          </rPr>
          <t xml:space="preserve">
</t>
        </r>
        <r>
          <rPr>
            <sz val="14"/>
            <color rgb="FF000000"/>
            <rFont val="Times New Roman"/>
            <family val="18"/>
          </rPr>
          <t>ML 3911 IR 44 (1808-10) – RL Haupt Liebler [4. Fus.] Komp. Nr. 41 (Comorn 19/09/1808); 8. Fus. Komp. Nr. 196 (Pappa 27/09/1810)</t>
        </r>
        <r>
          <rPr>
            <sz val="14"/>
            <color rgb="FF000000"/>
            <rFont val="Calibri"/>
            <family val="34"/>
          </rPr>
          <t xml:space="preserve">
</t>
        </r>
        <r>
          <rPr>
            <sz val="14"/>
            <color rgb="FF000000"/>
            <rFont val="Times New Roman"/>
            <family val="18"/>
          </rPr>
          <t>ML 391/3 IR 44 (1811) – 8. Fus. Komp. – Abgang (Sthulweissenburg 20/09/1811)</t>
        </r>
        <r>
          <rPr>
            <sz val="14"/>
            <color rgb="FF000000"/>
            <rFont val="Calibri"/>
            <family val="34"/>
          </rPr>
          <t xml:space="preserve">
</t>
        </r>
        <r>
          <rPr>
            <sz val="14"/>
            <color rgb="FF000000"/>
            <rFont val="Times New Roman"/>
            <family val="18"/>
          </rPr>
          <t>ML 3946 IR 44 (1802) – AL IR 43-&gt; IR 43 Nr. 84 (Zara 14/08/1802)</t>
        </r>
        <r>
          <rPr>
            <sz val="14"/>
            <color rgb="FF000000"/>
            <rFont val="Calibri"/>
            <family val="34"/>
          </rPr>
          <t xml:space="preserve">
</t>
        </r>
      </text>
    </comment>
    <comment ref="BH507" authorId="0" shapeId="0" xr:uid="{93AAB41C-67CC-3647-9C52-D203CBEEBB83}">
      <text>
        <r>
          <rPr>
            <sz val="14"/>
            <color rgb="FF000000"/>
            <rFont val="Calibri"/>
            <family val="34"/>
          </rPr>
          <t xml:space="preserve">IR 43 (1799-1802)
</t>
        </r>
        <r>
          <rPr>
            <sz val="14"/>
            <color rgb="FF000000"/>
            <rFont val="Calibri"/>
            <family val="34"/>
          </rPr>
          <t>IR 44 (1802-1810)</t>
        </r>
      </text>
    </comment>
    <comment ref="BI507" authorId="0" shapeId="0" xr:uid="{4AD09275-461A-C747-B064-0D650CEF38DE}">
      <text>
        <r>
          <rPr>
            <sz val="14"/>
            <color rgb="FF000000"/>
            <rFont val="Calibri"/>
            <family val="34"/>
          </rPr>
          <t>Gut [TL Aug 1802]</t>
        </r>
      </text>
    </comment>
    <comment ref="BF508" authorId="0" shapeId="0" xr:uid="{E0D7CD7C-8497-8E44-AA77-022EB0388CCC}">
      <text>
        <r>
          <rPr>
            <sz val="14"/>
            <color rgb="FF000000"/>
            <rFont val="Times New Roman"/>
            <family val="18"/>
          </rPr>
          <t xml:space="preserve">12/06/1799 </t>
        </r>
        <r>
          <rPr>
            <i/>
            <sz val="14"/>
            <color rgb="FF000000"/>
            <rFont val="Times New Roman"/>
            <family val="18"/>
          </rPr>
          <t>Von Werbbezirk a 3 Fl Handgeld ausgehoben und zum IR 1 4. Bataillon 4. Haupt Abrahamovich Komp. in Olmütz assentiert</t>
        </r>
        <r>
          <rPr>
            <sz val="14"/>
            <color rgb="FF000000"/>
            <rFont val="Times New Roman"/>
            <family val="18"/>
          </rPr>
          <t xml:space="preserve"> [ [AL June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 xml:space="preserve">In Folge hoher General Commando Verordnung von 18. 7ber untauglichkeit halber mit Laufpaß entlassen </t>
        </r>
        <r>
          <rPr>
            <sz val="14"/>
            <color rgb="FF000000"/>
            <rFont val="Times New Roman"/>
            <family val="18"/>
          </rPr>
          <t>[ST Sept 1799]</t>
        </r>
        <r>
          <rPr>
            <sz val="14"/>
            <color rgb="FF000000"/>
            <rFont val="Calibri"/>
            <family val="34"/>
          </rPr>
          <t xml:space="preserve">
</t>
        </r>
      </text>
    </comment>
    <comment ref="BG508" authorId="0" shapeId="0" xr:uid="{2389E18E-B943-714F-9F90-A9A366E3B67D}">
      <text>
        <r>
          <rPr>
            <sz val="14"/>
            <color rgb="FF000000"/>
            <rFont val="Times New Roman"/>
            <family val="18"/>
          </rPr>
          <t xml:space="preserve">ML 72 IR 1 (1799) – </t>
        </r>
        <r>
          <rPr>
            <sz val="14"/>
            <color rgb="FF000000"/>
            <rFont val="Times New Roman"/>
            <family val="18"/>
          </rPr>
          <t>ST June (Olmütz 28/09/1799), ST Sept (Olmütz 07/01/1800)</t>
        </r>
        <r>
          <rPr>
            <sz val="14"/>
            <color rgb="FF000000"/>
            <rFont val="Calibri"/>
            <family val="34"/>
          </rPr>
          <t xml:space="preserve">
</t>
        </r>
        <r>
          <rPr>
            <sz val="14"/>
            <color rgb="FF000000"/>
            <rFont val="Times New Roman"/>
            <family val="18"/>
          </rPr>
          <t xml:space="preserve">ML 73 IR 1 (1799) AL/TL – </t>
        </r>
        <r>
          <rPr>
            <sz val="14"/>
            <color rgb="FF000000"/>
            <rFont val="Times New Roman"/>
            <family val="18"/>
          </rPr>
          <t>AL Nr. 34 (Olmütz 28/06/1799)</t>
        </r>
      </text>
    </comment>
    <comment ref="BH508" authorId="0" shapeId="0" xr:uid="{D1FCDF45-4808-1543-BA13-FA8A2CDB56C3}">
      <text>
        <r>
          <rPr>
            <sz val="14"/>
            <color rgb="FF000000"/>
            <rFont val="Calibri"/>
            <family val="34"/>
          </rPr>
          <t>IR 1 (1799)</t>
        </r>
      </text>
    </comment>
    <comment ref="BF509" authorId="0" shapeId="0" xr:uid="{D952BAD7-768F-D146-BCAA-EF445920D4A6}">
      <text>
        <r>
          <rPr>
            <sz val="14"/>
            <color rgb="FF000000"/>
            <rFont val="Times New Roman"/>
            <family val="18"/>
          </rPr>
          <t xml:space="preserve">24/06/1799 </t>
        </r>
        <r>
          <rPr>
            <i/>
            <sz val="14"/>
            <color rgb="FF000000"/>
            <rFont val="Times New Roman"/>
            <family val="18"/>
          </rPr>
          <t>Als landständischer Recrout a 3Fl Handgeld zu Chelm auf Beständig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22/09/1802 Muster: IR 13 Haupt Tuzzi Komp. Nr. 47 [</t>
        </r>
        <r>
          <rPr>
            <i/>
            <sz val="14"/>
            <color rgb="FF000000"/>
            <rFont val="Times New Roman"/>
            <family val="18"/>
          </rPr>
          <t>Beurlaubt in Polen</t>
        </r>
        <r>
          <rPr>
            <sz val="14"/>
            <color rgb="FF000000"/>
            <rFont val="Times New Roman"/>
            <family val="18"/>
          </rPr>
          <t>]</t>
        </r>
        <r>
          <rPr>
            <sz val="14"/>
            <color rgb="FF000000"/>
            <rFont val="Times New Roman"/>
            <family val="18"/>
          </rPr>
          <t xml:space="preserve">
</t>
        </r>
        <r>
          <rPr>
            <sz val="14"/>
            <color rgb="FF000000"/>
            <rFont val="Times New Roman"/>
            <family val="18"/>
          </rPr>
          <t>16/09/1803 Muster: IR 13 Haupt Tuzzi Komp. Nr. 47 [</t>
        </r>
        <r>
          <rPr>
            <i/>
            <sz val="14"/>
            <color rgb="FF000000"/>
            <rFont val="Times New Roman"/>
            <family val="18"/>
          </rPr>
          <t>Auf unbestimmte Urlaub in seinem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unwissend verloren</t>
        </r>
        <r>
          <rPr>
            <sz val="14"/>
            <color rgb="FF000000"/>
            <rFont val="Times New Roman"/>
            <family val="18"/>
          </rPr>
          <t xml:space="preserve"> [ML 1806 &amp; ST Oct 1806]</t>
        </r>
        <r>
          <rPr>
            <sz val="14"/>
            <color rgb="FF000000"/>
            <rFont val="Times New Roman"/>
            <family val="18"/>
          </rPr>
          <t xml:space="preserve">
</t>
        </r>
      </text>
    </comment>
    <comment ref="BG509" authorId="0" shapeId="0" xr:uid="{7111D94A-0F38-F547-BA71-7F7DF214D322}">
      <text>
        <r>
          <rPr>
            <sz val="14"/>
            <color rgb="FF000000"/>
            <rFont val="Times New Roman"/>
            <family val="18"/>
          </rPr>
          <t>ML 10.045/6 IR 13 (1802) – Haupt Tuzzi Komp. Nr. 47 (Görz 22/09/1802)</t>
        </r>
        <r>
          <rPr>
            <sz val="14"/>
            <color rgb="FF000000"/>
            <rFont val="Times New Roman"/>
            <family val="18"/>
          </rPr>
          <t xml:space="preserve">
</t>
        </r>
        <r>
          <rPr>
            <sz val="14"/>
            <color rgb="FF000000"/>
            <rFont val="Times New Roman"/>
            <family val="18"/>
          </rPr>
          <t>ML 10.047/8 IR 13 (1803) – Haupt Tuzzi Komp. Nr. 47 (Exercierlager bei St. Andre in Friaul 16/09/1803)</t>
        </r>
        <r>
          <rPr>
            <sz val="14"/>
            <color rgb="FF000000"/>
            <rFont val="Times New Roman"/>
            <family val="18"/>
          </rPr>
          <t xml:space="preserve">
</t>
        </r>
        <r>
          <rPr>
            <sz val="14"/>
            <color rgb="FF000000"/>
            <rFont val="Times New Roman"/>
            <family val="18"/>
          </rPr>
          <t>ML 10.050/1 IR 13 (1806) – Haupt Novak Komp. Abgang (</t>
        </r>
        <r>
          <rPr>
            <sz val="14"/>
            <color rgb="FF000000"/>
            <rFont val="Times New Roman"/>
            <family val="18"/>
          </rPr>
          <t>Giuppana 16/01/1807)</t>
        </r>
        <r>
          <rPr>
            <sz val="14"/>
            <color rgb="FF000000"/>
            <rFont val="Times New Roman"/>
            <family val="18"/>
          </rPr>
          <t xml:space="preserve">
</t>
        </r>
        <r>
          <rPr>
            <sz val="14"/>
            <color rgb="FF000000"/>
            <rFont val="Times New Roman"/>
            <family val="18"/>
          </rPr>
          <t xml:space="preserve">ML 10.091 IR 13 (1806) </t>
        </r>
        <r>
          <rPr>
            <sz val="14"/>
            <color rgb="FF000000"/>
            <rFont val="Times New Roman"/>
            <family val="18"/>
          </rPr>
          <t>– ST Oct (16/01/1807)</t>
        </r>
        <r>
          <rPr>
            <sz val="14"/>
            <color rgb="FF000000"/>
            <rFont val="Times New Roman"/>
            <family val="18"/>
          </rPr>
          <t xml:space="preserve">
</t>
        </r>
      </text>
    </comment>
    <comment ref="BH509" authorId="0" shapeId="0" xr:uid="{2FD23459-E968-3847-9C0D-C659A76C3DB1}">
      <text>
        <r>
          <rPr>
            <sz val="14"/>
            <color rgb="FF000000"/>
            <rFont val="Calibri"/>
            <family val="34"/>
          </rPr>
          <t>IR 13 (1799-1806)</t>
        </r>
      </text>
    </comment>
    <comment ref="BF510" authorId="0" shapeId="0" xr:uid="{7099B1AA-0B1D-A845-9472-95A01B4E52FB}">
      <text>
        <r>
          <rPr>
            <sz val="14"/>
            <color rgb="FF000000"/>
            <rFont val="Times New Roman"/>
            <family val="18"/>
          </rPr>
          <t xml:space="preserve">29/06/1799 </t>
        </r>
        <r>
          <rPr>
            <i/>
            <sz val="14"/>
            <color rgb="FF000000"/>
            <rFont val="Times New Roman"/>
            <family val="18"/>
          </rPr>
          <t xml:space="preserve">a 3Fl zu Callenberg Infanterie </t>
        </r>
        <r>
          <rPr>
            <b/>
            <sz val="14"/>
            <color rgb="FF000000"/>
            <rFont val="Times New Roman"/>
            <family val="18"/>
          </rPr>
          <t>IR 54</t>
        </r>
        <r>
          <rPr>
            <i/>
            <sz val="14"/>
            <color rgb="FF000000"/>
            <rFont val="Times New Roman"/>
            <family val="18"/>
          </rPr>
          <t xml:space="preserve"> assentiert</t>
        </r>
        <r>
          <rPr>
            <sz val="14"/>
            <color rgb="FF000000"/>
            <rFont val="Calibri"/>
            <family val="34"/>
          </rPr>
          <t xml:space="preserve">
</t>
        </r>
        <r>
          <rPr>
            <sz val="14"/>
            <color rgb="FF000000"/>
            <rFont val="Times New Roman"/>
            <family val="18"/>
          </rPr>
          <t xml:space="preserve">06/10/1799 </t>
        </r>
        <r>
          <rPr>
            <i/>
            <sz val="14"/>
            <color rgb="FF000000"/>
            <rFont val="Times New Roman"/>
            <family val="18"/>
          </rPr>
          <t>Zum Stein Infanterie</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transferiert</t>
        </r>
        <r>
          <rPr>
            <sz val="14"/>
            <color rgb="FF000000"/>
            <rFont val="Calibri"/>
            <family val="34"/>
          </rPr>
          <t xml:space="preserve">
</t>
        </r>
        <r>
          <rPr>
            <sz val="14"/>
            <color rgb="FF000000"/>
            <rFont val="Times New Roman"/>
            <family val="18"/>
          </rPr>
          <t xml:space="preserve">21/11/1800 </t>
        </r>
        <r>
          <rPr>
            <i/>
            <sz val="14"/>
            <color rgb="FF000000"/>
            <rFont val="Times New Roman"/>
            <family val="18"/>
          </rPr>
          <t>Von Stein</t>
        </r>
        <r>
          <rPr>
            <sz val="14"/>
            <color rgb="FF000000"/>
            <rFont val="Times New Roman"/>
            <family val="18"/>
          </rPr>
          <t xml:space="preserve"> </t>
        </r>
        <r>
          <rPr>
            <b/>
            <sz val="14"/>
            <color rgb="FF000000"/>
            <rFont val="Times New Roman"/>
            <family val="18"/>
          </rPr>
          <t xml:space="preserve">IR 50 </t>
        </r>
        <r>
          <rPr>
            <i/>
            <sz val="14"/>
            <color rgb="FF000000"/>
            <rFont val="Times New Roman"/>
            <family val="18"/>
          </rPr>
          <t>zum</t>
        </r>
        <r>
          <rPr>
            <sz val="14"/>
            <color rgb="FF000000"/>
            <rFont val="Times New Roman"/>
            <family val="18"/>
          </rPr>
          <t xml:space="preserve"> </t>
        </r>
        <r>
          <rPr>
            <b/>
            <sz val="14"/>
            <color rgb="FF000000"/>
            <rFont val="Times New Roman"/>
            <family val="18"/>
          </rPr>
          <t>FAR 2</t>
        </r>
        <r>
          <rPr>
            <sz val="14"/>
            <color rgb="FF000000"/>
            <rFont val="Times New Roman"/>
            <family val="18"/>
          </rPr>
          <t xml:space="preserve"> </t>
        </r>
        <r>
          <rPr>
            <i/>
            <sz val="14"/>
            <color rgb="FF000000"/>
            <rFont val="Times New Roman"/>
            <family val="18"/>
          </rPr>
          <t>transferiert</t>
        </r>
        <r>
          <rPr>
            <sz val="14"/>
            <color rgb="FF000000"/>
            <rFont val="Calibri"/>
            <family val="34"/>
          </rPr>
          <t xml:space="preserve">
</t>
        </r>
        <r>
          <rPr>
            <sz val="14"/>
            <color rgb="FF000000"/>
            <rFont val="Times New Roman"/>
            <family val="18"/>
          </rPr>
          <t xml:space="preserve">06/03/1804 </t>
        </r>
        <r>
          <rPr>
            <i/>
            <sz val="14"/>
            <color rgb="FF000000"/>
            <rFont val="Times New Roman"/>
            <family val="18"/>
          </rPr>
          <t>Von 2. Major Comp. zum 4. Ordinaire transferiert und zum Cannonier avanciert</t>
        </r>
        <r>
          <rPr>
            <sz val="14"/>
            <color rgb="FF000000"/>
            <rFont val="Calibri"/>
            <family val="34"/>
          </rPr>
          <t xml:space="preserve">
</t>
        </r>
        <r>
          <rPr>
            <sz val="14"/>
            <color rgb="FF000000"/>
            <rFont val="Times New Roman"/>
            <family val="18"/>
          </rPr>
          <t>06/08/1804 Musterung: FAR 2 4. Ordinaire Comp Nr. 109 [</t>
        </r>
        <r>
          <rPr>
            <i/>
            <sz val="14"/>
            <color rgb="FF000000"/>
            <rFont val="Times New Roman"/>
            <family val="18"/>
          </rPr>
          <t>Commandiert zu Palma Nova in Italien</t>
        </r>
        <r>
          <rPr>
            <sz val="14"/>
            <color rgb="FF000000"/>
            <rFont val="Times New Roman"/>
            <family val="18"/>
          </rPr>
          <t>]</t>
        </r>
        <r>
          <rPr>
            <sz val="14"/>
            <color rgb="FF000000"/>
            <rFont val="Calibri"/>
            <family val="34"/>
          </rPr>
          <t xml:space="preserve">
</t>
        </r>
        <r>
          <rPr>
            <sz val="14"/>
            <color rgb="FF000000"/>
            <rFont val="Times New Roman"/>
            <family val="18"/>
          </rPr>
          <t>12/12/1806 Musterung: FAR 2 4. Ordinaire Comp Nr. 82 [</t>
        </r>
        <r>
          <rPr>
            <i/>
            <sz val="14"/>
            <color rgb="FF000000"/>
            <rFont val="Times New Roman"/>
            <family val="18"/>
          </rPr>
          <t>Commandiert zu Triest</t>
        </r>
        <r>
          <rPr>
            <sz val="14"/>
            <color rgb="FF000000"/>
            <rFont val="Times New Roman"/>
            <family val="18"/>
          </rPr>
          <t>]</t>
        </r>
        <r>
          <rPr>
            <sz val="14"/>
            <color rgb="FF000000"/>
            <rFont val="Calibri"/>
            <family val="34"/>
          </rPr>
          <t xml:space="preserve">
</t>
        </r>
      </text>
    </comment>
    <comment ref="BG510" authorId="0" shapeId="0" xr:uid="{7A60559A-E2EC-B04A-9BED-4A052CF8845F}">
      <text>
        <r>
          <rPr>
            <sz val="14"/>
            <color rgb="FF000000"/>
            <rFont val="Times New Roman"/>
            <family val="18"/>
          </rPr>
          <t>ML 8056 FAR 2 – 2. Major Comp – Abgang (Palma Nova 02/08/1804) und 4. Ord. Comp. Nr. 109 (Wien Rennweg 06/08/1804)</t>
        </r>
        <r>
          <rPr>
            <sz val="14"/>
            <color rgb="FF000000"/>
            <rFont val="Calibri"/>
            <family val="34"/>
          </rPr>
          <t xml:space="preserve">
</t>
        </r>
        <r>
          <rPr>
            <sz val="14"/>
            <color rgb="FF000000"/>
            <rFont val="Times New Roman"/>
            <family val="18"/>
          </rPr>
          <t>ML 8057 FAR 2 – 4. Ord. Comp. Nr. 82 (Graz 12/12/1806)</t>
        </r>
      </text>
    </comment>
    <comment ref="BH510" authorId="0" shapeId="0" xr:uid="{5B920656-9EF8-864D-A9D4-2524E771BE8E}">
      <text>
        <r>
          <rPr>
            <sz val="14"/>
            <color rgb="FF000000"/>
            <rFont val="Calibri"/>
            <family val="34"/>
          </rPr>
          <t xml:space="preserve">IR 54 (1799)
</t>
        </r>
        <r>
          <rPr>
            <sz val="14"/>
            <color rgb="FF000000"/>
            <rFont val="Calibri"/>
            <family val="34"/>
          </rPr>
          <t xml:space="preserve">IR 30 (1799-1800)
</t>
        </r>
        <r>
          <rPr>
            <sz val="14"/>
            <color rgb="FF000000"/>
            <rFont val="Calibri"/>
            <family val="34"/>
          </rPr>
          <t>FAR 2 (1800-1806)</t>
        </r>
      </text>
    </comment>
    <comment ref="BF511" authorId="0" shapeId="0" xr:uid="{4EA5D6AF-B57D-6743-836B-EEAF61C74877}">
      <text>
        <r>
          <rPr>
            <sz val="14"/>
            <color rgb="FF000000"/>
            <rFont val="Times New Roman"/>
            <family val="18"/>
          </rPr>
          <t xml:space="preserve">In 07/1799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Ins Reserve Division eingeruckt</t>
        </r>
        <r>
          <rPr>
            <sz val="14"/>
            <color rgb="FF000000"/>
            <rFont val="Calibri"/>
            <family val="34"/>
          </rPr>
          <t xml:space="preserve">
</t>
        </r>
        <r>
          <rPr>
            <sz val="14"/>
            <color rgb="FF000000"/>
            <rFont val="Times New Roman"/>
            <family val="18"/>
          </rPr>
          <t xml:space="preserve">20/10/1799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07/01/1800 </t>
        </r>
        <r>
          <rPr>
            <i/>
            <sz val="14"/>
            <color rgb="FF000000"/>
            <rFont val="Times New Roman"/>
            <family val="18"/>
          </rPr>
          <t>Zu Laibach in loco gestorben</t>
        </r>
        <r>
          <rPr>
            <sz val="14"/>
            <color rgb="FF000000"/>
            <rFont val="Times New Roman"/>
            <family val="18"/>
          </rPr>
          <t xml:space="preserve"> [ST Jan 1800]</t>
        </r>
        <r>
          <rPr>
            <sz val="14"/>
            <color rgb="FF000000"/>
            <rFont val="Calibri"/>
            <family val="34"/>
          </rPr>
          <t xml:space="preserve">
</t>
        </r>
      </text>
    </comment>
    <comment ref="BG511" authorId="0" shapeId="0" xr:uid="{9BB62692-E812-B448-B984-6BECE57D0561}">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text>
    </comment>
    <comment ref="BH511" authorId="0" shapeId="0" xr:uid="{08D289DD-E73A-9F45-8C14-1270B85FADBB}">
      <text>
        <r>
          <rPr>
            <sz val="14"/>
            <color rgb="FF000000"/>
            <rFont val="Calibri"/>
            <family val="34"/>
          </rPr>
          <t>IR 43 (1799-1800)</t>
        </r>
      </text>
    </comment>
    <comment ref="I512" authorId="0" shapeId="0" xr:uid="{4F37C402-022D-0C40-9DB4-1FB47C91F934}">
      <text>
        <r>
          <rPr>
            <sz val="14"/>
            <color rgb="FF000000"/>
            <rFont val="Calibri"/>
            <family val="34"/>
          </rPr>
          <t xml:space="preserve">1772 [28 (1800)] 
</t>
        </r>
        <r>
          <rPr>
            <sz val="14"/>
            <color rgb="FF000000"/>
            <rFont val="Calibri"/>
            <family val="34"/>
          </rPr>
          <t xml:space="preserve">OR 
</t>
        </r>
        <r>
          <rPr>
            <sz val="14"/>
            <color rgb="FF000000"/>
            <rFont val="Calibri"/>
            <family val="34"/>
          </rPr>
          <t xml:space="preserve">1770 [32 (1802)]
</t>
        </r>
        <r>
          <rPr>
            <sz val="14"/>
            <color rgb="FF000000"/>
            <rFont val="Calibri"/>
            <family val="34"/>
          </rPr>
          <t xml:space="preserve">OR 
</t>
        </r>
        <r>
          <rPr>
            <sz val="14"/>
            <color rgb="FF000000"/>
            <rFont val="Calibri"/>
            <family val="34"/>
          </rPr>
          <t>1771 [32 (1803)]</t>
        </r>
      </text>
    </comment>
    <comment ref="T512" authorId="0" shapeId="0" xr:uid="{59AD6525-DDCA-8A4F-BFC0-C861A77ACEC9}">
      <text>
        <r>
          <rPr>
            <sz val="14"/>
            <color rgb="FF000000"/>
            <rFont val="Calibri"/>
            <family val="34"/>
          </rPr>
          <t xml:space="preserve">5.5.3  [171.81 cm] (1800)
</t>
        </r>
        <r>
          <rPr>
            <sz val="14"/>
            <color rgb="FF000000"/>
            <rFont val="Calibri"/>
            <family val="34"/>
          </rPr>
          <t>5.3.1 [176.85 cm] (1802/3)</t>
        </r>
      </text>
    </comment>
    <comment ref="BF512" authorId="0" shapeId="0" xr:uid="{001D2217-F1D9-C94B-9202-E0001C59AA22}">
      <text>
        <r>
          <rPr>
            <sz val="14"/>
            <color rgb="FF000000"/>
            <rFont val="Times New Roman"/>
            <family val="18"/>
          </rPr>
          <t xml:space="preserve">??/07/1799 </t>
        </r>
        <r>
          <rPr>
            <i/>
            <sz val="14"/>
            <color rgb="FF000000"/>
            <rFont val="Times New Roman"/>
            <family val="18"/>
          </rPr>
          <t>Assentiert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31/10/1799 [Bevor]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31/10/1799 </t>
        </r>
        <r>
          <rPr>
            <i/>
            <sz val="14"/>
            <color rgb="FF000000"/>
            <rFont val="Times New Roman"/>
            <family val="18"/>
          </rPr>
          <t>Krank auswärts mit Kriegsgebühr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06/06/1800 </t>
        </r>
        <r>
          <rPr>
            <i/>
            <sz val="14"/>
            <color rgb="FF000000"/>
            <rFont val="Times New Roman"/>
            <family val="18"/>
          </rPr>
          <t>Auf dem Marsch ins Regiment</t>
        </r>
        <r>
          <rPr>
            <sz val="14"/>
            <color rgb="FF000000"/>
            <rFont val="Times New Roman"/>
            <family val="18"/>
          </rPr>
          <t xml:space="preserve"> [ST Juni 1800]</t>
        </r>
        <r>
          <rPr>
            <sz val="14"/>
            <color rgb="FF000000"/>
            <rFont val="Calibri"/>
            <family val="34"/>
          </rPr>
          <t xml:space="preserve">
</t>
        </r>
        <r>
          <rPr>
            <sz val="14"/>
            <color rgb="FFFF0000"/>
            <rFont val="Times New Roman"/>
            <family val="18"/>
          </rPr>
          <t xml:space="preserve">14/06/1800 </t>
        </r>
        <r>
          <rPr>
            <i/>
            <sz val="14"/>
            <color rgb="FFFF0000"/>
            <rFont val="Times New Roman"/>
            <family val="18"/>
          </rPr>
          <t>Von Ständen gestellt</t>
        </r>
        <r>
          <rPr>
            <sz val="14"/>
            <color rgb="FFFF0000"/>
            <rFont val="Times New Roman"/>
            <family val="18"/>
          </rPr>
          <t xml:space="preserve"> [ML 1802] </t>
        </r>
        <r>
          <rPr>
            <sz val="14"/>
            <color rgb="FF000000"/>
            <rFont val="Calibri"/>
            <family val="34"/>
          </rPr>
          <t xml:space="preserve">
</t>
        </r>
        <r>
          <rPr>
            <sz val="14"/>
            <color rgb="FF000000"/>
            <rFont val="Times New Roman"/>
            <family val="18"/>
          </rPr>
          <t xml:space="preserve">01/07/1800 </t>
        </r>
        <r>
          <rPr>
            <i/>
            <sz val="14"/>
            <color rgb="FF000000"/>
            <rFont val="Times New Roman"/>
            <family val="18"/>
          </rPr>
          <t xml:space="preserve">Von der Reserve Division in ObristLt Comp. transferiert </t>
        </r>
        <r>
          <rPr>
            <sz val="14"/>
            <color rgb="FF000000"/>
            <rFont val="Times New Roman"/>
            <family val="18"/>
          </rPr>
          <t>[ST July 1800]</t>
        </r>
        <r>
          <rPr>
            <sz val="14"/>
            <color rgb="FF000000"/>
            <rFont val="Calibri"/>
            <family val="34"/>
          </rPr>
          <t xml:space="preserve">
</t>
        </r>
        <r>
          <rPr>
            <sz val="14"/>
            <color rgb="FF000000"/>
            <rFont val="Times New Roman"/>
            <family val="18"/>
          </rPr>
          <t>28/08/1802 Muster: IR 43 ObristLt. Komp. Nr. 118</t>
        </r>
        <r>
          <rPr>
            <sz val="14"/>
            <color rgb="FF000000"/>
            <rFont val="Calibri"/>
            <family val="34"/>
          </rPr>
          <t xml:space="preserve">
</t>
        </r>
        <r>
          <rPr>
            <sz val="14"/>
            <color rgb="FF000000"/>
            <rFont val="Times New Roman"/>
            <family val="18"/>
          </rPr>
          <t xml:space="preserve">01/10/1802 </t>
        </r>
        <r>
          <rPr>
            <i/>
            <sz val="14"/>
            <color rgb="FF000000"/>
            <rFont val="Times New Roman"/>
            <family val="18"/>
          </rPr>
          <t xml:space="preserve">Auf bestimmte Zeit beurlaubt; mit Deutschen Gebühr und Teuerungsbeitrag, bis 3 mit ungarische Gebühr Ohne Teuerungsbeitrag, bis 05 huj: Verpflegt </t>
        </r>
        <r>
          <rPr>
            <sz val="14"/>
            <color rgb="FF000000"/>
            <rFont val="Times New Roman"/>
            <family val="18"/>
          </rPr>
          <t>[ST Oct 1802]</t>
        </r>
        <r>
          <rPr>
            <sz val="14"/>
            <color rgb="FF000000"/>
            <rFont val="Calibri"/>
            <family val="34"/>
          </rPr>
          <t xml:space="preserve">
</t>
        </r>
        <r>
          <rPr>
            <sz val="14"/>
            <color rgb="FF000000"/>
            <rFont val="Times New Roman"/>
            <family val="18"/>
          </rPr>
          <t xml:space="preserve">01/11/1802 bis 05/11/1802 und 16/11/1802 bis 30/11/1802 </t>
        </r>
        <r>
          <rPr>
            <i/>
            <sz val="14"/>
            <color rgb="FF000000"/>
            <rFont val="Times New Roman"/>
            <family val="18"/>
          </rPr>
          <t>Auf Marsch nach Galizien</t>
        </r>
        <r>
          <rPr>
            <sz val="14"/>
            <color rgb="FF000000"/>
            <rFont val="Times New Roman"/>
            <family val="18"/>
          </rPr>
          <t xml:space="preserve"> [ST Sept 1803] [SIC!]</t>
        </r>
        <r>
          <rPr>
            <sz val="14"/>
            <color rgb="FF000000"/>
            <rFont val="Calibri"/>
            <family val="34"/>
          </rPr>
          <t xml:space="preserve">
</t>
        </r>
        <r>
          <rPr>
            <sz val="14"/>
            <color rgb="FF000000"/>
            <rFont val="Times New Roman"/>
            <family val="18"/>
          </rPr>
          <t xml:space="preserve">??/01/1803 </t>
        </r>
        <r>
          <rPr>
            <i/>
            <sz val="14"/>
            <color rgb="FF000000"/>
            <rFont val="Times New Roman"/>
            <family val="18"/>
          </rPr>
          <t>Wurde von Bestimmt zu unbestimmt Urlaub übersetzt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At Muster 02/11/1803 Muster: IR 43 ObristLt. Komp. Nr. 105 [</t>
        </r>
        <r>
          <rPr>
            <i/>
            <sz val="14"/>
            <color rgb="FF000000"/>
            <rFont val="Times New Roman"/>
            <family val="18"/>
          </rPr>
          <t>Aus unbestimmte Urlaub zu Krasnick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29/02/1804 </t>
        </r>
        <r>
          <rPr>
            <i/>
            <sz val="14"/>
            <color rgb="FF000000"/>
            <rFont val="Times New Roman"/>
            <family val="18"/>
          </rPr>
          <t>In Folge hoher Militar Commando Bewilligung dtto. Zara am 16. Marz 803 gegen Stellung 2er Capitula: Ausländer Recouten Iwan Wasiliew zu Fürst Reis Inf. Nr. 55 und Joseph Dabrowsky zu Lindenau Inft. Nro 29. Und Erlag des doppelten Montur Geldes mit Abschied entlassen</t>
        </r>
        <r>
          <rPr>
            <sz val="14"/>
            <color rgb="FF000000"/>
            <rFont val="Times New Roman"/>
            <family val="18"/>
          </rPr>
          <t xml:space="preserve"> [ST March 1804 &amp; ML 1804]</t>
        </r>
        <r>
          <rPr>
            <sz val="14"/>
            <color rgb="FF000000"/>
            <rFont val="Calibri"/>
            <family val="34"/>
          </rPr>
          <t xml:space="preserve">
</t>
        </r>
      </text>
    </comment>
    <comment ref="BG512" authorId="0" shapeId="0" xr:uid="{DBD1C541-C3FB-144A-8CF3-6B7DFA1E3CEF}">
      <text>
        <r>
          <rPr>
            <sz val="14"/>
            <color rgb="FF000000"/>
            <rFont val="Times New Roman"/>
            <family val="18"/>
          </rPr>
          <t>ML 10.272 IR 43 (1802) – ObristLt Komp. Nr. 118 (Cattaro 28/08/1802)</t>
        </r>
        <r>
          <rPr>
            <sz val="14"/>
            <color rgb="FF000000"/>
            <rFont val="Calibri"/>
            <family val="34"/>
          </rPr>
          <t xml:space="preserve">
</t>
        </r>
        <r>
          <rPr>
            <sz val="14"/>
            <color rgb="FF000000"/>
            <rFont val="Times New Roman"/>
            <family val="18"/>
          </rPr>
          <t>ML 10.273 IR 43 (1803) – ObristLt Komp. Nr. 105 (Cattaro 02/11/1803)</t>
        </r>
        <r>
          <rPr>
            <sz val="14"/>
            <color rgb="FF000000"/>
            <rFont val="Calibri"/>
            <family val="34"/>
          </rPr>
          <t xml:space="preserve">
</t>
        </r>
        <r>
          <rPr>
            <sz val="14"/>
            <color rgb="FF000000"/>
            <rFont val="Times New Roman"/>
            <family val="18"/>
          </rPr>
          <t>ML 10.274 IR 43 (1804) – ObristLt Comp. Abgang (Theodo 05/10/1804)</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Juni (27/08/1803), Juli (24/10/1803)</t>
        </r>
        <r>
          <rPr>
            <sz val="14"/>
            <color rgb="FF000000"/>
            <rFont val="Calibri"/>
            <family val="34"/>
          </rPr>
          <t xml:space="preserve">
</t>
        </r>
        <r>
          <rPr>
            <sz val="14"/>
            <color rgb="FF000000"/>
            <rFont val="Times New Roman"/>
            <family val="18"/>
          </rPr>
          <t>ML 10.310 IR 43 (1800) – TL IR 43 Res Div -&gt; FELD Bats Nr. 9 (Laibach 05/06/1800)</t>
        </r>
        <r>
          <rPr>
            <sz val="14"/>
            <color rgb="FF000000"/>
            <rFont val="Calibri"/>
            <family val="34"/>
          </rPr>
          <t xml:space="preserve">
</t>
        </r>
        <r>
          <rPr>
            <sz val="14"/>
            <color rgb="FF000000"/>
            <rFont val="Times New Roman"/>
            <family val="18"/>
          </rPr>
          <t>ML 10.312 IR 43 (1802) – ST Oct (15/10/1802)</t>
        </r>
        <r>
          <rPr>
            <sz val="14"/>
            <color rgb="FF000000"/>
            <rFont val="Calibri"/>
            <family val="34"/>
          </rPr>
          <t xml:space="preserve">
</t>
        </r>
        <r>
          <rPr>
            <sz val="14"/>
            <color rgb="FF000000"/>
            <rFont val="Times New Roman"/>
            <family val="18"/>
          </rPr>
          <t>ML 10.313 IR 43 (1803) – ST Jan (15/02/1803), Sept (15/10/1803)</t>
        </r>
        <r>
          <rPr>
            <sz val="14"/>
            <color rgb="FF000000"/>
            <rFont val="Calibri"/>
            <family val="34"/>
          </rPr>
          <t xml:space="preserve">
</t>
        </r>
        <r>
          <rPr>
            <sz val="14"/>
            <color rgb="FF000000"/>
            <rFont val="Times New Roman"/>
            <family val="18"/>
          </rPr>
          <t>ML 10.314 IR 43 (1804) – ST März (15/04/1804)</t>
        </r>
        <r>
          <rPr>
            <sz val="14"/>
            <color rgb="FF000000"/>
            <rFont val="Calibri"/>
            <family val="34"/>
          </rPr>
          <t xml:space="preserve">
</t>
        </r>
      </text>
    </comment>
    <comment ref="BH512" authorId="0" shapeId="0" xr:uid="{80DD8672-538D-8741-9126-EFF9F9F962AF}">
      <text>
        <r>
          <rPr>
            <sz val="14"/>
            <color rgb="FF000000"/>
            <rFont val="Calibri"/>
            <family val="34"/>
          </rPr>
          <t>IR 43 (1799-1804)</t>
        </r>
      </text>
    </comment>
    <comment ref="BF513" authorId="0" shapeId="0" xr:uid="{B0EEEA14-367D-2143-9F3A-81432E6CE318}">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25/05/1800 </t>
        </r>
        <r>
          <rPr>
            <i/>
            <sz val="14"/>
            <color rgb="FF000000"/>
            <rFont val="Times New Roman"/>
            <family val="18"/>
          </rPr>
          <t>In Folge hohe Verordnung als untauglich mit Laufpass entlassen</t>
        </r>
        <r>
          <rPr>
            <sz val="14"/>
            <color rgb="FF000000"/>
            <rFont val="Times New Roman"/>
            <family val="18"/>
          </rPr>
          <t xml:space="preserve"> </t>
        </r>
        <r>
          <rPr>
            <i/>
            <sz val="14"/>
            <color rgb="FF000000"/>
            <rFont val="Times New Roman"/>
            <family val="18"/>
          </rPr>
          <t>und</t>
        </r>
        <r>
          <rPr>
            <sz val="14"/>
            <color rgb="FF000000"/>
            <rFont val="Times New Roman"/>
            <family val="18"/>
          </rPr>
          <t xml:space="preserve"> </t>
        </r>
        <r>
          <rPr>
            <i/>
            <sz val="14"/>
            <color rgb="FF000000"/>
            <rFont val="Times New Roman"/>
            <family val="18"/>
          </rPr>
          <t>wurde durch den Rekruten Eli BORUCH ersetzt</t>
        </r>
        <r>
          <rPr>
            <sz val="14"/>
            <color rgb="FF000000"/>
            <rFont val="Times New Roman"/>
            <family val="18"/>
          </rPr>
          <t>. [ST Aug 1800]</t>
        </r>
        <r>
          <rPr>
            <sz val="14"/>
            <color rgb="FF000000"/>
            <rFont val="Calibri"/>
            <family val="34"/>
          </rPr>
          <t xml:space="preserve">
</t>
        </r>
      </text>
    </comment>
    <comment ref="BG513" authorId="0" shapeId="0" xr:uid="{E82BFB00-11FC-334D-81F0-1F9F11608362}">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text>
    </comment>
    <comment ref="BH513" authorId="0" shapeId="0" xr:uid="{BE22BFFC-AE27-644A-B7AA-0C99608597B9}">
      <text>
        <r>
          <rPr>
            <sz val="14"/>
            <color rgb="FF000000"/>
            <rFont val="Calibri"/>
            <family val="34"/>
          </rPr>
          <t>IR 43 (1799-1800)</t>
        </r>
      </text>
    </comment>
    <comment ref="BF514" authorId="0" shapeId="0" xr:uid="{14273C0A-CEF9-9B44-88C5-D7BDB7BC1CA2}">
      <text>
        <r>
          <rPr>
            <sz val="14"/>
            <color rgb="FF000000"/>
            <rFont val="Times New Roman"/>
            <family val="18"/>
          </rPr>
          <t xml:space="preserve">??/07/1799 </t>
        </r>
        <r>
          <rPr>
            <i/>
            <sz val="14"/>
            <color rgb="FF000000"/>
            <rFont val="Times New Roman"/>
            <family val="18"/>
          </rPr>
          <t>Von Ständen gestellt und seitdem auf Anhero Marsch mit Friedensgebuhr</t>
        </r>
        <r>
          <rPr>
            <sz val="14"/>
            <color rgb="FF000000"/>
            <rFont val="Times New Roman"/>
            <family val="18"/>
          </rPr>
          <t xml:space="preserve"> [TL May 1800 &amp; ST Nov 1799]</t>
        </r>
        <r>
          <rPr>
            <sz val="14"/>
            <color rgb="FF000000"/>
            <rFont val="Calibri"/>
            <family val="34"/>
          </rPr>
          <t xml:space="preserve">
</t>
        </r>
        <r>
          <rPr>
            <sz val="14"/>
            <color rgb="FF000000"/>
            <rFont val="Times New Roman"/>
            <family val="18"/>
          </rPr>
          <t xml:space="preserve">12/11/1799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05/06/1800 </t>
        </r>
        <r>
          <rPr>
            <i/>
            <sz val="14"/>
            <color rgb="FF000000"/>
            <rFont val="Times New Roman"/>
            <family val="18"/>
          </rPr>
          <t>Auf Anhero Marsch in Regiment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26/09/1800 </t>
        </r>
        <r>
          <rPr>
            <i/>
            <sz val="14"/>
            <color rgb="FF000000"/>
            <rFont val="Times New Roman"/>
            <family val="18"/>
          </rPr>
          <t>Zugeheilt zu Regiment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15/10/1800 </t>
        </r>
        <r>
          <rPr>
            <i/>
            <sz val="14"/>
            <color rgb="FF000000"/>
            <rFont val="Times New Roman"/>
            <family val="18"/>
          </rPr>
          <t>Wieder am Marsch zum Regiment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 nicht mehr in die Quellen</t>
        </r>
        <r>
          <rPr>
            <sz val="14"/>
            <color rgb="FF000000"/>
            <rFont val="Calibri"/>
            <family val="34"/>
          </rPr>
          <t xml:space="preserve">
</t>
        </r>
      </text>
    </comment>
    <comment ref="BG514" authorId="0" shapeId="0" xr:uid="{BA9E2023-89F9-6843-8B21-65ABE360A3B9}">
      <text>
        <r>
          <rPr>
            <sz val="14"/>
            <color rgb="FF000000"/>
            <rFont val="Times New Roman"/>
            <family val="18"/>
          </rPr>
          <t>ML 10.308 IR 43 (1799) – Nov (12/10/1800), Dez (01/11/1800)</t>
        </r>
        <r>
          <rPr>
            <sz val="14"/>
            <color rgb="FF000000"/>
            <rFont val="Calibri"/>
            <family val="34"/>
          </rPr>
          <t xml:space="preserve">
</t>
        </r>
        <r>
          <rPr>
            <sz val="14"/>
            <color rgb="FF000000"/>
            <rFont val="Times New Roman"/>
            <family val="18"/>
          </rPr>
          <t>ML 10.309 IR 43 (1800) – ST Juni (27/08/1803), Sept (31/01/1804), Oct (22/03/1804)</t>
        </r>
        <r>
          <rPr>
            <sz val="14"/>
            <color rgb="FF000000"/>
            <rFont val="Calibri"/>
            <family val="34"/>
          </rPr>
          <t xml:space="preserve">
</t>
        </r>
        <r>
          <rPr>
            <sz val="14"/>
            <color rgb="FF000000"/>
            <rFont val="Times New Roman"/>
            <family val="18"/>
          </rPr>
          <t>ML 10.310 IR 43 (1800) – TL IR 43 Res. Div-&gt; Feld Bats Nr. 16 (Laibach 05/06/1800)</t>
        </r>
        <r>
          <rPr>
            <sz val="14"/>
            <color rgb="FF000000"/>
            <rFont val="Calibri"/>
            <family val="34"/>
          </rPr>
          <t xml:space="preserve">
</t>
        </r>
      </text>
    </comment>
    <comment ref="BH514" authorId="0" shapeId="0" xr:uid="{02675ACE-E8A5-3942-8027-3749495E8417}">
      <text>
        <r>
          <rPr>
            <sz val="14"/>
            <color rgb="FF000000"/>
            <rFont val="Calibri"/>
            <family val="34"/>
          </rPr>
          <t>IR 43 (1799-1800)</t>
        </r>
      </text>
    </comment>
    <comment ref="I515" authorId="0" shapeId="0" xr:uid="{F4CE10CC-CF69-564B-8CB4-4EE240119C3E}">
      <text>
        <r>
          <rPr>
            <sz val="14"/>
            <color rgb="FF000000"/>
            <rFont val="Calibri"/>
            <family val="34"/>
          </rPr>
          <t xml:space="preserve">1777 [29 (1806)] 
</t>
        </r>
        <r>
          <rPr>
            <sz val="14"/>
            <color rgb="FF000000"/>
            <rFont val="Calibri"/>
            <family val="34"/>
          </rPr>
          <t xml:space="preserve">OR 
</t>
        </r>
        <r>
          <rPr>
            <sz val="14"/>
            <color rgb="FF000000"/>
            <rFont val="Calibri"/>
            <family val="34"/>
          </rPr>
          <t>1780 [22 (1802)</t>
        </r>
      </text>
    </comment>
    <comment ref="P515" authorId="0" shapeId="0" xr:uid="{AD1B89E2-91E8-8A4A-88BE-FC3A719B32DB}">
      <text>
        <r>
          <rPr>
            <sz val="14"/>
            <color rgb="FF000000"/>
            <rFont val="Times New Roman"/>
            <family val="18"/>
          </rPr>
          <t>Maiana (1796)</t>
        </r>
      </text>
    </comment>
    <comment ref="BF515" authorId="0" shapeId="0" xr:uid="{06409167-E149-C341-8C6F-19AA5615FCCA}">
      <text>
        <r>
          <rPr>
            <sz val="14"/>
            <color rgb="FFFF0000"/>
            <rFont val="Times New Roman"/>
            <family val="18"/>
          </rPr>
          <t xml:space="preserve">05/12/1798 </t>
        </r>
        <r>
          <rPr>
            <i/>
            <sz val="14"/>
            <color rgb="FFFF0000"/>
            <rFont val="Times New Roman"/>
            <family val="18"/>
          </rPr>
          <t>Gegen 3Fl auf Beständig assentiert</t>
        </r>
        <r>
          <rPr>
            <sz val="14"/>
            <color rgb="FFFF0000"/>
            <rFont val="Times New Roman"/>
            <family val="18"/>
          </rPr>
          <t xml:space="preserve"> [TL Aug 1802 &amp; ML 1803]</t>
        </r>
        <r>
          <rPr>
            <sz val="14"/>
            <color rgb="FF000000"/>
            <rFont val="Calibri"/>
            <family val="34"/>
          </rPr>
          <t xml:space="preserve">
</t>
        </r>
        <r>
          <rPr>
            <sz val="14"/>
            <color rgb="FF000000"/>
            <rFont val="Times New Roman"/>
            <family val="18"/>
          </rPr>
          <t xml:space="preserve">In 07/1799 </t>
        </r>
        <r>
          <rPr>
            <i/>
            <sz val="14"/>
            <color rgb="FF000000"/>
            <rFont val="Times New Roman"/>
            <family val="18"/>
          </rPr>
          <t>Assentiert und seitdem auf Anhero Marsch mit Friedensgebühr</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die Reserve Division eingerückt</t>
        </r>
        <r>
          <rPr>
            <sz val="14"/>
            <color rgb="FF000000"/>
            <rFont val="Calibri"/>
            <family val="34"/>
          </rPr>
          <t xml:space="preserve">
</t>
        </r>
        <r>
          <rPr>
            <sz val="14"/>
            <color rgb="FF000000"/>
            <rFont val="Times New Roman"/>
            <family val="18"/>
          </rPr>
          <t xml:space="preserve">31/10/1799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die Leib Companie eingerückt</t>
        </r>
        <r>
          <rPr>
            <sz val="14"/>
            <color rgb="FF000000"/>
            <rFont val="Times New Roman"/>
            <family val="18"/>
          </rPr>
          <t xml:space="preserve"> [ST Feb 1800] </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30/06/1801 </t>
        </r>
        <r>
          <rPr>
            <i/>
            <sz val="14"/>
            <color rgb="FF000000"/>
            <rFont val="Times New Roman"/>
            <family val="18"/>
          </rPr>
          <t>Rekonvalesziert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Lieb Komp. zum IR 44 transferiert und zur Haupt Wicka Komp. eingeheilt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Haupt Wicka Komp. Nr. 94</t>
        </r>
        <r>
          <rPr>
            <sz val="14"/>
            <color rgb="FF000000"/>
            <rFont val="Calibri"/>
            <family val="34"/>
          </rPr>
          <t xml:space="preserve">
</t>
        </r>
        <r>
          <rPr>
            <sz val="14"/>
            <color rgb="FF000000"/>
            <rFont val="Times New Roman"/>
            <family val="18"/>
          </rPr>
          <t>12/05/1804 Muster: IR 44 Haupt Eckhardt Nr. 85 [</t>
        </r>
        <r>
          <rPr>
            <i/>
            <sz val="14"/>
            <color rgb="FF000000"/>
            <rFont val="Times New Roman"/>
            <family val="18"/>
          </rPr>
          <t>Beurlaubt zu Oppole in Pohlen bis zur Ezercierzeit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Eckhard Komp. Nr. 125</t>
        </r>
        <r>
          <rPr>
            <sz val="14"/>
            <color rgb="FF000000"/>
            <rFont val="Calibri"/>
            <family val="34"/>
          </rPr>
          <t xml:space="preserve">
</t>
        </r>
        <r>
          <rPr>
            <sz val="14"/>
            <color rgb="FF000000"/>
            <rFont val="Times New Roman"/>
            <family val="18"/>
          </rPr>
          <t>19/09/1808 Revision: IR 44 Haupt Eckhard Komp. Nr. 88 [</t>
        </r>
        <r>
          <rPr>
            <i/>
            <sz val="14"/>
            <color rgb="FF000000"/>
            <rFont val="Times New Roman"/>
            <family val="18"/>
          </rPr>
          <t>Auf Conscription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3.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16/02/1810 </t>
        </r>
        <r>
          <rPr>
            <i/>
            <sz val="14"/>
            <color rgb="FF000000"/>
            <rFont val="Times New Roman"/>
            <family val="18"/>
          </rPr>
          <t>Von 2. Res.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148 [</t>
        </r>
        <r>
          <rPr>
            <i/>
            <sz val="14"/>
            <color rgb="FF000000"/>
            <rFont val="Times New Roman"/>
            <family val="18"/>
          </rPr>
          <t>Commandiert auf conscription in Galizien</t>
        </r>
        <r>
          <rPr>
            <sz val="14"/>
            <color rgb="FF000000"/>
            <rFont val="Times New Roman"/>
            <family val="18"/>
          </rPr>
          <t>]</t>
        </r>
        <r>
          <rPr>
            <sz val="14"/>
            <color rgb="FF000000"/>
            <rFont val="Calibri"/>
            <family val="34"/>
          </rPr>
          <t xml:space="preserve">
</t>
        </r>
        <r>
          <rPr>
            <sz val="14"/>
            <color rgb="FF000000"/>
            <rFont val="Times New Roman"/>
            <family val="18"/>
          </rPr>
          <t>20/09/1811 Muster: IR 44 7. Fus. Komp. Nr. 85 [</t>
        </r>
        <r>
          <rPr>
            <i/>
            <sz val="14"/>
            <color rgb="FF000000"/>
            <rFont val="Times New Roman"/>
            <family val="18"/>
          </rPr>
          <t xml:space="preserve">Beim Hauptwerbbezierk zu Sambor in Gallizien </t>
        </r>
        <r>
          <rPr>
            <sz val="14"/>
            <color rgb="FF000000"/>
            <rFont val="Calibri"/>
            <family val="34"/>
          </rPr>
          <t xml:space="preserve">
</t>
        </r>
        <r>
          <rPr>
            <sz val="14"/>
            <color rgb="FF000000"/>
            <rFont val="Times New Roman"/>
            <family val="18"/>
          </rPr>
          <t xml:space="preserve">31/08/1812 </t>
        </r>
        <r>
          <rPr>
            <i/>
            <sz val="14"/>
            <color rgb="FF000000"/>
            <rFont val="Times New Roman"/>
            <family val="18"/>
          </rPr>
          <t>Beim 3. Battalion Kommandiert</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19/09/1812 Revision: IR 44 7. Fus. Komp. Nr. 57 [</t>
        </r>
        <r>
          <rPr>
            <i/>
            <sz val="14"/>
            <color rgb="FF000000"/>
            <rFont val="Times New Roman"/>
            <family val="18"/>
          </rPr>
          <t>Auf conscription zu Sambor Commandiert</t>
        </r>
        <r>
          <rPr>
            <sz val="14"/>
            <color rgb="FF000000"/>
            <rFont val="Times New Roman"/>
            <family val="18"/>
          </rPr>
          <t>]</t>
        </r>
        <r>
          <rPr>
            <sz val="14"/>
            <color rgb="FF000000"/>
            <rFont val="Calibri"/>
            <family val="34"/>
          </rPr>
          <t xml:space="preserve">
</t>
        </r>
        <r>
          <rPr>
            <sz val="14"/>
            <color rgb="FF000000"/>
            <rFont val="Times New Roman"/>
            <family val="18"/>
          </rPr>
          <t xml:space="preserve">01/10/1812 </t>
        </r>
        <r>
          <rPr>
            <i/>
            <sz val="14"/>
            <color rgb="FF000000"/>
            <rFont val="Times New Roman"/>
            <family val="18"/>
          </rPr>
          <t>Von. 7. zum 15. Fus Komp. transferiert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15. zum 7. Fus. Komp. transferiert und beim 3. Bat. Kommandiert</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26/01/1813 </t>
        </r>
        <r>
          <rPr>
            <i/>
            <sz val="14"/>
            <color rgb="FF000000"/>
            <rFont val="Times New Roman"/>
            <family val="18"/>
          </rPr>
          <t xml:space="preserve">Von. 7. Zum 15. Komp. transferiert </t>
        </r>
        <r>
          <rPr>
            <sz val="14"/>
            <color rgb="FF000000"/>
            <rFont val="Times New Roman"/>
            <family val="18"/>
          </rPr>
          <t>[ST Jan 1813]</t>
        </r>
        <r>
          <rPr>
            <sz val="14"/>
            <color rgb="FF000000"/>
            <rFont val="Calibri"/>
            <family val="34"/>
          </rPr>
          <t xml:space="preserve">
</t>
        </r>
        <r>
          <rPr>
            <sz val="14"/>
            <color rgb="FF000000"/>
            <rFont val="Times New Roman"/>
            <family val="18"/>
          </rPr>
          <t xml:space="preserve">26/01/1814 </t>
        </r>
        <r>
          <rPr>
            <i/>
            <sz val="14"/>
            <color rgb="FF000000"/>
            <rFont val="Times New Roman"/>
            <family val="18"/>
          </rPr>
          <t>Krank in auswärtigen Spitälern</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10/02/1814 </t>
        </r>
        <r>
          <rPr>
            <i/>
            <sz val="14"/>
            <color rgb="FF000000"/>
            <rFont val="Times New Roman"/>
            <family val="18"/>
          </rPr>
          <t>Rekonvalesziert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11/02/1814 </t>
        </r>
        <r>
          <rPr>
            <i/>
            <sz val="14"/>
            <color rgb="FF000000"/>
            <rFont val="Times New Roman"/>
            <family val="18"/>
          </rPr>
          <t>Auf Marsch zum Regiment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10/05/1814 </t>
        </r>
        <r>
          <rPr>
            <i/>
            <sz val="14"/>
            <color rgb="FF000000"/>
            <rFont val="Times New Roman"/>
            <family val="18"/>
          </rPr>
          <t>Ins Regiment eingerückt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31/01/1815 Von IR 44 </t>
        </r>
        <r>
          <rPr>
            <i/>
            <sz val="14"/>
            <color rgb="FF000000"/>
            <rFont val="Times New Roman"/>
            <family val="18"/>
          </rPr>
          <t>15. Fus. Komp zum GB 9 transferiert und zur 5. Komp. zugeteilt</t>
        </r>
        <r>
          <rPr>
            <sz val="14"/>
            <color rgb="FF000000"/>
            <rFont val="Times New Roman"/>
            <family val="18"/>
          </rPr>
          <t xml:space="preserve"> [ST Feb 1815 &amp; TL April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Vermog hoher Superarbitratio gegen Renuncierung aos Real Invalid Mit Abschied entlassen</t>
        </r>
        <r>
          <rPr>
            <sz val="14"/>
            <color rgb="FF000000"/>
            <rFont val="Times New Roman"/>
            <family val="18"/>
          </rPr>
          <t xml:space="preserve"> [ST Jan 1816]</t>
        </r>
        <r>
          <rPr>
            <sz val="14"/>
            <color rgb="FF000000"/>
            <rFont val="Calibri"/>
            <family val="34"/>
          </rPr>
          <t xml:space="preserve">
</t>
        </r>
      </text>
    </comment>
    <comment ref="BG515" authorId="0" shapeId="0" xr:uid="{2FEC633C-A528-604D-B3FD-30D484413E68}">
      <text>
        <r>
          <rPr>
            <sz val="14"/>
            <color rgb="FF000000"/>
            <rFont val="Times New Roman"/>
            <family val="18"/>
          </rPr>
          <t>ML 10.307 IR 43 (1799) – ST Dez (01/11/1800)</t>
        </r>
        <r>
          <rPr>
            <sz val="14"/>
            <color rgb="FF000000"/>
            <rFont val="Calibri"/>
            <family val="34"/>
          </rPr>
          <t xml:space="preserve">
</t>
        </r>
        <r>
          <rPr>
            <sz val="14"/>
            <color rgb="FF000000"/>
            <rFont val="Times New Roman"/>
            <family val="18"/>
          </rPr>
          <t>ML 10.309 IR 43 (1800) – ST Feb (06/04/1801), Juni (27/08/1803)</t>
        </r>
        <r>
          <rPr>
            <sz val="14"/>
            <color rgb="FF000000"/>
            <rFont val="Calibri"/>
            <family val="34"/>
          </rPr>
          <t xml:space="preserve">
</t>
        </r>
        <r>
          <rPr>
            <sz val="14"/>
            <color rgb="FF000000"/>
            <rFont val="Times New Roman"/>
            <family val="18"/>
          </rPr>
          <t>ML 10.310 IR 43 (1800) – TL IR Res. Div-&gt; Feld Bat. Nr. 61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ObristLt. Komp. Nr. 138 (Venice 19/09/1803)</t>
        </r>
        <r>
          <rPr>
            <sz val="14"/>
            <color rgb="FF000000"/>
            <rFont val="Calibri"/>
            <family val="34"/>
          </rPr>
          <t xml:space="preserve">
</t>
        </r>
        <r>
          <rPr>
            <sz val="14"/>
            <color rgb="FF000000"/>
            <rFont val="Times New Roman"/>
            <family val="18"/>
          </rPr>
          <t>ML 3909 IR 44 (1804) – ObristLt. Komp. Nr. 138 (Vicenza 12/05/1804)</t>
        </r>
        <r>
          <rPr>
            <sz val="14"/>
            <color rgb="FF000000"/>
            <rFont val="Calibri"/>
            <family val="34"/>
          </rPr>
          <t xml:space="preserve">
</t>
        </r>
        <r>
          <rPr>
            <sz val="14"/>
            <color rgb="FF000000"/>
            <rFont val="Times New Roman"/>
            <family val="18"/>
          </rPr>
          <t>ML 3910 IR 44 (1806) – CaptLt Hermann Komp. Nr. 40 (Fiume 10/12/1806)</t>
        </r>
        <r>
          <rPr>
            <sz val="14"/>
            <color rgb="FF000000"/>
            <rFont val="Calibri"/>
            <family val="34"/>
          </rPr>
          <t xml:space="preserve">
</t>
        </r>
        <r>
          <rPr>
            <sz val="14"/>
            <color rgb="FF000000"/>
            <rFont val="Times New Roman"/>
            <family val="18"/>
          </rPr>
          <t>ML 3911 IR 44 (1808-10) – RL CaptLt. Herrmann [13. Fus.] Komp. Nr, 34 (Drohobyz 17/09/1808); 9. Fus. Komp. Nr. 47 (Pappa, 27/09/1810)</t>
        </r>
        <r>
          <rPr>
            <sz val="14"/>
            <color rgb="FF000000"/>
            <rFont val="Calibri"/>
            <family val="34"/>
          </rPr>
          <t xml:space="preserve">
</t>
        </r>
        <r>
          <rPr>
            <sz val="14"/>
            <color rgb="FF000000"/>
            <rFont val="Times New Roman"/>
            <family val="18"/>
          </rPr>
          <t>ML 3912-3 (IR 44) (1811) – 10. Fus. Komp. Nr. 21(Stuhlweißenburg 20/09/1811)</t>
        </r>
        <r>
          <rPr>
            <sz val="14"/>
            <color rgb="FF000000"/>
            <rFont val="Calibri"/>
            <family val="34"/>
          </rPr>
          <t xml:space="preserve">
</t>
        </r>
        <r>
          <rPr>
            <sz val="14"/>
            <color rgb="FF000000"/>
            <rFont val="Times New Roman"/>
            <family val="18"/>
          </rPr>
          <t>19/09/1812)</t>
        </r>
        <r>
          <rPr>
            <sz val="14"/>
            <color rgb="FF000000"/>
            <rFont val="Calibri"/>
            <family val="34"/>
          </rPr>
          <t xml:space="preserve">
</t>
        </r>
        <r>
          <rPr>
            <sz val="14"/>
            <color rgb="FF000000"/>
            <rFont val="Times New Roman"/>
            <family val="18"/>
          </rPr>
          <t>ML 3914 IR 44 (1812/6) – 10. Fus. Komp. Nr. 16 (Pest)</t>
        </r>
        <r>
          <rPr>
            <sz val="14"/>
            <color rgb="FF000000"/>
            <rFont val="Calibri"/>
            <family val="34"/>
          </rPr>
          <t xml:space="preserve">
</t>
        </r>
        <r>
          <rPr>
            <sz val="14"/>
            <color rgb="FF000000"/>
            <rFont val="Times New Roman"/>
            <family val="18"/>
          </rPr>
          <t>ML 3946 IR 44 (1802) – AL IR 43-&gt; IR 44 Nr. 4 (Zara 04/08/1802)</t>
        </r>
        <r>
          <rPr>
            <sz val="14"/>
            <color rgb="FF000000"/>
            <rFont val="Calibri"/>
            <family val="34"/>
          </rPr>
          <t xml:space="preserve">
</t>
        </r>
        <r>
          <rPr>
            <sz val="14"/>
            <color rgb="FF000000"/>
            <rFont val="Times New Roman"/>
            <family val="18"/>
          </rPr>
          <t>ML 3960 IR 44 (1809) –Sept (Ofen 20/05/1811)</t>
        </r>
        <r>
          <rPr>
            <sz val="14"/>
            <color rgb="FF000000"/>
            <rFont val="Calibri"/>
            <family val="34"/>
          </rPr>
          <t xml:space="preserve">
</t>
        </r>
        <r>
          <rPr>
            <sz val="14"/>
            <color rgb="FF000000"/>
            <rFont val="Times New Roman"/>
            <family val="18"/>
          </rPr>
          <t>ML 3962 IR 44 (1810) – Sept (Pest 13/12/1811)</t>
        </r>
        <r>
          <rPr>
            <sz val="14"/>
            <color rgb="FF000000"/>
            <rFont val="Calibri"/>
            <family val="34"/>
          </rPr>
          <t xml:space="preserve">
</t>
        </r>
        <r>
          <rPr>
            <sz val="14"/>
            <color rgb="FF000000"/>
            <rFont val="Times New Roman"/>
            <family val="18"/>
          </rPr>
          <t>ML 3972 IR 44 (1815) – ST Juli (20/07/1816)</t>
        </r>
        <r>
          <rPr>
            <sz val="14"/>
            <color rgb="FF000000"/>
            <rFont val="Calibri"/>
            <family val="34"/>
          </rPr>
          <t xml:space="preserve">
</t>
        </r>
        <r>
          <rPr>
            <sz val="14"/>
            <color rgb="FF000000"/>
            <rFont val="Times New Roman"/>
            <family val="18"/>
          </rPr>
          <t>ML 12.018 HFS 48 (1816) – VerpfL Jan 1816 (Prague 20/01/1816)</t>
        </r>
        <r>
          <rPr>
            <sz val="14"/>
            <color rgb="FF000000"/>
            <rFont val="Calibri"/>
            <family val="34"/>
          </rPr>
          <t xml:space="preserve">
</t>
        </r>
      </text>
    </comment>
    <comment ref="BH515" authorId="0" shapeId="0" xr:uid="{0FB73A63-D7F9-514D-AD88-FDCB6D9D3A1F}">
      <text>
        <r>
          <rPr>
            <sz val="14"/>
            <color rgb="FF000000"/>
            <rFont val="Calibri"/>
            <family val="34"/>
          </rPr>
          <t xml:space="preserve">IR 43 (1799-1802)
</t>
        </r>
        <r>
          <rPr>
            <sz val="14"/>
            <color rgb="FF000000"/>
            <rFont val="Calibri"/>
            <family val="34"/>
          </rPr>
          <t xml:space="preserve">IR 44 (1802-1815)
</t>
        </r>
        <r>
          <rPr>
            <sz val="14"/>
            <color rgb="FF000000"/>
            <rFont val="Calibri"/>
            <family val="34"/>
          </rPr>
          <t>HFS 48 (1815-? 1816)</t>
        </r>
      </text>
    </comment>
    <comment ref="BI515" authorId="0" shapeId="0" xr:uid="{7543B887-980C-284F-8664-8325D132EE82}">
      <text>
        <r>
          <rPr>
            <sz val="14"/>
            <color rgb="FF000000"/>
            <rFont val="Calibri"/>
            <family val="34"/>
          </rPr>
          <t>Gut [TL Aug 1802]</t>
        </r>
      </text>
    </comment>
    <comment ref="BF516" authorId="0" shapeId="0" xr:uid="{4DB99109-300D-2747-9468-720DC49D671F}">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01/11/1799 [Mindestens seit]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26/12/1799 </t>
        </r>
        <r>
          <rPr>
            <i/>
            <sz val="14"/>
            <color rgb="FF000000"/>
            <rFont val="Times New Roman"/>
            <family val="18"/>
          </rPr>
          <t>In Laibach Gestorben</t>
        </r>
        <r>
          <rPr>
            <sz val="14"/>
            <color rgb="FF000000"/>
            <rFont val="Times New Roman"/>
            <family val="18"/>
          </rPr>
          <t xml:space="preserve"> [ST Dec 1799]</t>
        </r>
        <r>
          <rPr>
            <sz val="14"/>
            <color rgb="FF000000"/>
            <rFont val="Calibri"/>
            <family val="34"/>
          </rPr>
          <t xml:space="preserve">
</t>
        </r>
      </text>
    </comment>
    <comment ref="BG516" authorId="0" shapeId="0" xr:uid="{5AD030B4-181E-3648-9B00-3FFD35670A70}">
      <text>
        <r>
          <rPr>
            <sz val="14"/>
            <color rgb="FF000000"/>
            <rFont val="Times New Roman"/>
            <family val="18"/>
          </rPr>
          <t>ML 10.307 IR 43 (1799) – ST Nov (12/10/1800), Dez (01/11/1800)</t>
        </r>
      </text>
    </comment>
    <comment ref="BH516" authorId="0" shapeId="0" xr:uid="{3BCE98F7-C8E8-8748-8FD5-980407A96FA2}">
      <text>
        <r>
          <rPr>
            <sz val="14"/>
            <color rgb="FF000000"/>
            <rFont val="Calibri"/>
            <family val="34"/>
          </rPr>
          <t>IR 43 (1799)</t>
        </r>
      </text>
    </comment>
    <comment ref="BF517" authorId="0" shapeId="0" xr:uid="{60C222E5-B132-6446-BB7B-B07631CBF7E2}">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23/11/1799 </t>
        </r>
        <r>
          <rPr>
            <i/>
            <sz val="14"/>
            <color rgb="FF000000"/>
            <rFont val="Times New Roman"/>
            <family val="18"/>
          </rPr>
          <t>Ins Laibach gestorben</t>
        </r>
        <r>
          <rPr>
            <sz val="14"/>
            <color rgb="FF000000"/>
            <rFont val="Times New Roman"/>
            <family val="18"/>
          </rPr>
          <t xml:space="preserve"> [ST Nov 1799] </t>
        </r>
        <r>
          <rPr>
            <sz val="14"/>
            <color rgb="FF000000"/>
            <rFont val="Calibri"/>
            <family val="34"/>
          </rPr>
          <t xml:space="preserve">
</t>
        </r>
      </text>
    </comment>
    <comment ref="BG517" authorId="0" shapeId="0" xr:uid="{5F4EB52D-ACC6-E440-904E-D09B9BF78143}">
      <text>
        <r>
          <rPr>
            <sz val="14"/>
            <color rgb="FF000000"/>
            <rFont val="Times New Roman"/>
            <family val="18"/>
          </rPr>
          <t>ML 10.307 IR 43 (1799) – ST Nov (12/10/1800)</t>
        </r>
      </text>
    </comment>
    <comment ref="BH517" authorId="0" shapeId="0" xr:uid="{EAF89462-7A63-BD47-849B-C3438F960C30}">
      <text>
        <r>
          <rPr>
            <sz val="14"/>
            <color rgb="FF000000"/>
            <rFont val="Calibri"/>
            <family val="34"/>
          </rPr>
          <t>IR 43 (1799)</t>
        </r>
      </text>
    </comment>
    <comment ref="I518" authorId="0" shapeId="0" xr:uid="{657DD588-B7EB-8544-AF1B-73B54188EFE3}">
      <text>
        <r>
          <rPr>
            <sz val="14"/>
            <color rgb="FF000000"/>
            <rFont val="Calibri"/>
            <family val="34"/>
          </rPr>
          <t xml:space="preserve">1775 [28 (1803)] 
</t>
        </r>
        <r>
          <rPr>
            <sz val="14"/>
            <color rgb="FF000000"/>
            <rFont val="Calibri"/>
            <family val="34"/>
          </rPr>
          <t xml:space="preserve">OR 
</t>
        </r>
        <r>
          <rPr>
            <sz val="14"/>
            <color rgb="FF000000"/>
            <rFont val="Calibri"/>
            <family val="34"/>
          </rPr>
          <t>1777 [38 (1815)]</t>
        </r>
      </text>
    </comment>
    <comment ref="J518" authorId="0" shapeId="0" xr:uid="{B794CAAE-513B-EB46-9117-A551E6340D65}">
      <text>
        <r>
          <rPr>
            <sz val="14"/>
            <color rgb="FF000000"/>
            <rFont val="Calibri"/>
            <family val="34"/>
          </rPr>
          <t xml:space="preserve">Verheiratet (1802-1811)
</t>
        </r>
        <r>
          <rPr>
            <sz val="14"/>
            <color rgb="FF000000"/>
            <rFont val="Calibri"/>
            <family val="34"/>
          </rPr>
          <t>Ledig (1815)</t>
        </r>
      </text>
    </comment>
    <comment ref="K518" authorId="0" shapeId="0" xr:uid="{B8D03B2D-5415-884E-94AA-8E7AAE32E5F6}">
      <text>
        <r>
          <rPr>
            <sz val="14"/>
            <color rgb="FF000000"/>
            <rFont val="Calibri"/>
            <family val="34"/>
          </rPr>
          <t xml:space="preserve">Schneider  (1802-1811)
</t>
        </r>
        <r>
          <rPr>
            <sz val="14"/>
            <color rgb="FF000000"/>
            <rFont val="Calibri"/>
            <family val="34"/>
          </rPr>
          <t>Schmidt (1815)</t>
        </r>
      </text>
    </comment>
    <comment ref="BF518" authorId="0" shapeId="0" xr:uid="{35E1E93D-4A33-C64A-AD68-4D2355B4F959}">
      <text>
        <r>
          <rPr>
            <sz val="14"/>
            <color rgb="FFFF0000"/>
            <rFont val="Times New Roman"/>
            <family val="18"/>
          </rPr>
          <t xml:space="preserve">05/12/1798 </t>
        </r>
        <r>
          <rPr>
            <i/>
            <sz val="14"/>
            <color rgb="FFFF0000"/>
            <rFont val="Times New Roman"/>
            <family val="18"/>
          </rPr>
          <t>Gegen 3Fl auf Beständig assentiert</t>
        </r>
        <r>
          <rPr>
            <sz val="14"/>
            <color rgb="FFFF0000"/>
            <rFont val="Times New Roman"/>
            <family val="18"/>
          </rPr>
          <t xml:space="preserve"> [TL Aug 1802 &amp; ML 1803]</t>
        </r>
        <r>
          <rPr>
            <sz val="14"/>
            <color rgb="FF000000"/>
            <rFont val="Calibri"/>
            <family val="34"/>
          </rPr>
          <t xml:space="preserve">
</t>
        </r>
        <r>
          <rPr>
            <sz val="14"/>
            <color rgb="FF000000"/>
            <rFont val="Times New Roman"/>
            <family val="18"/>
          </rPr>
          <t xml:space="preserve">In 07/1799 </t>
        </r>
        <r>
          <rPr>
            <i/>
            <sz val="14"/>
            <color rgb="FF000000"/>
            <rFont val="Times New Roman"/>
            <family val="18"/>
          </rPr>
          <t>Assentiert und seitdem auf Anhero Marsch mit Friedensgebühr</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die Reserve Division eingerückt</t>
        </r>
        <r>
          <rPr>
            <sz val="14"/>
            <color rgb="FF000000"/>
            <rFont val="Calibri"/>
            <family val="34"/>
          </rPr>
          <t xml:space="preserve">
</t>
        </r>
        <r>
          <rPr>
            <sz val="14"/>
            <color rgb="FF000000"/>
            <rFont val="Times New Roman"/>
            <family val="18"/>
          </rPr>
          <t xml:space="preserve">31/10/1799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die Leib Companie eingerückt</t>
        </r>
        <r>
          <rPr>
            <sz val="14"/>
            <color rgb="FF000000"/>
            <rFont val="Times New Roman"/>
            <family val="18"/>
          </rPr>
          <t xml:space="preserve"> [ST Feb 1800] </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30/06/1801 </t>
        </r>
        <r>
          <rPr>
            <i/>
            <sz val="14"/>
            <color rgb="FF000000"/>
            <rFont val="Times New Roman"/>
            <family val="18"/>
          </rPr>
          <t>Rekonvalesziert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Lieb Komp. zum IR 44 transferiert und zur Haupt Wicka Komp. eingeheilt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Haupt Wicka Komp. Nr. 94</t>
        </r>
        <r>
          <rPr>
            <sz val="14"/>
            <color rgb="FF000000"/>
            <rFont val="Calibri"/>
            <family val="34"/>
          </rPr>
          <t xml:space="preserve">
</t>
        </r>
        <r>
          <rPr>
            <sz val="14"/>
            <color rgb="FF000000"/>
            <rFont val="Times New Roman"/>
            <family val="18"/>
          </rPr>
          <t>12/05/1804 Muster: IR 44 Haupt Eckhardt Nr. 85 [</t>
        </r>
        <r>
          <rPr>
            <i/>
            <sz val="14"/>
            <color rgb="FF000000"/>
            <rFont val="Times New Roman"/>
            <family val="18"/>
          </rPr>
          <t>Beurlaubt zu Oppole in Pohlen bis zur Ezercierzeit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Eckhard Komp. Nr. 125</t>
        </r>
        <r>
          <rPr>
            <sz val="14"/>
            <color rgb="FF000000"/>
            <rFont val="Calibri"/>
            <family val="34"/>
          </rPr>
          <t xml:space="preserve">
</t>
        </r>
        <r>
          <rPr>
            <sz val="14"/>
            <color rgb="FF000000"/>
            <rFont val="Times New Roman"/>
            <family val="18"/>
          </rPr>
          <t>19/09/1808 Revision: IR 44 Haupt Eckhard Komp. Nr. 88 [</t>
        </r>
        <r>
          <rPr>
            <i/>
            <sz val="14"/>
            <color rgb="FF000000"/>
            <rFont val="Times New Roman"/>
            <family val="18"/>
          </rPr>
          <t>Auf Conscription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3.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16/02/1810 </t>
        </r>
        <r>
          <rPr>
            <i/>
            <sz val="14"/>
            <color rgb="FF000000"/>
            <rFont val="Times New Roman"/>
            <family val="18"/>
          </rPr>
          <t>Von 2. Res.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148 [</t>
        </r>
        <r>
          <rPr>
            <i/>
            <sz val="14"/>
            <color rgb="FF000000"/>
            <rFont val="Times New Roman"/>
            <family val="18"/>
          </rPr>
          <t>Commandiert auf conscription in Galizien</t>
        </r>
        <r>
          <rPr>
            <sz val="14"/>
            <color rgb="FF000000"/>
            <rFont val="Times New Roman"/>
            <family val="18"/>
          </rPr>
          <t>]</t>
        </r>
        <r>
          <rPr>
            <sz val="14"/>
            <color rgb="FF000000"/>
            <rFont val="Calibri"/>
            <family val="34"/>
          </rPr>
          <t xml:space="preserve">
</t>
        </r>
        <r>
          <rPr>
            <sz val="14"/>
            <color rgb="FF000000"/>
            <rFont val="Times New Roman"/>
            <family val="18"/>
          </rPr>
          <t>20/09/1811 Muster: IR 44 7. Fus. Komp. Nr. 85 [</t>
        </r>
        <r>
          <rPr>
            <i/>
            <sz val="14"/>
            <color rgb="FF000000"/>
            <rFont val="Times New Roman"/>
            <family val="18"/>
          </rPr>
          <t xml:space="preserve">Beim Hauptwerbbezierk zu Sambor in Gallizien </t>
        </r>
        <r>
          <rPr>
            <sz val="14"/>
            <color rgb="FF000000"/>
            <rFont val="Calibri"/>
            <family val="34"/>
          </rPr>
          <t xml:space="preserve">
</t>
        </r>
        <r>
          <rPr>
            <sz val="14"/>
            <color rgb="FF000000"/>
            <rFont val="Times New Roman"/>
            <family val="18"/>
          </rPr>
          <t xml:space="preserve">31/08/1812 </t>
        </r>
        <r>
          <rPr>
            <i/>
            <sz val="14"/>
            <color rgb="FF000000"/>
            <rFont val="Times New Roman"/>
            <family val="18"/>
          </rPr>
          <t>Beim 3. Battalion Kommandiert</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19/09/1812 Revision: IR 44 7. Fus. Komp. Nr. 57 [</t>
        </r>
        <r>
          <rPr>
            <i/>
            <sz val="14"/>
            <color rgb="FF000000"/>
            <rFont val="Times New Roman"/>
            <family val="18"/>
          </rPr>
          <t>Auf conscription zu Sambor Commandiert</t>
        </r>
        <r>
          <rPr>
            <sz val="14"/>
            <color rgb="FF000000"/>
            <rFont val="Times New Roman"/>
            <family val="18"/>
          </rPr>
          <t>]</t>
        </r>
        <r>
          <rPr>
            <sz val="14"/>
            <color rgb="FF000000"/>
            <rFont val="Calibri"/>
            <family val="34"/>
          </rPr>
          <t xml:space="preserve">
</t>
        </r>
        <r>
          <rPr>
            <sz val="14"/>
            <color rgb="FF000000"/>
            <rFont val="Times New Roman"/>
            <family val="18"/>
          </rPr>
          <t xml:space="preserve">01/10/1812 </t>
        </r>
        <r>
          <rPr>
            <i/>
            <sz val="14"/>
            <color rgb="FF000000"/>
            <rFont val="Times New Roman"/>
            <family val="18"/>
          </rPr>
          <t>Von. 7. zum 15. Fus Komp. transferiert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15. zum 7. Fus. Komp. transferiert und beim 3. Bat. Kommandiert</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26/01/1813 </t>
        </r>
        <r>
          <rPr>
            <i/>
            <sz val="14"/>
            <color rgb="FF000000"/>
            <rFont val="Times New Roman"/>
            <family val="18"/>
          </rPr>
          <t xml:space="preserve">Von. 7. Zum 15. Komp. transferiert </t>
        </r>
        <r>
          <rPr>
            <sz val="14"/>
            <color rgb="FF000000"/>
            <rFont val="Times New Roman"/>
            <family val="18"/>
          </rPr>
          <t>[ST Jan 1813]</t>
        </r>
        <r>
          <rPr>
            <sz val="14"/>
            <color rgb="FF000000"/>
            <rFont val="Calibri"/>
            <family val="34"/>
          </rPr>
          <t xml:space="preserve">
</t>
        </r>
        <r>
          <rPr>
            <sz val="14"/>
            <color rgb="FF000000"/>
            <rFont val="Times New Roman"/>
            <family val="18"/>
          </rPr>
          <t xml:space="preserve">26/01/1814 </t>
        </r>
        <r>
          <rPr>
            <i/>
            <sz val="14"/>
            <color rgb="FF000000"/>
            <rFont val="Times New Roman"/>
            <family val="18"/>
          </rPr>
          <t>Krank in auswärtigen Spitälern</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10/02/1814 </t>
        </r>
        <r>
          <rPr>
            <i/>
            <sz val="14"/>
            <color rgb="FF000000"/>
            <rFont val="Times New Roman"/>
            <family val="18"/>
          </rPr>
          <t>Rekonvalesziert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11/02/1814 </t>
        </r>
        <r>
          <rPr>
            <i/>
            <sz val="14"/>
            <color rgb="FF000000"/>
            <rFont val="Times New Roman"/>
            <family val="18"/>
          </rPr>
          <t>Auf Marsch zum Regiment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10/05/1814 </t>
        </r>
        <r>
          <rPr>
            <i/>
            <sz val="14"/>
            <color rgb="FF000000"/>
            <rFont val="Times New Roman"/>
            <family val="18"/>
          </rPr>
          <t>Ins Regiment eingerückt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31/01/1815 Von IR 44 </t>
        </r>
        <r>
          <rPr>
            <i/>
            <sz val="14"/>
            <color rgb="FF000000"/>
            <rFont val="Times New Roman"/>
            <family val="18"/>
          </rPr>
          <t>15. Fus. Komp zum GB 9 transferiert und zur 5. Komp. zugeteilt</t>
        </r>
        <r>
          <rPr>
            <sz val="14"/>
            <color rgb="FF000000"/>
            <rFont val="Times New Roman"/>
            <family val="18"/>
          </rPr>
          <t xml:space="preserve"> [ST Feb 1815 &amp; TL April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Vermog hoher Superarbitratio gegen Renuncierung aos Real Invalid Mit Abschied entlassen</t>
        </r>
        <r>
          <rPr>
            <sz val="14"/>
            <color rgb="FF000000"/>
            <rFont val="Times New Roman"/>
            <family val="18"/>
          </rPr>
          <t xml:space="preserve"> [ST Jan 1816]</t>
        </r>
        <r>
          <rPr>
            <sz val="14"/>
            <color rgb="FF000000"/>
            <rFont val="Calibri"/>
            <family val="34"/>
          </rPr>
          <t xml:space="preserve">
</t>
        </r>
      </text>
    </comment>
    <comment ref="BG518" authorId="0" shapeId="0" xr:uid="{DCAB4716-CDD7-B14E-8887-E96A72E4710E}">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Feb (06/04/1801), Juni (27/08/1802)</t>
        </r>
        <r>
          <rPr>
            <sz val="14"/>
            <color rgb="FF000000"/>
            <rFont val="Calibri"/>
            <family val="34"/>
          </rPr>
          <t xml:space="preserve">
</t>
        </r>
        <r>
          <rPr>
            <sz val="14"/>
            <color rgb="FF000000"/>
            <rFont val="Times New Roman"/>
            <family val="18"/>
          </rPr>
          <t>ML 10.311 IR 43 (1801) – ST Mai (10/03/1805), Juli (08/07/1805)</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Wicka Komp. Nr. 94 (Venice 19/09/1803)</t>
        </r>
        <r>
          <rPr>
            <sz val="14"/>
            <color rgb="FF000000"/>
            <rFont val="Calibri"/>
            <family val="34"/>
          </rPr>
          <t xml:space="preserve">
</t>
        </r>
        <r>
          <rPr>
            <sz val="14"/>
            <color rgb="FF000000"/>
            <rFont val="Times New Roman"/>
            <family val="18"/>
          </rPr>
          <t>ML 3909 IR 44 (1804) – Haupt Eckhard Komp. Nr. 85 (Vicenza 12/05/1804)</t>
        </r>
        <r>
          <rPr>
            <sz val="14"/>
            <color rgb="FF000000"/>
            <rFont val="Calibri"/>
            <family val="34"/>
          </rPr>
          <t xml:space="preserve">
</t>
        </r>
        <r>
          <rPr>
            <sz val="14"/>
            <color rgb="FF000000"/>
            <rFont val="Times New Roman"/>
            <family val="18"/>
          </rPr>
          <t>ML 3910 IR 44 (1806) – Haupt. Stanislaus Eckhard Nr. 125 (Fiume 10/12/1806)</t>
        </r>
        <r>
          <rPr>
            <sz val="14"/>
            <color rgb="FF000000"/>
            <rFont val="Calibri"/>
            <family val="34"/>
          </rPr>
          <t xml:space="preserve">
</t>
        </r>
        <r>
          <rPr>
            <sz val="14"/>
            <color rgb="FF000000"/>
            <rFont val="Times New Roman"/>
            <family val="18"/>
          </rPr>
          <t>ML 3911 IR 44 (1808-10) – RL Haupt Ekhard Komp [3. Fus.] (Comorn 19/09/1808), 7. Fus. Komp. Nr. 148 (Papa 27/09/1810)</t>
        </r>
        <r>
          <rPr>
            <sz val="14"/>
            <color rgb="FF000000"/>
            <rFont val="Calibri"/>
            <family val="34"/>
          </rPr>
          <t xml:space="preserve">
</t>
        </r>
        <r>
          <rPr>
            <sz val="14"/>
            <color rgb="FF000000"/>
            <rFont val="Times New Roman"/>
            <family val="18"/>
          </rPr>
          <t>ML 3912-3 IR 44 (1811) – 7. Fus. Komp. Nr. 85 (Sthulweissenburg 20/09/1811)</t>
        </r>
        <r>
          <rPr>
            <sz val="14"/>
            <color rgb="FF000000"/>
            <rFont val="Calibri"/>
            <family val="34"/>
          </rPr>
          <t xml:space="preserve">
</t>
        </r>
        <r>
          <rPr>
            <sz val="14"/>
            <color rgb="FF000000"/>
            <rFont val="Times New Roman"/>
            <family val="18"/>
          </rPr>
          <t>ML 3914 IR 44 (1812/6) – 7. Fus. Komp. Nr. 57 (Pest 19/09/1812)</t>
        </r>
        <r>
          <rPr>
            <sz val="14"/>
            <color rgb="FF000000"/>
            <rFont val="Calibri"/>
            <family val="34"/>
          </rPr>
          <t xml:space="preserve">
</t>
        </r>
        <r>
          <rPr>
            <sz val="14"/>
            <color rgb="FF000000"/>
            <rFont val="Times New Roman"/>
            <family val="18"/>
          </rPr>
          <t>ML 3946 IR 44 (1802) – AL IR 43-&gt; IR 44 Nr. 9 (Zara 04/08/1802)</t>
        </r>
        <r>
          <rPr>
            <sz val="14"/>
            <color rgb="FF000000"/>
            <rFont val="Calibri"/>
            <family val="34"/>
          </rPr>
          <t xml:space="preserve">
</t>
        </r>
        <r>
          <rPr>
            <sz val="14"/>
            <color rgb="FF000000"/>
            <rFont val="Times New Roman"/>
            <family val="18"/>
          </rPr>
          <t>ML 3960 IR 44 (1809) – ST Feb (Ofen 31/10/1810)</t>
        </r>
        <r>
          <rPr>
            <sz val="14"/>
            <color rgb="FF000000"/>
            <rFont val="Calibri"/>
            <family val="34"/>
          </rPr>
          <t xml:space="preserve">
</t>
        </r>
        <r>
          <rPr>
            <sz val="14"/>
            <color rgb="FF000000"/>
            <rFont val="Times New Roman"/>
            <family val="18"/>
          </rPr>
          <t>ML 3965 IR 44 (1812) – ST Sept (Lemberg 10/05/1813), Oct (Lemberg 10/07/1813), Dez (??)</t>
        </r>
        <r>
          <rPr>
            <sz val="14"/>
            <color rgb="FF000000"/>
            <rFont val="Calibri"/>
            <family val="34"/>
          </rPr>
          <t xml:space="preserve">
</t>
        </r>
        <r>
          <rPr>
            <sz val="14"/>
            <color rgb="FF000000"/>
            <rFont val="Times New Roman"/>
            <family val="18"/>
          </rPr>
          <t>ML 3967 IR 44 (1813) – ST Jän (25/09/1813)</t>
        </r>
        <r>
          <rPr>
            <sz val="14"/>
            <color rgb="FF000000"/>
            <rFont val="Calibri"/>
            <family val="34"/>
          </rPr>
          <t xml:space="preserve">
</t>
        </r>
        <r>
          <rPr>
            <sz val="14"/>
            <color rgb="FF000000"/>
            <rFont val="Times New Roman"/>
            <family val="18"/>
          </rPr>
          <t>ML 3970 IR 44 (1814) – ST Jän (25/01/1815), Feb (20/02/1815), Mai (25/04/1815)</t>
        </r>
        <r>
          <rPr>
            <sz val="14"/>
            <color rgb="FF000000"/>
            <rFont val="Calibri"/>
            <family val="34"/>
          </rPr>
          <t xml:space="preserve">
</t>
        </r>
        <r>
          <rPr>
            <sz val="14"/>
            <color rgb="FF000000"/>
            <rFont val="Times New Roman"/>
            <family val="18"/>
          </rPr>
          <t>ML 3972 IR 44 (1815) – ST Feb (20/07/1816)</t>
        </r>
        <r>
          <rPr>
            <sz val="14"/>
            <color rgb="FF000000"/>
            <rFont val="Calibri"/>
            <family val="34"/>
          </rPr>
          <t xml:space="preserve">
</t>
        </r>
        <r>
          <rPr>
            <sz val="14"/>
            <color rgb="FF000000"/>
            <rFont val="Times New Roman"/>
            <family val="18"/>
          </rPr>
          <t>ML 11.261 GB 9 (1815-6) – TL IR 44-&gt;GB 9 Nr. 54 (Krasono 26/04/1815); ST Feb 1815 (Lancut 14/03/1815); ST Jän (06/03/1816)</t>
        </r>
        <r>
          <rPr>
            <sz val="14"/>
            <color rgb="FF000000"/>
            <rFont val="Calibri"/>
            <family val="34"/>
          </rPr>
          <t xml:space="preserve">
</t>
        </r>
      </text>
    </comment>
    <comment ref="BH518" authorId="0" shapeId="0" xr:uid="{90FEB42D-2640-814E-81B0-B3F456720D47}">
      <text>
        <r>
          <rPr>
            <sz val="14"/>
            <color rgb="FF000000"/>
            <rFont val="Calibri"/>
            <family val="34"/>
          </rPr>
          <t xml:space="preserve">IR 43 (1799-1802)
</t>
        </r>
        <r>
          <rPr>
            <sz val="14"/>
            <color rgb="FF000000"/>
            <rFont val="Calibri"/>
            <family val="34"/>
          </rPr>
          <t xml:space="preserve">IR 44 (1802-1815)
</t>
        </r>
        <r>
          <rPr>
            <sz val="14"/>
            <color rgb="FF000000"/>
            <rFont val="Calibri"/>
            <family val="34"/>
          </rPr>
          <t>GB 9 (1815-1816)</t>
        </r>
      </text>
    </comment>
    <comment ref="BJ518" authorId="0" shapeId="0" xr:uid="{DCDE2CE8-8E27-8F48-A80D-4607B03345D0}">
      <text>
        <r>
          <rPr>
            <i/>
            <sz val="14"/>
            <color rgb="FF000000"/>
            <rFont val="Times New Roman"/>
            <family val="18"/>
          </rPr>
          <t>Brust Defekt</t>
        </r>
        <r>
          <rPr>
            <sz val="14"/>
            <color rgb="FF000000"/>
            <rFont val="Times New Roman"/>
            <family val="18"/>
          </rPr>
          <t xml:space="preserve"> [TL April 1815]</t>
        </r>
      </text>
    </comment>
    <comment ref="I519" authorId="0" shapeId="0" xr:uid="{3D0903CC-594C-E848-AF9A-405EE165F3D6}">
      <text>
        <r>
          <rPr>
            <sz val="14"/>
            <color rgb="FF000000"/>
            <rFont val="Calibri"/>
            <family val="34"/>
          </rPr>
          <t xml:space="preserve">1776 [24 (1800)] 
</t>
        </r>
        <r>
          <rPr>
            <sz val="14"/>
            <color rgb="FF000000"/>
            <rFont val="Calibri"/>
            <family val="34"/>
          </rPr>
          <t xml:space="preserve">OR 
</t>
        </r>
        <r>
          <rPr>
            <sz val="14"/>
            <color rgb="FF000000"/>
            <rFont val="Calibri"/>
            <family val="34"/>
          </rPr>
          <t>1774 [28 (1802)]</t>
        </r>
      </text>
    </comment>
    <comment ref="BF519" authorId="0" shapeId="0" xr:uid="{AA6B9D75-7FE2-574F-8151-43B29AAA122E}">
      <text>
        <r>
          <rPr>
            <sz val="14"/>
            <color rgb="FF000000"/>
            <rFont val="Times New Roman"/>
            <family val="18"/>
          </rPr>
          <t xml:space="preserve">02/04/1799 </t>
        </r>
        <r>
          <rPr>
            <i/>
            <sz val="14"/>
            <color rgb="FF000000"/>
            <rFont val="Times New Roman"/>
            <family val="18"/>
          </rPr>
          <t xml:space="preserve">von Ständen gestellt </t>
        </r>
        <r>
          <rPr>
            <sz val="14"/>
            <color rgb="FF000000"/>
            <rFont val="Times New Roman"/>
            <family val="18"/>
          </rPr>
          <t xml:space="preserve">[ML 1802]
</t>
        </r>
        <r>
          <rPr>
            <sz val="14"/>
            <color rgb="FFFF0000"/>
            <rFont val="Times New Roman"/>
            <family val="18"/>
          </rPr>
          <t xml:space="preserve">01/06/1799 </t>
        </r>
        <r>
          <rPr>
            <i/>
            <sz val="14"/>
            <color rgb="FFFF0000"/>
            <rFont val="Times New Roman"/>
            <family val="18"/>
          </rPr>
          <t>zum IR 43 Reserve Division a 3Fl Assentiert</t>
        </r>
        <r>
          <rPr>
            <sz val="14"/>
            <color rgb="FFFF0000"/>
            <rFont val="Times New Roman"/>
            <family val="18"/>
          </rPr>
          <t xml:space="preserve"> [TL 1800]</t>
        </r>
        <r>
          <rPr>
            <sz val="14"/>
            <color rgb="FF000000"/>
            <rFont val="Times New Roman"/>
            <family val="18"/>
          </rPr>
          <t xml:space="preserve">
</t>
        </r>
        <r>
          <rPr>
            <sz val="14"/>
            <color rgb="FF000000"/>
            <rFont val="Times New Roman"/>
            <family val="18"/>
          </rPr>
          <t xml:space="preserve">In October 1797 </t>
        </r>
        <r>
          <rPr>
            <i/>
            <sz val="14"/>
            <color rgb="FF000000"/>
            <rFont val="Times New Roman"/>
            <family val="18"/>
          </rPr>
          <t xml:space="preserve">Ins Reserve Division eingerückt </t>
        </r>
        <r>
          <rPr>
            <sz val="14"/>
            <color rgb="FF000000"/>
            <rFont val="Times New Roman"/>
            <family val="18"/>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Pasqually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Pasqually Comp. eingerückt</t>
        </r>
        <r>
          <rPr>
            <sz val="14"/>
            <color rgb="FF000000"/>
            <rFont val="Times New Roman"/>
            <family val="18"/>
          </rPr>
          <t xml:space="preserve"> [ST April 1800]
</t>
        </r>
        <r>
          <rPr>
            <sz val="14"/>
            <color rgb="FF000000"/>
            <rFont val="Times New Roman"/>
            <family val="18"/>
          </rPr>
          <t xml:space="preserve">28/08/1802 Musterung: IR 43 Haupt Pasqually Comp. Nr. 100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Verpflegt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02/11/1803 Musterung: IR 43 Haupt Pasqually Comp. Nr. 89 [</t>
        </r>
        <r>
          <rPr>
            <i/>
            <sz val="14"/>
            <color rgb="FF000000"/>
            <rFont val="Times New Roman"/>
            <family val="18"/>
          </rPr>
          <t>Auf Urlaub bis zur Einberufung in seinem Geburtsort</t>
        </r>
        <r>
          <rPr>
            <sz val="14"/>
            <color rgb="FF000000"/>
            <rFont val="Times New Roman"/>
            <family val="18"/>
          </rPr>
          <t xml:space="preserve">]
</t>
        </r>
        <r>
          <rPr>
            <sz val="14"/>
            <color rgb="FF000000"/>
            <rFont val="Times New Roman"/>
            <family val="18"/>
          </rPr>
          <t>At Muster 05/10/1804 Haupt Pasqually Comp. Nr. 85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01/04/1805 </t>
        </r>
        <r>
          <rPr>
            <i/>
            <sz val="14"/>
            <color rgb="FF000000"/>
            <rFont val="Times New Roman"/>
            <family val="18"/>
          </rPr>
          <t>Regiment Bewilligung bezüglich Entlassung im Austausch gegen ausländischen Kapitulanten und doppeltes Monturgeld Erlag von 52Fl 22 xr</t>
        </r>
        <r>
          <rPr>
            <sz val="14"/>
            <color rgb="FF000000"/>
            <rFont val="Times New Roman"/>
            <family val="18"/>
          </rPr>
          <t xml:space="preserve"> [AL 1805]
</t>
        </r>
        <r>
          <rPr>
            <sz val="14"/>
            <color rgb="FF000000"/>
            <rFont val="Times New Roman"/>
            <family val="18"/>
          </rPr>
          <t xml:space="preserve">26/07/1805 </t>
        </r>
        <r>
          <rPr>
            <i/>
            <sz val="14"/>
            <color rgb="FF000000"/>
            <rFont val="Times New Roman"/>
            <family val="18"/>
          </rPr>
          <t>Mathias Woiczikowsky ist als Ersatz Man in Lublin assentiert [</t>
        </r>
        <r>
          <rPr>
            <sz val="14"/>
            <color rgb="FF000000"/>
            <rFont val="Times New Roman"/>
            <family val="18"/>
          </rPr>
          <t xml:space="preserve">AL 1805]
</t>
        </r>
        <r>
          <rPr>
            <sz val="14"/>
            <color rgb="FF000000"/>
            <rFont val="Times New Roman"/>
            <family val="18"/>
          </rPr>
          <t>10/11/1805 Musterung: IR 43 15. Fus Comp Nr. 77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Gegen Stellung von Ausländer und Erlag des doppelten Monturgeld von Unbestimmte Urlaub mit Abschied entlassen</t>
        </r>
        <r>
          <rPr>
            <sz val="14"/>
            <color rgb="FF000000"/>
            <rFont val="Times New Roman"/>
            <family val="18"/>
          </rPr>
          <t xml:space="preserve"> [ST Oct 1806 &amp; ML 1806]
</t>
        </r>
      </text>
    </comment>
    <comment ref="BG519" authorId="0" shapeId="0" xr:uid="{F33ACE2F-C475-7549-9B58-AAAC23E59E5A}">
      <text>
        <r>
          <rPr>
            <sz val="14"/>
            <color rgb="FF000000"/>
            <rFont val="Times New Roman"/>
            <family val="18"/>
          </rPr>
          <t xml:space="preserve">ML 10.272 IR 43 (1802) – Heft von Haupt Pasqually Nr. 100 (Cattaro 28/08/1802)
</t>
        </r>
        <r>
          <rPr>
            <sz val="14"/>
            <color rgb="FF000000"/>
            <rFont val="Times New Roman"/>
            <family val="18"/>
          </rPr>
          <t xml:space="preserve">ML 10.273 IR 43 (1803) – Heft von Haupt Pasqually Nr. 89 (Cattaro 02/11/1803)
</t>
        </r>
        <r>
          <rPr>
            <sz val="14"/>
            <color rgb="FF000000"/>
            <rFont val="Times New Roman"/>
            <family val="18"/>
          </rPr>
          <t xml:space="preserve">ML 10.274 IR 43 (1804) – Heft von Haupt Pasqually Comp. Nr. 85 (Theodo 05/10/1804)
</t>
        </r>
        <r>
          <rPr>
            <sz val="14"/>
            <color rgb="FF000000"/>
            <rFont val="Times New Roman"/>
            <family val="18"/>
          </rPr>
          <t xml:space="preserve">ML 10.275/6 IR 43 (1805) – Heft von 14. Fus Comp. Nr, 142 &amp; Zuwachs (Zara 01/10/1805) and 15. Fus Comp. Nr. 77 (Macarsca (10/11/1805)
</t>
        </r>
        <r>
          <rPr>
            <sz val="14"/>
            <color rgb="FF000000"/>
            <rFont val="Times New Roman"/>
            <family val="18"/>
          </rPr>
          <t xml:space="preserve">ML 10.277/8 IR 43 (1806) – Heft von 9. Fus Comp. Abgang (Neustadt 05/12/1806)
</t>
        </r>
        <r>
          <rPr>
            <sz val="14"/>
            <color rgb="FF000000"/>
            <rFont val="Times New Roman"/>
            <family val="18"/>
          </rPr>
          <t xml:space="preserve">ML 10.309 IR 43 (1800) – ST Feb (06/04/1801) und April (24/01/1802)
</t>
        </r>
        <r>
          <rPr>
            <sz val="14"/>
            <color rgb="FF000000"/>
            <rFont val="Times New Roman"/>
            <family val="18"/>
          </rPr>
          <t xml:space="preserve">ML 10.310 IR 43 (1800) – TL Nr. 101 (Laibach 05/02/1800)
</t>
        </r>
        <r>
          <rPr>
            <sz val="14"/>
            <color rgb="FF000000"/>
            <rFont val="Times New Roman"/>
            <family val="18"/>
          </rPr>
          <t xml:space="preserve">ML 10.313 IR 43 (1803) – ST Jan (15/02/1803) und März (15/04/1803)
</t>
        </r>
        <r>
          <rPr>
            <sz val="14"/>
            <color rgb="FF000000"/>
            <rFont val="Times New Roman"/>
            <family val="18"/>
          </rPr>
          <t xml:space="preserve">ML 10.316 IR 43 (1805) AL von Mathis Woiczikowsky (Lublin 26/07/1805)
</t>
        </r>
        <r>
          <rPr>
            <sz val="14"/>
            <color rgb="FF000000"/>
            <rFont val="Times New Roman"/>
            <family val="18"/>
          </rPr>
          <t>ML 10.317 IR 43 (1806) – ST Okt (27/11/1806)</t>
        </r>
      </text>
    </comment>
    <comment ref="BH519" authorId="0" shapeId="0" xr:uid="{C2A9A2BF-F64B-E140-B8E8-82E379C2CE40}">
      <text>
        <r>
          <rPr>
            <sz val="14"/>
            <color rgb="FF000000"/>
            <rFont val="Calibri"/>
            <family val="34"/>
          </rPr>
          <t>IR 43 (1799-1806)</t>
        </r>
      </text>
    </comment>
    <comment ref="BF520" authorId="0" shapeId="0" xr:uid="{865688D0-526D-9F4E-9019-BDB7D6681209}">
      <text>
        <r>
          <rPr>
            <sz val="14"/>
            <color rgb="FFFF0000"/>
            <rFont val="Times New Roman"/>
            <family val="18"/>
          </rPr>
          <t xml:space="preserve">05/03/1799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In 07/1799 </t>
        </r>
        <r>
          <rPr>
            <i/>
            <sz val="14"/>
            <color rgb="FF000000"/>
            <rFont val="Times New Roman"/>
            <family val="18"/>
          </rPr>
          <t>Von Ständen gestellt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10/12/1799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10/05/1800 </t>
        </r>
        <r>
          <rPr>
            <i/>
            <sz val="14"/>
            <color rgb="FF000000"/>
            <rFont val="Times New Roman"/>
            <family val="18"/>
          </rPr>
          <t>In Reserve Division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25/06/1800 </t>
        </r>
        <r>
          <rPr>
            <i/>
            <sz val="14"/>
            <color rgb="FF000000"/>
            <rFont val="Times New Roman"/>
            <family val="18"/>
          </rPr>
          <t>Von Reserve Division in Leib Comp. Transferiert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28/08/1802 Muster: IR 43 Leib Komp. Nr. 93</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desertiert</t>
        </r>
        <r>
          <rPr>
            <sz val="14"/>
            <color rgb="FF000000"/>
            <rFont val="Times New Roman"/>
            <family val="18"/>
          </rPr>
          <t xml:space="preserve"> [ML 1803]</t>
        </r>
        <r>
          <rPr>
            <sz val="14"/>
            <color rgb="FF000000"/>
            <rFont val="Calibri"/>
            <family val="34"/>
          </rPr>
          <t xml:space="preserve">
</t>
        </r>
      </text>
    </comment>
    <comment ref="BG520" authorId="0" shapeId="0" xr:uid="{21510AB0-05B1-4D4D-BF4A-41F5943236F0}">
      <text>
        <r>
          <rPr>
            <sz val="14"/>
            <color rgb="FF000000"/>
            <rFont val="Times New Roman"/>
            <family val="18"/>
          </rPr>
          <t>ML 10.272 IR 43 (1802) – Leib Komp. Nr. 93 (Cattaro 28/08/1802)</t>
        </r>
        <r>
          <rPr>
            <sz val="14"/>
            <color rgb="FF000000"/>
            <rFont val="Calibri"/>
            <family val="34"/>
          </rPr>
          <t xml:space="preserve">
</t>
        </r>
        <r>
          <rPr>
            <sz val="14"/>
            <color rgb="FF000000"/>
            <rFont val="Times New Roman"/>
            <family val="18"/>
          </rPr>
          <t>ML 10.273 IR 43 (1803) – Lieb Komp. Abgang (Scardona 30/09/1803)</t>
        </r>
        <r>
          <rPr>
            <sz val="14"/>
            <color rgb="FF000000"/>
            <rFont val="Calibri"/>
            <family val="34"/>
          </rPr>
          <t xml:space="preserve">
</t>
        </r>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text>
    </comment>
    <comment ref="BH520" authorId="0" shapeId="0" xr:uid="{45EA9F6A-0731-0E44-A950-1A224026530C}">
      <text>
        <r>
          <rPr>
            <sz val="14"/>
            <color rgb="FF000000"/>
            <rFont val="Calibri"/>
            <family val="34"/>
          </rPr>
          <t>IR 43 (1799-1802)</t>
        </r>
      </text>
    </comment>
    <comment ref="BF521" authorId="0" shapeId="0" xr:uid="{B1929978-3EDA-8547-85D6-20FC60DD8F9E}">
      <text>
        <r>
          <rPr>
            <sz val="14"/>
            <color rgb="FF000000"/>
            <rFont val="Times New Roman"/>
            <family val="18"/>
          </rPr>
          <t xml:space="preserve">In 07/1799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16/11/1799 </t>
        </r>
        <r>
          <rPr>
            <i/>
            <sz val="14"/>
            <color rgb="FF000000"/>
            <rFont val="Times New Roman"/>
            <family val="18"/>
          </rPr>
          <t>Ins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11/01/1800 </t>
        </r>
        <r>
          <rPr>
            <i/>
            <sz val="14"/>
            <color rgb="FF000000"/>
            <rFont val="Times New Roman"/>
            <family val="18"/>
          </rPr>
          <t>Auf Marsch zum Regiment Mit Kriegsgebühr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24/01/1800 </t>
        </r>
        <r>
          <rPr>
            <i/>
            <sz val="14"/>
            <color rgb="FF000000"/>
            <rFont val="Times New Roman"/>
            <family val="18"/>
          </rPr>
          <t>Als Angehörige der Haupt Köpf Comp. zu Verona gestorben</t>
        </r>
        <r>
          <rPr>
            <sz val="14"/>
            <color rgb="FF000000"/>
            <rFont val="Times New Roman"/>
            <family val="18"/>
          </rPr>
          <t xml:space="preserve"> [ST Feb 1800]</t>
        </r>
        <r>
          <rPr>
            <sz val="14"/>
            <color rgb="FF000000"/>
            <rFont val="Calibri"/>
            <family val="34"/>
          </rPr>
          <t xml:space="preserve">
</t>
        </r>
      </text>
    </comment>
    <comment ref="BG521" authorId="0" shapeId="0" xr:uid="{1575602E-24D6-8E47-ADFE-84220D88BBD8}">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 Feb (06/04/1801)</t>
        </r>
        <r>
          <rPr>
            <sz val="14"/>
            <color rgb="FF000000"/>
            <rFont val="Calibri"/>
            <family val="34"/>
          </rPr>
          <t xml:space="preserve">
</t>
        </r>
      </text>
    </comment>
    <comment ref="BH521" authorId="0" shapeId="0" xr:uid="{A5D7C7FB-A97D-A74D-B8E2-6ABABF6DD633}">
      <text>
        <r>
          <rPr>
            <sz val="14"/>
            <color rgb="FF000000"/>
            <rFont val="Calibri"/>
            <family val="34"/>
          </rPr>
          <t>IR 43 (1799-1800)</t>
        </r>
      </text>
    </comment>
    <comment ref="I522" authorId="0" shapeId="0" xr:uid="{7DCF745E-2466-2E4C-8D82-000A50B8F2DD}">
      <text>
        <r>
          <rPr>
            <sz val="14"/>
            <color rgb="FF000000"/>
            <rFont val="Calibri"/>
            <family val="34"/>
          </rPr>
          <t xml:space="preserve">1770 [34 (1804)] 
</t>
        </r>
        <r>
          <rPr>
            <sz val="14"/>
            <color rgb="FF000000"/>
            <rFont val="Calibri"/>
            <family val="34"/>
          </rPr>
          <t xml:space="preserve">OR 
</t>
        </r>
        <r>
          <rPr>
            <sz val="14"/>
            <color rgb="FF000000"/>
            <rFont val="Calibri"/>
            <family val="34"/>
          </rPr>
          <t>1776 [24 (1800)]</t>
        </r>
      </text>
    </comment>
    <comment ref="T522" authorId="0" shapeId="0" xr:uid="{27008BED-1EE5-2B4C-B212-D633C59B0373}">
      <text>
        <r>
          <rPr>
            <sz val="14"/>
            <color rgb="FF000000"/>
            <rFont val="Calibri"/>
            <family val="34"/>
          </rPr>
          <t xml:space="preserve">5.1.2 [161.07 cm] (1802-4)
</t>
        </r>
        <r>
          <rPr>
            <sz val="14"/>
            <color rgb="FF000000"/>
            <rFont val="Calibri"/>
            <family val="34"/>
          </rPr>
          <t>5.4.2 [168.96 cm] (1800)</t>
        </r>
      </text>
    </comment>
    <comment ref="BF522" authorId="0" shapeId="0" xr:uid="{FB102957-1850-7A49-B304-CD8BFB6B1B29}">
      <text>
        <r>
          <rPr>
            <sz val="14"/>
            <color rgb="FFFF0000"/>
            <rFont val="Times New Roman"/>
            <family val="18"/>
          </rPr>
          <t xml:space="preserve">20/05/1799 </t>
        </r>
        <r>
          <rPr>
            <i/>
            <sz val="14"/>
            <color rgb="FFFF0000"/>
            <rFont val="Times New Roman"/>
            <family val="18"/>
          </rPr>
          <t>Von Ständen in Sandomierz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In 07/1799 </t>
        </r>
        <r>
          <rPr>
            <i/>
            <sz val="14"/>
            <color rgb="FF000000"/>
            <rFont val="Times New Roman"/>
            <family val="18"/>
          </rPr>
          <t xml:space="preserve">Von Ständen gestellt und seitdem auf Anhero Marsch mit </t>
        </r>
        <r>
          <rPr>
            <sz val="14"/>
            <color rgb="FF000000"/>
            <rFont val="Times New Roman"/>
            <family val="18"/>
          </rPr>
          <t>Friedensgebühr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eingeruckt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20/12/1799 </t>
        </r>
        <r>
          <rPr>
            <i/>
            <sz val="14"/>
            <color rgb="FF000000"/>
            <rFont val="Times New Roman"/>
            <family val="18"/>
          </rPr>
          <t>Rekonvalesziert</t>
        </r>
        <r>
          <rPr>
            <sz val="14"/>
            <color rgb="FF000000"/>
            <rFont val="Times New Roman"/>
            <family val="18"/>
          </rPr>
          <t xml:space="preserve"> [SR Dec 1799]</t>
        </r>
        <r>
          <rPr>
            <sz val="14"/>
            <color rgb="FF000000"/>
            <rFont val="Calibri"/>
            <family val="34"/>
          </rPr>
          <t xml:space="preserve">
</t>
        </r>
        <r>
          <rPr>
            <sz val="14"/>
            <color rgb="FF000000"/>
            <rFont val="Times New Roman"/>
            <family val="18"/>
          </rPr>
          <t xml:space="preserve">05/02/1800 </t>
        </r>
        <r>
          <rPr>
            <i/>
            <sz val="14"/>
            <color rgb="FF000000"/>
            <rFont val="Times New Roman"/>
            <family val="18"/>
          </rPr>
          <t>Auf Marsch mit Regiment mit Kriegsgebühr</t>
        </r>
        <r>
          <rPr>
            <sz val="14"/>
            <color rgb="FF000000"/>
            <rFont val="Times New Roman"/>
            <family val="18"/>
          </rPr>
          <t xml:space="preserve"> [TL June 1800]</t>
        </r>
        <r>
          <rPr>
            <sz val="14"/>
            <color rgb="FF000000"/>
            <rFont val="Calibri"/>
            <family val="34"/>
          </rPr>
          <t xml:space="preserve">
</t>
        </r>
        <r>
          <rPr>
            <sz val="14"/>
            <color rgb="FF000000"/>
            <rFont val="Times New Roman"/>
            <family val="18"/>
          </rPr>
          <t xml:space="preserve">01/07/1800 </t>
        </r>
        <r>
          <rPr>
            <i/>
            <sz val="14"/>
            <color rgb="FF000000"/>
            <rFont val="Times New Roman"/>
            <family val="18"/>
          </rPr>
          <t>Von der Reserve Division in ObrestLt Comp. transferiert</t>
        </r>
        <r>
          <rPr>
            <sz val="14"/>
            <color rgb="FF000000"/>
            <rFont val="Times New Roman"/>
            <family val="18"/>
          </rPr>
          <t xml:space="preserve"> [ST July 1800]</t>
        </r>
        <r>
          <rPr>
            <sz val="14"/>
            <color rgb="FF000000"/>
            <rFont val="Calibri"/>
            <family val="34"/>
          </rPr>
          <t xml:space="preserve">
</t>
        </r>
        <r>
          <rPr>
            <sz val="14"/>
            <color rgb="FFFF0000"/>
            <rFont val="Times New Roman"/>
            <family val="18"/>
          </rPr>
          <t xml:space="preserve">14/07/1800 </t>
        </r>
        <r>
          <rPr>
            <i/>
            <sz val="14"/>
            <color rgb="FFFF0000"/>
            <rFont val="Times New Roman"/>
            <family val="18"/>
          </rPr>
          <t xml:space="preserve">Von Stände gestellt gegen 3Fl gestellt </t>
        </r>
        <r>
          <rPr>
            <sz val="14"/>
            <color rgb="FFFF0000"/>
            <rFont val="Times New Roman"/>
            <family val="18"/>
          </rPr>
          <t>[TL Aug 1802]</t>
        </r>
        <r>
          <rPr>
            <sz val="14"/>
            <color rgb="FF000000"/>
            <rFont val="Calibri"/>
            <family val="34"/>
          </rPr>
          <t xml:space="preserve">
</t>
        </r>
        <r>
          <rPr>
            <sz val="14"/>
            <color rgb="FF000000"/>
            <rFont val="Times New Roman"/>
            <family val="18"/>
          </rPr>
          <t xml:space="preserve">01/04/1801 </t>
        </r>
        <r>
          <rPr>
            <i/>
            <sz val="14"/>
            <color rgb="FF000000"/>
            <rFont val="Times New Roman"/>
            <family val="18"/>
          </rPr>
          <t>krank auswärts</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 xml:space="preserve">Rekonvalesziert </t>
        </r>
        <r>
          <rPr>
            <sz val="14"/>
            <color rgb="FF000000"/>
            <rFont val="Times New Roman"/>
            <family val="18"/>
          </rPr>
          <t>[ST Juni 1801]</t>
        </r>
        <r>
          <rPr>
            <sz val="14"/>
            <color rgb="FF000000"/>
            <rFont val="Calibri"/>
            <family val="34"/>
          </rPr>
          <t xml:space="preserve">
</t>
        </r>
        <r>
          <rPr>
            <sz val="14"/>
            <color rgb="FF000000"/>
            <rFont val="Times New Roman"/>
            <family val="18"/>
          </rPr>
          <t>06/04/1800 Von Reserve Division ins ObristLt Companie transferiert [ST April 1800]</t>
        </r>
        <r>
          <rPr>
            <sz val="14"/>
            <color rgb="FF000000"/>
            <rFont val="Calibri"/>
            <family val="34"/>
          </rPr>
          <t xml:space="preserve">
</t>
        </r>
        <r>
          <rPr>
            <sz val="14"/>
            <color rgb="FF000000"/>
            <rFont val="Times New Roman"/>
            <family val="18"/>
          </rPr>
          <t xml:space="preserve">13/08/1802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Muster: IR 44 Haupt Assandri Nr. 90 [</t>
        </r>
        <r>
          <rPr>
            <i/>
            <sz val="14"/>
            <color rgb="FF000000"/>
            <rFont val="Times New Roman"/>
            <family val="18"/>
          </rPr>
          <t>Auf unbestimmte Zeit beurlaubt zu Konskavalla in Neu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Nr. 86 [</t>
        </r>
        <r>
          <rPr>
            <i/>
            <sz val="14"/>
            <color rgb="FF000000"/>
            <rFont val="Times New Roman"/>
            <family val="18"/>
          </rPr>
          <t>Beurlaubt Konskawolla Josephower Kreis in West Galizien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522" authorId="0" shapeId="0" xr:uid="{D3DC9BA8-CF7B-0B43-AB4A-C7D9000FCA60}">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Juli (24/10/1803)</t>
        </r>
        <r>
          <rPr>
            <sz val="14"/>
            <color rgb="FF000000"/>
            <rFont val="Calibri"/>
            <family val="34"/>
          </rPr>
          <t xml:space="preserve">
</t>
        </r>
        <r>
          <rPr>
            <sz val="14"/>
            <color rgb="FF000000"/>
            <rFont val="Times New Roman"/>
            <family val="18"/>
          </rPr>
          <t>ML 10.310 IR 43 (1800) – TL Res. Div.-&gt; Feld Bat. Nr. 111 (Laibach 05/06/1800)</t>
        </r>
        <r>
          <rPr>
            <sz val="14"/>
            <color rgb="FF000000"/>
            <rFont val="Calibri"/>
            <family val="34"/>
          </rPr>
          <t xml:space="preserve">
</t>
        </r>
        <r>
          <rPr>
            <sz val="14"/>
            <color rgb="FF000000"/>
            <rFont val="Times New Roman"/>
            <family val="18"/>
          </rPr>
          <t>ML 10.311 IR 43 (1801) – ST April (13/10/1804), Juni (20/06/1805)</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90 (Venice 19/09/1803)</t>
        </r>
        <r>
          <rPr>
            <sz val="14"/>
            <color rgb="FF000000"/>
            <rFont val="Calibri"/>
            <family val="34"/>
          </rPr>
          <t xml:space="preserve">
</t>
        </r>
        <r>
          <rPr>
            <sz val="14"/>
            <color rgb="FF000000"/>
            <rFont val="Times New Roman"/>
            <family val="18"/>
          </rPr>
          <t>ML 3909 IR 44 (1804) – Haupt Assandri Komp. Nr. 86 (Venice 19/09/1803)</t>
        </r>
        <r>
          <rPr>
            <sz val="14"/>
            <color rgb="FF000000"/>
            <rFont val="Calibri"/>
            <family val="34"/>
          </rPr>
          <t xml:space="preserve">
</t>
        </r>
        <r>
          <rPr>
            <sz val="14"/>
            <color rgb="FF000000"/>
            <rFont val="Times New Roman"/>
            <family val="18"/>
          </rPr>
          <t>ML 3946 IR 44 (1802) – AL IR 43-&gt; IR 43 Nr. 16 (Zara 14/08/1802)</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text>
    </comment>
    <comment ref="BH522" authorId="0" shapeId="0" xr:uid="{E295E98E-82B2-C04F-8D7E-A07579D25F94}">
      <text>
        <r>
          <rPr>
            <sz val="14"/>
            <color rgb="FF000000"/>
            <rFont val="Calibri"/>
            <family val="34"/>
          </rPr>
          <t xml:space="preserve">IR 43 (1799-1802)
</t>
        </r>
        <r>
          <rPr>
            <sz val="14"/>
            <color rgb="FF000000"/>
            <rFont val="Calibri"/>
            <family val="34"/>
          </rPr>
          <t>IR 44 (1802-1806)</t>
        </r>
      </text>
    </comment>
    <comment ref="BI522" authorId="0" shapeId="0" xr:uid="{D06E4891-9CA6-4449-80A6-DDF13FD19579}">
      <text>
        <r>
          <rPr>
            <sz val="14"/>
            <color rgb="FF000000"/>
            <rFont val="Calibri"/>
            <family val="34"/>
          </rPr>
          <t>Gut [TL Aug 1802]</t>
        </r>
      </text>
    </comment>
    <comment ref="BF523" authorId="0" shapeId="0" xr:uid="{BF49F958-FEDA-A846-9A0A-770950614D1F}">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In 10/1799 I</t>
        </r>
        <r>
          <rPr>
            <i/>
            <sz val="14"/>
            <color rgb="FF000000"/>
            <rFont val="Times New Roman"/>
            <family val="18"/>
          </rPr>
          <t>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 xml:space="preserve">von die Reserve Division ins Haupt Fischer Comp. Transferiert </t>
        </r>
        <r>
          <rPr>
            <sz val="14"/>
            <color rgb="FF000000"/>
            <rFont val="Times New Roman"/>
            <family val="18"/>
          </rPr>
          <t>[ST Jan 1800]</t>
        </r>
        <r>
          <rPr>
            <sz val="14"/>
            <color rgb="FF000000"/>
            <rFont val="Calibri"/>
            <family val="34"/>
          </rPr>
          <t xml:space="preserve">
</t>
        </r>
        <r>
          <rPr>
            <sz val="14"/>
            <color rgb="FF000000"/>
            <rFont val="Times New Roman"/>
            <family val="18"/>
          </rPr>
          <t xml:space="preserve">19/08/1801 </t>
        </r>
        <r>
          <rPr>
            <i/>
            <sz val="14"/>
            <color rgb="FF000000"/>
            <rFont val="Times New Roman"/>
            <family val="18"/>
          </rPr>
          <t>Aus der Station Sign desertiert</t>
        </r>
        <r>
          <rPr>
            <sz val="14"/>
            <color rgb="FF000000"/>
            <rFont val="Times New Roman"/>
            <family val="18"/>
          </rPr>
          <t xml:space="preserve"> [ST August 1801]</t>
        </r>
        <r>
          <rPr>
            <sz val="14"/>
            <color rgb="FF000000"/>
            <rFont val="Calibri"/>
            <family val="34"/>
          </rPr>
          <t xml:space="preserve">
</t>
        </r>
      </text>
    </comment>
    <comment ref="BG523" authorId="0" shapeId="0" xr:uid="{72558E8E-1EA8-A744-AC75-65F07712B1F9}">
      <text>
        <r>
          <rPr>
            <sz val="14"/>
            <color rgb="FF000000"/>
            <rFont val="Times New Roman"/>
            <family val="18"/>
          </rPr>
          <t>ML 10.307 IR 43 (1799) – ST Nov (12/09/1800)</t>
        </r>
        <r>
          <rPr>
            <sz val="14"/>
            <color rgb="FF000000"/>
            <rFont val="Calibri"/>
            <family val="34"/>
          </rPr>
          <t xml:space="preserve">
</t>
        </r>
        <r>
          <rPr>
            <sz val="14"/>
            <color rgb="FF000000"/>
            <rFont val="Times New Roman"/>
            <family val="18"/>
          </rPr>
          <t>ML 10.309 IR 43 (1800) – ST Jan (26/02/1801)</t>
        </r>
        <r>
          <rPr>
            <sz val="14"/>
            <color rgb="FF000000"/>
            <rFont val="Calibri"/>
            <family val="34"/>
          </rPr>
          <t xml:space="preserve">
</t>
        </r>
        <r>
          <rPr>
            <sz val="14"/>
            <color rgb="FF000000"/>
            <rFont val="Times New Roman"/>
            <family val="18"/>
          </rPr>
          <t xml:space="preserve">ML 10.311 IR 43 (1801) – ST Aug (13/08/1805) </t>
        </r>
      </text>
    </comment>
    <comment ref="BH523" authorId="0" shapeId="0" xr:uid="{3155904B-40E7-9145-A448-433EC09FB9F9}">
      <text>
        <r>
          <rPr>
            <sz val="14"/>
            <color rgb="FF000000"/>
            <rFont val="Calibri"/>
            <family val="34"/>
          </rPr>
          <t>IR 43 (1799-1801)</t>
        </r>
      </text>
    </comment>
    <comment ref="BF524" authorId="0" shapeId="0" xr:uid="{7F0B3365-24E8-504C-B915-CA37252D807F}">
      <text>
        <r>
          <rPr>
            <sz val="14"/>
            <color rgb="FF000000"/>
            <rFont val="Times New Roman"/>
            <family val="18"/>
          </rPr>
          <t xml:space="preserve">In 07/1799 </t>
        </r>
        <r>
          <rPr>
            <i/>
            <sz val="14"/>
            <color rgb="FF000000"/>
            <rFont val="Times New Roman"/>
            <family val="18"/>
          </rPr>
          <t>In IR 43 assentiert, seitdem auf Anhero Marsch mit Friedensgebühr</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ins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Haupt Mellanz Comp. transferiert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04/12/1801 </t>
        </r>
        <r>
          <rPr>
            <i/>
            <sz val="14"/>
            <color rgb="FF000000"/>
            <rFont val="Times New Roman"/>
            <family val="18"/>
          </rPr>
          <t>Als angehorige von Haupt Kocken Companie in loco Spotalto Gestorben</t>
        </r>
        <r>
          <rPr>
            <sz val="14"/>
            <color rgb="FF000000"/>
            <rFont val="Times New Roman"/>
            <family val="18"/>
          </rPr>
          <t xml:space="preserve"> [ST Dec 1801]</t>
        </r>
        <r>
          <rPr>
            <sz val="14"/>
            <color rgb="FF000000"/>
            <rFont val="Calibri"/>
            <family val="34"/>
          </rPr>
          <t xml:space="preserve">
</t>
        </r>
      </text>
    </comment>
    <comment ref="BG524" authorId="0" shapeId="0" xr:uid="{B0959E2A-D841-5048-8052-3D32E5ADD390}">
      <text>
        <r>
          <rPr>
            <sz val="14"/>
            <color rgb="FF000000"/>
            <rFont val="Times New Roman"/>
            <family val="18"/>
          </rPr>
          <t>ML 10.307 IR 43 (1799) – ST Nov (12/09/1800)</t>
        </r>
        <r>
          <rPr>
            <sz val="14"/>
            <color rgb="FF000000"/>
            <rFont val="Calibri"/>
            <family val="34"/>
          </rPr>
          <t xml:space="preserve">
</t>
        </r>
        <r>
          <rPr>
            <sz val="14"/>
            <color rgb="FF000000"/>
            <rFont val="Times New Roman"/>
            <family val="18"/>
          </rPr>
          <t>ML 10.309 IR 43 (1800) – ST Jan (26/02/1801)</t>
        </r>
        <r>
          <rPr>
            <sz val="14"/>
            <color rgb="FF000000"/>
            <rFont val="Calibri"/>
            <family val="34"/>
          </rPr>
          <t xml:space="preserve">
</t>
        </r>
        <r>
          <rPr>
            <sz val="14"/>
            <color rgb="FF000000"/>
            <rFont val="Times New Roman"/>
            <family val="18"/>
          </rPr>
          <t xml:space="preserve">ML 10.311 IR 43 (1801) – ST Aug (13/08/1805) </t>
        </r>
      </text>
    </comment>
    <comment ref="BH524" authorId="0" shapeId="0" xr:uid="{83ECC606-BBE2-B847-885E-0933DD18D6BA}">
      <text>
        <r>
          <rPr>
            <sz val="14"/>
            <color rgb="FF000000"/>
            <rFont val="Calibri"/>
            <family val="34"/>
          </rPr>
          <t>IR 43 (1799-1801)</t>
        </r>
      </text>
    </comment>
    <comment ref="BF525" authorId="0" shapeId="0" xr:uid="{1C56AB33-2D65-7641-83E5-14700688B0A6}">
      <text>
        <r>
          <rPr>
            <sz val="14"/>
            <color rgb="FF000000"/>
            <rFont val="Times New Roman"/>
            <family val="18"/>
          </rPr>
          <t xml:space="preserve">07/1799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14/01/1800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525" authorId="0" shapeId="0" xr:uid="{C4CADB29-5E48-E841-9BC9-D5118AE7964E}">
      <text>
        <r>
          <rPr>
            <sz val="14"/>
            <color rgb="FF000000"/>
            <rFont val="Times New Roman"/>
            <family val="18"/>
          </rPr>
          <t>ML 3543 IR 39 (1800) – TL IR 39-&gt;MFWK Nr. 3 (Eperies 30/08/1800); ST Jan 1800 (01/01/1801)</t>
        </r>
      </text>
    </comment>
    <comment ref="BH525" authorId="0" shapeId="0" xr:uid="{2210944F-BA3F-604A-BC66-3E277D9FB051}">
      <text>
        <r>
          <rPr>
            <sz val="14"/>
            <color rgb="FF000000"/>
            <rFont val="Calibri"/>
            <family val="34"/>
          </rPr>
          <t>MFWK (1799-1800)</t>
        </r>
      </text>
    </comment>
    <comment ref="BF526" authorId="0" shapeId="0" xr:uid="{3E1B220E-2209-1542-8D28-9D49356E77FC}">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G526" authorId="0" shapeId="0" xr:uid="{B3D7903A-08EE-D94A-B70A-33339C600C5A}">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text>
    </comment>
    <comment ref="BH526" authorId="0" shapeId="0" xr:uid="{048C593B-BC09-3B4C-9A33-144D87DDDE46}">
      <text>
        <r>
          <rPr>
            <sz val="14"/>
            <color rgb="FF000000"/>
            <rFont val="Calibri"/>
            <family val="34"/>
          </rPr>
          <t>IR 43 (1799-1800)</t>
        </r>
      </text>
    </comment>
    <comment ref="BF527" authorId="0" shapeId="0" xr:uid="{D74E6B6F-2624-BD48-80BE-1832F5FF7DED}">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25/05/1800 </t>
        </r>
        <r>
          <rPr>
            <i/>
            <sz val="14"/>
            <color rgb="FF000000"/>
            <rFont val="Times New Roman"/>
            <family val="18"/>
          </rPr>
          <t>in Folge hohe Verordnung als untauglich mit Laufpass entlassen</t>
        </r>
        <r>
          <rPr>
            <sz val="14"/>
            <color rgb="FF000000"/>
            <rFont val="Times New Roman"/>
            <family val="18"/>
          </rPr>
          <t xml:space="preserve"> [ST Aug 1800]</t>
        </r>
        <r>
          <rPr>
            <sz val="14"/>
            <color rgb="FF000000"/>
            <rFont val="Calibri"/>
            <family val="34"/>
          </rPr>
          <t xml:space="preserve">
</t>
        </r>
      </text>
    </comment>
    <comment ref="BG527" authorId="0" shapeId="0" xr:uid="{195BDED1-C3B3-8349-9C85-930A77D1F382}">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text>
    </comment>
    <comment ref="BH527" authorId="0" shapeId="0" xr:uid="{6826794A-D458-5643-A87E-DC0F6FD5D5D0}">
      <text>
        <r>
          <rPr>
            <sz val="14"/>
            <color rgb="FF000000"/>
            <rFont val="Calibri"/>
            <family val="34"/>
          </rPr>
          <t>IR 43 (1799-1800)</t>
        </r>
      </text>
    </comment>
    <comment ref="BF528" authorId="0" shapeId="0" xr:uid="{D58447A8-5A5F-0143-83EC-948F6B908487}">
      <text>
        <r>
          <rPr>
            <sz val="14"/>
            <color rgb="FF000000"/>
            <rFont val="Times New Roman"/>
            <family val="18"/>
          </rPr>
          <t xml:space="preserve">01/07/1799 </t>
        </r>
        <r>
          <rPr>
            <i/>
            <sz val="14"/>
            <color rgb="FF000000"/>
            <rFont val="Times New Roman"/>
            <family val="18"/>
          </rPr>
          <t>Gegen 3Fl Handgeld als landständische Recourt assentiert</t>
        </r>
        <r>
          <rPr>
            <sz val="14"/>
            <color rgb="FF000000"/>
            <rFont val="Times New Roman"/>
            <family val="18"/>
          </rPr>
          <t xml:space="preserve"> [ML 1802]
</t>
        </r>
        <r>
          <rPr>
            <sz val="14"/>
            <color rgb="FF000000"/>
            <rFont val="Times New Roman"/>
            <family val="18"/>
          </rPr>
          <t>22/09/1802 Muster: IR 13 Haupt Onzelt Komp. Nr. 79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06/03/1803 </t>
        </r>
        <r>
          <rPr>
            <i/>
            <sz val="14"/>
            <color rgb="FF000000"/>
            <rFont val="Times New Roman"/>
            <family val="18"/>
          </rPr>
          <t>Von Urlaub desertiert</t>
        </r>
        <r>
          <rPr>
            <sz val="14"/>
            <color rgb="FF000000"/>
            <rFont val="Times New Roman"/>
            <family val="18"/>
          </rPr>
          <t xml:space="preserve"> [ML 1803] </t>
        </r>
      </text>
    </comment>
    <comment ref="BG528" authorId="0" shapeId="0" xr:uid="{8CBA0065-2798-4A48-8AE0-884DB861918C}">
      <text>
        <r>
          <rPr>
            <sz val="14"/>
            <color rgb="FF000000"/>
            <rFont val="Times New Roman"/>
            <family val="18"/>
          </rPr>
          <t>ML 10.045/6 IR 13 (1802) – Haupt Onzelt Komp. Nr. 79 (Görz 22/09/1802)</t>
        </r>
        <r>
          <rPr>
            <sz val="14"/>
            <color rgb="FF000000"/>
            <rFont val="Times New Roman"/>
            <family val="18"/>
          </rPr>
          <t xml:space="preserve">
</t>
        </r>
        <r>
          <rPr>
            <sz val="14"/>
            <color rgb="FF000000"/>
            <rFont val="Times New Roman"/>
            <family val="18"/>
          </rPr>
          <t>ML 10.047/8 IR 13 (1803) – Haupt Onzelt Komp. Abgang (Exercierlager bei St. Andre in Friaul 16/09/1803)</t>
        </r>
      </text>
    </comment>
    <comment ref="BH528" authorId="0" shapeId="0" xr:uid="{04934D70-F3EA-D644-ADC6-88B172C3F513}">
      <text>
        <r>
          <rPr>
            <sz val="14"/>
            <color rgb="FF000000"/>
            <rFont val="Calibri"/>
            <family val="34"/>
          </rPr>
          <t>IR 13 (1799-1803)</t>
        </r>
      </text>
    </comment>
    <comment ref="BF529" authorId="0" shapeId="0" xr:uid="{BEF28B07-6BFE-C14A-8210-26866914DE99}">
      <text>
        <r>
          <rPr>
            <sz val="14"/>
            <color rgb="FF000000"/>
            <rFont val="Times New Roman"/>
            <family val="18"/>
          </rPr>
          <t xml:space="preserve">01/07/1799 </t>
        </r>
        <r>
          <rPr>
            <i/>
            <sz val="14"/>
            <color rgb="FF000000"/>
            <rFont val="Times New Roman"/>
            <family val="18"/>
          </rPr>
          <t xml:space="preserve">Zu Lublin gegen 3 Fl Handgeld auf Beständig assentiert </t>
        </r>
        <r>
          <rPr>
            <sz val="14"/>
            <color rgb="FF000000"/>
            <rFont val="Times New Roman"/>
            <family val="18"/>
          </rPr>
          <t xml:space="preserve">[ML 1802]
</t>
        </r>
        <r>
          <rPr>
            <sz val="14"/>
            <color rgb="FF000000"/>
            <rFont val="Times New Roman"/>
            <family val="18"/>
          </rPr>
          <t xml:space="preserve">18/09/1802 Muster: IR 13 Haupt Majus Komp. Nr. 54
</t>
        </r>
        <r>
          <rPr>
            <sz val="14"/>
            <color rgb="FF000000"/>
            <rFont val="Times New Roman"/>
            <family val="18"/>
          </rPr>
          <t>24/09/1803 Muster: IR 13 Haupt Majus Komp. Nr. 32 [</t>
        </r>
        <r>
          <rPr>
            <i/>
            <sz val="14"/>
            <color rgb="FF000000"/>
            <rFont val="Times New Roman"/>
            <family val="18"/>
          </rPr>
          <t>Beurlaubt auf unbestimmte Zeit in seinem Geburtsort</t>
        </r>
        <r>
          <rPr>
            <sz val="14"/>
            <color rgb="FF000000"/>
            <rFont val="Times New Roman"/>
            <family val="18"/>
          </rPr>
          <t xml:space="preserve">]
</t>
        </r>
        <r>
          <rPr>
            <sz val="14"/>
            <color rgb="FF000000"/>
            <rFont val="Times New Roman"/>
            <family val="18"/>
          </rPr>
          <t xml:space="preserve">30/07/1805 </t>
        </r>
        <r>
          <rPr>
            <i/>
            <sz val="14"/>
            <color rgb="FF000000"/>
            <rFont val="Times New Roman"/>
            <family val="18"/>
          </rPr>
          <t xml:space="preserve">Zu Folge hohen Innen und Ober ostrreicischen General Commando Verordnung graz am 8. September 802 gegen Stellung des laut Monats Tabbele pro 804 bey Obrsit Lt Komp in Zuwachs scheneinde auslandischer Rekrut Paul Orsinsky dann laut den Monats Tabelle pro Juni 805 beim 2. Major Comp. zugewachsene Mathias Kramer und Erlaag des Doppelten Montur Geld mit Abschied entlassen </t>
        </r>
        <r>
          <rPr>
            <sz val="14"/>
            <color rgb="FF000000"/>
            <rFont val="Times New Roman"/>
            <family val="18"/>
          </rPr>
          <t xml:space="preserve">(ML 1806) </t>
        </r>
      </text>
    </comment>
    <comment ref="BG529" authorId="0" shapeId="0" xr:uid="{716CFE42-1408-1241-83A7-6744CFB71DE8}">
      <text>
        <r>
          <rPr>
            <sz val="14"/>
            <color rgb="FF000000"/>
            <rFont val="Times New Roman"/>
            <family val="18"/>
          </rPr>
          <t>ML 10.045/6 IR 13 (1802) – Haupt Majus Komp. Nr. 54 (Capo D‘Istria 18/09/1802)</t>
        </r>
        <r>
          <rPr>
            <sz val="14"/>
            <color rgb="FF000000"/>
            <rFont val="Times New Roman"/>
            <family val="18"/>
          </rPr>
          <t xml:space="preserve">
</t>
        </r>
        <r>
          <rPr>
            <sz val="14"/>
            <color rgb="FF000000"/>
            <rFont val="Times New Roman"/>
            <family val="18"/>
          </rPr>
          <t>ML 10.047/8 IR 13 (1803) – Haupt Majus Komp. Nr. 32 (Capo D‘Istria 24/09/1803)</t>
        </r>
        <r>
          <rPr>
            <sz val="14"/>
            <color rgb="FF000000"/>
            <rFont val="Times New Roman"/>
            <family val="18"/>
          </rPr>
          <t xml:space="preserve">
</t>
        </r>
        <r>
          <rPr>
            <sz val="14"/>
            <color rgb="FF000000"/>
            <rFont val="Times New Roman"/>
            <family val="18"/>
          </rPr>
          <t>ML 10.050/1 IR 13 (1806) – Haupt Novak Komp. Abgang (</t>
        </r>
        <r>
          <rPr>
            <sz val="14"/>
            <color rgb="FF000000"/>
            <rFont val="Times New Roman"/>
            <family val="18"/>
          </rPr>
          <t>Giuppana 16/01/1807)</t>
        </r>
      </text>
    </comment>
    <comment ref="BH529" authorId="0" shapeId="0" xr:uid="{1C975EA8-AE90-2F44-A0A8-EB2F6FA7E69A}">
      <text>
        <r>
          <rPr>
            <sz val="14"/>
            <color rgb="FF000000"/>
            <rFont val="Calibri"/>
            <family val="34"/>
          </rPr>
          <t>IR 13 (1799-1805)</t>
        </r>
      </text>
    </comment>
    <comment ref="BF530" authorId="0" shapeId="0" xr:uid="{810D7337-402D-6F4C-8E85-234440C4670A}">
      <text>
        <r>
          <rPr>
            <sz val="14"/>
            <color rgb="FF000000"/>
            <rFont val="Times New Roman"/>
            <family val="18"/>
          </rPr>
          <t xml:space="preserve">01/07/1799 </t>
        </r>
        <r>
          <rPr>
            <i/>
            <sz val="14"/>
            <color rgb="FF000000"/>
            <rFont val="Times New Roman"/>
            <family val="18"/>
          </rPr>
          <t>Zu Kaunitz Inf.</t>
        </r>
        <r>
          <rPr>
            <sz val="14"/>
            <color rgb="FF000000"/>
            <rFont val="Times New Roman"/>
            <family val="18"/>
          </rPr>
          <t xml:space="preserve"> </t>
        </r>
        <r>
          <rPr>
            <b/>
            <sz val="14"/>
            <color rgb="FF000000"/>
            <rFont val="Times New Roman"/>
            <family val="18"/>
          </rPr>
          <t>[IR 20]</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08/02/1801 </t>
        </r>
        <r>
          <rPr>
            <i/>
            <sz val="14"/>
            <color rgb="FF000000"/>
            <rFont val="Times New Roman"/>
            <family val="18"/>
          </rPr>
          <t>Von IR 20 zur Staabs Inf.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Staab Inf. zum GR 2 transferiert und zur Fliescher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2 Haupt Fleischer Komp. Nr. 105</t>
        </r>
        <r>
          <rPr>
            <sz val="14"/>
            <color rgb="FF000000"/>
            <rFont val="Calibri"/>
            <family val="34"/>
          </rPr>
          <t xml:space="preserve">
</t>
        </r>
        <r>
          <rPr>
            <sz val="14"/>
            <color rgb="FF000000"/>
            <rFont val="Times New Roman"/>
            <family val="18"/>
          </rPr>
          <t xml:space="preserve">10/12/1802 </t>
        </r>
        <r>
          <rPr>
            <i/>
            <sz val="14"/>
            <color rgb="FF000000"/>
            <rFont val="Times New Roman"/>
            <family val="18"/>
          </rPr>
          <t>Am Sonsten desertiert</t>
        </r>
        <r>
          <rPr>
            <sz val="14"/>
            <color rgb="FF000000"/>
            <rFont val="Times New Roman"/>
            <family val="18"/>
          </rPr>
          <t xml:space="preserve"> [ML 1803] </t>
        </r>
        <r>
          <rPr>
            <sz val="14"/>
            <color rgb="FF000000"/>
            <rFont val="Calibri"/>
            <family val="34"/>
          </rPr>
          <t xml:space="preserve">
</t>
        </r>
      </text>
    </comment>
    <comment ref="BG530" authorId="0" shapeId="0" xr:uid="{F003CE44-9406-B343-8EF5-7E74DD3FBCCC}">
      <text>
        <r>
          <rPr>
            <sz val="14"/>
            <color rgb="FF000000"/>
            <rFont val="Times New Roman"/>
            <family val="18"/>
          </rPr>
          <t>ML 11.183 GR 2 (1802) – Haupt Fleischer Komp. Nr. 105 (Zamosc 01/09/1802)</t>
        </r>
        <r>
          <rPr>
            <sz val="14"/>
            <color rgb="FF000000"/>
            <rFont val="Calibri"/>
            <family val="34"/>
          </rPr>
          <t xml:space="preserve">
</t>
        </r>
        <r>
          <rPr>
            <sz val="14"/>
            <color rgb="FF000000"/>
            <rFont val="Times New Roman"/>
            <family val="18"/>
          </rPr>
          <t>ML 11.184 GR 2 (1803) – Haupt Fleischer Komp. Abgang (Hrubieszów 03/09/1803)</t>
        </r>
      </text>
    </comment>
    <comment ref="BH530" authorId="0" shapeId="0" xr:uid="{328596FF-7EFA-D540-85CB-B2B3E0A4C10A}">
      <text>
        <r>
          <rPr>
            <sz val="14"/>
            <color rgb="FF000000"/>
            <rFont val="Times New Roman"/>
            <family val="18"/>
          </rPr>
          <t xml:space="preserve">IR 20 (1799-1801)
</t>
        </r>
        <r>
          <rPr>
            <sz val="14"/>
            <color rgb="FF000000"/>
            <rFont val="Times New Roman"/>
            <family val="18"/>
          </rPr>
          <t xml:space="preserve">Staab Inf (1801)
</t>
        </r>
        <r>
          <rPr>
            <sz val="14"/>
            <color rgb="FF000000"/>
            <rFont val="Times New Roman"/>
            <family val="18"/>
          </rPr>
          <t>GR 2 (1801-1802)</t>
        </r>
      </text>
    </comment>
    <comment ref="BF531" authorId="0" shapeId="0" xr:uid="{839FA803-20A8-B144-90BA-9EF3CF4D773A}">
      <text>
        <r>
          <rPr>
            <sz val="14"/>
            <color rgb="FF000000"/>
            <rFont val="Times New Roman"/>
            <family val="18"/>
          </rPr>
          <t xml:space="preserve">01/07/1799 </t>
        </r>
        <r>
          <rPr>
            <i/>
            <sz val="14"/>
            <color rgb="FF000000"/>
            <rFont val="Times New Roman"/>
            <family val="18"/>
          </rPr>
          <t xml:space="preserve">Als landständischer Recrout a 3Fl Handgeld zu Chelm assentiert </t>
        </r>
        <r>
          <rPr>
            <sz val="14"/>
            <color rgb="FF000000"/>
            <rFont val="Times New Roman"/>
            <family val="18"/>
          </rPr>
          <t>[ML 1802]</t>
        </r>
        <r>
          <rPr>
            <sz val="14"/>
            <color rgb="FF000000"/>
            <rFont val="Times New Roman"/>
            <family val="18"/>
          </rPr>
          <t xml:space="preserve">
</t>
        </r>
        <r>
          <rPr>
            <sz val="14"/>
            <color rgb="FF000000"/>
            <rFont val="Times New Roman"/>
            <family val="18"/>
          </rPr>
          <t>22/09/1802 Muster: IR 13 Haupt Dombasle Komp. Nr. 44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31/05/1803 </t>
        </r>
        <r>
          <rPr>
            <i/>
            <sz val="14"/>
            <color rgb="FF000000"/>
            <rFont val="Times New Roman"/>
            <family val="18"/>
          </rPr>
          <t>Von Urlaub desertiert</t>
        </r>
        <r>
          <rPr>
            <sz val="14"/>
            <color rgb="FF000000"/>
            <rFont val="Times New Roman"/>
            <family val="18"/>
          </rPr>
          <t xml:space="preserve"> [ML 1803] </t>
        </r>
      </text>
    </comment>
    <comment ref="BG531" authorId="0" shapeId="0" xr:uid="{D30E2320-7635-9A4B-9EB7-985F2398D610}">
      <text>
        <r>
          <rPr>
            <sz val="14"/>
            <color rgb="FF000000"/>
            <rFont val="Times New Roman"/>
            <family val="18"/>
          </rPr>
          <t>ML 10.045/6 IR 13 (1802): Haupt Dombasle Komp. Nr. 44 (Görz 22/09/1802)</t>
        </r>
        <r>
          <rPr>
            <sz val="14"/>
            <color rgb="FF000000"/>
            <rFont val="Times New Roman"/>
            <family val="18"/>
          </rPr>
          <t xml:space="preserve">
</t>
        </r>
        <r>
          <rPr>
            <sz val="14"/>
            <color rgb="FF000000"/>
            <rFont val="Times New Roman"/>
            <family val="18"/>
          </rPr>
          <t>ML 10.047/8 IR 13 (1803): Haupt Dombasle Komp. Abgang (Exercierlager bei St. Andre in Friaul 16/09/1803)</t>
        </r>
      </text>
    </comment>
    <comment ref="BH531" authorId="0" shapeId="0" xr:uid="{C7C248CE-1DB4-4743-937E-68DAA96A3E35}">
      <text>
        <r>
          <rPr>
            <sz val="14"/>
            <color rgb="FF000000"/>
            <rFont val="Calibri"/>
            <family val="34"/>
          </rPr>
          <t>IR 43 (1799-1803)</t>
        </r>
      </text>
    </comment>
    <comment ref="O532" authorId="0" shapeId="0" xr:uid="{4C9233E0-78F2-6640-ADD7-20CD95C8641F}">
      <text>
        <r>
          <rPr>
            <sz val="14"/>
            <color rgb="FF000000"/>
            <rFont val="Times New Roman"/>
            <family val="18"/>
          </rPr>
          <t xml:space="preserve">Hershel (1794)
</t>
        </r>
        <r>
          <rPr>
            <sz val="14"/>
            <color rgb="FF000000"/>
            <rFont val="Times New Roman"/>
            <family val="18"/>
          </rPr>
          <t>Chaim (1797)</t>
        </r>
      </text>
    </comment>
    <comment ref="BF532" authorId="0" shapeId="0" xr:uid="{FEDEEFF8-A3D2-8F4F-B35F-D3A25BA18B18}">
      <text>
        <r>
          <rPr>
            <sz val="14"/>
            <color rgb="FF000000"/>
            <rFont val="Times New Roman"/>
            <family val="18"/>
          </rPr>
          <t xml:space="preserve">03/07/1799 </t>
        </r>
        <r>
          <rPr>
            <i/>
            <sz val="14"/>
            <color rgb="FF000000"/>
            <rFont val="Times New Roman"/>
            <family val="18"/>
          </rPr>
          <t>Gegen 3 Fl Handgeld als landständischer Recrout um auf Beständig in Lublin assentiert</t>
        </r>
        <r>
          <rPr>
            <sz val="14"/>
            <color rgb="FF000000"/>
            <rFont val="Times New Roman"/>
            <family val="18"/>
          </rPr>
          <t xml:space="preserve"> [TL Dec 1810]</t>
        </r>
        <r>
          <rPr>
            <sz val="14"/>
            <color rgb="FF000000"/>
            <rFont val="Calibri"/>
            <family val="34"/>
          </rPr>
          <t xml:space="preserve">
</t>
        </r>
        <r>
          <rPr>
            <sz val="14"/>
            <color rgb="FF000000"/>
            <rFont val="Times New Roman"/>
            <family val="18"/>
          </rPr>
          <t>16/09/1802 Muster: IR 13 Haupt Schärfenberg Komp Nr. 55</t>
        </r>
        <r>
          <rPr>
            <sz val="14"/>
            <color rgb="FF000000"/>
            <rFont val="Calibri"/>
            <family val="34"/>
          </rPr>
          <t xml:space="preserve">
</t>
        </r>
        <r>
          <rPr>
            <sz val="14"/>
            <color rgb="FF000000"/>
            <rFont val="Times New Roman"/>
            <family val="18"/>
          </rPr>
          <t xml:space="preserve">10/03/1810 </t>
        </r>
        <r>
          <rPr>
            <i/>
            <sz val="14"/>
            <color rgb="FF000000"/>
            <rFont val="Times New Roman"/>
            <family val="18"/>
          </rPr>
          <t>Von dissolvierte IR 13 5. Fus. Komp Zum IR 63 transferiert und zur 10. Fus. Komp. eingeteilt</t>
        </r>
        <r>
          <rPr>
            <sz val="14"/>
            <color rgb="FF000000"/>
            <rFont val="Times New Roman"/>
            <family val="18"/>
          </rPr>
          <t xml:space="preserve"> [TL Dec 1810]</t>
        </r>
        <r>
          <rPr>
            <sz val="14"/>
            <color rgb="FF000000"/>
            <rFont val="Calibri"/>
            <family val="34"/>
          </rPr>
          <t xml:space="preserve">
</t>
        </r>
      </text>
    </comment>
    <comment ref="BG532" authorId="0" shapeId="0" xr:uid="{C16F46C8-46B5-4541-90DF-AB5C809986FE}">
      <text>
        <r>
          <rPr>
            <sz val="14"/>
            <color rgb="FF000000"/>
            <rFont val="Times New Roman"/>
            <family val="18"/>
          </rPr>
          <t>ML 10.045/6 IR 13 (1802) – Haupt Schärfenberg Komp Nr. 55 (Triest 16/09/1802)</t>
        </r>
        <r>
          <rPr>
            <sz val="14"/>
            <color rgb="FF000000"/>
            <rFont val="Calibri"/>
            <family val="34"/>
          </rPr>
          <t xml:space="preserve">
</t>
        </r>
        <r>
          <rPr>
            <sz val="14"/>
            <color rgb="FF000000"/>
            <rFont val="Times New Roman"/>
            <family val="18"/>
          </rPr>
          <t>ML 5293 IR 63 (1810) AL/TL – TL IR 13-&gt; IR 63 Nr. 4 (Graz 30/12/1810)</t>
        </r>
      </text>
    </comment>
    <comment ref="BH532" authorId="0" shapeId="0" xr:uid="{390C500C-3DAB-C548-BCD8-D4224B341984}">
      <text>
        <r>
          <rPr>
            <sz val="14"/>
            <color rgb="FF000000"/>
            <rFont val="Calibri"/>
            <family val="34"/>
          </rPr>
          <t xml:space="preserve">IR 13 (1799-1810)
</t>
        </r>
        <r>
          <rPr>
            <sz val="14"/>
            <color rgb="FF000000"/>
            <rFont val="Calibri"/>
            <family val="34"/>
          </rPr>
          <t>IR 63 (1810)</t>
        </r>
      </text>
    </comment>
    <comment ref="I533" authorId="0" shapeId="0" xr:uid="{73245FED-30A3-FE42-BB9A-BEC3F859F216}">
      <text>
        <r>
          <rPr>
            <sz val="14"/>
            <color rgb="FF000000"/>
            <rFont val="Calibri"/>
            <family val="34"/>
          </rPr>
          <t xml:space="preserve">1770 [41 (1811)] 
</t>
        </r>
        <r>
          <rPr>
            <sz val="14"/>
            <color rgb="FF000000"/>
            <rFont val="Calibri"/>
            <family val="34"/>
          </rPr>
          <t xml:space="preserve">OR 
</t>
        </r>
        <r>
          <rPr>
            <sz val="14"/>
            <color rgb="FF000000"/>
            <rFont val="Calibri"/>
            <family val="34"/>
          </rPr>
          <t>1777 [25 (1802)]</t>
        </r>
      </text>
    </comment>
    <comment ref="K533" authorId="0" shapeId="0" xr:uid="{662C8836-2F67-E24C-82CA-2477657C31B3}">
      <text>
        <r>
          <rPr>
            <sz val="14"/>
            <color rgb="FF000000"/>
            <rFont val="Calibri"/>
            <family val="34"/>
          </rPr>
          <t xml:space="preserve">Ohne (1802-1809)
</t>
        </r>
        <r>
          <rPr>
            <i/>
            <sz val="14"/>
            <color rgb="FF000000"/>
            <rFont val="Times New Roman"/>
            <family val="18"/>
          </rPr>
          <t>Strumpfstricker</t>
        </r>
        <r>
          <rPr>
            <sz val="14"/>
            <color rgb="FF000000"/>
            <rFont val="Calibri"/>
            <family val="2"/>
            <scheme val="minor"/>
          </rPr>
          <t xml:space="preserve"> </t>
        </r>
        <r>
          <rPr>
            <sz val="14"/>
            <color rgb="FF000000"/>
            <rFont val="Calibri"/>
            <family val="34"/>
          </rPr>
          <t xml:space="preserve"> (1811)</t>
        </r>
      </text>
    </comment>
    <comment ref="T533" authorId="0" shapeId="0" xr:uid="{A2CF3FF4-A5A3-FB4F-BDA6-DBB2ED5BADFC}">
      <text>
        <r>
          <rPr>
            <sz val="14"/>
            <color rgb="FF000000"/>
            <rFont val="+mn-lt"/>
            <charset val="1"/>
          </rPr>
          <t xml:space="preserve">166.55 (1809)
</t>
        </r>
        <r>
          <rPr>
            <sz val="14"/>
            <color rgb="FF000000"/>
            <rFont val="+mn-lt"/>
            <charset val="1"/>
          </rPr>
          <t>173.78 (1802-6)</t>
        </r>
      </text>
    </comment>
    <comment ref="BF533" authorId="0" shapeId="0" xr:uid="{2665BD7F-637D-9F40-ADBD-2FBB763A5CDB}">
      <text>
        <r>
          <rPr>
            <sz val="14"/>
            <color rgb="FFFF0000"/>
            <rFont val="Times New Roman"/>
            <family val="18"/>
          </rPr>
          <t xml:space="preserve">11/05/1799 </t>
        </r>
        <r>
          <rPr>
            <i/>
            <sz val="14"/>
            <color rgb="FFFF0000"/>
            <rFont val="Times New Roman"/>
            <family val="18"/>
          </rPr>
          <t>Von Ständen a 3Fl Handgeld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03/07/1799 </t>
        </r>
        <r>
          <rPr>
            <i/>
            <sz val="14"/>
            <color rgb="FF000000"/>
            <rFont val="Times New Roman"/>
            <family val="18"/>
          </rPr>
          <t>Von Ständen a 3Fl Handgeld gestellt und seitdem auf Anhero Marsch mit Friedensgebühr</t>
        </r>
        <r>
          <rPr>
            <sz val="14"/>
            <color rgb="FF000000"/>
            <rFont val="Times New Roman"/>
            <family val="18"/>
          </rPr>
          <t xml:space="preserve"> [ML 1806 ST Nov 1799]</t>
        </r>
        <r>
          <rPr>
            <sz val="14"/>
            <color rgb="FF000000"/>
            <rFont val="Calibri"/>
            <family val="34"/>
          </rPr>
          <t xml:space="preserve">
</t>
        </r>
        <r>
          <rPr>
            <sz val="14"/>
            <color rgb="FF000000"/>
            <rFont val="Times New Roman"/>
            <family val="18"/>
          </rPr>
          <t xml:space="preserve">31/10/1799 [Bevor] </t>
        </r>
        <r>
          <rPr>
            <i/>
            <sz val="14"/>
            <color rgb="FF000000"/>
            <rFont val="Times New Roman"/>
            <family val="18"/>
          </rPr>
          <t xml:space="preserve">In die Reserve Division eingerückt </t>
        </r>
        <r>
          <rPr>
            <i/>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Von die Reserve Division ins Haupt Fischer Comp. Transferiert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21/08/1802 Muster: IR 43 Haupt Basta Komp. Nr. 44 [</t>
        </r>
        <r>
          <rPr>
            <i/>
            <sz val="14"/>
            <color rgb="FF000000"/>
            <rFont val="Times New Roman"/>
            <family val="18"/>
          </rPr>
          <t>Zu Zara Postiert</t>
        </r>
        <r>
          <rPr>
            <sz val="14"/>
            <color rgb="FF000000"/>
            <rFont val="Times New Roman"/>
            <family val="18"/>
          </rPr>
          <t>]</t>
        </r>
        <r>
          <rPr>
            <sz val="14"/>
            <color rgb="FF000000"/>
            <rFont val="Calibri"/>
            <family val="34"/>
          </rPr>
          <t xml:space="preserve">
</t>
        </r>
        <r>
          <rPr>
            <sz val="14"/>
            <color rgb="FF000000"/>
            <rFont val="Times New Roman"/>
            <family val="18"/>
          </rPr>
          <t xml:space="preserve">13/11/1802 </t>
        </r>
        <r>
          <rPr>
            <i/>
            <sz val="14"/>
            <color rgb="FF000000"/>
            <rFont val="Times New Roman"/>
            <family val="18"/>
          </rPr>
          <t>Desertiert</t>
        </r>
        <r>
          <rPr>
            <sz val="14"/>
            <color rgb="FF000000"/>
            <rFont val="Times New Roman"/>
            <family val="18"/>
          </rPr>
          <t xml:space="preserve"> [ST Dez 1802]</t>
        </r>
        <r>
          <rPr>
            <sz val="14"/>
            <color rgb="FF000000"/>
            <rFont val="Calibri"/>
            <family val="34"/>
          </rPr>
          <t xml:space="preserve">
</t>
        </r>
        <r>
          <rPr>
            <sz val="14"/>
            <color rgb="FF000000"/>
            <rFont val="Times New Roman"/>
            <family val="18"/>
          </rPr>
          <t xml:space="preserve">13/11/1802 </t>
        </r>
        <r>
          <rPr>
            <i/>
            <sz val="14"/>
            <color rgb="FF000000"/>
            <rFont val="Times New Roman"/>
            <family val="18"/>
          </rPr>
          <t>Von Landmann attrappiert und gegen 24Fl Taglia zu Zara Präsentiert; seitdem in Arrest</t>
        </r>
        <r>
          <rPr>
            <sz val="14"/>
            <color rgb="FF000000"/>
            <rFont val="Times New Roman"/>
            <family val="18"/>
          </rPr>
          <t xml:space="preserve"> [ST Dez 1802]</t>
        </r>
        <r>
          <rPr>
            <sz val="14"/>
            <color rgb="FF000000"/>
            <rFont val="Calibri"/>
            <family val="34"/>
          </rPr>
          <t xml:space="preserve">
</t>
        </r>
        <r>
          <rPr>
            <sz val="14"/>
            <color rgb="FF000000"/>
            <rFont val="Times New Roman"/>
            <family val="18"/>
          </rPr>
          <t xml:space="preserve">30/11/1802 </t>
        </r>
        <r>
          <rPr>
            <i/>
            <sz val="14"/>
            <color rgb="FF000000"/>
            <rFont val="Times New Roman"/>
            <family val="18"/>
          </rPr>
          <t xml:space="preserve">Befreit </t>
        </r>
        <r>
          <rPr>
            <sz val="14"/>
            <color rgb="FF000000"/>
            <rFont val="Times New Roman"/>
            <family val="18"/>
          </rPr>
          <t>[ST Dez 1802]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08/11/1803 Muster: IR 43 Haupt Ellison Komp. Nr. 151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Lichtenberg Komp. Nr. 129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11/06/1805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26/08/1805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30/09/1805 Muster: 2. Fus. Komp Nr. 98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01/12/1806 Muster: 2. Fus. Komp. Nr. 43</t>
        </r>
        <r>
          <rPr>
            <sz val="14"/>
            <color rgb="FF000000"/>
            <rFont val="Calibri"/>
            <family val="34"/>
          </rPr>
          <t xml:space="preserve">
</t>
        </r>
        <r>
          <rPr>
            <sz val="14"/>
            <color rgb="FF000000"/>
            <rFont val="Times New Roman"/>
            <family val="18"/>
          </rPr>
          <t>06/09/1808 Revision: 2. Fus. Komp Nr. 29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43 2. Fus zum 9. Corps Staabs Inf. Komp transferiert</t>
        </r>
        <r>
          <rPr>
            <sz val="14"/>
            <color rgb="FF000000"/>
            <rFont val="Times New Roman"/>
            <family val="18"/>
          </rPr>
          <t xml:space="preserve"> [TL April 1809 &amp; ST March 1809]</t>
        </r>
        <r>
          <rPr>
            <sz val="14"/>
            <color rgb="FF000000"/>
            <rFont val="Calibri"/>
            <family val="34"/>
          </rPr>
          <t xml:space="preserve">
</t>
        </r>
        <r>
          <rPr>
            <sz val="14"/>
            <color rgb="FF000000"/>
            <rFont val="Times New Roman"/>
            <family val="18"/>
          </rPr>
          <t>01/01/1810 Dissolvierung: 9. Staab Inf. Komp. Nr. 139 [</t>
        </r>
        <r>
          <rPr>
            <i/>
            <sz val="14"/>
            <color rgb="FF000000"/>
            <rFont val="Times New Roman"/>
            <family val="18"/>
          </rPr>
          <t>Zu Strassoldo Inf.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06/01/1810 </t>
        </r>
        <r>
          <rPr>
            <i/>
            <sz val="14"/>
            <color rgb="FF000000"/>
            <rFont val="Times New Roman"/>
            <family val="18"/>
          </rPr>
          <t>Von Dissolvierte 7. SInf. Komp. zum IR 27 transferiert und zum 3. Fus. Komp. eingeteilt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Reducierte 3. Fus. zum neue 7. Fus. Komp. transferiert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31/08/1811 </t>
        </r>
        <r>
          <rPr>
            <i/>
            <sz val="14"/>
            <color rgb="FF000000"/>
            <rFont val="Times New Roman"/>
            <family val="18"/>
          </rPr>
          <t>Von IR 23 7. Fus. Komp. zur GK Styermark transferiert und zum 2. Komp. zugeteilt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23/09/1811 Muster: GK Styer 2. Komp. Nr. 130</t>
        </r>
        <r>
          <rPr>
            <sz val="14"/>
            <color rgb="FF000000"/>
            <rFont val="Calibri"/>
            <family val="34"/>
          </rPr>
          <t xml:space="preserve">
</t>
        </r>
        <r>
          <rPr>
            <sz val="14"/>
            <color rgb="FF000000"/>
            <rFont val="Times New Roman"/>
            <family val="18"/>
          </rPr>
          <t xml:space="preserve">01/09/1814 </t>
        </r>
        <r>
          <rPr>
            <i/>
            <sz val="14"/>
            <color rgb="FF000000"/>
            <rFont val="Times New Roman"/>
            <family val="18"/>
          </rPr>
          <t>Auf bestimmte Zeit Beurlaubt</t>
        </r>
        <r>
          <rPr>
            <sz val="14"/>
            <color rgb="FF000000"/>
            <rFont val="Times New Roman"/>
            <family val="18"/>
          </rPr>
          <t xml:space="preserve"> [ST Sept 1814]</t>
        </r>
        <r>
          <rPr>
            <sz val="14"/>
            <color rgb="FF000000"/>
            <rFont val="Calibri"/>
            <family val="34"/>
          </rPr>
          <t xml:space="preserve">
</t>
        </r>
        <r>
          <rPr>
            <sz val="14"/>
            <color rgb="FF000000"/>
            <rFont val="Times New Roman"/>
            <family val="18"/>
          </rPr>
          <t xml:space="preserve">15/09/1814 </t>
        </r>
        <r>
          <rPr>
            <i/>
            <sz val="14"/>
            <color rgb="FF000000"/>
            <rFont val="Times New Roman"/>
            <family val="18"/>
          </rPr>
          <t>Vermög Abgehaltenen hohen SUPERARBITRIO ddt. Graz 31. August 814 und hohen I.Ö. GENERAL COMANO Verordnung Graz den 8. 7br ac R 6523 auf beigehaltene Verordnungs Attestat des H. Grafen Franz von Wurmbrand gegen Renuncierung auf alle Militar Beneficien mit Abschied entlassen</t>
        </r>
        <r>
          <rPr>
            <sz val="14"/>
            <color rgb="FF000000"/>
            <rFont val="Times New Roman"/>
            <family val="18"/>
          </rPr>
          <t xml:space="preserve"> [ST Sept 1814]  </t>
        </r>
        <r>
          <rPr>
            <sz val="14"/>
            <color rgb="FF000000"/>
            <rFont val="Calibri"/>
            <family val="34"/>
          </rPr>
          <t xml:space="preserve">
</t>
        </r>
      </text>
    </comment>
    <comment ref="BG533" authorId="0" shapeId="0" xr:uid="{989816C2-2C89-6A47-9EA4-0C76111335A6}">
      <text>
        <r>
          <rPr>
            <sz val="14"/>
            <color rgb="FF000000"/>
            <rFont val="Times New Roman"/>
            <family val="18"/>
          </rPr>
          <t>ML 10.272 IR 43 (1802) – Haupt Basta Komp. Nr. 44</t>
        </r>
        <r>
          <rPr>
            <sz val="14"/>
            <color rgb="FF000000"/>
            <rFont val="Calibri"/>
            <family val="34"/>
          </rPr>
          <t xml:space="preserve"> (</t>
        </r>
        <r>
          <rPr>
            <sz val="14"/>
            <color rgb="FF000000"/>
            <rFont val="Times New Roman"/>
            <family val="18"/>
          </rPr>
          <t>Risano 21/08/1802)</t>
        </r>
        <r>
          <rPr>
            <sz val="14"/>
            <color rgb="FF000000"/>
            <rFont val="Calibri"/>
            <family val="34"/>
          </rPr>
          <t xml:space="preserve">
</t>
        </r>
        <r>
          <rPr>
            <sz val="14"/>
            <color rgb="FF000000"/>
            <rFont val="Times New Roman"/>
            <family val="18"/>
          </rPr>
          <t>ML 10.273 IR 43 (1803) – Haupt Ellison Komp. Nr. 151 (Sign 08/11/1803)</t>
        </r>
        <r>
          <rPr>
            <sz val="14"/>
            <color rgb="FF000000"/>
            <rFont val="Calibri"/>
            <family val="34"/>
          </rPr>
          <t xml:space="preserve">
</t>
        </r>
        <r>
          <rPr>
            <sz val="14"/>
            <color rgb="FF000000"/>
            <rFont val="Times New Roman"/>
            <family val="18"/>
          </rPr>
          <t>ML 10.274 IR 43 (1804) – Haupt Lichtenberg Komp. Nr. 129</t>
        </r>
        <r>
          <rPr>
            <sz val="14"/>
            <color rgb="FF000000"/>
            <rFont val="Calibri"/>
            <family val="34"/>
          </rPr>
          <t xml:space="preserve"> (</t>
        </r>
        <r>
          <rPr>
            <sz val="14"/>
            <color rgb="FF000000"/>
            <rFont val="Times New Roman"/>
            <family val="18"/>
          </rPr>
          <t>Zara 15/09/1804)</t>
        </r>
        <r>
          <rPr>
            <sz val="14"/>
            <color rgb="FF000000"/>
            <rFont val="Calibri"/>
            <family val="34"/>
          </rPr>
          <t xml:space="preserve">
</t>
        </r>
        <r>
          <rPr>
            <sz val="14"/>
            <color rgb="FF000000"/>
            <rFont val="Times New Roman"/>
            <family val="18"/>
          </rPr>
          <t>ML 10.275/6 IR 43 (1805) – 2. Fus. Komp. Nr. 98</t>
        </r>
        <r>
          <rPr>
            <sz val="14"/>
            <color rgb="FF000000"/>
            <rFont val="Calibri"/>
            <family val="34"/>
          </rPr>
          <t xml:space="preserve"> (</t>
        </r>
        <r>
          <rPr>
            <sz val="14"/>
            <color rgb="FF000000"/>
            <rFont val="Times New Roman"/>
            <family val="18"/>
          </rPr>
          <t>Cattaro 30/09/1805)</t>
        </r>
        <r>
          <rPr>
            <sz val="14"/>
            <color rgb="FF000000"/>
            <rFont val="Calibri"/>
            <family val="34"/>
          </rPr>
          <t xml:space="preserve">
</t>
        </r>
        <r>
          <rPr>
            <sz val="14"/>
            <color rgb="FF000000"/>
            <rFont val="Times New Roman"/>
            <family val="18"/>
          </rPr>
          <t>ML 10.277/8 IR 43 (1806) – 2. Fus. Komp. Nr. 43</t>
        </r>
        <r>
          <rPr>
            <sz val="14"/>
            <color rgb="FF000000"/>
            <rFont val="Calibri"/>
            <family val="34"/>
          </rPr>
          <t xml:space="preserve"> (</t>
        </r>
        <r>
          <rPr>
            <sz val="14"/>
            <color rgb="FF000000"/>
            <rFont val="Times New Roman"/>
            <family val="18"/>
          </rPr>
          <t>Laibach 01/12/1806)</t>
        </r>
        <r>
          <rPr>
            <sz val="14"/>
            <color rgb="FF000000"/>
            <rFont val="Calibri"/>
            <family val="34"/>
          </rPr>
          <t xml:space="preserve">
</t>
        </r>
        <r>
          <rPr>
            <sz val="14"/>
            <color rgb="FF000000"/>
            <rFont val="Times New Roman"/>
            <family val="18"/>
          </rPr>
          <t>ML 10.279 IR 43 (1808-10) – RL 2. Fus. Komp Nr. 29 (Laibach, 06/09/1808)</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ML 10.313 IR 43 (1803) – ST Feb (15/03/1803), April (15/05/1803)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10.323 IR 43 (1809) – ST März (Klagenfurt 30/12/1810)</t>
        </r>
        <r>
          <rPr>
            <sz val="14"/>
            <color rgb="FF000000"/>
            <rFont val="Calibri"/>
            <family val="34"/>
          </rPr>
          <t xml:space="preserve">
</t>
        </r>
        <r>
          <rPr>
            <sz val="14"/>
            <color rgb="FF000000"/>
            <rFont val="Times New Roman"/>
            <family val="18"/>
          </rPr>
          <t>ML 10.324 IR 43 (1809) – TL IR IR 43-&gt;SInf 9. Corps. Nr. 10 (Laibach 20/04/1809)</t>
        </r>
        <r>
          <rPr>
            <sz val="14"/>
            <color rgb="FF000000"/>
            <rFont val="Calibri"/>
            <family val="34"/>
          </rPr>
          <t xml:space="preserve">
</t>
        </r>
        <r>
          <rPr>
            <sz val="14"/>
            <color rgb="FF000000"/>
            <rFont val="Times New Roman"/>
            <family val="18"/>
          </rPr>
          <t>ML 11.310 SInf 6.-10. (1809-10) – DL 9. SInf Komp. Nr. 139 (Agram 05/01/1810)</t>
        </r>
        <r>
          <rPr>
            <sz val="14"/>
            <color rgb="FF000000"/>
            <rFont val="Calibri"/>
            <family val="34"/>
          </rPr>
          <t xml:space="preserve">
</t>
        </r>
        <r>
          <rPr>
            <sz val="14"/>
            <color rgb="FF000000"/>
            <rFont val="Times New Roman"/>
            <family val="18"/>
          </rPr>
          <t>ML 2265 IR 27 (1811) – 7. Fus. Komp. Abgang (Graz 19/09/1811)</t>
        </r>
        <r>
          <rPr>
            <sz val="14"/>
            <color rgb="FF000000"/>
            <rFont val="Calibri"/>
            <family val="34"/>
          </rPr>
          <t xml:space="preserve">
</t>
        </r>
        <r>
          <rPr>
            <sz val="14"/>
            <color rgb="FF000000"/>
            <rFont val="Times New Roman"/>
            <family val="18"/>
          </rPr>
          <t>ML 2336/7 IR 27 (1810) – Jän (Graz 26/02/1811), Feb (Graz 27/03/1811)</t>
        </r>
        <r>
          <rPr>
            <sz val="14"/>
            <color rgb="FF000000"/>
            <rFont val="Calibri"/>
            <family val="34"/>
          </rPr>
          <t xml:space="preserve">
</t>
        </r>
        <r>
          <rPr>
            <sz val="14"/>
            <color rgb="FF000000"/>
            <rFont val="Times New Roman"/>
            <family val="18"/>
          </rPr>
          <t xml:space="preserve">ML 8796 GK Styer (1808-12) – 2. Komp. Nr. 103 (Graz 23/09/1811); </t>
        </r>
        <r>
          <rPr>
            <sz val="14"/>
            <color rgb="FF000000"/>
            <rFont val="Calibri"/>
            <family val="34"/>
          </rPr>
          <t xml:space="preserve">
</t>
        </r>
        <r>
          <rPr>
            <sz val="14"/>
            <color rgb="FF000000"/>
            <rFont val="Times New Roman"/>
            <family val="18"/>
          </rPr>
          <t>ML 8805 GK Styer. (1812-15) – ST Sept (Graz 23/10/1814)</t>
        </r>
      </text>
    </comment>
    <comment ref="BH533" authorId="0" shapeId="0" xr:uid="{159C5052-0EA5-8644-AD6A-516F5A0395C7}">
      <text>
        <r>
          <rPr>
            <sz val="14"/>
            <color rgb="FF000000"/>
            <rFont val="Calibri"/>
            <family val="34"/>
          </rPr>
          <t xml:space="preserve">IR 43 (1799-1809)
</t>
        </r>
        <r>
          <rPr>
            <sz val="14"/>
            <color rgb="FF000000"/>
            <rFont val="Calibri"/>
            <family val="34"/>
          </rPr>
          <t xml:space="preserve">9. Staabs Inf Comp (1809)
</t>
        </r>
        <r>
          <rPr>
            <sz val="14"/>
            <color rgb="FF000000"/>
            <rFont val="Calibri"/>
            <family val="34"/>
          </rPr>
          <t xml:space="preserve">IR 27 (1810-1811)
</t>
        </r>
        <r>
          <rPr>
            <sz val="14"/>
            <color rgb="FF000000"/>
            <rFont val="Calibri"/>
            <family val="34"/>
          </rPr>
          <t>GK Styermark (1811-1814)</t>
        </r>
      </text>
    </comment>
    <comment ref="BF534" authorId="0" shapeId="0" xr:uid="{979D34FD-166C-6843-8A01-DB078235AA28}">
      <text>
        <r>
          <rPr>
            <sz val="14"/>
            <color rgb="FF000000"/>
            <rFont val="Times New Roman"/>
            <family val="18"/>
          </rPr>
          <t xml:space="preserve">03/07/1799 </t>
        </r>
        <r>
          <rPr>
            <i/>
            <sz val="14"/>
            <color rgb="FF000000"/>
            <rFont val="Times New Roman"/>
            <family val="18"/>
          </rPr>
          <t>Als landständischer Recrout a 3Fl zu Chelm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01/08/1801 </t>
        </r>
        <r>
          <rPr>
            <i/>
            <sz val="14"/>
            <color rgb="FF000000"/>
            <rFont val="Times New Roman"/>
            <family val="18"/>
          </rPr>
          <t>Von Haupt Baron Majus zum Tuzzi Komp.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22/09/1802 Muster: IR 13 Haupt Tuzzi Komp. Nr. 92 [</t>
        </r>
        <r>
          <rPr>
            <i/>
            <sz val="14"/>
            <color rgb="FF000000"/>
            <rFont val="Times New Roman"/>
            <family val="18"/>
          </rPr>
          <t>Beurlaubt in Polen</t>
        </r>
        <r>
          <rPr>
            <sz val="14"/>
            <color rgb="FF000000"/>
            <rFont val="Times New Roman"/>
            <family val="18"/>
          </rPr>
          <t>]</t>
        </r>
        <r>
          <rPr>
            <sz val="14"/>
            <color rgb="FF000000"/>
            <rFont val="Times New Roman"/>
            <family val="18"/>
          </rPr>
          <t xml:space="preserve">
</t>
        </r>
        <r>
          <rPr>
            <sz val="14"/>
            <color rgb="FF000000"/>
            <rFont val="Times New Roman"/>
            <family val="18"/>
          </rPr>
          <t>16/09/1803 Muster: IR 13 Haupt Tuzzi Komp. Nr. 87 [</t>
        </r>
        <r>
          <rPr>
            <i/>
            <sz val="14"/>
            <color rgb="FF000000"/>
            <rFont val="Times New Roman"/>
            <family val="18"/>
          </rPr>
          <t>Auf unbestimmte Urlaub in seinem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unwissend Verloren</t>
        </r>
        <r>
          <rPr>
            <sz val="14"/>
            <color rgb="FF000000"/>
            <rFont val="Times New Roman"/>
            <family val="18"/>
          </rPr>
          <t xml:space="preserve"> [ML 1806 &amp; ST Oct 1806]</t>
        </r>
      </text>
    </comment>
    <comment ref="BG534" authorId="0" shapeId="0" xr:uid="{616CDD42-6EF2-FD45-98DF-2ED5622741BF}">
      <text>
        <r>
          <rPr>
            <sz val="14"/>
            <color rgb="FF000000"/>
            <rFont val="Times New Roman"/>
            <family val="18"/>
          </rPr>
          <t xml:space="preserve">03/07/1799 </t>
        </r>
        <r>
          <rPr>
            <i/>
            <sz val="14"/>
            <color rgb="FF000000"/>
            <rFont val="Times New Roman"/>
            <family val="18"/>
          </rPr>
          <t>Als landständischer Recrout a 3Fl zu Chelm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01/08/1801 </t>
        </r>
        <r>
          <rPr>
            <i/>
            <sz val="14"/>
            <color rgb="FF000000"/>
            <rFont val="Times New Roman"/>
            <family val="18"/>
          </rPr>
          <t>Von Haupt Baron Majus zum Tuzzi Komp.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22/09/1802 Muster: IR 13 Haupt Tuzzi Komp. Nr. 92 [</t>
        </r>
        <r>
          <rPr>
            <i/>
            <sz val="14"/>
            <color rgb="FF000000"/>
            <rFont val="Times New Roman"/>
            <family val="18"/>
          </rPr>
          <t>Beurlaubt in Polen</t>
        </r>
        <r>
          <rPr>
            <sz val="14"/>
            <color rgb="FF000000"/>
            <rFont val="Times New Roman"/>
            <family val="18"/>
          </rPr>
          <t>]</t>
        </r>
        <r>
          <rPr>
            <sz val="14"/>
            <color rgb="FF000000"/>
            <rFont val="Times New Roman"/>
            <family val="18"/>
          </rPr>
          <t xml:space="preserve">
</t>
        </r>
        <r>
          <rPr>
            <sz val="14"/>
            <color rgb="FF000000"/>
            <rFont val="Times New Roman"/>
            <family val="18"/>
          </rPr>
          <t>16/09/1803 Muster: IR 13 Haupt Tuzzi Komp. Nr. 87 [</t>
        </r>
        <r>
          <rPr>
            <i/>
            <sz val="14"/>
            <color rgb="FF000000"/>
            <rFont val="Times New Roman"/>
            <family val="18"/>
          </rPr>
          <t>Auf unbestimmte Urlaub in seinem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unwissend Verloren</t>
        </r>
        <r>
          <rPr>
            <sz val="14"/>
            <color rgb="FF000000"/>
            <rFont val="Times New Roman"/>
            <family val="18"/>
          </rPr>
          <t xml:space="preserve"> [ML 1806 &amp; ST Oct 1806]</t>
        </r>
        <r>
          <rPr>
            <sz val="14"/>
            <color rgb="FF000000"/>
            <rFont val="Times New Roman"/>
            <family val="18"/>
          </rPr>
          <t xml:space="preserve">
</t>
        </r>
      </text>
    </comment>
    <comment ref="BH534" authorId="0" shapeId="0" xr:uid="{8E77ADD6-376D-9846-A0B1-ECB55806F855}">
      <text>
        <r>
          <rPr>
            <sz val="14"/>
            <color rgb="FF000000"/>
            <rFont val="Calibri"/>
            <family val="34"/>
          </rPr>
          <t>IR 13 (1799-1806)</t>
        </r>
      </text>
    </comment>
    <comment ref="BF535" authorId="0" shapeId="0" xr:uid="{07A4C483-FD85-3548-832E-EEAC1F7EC40C}">
      <text>
        <r>
          <rPr>
            <sz val="14"/>
            <color rgb="FF000000"/>
            <rFont val="Times New Roman"/>
            <family val="18"/>
          </rPr>
          <t xml:space="preserve">03/07/1799 </t>
        </r>
        <r>
          <rPr>
            <i/>
            <sz val="14"/>
            <color rgb="FF000000"/>
            <rFont val="Times New Roman"/>
            <family val="18"/>
          </rPr>
          <t>Zu Kielce in West Gallizien a 3Fl Handgeld auf Beständig assentiert ab dem und bis 8. August mit Auswärtiger Verpflegung in Anmarsch und seit 26. mit Geld und Brot, set 25 mit service in loco</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 xml:space="preserve">25/08/1799 </t>
        </r>
        <r>
          <rPr>
            <i/>
            <sz val="14"/>
            <color rgb="FF000000"/>
            <rFont val="Times New Roman"/>
            <family val="18"/>
          </rPr>
          <t>Ankunft in Reserve Division</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Comp. und ab eodem dato mit auswärtiger Verpflegung im Anmarsch</t>
        </r>
        <r>
          <rPr>
            <sz val="14"/>
            <color rgb="FF000000"/>
            <rFont val="Times New Roman"/>
            <family val="18"/>
          </rPr>
          <t xml:space="preserve"> [ST October 1799]</t>
        </r>
        <r>
          <rPr>
            <sz val="14"/>
            <color rgb="FF000000"/>
            <rFont val="Calibri"/>
            <family val="34"/>
          </rPr>
          <t xml:space="preserve">
</t>
        </r>
        <r>
          <rPr>
            <sz val="14"/>
            <color rgb="FF000000"/>
            <rFont val="Times New Roman"/>
            <family val="18"/>
          </rPr>
          <t>09/09/1802 Muster: IR 23 Haupt Eisenkolb Komp. Nr. 109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Eisenkolb Komp. Nr. 100 [</t>
        </r>
        <r>
          <rPr>
            <i/>
            <sz val="14"/>
            <color rgb="FF000000"/>
            <rFont val="Times New Roman"/>
            <family val="18"/>
          </rPr>
          <t>In seinem Geburtsort beurlaubt in Galizien</t>
        </r>
        <r>
          <rPr>
            <sz val="14"/>
            <color rgb="FF000000"/>
            <rFont val="Times New Roman"/>
            <family val="18"/>
          </rPr>
          <t>]</t>
        </r>
        <r>
          <rPr>
            <sz val="14"/>
            <color rgb="FF000000"/>
            <rFont val="Calibri"/>
            <family val="34"/>
          </rPr>
          <t xml:space="preserve">
</t>
        </r>
        <r>
          <rPr>
            <sz val="14"/>
            <color rgb="FF000000"/>
            <rFont val="Times New Roman"/>
            <family val="18"/>
          </rPr>
          <t>06/09/1804 Muster: IR 23 Haupt Wetzelberg Komp. Nr. 94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text>
    </comment>
    <comment ref="BG535" authorId="0" shapeId="0" xr:uid="{68138211-FBD4-B141-AB20-CD92D28036D0}">
      <text>
        <r>
          <rPr>
            <sz val="14"/>
            <color rgb="FF000000"/>
            <rFont val="Times New Roman"/>
            <family val="18"/>
          </rPr>
          <t>ML 10.124 IR 23 (1802) – Haupt Eisenkolb Komp. Nr. 109 (Krems 09/09/1802)</t>
        </r>
        <r>
          <rPr>
            <sz val="14"/>
            <color rgb="FF000000"/>
            <rFont val="Calibri"/>
            <family val="34"/>
          </rPr>
          <t xml:space="preserve">
</t>
        </r>
        <r>
          <rPr>
            <sz val="14"/>
            <color rgb="FF000000"/>
            <rFont val="Times New Roman"/>
            <family val="18"/>
          </rPr>
          <t>ML 10/125 IR 23 (1803) – Haupt Eisenkolb Komp. Nr. 100 (Execierlager bei St Pölten 07/09/1803)</t>
        </r>
        <r>
          <rPr>
            <sz val="14"/>
            <color rgb="FF000000"/>
            <rFont val="Calibri"/>
            <family val="34"/>
          </rPr>
          <t xml:space="preserve">
</t>
        </r>
        <r>
          <rPr>
            <sz val="14"/>
            <color rgb="FF000000"/>
            <rFont val="Times New Roman"/>
            <family val="18"/>
          </rPr>
          <t>ML 10.126 IR 23 (1804) – Haupt Wetzelberg Komp. Nr. 94 (Krems 06/09/1803)</t>
        </r>
        <r>
          <rPr>
            <sz val="14"/>
            <color rgb="FF000000"/>
            <rFont val="Calibri"/>
            <family val="34"/>
          </rPr>
          <t xml:space="preserve">
</t>
        </r>
        <r>
          <rPr>
            <sz val="14"/>
            <color rgb="FF000000"/>
            <rFont val="Times New Roman"/>
            <family val="18"/>
          </rPr>
          <t>ML 10.127/8 IR 23 (1807) – Haupt Waldstetten Komp. Abgang (Rötz 26/01/1807)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535" authorId="0" shapeId="0" xr:uid="{C16A4ECA-3495-7548-8C4A-2C8A7287E73E}">
      <text>
        <r>
          <rPr>
            <sz val="14"/>
            <color rgb="FF000000"/>
            <rFont val="Calibri"/>
            <family val="34"/>
          </rPr>
          <t>IR 23 (1799-1806)</t>
        </r>
      </text>
    </comment>
    <comment ref="BF536" authorId="0" shapeId="0" xr:uid="{BD30B178-BF1F-1043-B01B-9AC154DF6CBB}">
      <text>
        <r>
          <rPr>
            <sz val="14"/>
            <color rgb="FF000000"/>
            <rFont val="Times New Roman"/>
            <family val="18"/>
          </rPr>
          <t xml:space="preserve">03/07/1799 </t>
        </r>
        <r>
          <rPr>
            <i/>
            <sz val="14"/>
            <color rgb="FF000000"/>
            <rFont val="Times New Roman"/>
            <family val="18"/>
          </rPr>
          <t>Zu Chelm in West Galizien assentiert a 3Fl Handgeld ab oedem bis 24. Sept in auswärtiger Verpflegung auf Anmarsch ist Eingerückt</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Ist in die Reserve Division eingerückt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Lieb Comp. und ab eodem dato mit auswärtiger Verpflegung in Anmarsch</t>
        </r>
        <r>
          <rPr>
            <sz val="14"/>
            <color rgb="FF000000"/>
            <rFont val="Times New Roman"/>
            <family val="18"/>
          </rPr>
          <t xml:space="preserve"> [ST October 1799]</t>
        </r>
        <r>
          <rPr>
            <sz val="14"/>
            <color rgb="FF000000"/>
            <rFont val="Calibri"/>
            <family val="34"/>
          </rPr>
          <t xml:space="preserve">
</t>
        </r>
        <r>
          <rPr>
            <sz val="14"/>
            <color rgb="FF000000"/>
            <rFont val="Times New Roman"/>
            <family val="18"/>
          </rPr>
          <t xml:space="preserve">13/03/1801 </t>
        </r>
        <r>
          <rPr>
            <i/>
            <sz val="14"/>
            <color rgb="FF000000"/>
            <rFont val="Times New Roman"/>
            <family val="18"/>
          </rPr>
          <t>Zu Feldspital in Laibach gestorben</t>
        </r>
        <r>
          <rPr>
            <sz val="14"/>
            <color rgb="FF000000"/>
            <rFont val="Times New Roman"/>
            <family val="18"/>
          </rPr>
          <t xml:space="preserve"> [ML 1802]</t>
        </r>
        <r>
          <rPr>
            <sz val="14"/>
            <color rgb="FF000000"/>
            <rFont val="Calibri"/>
            <family val="34"/>
          </rPr>
          <t xml:space="preserve">
</t>
        </r>
      </text>
    </comment>
    <comment ref="BG536" authorId="0" shapeId="0" xr:uid="{E5429767-262A-D840-8E3E-65652D7278C3}">
      <text>
        <r>
          <rPr>
            <sz val="14"/>
            <color rgb="FF000000"/>
            <rFont val="Times New Roman"/>
            <family val="18"/>
          </rPr>
          <t>ML 10.124 IR 23 (1802) – Haupt Pappius Komp. Abgang (Vienna 16/09/1802)</t>
        </r>
        <r>
          <rPr>
            <sz val="14"/>
            <color rgb="FF000000"/>
            <rFont val="Calibri"/>
            <family val="34"/>
          </rPr>
          <t xml:space="preserve">
</t>
        </r>
        <r>
          <rPr>
            <sz val="14"/>
            <color rgb="FF000000"/>
            <rFont val="Times New Roman"/>
            <family val="18"/>
          </rPr>
          <t>ML 10.164 IR 23 (1799) – Sept (01/04/1801), Oct (06/04/1801)</t>
        </r>
      </text>
    </comment>
    <comment ref="BH536" authorId="0" shapeId="0" xr:uid="{5403A350-48A7-DC41-A913-3CFD3388A393}">
      <text>
        <r>
          <rPr>
            <sz val="14"/>
            <color rgb="FF000000"/>
            <rFont val="Calibri"/>
            <family val="34"/>
          </rPr>
          <t>IR 23 (1799-1801)</t>
        </r>
      </text>
    </comment>
    <comment ref="BF537" authorId="0" shapeId="0" xr:uid="{FD989A18-CF3E-8C4D-BFB3-F1F16363093D}">
      <text>
        <r>
          <rPr>
            <sz val="14"/>
            <color rgb="FF000000"/>
            <rFont val="Times New Roman"/>
            <family val="18"/>
          </rPr>
          <t xml:space="preserve">04/07/1799 </t>
        </r>
        <r>
          <rPr>
            <i/>
            <sz val="14"/>
            <color rgb="FF000000"/>
            <rFont val="Times New Roman"/>
            <family val="18"/>
          </rPr>
          <t>Zu Chelm a 3Fl Handgeld auf Beständig assentiert</t>
        </r>
        <r>
          <rPr>
            <sz val="14"/>
            <color rgb="FF000000"/>
            <rFont val="Times New Roman"/>
            <family val="18"/>
          </rPr>
          <t xml:space="preserve"> [TL Dez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Von</t>
        </r>
        <r>
          <rPr>
            <sz val="14"/>
            <color rgb="FF000000"/>
            <rFont val="Times New Roman"/>
            <family val="18"/>
          </rPr>
          <t xml:space="preserve"> </t>
        </r>
        <r>
          <rPr>
            <b/>
            <sz val="14"/>
            <color rgb="FF000000"/>
            <rFont val="Times New Roman"/>
            <family val="18"/>
          </rPr>
          <t>IR 13</t>
        </r>
        <r>
          <rPr>
            <sz val="14"/>
            <color rgb="FF000000"/>
            <rFont val="Times New Roman"/>
            <family val="18"/>
          </rPr>
          <t xml:space="preserve"> </t>
        </r>
        <r>
          <rPr>
            <i/>
            <sz val="14"/>
            <color rgb="FF000000"/>
            <rFont val="Times New Roman"/>
            <family val="18"/>
          </rPr>
          <t>Haupt Ghiss Komp. zum</t>
        </r>
        <r>
          <rPr>
            <sz val="14"/>
            <color rgb="FF000000"/>
            <rFont val="Times New Roman"/>
            <family val="18"/>
          </rPr>
          <t xml:space="preserve"> </t>
        </r>
        <r>
          <rPr>
            <b/>
            <sz val="14"/>
            <color rgb="FF000000"/>
            <rFont val="Times New Roman"/>
            <family val="18"/>
          </rPr>
          <t>InvH Pettau</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[TL Dez 1801]</t>
        </r>
        <r>
          <rPr>
            <sz val="14"/>
            <color rgb="FF000000"/>
            <rFont val="Calibri"/>
            <family val="34"/>
          </rPr>
          <t xml:space="preserve">
</t>
        </r>
      </text>
    </comment>
    <comment ref="BG537" authorId="0" shapeId="0" xr:uid="{3A38D4F9-EEA4-C040-A03D-6797C82BA692}">
      <text>
        <r>
          <rPr>
            <sz val="14"/>
            <color rgb="FF000000"/>
            <rFont val="Times New Roman"/>
            <family val="18"/>
          </rPr>
          <t>ML 10.082 IR 13 (1801) – TL IR 13-&gt;InvH Pettau Nr. 3 (Görz 02/12/1801)</t>
        </r>
        <r>
          <rPr>
            <sz val="14"/>
            <color rgb="FF000000"/>
            <rFont val="Calibri"/>
            <family val="34"/>
          </rPr>
          <t xml:space="preserve">
</t>
        </r>
        <r>
          <rPr>
            <sz val="14"/>
            <color rgb="FF000000"/>
            <rFont val="Times New Roman"/>
            <family val="18"/>
          </rPr>
          <t>ML 10.045/6 IR 13 (1802): ML Haupt Ghiss Komp. Abgang (Capo D’Istria 18/09/1802)</t>
        </r>
      </text>
    </comment>
    <comment ref="BH537" authorId="0" shapeId="0" xr:uid="{3F28EE76-797F-C648-B691-E8BB85E9D65C}">
      <text>
        <r>
          <rPr>
            <sz val="14"/>
            <color rgb="FF000000"/>
            <rFont val="Times New Roman"/>
            <family val="18"/>
          </rPr>
          <t xml:space="preserve">IR 13 (1799-1801)
</t>
        </r>
        <r>
          <rPr>
            <sz val="14"/>
            <color rgb="FF000000"/>
            <rFont val="Times New Roman"/>
            <family val="18"/>
          </rPr>
          <t>InvH Pettau (1801)</t>
        </r>
      </text>
    </comment>
    <comment ref="BJ537" authorId="0" shapeId="0" xr:uid="{FAEAF1B4-2D00-BD4E-8CA8-E8AEE8FA647C}">
      <text>
        <r>
          <rPr>
            <i/>
            <sz val="14"/>
            <color rgb="FF000000"/>
            <rFont val="Times New Roman"/>
            <family val="18"/>
          </rPr>
          <t>Gänzlich Körper schwache auf beide Knie gelenke und dem Unvermögen zu Marschen</t>
        </r>
        <r>
          <rPr>
            <sz val="14"/>
            <color rgb="FF000000"/>
            <rFont val="Times New Roman"/>
            <family val="18"/>
          </rPr>
          <t xml:space="preserve"> [TL Dez 1801]</t>
        </r>
        <r>
          <rPr>
            <sz val="14"/>
            <color rgb="FF000000"/>
            <rFont val="Calibri"/>
            <family val="2"/>
          </rPr>
          <t xml:space="preserve"> </t>
        </r>
      </text>
    </comment>
    <comment ref="I538" authorId="0" shapeId="0" xr:uid="{9B3019F5-0D63-D346-B5A5-7530BAA7DB4E}">
      <text>
        <r>
          <rPr>
            <sz val="14"/>
            <color rgb="FF000000"/>
            <rFont val="Calibri"/>
            <family val="34"/>
          </rPr>
          <t xml:space="preserve">1753 [49 (TL 1802)]
</t>
        </r>
        <r>
          <rPr>
            <sz val="14"/>
            <color rgb="FF000000"/>
            <rFont val="Calibri"/>
            <family val="34"/>
          </rPr>
          <t xml:space="preserve">OR 
</t>
        </r>
        <r>
          <rPr>
            <b/>
            <sz val="14"/>
            <color rgb="FF000000"/>
            <rFont val="Calibri"/>
            <family val="34"/>
          </rPr>
          <t xml:space="preserve">1763 [39 (ML 1802]
</t>
        </r>
      </text>
    </comment>
    <comment ref="O538" authorId="0" shapeId="0" xr:uid="{7A9219EE-DFE8-5B41-9ECF-0265BFDC6D61}">
      <text>
        <r>
          <rPr>
            <sz val="14"/>
            <color rgb="FF000000"/>
            <rFont val="Times New Roman"/>
            <family val="18"/>
          </rPr>
          <t xml:space="preserve">Simcha (1788)
</t>
        </r>
        <r>
          <rPr>
            <sz val="14"/>
            <color rgb="FF000000"/>
            <rFont val="Times New Roman"/>
            <family val="18"/>
          </rPr>
          <t xml:space="preserve">Moskowiz (1796)
</t>
        </r>
        <r>
          <rPr>
            <sz val="14"/>
            <color rgb="FF000000"/>
            <rFont val="Times New Roman"/>
            <family val="18"/>
          </rPr>
          <t>David (1799)</t>
        </r>
      </text>
    </comment>
    <comment ref="BF538" authorId="0" shapeId="0" xr:uid="{DCE1ED8C-BD00-0240-8439-93B5BBF41E82}">
      <text>
        <r>
          <rPr>
            <sz val="14"/>
            <color rgb="FF000000"/>
            <rFont val="Times New Roman"/>
            <family val="18"/>
          </rPr>
          <t xml:space="preserve">04/07/1799 </t>
        </r>
        <r>
          <rPr>
            <i/>
            <sz val="14"/>
            <color rgb="FF000000"/>
            <rFont val="Times New Roman"/>
            <family val="18"/>
          </rPr>
          <t>Gegen 3 Fl Handgeld auf Beständig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26/04/1801 </t>
        </r>
        <r>
          <rPr>
            <i/>
            <sz val="14"/>
            <color rgb="FF000000"/>
            <rFont val="Times New Roman"/>
            <family val="18"/>
          </rPr>
          <t xml:space="preserve">Aus Der französischen Kriegsgefangenschaft ranzioniert und zu Bamberg präsentiert </t>
        </r>
        <r>
          <rPr>
            <sz val="14"/>
            <color rgb="FF000000"/>
            <rFont val="Times New Roman"/>
            <family val="18"/>
          </rPr>
          <t>[ML 1802]</t>
        </r>
        <r>
          <rPr>
            <sz val="14"/>
            <color rgb="FF000000"/>
            <rFont val="Times New Roman"/>
            <family val="18"/>
          </rPr>
          <t xml:space="preserve">
</t>
        </r>
        <r>
          <rPr>
            <sz val="14"/>
            <color rgb="FF000000"/>
            <rFont val="Times New Roman"/>
            <family val="18"/>
          </rPr>
          <t>16/09/1802 Muster: IR 13 Haupt Schärfenberg Komp Nr. 103 [</t>
        </r>
        <r>
          <rPr>
            <i/>
            <sz val="14"/>
            <color rgb="FF000000"/>
            <rFont val="Times New Roman"/>
            <family val="18"/>
          </rPr>
          <t>Halb Invalid</t>
        </r>
        <r>
          <rPr>
            <sz val="14"/>
            <color rgb="FF000000"/>
            <rFont val="Times New Roman"/>
            <family val="18"/>
          </rPr>
          <t>]</t>
        </r>
        <r>
          <rPr>
            <sz val="14"/>
            <color rgb="FF000000"/>
            <rFont val="Times New Roman"/>
            <family val="18"/>
          </rPr>
          <t xml:space="preserve">
</t>
        </r>
        <r>
          <rPr>
            <sz val="14"/>
            <color rgb="FF000000"/>
            <rFont val="Times New Roman"/>
            <family val="18"/>
          </rPr>
          <t xml:space="preserve">07/11/1802 </t>
        </r>
        <r>
          <rPr>
            <i/>
            <sz val="14"/>
            <color rgb="FF000000"/>
            <rFont val="Times New Roman"/>
            <family val="18"/>
          </rPr>
          <t>Beurlaubt</t>
        </r>
        <r>
          <rPr>
            <sz val="14"/>
            <color rgb="FF000000"/>
            <rFont val="Times New Roman"/>
            <family val="18"/>
          </rPr>
          <t xml:space="preserve"> [TL Nov 1802]</t>
        </r>
        <r>
          <rPr>
            <sz val="14"/>
            <color rgb="FF000000"/>
            <rFont val="Times New Roman"/>
            <family val="18"/>
          </rPr>
          <t xml:space="preserve">
</t>
        </r>
        <r>
          <rPr>
            <sz val="14"/>
            <color rgb="FF000000"/>
            <rFont val="Times New Roman"/>
            <family val="18"/>
          </rPr>
          <t xml:space="preserve">30/11/1802 </t>
        </r>
        <r>
          <rPr>
            <i/>
            <sz val="14"/>
            <color rgb="FF000000"/>
            <rFont val="Times New Roman"/>
            <family val="18"/>
          </rPr>
          <t>Von IR 13 Haupt Haupt Schärfenberg Komp. zum GR 1 transferiert</t>
        </r>
        <r>
          <rPr>
            <sz val="14"/>
            <color rgb="FF000000"/>
            <rFont val="Times New Roman"/>
            <family val="18"/>
          </rPr>
          <t xml:space="preserve"> [TL Nov 1802 &amp; ML 1803]</t>
        </r>
        <r>
          <rPr>
            <sz val="14"/>
            <color rgb="FF000000"/>
            <rFont val="Times New Roman"/>
            <family val="18"/>
          </rPr>
          <t xml:space="preserve">
</t>
        </r>
      </text>
    </comment>
    <comment ref="BG538" authorId="0" shapeId="0" xr:uid="{0AB0708B-13DD-7F43-AE7C-8151DE371E38}">
      <text>
        <r>
          <rPr>
            <sz val="14"/>
            <color rgb="FF000000"/>
            <rFont val="Times New Roman"/>
            <family val="18"/>
          </rPr>
          <t xml:space="preserve">ML 10.045/6 IR 13 (1802) – Haupt Schärfenberg Komp. Nr. 103 (Triest 16/09/1802)
</t>
        </r>
        <r>
          <rPr>
            <sz val="14"/>
            <color rgb="FF000000"/>
            <rFont val="Times New Roman"/>
            <family val="18"/>
          </rPr>
          <t xml:space="preserve">ML 10.047/8 IR 13 (1803) – Haupt Schärfenberg Komp. Abgang (Triest 21/09/1803)
</t>
        </r>
        <r>
          <rPr>
            <sz val="14"/>
            <color rgb="FF000000"/>
            <rFont val="Times New Roman"/>
            <family val="18"/>
          </rPr>
          <t>ML 10.084 IR 13 (1802) AL/TL – TL IR 13-&gt;GR 1 Nr. 12 (Görz 27/11/1802)</t>
        </r>
      </text>
    </comment>
    <comment ref="BH538" authorId="0" shapeId="0" xr:uid="{74D1F609-43B4-EE45-A813-F011A04CB822}">
      <text>
        <r>
          <rPr>
            <sz val="14"/>
            <color rgb="FF000000"/>
            <rFont val="Times New Roman"/>
            <family val="18"/>
          </rPr>
          <t xml:space="preserve">IR 13 (1799-1802)
</t>
        </r>
        <r>
          <rPr>
            <sz val="14"/>
            <color rgb="FF000000"/>
            <rFont val="Times New Roman"/>
            <family val="18"/>
          </rPr>
          <t>GR 1 (1802)</t>
        </r>
      </text>
    </comment>
    <comment ref="BI538" authorId="0" shapeId="0" xr:uid="{2025138B-D0F5-604B-AE31-AE6126850AAC}">
      <text>
        <r>
          <rPr>
            <i/>
            <sz val="14"/>
            <color rgb="FF000000"/>
            <rFont val="Times New Roman"/>
            <family val="18"/>
          </rPr>
          <t>Gut</t>
        </r>
        <r>
          <rPr>
            <sz val="14"/>
            <color rgb="FF000000"/>
            <rFont val="Times New Roman"/>
            <family val="18"/>
          </rPr>
          <t xml:space="preserve"> [TL Nov 1802]</t>
        </r>
        <r>
          <rPr>
            <sz val="14"/>
            <color rgb="FF000000"/>
            <rFont val="Calibri"/>
            <family val="2"/>
            <scheme val="minor"/>
          </rPr>
          <t xml:space="preserve"> </t>
        </r>
      </text>
    </comment>
    <comment ref="BJ538" authorId="0" shapeId="0" xr:uid="{81F3E879-572B-314A-87C4-C6C53CF5AD75}">
      <text>
        <r>
          <rPr>
            <i/>
            <sz val="14"/>
            <color rgb="FF000000"/>
            <rFont val="Times New Roman"/>
            <family val="18"/>
          </rPr>
          <t xml:space="preserve">Altenshalber und Conge Mangel an Zähnen </t>
        </r>
        <r>
          <rPr>
            <sz val="14"/>
            <color rgb="FF000000"/>
            <rFont val="Times New Roman"/>
            <family val="18"/>
          </rPr>
          <t xml:space="preserve">[TL Nov 1802] </t>
        </r>
      </text>
    </comment>
    <comment ref="BF539" authorId="0" shapeId="0" xr:uid="{7EA064DE-BE17-3A44-AFDA-00C9AE5353B3}">
      <text>
        <r>
          <rPr>
            <sz val="14"/>
            <color rgb="FFFF0000"/>
            <rFont val="Times New Roman"/>
            <family val="18"/>
          </rPr>
          <t xml:space="preserve">01/05/1799 </t>
        </r>
        <r>
          <rPr>
            <i/>
            <sz val="14"/>
            <color rgb="FFFF0000"/>
            <rFont val="Times New Roman"/>
            <family val="18"/>
          </rPr>
          <t xml:space="preserve">Von Ständen a 3Fl Handgeld gestellt </t>
        </r>
        <r>
          <rPr>
            <sz val="14"/>
            <color rgb="FFFF0000"/>
            <rFont val="Times New Roman"/>
            <family val="18"/>
          </rPr>
          <t>[TL 1800]</t>
        </r>
        <r>
          <rPr>
            <sz val="14"/>
            <color rgb="FF000000"/>
            <rFont val="Times New Roman"/>
            <family val="18"/>
          </rPr>
          <t xml:space="preserve">
</t>
        </r>
        <r>
          <rPr>
            <sz val="14"/>
            <color rgb="FF000000"/>
            <rFont val="Times New Roman"/>
            <family val="18"/>
          </rPr>
          <t xml:space="preserve">05/07/1799 </t>
        </r>
        <r>
          <rPr>
            <i/>
            <sz val="14"/>
            <color rgb="FF000000"/>
            <rFont val="Times New Roman"/>
            <family val="18"/>
          </rPr>
          <t>Von Standen a 3Fl Handgeld gestellt und zum IR 43 assentiert, seitdem auf Anhero Marsch mit Friedensgebühr</t>
        </r>
        <r>
          <rPr>
            <sz val="14"/>
            <color rgb="FF000000"/>
            <rFont val="Times New Roman"/>
            <family val="18"/>
          </rPr>
          <t xml:space="preserve"> [TL 1800 &amp; ML 1802]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
</t>
        </r>
        <r>
          <rPr>
            <sz val="14"/>
            <color rgb="FF000000"/>
            <rFont val="Times New Roman"/>
            <family val="18"/>
          </rPr>
          <t xml:space="preserve">18/12/1799 </t>
        </r>
        <r>
          <rPr>
            <i/>
            <sz val="14"/>
            <color rgb="FF000000"/>
            <rFont val="Times New Roman"/>
            <family val="18"/>
          </rPr>
          <t>Ferner Krank auswärts mit Kriegsgebühr</t>
        </r>
        <r>
          <rPr>
            <sz val="14"/>
            <color rgb="FF000000"/>
            <rFont val="Times New Roman"/>
            <family val="18"/>
          </rPr>
          <t xml:space="preserve"> [ST Dec 1799]
</t>
        </r>
        <r>
          <rPr>
            <sz val="14"/>
            <color rgb="FF000000"/>
            <rFont val="Times New Roman"/>
            <family val="18"/>
          </rPr>
          <t xml:space="preserve">10/01/1800 </t>
        </r>
        <r>
          <rPr>
            <i/>
            <sz val="14"/>
            <color rgb="FF000000"/>
            <rFont val="Times New Roman"/>
            <family val="18"/>
          </rPr>
          <t xml:space="preserve">Reconvalesciert </t>
        </r>
        <r>
          <rPr>
            <sz val="14"/>
            <color rgb="FF000000"/>
            <rFont val="Times New Roman"/>
            <family val="18"/>
          </rPr>
          <t xml:space="preserve">[ST Jan 1800]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
</t>
        </r>
        <r>
          <rPr>
            <sz val="14"/>
            <color rgb="FF000000"/>
            <rFont val="Times New Roman"/>
            <family val="18"/>
          </rPr>
          <t xml:space="preserve">28/08/1802 Musterung: Haupt Frinstlos Comp. Nr. 65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02/11/1803 Musterung: IR 43 Haupt Frintlos Comp. Nr. 63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153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23/10/1805 15. Fus Comp Nr. 125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10. Fus Comp als unwissend verloren in Abgang</t>
        </r>
        <r>
          <rPr>
            <sz val="14"/>
            <color rgb="FF000000"/>
            <rFont val="Times New Roman"/>
            <family val="18"/>
          </rPr>
          <t xml:space="preserve"> [ST Oct 1806 &amp; ML 1806]
</t>
        </r>
      </text>
    </comment>
    <comment ref="BG539" authorId="0" shapeId="0" xr:uid="{16F1BAC8-AE22-874F-89D6-DAC6EA076BAB}">
      <text>
        <r>
          <rPr>
            <sz val="14"/>
            <color rgb="FF000000"/>
            <rFont val="Times New Roman"/>
            <family val="18"/>
          </rPr>
          <t xml:space="preserve">ML 10.272 IR 43 (1802) – Heft von Haupt Frintos Hazza Comp. Nr. 65 (Cattaro 28/08/1802)
</t>
        </r>
        <r>
          <rPr>
            <sz val="14"/>
            <color rgb="FF000000"/>
            <rFont val="Times New Roman"/>
            <family val="18"/>
          </rPr>
          <t xml:space="preserve">ML 10.273 IR 43 (1803) – Heft von Haupt Frintos Hazza Comp. Nr. 63 (Cattaro 02/11/1803)
</t>
        </r>
        <r>
          <rPr>
            <sz val="14"/>
            <color rgb="FF000000"/>
            <rFont val="Times New Roman"/>
            <family val="18"/>
          </rPr>
          <t xml:space="preserve">ML 10.274 IR 43 (1804) – Heft von Haupt Frintos Hazza Comp. Nr. 153 (Theodo 05/10/1804)
</t>
        </r>
        <r>
          <rPr>
            <sz val="14"/>
            <color rgb="FF000000"/>
            <rFont val="Times New Roman"/>
            <family val="18"/>
          </rPr>
          <t xml:space="preserve">ML 10.275/6 IR 43 (1805) – Heft von 15. Fus Comp. Nr. 125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10.307 IR 43 (1799) – ST Nov (12/10/1800) und Dec (01/11/1800)
</t>
        </r>
        <r>
          <rPr>
            <sz val="14"/>
            <color rgb="FF000000"/>
            <rFont val="Times New Roman"/>
            <family val="18"/>
          </rPr>
          <t xml:space="preserve">ML 10.310 IR 43 (1800) AL/TL – TL IR 43 Res. Div. -&gt; Feld Bat. Nr. 20 (Laibach 05/02/1800)
</t>
        </r>
        <r>
          <rPr>
            <sz val="14"/>
            <color rgb="FF000000"/>
            <rFont val="Times New Roman"/>
            <family val="18"/>
          </rPr>
          <t xml:space="preserve">ML 10.309 IR 43 (1800) – ST Jan (26/02/1801), Feb (06/04/1801) und April (24/01/1803)
</t>
        </r>
        <r>
          <rPr>
            <sz val="14"/>
            <color rgb="FF000000"/>
            <rFont val="Times New Roman"/>
            <family val="18"/>
          </rPr>
          <t xml:space="preserve">ML 10.313 IR 43 (1803) – ST Jan (15/02/1803) und März (15/04/1803) 
</t>
        </r>
        <r>
          <rPr>
            <sz val="14"/>
            <color rgb="FF000000"/>
            <rFont val="Times New Roman"/>
            <family val="18"/>
          </rPr>
          <t xml:space="preserve">ML 10.317 IR 43 (1806) – ST Oktober (27/11/1806) 
</t>
        </r>
      </text>
    </comment>
    <comment ref="BH539" authorId="0" shapeId="0" xr:uid="{D6FA2034-5340-7749-833C-E0651F2A0D7A}">
      <text>
        <r>
          <rPr>
            <sz val="14"/>
            <color rgb="FF000000"/>
            <rFont val="Calibri"/>
            <family val="34"/>
          </rPr>
          <t>IR 43 (1799-1806)</t>
        </r>
      </text>
    </comment>
    <comment ref="B540" authorId="0" shapeId="0" xr:uid="{A67B565D-31F3-BF40-9397-A6FD5F881731}">
      <text>
        <r>
          <rPr>
            <sz val="14"/>
            <color rgb="FF000000"/>
            <rFont val="Calibri"/>
            <family val="34"/>
          </rPr>
          <t xml:space="preserve">Salom BERLL/ 
</t>
        </r>
        <r>
          <rPr>
            <sz val="14"/>
            <color rgb="FF000000"/>
            <rFont val="Calibri"/>
            <family val="34"/>
          </rPr>
          <t xml:space="preserve">Solomon BERL
</t>
        </r>
        <r>
          <rPr>
            <sz val="14"/>
            <color rgb="FF000000"/>
            <rFont val="Calibri"/>
            <family val="34"/>
          </rPr>
          <t xml:space="preserve">Salim PERC 
</t>
        </r>
        <r>
          <rPr>
            <sz val="14"/>
            <color rgb="FF000000"/>
            <rFont val="Calibri"/>
            <family val="34"/>
          </rPr>
          <t xml:space="preserve">Pell IZKOWIZ
</t>
        </r>
        <r>
          <rPr>
            <sz val="14"/>
            <color rgb="FF000000"/>
            <rFont val="Calibri"/>
            <family val="34"/>
          </rPr>
          <t xml:space="preserve">Salomon PERTH </t>
        </r>
      </text>
    </comment>
    <comment ref="T540" authorId="0" shapeId="0" xr:uid="{E3CE1953-BAF2-9648-BE62-9B891BDB5080}">
      <text>
        <r>
          <rPr>
            <sz val="14"/>
            <color rgb="FF000000"/>
            <rFont val="Calibri"/>
            <family val="34"/>
          </rPr>
          <t xml:space="preserve">168.96 (1802-6)
</t>
        </r>
        <r>
          <rPr>
            <sz val="14"/>
            <color rgb="FF000000"/>
            <rFont val="Calibri"/>
            <family val="34"/>
          </rPr>
          <t>166.55 (1800)</t>
        </r>
      </text>
    </comment>
    <comment ref="BF540" authorId="0" shapeId="0" xr:uid="{46DD89D3-ED2F-AA4C-9873-D26D9DCD2CCF}">
      <text>
        <r>
          <rPr>
            <sz val="14"/>
            <color rgb="FFFF0000"/>
            <rFont val="Times New Roman"/>
            <family val="18"/>
          </rPr>
          <t xml:space="preserve">01/07/1799 </t>
        </r>
        <r>
          <rPr>
            <i/>
            <sz val="14"/>
            <color rgb="FFFF0000"/>
            <rFont val="Times New Roman"/>
            <family val="18"/>
          </rPr>
          <t xml:space="preserve">Von Ständen gestellt </t>
        </r>
        <r>
          <rPr>
            <sz val="14"/>
            <color rgb="FFFF0000"/>
            <rFont val="Times New Roman"/>
            <family val="18"/>
          </rPr>
          <t xml:space="preserve">[TL 1800]
</t>
        </r>
        <r>
          <rPr>
            <sz val="14"/>
            <color rgb="FF000000"/>
            <rFont val="Times New Roman"/>
            <family val="18"/>
          </rPr>
          <t xml:space="preserve">05/07/1799 </t>
        </r>
        <r>
          <rPr>
            <i/>
            <sz val="14"/>
            <color rgb="FF000000"/>
            <rFont val="Times New Roman"/>
            <family val="18"/>
          </rPr>
          <t xml:space="preserve">Von Ständen gestellt </t>
        </r>
        <r>
          <rPr>
            <sz val="14"/>
            <color rgb="FF000000"/>
            <rFont val="Times New Roman"/>
            <family val="18"/>
          </rPr>
          <t xml:space="preserve">[ML 1802]
</t>
        </r>
        <r>
          <rPr>
            <sz val="14"/>
            <color rgb="FF000000"/>
            <rFont val="Times New Roman"/>
            <family val="18"/>
          </rPr>
          <t xml:space="preserve">05/11/1799 </t>
        </r>
        <r>
          <rPr>
            <i/>
            <sz val="14"/>
            <color rgb="FF000000"/>
            <rFont val="Times New Roman"/>
            <family val="18"/>
          </rPr>
          <t xml:space="preserve">Krank auswärts mit Friedensgebühr </t>
        </r>
        <r>
          <rPr>
            <sz val="14"/>
            <color rgb="FF000000"/>
            <rFont val="Times New Roman"/>
            <family val="18"/>
          </rPr>
          <t xml:space="preserve">[ST Nov 1799]
</t>
        </r>
        <r>
          <rPr>
            <sz val="14"/>
            <color rgb="FF000000"/>
            <rFont val="Times New Roman"/>
            <family val="18"/>
          </rPr>
          <t xml:space="preserve">20/11/1799 </t>
        </r>
        <r>
          <rPr>
            <i/>
            <sz val="14"/>
            <color rgb="FF000000"/>
            <rFont val="Times New Roman"/>
            <family val="18"/>
          </rPr>
          <t>Reconvalesciert</t>
        </r>
        <r>
          <rPr>
            <sz val="14"/>
            <color rgb="FF000000"/>
            <rFont val="Times New Roman"/>
            <family val="18"/>
          </rPr>
          <t xml:space="preserve"> [ST Nov 1799]
</t>
        </r>
        <r>
          <rPr>
            <sz val="14"/>
            <color rgb="FF000000"/>
            <rFont val="Times New Roman"/>
            <family val="18"/>
          </rPr>
          <t xml:space="preserve">05/02/1800 </t>
        </r>
        <r>
          <rPr>
            <i/>
            <sz val="14"/>
            <color rgb="FF000000"/>
            <rFont val="Times New Roman"/>
            <family val="18"/>
          </rPr>
          <t xml:space="preserve">Auf Marsch zum Regiment </t>
        </r>
        <r>
          <rPr>
            <sz val="14"/>
            <color rgb="FF000000"/>
            <rFont val="Times New Roman"/>
            <family val="18"/>
          </rPr>
          <t xml:space="preserve">[TL 1800]
</t>
        </r>
        <r>
          <rPr>
            <sz val="14"/>
            <color rgb="FF000000"/>
            <rFont val="Times New Roman"/>
            <family val="18"/>
          </rPr>
          <t xml:space="preserve">06/04/1800 </t>
        </r>
        <r>
          <rPr>
            <i/>
            <sz val="14"/>
            <color rgb="FF000000"/>
            <rFont val="Times New Roman"/>
            <family val="18"/>
          </rPr>
          <t xml:space="preserve">Von Reserve Division ins Haupt Dostal Companie transferiert </t>
        </r>
        <r>
          <rPr>
            <sz val="14"/>
            <color rgb="FF000000"/>
            <rFont val="Times New Roman"/>
            <family val="18"/>
          </rPr>
          <t xml:space="preserve">[ST April 1800]
</t>
        </r>
        <r>
          <rPr>
            <sz val="14"/>
            <color rgb="FF000000"/>
            <rFont val="Times New Roman"/>
            <family val="18"/>
          </rPr>
          <t xml:space="preserve">16/04/1800 </t>
        </r>
        <r>
          <rPr>
            <i/>
            <sz val="14"/>
            <color rgb="FF000000"/>
            <rFont val="Times New Roman"/>
            <family val="18"/>
          </rPr>
          <t xml:space="preserve">In die Haupt Dostal Companie eingerückt </t>
        </r>
        <r>
          <rPr>
            <sz val="14"/>
            <color rgb="FF000000"/>
            <rFont val="Times New Roman"/>
            <family val="18"/>
          </rPr>
          <t xml:space="preserve">[ST April 1800]
</t>
        </r>
        <r>
          <rPr>
            <sz val="14"/>
            <color rgb="FF000000"/>
            <rFont val="Times New Roman"/>
            <family val="18"/>
          </rPr>
          <t xml:space="preserve">28/08/1802 Musterung: IR 43 Haupt Frinstlos Comp. Nr. 64
</t>
        </r>
        <r>
          <rPr>
            <sz val="14"/>
            <color rgb="FF000000"/>
            <rFont val="Times New Roman"/>
            <family val="18"/>
          </rPr>
          <t xml:space="preserve">06/01/1803 </t>
        </r>
        <r>
          <rPr>
            <i/>
            <sz val="14"/>
            <color rgb="FF000000"/>
            <rFont val="Times New Roman"/>
            <family val="18"/>
          </rPr>
          <t xml:space="preserve">Auf den Marsch mit Urlaub und auswertigen Verpflegung ins Galizien mit Ungarischen Gebühr bis incl. 10. huj. Vepflegt </t>
        </r>
        <r>
          <rPr>
            <sz val="14"/>
            <color rgb="FF000000"/>
            <rFont val="Times New Roman"/>
            <family val="18"/>
          </rPr>
          <t xml:space="preserve">[ST Jan 1803]
</t>
        </r>
        <r>
          <rPr>
            <sz val="14"/>
            <color rgb="FF000000"/>
            <rFont val="Times New Roman"/>
            <family val="18"/>
          </rPr>
          <t xml:space="preserve">28/02/1803 </t>
        </r>
        <r>
          <rPr>
            <i/>
            <sz val="14"/>
            <color rgb="FF000000"/>
            <rFont val="Times New Roman"/>
            <family val="18"/>
          </rPr>
          <t xml:space="preserve">Als Unbestimmt Beurlaubte in Galizien eingerückt </t>
        </r>
        <r>
          <rPr>
            <sz val="14"/>
            <color rgb="FF000000"/>
            <rFont val="Times New Roman"/>
            <family val="18"/>
          </rPr>
          <t xml:space="preserve">[ST March 1803]
</t>
        </r>
        <r>
          <rPr>
            <sz val="14"/>
            <color rgb="FF000000"/>
            <rFont val="Times New Roman"/>
            <family val="18"/>
          </rPr>
          <t>02/11/1803 Musterung: Haupt IR 43 Frintlos Comp. Nr. 62 [</t>
        </r>
        <r>
          <rPr>
            <i/>
            <sz val="14"/>
            <color rgb="FF000000"/>
            <rFont val="Times New Roman"/>
            <family val="18"/>
          </rPr>
          <t>Mit Urlaub bus zur Einberufung in seinem Geburtsort</t>
        </r>
        <r>
          <rPr>
            <sz val="14"/>
            <color rgb="FF000000"/>
            <rFont val="Times New Roman"/>
            <family val="18"/>
          </rPr>
          <t xml:space="preserve">]
</t>
        </r>
        <r>
          <rPr>
            <sz val="14"/>
            <color rgb="FF000000"/>
            <rFont val="Times New Roman"/>
            <family val="18"/>
          </rPr>
          <t>05/10/1804 Musterung: IR 43 Haupt Frintlos Comp Nr. 59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09/06/1805 </t>
        </r>
        <r>
          <rPr>
            <i/>
            <sz val="14"/>
            <color rgb="FF000000"/>
            <rFont val="Times New Roman"/>
            <family val="18"/>
          </rPr>
          <t xml:space="preserve">Von unbestimmte Urlaub Zurück und seitdem auf Anhero Marsch </t>
        </r>
        <r>
          <rPr>
            <sz val="14"/>
            <color rgb="FF000000"/>
            <rFont val="Times New Roman"/>
            <family val="18"/>
          </rPr>
          <t xml:space="preserve">[ST Sept 1805]
</t>
        </r>
        <r>
          <rPr>
            <sz val="14"/>
            <color rgb="FF000000"/>
            <rFont val="Times New Roman"/>
            <family val="18"/>
          </rPr>
          <t xml:space="preserve">26/08/1805 </t>
        </r>
        <r>
          <rPr>
            <i/>
            <sz val="14"/>
            <color rgb="FF000000"/>
            <rFont val="Times New Roman"/>
            <family val="18"/>
          </rPr>
          <t xml:space="preserve">Eingerückt und zu Laibach Depot mit Tägl. ½ Teuerung und 1Xr Fleischbeitrag Commandiert </t>
        </r>
        <r>
          <rPr>
            <sz val="14"/>
            <color rgb="FF000000"/>
            <rFont val="Times New Roman"/>
            <family val="18"/>
          </rPr>
          <t xml:space="preserve">[ST Sept 1805]
</t>
        </r>
        <r>
          <rPr>
            <sz val="14"/>
            <color rgb="FF000000"/>
            <rFont val="Times New Roman"/>
            <family val="18"/>
          </rPr>
          <t>23/10/1805 Musterung: IR 43 15. Fus Comp Nr. 55 [</t>
        </r>
        <r>
          <rPr>
            <i/>
            <sz val="14"/>
            <color rgb="FF000000"/>
            <rFont val="Times New Roman"/>
            <family val="18"/>
          </rPr>
          <t>Beim Depot zu Laibach Passiert</t>
        </r>
        <r>
          <rPr>
            <sz val="14"/>
            <color rgb="FF000000"/>
            <rFont val="Times New Roman"/>
            <family val="18"/>
          </rPr>
          <t xml:space="preserve">]
</t>
        </r>
        <r>
          <rPr>
            <sz val="14"/>
            <color rgb="FF000000"/>
            <rFont val="Times New Roman"/>
            <family val="18"/>
          </rPr>
          <t xml:space="preserve">05/12/1806 Musterung: IR 43 10. Fus Comp Nr. 44
</t>
        </r>
        <r>
          <rPr>
            <sz val="14"/>
            <color rgb="FF000000"/>
            <rFont val="Times New Roman"/>
            <family val="18"/>
          </rPr>
          <t xml:space="preserve">10/04/1808 </t>
        </r>
        <r>
          <rPr>
            <i/>
            <sz val="14"/>
            <color rgb="FF000000"/>
            <rFont val="Times New Roman"/>
            <family val="18"/>
          </rPr>
          <t>In Spital zu Laibach Gestorben [</t>
        </r>
        <r>
          <rPr>
            <sz val="14"/>
            <color rgb="FF000000"/>
            <rFont val="Times New Roman"/>
            <family val="18"/>
          </rPr>
          <t xml:space="preserve">ST April 1808 &amp; ML 1808]
</t>
        </r>
      </text>
    </comment>
    <comment ref="BG540" authorId="0" shapeId="0" xr:uid="{40877DE7-6D9E-1C4F-B5BD-BED54A97B087}">
      <text>
        <r>
          <rPr>
            <sz val="14"/>
            <color rgb="FF000000"/>
            <rFont val="Calibri"/>
            <family val="34"/>
          </rPr>
          <t xml:space="preserve">ML 10.272 IR 43 (1802) – Haupt Frintlos Nr. 64 (Cattaro 28/08/1802)
</t>
        </r>
        <r>
          <rPr>
            <sz val="14"/>
            <color rgb="FF000000"/>
            <rFont val="Calibri"/>
            <family val="34"/>
          </rPr>
          <t xml:space="preserve">ML 10.273 IR 43 (1803) – Haupt Frintlos Nr. 62 (Cattaro 02/11/1803)
</t>
        </r>
        <r>
          <rPr>
            <sz val="14"/>
            <color rgb="FF000000"/>
            <rFont val="Calibri"/>
            <family val="34"/>
          </rPr>
          <t xml:space="preserve">ML 10.274 IR 43 (1804) – Haupt Frintlos Nr. 59 (Theodo 05/10/1804)
</t>
        </r>
        <r>
          <rPr>
            <sz val="14"/>
            <color rgb="FF000000"/>
            <rFont val="Calibri"/>
            <family val="34"/>
          </rPr>
          <t xml:space="preserve">ML 10.275/6 IR 43 (1805) – 15. Fus Comp Nr. 55 (Spalato 23/10/1805)
</t>
        </r>
        <r>
          <rPr>
            <sz val="14"/>
            <color rgb="FF000000"/>
            <rFont val="Calibri"/>
            <family val="34"/>
          </rPr>
          <t xml:space="preserve">ML 10.277/8 IR 43 (1806) – 10. Fus Comp Nr. 44 (Neustadt, 05/12/1806)
</t>
        </r>
        <r>
          <rPr>
            <sz val="14"/>
            <color rgb="FF000000"/>
            <rFont val="Calibri"/>
            <family val="34"/>
          </rPr>
          <t xml:space="preserve">ML 10.279 IR 43 (1808-10) – RL 10. Fus Comp – Abgang (Laibach 06/09/1808)
</t>
        </r>
        <r>
          <rPr>
            <sz val="14"/>
            <color rgb="FF000000"/>
            <rFont val="Calibri"/>
            <family val="34"/>
          </rPr>
          <t xml:space="preserve">ML 10.307 IR 43 (1799) – ST November (12/10/1800)
</t>
        </r>
        <r>
          <rPr>
            <sz val="14"/>
            <color rgb="FF000000"/>
            <rFont val="Calibri"/>
            <family val="34"/>
          </rPr>
          <t xml:space="preserve">ML 10.309 IR 43 (1800) – ST April (24/01/1801)
</t>
        </r>
        <r>
          <rPr>
            <sz val="14"/>
            <color rgb="FF000000"/>
            <rFont val="Calibri"/>
            <family val="34"/>
          </rPr>
          <t xml:space="preserve">ML 10.310 IR 43 (1800) – AL/TL IR 43 Res Div -&gt; Feld Nr. 127 (Laibach 06/02/1802)
</t>
        </r>
        <r>
          <rPr>
            <sz val="14"/>
            <color rgb="FF000000"/>
            <rFont val="Calibri"/>
            <family val="34"/>
          </rPr>
          <t xml:space="preserve">ML 10.313 IR 43 (1803) – ST Jänner (15/02/1803)
</t>
        </r>
        <r>
          <rPr>
            <sz val="14"/>
            <color rgb="FF000000"/>
            <rFont val="Calibri"/>
            <family val="34"/>
          </rPr>
          <t xml:space="preserve">ML 10.315 IR 43 (1805) – ST September (15/11/1805)
</t>
        </r>
        <r>
          <rPr>
            <sz val="14"/>
            <color rgb="FF000000"/>
            <rFont val="Calibri"/>
            <family val="34"/>
          </rPr>
          <t xml:space="preserve">ML 10.321 IR 43 (1808) – ST April (14/05/1808)
</t>
        </r>
      </text>
    </comment>
    <comment ref="BH540" authorId="0" shapeId="0" xr:uid="{6C4C4EF9-865A-5145-A631-B8109CB1FC37}">
      <text>
        <r>
          <rPr>
            <sz val="14"/>
            <color rgb="FF000000"/>
            <rFont val="Calibri"/>
            <family val="34"/>
          </rPr>
          <t>IR 43 (1799-1808)</t>
        </r>
      </text>
    </comment>
    <comment ref="I541" authorId="0" shapeId="0" xr:uid="{5BB38BC1-BA49-D84A-ABA5-53A5D3FD56C4}">
      <text>
        <r>
          <rPr>
            <sz val="14"/>
            <color rgb="FF000000"/>
            <rFont val="Calibri"/>
            <family val="34"/>
          </rPr>
          <t xml:space="preserve">1764 [38 (1802)] 
</t>
        </r>
        <r>
          <rPr>
            <sz val="14"/>
            <color rgb="FF000000"/>
            <rFont val="Calibri"/>
            <family val="34"/>
          </rPr>
          <t xml:space="preserve">OR 
</t>
        </r>
        <r>
          <rPr>
            <sz val="14"/>
            <color rgb="FF000000"/>
            <rFont val="Calibri"/>
            <family val="34"/>
          </rPr>
          <t>1770 [30 (1800)]</t>
        </r>
      </text>
    </comment>
    <comment ref="BF541" authorId="0" shapeId="0" xr:uid="{95C38B16-5DC7-4945-BDBC-904987715408}">
      <text>
        <r>
          <rPr>
            <sz val="14"/>
            <color rgb="FFFF0000"/>
            <rFont val="Times New Roman"/>
            <family val="18"/>
          </rPr>
          <t xml:space="preserve">01/07/1799 </t>
        </r>
        <r>
          <rPr>
            <i/>
            <sz val="14"/>
            <color rgb="FFFF0000"/>
            <rFont val="Times New Roman"/>
            <family val="18"/>
          </rPr>
          <t>von Ständen a 3Fl Handgeld gestellt</t>
        </r>
        <r>
          <rPr>
            <sz val="14"/>
            <color rgb="FFFF0000"/>
            <rFont val="Times New Roman"/>
            <family val="18"/>
          </rPr>
          <t xml:space="preserve"> [TL 1800]</t>
        </r>
        <r>
          <rPr>
            <sz val="14"/>
            <color rgb="FF000000"/>
            <rFont val="Times New Roman"/>
            <family val="18"/>
          </rPr>
          <t xml:space="preserve">
</t>
        </r>
        <r>
          <rPr>
            <sz val="14"/>
            <color rgb="FF000000"/>
            <rFont val="Times New Roman"/>
            <family val="18"/>
          </rPr>
          <t xml:space="preserve">05/07/1799 </t>
        </r>
        <r>
          <rPr>
            <i/>
            <sz val="14"/>
            <color rgb="FF000000"/>
            <rFont val="Times New Roman"/>
            <family val="18"/>
          </rPr>
          <t>von Ständen a 3Fl Handgeld gestellt</t>
        </r>
        <r>
          <rPr>
            <sz val="14"/>
            <color rgb="FF000000"/>
            <rFont val="Times New Roman"/>
            <family val="18"/>
          </rPr>
          <t xml:space="preserve"> [ML 1802]
</t>
        </r>
        <r>
          <rPr>
            <sz val="14"/>
            <color rgb="FF000000"/>
            <rFont val="Times New Roman"/>
            <family val="18"/>
          </rPr>
          <t xml:space="preserve">??/10/1799 In die Reserve Division eingerückt [ST Oct 1799]
</t>
        </r>
        <r>
          <rPr>
            <sz val="14"/>
            <color rgb="FF000000"/>
            <rFont val="Times New Roman"/>
            <family val="18"/>
          </rPr>
          <t xml:space="preserve">23/11/1799 </t>
        </r>
        <r>
          <rPr>
            <i/>
            <sz val="14"/>
            <color rgb="FF000000"/>
            <rFont val="Times New Roman"/>
            <family val="18"/>
          </rPr>
          <t>Krank auswärts mit Friedensgebühr</t>
        </r>
        <r>
          <rPr>
            <sz val="14"/>
            <color rgb="FF000000"/>
            <rFont val="Times New Roman"/>
            <family val="18"/>
          </rPr>
          <t xml:space="preserve"> [ST Nov 1799]
</t>
        </r>
        <r>
          <rPr>
            <sz val="14"/>
            <color rgb="FF000000"/>
            <rFont val="Times New Roman"/>
            <family val="18"/>
          </rPr>
          <t xml:space="preserve">15/12/1799 </t>
        </r>
        <r>
          <rPr>
            <i/>
            <sz val="14"/>
            <color rgb="FF000000"/>
            <rFont val="Times New Roman"/>
            <family val="18"/>
          </rPr>
          <t xml:space="preserve">Reconvalesciert </t>
        </r>
        <r>
          <rPr>
            <sz val="14"/>
            <color rgb="FF000000"/>
            <rFont val="Times New Roman"/>
            <family val="18"/>
          </rPr>
          <t xml:space="preserve">[St Dec 1799]
</t>
        </r>
        <r>
          <rPr>
            <sz val="14"/>
            <color rgb="FF000000"/>
            <rFont val="Times New Roman"/>
            <family val="18"/>
          </rPr>
          <t xml:space="preserve">06/02/1800 </t>
        </r>
        <r>
          <rPr>
            <i/>
            <sz val="14"/>
            <color rgb="FF000000"/>
            <rFont val="Times New Roman"/>
            <family val="18"/>
          </rPr>
          <t>Als angehöriger von Reserve Division Ferners Aufmarsch zum Regiment</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
</t>
        </r>
        <r>
          <rPr>
            <sz val="14"/>
            <color rgb="FF000000"/>
            <rFont val="Times New Roman"/>
            <family val="18"/>
          </rPr>
          <t xml:space="preserve">28/08/1802 Musterung: IR 43 Haupt Frinstlos Comp. Nr. 67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At Muster 02/11/1803 Musterung: IR 43 Haupt Frintlos Comp. Nr. 65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61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
</t>
        </r>
        <r>
          <rPr>
            <sz val="14"/>
            <color rgb="FF000000"/>
            <rFont val="Times New Roman"/>
            <family val="18"/>
          </rPr>
          <t xml:space="preserve">23/10/1805 Musterung: IR 43 15. Fus Comp Nr. 56
</t>
        </r>
        <r>
          <rPr>
            <sz val="14"/>
            <color rgb="FF000000"/>
            <rFont val="Times New Roman"/>
            <family val="18"/>
          </rPr>
          <t xml:space="preserve">30/09/1806 </t>
        </r>
        <r>
          <rPr>
            <i/>
            <sz val="14"/>
            <color rgb="FF000000"/>
            <rFont val="Times New Roman"/>
            <family val="18"/>
          </rPr>
          <t>Auf Anhero Marsch von Staszow</t>
        </r>
        <r>
          <rPr>
            <sz val="14"/>
            <color rgb="FF000000"/>
            <rFont val="Times New Roman"/>
            <family val="18"/>
          </rPr>
          <t xml:space="preserve"> [ST Sept 1806]
</t>
        </r>
        <r>
          <rPr>
            <sz val="14"/>
            <color rgb="FF000000"/>
            <rFont val="Times New Roman"/>
            <family val="18"/>
          </rPr>
          <t xml:space="preserve">31/10/1806 </t>
        </r>
        <r>
          <rPr>
            <i/>
            <sz val="14"/>
            <color rgb="FF000000"/>
            <rFont val="Times New Roman"/>
            <family val="18"/>
          </rPr>
          <t xml:space="preserve">Als auf Urlaub verbliebene von 10. Fus Comp als unwissend verloren in Abgang </t>
        </r>
        <r>
          <rPr>
            <sz val="14"/>
            <color rgb="FF000000"/>
            <rFont val="Times New Roman"/>
            <family val="18"/>
          </rPr>
          <t xml:space="preserve">[ST Oct 1806 &amp; ML 1806]
</t>
        </r>
      </text>
    </comment>
    <comment ref="BG541" authorId="0" shapeId="0" xr:uid="{34DE7C18-E11B-8F43-8AA8-F5F6ECF41DC5}">
      <text>
        <r>
          <rPr>
            <sz val="14"/>
            <color rgb="FF000000"/>
            <rFont val="Times New Roman"/>
            <family val="18"/>
          </rPr>
          <t xml:space="preserve">ML 10.272 IR 43 (1802) – Heft von Haupt Frintos Hazza Comp. Nr. 67 (Cattaro 28/08/1802)
</t>
        </r>
        <r>
          <rPr>
            <sz val="14"/>
            <color rgb="FF000000"/>
            <rFont val="Times New Roman"/>
            <family val="18"/>
          </rPr>
          <t xml:space="preserve">ML 10.273 IR 43 (1803) – Heft von Haupt Frintos Hazza Comp. Nr. 65 (Cattaro 02/11/1803)
</t>
        </r>
        <r>
          <rPr>
            <sz val="14"/>
            <color rgb="FF000000"/>
            <rFont val="Times New Roman"/>
            <family val="18"/>
          </rPr>
          <t xml:space="preserve">ML 10.274 IR 43 (1804) – Heft von Haupt Frintos Hazza Comp. Nr. 61 (Theodo 05/10/1804)
</t>
        </r>
        <r>
          <rPr>
            <sz val="14"/>
            <color rgb="FF000000"/>
            <rFont val="Times New Roman"/>
            <family val="18"/>
          </rPr>
          <t xml:space="preserve">ML 10.275/6 IR 43 (1805) – Heft von 15. Fus Comp. Nr. 56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10.307 IR 43 (1799) – ST Nov (12/10/1800) und Dec (01/11/1800)
</t>
        </r>
        <r>
          <rPr>
            <sz val="14"/>
            <color rgb="FF000000"/>
            <rFont val="Times New Roman"/>
            <family val="18"/>
          </rPr>
          <t xml:space="preserve">ML 10.309 IR 43 (1800) – ST Feb (06/04/1801) und April (24/01/1803)
</t>
        </r>
        <r>
          <rPr>
            <sz val="14"/>
            <color rgb="FF000000"/>
            <rFont val="Times New Roman"/>
            <family val="18"/>
          </rPr>
          <t xml:space="preserve">ML 10.310 IR 43 (1800) AL/TL – TL IR 43 Res. Div. -&gt; Feld Bat. Nr. 69 (Laibach 05/02/1800)
</t>
        </r>
        <r>
          <rPr>
            <sz val="14"/>
            <color rgb="FF000000"/>
            <rFont val="Times New Roman"/>
            <family val="18"/>
          </rPr>
          <t xml:space="preserve">ML 10.313 IR 43 (1803) – ST Jan (15/02/1803) und März (15/04/1803) 
</t>
        </r>
        <r>
          <rPr>
            <sz val="14"/>
            <color rgb="FF000000"/>
            <rFont val="Times New Roman"/>
            <family val="18"/>
          </rPr>
          <t xml:space="preserve">ML 10.315 IR 43 (1805) – ST Sept (15/11/1805)
</t>
        </r>
        <r>
          <rPr>
            <sz val="14"/>
            <color rgb="FF000000"/>
            <rFont val="Times New Roman"/>
            <family val="18"/>
          </rPr>
          <t xml:space="preserve">ML 10.317 IR 43 (1806) – ST Oktober (27/11/1806) 
</t>
        </r>
      </text>
    </comment>
    <comment ref="BH541" authorId="0" shapeId="0" xr:uid="{E7FB50D6-826C-FB45-8A61-906683408BCC}">
      <text>
        <r>
          <rPr>
            <sz val="14"/>
            <color rgb="FF000000"/>
            <rFont val="Calibri"/>
            <family val="34"/>
          </rPr>
          <t>IR 43 (1799-1806)</t>
        </r>
      </text>
    </comment>
    <comment ref="BF542" authorId="0" shapeId="0" xr:uid="{DA043D76-DA9D-7F4C-B7C6-1CD64594C705}">
      <text>
        <r>
          <rPr>
            <sz val="14"/>
            <color rgb="FF000000"/>
            <rFont val="Times New Roman"/>
            <family val="18"/>
          </rPr>
          <t xml:space="preserve">05/07/1799 </t>
        </r>
        <r>
          <rPr>
            <i/>
            <sz val="14"/>
            <color rgb="FF000000"/>
            <rFont val="Times New Roman"/>
            <family val="18"/>
          </rPr>
          <t xml:space="preserve">Zu Keilce in West Galizien a 3Fl Handgeld assentiert ad ind bis dem dato auf </t>
        </r>
        <r>
          <rPr>
            <sz val="14"/>
            <color rgb="FF000000"/>
            <rFont val="Calibri"/>
            <family val="34"/>
          </rPr>
          <t xml:space="preserve">
</t>
        </r>
        <r>
          <rPr>
            <i/>
            <sz val="14"/>
            <color rgb="FF000000"/>
            <rFont val="Times New Roman"/>
            <family val="18"/>
          </rPr>
          <t>Anmarsch, vide absente</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10/09/1799 </t>
        </r>
        <r>
          <rPr>
            <i/>
            <sz val="14"/>
            <color rgb="FF000000"/>
            <rFont val="Times New Roman"/>
            <family val="18"/>
          </rPr>
          <t>Ankunft in Division</t>
        </r>
        <r>
          <rPr>
            <sz val="14"/>
            <color rgb="FF000000"/>
            <rFont val="Times New Roman"/>
            <family val="18"/>
          </rPr>
          <t xml:space="preserve"> [</t>
        </r>
        <r>
          <rPr>
            <i/>
            <sz val="14"/>
            <color rgb="FF000000"/>
            <rFont val="Times New Roman"/>
            <family val="18"/>
          </rPr>
          <t>von vorhin bis 10. Sept. ist eingerückt und seit 11. mit Geld und brot und seit 9. Sept mit Service in loco</t>
        </r>
        <r>
          <rPr>
            <sz val="14"/>
            <color rgb="FF000000"/>
            <rFont val="Times New Roman"/>
            <family val="18"/>
          </rPr>
          <t>]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Comp. und ab eodem dato mit auswärtiger Verpflegung</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05/05/1801 </t>
        </r>
        <r>
          <rPr>
            <i/>
            <sz val="14"/>
            <color rgb="FF000000"/>
            <rFont val="Times New Roman"/>
            <family val="18"/>
          </rPr>
          <t>Gegen Renuncierung als Real Invalid mit Abschied entlassen</t>
        </r>
        <r>
          <rPr>
            <sz val="14"/>
            <color rgb="FF000000"/>
            <rFont val="Times New Roman"/>
            <family val="18"/>
          </rPr>
          <t xml:space="preserve"> [ML 1802]</t>
        </r>
        <r>
          <rPr>
            <sz val="14"/>
            <color rgb="FF000000"/>
            <rFont val="Calibri"/>
            <family val="2"/>
          </rPr>
          <t xml:space="preserve"> </t>
        </r>
      </text>
    </comment>
    <comment ref="BG542" authorId="0" shapeId="0" xr:uid="{C79C28A7-0075-8E44-8427-E8E0FC27C2CB}">
      <text>
        <r>
          <rPr>
            <sz val="14"/>
            <color rgb="FF000000"/>
            <rFont val="Times New Roman"/>
            <family val="18"/>
          </rPr>
          <t>ML 10.124 IR 23 (1802) – Reserve Division Abgang (Krems 09/09/1802)</t>
        </r>
        <r>
          <rPr>
            <sz val="14"/>
            <color rgb="FF000000"/>
            <rFont val="Calibri"/>
            <family val="34"/>
          </rPr>
          <t xml:space="preserve">
</t>
        </r>
        <r>
          <rPr>
            <sz val="14"/>
            <color rgb="FF000000"/>
            <rFont val="Times New Roman"/>
            <family val="18"/>
          </rPr>
          <t>ML 10.125 IR 23 (1799) – ST Aug (22/10/1800), Sept (01/04/1801), Oct (06/04/1801)</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H542" authorId="0" shapeId="0" xr:uid="{D51B8FFA-5B8A-0542-9C69-D4E968E93FEC}">
      <text>
        <r>
          <rPr>
            <sz val="14"/>
            <color rgb="FF000000"/>
            <rFont val="Calibri"/>
            <family val="34"/>
          </rPr>
          <t>IR 23 (1799-1801)</t>
        </r>
      </text>
    </comment>
    <comment ref="I543" authorId="0" shapeId="0" xr:uid="{A156F6AC-3716-F44F-8725-F9AAC8BF548B}">
      <text>
        <r>
          <rPr>
            <sz val="14"/>
            <color rgb="FF000000"/>
            <rFont val="Calibri"/>
            <family val="34"/>
          </rPr>
          <t xml:space="preserve">1745 [54 (1799)] 
</t>
        </r>
        <r>
          <rPr>
            <sz val="14"/>
            <color rgb="FF000000"/>
            <rFont val="Calibri"/>
            <family val="34"/>
          </rPr>
          <t xml:space="preserve">OR 
</t>
        </r>
        <r>
          <rPr>
            <sz val="14"/>
            <color rgb="FF000000"/>
            <rFont val="Calibri"/>
            <family val="34"/>
          </rPr>
          <t>1769 [30 (1799)]</t>
        </r>
      </text>
    </comment>
    <comment ref="BF543" authorId="0" shapeId="0" xr:uid="{5070D34D-B32C-B244-A20E-48B8D536BBBC}">
      <text>
        <r>
          <rPr>
            <sz val="14"/>
            <color rgb="FF000000"/>
            <rFont val="Times New Roman"/>
            <family val="18"/>
          </rPr>
          <t xml:space="preserve">06/07/1799 </t>
        </r>
        <r>
          <rPr>
            <i/>
            <sz val="14"/>
            <color rgb="FF000000"/>
            <rFont val="Times New Roman"/>
            <family val="18"/>
          </rPr>
          <t>Zu Jozefov a 3Fl Handgeld gestellt</t>
        </r>
        <r>
          <rPr>
            <sz val="14"/>
            <color rgb="FF000000"/>
            <rFont val="Times New Roman"/>
            <family val="18"/>
          </rPr>
          <t xml:space="preserve"> [TL Sept 1799]</t>
        </r>
        <r>
          <rPr>
            <sz val="14"/>
            <color rgb="FF000000"/>
            <rFont val="Calibri"/>
            <family val="34"/>
          </rPr>
          <t xml:space="preserve">
</t>
        </r>
        <r>
          <rPr>
            <sz val="14"/>
            <color rgb="FF000000"/>
            <rFont val="Times New Roman"/>
            <family val="18"/>
          </rPr>
          <t xml:space="preserve">07/08/1799 </t>
        </r>
        <r>
          <rPr>
            <i/>
            <sz val="14"/>
            <color rgb="FF000000"/>
            <rFont val="Times New Roman"/>
            <family val="18"/>
          </rPr>
          <t>Superarbietriert</t>
        </r>
        <r>
          <rPr>
            <sz val="14"/>
            <color rgb="FF000000"/>
            <rFont val="Calibri"/>
            <family val="34"/>
          </rPr>
          <t xml:space="preserve">
</t>
        </r>
        <r>
          <rPr>
            <sz val="14"/>
            <color rgb="FF000000"/>
            <rFont val="Times New Roman"/>
            <family val="18"/>
          </rPr>
          <t xml:space="preserve">10/08/1799 </t>
        </r>
        <r>
          <rPr>
            <i/>
            <sz val="14"/>
            <color rgb="FF000000"/>
            <rFont val="Times New Roman"/>
            <family val="18"/>
          </rPr>
          <t>Zu MFWK trasnferiert</t>
        </r>
        <r>
          <rPr>
            <sz val="14"/>
            <color rgb="FF000000"/>
            <rFont val="Times New Roman"/>
            <family val="18"/>
          </rPr>
          <t xml:space="preserve"> [TL Sept 1799]</t>
        </r>
        <r>
          <rPr>
            <sz val="14"/>
            <color rgb="FF000000"/>
            <rFont val="Calibri"/>
            <family val="34"/>
          </rPr>
          <t xml:space="preserve">
</t>
        </r>
      </text>
    </comment>
    <comment ref="BG543" authorId="0" shapeId="0" xr:uid="{0E698732-9BEE-D046-A92A-439A3A50AB3A}">
      <text>
        <r>
          <rPr>
            <sz val="14"/>
            <color rgb="FF000000"/>
            <rFont val="Times New Roman"/>
            <family val="18"/>
          </rPr>
          <t>ML 10.308 IR 43 (1799) – SUP Nr. 2 (Krakow 07/08/1799), TL IR 43-&gt; MFWK Nr. 3 (Laibach 01/09/1799)</t>
        </r>
      </text>
    </comment>
    <comment ref="BH543" authorId="0" shapeId="0" xr:uid="{49CA72CC-21D5-6A4E-9B4F-C633C5825AFF}">
      <text>
        <r>
          <rPr>
            <sz val="14"/>
            <color rgb="FF000000"/>
            <rFont val="Calibri"/>
            <family val="34"/>
          </rPr>
          <t xml:space="preserve">IR 43 (1799)
</t>
        </r>
        <r>
          <rPr>
            <sz val="14"/>
            <color rgb="FF000000"/>
            <rFont val="Calibri"/>
            <family val="34"/>
          </rPr>
          <t xml:space="preserve">MFWK (1799)
</t>
        </r>
      </text>
    </comment>
    <comment ref="BJ543" authorId="0" shapeId="0" xr:uid="{E49C572B-26E4-EB40-9C03-12C4465D1287}">
      <text>
        <r>
          <rPr>
            <i/>
            <sz val="14"/>
            <color rgb="FF000000"/>
            <rFont val="Times New Roman"/>
            <family val="18"/>
          </rPr>
          <t xml:space="preserve">Der Zeugefinger der Linken ganz estropiert </t>
        </r>
        <r>
          <rPr>
            <sz val="14"/>
            <color rgb="FF000000"/>
            <rFont val="Times New Roman"/>
            <family val="18"/>
          </rPr>
          <t>[SUP Aug 1799]</t>
        </r>
      </text>
    </comment>
    <comment ref="K544" authorId="0" shapeId="0" xr:uid="{0A6B4AED-530B-A241-946F-5529066A2D78}">
      <text>
        <r>
          <rPr>
            <sz val="14"/>
            <color rgb="FF000000"/>
            <rFont val="Calibri"/>
            <family val="34"/>
          </rPr>
          <t xml:space="preserve">Ohne (1802)
</t>
        </r>
        <r>
          <rPr>
            <sz val="14"/>
            <color rgb="FF000000"/>
            <rFont val="Calibri"/>
            <family val="34"/>
          </rPr>
          <t>Schneider  (1818-1820)</t>
        </r>
      </text>
    </comment>
    <comment ref="BF544" authorId="0" shapeId="0" xr:uid="{BABCFADB-46E4-6F44-97B8-FCF5AE7BD771}">
      <text>
        <r>
          <rPr>
            <sz val="14"/>
            <color rgb="FF000000"/>
            <rFont val="Times New Roman"/>
            <family val="18"/>
          </rPr>
          <t xml:space="preserve">07/07/1799 </t>
        </r>
        <r>
          <rPr>
            <i/>
            <sz val="14"/>
            <color rgb="FF000000"/>
            <rFont val="Times New Roman"/>
            <family val="18"/>
          </rPr>
          <t>Zu Kielce von galizischen Ständen gestellt und a 3Fl für Beständig zum IR 23 Reserve Division assentiert; seitdem auf anhero Marsch</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 xml:space="preserve">10/09/1799 </t>
        </r>
        <r>
          <rPr>
            <i/>
            <sz val="14"/>
            <color rgb="FF000000"/>
            <rFont val="Times New Roman"/>
            <family val="18"/>
          </rPr>
          <t>In die Reserve Division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Haupt Barbarawa Komp. und ab eodem dato mit auswärtiger Verpflegung in Marsch von der Reserve Division</t>
        </r>
        <r>
          <rPr>
            <sz val="14"/>
            <color rgb="FF000000"/>
            <rFont val="Times New Roman"/>
            <family val="18"/>
          </rPr>
          <t xml:space="preserve"> [ST October 1799]</t>
        </r>
        <r>
          <rPr>
            <sz val="14"/>
            <color rgb="FF000000"/>
            <rFont val="Calibri"/>
            <family val="34"/>
          </rPr>
          <t xml:space="preserve">
</t>
        </r>
        <r>
          <rPr>
            <sz val="14"/>
            <color rgb="FF000000"/>
            <rFont val="Times New Roman"/>
            <family val="18"/>
          </rPr>
          <t>09/09/1802 Muster: IR 23 Haupt Hochegg Komp. Nr. 84</t>
        </r>
        <r>
          <rPr>
            <sz val="14"/>
            <color rgb="FF000000"/>
            <rFont val="Calibri"/>
            <family val="34"/>
          </rPr>
          <t xml:space="preserve">
</t>
        </r>
        <r>
          <rPr>
            <sz val="14"/>
            <color rgb="FF000000"/>
            <rFont val="Times New Roman"/>
            <family val="18"/>
          </rPr>
          <t xml:space="preserve">19/04/1808 </t>
        </r>
        <r>
          <rPr>
            <i/>
            <sz val="14"/>
            <color rgb="FF000000"/>
            <rFont val="Times New Roman"/>
            <family val="18"/>
          </rPr>
          <t>Gegen 20Fl Auf fernere 10 Jahren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Würzburg Inf Regiment Nr. 23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10. Fus. Komp. Nr. 29 [</t>
        </r>
        <r>
          <rPr>
            <i/>
            <sz val="14"/>
            <color rgb="FF000000"/>
            <rFont val="Times New Roman"/>
            <family val="18"/>
          </rPr>
          <t>Wache</t>
        </r>
        <r>
          <rPr>
            <sz val="14"/>
            <color rgb="FF000000"/>
            <rFont val="Times New Roman"/>
            <family val="18"/>
          </rPr>
          <t>]</t>
        </r>
        <r>
          <rPr>
            <sz val="14"/>
            <color rgb="FF000000"/>
            <rFont val="Calibri"/>
            <family val="34"/>
          </rPr>
          <t xml:space="preserve">
</t>
        </r>
        <r>
          <rPr>
            <sz val="14"/>
            <color rgb="FF000000"/>
            <rFont val="Times New Roman"/>
            <family val="18"/>
          </rPr>
          <t>24/10/1818 Muster: IR 44 10. Fus. Komp. Nr. 30</t>
        </r>
        <r>
          <rPr>
            <sz val="14"/>
            <color rgb="FF000000"/>
            <rFont val="Calibri"/>
            <family val="34"/>
          </rPr>
          <t xml:space="preserve">
</t>
        </r>
        <r>
          <rPr>
            <sz val="14"/>
            <color rgb="FF000000"/>
            <rFont val="Times New Roman"/>
            <family val="18"/>
          </rPr>
          <t xml:space="preserve">02/11/1818 </t>
        </r>
        <r>
          <rPr>
            <i/>
            <sz val="14"/>
            <color rgb="FF000000"/>
            <rFont val="Times New Roman"/>
            <family val="18"/>
          </rPr>
          <t>Gegen 28Fl auf ferner 6 Jahr reengagiert</t>
        </r>
        <r>
          <rPr>
            <sz val="14"/>
            <color rgb="FF000000"/>
            <rFont val="Times New Roman"/>
            <family val="18"/>
          </rPr>
          <t xml:space="preserve"> [ML 1819]</t>
        </r>
        <r>
          <rPr>
            <sz val="14"/>
            <color rgb="FF000000"/>
            <rFont val="Calibri"/>
            <family val="34"/>
          </rPr>
          <t xml:space="preserve">
</t>
        </r>
        <r>
          <rPr>
            <sz val="14"/>
            <color rgb="FF000000"/>
            <rFont val="Times New Roman"/>
            <family val="18"/>
          </rPr>
          <t>18/10/1819 Muster: IR 44 10. Fus. Komp. Nr. 25</t>
        </r>
        <r>
          <rPr>
            <sz val="14"/>
            <color rgb="FF000000"/>
            <rFont val="Calibri"/>
            <family val="34"/>
          </rPr>
          <t xml:space="preserve">
</t>
        </r>
        <r>
          <rPr>
            <sz val="14"/>
            <color rgb="FF000000"/>
            <rFont val="Times New Roman"/>
            <family val="18"/>
          </rPr>
          <t>25/09/1820 Muster: IR 44 10. Fus. Komp. Nr. 24</t>
        </r>
        <r>
          <rPr>
            <sz val="14"/>
            <color rgb="FF000000"/>
            <rFont val="Calibri"/>
            <family val="34"/>
          </rPr>
          <t xml:space="preserve">
</t>
        </r>
      </text>
    </comment>
    <comment ref="BG544" authorId="0" shapeId="0" xr:uid="{A8FB0E50-B4CE-8D42-BE04-A731DBA36E8D}">
      <text>
        <r>
          <rPr>
            <sz val="14"/>
            <color rgb="FF000000"/>
            <rFont val="Times New Roman"/>
            <family val="18"/>
          </rPr>
          <t>ML 10.124 IR 23 (1802) – Haupt Hochegg Komp Nr. 84 (Krems 09/09/1802)</t>
        </r>
        <r>
          <rPr>
            <sz val="14"/>
            <color rgb="FF000000"/>
            <rFont val="Calibri"/>
            <family val="34"/>
          </rPr>
          <t xml:space="preserve">
</t>
        </r>
        <r>
          <rPr>
            <sz val="14"/>
            <color rgb="FF000000"/>
            <rFont val="Times New Roman"/>
            <family val="18"/>
          </rPr>
          <t>ML 10.165 IR 23 (1799) – ST Aug (30/10/1800), Sept (05/04/1801), Oct (10/04/1801)</t>
        </r>
        <r>
          <rPr>
            <sz val="14"/>
            <color rgb="FF000000"/>
            <rFont val="Calibri"/>
            <family val="34"/>
          </rPr>
          <t xml:space="preserve">
</t>
        </r>
        <r>
          <rPr>
            <sz val="14"/>
            <color rgb="FF000000"/>
            <rFont val="Times New Roman"/>
            <family val="18"/>
          </rPr>
          <t>ML 3915/6 IR 44 (1818) – 10. Fus. Komp. Nr. 29 (Pavia 05/01/1818); 10. Fus. Komp. Nr. 30 (Pavia 24/10/1818)</t>
        </r>
        <r>
          <rPr>
            <sz val="14"/>
            <color rgb="FF000000"/>
            <rFont val="Calibri"/>
            <family val="34"/>
          </rPr>
          <t xml:space="preserve">
</t>
        </r>
        <r>
          <rPr>
            <sz val="14"/>
            <color rgb="FF000000"/>
            <rFont val="Times New Roman"/>
            <family val="18"/>
          </rPr>
          <t>ML 3918/9 IR 44 (1819) – 10. Fus. Komp. Nr. 25 (Pavia 18/10/1819)</t>
        </r>
        <r>
          <rPr>
            <sz val="14"/>
            <color rgb="FF000000"/>
            <rFont val="Calibri"/>
            <family val="34"/>
          </rPr>
          <t xml:space="preserve">
</t>
        </r>
        <r>
          <rPr>
            <sz val="14"/>
            <color rgb="FF000000"/>
            <rFont val="Times New Roman"/>
            <family val="18"/>
          </rPr>
          <t>ML 3920 IR 44 (1820) – 10. Fus. Komp. Nr. 24 (Milan 25/09/1820)</t>
        </r>
        <r>
          <rPr>
            <sz val="14"/>
            <color rgb="FF000000"/>
            <rFont val="Calibri"/>
            <family val="34"/>
          </rPr>
          <t xml:space="preserve">
</t>
        </r>
      </text>
    </comment>
    <comment ref="BH544" authorId="0" shapeId="0" xr:uid="{0ACD308D-3403-6B4E-BB63-EB0358EC743B}">
      <text>
        <r>
          <rPr>
            <sz val="14"/>
            <color rgb="FF000000"/>
            <rFont val="Calibri"/>
            <family val="34"/>
          </rPr>
          <t xml:space="preserve">IR 23 (1799-1810)
</t>
        </r>
        <r>
          <rPr>
            <sz val="14"/>
            <color rgb="FF000000"/>
            <rFont val="Calibri"/>
            <family val="34"/>
          </rPr>
          <t>IR 44 (1810-1820)</t>
        </r>
      </text>
    </comment>
    <comment ref="BF545" authorId="0" shapeId="0" xr:uid="{DD8019BF-BEAF-0140-A3BC-D264A478FD2D}">
      <text>
        <r>
          <rPr>
            <sz val="14"/>
            <color rgb="FF000000"/>
            <rFont val="Times New Roman"/>
            <family val="18"/>
          </rPr>
          <t xml:space="preserve">08/07/1799 </t>
        </r>
        <r>
          <rPr>
            <i/>
            <sz val="14"/>
            <color rgb="FF000000"/>
            <rFont val="Times New Roman"/>
            <family val="18"/>
          </rPr>
          <t>Von Ständen gestellt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05/11/1799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 xml:space="preserve">Rekonvalesziert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01/06/1801 </t>
        </r>
        <r>
          <rPr>
            <i/>
            <sz val="14"/>
            <color rgb="FF000000"/>
            <rFont val="Times New Roman"/>
            <family val="18"/>
          </rPr>
          <t xml:space="preserve">Von Reserve Division zum Obrist Comp transferiert </t>
        </r>
        <r>
          <rPr>
            <sz val="14"/>
            <color rgb="FF000000"/>
            <rFont val="Times New Roman"/>
            <family val="18"/>
          </rPr>
          <t>[ST Juni 1801]</t>
        </r>
        <r>
          <rPr>
            <sz val="14"/>
            <color rgb="FF000000"/>
            <rFont val="Calibri"/>
            <family val="34"/>
          </rPr>
          <t xml:space="preserve">
</t>
        </r>
        <r>
          <rPr>
            <sz val="14"/>
            <color rgb="FF000000"/>
            <rFont val="Times New Roman"/>
            <family val="18"/>
          </rPr>
          <t xml:space="preserve">21/01/1802 </t>
        </r>
        <r>
          <rPr>
            <i/>
            <sz val="14"/>
            <color rgb="FF000000"/>
            <rFont val="Times New Roman"/>
            <family val="18"/>
          </rPr>
          <t>Beurlaubt auf bestimmte Zeit</t>
        </r>
        <r>
          <rPr>
            <sz val="14"/>
            <color rgb="FF000000"/>
            <rFont val="Times New Roman"/>
            <family val="18"/>
          </rPr>
          <t xml:space="preserve"> [ST Jan 1802]</t>
        </r>
        <r>
          <rPr>
            <sz val="14"/>
            <color rgb="FF000000"/>
            <rFont val="Calibri"/>
            <family val="34"/>
          </rPr>
          <t xml:space="preserve">
</t>
        </r>
        <r>
          <rPr>
            <sz val="14"/>
            <color rgb="FF000000"/>
            <rFont val="Times New Roman"/>
            <family val="18"/>
          </rPr>
          <t xml:space="preserve">20/02/1802 </t>
        </r>
        <r>
          <rPr>
            <i/>
            <sz val="14"/>
            <color rgb="FF000000"/>
            <rFont val="Times New Roman"/>
            <family val="18"/>
          </rPr>
          <t>Vermög ein Schreibens des Pester Militär Transport Commnado in Auswärtiger Verpflegung gestanden wurde dahero von Seite das Regiments unrecht von 21. Janner a:c: als Beurlaubt geführt, sondern halber ist erst seit 21 Febr. 1802 Wirklich Beurlaubt</t>
        </r>
        <r>
          <rPr>
            <sz val="14"/>
            <color rgb="FF000000"/>
            <rFont val="Times New Roman"/>
            <family val="18"/>
          </rPr>
          <t xml:space="preserve"> [ST March 1802]</t>
        </r>
        <r>
          <rPr>
            <sz val="14"/>
            <color rgb="FF000000"/>
            <rFont val="Calibri"/>
            <family val="34"/>
          </rPr>
          <t xml:space="preserve">
</t>
        </r>
        <r>
          <rPr>
            <sz val="14"/>
            <color rgb="FF000000"/>
            <rFont val="Times New Roman"/>
            <family val="18"/>
          </rPr>
          <t xml:space="preserve">21/02/1802 </t>
        </r>
        <r>
          <rPr>
            <i/>
            <sz val="14"/>
            <color rgb="FF000000"/>
            <rFont val="Times New Roman"/>
            <family val="18"/>
          </rPr>
          <t>Wirklich Beurlaubt</t>
        </r>
        <r>
          <rPr>
            <sz val="14"/>
            <color rgb="FF000000"/>
            <rFont val="Times New Roman"/>
            <family val="18"/>
          </rPr>
          <t xml:space="preserve"> [ST March 1802]</t>
        </r>
        <r>
          <rPr>
            <sz val="14"/>
            <color rgb="FF000000"/>
            <rFont val="Calibri"/>
            <family val="34"/>
          </rPr>
          <t xml:space="preserve">
</t>
        </r>
        <r>
          <rPr>
            <sz val="14"/>
            <color rgb="FF000000"/>
            <rFont val="Times New Roman"/>
            <family val="18"/>
          </rPr>
          <t xml:space="preserve">30/04/1802 </t>
        </r>
        <r>
          <rPr>
            <i/>
            <sz val="14"/>
            <color rgb="FF000000"/>
            <rFont val="Times New Roman"/>
            <family val="18"/>
          </rPr>
          <t>Beurlaubt aus Bestimmte Zeit</t>
        </r>
        <r>
          <rPr>
            <sz val="14"/>
            <color rgb="FF000000"/>
            <rFont val="Times New Roman"/>
            <family val="18"/>
          </rPr>
          <t xml:space="preserve"> [ST April1802]</t>
        </r>
        <r>
          <rPr>
            <sz val="14"/>
            <color rgb="FF000000"/>
            <rFont val="Calibri"/>
            <family val="34"/>
          </rPr>
          <t xml:space="preserve">
</t>
        </r>
        <r>
          <rPr>
            <sz val="14"/>
            <color rgb="FF000000"/>
            <rFont val="Times New Roman"/>
            <family val="18"/>
          </rPr>
          <t>11/09/1802 Musterung: IR 43 Obrist Komp. Nr. 106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unbestimmten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28/09/1803 Muster: IR 43 Obrist Comp. Nr. 88 [</t>
        </r>
        <r>
          <rPr>
            <i/>
            <sz val="14"/>
            <color rgb="FF000000"/>
            <rFont val="Times New Roman"/>
            <family val="18"/>
          </rPr>
          <t>Bis zur Einberufung beurlaubt in Oppal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20/07/1804 </t>
        </r>
        <r>
          <rPr>
            <i/>
            <sz val="14"/>
            <color rgb="FF000000"/>
            <rFont val="Times New Roman"/>
            <family val="18"/>
          </rPr>
          <t>Gegen Stellung 2er Capitulanten Ausländer als Anton Sadovsky undet 13. Mai und Ferdinand Dant imter 11 Juni zu Neugebauer Inf. assentierte Recrouten und Erlag des doppelten Montur Geldes von unbestimmtem Urlaub mit Abschied entlassen</t>
        </r>
        <r>
          <rPr>
            <sz val="14"/>
            <color rgb="FF000000"/>
            <rFont val="Times New Roman"/>
            <family val="18"/>
          </rPr>
          <t xml:space="preserve"> [ST Juli 1804 &amp; ML 1804]</t>
        </r>
        <r>
          <rPr>
            <sz val="14"/>
            <color rgb="FF000000"/>
            <rFont val="Calibri"/>
            <family val="34"/>
          </rPr>
          <t xml:space="preserve">
</t>
        </r>
      </text>
    </comment>
    <comment ref="BG545" authorId="0" shapeId="0" xr:uid="{7AF403B0-A4FB-854F-B66C-DFF8A7055A98}">
      <text>
        <r>
          <rPr>
            <sz val="14"/>
            <color rgb="FF000000"/>
            <rFont val="Times New Roman"/>
            <family val="18"/>
          </rPr>
          <t>ML 10.272 IR 43 (1802) –Obrist Comp. Nr. 106 (Zara 11/09/1802)</t>
        </r>
        <r>
          <rPr>
            <sz val="14"/>
            <color rgb="FF000000"/>
            <rFont val="Calibri"/>
            <family val="34"/>
          </rPr>
          <t xml:space="preserve">
</t>
        </r>
        <r>
          <rPr>
            <sz val="14"/>
            <color rgb="FF000000"/>
            <rFont val="Times New Roman"/>
            <family val="18"/>
          </rPr>
          <t>ML 10.273 IR 43 (1803) –Obrist Comp. Nr. 88 (Zara 28/09/1803)</t>
        </r>
        <r>
          <rPr>
            <sz val="14"/>
            <color rgb="FF000000"/>
            <rFont val="Calibri"/>
            <family val="34"/>
          </rPr>
          <t xml:space="preserve">
</t>
        </r>
        <r>
          <rPr>
            <sz val="14"/>
            <color rgb="FF000000"/>
            <rFont val="Times New Roman"/>
            <family val="18"/>
          </rPr>
          <t>ML 10.274 IR 43 (1804) –Obrist Comp. Abgang (Cattaro 07/10/1804)</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ST Juni (20/06/1805)</t>
        </r>
        <r>
          <rPr>
            <sz val="14"/>
            <color rgb="FF000000"/>
            <rFont val="Calibri"/>
            <family val="34"/>
          </rPr>
          <t xml:space="preserve">
</t>
        </r>
        <r>
          <rPr>
            <sz val="14"/>
            <color rgb="FF000000"/>
            <rFont val="Times New Roman"/>
            <family val="18"/>
          </rPr>
          <t>ML 10.312 IR 43 (1802) – ST Jan (14/02/1802), März (15/04/1802), April (15/11/1802), Nov (15/12/1802)</t>
        </r>
        <r>
          <rPr>
            <sz val="14"/>
            <color rgb="FF000000"/>
            <rFont val="Calibri"/>
            <family val="34"/>
          </rPr>
          <t xml:space="preserve">
</t>
        </r>
        <r>
          <rPr>
            <sz val="14"/>
            <color rgb="FF000000"/>
            <rFont val="Times New Roman"/>
            <family val="18"/>
          </rPr>
          <t>ML 10.314 IR 43 (1804) – ST Juli (15/08/1804)</t>
        </r>
        <r>
          <rPr>
            <sz val="14"/>
            <color rgb="FF000000"/>
            <rFont val="Calibri"/>
            <family val="34"/>
          </rPr>
          <t xml:space="preserve">
</t>
        </r>
      </text>
    </comment>
    <comment ref="BH545" authorId="0" shapeId="0" xr:uid="{533B9223-E501-7B40-B674-EBDC4B3A3F51}">
      <text>
        <r>
          <rPr>
            <sz val="14"/>
            <color rgb="FF000000"/>
            <rFont val="Calibri"/>
            <family val="34"/>
          </rPr>
          <t>IR 43 (1799-1804)</t>
        </r>
      </text>
    </comment>
    <comment ref="I546" authorId="0" shapeId="0" xr:uid="{5DB1131C-0A5E-3243-81EA-78B93150A51C}">
      <text>
        <r>
          <rPr>
            <sz val="14"/>
            <color rgb="FF000000"/>
            <rFont val="Calibri"/>
            <family val="34"/>
          </rPr>
          <t xml:space="preserve">1780 [20 (1800)] 
</t>
        </r>
        <r>
          <rPr>
            <sz val="14"/>
            <color rgb="FF000000"/>
            <rFont val="Calibri"/>
            <family val="34"/>
          </rPr>
          <t xml:space="preserve">OR 
</t>
        </r>
        <r>
          <rPr>
            <sz val="14"/>
            <color rgb="FF000000"/>
            <rFont val="Calibri"/>
            <family val="34"/>
          </rPr>
          <t>1783 [20 (1803)]</t>
        </r>
      </text>
    </comment>
    <comment ref="J546" authorId="0" shapeId="0" xr:uid="{1C900EF2-451D-6048-91E9-757C9F580EAF}">
      <text>
        <r>
          <rPr>
            <sz val="14"/>
            <color rgb="FF000000"/>
            <rFont val="Calibri"/>
            <family val="34"/>
          </rPr>
          <t xml:space="preserve">Ledig (1799-1806)
</t>
        </r>
        <r>
          <rPr>
            <sz val="14"/>
            <color rgb="FF000000"/>
            <rFont val="Calibri"/>
            <family val="34"/>
          </rPr>
          <t>Verheiratet (1806)</t>
        </r>
      </text>
    </comment>
    <comment ref="T546" authorId="0" shapeId="0" xr:uid="{C4AF2294-55B4-074A-A79C-3B580B1260D8}">
      <text>
        <r>
          <rPr>
            <sz val="14"/>
            <color rgb="FF000000"/>
            <rFont val="Calibri"/>
            <family val="34"/>
          </rPr>
          <t xml:space="preserve">5.1.3 (161.29 cm) [TL Feb 1000]
</t>
        </r>
        <r>
          <rPr>
            <sz val="14"/>
            <color rgb="FF000000"/>
            <rFont val="Calibri"/>
            <family val="34"/>
          </rPr>
          <t>5.3 (165.89 cm) [ML 1803]</t>
        </r>
      </text>
    </comment>
    <comment ref="BF546" authorId="0" shapeId="0" xr:uid="{7664700A-95E6-6544-B128-4A86FF65A01E}">
      <text>
        <r>
          <rPr>
            <sz val="14"/>
            <color rgb="FFFF0000"/>
            <rFont val="Times New Roman"/>
            <family val="18"/>
          </rPr>
          <t xml:space="preserve">01/0??/07/1799 </t>
        </r>
        <r>
          <rPr>
            <i/>
            <sz val="14"/>
            <color rgb="FFFF0000"/>
            <rFont val="Times New Roman"/>
            <family val="18"/>
          </rPr>
          <t>In July 1799 auf Beständig gegen 3Fl assentiert</t>
        </r>
        <r>
          <rPr>
            <sz val="14"/>
            <color rgb="FFFF0000"/>
            <rFont val="Times New Roman"/>
            <family val="18"/>
          </rPr>
          <t xml:space="preserve"> [TL Aug 1802]</t>
        </r>
        <r>
          <rPr>
            <sz val="14"/>
            <color rgb="FF000000"/>
            <rFont val="Calibri"/>
            <family val="34"/>
          </rPr>
          <t xml:space="preserve">
</t>
        </r>
        <r>
          <rPr>
            <sz val="14"/>
            <color rgb="FFFF0000"/>
            <rFont val="Times New Roman"/>
            <family val="18"/>
          </rPr>
          <t>01/07/1799</t>
        </r>
        <r>
          <rPr>
            <i/>
            <sz val="14"/>
            <color rgb="FFFF0000"/>
            <rFont val="Times New Roman"/>
            <family val="18"/>
          </rPr>
          <t xml:space="preserve"> Als ständische Recrout a 3Fl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08/07/1799 </t>
        </r>
        <r>
          <rPr>
            <i/>
            <sz val="14"/>
            <color rgb="FF000000"/>
            <rFont val="Times New Roman"/>
            <family val="18"/>
          </rPr>
          <t>Gegen 3Fl Handgeld auf Beständig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Geistler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18/05/1800 </t>
        </r>
        <r>
          <rPr>
            <i/>
            <sz val="14"/>
            <color rgb="FF000000"/>
            <rFont val="Times New Roman"/>
            <family val="18"/>
          </rPr>
          <t>Krank auswärts mit Kriegsgebühr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july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[ST Aug 1802 &amp; TL Aug 1802]</t>
        </r>
        <r>
          <rPr>
            <sz val="14"/>
            <color rgb="FF000000"/>
            <rFont val="Calibri"/>
            <family val="34"/>
          </rPr>
          <t xml:space="preserve">
</t>
        </r>
        <r>
          <rPr>
            <sz val="14"/>
            <color rgb="FF000000"/>
            <rFont val="Times New Roman"/>
            <family val="18"/>
          </rPr>
          <t>19/09/1803 Muster: IR 44 Haupt Assandri Nr. 92 [</t>
        </r>
        <r>
          <rPr>
            <i/>
            <sz val="14"/>
            <color rgb="FF000000"/>
            <rFont val="Times New Roman"/>
            <family val="18"/>
          </rPr>
          <t>Auf unbestimmte Zeit beurlaubt zu Josephov in Neu Gallizien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Nr. 87 [</t>
        </r>
        <r>
          <rPr>
            <i/>
            <sz val="14"/>
            <color rgb="FF000000"/>
            <rFont val="Times New Roman"/>
            <family val="18"/>
          </rPr>
          <t>Beurlaubt in Josephow Josephower Kreis in West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57</t>
        </r>
        <r>
          <rPr>
            <sz val="14"/>
            <color rgb="FF000000"/>
            <rFont val="Calibri"/>
            <family val="34"/>
          </rPr>
          <t xml:space="preserve">
</t>
        </r>
        <r>
          <rPr>
            <sz val="14"/>
            <color rgb="FF000000"/>
            <rFont val="Times New Roman"/>
            <family val="18"/>
          </rPr>
          <t>19/09/1808 Muster: IR 44 Haupt Liebler Nr. 42 [</t>
        </r>
        <r>
          <rPr>
            <i/>
            <sz val="14"/>
            <color rgb="FF000000"/>
            <rFont val="Times New Roman"/>
            <family val="18"/>
          </rPr>
          <t>Auf Conscription in Sambor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 xml:space="preserve">Von 4. zum 15.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17. Fus. zum.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01/05/1809 </t>
        </r>
        <r>
          <rPr>
            <i/>
            <sz val="14"/>
            <color rgb="FF000000"/>
            <rFont val="Times New Roman"/>
            <family val="18"/>
          </rPr>
          <t xml:space="preserve">Krank in Aufnahme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Rekonvalesziert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06/07/1809 </t>
        </r>
        <r>
          <rPr>
            <i/>
            <sz val="14"/>
            <color rgb="FF000000"/>
            <rFont val="Times New Roman"/>
            <family val="18"/>
          </rPr>
          <t xml:space="preserve">bey der zu Enzersdorf vorgefallene feindliche AFFAIRE in die französier Kriegsgefangenschaft gefallen </t>
        </r>
        <r>
          <rPr>
            <sz val="14"/>
            <color rgb="FF000000"/>
            <rFont val="Times New Roman"/>
            <family val="18"/>
          </rPr>
          <t>[ST July 1809]</t>
        </r>
        <r>
          <rPr>
            <sz val="14"/>
            <color rgb="FF000000"/>
            <rFont val="Calibri"/>
            <family val="34"/>
          </rPr>
          <t xml:space="preserve">
</t>
        </r>
      </text>
    </comment>
    <comment ref="BG546" authorId="0" shapeId="0" xr:uid="{78FD5791-A640-AD43-8DCC-23066A5410FB}">
      <text>
        <r>
          <rPr>
            <sz val="14"/>
            <color rgb="FF000000"/>
            <rFont val="Times New Roman"/>
            <family val="18"/>
          </rPr>
          <t>ML 10.309 IR 43 (1800) – ST Feb (06/04/1801), April (24/01/1802), Mai (?), Juli (24/10/1803)</t>
        </r>
        <r>
          <rPr>
            <sz val="14"/>
            <color rgb="FF000000"/>
            <rFont val="Calibri"/>
            <family val="34"/>
          </rPr>
          <t xml:space="preserve">
</t>
        </r>
        <r>
          <rPr>
            <sz val="14"/>
            <color rgb="FF000000"/>
            <rFont val="Times New Roman"/>
            <family val="18"/>
          </rPr>
          <t>ML 10.310 IR 43 (1800) – TL IR 43 Res. Div.-&gt; Feld Bats. Nr. 24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91 (Venice 19/09/1803)</t>
        </r>
        <r>
          <rPr>
            <sz val="14"/>
            <color rgb="FF000000"/>
            <rFont val="Calibri"/>
            <family val="34"/>
          </rPr>
          <t xml:space="preserve">
</t>
        </r>
        <r>
          <rPr>
            <sz val="14"/>
            <color rgb="FF000000"/>
            <rFont val="Times New Roman"/>
            <family val="18"/>
          </rPr>
          <t>ML 3909 IR 44 (1804) – Haupt Assandri Komp. Nr. 87 (Vicenza 12/05/1804)</t>
        </r>
        <r>
          <rPr>
            <sz val="14"/>
            <color rgb="FF000000"/>
            <rFont val="Calibri"/>
            <family val="34"/>
          </rPr>
          <t xml:space="preserve">
</t>
        </r>
        <r>
          <rPr>
            <sz val="14"/>
            <color rgb="FF000000"/>
            <rFont val="Times New Roman"/>
            <family val="18"/>
          </rPr>
          <t>ML 3910 IR 44 (1806) – Haupt. Liebler Nr. 57 (Fiume 10/12/1806)</t>
        </r>
        <r>
          <rPr>
            <sz val="14"/>
            <color rgb="FF000000"/>
            <rFont val="Calibri"/>
            <family val="34"/>
          </rPr>
          <t xml:space="preserve">
</t>
        </r>
        <r>
          <rPr>
            <sz val="14"/>
            <color rgb="FF000000"/>
            <rFont val="Times New Roman"/>
            <family val="18"/>
          </rPr>
          <t>ML 3911 IR 44 (1808-10) – RL Haupt Liebler [4. Fus.] Komp. Nr. 42 (Comorn 19/09/1808)</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3946 IR 44 (1802) – AL IR 43-&gt; IR 43 Nr. 85 (Zara 14/08/1802)</t>
        </r>
        <r>
          <rPr>
            <sz val="14"/>
            <color rgb="FF000000"/>
            <rFont val="Calibri"/>
            <family val="34"/>
          </rPr>
          <t xml:space="preserve">
</t>
        </r>
        <r>
          <rPr>
            <sz val="14"/>
            <color rgb="FF000000"/>
            <rFont val="Times New Roman"/>
            <family val="18"/>
          </rPr>
          <t>ML 3960 IR 44 (1809) –May (Ofen 08/04/1811), Juli (Ofen 08/04/1811)</t>
        </r>
        <r>
          <rPr>
            <sz val="14"/>
            <color rgb="FF000000"/>
            <rFont val="Calibri"/>
            <family val="34"/>
          </rPr>
          <t xml:space="preserve">
</t>
        </r>
      </text>
    </comment>
    <comment ref="BH546" authorId="0" shapeId="0" xr:uid="{AF9E76ED-DD3E-F046-90B7-B2123BF8DCE4}">
      <text>
        <r>
          <rPr>
            <sz val="14"/>
            <color rgb="FF000000"/>
            <rFont val="Calibri"/>
            <family val="34"/>
          </rPr>
          <t xml:space="preserve">IR 43 (1799-1802)
</t>
        </r>
        <r>
          <rPr>
            <sz val="14"/>
            <color rgb="FF000000"/>
            <rFont val="Calibri"/>
            <family val="34"/>
          </rPr>
          <t>IR 44 (1802-1809)</t>
        </r>
      </text>
    </comment>
    <comment ref="BI546" authorId="0" shapeId="0" xr:uid="{F1CAD67C-7FAE-4045-81EA-A469B6E90CAC}">
      <text>
        <r>
          <rPr>
            <sz val="14"/>
            <color rgb="FF000000"/>
            <rFont val="Calibri"/>
            <family val="34"/>
          </rPr>
          <t>Gut [TL Aug 1802]</t>
        </r>
      </text>
    </comment>
    <comment ref="BF547" authorId="0" shapeId="0" xr:uid="{54C12ED6-D501-9045-AA1A-CECC0B4C68DD}">
      <text>
        <r>
          <rPr>
            <sz val="14"/>
            <color rgb="FF000000"/>
            <rFont val="Times New Roman"/>
            <family val="18"/>
          </rPr>
          <t xml:space="preserve">12/07/1799 </t>
        </r>
        <r>
          <rPr>
            <i/>
            <sz val="14"/>
            <color rgb="FF000000"/>
            <rFont val="Times New Roman"/>
            <family val="18"/>
          </rPr>
          <t>A 3Fl Handgeld für Beständig zu Kielce in West Galizien gestellt und zum Ir 23 Reserve Division assentiert, seitdem auf anhero Marsch</t>
        </r>
        <r>
          <rPr>
            <sz val="14"/>
            <color rgb="FF000000"/>
            <rFont val="Times New Roman"/>
            <family val="18"/>
          </rPr>
          <t xml:space="preserve"> [ST Aug 1799 &amp; ML 1802]</t>
        </r>
        <r>
          <rPr>
            <sz val="14"/>
            <color rgb="FF000000"/>
            <rFont val="Calibri"/>
            <family val="34"/>
          </rPr>
          <t xml:space="preserve">
</t>
        </r>
        <r>
          <rPr>
            <sz val="14"/>
            <color rgb="FF000000"/>
            <rFont val="Times New Roman"/>
            <family val="18"/>
          </rPr>
          <t xml:space="preserve">10/09/1799 </t>
        </r>
        <r>
          <rPr>
            <i/>
            <sz val="14"/>
            <color rgb="FF000000"/>
            <rFont val="Times New Roman"/>
            <family val="18"/>
          </rPr>
          <t>Ankunft in der Reserve Division</t>
        </r>
        <r>
          <rPr>
            <sz val="14"/>
            <color rgb="FF000000"/>
            <rFont val="Times New Roman"/>
            <family val="18"/>
          </rPr>
          <t xml:space="preserve"> [</t>
        </r>
        <r>
          <rPr>
            <i/>
            <sz val="14"/>
            <color rgb="FF000000"/>
            <rFont val="Times New Roman"/>
            <family val="18"/>
          </rPr>
          <t>von vorhin bis 10. Sept. ist eingeruckt und seit 11. mit Geld und brot und seit 9. Sept mit Service in loco</t>
        </r>
        <r>
          <rPr>
            <sz val="14"/>
            <color rgb="FF000000"/>
            <rFont val="Times New Roman"/>
            <family val="18"/>
          </rPr>
          <t>]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Haupt Balbus Komp. transferiert und ab eodem dato mit auswärtiger Verpflegung auf 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 xml:space="preserve">[Battle of Marengo] </t>
        </r>
        <r>
          <rPr>
            <sz val="14"/>
            <color rgb="FF000000"/>
            <rFont val="Times New Roman"/>
            <family val="18"/>
          </rPr>
          <t>[ML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Gegen Austausch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Wagner Nr. 117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Wagner Nr. 102</t>
        </r>
        <r>
          <rPr>
            <sz val="14"/>
            <color rgb="FF000000"/>
            <rFont val="Calibri"/>
            <family val="34"/>
          </rPr>
          <t xml:space="preserve">
</t>
        </r>
        <r>
          <rPr>
            <sz val="14"/>
            <color rgb="FF000000"/>
            <rFont val="Times New Roman"/>
            <family val="18"/>
          </rPr>
          <t>13/09/1804 Muster: IR 23 Haupt Wagner Nr. 97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t>
        </r>
        <r>
          <rPr>
            <sz val="14"/>
            <color rgb="FF000000"/>
            <rFont val="Calibri"/>
            <family val="34"/>
          </rPr>
          <t xml:space="preserve">
</t>
        </r>
      </text>
    </comment>
    <comment ref="BG547" authorId="0" shapeId="0" xr:uid="{4F4D2D26-C2A7-E747-8BC8-1FFCE2613A17}">
      <text>
        <r>
          <rPr>
            <sz val="14"/>
            <color rgb="FF000000"/>
            <rFont val="Times New Roman"/>
            <family val="18"/>
          </rPr>
          <t>ML 10.124 IR 23 (1802) – Haupt Böhm Komp. Nr. 85 (Krems 09/09/1802)</t>
        </r>
        <r>
          <rPr>
            <sz val="14"/>
            <color rgb="FF000000"/>
            <rFont val="Calibri"/>
            <family val="34"/>
          </rPr>
          <t xml:space="preserve">
</t>
        </r>
        <r>
          <rPr>
            <sz val="14"/>
            <color rgb="FF000000"/>
            <rFont val="Times New Roman"/>
            <family val="18"/>
          </rPr>
          <t>ML 10.125 IR 23 (1803) – Haupt Böhm Komp. Nr. 77 (Execierlager bei St Pölten 07/09/1803)</t>
        </r>
        <r>
          <rPr>
            <sz val="14"/>
            <color rgb="FF000000"/>
            <rFont val="Calibri"/>
            <family val="34"/>
          </rPr>
          <t xml:space="preserve">
</t>
        </r>
        <r>
          <rPr>
            <sz val="14"/>
            <color rgb="FF000000"/>
            <rFont val="Times New Roman"/>
            <family val="18"/>
          </rPr>
          <t>ML 10.126 IR 23 (1804) – Haupt Böhm Komp. Nr. 69 (Vienna 13/09/1804)</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547" authorId="0" shapeId="0" xr:uid="{EFFB340D-2897-5449-A253-FC08B7B343CD}">
      <text>
        <r>
          <rPr>
            <sz val="14"/>
            <color rgb="FF000000"/>
            <rFont val="Calibri"/>
            <family val="34"/>
          </rPr>
          <t>IR 23 (1799-1806)</t>
        </r>
      </text>
    </comment>
    <comment ref="T548" authorId="0" shapeId="0" xr:uid="{BE4612C2-419B-1040-AD30-061B6736F09A}">
      <text>
        <r>
          <rPr>
            <b/>
            <sz val="14"/>
            <color rgb="FF000000"/>
            <rFont val="Calibri"/>
            <family val="34"/>
          </rPr>
          <t xml:space="preserve">5.3.1 [166.11 cm (ML 1803)]
</t>
        </r>
        <r>
          <rPr>
            <sz val="14"/>
            <color rgb="FF000000"/>
            <rFont val="Calibri"/>
            <family val="34"/>
          </rPr>
          <t>5.5.1 [171.37 cm (TL 1804]</t>
        </r>
      </text>
    </comment>
    <comment ref="BF548" authorId="0" shapeId="0" xr:uid="{0BCFA4B8-95B2-8A4B-90CB-593F1008DE5C}">
      <text>
        <r>
          <rPr>
            <sz val="14"/>
            <color rgb="FFFF0000"/>
            <rFont val="Times New Roman"/>
            <family val="18"/>
          </rPr>
          <t xml:space="preserve">10/07/1798 </t>
        </r>
        <r>
          <rPr>
            <i/>
            <sz val="14"/>
            <color rgb="FFFF0000"/>
            <rFont val="Times New Roman"/>
            <family val="18"/>
          </rPr>
          <t>A 3Fl Handgeld zu Krakau assentiert</t>
        </r>
        <r>
          <rPr>
            <sz val="14"/>
            <color rgb="FFFF0000"/>
            <rFont val="Times New Roman"/>
            <family val="18"/>
          </rPr>
          <t xml:space="preserve"> [ML 1803]</t>
        </r>
        <r>
          <rPr>
            <sz val="14"/>
            <color rgb="FF000000"/>
            <rFont val="Calibri"/>
            <family val="34"/>
          </rPr>
          <t xml:space="preserve">
</t>
        </r>
        <r>
          <rPr>
            <sz val="14"/>
            <color rgb="FF000000"/>
            <rFont val="Times New Roman"/>
            <family val="18"/>
          </rPr>
          <t xml:space="preserve">10/07/1799 </t>
        </r>
        <r>
          <rPr>
            <i/>
            <sz val="14"/>
            <color rgb="FF000000"/>
            <rFont val="Times New Roman"/>
            <family val="18"/>
          </rPr>
          <t>A 3Fl Handgeld zu Krakau assentiert</t>
        </r>
        <r>
          <rPr>
            <sz val="14"/>
            <color rgb="FF000000"/>
            <rFont val="Times New Roman"/>
            <family val="18"/>
          </rPr>
          <t xml:space="preserve"> [TL Oct 1804]</t>
        </r>
        <r>
          <rPr>
            <sz val="14"/>
            <color rgb="FF000000"/>
            <rFont val="Calibri"/>
            <family val="34"/>
          </rPr>
          <t xml:space="preserve">
</t>
        </r>
        <r>
          <rPr>
            <sz val="14"/>
            <color rgb="FF000000"/>
            <rFont val="Times New Roman"/>
            <family val="18"/>
          </rPr>
          <t>14/09/1803 Muster: IR 4 Obrist Komp. Nr. 44</t>
        </r>
        <r>
          <rPr>
            <sz val="14"/>
            <color rgb="FF000000"/>
            <rFont val="Calibri"/>
            <family val="34"/>
          </rPr>
          <t xml:space="preserve">
</t>
        </r>
        <r>
          <rPr>
            <sz val="14"/>
            <color rgb="FF000000"/>
            <rFont val="Times New Roman"/>
            <family val="18"/>
          </rPr>
          <t xml:space="preserve">21/12/1803 </t>
        </r>
        <r>
          <rPr>
            <i/>
            <sz val="14"/>
            <color rgb="FF000000"/>
            <rFont val="Times New Roman"/>
            <family val="18"/>
          </rPr>
          <t>Beurlaubt bis zur Einberufung</t>
        </r>
        <r>
          <rPr>
            <sz val="14"/>
            <color rgb="FF000000"/>
            <rFont val="Times New Roman"/>
            <family val="18"/>
          </rPr>
          <t xml:space="preserve"> [TL Oct 1804]</t>
        </r>
        <r>
          <rPr>
            <sz val="14"/>
            <color rgb="FF000000"/>
            <rFont val="Calibri"/>
            <family val="34"/>
          </rPr>
          <t xml:space="preserve">
</t>
        </r>
        <r>
          <rPr>
            <sz val="14"/>
            <color rgb="FF000000"/>
            <rFont val="Times New Roman"/>
            <family val="18"/>
          </rPr>
          <t xml:space="preserve">31/10/1804 </t>
        </r>
        <r>
          <rPr>
            <i/>
            <sz val="14"/>
            <color rgb="FF000000"/>
            <rFont val="Times New Roman"/>
            <family val="18"/>
          </rPr>
          <t>Von IR 4 Obrist Komp zum IR 38 Württemberg transferiert</t>
        </r>
        <r>
          <rPr>
            <sz val="14"/>
            <color rgb="FF000000"/>
            <rFont val="Times New Roman"/>
            <family val="18"/>
          </rPr>
          <t xml:space="preserve"> [TL Oct 1804]</t>
        </r>
        <r>
          <rPr>
            <sz val="14"/>
            <color rgb="FF000000"/>
            <rFont val="Calibri"/>
            <family val="34"/>
          </rPr>
          <t xml:space="preserve">
</t>
        </r>
      </text>
    </comment>
    <comment ref="BG548" authorId="0" shapeId="0" xr:uid="{6A802ED7-6B4D-F445-8AD5-7898670C1E6A}">
      <text>
        <r>
          <rPr>
            <sz val="14"/>
            <color rgb="FF000000"/>
            <rFont val="Times New Roman"/>
            <family val="18"/>
          </rPr>
          <t>ML 348 IR 4 (1803) – Obrist Komp. Nr. 44 (Vienna 14/09/1803)</t>
        </r>
        <r>
          <rPr>
            <sz val="14"/>
            <color rgb="FF000000"/>
            <rFont val="Calibri"/>
            <family val="34"/>
          </rPr>
          <t xml:space="preserve">
</t>
        </r>
        <r>
          <rPr>
            <sz val="14"/>
            <color rgb="FF000000"/>
            <rFont val="Times New Roman"/>
            <family val="18"/>
          </rPr>
          <t>ML 349/50 IR 4 (1806) – 10. Fus. Komp. Abgang (Haimburg 27/12/1806)</t>
        </r>
        <r>
          <rPr>
            <sz val="14"/>
            <color rgb="FF000000"/>
            <rFont val="Calibri"/>
            <family val="34"/>
          </rPr>
          <t xml:space="preserve">
</t>
        </r>
        <r>
          <rPr>
            <sz val="14"/>
            <color rgb="FF000000"/>
            <rFont val="Times New Roman"/>
            <family val="18"/>
          </rPr>
          <t>ML 384 IR 4 (1804) AL/TL – TL IR 4-&gt;IR 38 Nr. 1 (Vienna 31/10/1804)</t>
        </r>
        <r>
          <rPr>
            <sz val="14"/>
            <color rgb="FF000000"/>
            <rFont val="Calibri"/>
            <family val="34"/>
          </rPr>
          <t xml:space="preserve">
</t>
        </r>
      </text>
    </comment>
    <comment ref="BH548" authorId="0" shapeId="0" xr:uid="{E57CA89D-BFF1-474B-BF92-8E29A3C16455}">
      <text>
        <r>
          <rPr>
            <sz val="14"/>
            <color rgb="FF000000"/>
            <rFont val="Calibri"/>
            <family val="34"/>
          </rPr>
          <t xml:space="preserve">IR 4 (1799-1804)
</t>
        </r>
        <r>
          <rPr>
            <sz val="14"/>
            <color rgb="FF000000"/>
            <rFont val="Calibri"/>
            <family val="34"/>
          </rPr>
          <t xml:space="preserve">IR 38 (1804)
</t>
        </r>
      </text>
    </comment>
    <comment ref="BI548" authorId="0" shapeId="0" xr:uid="{0904CE21-BB33-9841-9D7B-DC34E7B141AE}">
      <text>
        <r>
          <rPr>
            <i/>
            <sz val="14"/>
            <color rgb="FF000000"/>
            <rFont val="Times New Roman"/>
            <family val="18"/>
          </rPr>
          <t>Jetzt unbewusst sonst Gute</t>
        </r>
        <r>
          <rPr>
            <sz val="14"/>
            <color rgb="FF000000"/>
            <rFont val="Times New Roman"/>
            <family val="18"/>
          </rPr>
          <t xml:space="preserve"> [TL Oct 1804]
</t>
        </r>
      </text>
    </comment>
    <comment ref="O549" authorId="0" shapeId="0" xr:uid="{C2658C99-F4CD-C041-9947-8A0BEEF78A20}">
      <text>
        <r>
          <rPr>
            <sz val="14"/>
            <color rgb="FF000000"/>
            <rFont val="Times New Roman"/>
            <family val="18"/>
          </rPr>
          <t>Mendelowitz (1800)</t>
        </r>
      </text>
    </comment>
    <comment ref="P549" authorId="0" shapeId="0" xr:uid="{4BB7874D-B33F-964B-A3A9-27580FE423E2}">
      <text>
        <r>
          <rPr>
            <sz val="14"/>
            <color rgb="FF000000"/>
            <rFont val="Times New Roman"/>
            <family val="18"/>
          </rPr>
          <t>Esther (1797)</t>
        </r>
      </text>
    </comment>
    <comment ref="T549" authorId="0" shapeId="0" xr:uid="{F684444D-F5AF-C543-B088-145E41E47ABF}">
      <text>
        <r>
          <rPr>
            <b/>
            <sz val="14"/>
            <color rgb="FF000000"/>
            <rFont val="Calibri"/>
            <family val="34"/>
          </rPr>
          <t xml:space="preserve">5.2 [163.26 cm (ML 1806)]
</t>
        </r>
        <r>
          <rPr>
            <sz val="14"/>
            <color rgb="FF000000"/>
            <rFont val="Calibri"/>
            <family val="34"/>
          </rPr>
          <t xml:space="preserve">5.2.2 [163.7 cm (ML 1811)]
</t>
        </r>
        <r>
          <rPr>
            <sz val="14"/>
            <color rgb="FF000000"/>
            <rFont val="Calibri"/>
            <family val="34"/>
          </rPr>
          <t>5.3.1 [166.11 cm (ML 1803)]</t>
        </r>
      </text>
    </comment>
    <comment ref="BF549" authorId="0" shapeId="0" xr:uid="{A8A80F72-DA06-454E-A1F0-7A88B2487A4A}">
      <text>
        <r>
          <rPr>
            <sz val="14"/>
            <color rgb="FF000000"/>
            <rFont val="Times New Roman"/>
            <family val="18"/>
          </rPr>
          <t>10</t>
        </r>
        <r>
          <rPr>
            <sz val="14"/>
            <color rgb="FF000000"/>
            <rFont val="Times New Roman"/>
            <family val="18"/>
          </rPr>
          <t>/0</t>
        </r>
        <r>
          <rPr>
            <sz val="14"/>
            <color rgb="FF000000"/>
            <rFont val="Times New Roman"/>
            <family val="18"/>
          </rPr>
          <t>7</t>
        </r>
        <r>
          <rPr>
            <sz val="14"/>
            <color rgb="FF000000"/>
            <rFont val="Times New Roman"/>
            <family val="18"/>
          </rPr>
          <t>/1</t>
        </r>
        <r>
          <rPr>
            <sz val="14"/>
            <color rgb="FF000000"/>
            <rFont val="Times New Roman"/>
            <family val="18"/>
          </rPr>
          <t xml:space="preserve">799 </t>
        </r>
        <r>
          <rPr>
            <i/>
            <sz val="14"/>
            <color rgb="FF000000"/>
            <rFont val="Times New Roman"/>
            <family val="18"/>
          </rPr>
          <t xml:space="preserve">A 3Fl Handgeld auf 10 Jahre in Krakau assentiert </t>
        </r>
        <r>
          <rPr>
            <sz val="14"/>
            <color rgb="FF000000"/>
            <rFont val="Times New Roman"/>
            <family val="18"/>
          </rPr>
          <t>[ML 1803 &amp; ML 1811]</t>
        </r>
        <r>
          <rPr>
            <sz val="14"/>
            <color rgb="FF000000"/>
            <rFont val="Calibri"/>
            <family val="34"/>
          </rPr>
          <t xml:space="preserve">
</t>
        </r>
        <r>
          <rPr>
            <sz val="14"/>
            <color rgb="FF000000"/>
            <rFont val="Times New Roman"/>
            <family val="18"/>
          </rPr>
          <t>12/09/1803 Muster: IR 4 Haupt Petteneck Komp. Nr. 41 [</t>
        </r>
        <r>
          <rPr>
            <i/>
            <sz val="14"/>
            <color rgb="FF000000"/>
            <rFont val="Times New Roman"/>
            <family val="18"/>
          </rPr>
          <t>Auf Brief Ordonanz in Gänserndorf</t>
        </r>
        <r>
          <rPr>
            <sz val="14"/>
            <color rgb="FF000000"/>
            <rFont val="Times New Roman"/>
            <family val="18"/>
          </rPr>
          <t>]</t>
        </r>
        <r>
          <rPr>
            <sz val="14"/>
            <color rgb="FF000000"/>
            <rFont val="Calibri"/>
            <family val="34"/>
          </rPr>
          <t xml:space="preserve">
</t>
        </r>
        <r>
          <rPr>
            <sz val="14"/>
            <color rgb="FF000000"/>
            <rFont val="Times New Roman"/>
            <family val="18"/>
          </rPr>
          <t xml:space="preserve">08/11/1805 </t>
        </r>
        <r>
          <rPr>
            <i/>
            <sz val="14"/>
            <color rgb="FF000000"/>
            <rFont val="Times New Roman"/>
            <family val="18"/>
          </rPr>
          <t>Bei der Affaire bei Neuhaus</t>
        </r>
        <r>
          <rPr>
            <sz val="14"/>
            <color rgb="FF000000"/>
            <rFont val="Times New Roman"/>
            <family val="18"/>
          </rPr>
          <t xml:space="preserve"> </t>
        </r>
        <r>
          <rPr>
            <b/>
            <sz val="14"/>
            <color rgb="FF000000"/>
            <rFont val="Times New Roman"/>
            <family val="18"/>
          </rPr>
          <t>[Schlacht von Mariazell]</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01/01/1806 </t>
        </r>
        <r>
          <rPr>
            <i/>
            <sz val="14"/>
            <color rgb="FF000000"/>
            <rFont val="Times New Roman"/>
            <family val="18"/>
          </rPr>
          <t>Zu Wiener Neustadt selbst ranzioniert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29/12/1806 Muster: IR 4 7. Fus. Komp. Nr. 47</t>
        </r>
        <r>
          <rPr>
            <sz val="14"/>
            <color rgb="FF000000"/>
            <rFont val="Calibri"/>
            <family val="34"/>
          </rPr>
          <t xml:space="preserve">
</t>
        </r>
        <r>
          <rPr>
            <sz val="14"/>
            <color rgb="FF000000"/>
            <rFont val="Times New Roman"/>
            <family val="18"/>
          </rPr>
          <t>07/09/1811 Muster: IR 4 1</t>
        </r>
        <r>
          <rPr>
            <sz val="14"/>
            <color rgb="FF000000"/>
            <rFont val="Times New Roman"/>
            <family val="18"/>
          </rPr>
          <t>1</t>
        </r>
        <r>
          <rPr>
            <sz val="14"/>
            <color rgb="FF000000"/>
            <rFont val="Times New Roman"/>
            <family val="18"/>
          </rPr>
          <t xml:space="preserve">. Fus. Komp. Nr. </t>
        </r>
        <r>
          <rPr>
            <sz val="14"/>
            <color rgb="FF000000"/>
            <rFont val="Times New Roman"/>
            <family val="18"/>
          </rPr>
          <t>109</t>
        </r>
        <r>
          <rPr>
            <sz val="14"/>
            <color rgb="FF000000"/>
            <rFont val="Calibri"/>
            <family val="34"/>
          </rPr>
          <t xml:space="preserve">
</t>
        </r>
      </text>
    </comment>
    <comment ref="BG549" authorId="0" shapeId="0" xr:uid="{F50B2E0E-0779-534E-9048-BC35915551EC}">
      <text>
        <r>
          <rPr>
            <sz val="14"/>
            <color rgb="FF000000"/>
            <rFont val="Times New Roman"/>
            <family val="18"/>
          </rPr>
          <t>ML 348 IR 4 (1803) – Haupt Petteneck Komp. Nr. 41 (Wiener Neustadt 12/09/1803)</t>
        </r>
        <r>
          <rPr>
            <sz val="14"/>
            <color rgb="FF000000"/>
            <rFont val="Calibri"/>
            <family val="34"/>
          </rPr>
          <t xml:space="preserve">
</t>
        </r>
        <r>
          <rPr>
            <sz val="14"/>
            <color rgb="FF000000"/>
            <rFont val="Times New Roman"/>
            <family val="18"/>
          </rPr>
          <t>ML 349/50 IR 4 (1806) – 7. Fus. Komp. Nr. 47 (Laxenburg 29/12/1806)</t>
        </r>
        <r>
          <rPr>
            <sz val="14"/>
            <color rgb="FF000000"/>
            <rFont val="Calibri"/>
            <family val="34"/>
          </rPr>
          <t xml:space="preserve">
</t>
        </r>
        <r>
          <rPr>
            <sz val="14"/>
            <color rgb="FF000000"/>
            <rFont val="Times New Roman"/>
            <family val="18"/>
          </rPr>
          <t>ML 351/2 IR 4 (1811) – 11. Fus. Komp. Nr. 109 (Mauer 07/09/1811)</t>
        </r>
        <r>
          <rPr>
            <sz val="14"/>
            <color rgb="FF000000"/>
            <rFont val="Calibri"/>
            <family val="34"/>
          </rPr>
          <t xml:space="preserve">
</t>
        </r>
      </text>
    </comment>
    <comment ref="BH549" authorId="0" shapeId="0" xr:uid="{CD57FE2C-81E3-9D4E-A969-72B6E6EBDF74}">
      <text>
        <r>
          <rPr>
            <sz val="14"/>
            <color rgb="FF000000"/>
            <rFont val="Calibri"/>
            <family val="34"/>
          </rPr>
          <t>IR 4 (1799-1811)</t>
        </r>
      </text>
    </comment>
    <comment ref="B550" authorId="0" shapeId="0" xr:uid="{3FE2967F-6187-B246-BDB0-E99DCF2FC509}">
      <text>
        <r>
          <rPr>
            <sz val="14"/>
            <color rgb="FF000000"/>
            <rFont val="Calibri"/>
            <family val="34"/>
          </rPr>
          <t xml:space="preserve">ARON/KARON/CARRON/HRON
</t>
        </r>
        <r>
          <rPr>
            <sz val="14"/>
            <color rgb="FF000000"/>
            <rFont val="Calibri"/>
            <family val="34"/>
          </rPr>
          <t>Barcuh/Aron</t>
        </r>
      </text>
    </comment>
    <comment ref="T550" authorId="0" shapeId="0" xr:uid="{195A4AE1-8996-6447-A437-F1F34F96FF10}">
      <text>
        <r>
          <rPr>
            <sz val="14"/>
            <color rgb="FF000000"/>
            <rFont val="Calibri"/>
            <family val="34"/>
          </rPr>
          <t xml:space="preserve">165.89 (1802)
</t>
        </r>
        <r>
          <rPr>
            <sz val="14"/>
            <color rgb="FF000000"/>
            <rFont val="Calibri"/>
            <family val="34"/>
          </rPr>
          <t xml:space="preserve">171.15 (1802-10)
</t>
        </r>
        <r>
          <rPr>
            <sz val="14"/>
            <color rgb="FF000000"/>
            <rFont val="Calibri"/>
            <family val="34"/>
          </rPr>
          <t xml:space="preserve">169.18 (1811)
</t>
        </r>
        <r>
          <rPr>
            <sz val="14"/>
            <color rgb="FF000000"/>
            <rFont val="Calibri"/>
            <family val="34"/>
          </rPr>
          <t>168.74 (1817)</t>
        </r>
      </text>
    </comment>
    <comment ref="BF550" authorId="0" shapeId="0" xr:uid="{F5081572-050F-0B44-8240-5933E78618E0}">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Times New Roman"/>
            <family val="18"/>
          </rPr>
          <t xml:space="preserve">
</t>
        </r>
        <r>
          <rPr>
            <sz val="14"/>
            <color rgb="FF000000"/>
            <rFont val="Times New Roman"/>
            <family val="18"/>
          </rPr>
          <t xml:space="preserve">12/07/1799 </t>
        </r>
        <r>
          <rPr>
            <i/>
            <sz val="14"/>
            <color rgb="FF000000"/>
            <rFont val="Times New Roman"/>
            <family val="18"/>
          </rPr>
          <t>Von Ständen a 3Fl Handgeld gestellt und zum IR 43 Reserve Division assentiert</t>
        </r>
        <r>
          <rPr>
            <b/>
            <sz val="14"/>
            <color rgb="FF000000"/>
            <rFont val="Times New Roman"/>
            <family val="18"/>
          </rPr>
          <t xml:space="preserve"> </t>
        </r>
        <r>
          <rPr>
            <sz val="14"/>
            <color rgb="FF000000"/>
            <rFont val="Times New Roman"/>
            <family val="18"/>
          </rPr>
          <t xml:space="preserve">[ML 1817 &amp; TL 1800]
</t>
        </r>
        <r>
          <rPr>
            <sz val="14"/>
            <color rgb="FFFF0000"/>
            <rFont val="Times New Roman"/>
            <family val="18"/>
          </rPr>
          <t xml:space="preserve">14/01/1800 </t>
        </r>
        <r>
          <rPr>
            <i/>
            <sz val="14"/>
            <color rgb="FFFF0000"/>
            <rFont val="Times New Roman"/>
            <family val="18"/>
          </rPr>
          <t>Von Ständen gestellt</t>
        </r>
        <r>
          <rPr>
            <sz val="14"/>
            <color rgb="FFFF0000"/>
            <rFont val="Times New Roman"/>
            <family val="18"/>
          </rPr>
          <t xml:space="preserve"> [ML 1802 bis ML 1806]</t>
        </r>
        <r>
          <rPr>
            <sz val="14"/>
            <color rgb="FF000000"/>
            <rFont val="Times New Roman"/>
            <family val="18"/>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ObristLt Companie transferiert</t>
        </r>
        <r>
          <rPr>
            <sz val="14"/>
            <color rgb="FF000000"/>
            <rFont val="Times New Roman"/>
            <family val="18"/>
          </rPr>
          <t xml:space="preserve"> [ST April1800]
</t>
        </r>
        <r>
          <rPr>
            <sz val="14"/>
            <color rgb="FF000000"/>
            <rFont val="Times New Roman"/>
            <family val="18"/>
          </rPr>
          <t xml:space="preserve">1800 </t>
        </r>
        <r>
          <rPr>
            <i/>
            <sz val="14"/>
            <color rgb="FF000000"/>
            <rFont val="Times New Roman"/>
            <family val="18"/>
          </rPr>
          <t xml:space="preserve">in Italien an der Piave gefangen und wieder selbst Ranzioniert </t>
        </r>
        <r>
          <rPr>
            <sz val="14"/>
            <color rgb="FF000000"/>
            <rFont val="Times New Roman"/>
            <family val="18"/>
          </rPr>
          <t xml:space="preserve">[ML 1817]
</t>
        </r>
        <r>
          <rPr>
            <sz val="14"/>
            <color rgb="FF000000"/>
            <rFont val="Times New Roman"/>
            <family val="18"/>
          </rPr>
          <t xml:space="preserve">28/08/1802 Muster: IR 43 ObristLt Komp. Nr. 101
</t>
        </r>
        <r>
          <rPr>
            <sz val="14"/>
            <color rgb="FF000000"/>
            <rFont val="Times New Roman"/>
            <family val="18"/>
          </rPr>
          <t>02/11/1803 Muster: IR 43 ObristLt Komp. Nr. 89 [</t>
        </r>
        <r>
          <rPr>
            <i/>
            <sz val="14"/>
            <color rgb="FF000000"/>
            <rFont val="Times New Roman"/>
            <family val="18"/>
          </rPr>
          <t>Auf commando in Risano</t>
        </r>
        <r>
          <rPr>
            <sz val="14"/>
            <color rgb="FF000000"/>
            <rFont val="Times New Roman"/>
            <family val="18"/>
          </rPr>
          <t xml:space="preserve">]
</t>
        </r>
        <r>
          <rPr>
            <sz val="14"/>
            <color rgb="FF000000"/>
            <rFont val="Times New Roman"/>
            <family val="18"/>
          </rPr>
          <t xml:space="preserve">05/10/1804 Muster: IR 43 ObristLt Komp. Nr. 83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[ST Sept 1805 &amp; ML 1805]
</t>
        </r>
        <r>
          <rPr>
            <sz val="14"/>
            <color rgb="FF000000"/>
            <rFont val="Times New Roman"/>
            <family val="18"/>
          </rPr>
          <t xml:space="preserve">31/10/1805 Muster: IR 43 9. Fus Komp. Nr. 15
</t>
        </r>
        <r>
          <rPr>
            <sz val="14"/>
            <color rgb="FF000000"/>
            <rFont val="Times New Roman"/>
            <family val="18"/>
          </rPr>
          <t xml:space="preserve">01/12/1806 Muster: IR 43 Supernumeraries Nr. 120
</t>
        </r>
        <r>
          <rPr>
            <sz val="14"/>
            <color rgb="FF000000"/>
            <rFont val="Times New Roman"/>
            <family val="18"/>
          </rPr>
          <t xml:space="preserve">19/05/1807 </t>
        </r>
        <r>
          <rPr>
            <i/>
            <sz val="14"/>
            <color rgb="FF000000"/>
            <rFont val="Times New Roman"/>
            <family val="18"/>
          </rPr>
          <t>Gegen 20Fl Handgeld auf fernere 10 Jahren reengagiert</t>
        </r>
        <r>
          <rPr>
            <sz val="14"/>
            <color rgb="FF000000"/>
            <rFont val="Times New Roman"/>
            <family val="18"/>
          </rPr>
          <t xml:space="preserve"> [ST May 1807]
</t>
        </r>
        <r>
          <rPr>
            <sz val="14"/>
            <color rgb="FF000000"/>
            <rFont val="Times New Roman"/>
            <family val="18"/>
          </rPr>
          <t xml:space="preserve">15/06/1807 </t>
        </r>
        <r>
          <rPr>
            <i/>
            <sz val="14"/>
            <color rgb="FF000000"/>
            <rFont val="Times New Roman"/>
            <family val="18"/>
          </rPr>
          <t>Auf Ritt nach Fiume</t>
        </r>
        <r>
          <rPr>
            <sz val="14"/>
            <color rgb="FF000000"/>
            <rFont val="Times New Roman"/>
            <family val="18"/>
          </rPr>
          <t xml:space="preserve"> [ST June 1807]
</t>
        </r>
        <r>
          <rPr>
            <sz val="14"/>
            <color rgb="FF000000"/>
            <rFont val="Times New Roman"/>
            <family val="18"/>
          </rPr>
          <t xml:space="preserve">23/06/1806 </t>
        </r>
        <r>
          <rPr>
            <i/>
            <sz val="14"/>
            <color rgb="FF000000"/>
            <rFont val="Times New Roman"/>
            <family val="18"/>
          </rPr>
          <t>Wieder zurück</t>
        </r>
        <r>
          <rPr>
            <sz val="14"/>
            <color rgb="FF000000"/>
            <rFont val="Times New Roman"/>
            <family val="18"/>
          </rPr>
          <t xml:space="preserve"> [ST June 1807]
</t>
        </r>
        <r>
          <rPr>
            <sz val="14"/>
            <color rgb="FF000000"/>
            <rFont val="Times New Roman"/>
            <family val="18"/>
          </rPr>
          <t xml:space="preserve">31/05/1808 </t>
        </r>
        <r>
          <rPr>
            <i/>
            <sz val="14"/>
            <color rgb="FF000000"/>
            <rFont val="Times New Roman"/>
            <family val="18"/>
          </rPr>
          <t>Von Supernumeraries zum 13. Fus Comp. transferiert</t>
        </r>
        <r>
          <rPr>
            <sz val="14"/>
            <color rgb="FF000000"/>
            <rFont val="Times New Roman"/>
            <family val="18"/>
          </rPr>
          <t xml:space="preserve"> [ST June 1808]
</t>
        </r>
        <r>
          <rPr>
            <sz val="14"/>
            <color rgb="FF000000"/>
            <rFont val="Times New Roman"/>
            <family val="18"/>
          </rPr>
          <t xml:space="preserve">06/09/1808 Musterung: 13. Fus. Komp. Nr. 9
</t>
        </r>
        <r>
          <rPr>
            <sz val="14"/>
            <color rgb="FF000000"/>
            <rFont val="Times New Roman"/>
            <family val="18"/>
          </rPr>
          <t xml:space="preserve">30/10/1808 </t>
        </r>
        <r>
          <rPr>
            <i/>
            <sz val="14"/>
            <color rgb="FF000000"/>
            <rFont val="Times New Roman"/>
            <family val="18"/>
          </rPr>
          <t>Von 13. zum 16. Fus. Komp. transferiert</t>
        </r>
        <r>
          <rPr>
            <sz val="14"/>
            <color rgb="FF000000"/>
            <rFont val="Times New Roman"/>
            <family val="18"/>
          </rPr>
          <t xml:space="preserve"> [ST Nov 1808]
</t>
        </r>
        <r>
          <rPr>
            <sz val="14"/>
            <color rgb="FF000000"/>
            <rFont val="Times New Roman"/>
            <family val="18"/>
          </rPr>
          <t xml:space="preserve">21/09/1809 </t>
        </r>
        <r>
          <rPr>
            <i/>
            <sz val="14"/>
            <color rgb="FF000000"/>
            <rFont val="Times New Roman"/>
            <family val="18"/>
          </rPr>
          <t>Krank auswärts in Armee Spitälern</t>
        </r>
        <r>
          <rPr>
            <sz val="14"/>
            <color rgb="FF000000"/>
            <rFont val="Times New Roman"/>
            <family val="18"/>
          </rPr>
          <t xml:space="preserve"> [ST Sept 1809]
</t>
        </r>
        <r>
          <rPr>
            <sz val="14"/>
            <color rgb="FF000000"/>
            <rFont val="Times New Roman"/>
            <family val="18"/>
          </rPr>
          <t>25/02/1810 Dissolvierung: IR 43 18. Fus. Komp. Nr. 9 [</t>
        </r>
        <r>
          <rPr>
            <i/>
            <sz val="14"/>
            <color rgb="FF000000"/>
            <rFont val="Times New Roman"/>
            <family val="18"/>
          </rPr>
          <t>Zu Prinz De Ligne IR 30 einzuteilen</t>
        </r>
        <r>
          <rPr>
            <sz val="14"/>
            <color rgb="FF000000"/>
            <rFont val="Times New Roman"/>
            <family val="18"/>
          </rPr>
          <t xml:space="preserve">]
</t>
        </r>
        <r>
          <rPr>
            <sz val="14"/>
            <color rgb="FF000000"/>
            <rFont val="Times New Roman"/>
            <family val="18"/>
          </rPr>
          <t xml:space="preserve">22/03/1810 </t>
        </r>
        <r>
          <rPr>
            <i/>
            <sz val="14"/>
            <color rgb="FF000000"/>
            <rFont val="Times New Roman"/>
            <family val="18"/>
          </rPr>
          <t>Von 18. Fus Comp des Dissolvierte IR 43 zum IR 30 De Ligne transferiert</t>
        </r>
        <r>
          <rPr>
            <sz val="14"/>
            <color rgb="FF000000"/>
            <rFont val="Times New Roman"/>
            <family val="18"/>
          </rPr>
          <t xml:space="preserve"> [TL 1810]
</t>
        </r>
        <r>
          <rPr>
            <sz val="14"/>
            <color rgb="FF000000"/>
            <rFont val="Times New Roman"/>
            <family val="18"/>
          </rPr>
          <t xml:space="preserve">24/09/1811 Muster: IR 30 6. Fus Komp. Nr. 30
</t>
        </r>
        <r>
          <rPr>
            <sz val="14"/>
            <color rgb="FF000000"/>
            <rFont val="Times New Roman"/>
            <family val="18"/>
          </rPr>
          <t xml:space="preserve">20/01/1814 </t>
        </r>
        <r>
          <rPr>
            <i/>
            <sz val="14"/>
            <color rgb="FF000000"/>
            <rFont val="Times New Roman"/>
            <family val="18"/>
          </rPr>
          <t>die Silberne Medaille erhalten</t>
        </r>
        <r>
          <rPr>
            <sz val="14"/>
            <color rgb="FF000000"/>
            <rFont val="Times New Roman"/>
            <family val="18"/>
          </rPr>
          <t xml:space="preserve"> [ML 1817]
</t>
        </r>
        <r>
          <rPr>
            <sz val="14"/>
            <color rgb="FF000000"/>
            <rFont val="Times New Roman"/>
            <family val="18"/>
          </rPr>
          <t xml:space="preserve">15/10/1817 Muster: IR 30 14. Fus. Komp. Nr. 6
</t>
        </r>
        <r>
          <rPr>
            <sz val="14"/>
            <color rgb="FF000000"/>
            <rFont val="Times New Roman"/>
            <family val="18"/>
          </rPr>
          <t xml:space="preserve">16/04/1818 </t>
        </r>
        <r>
          <rPr>
            <i/>
            <sz val="14"/>
            <color rgb="FF000000"/>
            <rFont val="Times New Roman"/>
            <family val="18"/>
          </rPr>
          <t xml:space="preserve">Auf Fernere 6 Jahren a 3Fl als Außländer reengaiert </t>
        </r>
        <r>
          <rPr>
            <sz val="14"/>
            <color rgb="FF000000"/>
            <rFont val="Times New Roman"/>
            <family val="18"/>
          </rPr>
          <t xml:space="preserve">[ML 1818]
</t>
        </r>
        <r>
          <rPr>
            <sz val="14"/>
            <color rgb="FF000000"/>
            <rFont val="Times New Roman"/>
            <family val="18"/>
          </rPr>
          <t xml:space="preserve">01/10/1818 Muster: IR 30 14. Fus. Komp. Nr. 6
</t>
        </r>
        <r>
          <rPr>
            <sz val="14"/>
            <color rgb="FF000000"/>
            <rFont val="Times New Roman"/>
            <family val="18"/>
          </rPr>
          <t xml:space="preserve">30/09/1819 Muster: IR 30 14. Fus. Komp. Nr. 7
</t>
        </r>
        <r>
          <rPr>
            <sz val="14"/>
            <color rgb="FF000000"/>
            <rFont val="Times New Roman"/>
            <family val="18"/>
          </rPr>
          <t xml:space="preserve">03/10/1820 Muster: IR 30 14. Fus. Komp. Nr. 6
</t>
        </r>
      </text>
    </comment>
    <comment ref="BG550" authorId="0" shapeId="0" xr:uid="{07151BE3-AE4A-324F-AD97-8796213778CC}">
      <text>
        <r>
          <rPr>
            <sz val="14"/>
            <color rgb="FF000000"/>
            <rFont val="Times New Roman"/>
            <family val="18"/>
          </rPr>
          <t>ML 10.272 IR 43 (1802) – ObristLt Comp Nr. 101 (Cattaro 28/08/1802)</t>
        </r>
        <r>
          <rPr>
            <sz val="14"/>
            <color rgb="FF000000"/>
            <rFont val="Calibri"/>
            <family val="34"/>
          </rPr>
          <t xml:space="preserve">
</t>
        </r>
        <r>
          <rPr>
            <sz val="14"/>
            <color rgb="FF000000"/>
            <rFont val="Times New Roman"/>
            <family val="18"/>
          </rPr>
          <t xml:space="preserve">ML 10.273 IR 43 (1803) – Obrist Lt Comp Nr. 89 (Cattaro 02/11/1803) </t>
        </r>
        <r>
          <rPr>
            <sz val="14"/>
            <color rgb="FF000000"/>
            <rFont val="Calibri"/>
            <family val="34"/>
          </rPr>
          <t xml:space="preserve">
</t>
        </r>
        <r>
          <rPr>
            <sz val="14"/>
            <color rgb="FF000000"/>
            <rFont val="Times New Roman"/>
            <family val="18"/>
          </rPr>
          <t>ML 10.274 IR 43 (1804) – ObrestLt Comp. Nr. 83 (Theodo 05/10/1804)</t>
        </r>
        <r>
          <rPr>
            <sz val="14"/>
            <color rgb="FF000000"/>
            <rFont val="Calibri"/>
            <family val="34"/>
          </rPr>
          <t xml:space="preserve">
</t>
        </r>
        <r>
          <rPr>
            <sz val="14"/>
            <color rgb="FF000000"/>
            <rFont val="Times New Roman"/>
            <family val="18"/>
          </rPr>
          <t>ML 10.275/6 IR 43 (1805) – 9. Fus Comp Nr. (Sebenico 31/10/1805)</t>
        </r>
        <r>
          <rPr>
            <sz val="14"/>
            <color rgb="FF000000"/>
            <rFont val="Calibri"/>
            <family val="34"/>
          </rPr>
          <t xml:space="preserve">
</t>
        </r>
        <r>
          <rPr>
            <sz val="14"/>
            <color rgb="FF000000"/>
            <rFont val="Times New Roman"/>
            <family val="18"/>
          </rPr>
          <t>ML 10.277/8 IR 43 (1806) – Supernumeraries Nr. 120 (Laibach 01/12/1806)</t>
        </r>
        <r>
          <rPr>
            <sz val="14"/>
            <color rgb="FF000000"/>
            <rFont val="Calibri"/>
            <family val="34"/>
          </rPr>
          <t xml:space="preserve">
</t>
        </r>
        <r>
          <rPr>
            <sz val="14"/>
            <color rgb="FF000000"/>
            <rFont val="Times New Roman"/>
            <family val="18"/>
          </rPr>
          <t>ML 10.279 IR 43 (1808-10) – RL 13. Fus Nr. 9 (Laibach 06/09/1808) &amp; DL 18. Fus Nr. 12 (Vodernberg 25/10/1810)</t>
        </r>
        <r>
          <rPr>
            <sz val="14"/>
            <color rgb="FF000000"/>
            <rFont val="Calibri"/>
            <family val="34"/>
          </rPr>
          <t xml:space="preserve">
</t>
        </r>
        <r>
          <rPr>
            <sz val="14"/>
            <color rgb="FF000000"/>
            <rFont val="Times New Roman"/>
            <family val="18"/>
          </rPr>
          <t>ML 10.309 IR 43 (1800) – ST Februar (06/04/1801) und April (24/01/1802)</t>
        </r>
        <r>
          <rPr>
            <sz val="14"/>
            <color rgb="FF000000"/>
            <rFont val="Calibri"/>
            <family val="34"/>
          </rPr>
          <t xml:space="preserve">
</t>
        </r>
        <r>
          <rPr>
            <sz val="14"/>
            <color rgb="FF000000"/>
            <rFont val="Times New Roman"/>
            <family val="18"/>
          </rPr>
          <t>ML 10.310 IR 43 (1800) – AL/TL TL IR 43 Res Div-&gt; Feld Nr. 145 (Laibach 05/02/1800)</t>
        </r>
        <r>
          <rPr>
            <sz val="14"/>
            <color rgb="FF000000"/>
            <rFont val="Calibri"/>
            <family val="34"/>
          </rPr>
          <t xml:space="preserve">
</t>
        </r>
        <r>
          <rPr>
            <sz val="14"/>
            <color rgb="FF000000"/>
            <rFont val="Times New Roman"/>
            <family val="18"/>
          </rPr>
          <t>ML 10.315 IR 43 (1805) – ST September (15/11/1805)</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10.319 IR 43 (1807) – ST Mai (14/06/1807) und Juni (15/07/1807)</t>
        </r>
        <r>
          <rPr>
            <sz val="14"/>
            <color rgb="FF000000"/>
            <rFont val="Calibri"/>
            <family val="34"/>
          </rPr>
          <t xml:space="preserve">
</t>
        </r>
        <r>
          <rPr>
            <sz val="14"/>
            <color rgb="FF000000"/>
            <rFont val="Times New Roman"/>
            <family val="18"/>
          </rPr>
          <t>ML 10.321 IR 43 (1808) – ST June (14/07/1808) und November (15/12/1808)</t>
        </r>
        <r>
          <rPr>
            <sz val="14"/>
            <color rgb="FF000000"/>
            <rFont val="Calibri"/>
            <family val="34"/>
          </rPr>
          <t xml:space="preserve">
</t>
        </r>
        <r>
          <rPr>
            <sz val="14"/>
            <color rgb="FF000000"/>
            <rFont val="Times New Roman"/>
            <family val="18"/>
          </rPr>
          <t>ML 10.323 IR 43 (1809) – ST September (25/12/1810)</t>
        </r>
        <r>
          <rPr>
            <sz val="14"/>
            <color rgb="FF000000"/>
            <rFont val="Calibri"/>
            <family val="34"/>
          </rPr>
          <t xml:space="preserve">
</t>
        </r>
        <r>
          <rPr>
            <sz val="14"/>
            <color rgb="FF000000"/>
            <rFont val="Times New Roman"/>
            <family val="18"/>
          </rPr>
          <t>ML 10.325 IR 43 (1810) – ST March (11/03/1811)</t>
        </r>
        <r>
          <rPr>
            <sz val="14"/>
            <color rgb="FF000000"/>
            <rFont val="Calibri"/>
            <family val="34"/>
          </rPr>
          <t xml:space="preserve">
</t>
        </r>
        <r>
          <rPr>
            <sz val="14"/>
            <color rgb="FF000000"/>
            <rFont val="Times New Roman"/>
            <family val="18"/>
          </rPr>
          <t>ML 10.326 IR 43 (1810) – AL/TL IR 43 -&gt; IR 30 Nr. 7 (Klagenfurt 31/05/1810)</t>
        </r>
        <r>
          <rPr>
            <sz val="14"/>
            <color rgb="FF000000"/>
            <rFont val="Calibri"/>
            <family val="34"/>
          </rPr>
          <t xml:space="preserve">
</t>
        </r>
        <r>
          <rPr>
            <sz val="14"/>
            <color rgb="FF000000"/>
            <rFont val="Times New Roman"/>
            <family val="18"/>
          </rPr>
          <t>ML 2633 IR 30 (1811) – 6. Fus Comp Nr. 30 (Kutty 24/09/1811)</t>
        </r>
        <r>
          <rPr>
            <sz val="14"/>
            <color rgb="FF000000"/>
            <rFont val="Calibri"/>
            <family val="34"/>
          </rPr>
          <t xml:space="preserve">
</t>
        </r>
        <r>
          <rPr>
            <sz val="14"/>
            <color rgb="FF000000"/>
            <rFont val="Times New Roman"/>
            <family val="18"/>
          </rPr>
          <t>ML 2635 IR 30 (1817) – 14. Fus Comp Nr. 6 (Stry 15/10/1817)</t>
        </r>
        <r>
          <rPr>
            <sz val="14"/>
            <color rgb="FF000000"/>
            <rFont val="Calibri"/>
            <family val="34"/>
          </rPr>
          <t xml:space="preserve">
</t>
        </r>
        <r>
          <rPr>
            <sz val="14"/>
            <color rgb="FF000000"/>
            <rFont val="Times New Roman"/>
            <family val="18"/>
          </rPr>
          <t>ML 2637/8 IR 30 (1818) – 14. Fus Comp Nr. 6 (Szozerzec 01/10/1818)</t>
        </r>
        <r>
          <rPr>
            <sz val="14"/>
            <color rgb="FF000000"/>
            <rFont val="Calibri"/>
            <family val="34"/>
          </rPr>
          <t xml:space="preserve">
</t>
        </r>
        <r>
          <rPr>
            <sz val="14"/>
            <color rgb="FF000000"/>
            <rFont val="Times New Roman"/>
            <family val="18"/>
          </rPr>
          <t>ML 2639/40 IR 30 (1819) – 14. Fus Comp Nr. 7 (Tysmenice 30/19/1819)</t>
        </r>
        <r>
          <rPr>
            <sz val="14"/>
            <color rgb="FF000000"/>
            <rFont val="Calibri"/>
            <family val="34"/>
          </rPr>
          <t xml:space="preserve">
</t>
        </r>
        <r>
          <rPr>
            <sz val="14"/>
            <color rgb="FF000000"/>
            <rFont val="Times New Roman"/>
            <family val="18"/>
          </rPr>
          <t>ML 2641/2 IR 30 (1820) – 14. Fus Comp Nr. 6 (Lisitz 03/10/1820)</t>
        </r>
      </text>
    </comment>
    <comment ref="BH550" authorId="0" shapeId="0" xr:uid="{F20F9D31-E38A-6045-9890-6BB30F1E3126}">
      <text>
        <r>
          <rPr>
            <sz val="14"/>
            <color rgb="FF000000"/>
            <rFont val="Calibri"/>
            <family val="34"/>
          </rPr>
          <t xml:space="preserve">IR 43 (1799-1810)
</t>
        </r>
        <r>
          <rPr>
            <sz val="14"/>
            <color rgb="FF000000"/>
            <rFont val="Calibri"/>
            <family val="34"/>
          </rPr>
          <t>IR 30 (1810-1820)</t>
        </r>
      </text>
    </comment>
    <comment ref="BI550" authorId="0" shapeId="0" xr:uid="{E652CE52-63B7-D142-8D03-A413AB85450D}">
      <text>
        <r>
          <rPr>
            <sz val="14"/>
            <color rgb="FF000000"/>
            <rFont val="Calibri"/>
            <family val="34"/>
          </rPr>
          <t>1810: Gut</t>
        </r>
      </text>
    </comment>
    <comment ref="K551" authorId="0" shapeId="0" xr:uid="{00AA9588-F31A-944B-A21D-B6D9D974C92E}">
      <text>
        <r>
          <rPr>
            <sz val="14"/>
            <color rgb="FF000000"/>
            <rFont val="Calibri"/>
            <family val="34"/>
          </rPr>
          <t xml:space="preserve">Schneider (1802)
</t>
        </r>
        <r>
          <rPr>
            <sz val="14"/>
            <color rgb="FF000000"/>
            <rFont val="Calibri"/>
            <family val="34"/>
          </rPr>
          <t>Ohne  (1803-1804)</t>
        </r>
      </text>
    </comment>
    <comment ref="T551" authorId="0" shapeId="0" xr:uid="{FE7D5292-B5F6-A14D-8476-0A7D79617655}">
      <text>
        <r>
          <rPr>
            <sz val="14"/>
            <color rgb="FF000000"/>
            <rFont val="Calibri"/>
            <family val="34"/>
          </rPr>
          <t xml:space="preserve">5.1.1 (160.85 cm) [ML 1802]
</t>
        </r>
        <r>
          <rPr>
            <sz val="14"/>
            <color rgb="FF000000"/>
            <rFont val="Calibri"/>
            <family val="34"/>
          </rPr>
          <t>5.3.3 (166.66 cm) [ML 1804]</t>
        </r>
      </text>
    </comment>
    <comment ref="BF551" authorId="0" shapeId="0" xr:uid="{7F221924-D671-0447-9088-FC28F553E27B}">
      <text>
        <r>
          <rPr>
            <sz val="14"/>
            <color rgb="FF000000"/>
            <rFont val="Times New Roman"/>
            <family val="18"/>
          </rPr>
          <t xml:space="preserve">12/07/1799 </t>
        </r>
        <r>
          <rPr>
            <i/>
            <sz val="14"/>
            <color rgb="FF000000"/>
            <rFont val="Times New Roman"/>
            <family val="18"/>
          </rPr>
          <t>Von Galizischen Ständen gestellt und a 3Fl Handgeld auf Beständig assentiert</t>
        </r>
        <r>
          <rPr>
            <sz val="14"/>
            <color rgb="FF000000"/>
            <rFont val="Times New Roman"/>
            <family val="18"/>
          </rPr>
          <t xml:space="preserve"> [1802]</t>
        </r>
        <r>
          <rPr>
            <sz val="14"/>
            <color rgb="FF000000"/>
            <rFont val="Calibri"/>
            <family val="34"/>
          </rPr>
          <t xml:space="preserve">
</t>
        </r>
        <r>
          <rPr>
            <sz val="14"/>
            <color rgb="FF000000"/>
            <rFont val="Times New Roman"/>
            <family val="18"/>
          </rPr>
          <t>16/09/1802 Muster: IR 23 Haupt Wenger Nr. 100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Wenger Nr. 79 [</t>
        </r>
        <r>
          <rPr>
            <i/>
            <sz val="14"/>
            <color rgb="FF000000"/>
            <rFont val="Times New Roman"/>
            <family val="18"/>
          </rPr>
          <t>Bestimmt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Wenger Nr. 79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text>
    </comment>
    <comment ref="BG551" authorId="0" shapeId="0" xr:uid="{00679337-C616-6D42-B90D-7DE6F2DB8B03}">
      <text>
        <r>
          <rPr>
            <sz val="14"/>
            <color rgb="FF000000"/>
            <rFont val="Times New Roman"/>
            <family val="18"/>
          </rPr>
          <t>ML 10.124 IR 23 (1802) – Haupt Wenger Komp. Nr. 100 (Vienna 16/09/1802)</t>
        </r>
        <r>
          <rPr>
            <sz val="14"/>
            <color rgb="FF000000"/>
            <rFont val="Calibri"/>
            <family val="34"/>
          </rPr>
          <t xml:space="preserve">
</t>
        </r>
        <r>
          <rPr>
            <sz val="14"/>
            <color rgb="FF000000"/>
            <rFont val="Times New Roman"/>
            <family val="18"/>
          </rPr>
          <t>ML 10.125 IR 23 (1803) – Haupt Wenger Komp. Nr. 79 (Vienna 16/09/1802)</t>
        </r>
        <r>
          <rPr>
            <sz val="14"/>
            <color rgb="FF000000"/>
            <rFont val="Calibri"/>
            <family val="34"/>
          </rPr>
          <t xml:space="preserve">
</t>
        </r>
        <r>
          <rPr>
            <sz val="14"/>
            <color rgb="FF000000"/>
            <rFont val="Times New Roman"/>
            <family val="18"/>
          </rPr>
          <t>ML 10.126 IR 23 (1804) – Haupt Wenger Komp. Nr. 79 (Krems 06/09/1804)</t>
        </r>
        <r>
          <rPr>
            <sz val="14"/>
            <color rgb="FF000000"/>
            <rFont val="Calibri"/>
            <family val="34"/>
          </rPr>
          <t xml:space="preserve">
</t>
        </r>
        <r>
          <rPr>
            <sz val="14"/>
            <color rgb="FF000000"/>
            <rFont val="Times New Roman"/>
            <family val="18"/>
          </rPr>
          <t>ML 10.127/8 IR 23 (1807) – Haupt Wührl Komp. Abgang (Poysdorf 26/01/1807)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551" authorId="0" shapeId="0" xr:uid="{F58E25EF-5405-9E48-B19F-B3F97B8D7917}">
      <text>
        <r>
          <rPr>
            <sz val="14"/>
            <color rgb="FF000000"/>
            <rFont val="Calibri"/>
            <family val="34"/>
          </rPr>
          <t>IR 43 (1799-1806)</t>
        </r>
      </text>
    </comment>
    <comment ref="BF552" authorId="0" shapeId="0" xr:uid="{2E3BE43E-A064-F748-AF46-456FE2D3EB8A}">
      <text>
        <r>
          <rPr>
            <sz val="14"/>
            <color rgb="FF000000"/>
            <rFont val="Times New Roman"/>
            <family val="18"/>
          </rPr>
          <t xml:space="preserve">12/07/1799 </t>
        </r>
        <r>
          <rPr>
            <i/>
            <sz val="14"/>
            <color rgb="FF000000"/>
            <rFont val="Times New Roman"/>
            <family val="18"/>
          </rPr>
          <t>Von galizischen Ständen gestellt und a 3Fl für Beständig in Kielce assentiert, seitdem auf Anhero Marsch</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10/09/1799 Ankunft in die Reserve Division [ST Sept 1799]</t>
        </r>
        <r>
          <rPr>
            <sz val="14"/>
            <color rgb="FF000000"/>
            <rFont val="Calibri"/>
            <family val="34"/>
          </rPr>
          <t xml:space="preserve">
</t>
        </r>
        <r>
          <rPr>
            <sz val="14"/>
            <color rgb="FF000000"/>
            <rFont val="Times New Roman"/>
            <family val="18"/>
          </rPr>
          <t>16/09/1802 Muster: IR 23 Haupt Balbus Nr. 89 [</t>
        </r>
        <r>
          <rPr>
            <i/>
            <sz val="14"/>
            <color rgb="FF000000"/>
            <rFont val="Times New Roman"/>
            <family val="18"/>
          </rPr>
          <t>Beurlaubt in Gallizien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Balbus Nr. 75 [</t>
        </r>
        <r>
          <rPr>
            <i/>
            <sz val="14"/>
            <color rgb="FF000000"/>
            <rFont val="Times New Roman"/>
            <family val="18"/>
          </rPr>
          <t>Bestimmt 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06/09/1804 Muster: IR 23 Haupt Balbus Nr. 71 [</t>
        </r>
        <r>
          <rPr>
            <i/>
            <sz val="14"/>
            <color rgb="FF000000"/>
            <rFont val="Times New Roman"/>
            <family val="18"/>
          </rPr>
          <t>Bis zur Exercierzeit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text>
    </comment>
    <comment ref="BG552" authorId="0" shapeId="0" xr:uid="{28D994BF-8E6D-D746-82B0-BD06E723CEF0}">
      <text>
        <r>
          <rPr>
            <sz val="14"/>
            <color rgb="FF000000"/>
            <rFont val="Times New Roman"/>
            <family val="18"/>
          </rPr>
          <t>ML 10.124 IR 23 (1802) – Haupt Balbus Komp. Nr. 89 (Vienna 16/09/1802)</t>
        </r>
        <r>
          <rPr>
            <sz val="14"/>
            <color rgb="FF000000"/>
            <rFont val="Calibri"/>
            <family val="34"/>
          </rPr>
          <t xml:space="preserve">
</t>
        </r>
        <r>
          <rPr>
            <sz val="14"/>
            <color rgb="FF000000"/>
            <rFont val="Times New Roman"/>
            <family val="18"/>
          </rPr>
          <t>ML 10.125 IR 23 (1803) – Haupt Balbus Komp. Nr. 75 (Vienna 13/09/1803)</t>
        </r>
        <r>
          <rPr>
            <sz val="14"/>
            <color rgb="FF000000"/>
            <rFont val="Calibri"/>
            <family val="34"/>
          </rPr>
          <t xml:space="preserve">
</t>
        </r>
        <r>
          <rPr>
            <sz val="14"/>
            <color rgb="FF000000"/>
            <rFont val="Times New Roman"/>
            <family val="18"/>
          </rPr>
          <t>ML 10.126 IR 23 (1804) – Haupt Balbus Komp. Nr. 71 (Krems 06/09/1804)</t>
        </r>
        <r>
          <rPr>
            <sz val="14"/>
            <color rgb="FF000000"/>
            <rFont val="Calibri"/>
            <family val="34"/>
          </rPr>
          <t xml:space="preserve">
</t>
        </r>
        <r>
          <rPr>
            <sz val="14"/>
            <color rgb="FF000000"/>
            <rFont val="Times New Roman"/>
            <family val="18"/>
          </rPr>
          <t>ML 10.127/8 IR 23 (1807) – Haupt Balbus Komp. Abgang (Rötz 26/01/1807)</t>
        </r>
        <r>
          <rPr>
            <sz val="14"/>
            <color rgb="FF000000"/>
            <rFont val="Calibri"/>
            <family val="34"/>
          </rPr>
          <t xml:space="preserve">
</t>
        </r>
        <r>
          <rPr>
            <sz val="14"/>
            <color rgb="FF000000"/>
            <rFont val="Times New Roman"/>
            <family val="18"/>
          </rPr>
          <t>ML 10.164 IR 23 (1800) – ST Aug (22/10/1800), Sept (01/04/1801)</t>
        </r>
        <r>
          <rPr>
            <sz val="14"/>
            <color rgb="FF000000"/>
            <rFont val="Calibri"/>
            <family val="34"/>
          </rPr>
          <t xml:space="preserve">
</t>
        </r>
      </text>
    </comment>
    <comment ref="BH552" authorId="0" shapeId="0" xr:uid="{27BFAA8D-9803-A74A-BE81-5CAD7869C0C9}">
      <text>
        <r>
          <rPr>
            <sz val="14"/>
            <color rgb="FF000000"/>
            <rFont val="Calibri"/>
            <family val="34"/>
          </rPr>
          <t>IR 43 (1799-1806)</t>
        </r>
      </text>
    </comment>
    <comment ref="BF553" authorId="0" shapeId="0" xr:uid="{47DC74CD-64BA-774B-BA3D-338D15B41BD1}">
      <text>
        <r>
          <rPr>
            <sz val="14"/>
            <color rgb="FF000000"/>
            <rFont val="Times New Roman"/>
            <family val="18"/>
          </rPr>
          <t xml:space="preserve">09/07/1799 </t>
        </r>
        <r>
          <rPr>
            <i/>
            <sz val="14"/>
            <color rgb="FF000000"/>
            <rFont val="Times New Roman"/>
            <family val="18"/>
          </rPr>
          <t>Als Landständischer Recrout Zu Krakau auf Beständig assentiert und seitdem auf Marsch</t>
        </r>
        <r>
          <rPr>
            <sz val="14"/>
            <color rgb="FF000000"/>
            <rFont val="Times New Roman"/>
            <family val="18"/>
          </rPr>
          <t xml:space="preserve">  [ST Aug 1799 &amp; ML 1802]</t>
        </r>
        <r>
          <rPr>
            <sz val="14"/>
            <color rgb="FF000000"/>
            <rFont val="Calibri"/>
            <family val="34"/>
          </rPr>
          <t xml:space="preserve">
</t>
        </r>
        <r>
          <rPr>
            <sz val="14"/>
            <color rgb="FF000000"/>
            <rFont val="Times New Roman"/>
            <family val="18"/>
          </rPr>
          <t xml:space="preserve">10/09/1799 </t>
        </r>
        <r>
          <rPr>
            <i/>
            <sz val="14"/>
            <color rgb="FF000000"/>
            <rFont val="Times New Roman"/>
            <family val="18"/>
          </rPr>
          <t xml:space="preserve">Ankunft in Division [von vorhin bis 10. Sept. ist eingeruckt und seit 11. mit Geld und brot und seit 9. Sept mit Service in loco </t>
        </r>
        <r>
          <rPr>
            <sz val="14"/>
            <color rgb="FF000000"/>
            <rFont val="Times New Roman"/>
            <family val="18"/>
          </rPr>
          <t>[ST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Comp. transferiert und ab eodem dato mit auswärtiger Verpflegung auf 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09/09/1802 Muster: IR 23 Haupt Böhm Nr. 85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Böhm Nr. 77 [</t>
        </r>
        <r>
          <rPr>
            <i/>
            <sz val="14"/>
            <color rgb="FF000000"/>
            <rFont val="Times New Roman"/>
            <family val="18"/>
          </rPr>
          <t>In seinem Geburtsort bis zur Einberufung beurlaubt in Gallizien</t>
        </r>
        <r>
          <rPr>
            <sz val="14"/>
            <color rgb="FF000000"/>
            <rFont val="Times New Roman"/>
            <family val="18"/>
          </rPr>
          <t>]</t>
        </r>
        <r>
          <rPr>
            <sz val="14"/>
            <color rgb="FF000000"/>
            <rFont val="Calibri"/>
            <family val="34"/>
          </rPr>
          <t xml:space="preserve">
</t>
        </r>
        <r>
          <rPr>
            <sz val="14"/>
            <color rgb="FF000000"/>
            <rFont val="Times New Roman"/>
            <family val="18"/>
          </rPr>
          <t>13/09/1804 Muster: IR 23 Haupt Böhm Nr. 69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[ST May 1806 &amp; ML 1807] </t>
        </r>
      </text>
    </comment>
    <comment ref="BG553" authorId="0" shapeId="0" xr:uid="{18A8FCE4-F211-A84A-8A85-DA569DF8419C}">
      <text>
        <r>
          <rPr>
            <sz val="14"/>
            <color rgb="FF000000"/>
            <rFont val="Times New Roman"/>
            <family val="18"/>
          </rPr>
          <t>ML 10.124 IR 23 (1802) – Haupt Wagner Komp. Nr.117 (Krems 09/09/1802)</t>
        </r>
        <r>
          <rPr>
            <sz val="14"/>
            <color rgb="FF000000"/>
            <rFont val="Calibri"/>
            <family val="34"/>
          </rPr>
          <t xml:space="preserve">
</t>
        </r>
        <r>
          <rPr>
            <sz val="14"/>
            <color rgb="FF000000"/>
            <rFont val="Times New Roman"/>
            <family val="18"/>
          </rPr>
          <t>ML 10.125 IR 23 (1803) – Haupt Wagner Komp. Nr.102 (Execierlager bei St Pölten 07/09/1802)</t>
        </r>
        <r>
          <rPr>
            <sz val="14"/>
            <color rgb="FF000000"/>
            <rFont val="Calibri"/>
            <family val="34"/>
          </rPr>
          <t xml:space="preserve">
</t>
        </r>
        <r>
          <rPr>
            <sz val="14"/>
            <color rgb="FF000000"/>
            <rFont val="Times New Roman"/>
            <family val="18"/>
          </rPr>
          <t>ML 10.126 IR 23 (1804) – Haupt Wagner Komp. Nr. 97 (Krems 13/09/1802)</t>
        </r>
        <r>
          <rPr>
            <sz val="14"/>
            <color rgb="FF000000"/>
            <rFont val="Calibri"/>
            <family val="34"/>
          </rPr>
          <t xml:space="preserve">
</t>
        </r>
        <r>
          <rPr>
            <sz val="14"/>
            <color rgb="FF000000"/>
            <rFont val="Times New Roman"/>
            <family val="18"/>
          </rPr>
          <t>ML 10.127/8 IR 23 (1807) – Haupt Böhm Abgang (Korneuburg 24/01/1807)</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text>
    </comment>
    <comment ref="BH553" authorId="0" shapeId="0" xr:uid="{8327824B-1865-ED4A-92EB-4E2C66F69CBB}">
      <text>
        <r>
          <rPr>
            <sz val="14"/>
            <color rgb="FF000000"/>
            <rFont val="Calibri"/>
            <family val="34"/>
          </rPr>
          <t>IR 43 (1799-1806)</t>
        </r>
      </text>
    </comment>
    <comment ref="BF554" authorId="0" shapeId="0" xr:uid="{D1C086A3-20CE-024D-B9FD-B1E5FA19FCF9}">
      <text>
        <r>
          <rPr>
            <sz val="14"/>
            <color rgb="FF000000"/>
            <rFont val="Times New Roman"/>
            <family val="18"/>
          </rPr>
          <t xml:space="preserve">12/07/1799 </t>
        </r>
        <r>
          <rPr>
            <i/>
            <sz val="14"/>
            <color rgb="FF000000"/>
            <rFont val="Times New Roman"/>
            <family val="18"/>
          </rPr>
          <t xml:space="preserve">Von Galicischen Ständen gestellt und a 3Fl Handgeld auf Beständig zu Kielce assentiert; seitdem auf anhero Marsch mit auswärtiger Verpflegung </t>
        </r>
        <r>
          <rPr>
            <sz val="14"/>
            <color rgb="FF000000"/>
            <rFont val="Times New Roman"/>
            <family val="18"/>
          </rPr>
          <t>[St Aug 1799 &amp; ML 1802]</t>
        </r>
        <r>
          <rPr>
            <sz val="14"/>
            <color rgb="FF000000"/>
            <rFont val="Calibri"/>
            <family val="34"/>
          </rPr>
          <t xml:space="preserve">
</t>
        </r>
        <r>
          <rPr>
            <sz val="14"/>
            <color rgb="FF000000"/>
            <rFont val="Times New Roman"/>
            <family val="18"/>
          </rPr>
          <t xml:space="preserve">10/09/1799 </t>
        </r>
        <r>
          <rPr>
            <i/>
            <sz val="14"/>
            <color rgb="FF000000"/>
            <rFont val="Times New Roman"/>
            <family val="18"/>
          </rPr>
          <t>Ankunft in der Reserve Division</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Arbeiter Comp. und ab eodem dato mit auswärtiger Verpflegung auf 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16/09/1802 Muster: IR 23 Haupt Hauzinger Nr. 83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Hauzinger Nr. 72 [</t>
        </r>
        <r>
          <rPr>
            <i/>
            <sz val="14"/>
            <color rgb="FF000000"/>
            <rFont val="Times New Roman"/>
            <family val="18"/>
          </rPr>
          <t>Bestimmt beurlaubt in Polen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Hauzinger Nr. 63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t>
        </r>
      </text>
    </comment>
    <comment ref="BG554" authorId="0" shapeId="0" xr:uid="{C8E98CF2-964E-BC40-BA24-E6B0A0BBC12C}">
      <text>
        <r>
          <rPr>
            <sz val="14"/>
            <color rgb="FF000000"/>
            <rFont val="Times New Roman"/>
            <family val="18"/>
          </rPr>
          <t>ML 10.124 IR 23 (1802) – Haupt Hauzinger Komp. Nr. 83 (Vienna 16/09/1802)</t>
        </r>
        <r>
          <rPr>
            <sz val="14"/>
            <color rgb="FF000000"/>
            <rFont val="Calibri"/>
            <family val="34"/>
          </rPr>
          <t xml:space="preserve">
</t>
        </r>
        <r>
          <rPr>
            <sz val="14"/>
            <color rgb="FF000000"/>
            <rFont val="Times New Roman"/>
            <family val="18"/>
          </rPr>
          <t>ML 10.125 IR 23 (1803) – Haupt Hauzinger Komp. Nr. 72 (Vienna 13/09/1803)</t>
        </r>
        <r>
          <rPr>
            <sz val="14"/>
            <color rgb="FF000000"/>
            <rFont val="Calibri"/>
            <family val="34"/>
          </rPr>
          <t xml:space="preserve">
</t>
        </r>
        <r>
          <rPr>
            <sz val="14"/>
            <color rgb="FF000000"/>
            <rFont val="Times New Roman"/>
            <family val="18"/>
          </rPr>
          <t>ML 10.126 IR 23 (1804) – Haupt Hauzinger Komp. Nr. 63 (Krems 06/09/1804)</t>
        </r>
        <r>
          <rPr>
            <sz val="14"/>
            <color rgb="FF000000"/>
            <rFont val="Calibri"/>
            <family val="34"/>
          </rPr>
          <t xml:space="preserve">
</t>
        </r>
        <r>
          <rPr>
            <sz val="14"/>
            <color rgb="FF000000"/>
            <rFont val="Times New Roman"/>
            <family val="18"/>
          </rPr>
          <t>ML 10.127/8 IR 23 (1807) – Haupt Pappius Komp. Abgang (Rötz 26/01/1807)</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text>
    </comment>
    <comment ref="BH554" authorId="0" shapeId="0" xr:uid="{252E302E-780B-1745-BB82-38E7A1D890C3}">
      <text>
        <r>
          <rPr>
            <sz val="14"/>
            <color rgb="FF000000"/>
            <rFont val="Calibri"/>
            <family val="34"/>
          </rPr>
          <t>IR 43 (1799-1806)</t>
        </r>
      </text>
    </comment>
    <comment ref="J555" authorId="0" shapeId="0" xr:uid="{2E03F1DE-E737-7D4A-85A0-A5CE30761CCC}">
      <text>
        <r>
          <rPr>
            <sz val="14"/>
            <color rgb="FF000000"/>
            <rFont val="Calibri"/>
            <family val="34"/>
          </rPr>
          <t xml:space="preserve">Ledig (1802-1804)
</t>
        </r>
        <r>
          <rPr>
            <sz val="14"/>
            <color rgb="FF000000"/>
            <rFont val="Calibri"/>
            <family val="34"/>
          </rPr>
          <t>Verheiratet (1806)</t>
        </r>
      </text>
    </comment>
    <comment ref="BF555" authorId="0" shapeId="0" xr:uid="{2D7D5190-51F7-4749-B2DE-46BA63E5BF57}">
      <text>
        <r>
          <rPr>
            <sz val="14"/>
            <color rgb="FFFF0000"/>
            <rFont val="Times New Roman"/>
            <family val="18"/>
          </rPr>
          <t xml:space="preserve">??/06/1799 </t>
        </r>
        <r>
          <rPr>
            <i/>
            <sz val="14"/>
            <color rgb="FFFF0000"/>
            <rFont val="Times New Roman"/>
            <family val="18"/>
          </rPr>
          <t>In Juny a 3Fl auf Beständig assentiert</t>
        </r>
        <r>
          <rPr>
            <sz val="14"/>
            <color rgb="FFFF0000"/>
            <rFont val="Times New Roman"/>
            <family val="18"/>
          </rPr>
          <t xml:space="preserve"> [TL Juli 1802 &amp; ML 1803]</t>
        </r>
        <r>
          <rPr>
            <sz val="14"/>
            <color rgb="FF000000"/>
            <rFont val="Calibri"/>
            <family val="34"/>
          </rPr>
          <t xml:space="preserve">
</t>
        </r>
        <r>
          <rPr>
            <sz val="14"/>
            <color rgb="FF000000"/>
            <rFont val="Times New Roman"/>
            <family val="18"/>
          </rPr>
          <t xml:space="preserve">13/07/1799 </t>
        </r>
        <r>
          <rPr>
            <i/>
            <sz val="14"/>
            <color rgb="FF000000"/>
            <rFont val="Times New Roman"/>
            <family val="18"/>
          </rPr>
          <t>A 3Fl Auf Beständig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Dietrich Comp zum IR 44 transferiert und zur Avignonesi Komp. eingeheilt </t>
        </r>
        <r>
          <rPr>
            <sz val="14"/>
            <color rgb="FF000000"/>
            <rFont val="Times New Roman"/>
            <family val="18"/>
          </rPr>
          <t>[TL Juli 1802]</t>
        </r>
        <r>
          <rPr>
            <sz val="14"/>
            <color rgb="FF000000"/>
            <rFont val="Calibri"/>
            <family val="34"/>
          </rPr>
          <t xml:space="preserve">
</t>
        </r>
        <r>
          <rPr>
            <sz val="14"/>
            <color rgb="FF000000"/>
            <rFont val="Times New Roman"/>
            <family val="18"/>
          </rPr>
          <t>19/09/1803 Muster: IR 44 Haupt Avignonesi Nr. 92</t>
        </r>
        <r>
          <rPr>
            <sz val="14"/>
            <color rgb="FF000000"/>
            <rFont val="Calibri"/>
            <family val="34"/>
          </rPr>
          <t xml:space="preserve">
</t>
        </r>
        <r>
          <rPr>
            <sz val="14"/>
            <color rgb="FF000000"/>
            <rFont val="Times New Roman"/>
            <family val="18"/>
          </rPr>
          <t>12/05/1804 Muster: IR 44 Haupt Avignonesi Nr. 87 [</t>
        </r>
        <r>
          <rPr>
            <i/>
            <sz val="14"/>
            <color rgb="FF000000"/>
            <rFont val="Times New Roman"/>
            <family val="18"/>
          </rPr>
          <t>Beurlaubt zu Slonie, in Galizien auf bestimmte 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Menze Komp. Nr. 48</t>
        </r>
        <r>
          <rPr>
            <sz val="14"/>
            <color rgb="FF000000"/>
            <rFont val="Calibri"/>
            <family val="34"/>
          </rPr>
          <t xml:space="preserve">
</t>
        </r>
        <r>
          <rPr>
            <sz val="14"/>
            <color rgb="FF000000"/>
            <rFont val="Times New Roman"/>
            <family val="18"/>
          </rPr>
          <t>19/09/1808 Muster: IR 44 Haupt Menze Komp. Nr. 40 [</t>
        </r>
        <r>
          <rPr>
            <i/>
            <sz val="14"/>
            <color rgb="FF000000"/>
            <rFont val="Times New Roman"/>
            <family val="18"/>
          </rPr>
          <t>Commandiert auf Conscription</t>
        </r>
        <r>
          <rPr>
            <sz val="14"/>
            <color rgb="FF000000"/>
            <rFont val="Times New Roman"/>
            <family val="18"/>
          </rPr>
          <t>]</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17. Fus. zum. 18. Fus Komp. transferiert und seitdem Krank in Anwald dann seit Juni in Aufname Spital des 4. Armee Corps</t>
        </r>
        <r>
          <rPr>
            <sz val="14"/>
            <color rgb="FF000000"/>
            <rFont val="Times New Roman"/>
            <family val="18"/>
          </rPr>
          <t xml:space="preserve"> [ML 1811 &amp; ST April &amp; June 1809]</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angehöriger von 4. Komp. als in Spital verbliebene als unwissend verloren in Abgang gebracht</t>
        </r>
        <r>
          <rPr>
            <sz val="14"/>
            <color rgb="FF000000"/>
            <rFont val="Times New Roman"/>
            <family val="18"/>
          </rPr>
          <t xml:space="preserve"> [ML 1811]</t>
        </r>
        <r>
          <rPr>
            <sz val="14"/>
            <color rgb="FF000000"/>
            <rFont val="Calibri"/>
            <family val="34"/>
          </rPr>
          <t xml:space="preserve">
</t>
        </r>
      </text>
    </comment>
    <comment ref="BG555" authorId="0" shapeId="0" xr:uid="{AF2ACB5F-4A14-8F4B-8E0B-19FF24047E3D}">
      <text>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Nr 92 (Venice 19/09/1803)</t>
        </r>
        <r>
          <rPr>
            <sz val="14"/>
            <color rgb="FF000000"/>
            <rFont val="Calibri"/>
            <family val="34"/>
          </rPr>
          <t xml:space="preserve">
</t>
        </r>
        <r>
          <rPr>
            <sz val="14"/>
            <color rgb="FF000000"/>
            <rFont val="Times New Roman"/>
            <family val="18"/>
          </rPr>
          <t>ML 3909 IR 44 (1804) – Haupt Avignonesi Komp. Nr 87 (Vicenza 12/05/1804)</t>
        </r>
        <r>
          <rPr>
            <sz val="14"/>
            <color rgb="FF000000"/>
            <rFont val="Calibri"/>
            <family val="34"/>
          </rPr>
          <t xml:space="preserve">
</t>
        </r>
        <r>
          <rPr>
            <sz val="14"/>
            <color rgb="FF000000"/>
            <rFont val="Times New Roman"/>
            <family val="18"/>
          </rPr>
          <t>ML 3910 IR 44 (1806) – Haupt Menze Komp. Nr. 48 (Fiume 10/12/1806)</t>
        </r>
        <r>
          <rPr>
            <sz val="14"/>
            <color rgb="FF000000"/>
            <rFont val="Calibri"/>
            <family val="34"/>
          </rPr>
          <t xml:space="preserve">
</t>
        </r>
        <r>
          <rPr>
            <sz val="14"/>
            <color rgb="FF000000"/>
            <rFont val="Times New Roman"/>
            <family val="18"/>
          </rPr>
          <t>ML 3911 IR 44 (1808) – RL CaptLt. Menze [15. Fus.] Nr. 40 (Sambor 19/09/1808)</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3946 IR 44 (1802) – AL IR 43-&gt; IR 43 Nr. 87 (Zara 27/07/1802)</t>
        </r>
        <r>
          <rPr>
            <sz val="14"/>
            <color rgb="FF000000"/>
            <rFont val="Calibri"/>
            <family val="34"/>
          </rPr>
          <t xml:space="preserve">
</t>
        </r>
        <r>
          <rPr>
            <sz val="14"/>
            <color rgb="FF000000"/>
            <rFont val="Times New Roman"/>
            <family val="18"/>
          </rPr>
          <t>ML 3960 IR 44 (1809) – April (Ofen 06/02/1811) Juni (Ofen 08/04/1809)</t>
        </r>
        <r>
          <rPr>
            <sz val="14"/>
            <color rgb="FF000000"/>
            <rFont val="Calibri"/>
            <family val="34"/>
          </rPr>
          <t xml:space="preserve">
</t>
        </r>
      </text>
    </comment>
    <comment ref="BH555" authorId="0" shapeId="0" xr:uid="{92B00A8A-4639-7B40-BB43-7783484AE2FD}">
      <text>
        <r>
          <rPr>
            <sz val="14"/>
            <color rgb="FF000000"/>
            <rFont val="Calibri"/>
            <family val="34"/>
          </rPr>
          <t xml:space="preserve">IR 43 (1799-1802)
</t>
        </r>
        <r>
          <rPr>
            <sz val="14"/>
            <color rgb="FF000000"/>
            <rFont val="Calibri"/>
            <family val="34"/>
          </rPr>
          <t>IR 44 (1802-1810)</t>
        </r>
      </text>
    </comment>
    <comment ref="BI555" authorId="0" shapeId="0" xr:uid="{F4B07892-31E7-CD40-99D6-C8F0E6F22C8F}">
      <text>
        <r>
          <rPr>
            <sz val="14"/>
            <color rgb="FF000000"/>
            <rFont val="Calibri"/>
            <family val="34"/>
          </rPr>
          <t>Gut [TL July 1802]</t>
        </r>
      </text>
    </comment>
    <comment ref="I556" authorId="0" shapeId="0" xr:uid="{2768256B-21B8-9D41-88E3-66D5AB65C8FB}">
      <text>
        <r>
          <rPr>
            <sz val="14"/>
            <color rgb="FF000000"/>
            <rFont val="Calibri"/>
            <family val="34"/>
          </rPr>
          <t xml:space="preserve">1775 [31 (1806)] 
</t>
        </r>
        <r>
          <rPr>
            <sz val="14"/>
            <color rgb="FF000000"/>
            <rFont val="Calibri"/>
            <family val="34"/>
          </rPr>
          <t xml:space="preserve">OR 
</t>
        </r>
        <r>
          <rPr>
            <sz val="14"/>
            <color rgb="FF000000"/>
            <rFont val="Calibri"/>
            <family val="34"/>
          </rPr>
          <t>1781 [21 (1802-5)]</t>
        </r>
      </text>
    </comment>
    <comment ref="T556" authorId="0" shapeId="0" xr:uid="{0B87F886-F88E-3C4D-BCF3-6063C15AA6C9}">
      <text>
        <r>
          <rPr>
            <sz val="14"/>
            <color rgb="FF000000"/>
            <rFont val="Calibri"/>
            <family val="34"/>
          </rPr>
          <t xml:space="preserve">166.11 (1806)
</t>
        </r>
        <r>
          <rPr>
            <sz val="14"/>
            <color rgb="FF000000"/>
            <rFont val="Calibri"/>
            <family val="34"/>
          </rPr>
          <t>163.48 (1802-5)</t>
        </r>
      </text>
    </comment>
    <comment ref="BF556" authorId="0" shapeId="0" xr:uid="{D1BE7AD7-1340-FE4A-92D4-0325EC348421}">
      <text>
        <r>
          <rPr>
            <sz val="14"/>
            <color rgb="FF000000"/>
            <rFont val="Times New Roman"/>
            <family val="18"/>
          </rPr>
          <t xml:space="preserve">14/07/1799 </t>
        </r>
        <r>
          <rPr>
            <i/>
            <sz val="14"/>
            <color rgb="FF000000"/>
            <rFont val="Times New Roman"/>
            <family val="18"/>
          </rPr>
          <t>von Ständen gestellt</t>
        </r>
        <r>
          <rPr>
            <sz val="14"/>
            <color rgb="FF000000"/>
            <rFont val="Times New Roman"/>
            <family val="18"/>
          </rPr>
          <t xml:space="preserve"> [ML 1802-5]</t>
        </r>
        <r>
          <rPr>
            <sz val="14"/>
            <color rgb="FF000000"/>
            <rFont val="Calibri"/>
            <family val="34"/>
          </rPr>
          <t xml:space="preserve">
</t>
        </r>
        <r>
          <rPr>
            <sz val="14"/>
            <color rgb="FF000000"/>
            <rFont val="Times New Roman"/>
            <family val="18"/>
          </rPr>
          <t xml:space="preserve">11/01/1800 </t>
        </r>
        <r>
          <rPr>
            <i/>
            <sz val="14"/>
            <color rgb="FF000000"/>
            <rFont val="Times New Roman"/>
            <family val="18"/>
          </rPr>
          <t>Von Reserve Division zum Haupt Geistler Komp. transferiert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28/08/1802 Musterung: IR 43 Haupt Geisler Nr. 93]</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Haupt Geistler Comp. Nr. 83 [</t>
        </r>
        <r>
          <rPr>
            <i/>
            <sz val="14"/>
            <color rgb="FF000000"/>
            <rFont val="Times New Roman"/>
            <family val="18"/>
          </rPr>
          <t>Auf Unbestimmte Urlaub zu Bichau</t>
        </r>
        <r>
          <rPr>
            <sz val="14"/>
            <color rgb="FF000000"/>
            <rFont val="Times New Roman"/>
            <family val="18"/>
          </rPr>
          <t>]</t>
        </r>
        <r>
          <rPr>
            <sz val="14"/>
            <color rgb="FF000000"/>
            <rFont val="Calibri"/>
            <family val="34"/>
          </rPr>
          <t xml:space="preserve">
</t>
        </r>
        <r>
          <rPr>
            <sz val="14"/>
            <color rgb="FF000000"/>
            <rFont val="Times New Roman"/>
            <family val="18"/>
          </rPr>
          <t>05/10/1804 Musterung: Haupt Geistler Comp Nr. 80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11/06/1805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26/08/1805 </t>
        </r>
        <r>
          <rPr>
            <i/>
            <sz val="14"/>
            <color rgb="FF000000"/>
            <rFont val="Times New Roman"/>
            <family val="18"/>
          </rPr>
          <t xml:space="preserve">Eingerückt und zu Laibach mit Tägl. ½ Teuerung und 1Xr Fleischbeitrag Beim Reserve Bataillon zugeheilt </t>
        </r>
        <r>
          <rPr>
            <sz val="14"/>
            <color rgb="FF000000"/>
            <rFont val="Times New Roman"/>
            <family val="18"/>
          </rPr>
          <t>[ST Sept 1805]</t>
        </r>
        <r>
          <rPr>
            <sz val="14"/>
            <color rgb="FF000000"/>
            <rFont val="Calibri"/>
            <family val="34"/>
          </rPr>
          <t xml:space="preserve">
</t>
        </r>
        <r>
          <rPr>
            <sz val="14"/>
            <color rgb="FF000000"/>
            <rFont val="Times New Roman"/>
            <family val="18"/>
          </rPr>
          <t>At Muster 23/10/1805 10. Fus Comp Nr. 71 [</t>
        </r>
        <r>
          <rPr>
            <i/>
            <sz val="14"/>
            <color rgb="FF000000"/>
            <rFont val="Times New Roman"/>
            <family val="18"/>
          </rPr>
          <t>Zu Laibach Passiert</t>
        </r>
        <r>
          <rPr>
            <sz val="14"/>
            <color rgb="FF000000"/>
            <rFont val="Times New Roman"/>
            <family val="18"/>
          </rPr>
          <t>]</t>
        </r>
        <r>
          <rPr>
            <sz val="14"/>
            <color rgb="FF000000"/>
            <rFont val="Calibri"/>
            <family val="34"/>
          </rPr>
          <t xml:space="preserve">
</t>
        </r>
        <r>
          <rPr>
            <sz val="14"/>
            <color rgb="FF000000"/>
            <rFont val="Times New Roman"/>
            <family val="18"/>
          </rPr>
          <t>At Muster 01/12/1806 14. Fus Comp Nr. 63</t>
        </r>
        <r>
          <rPr>
            <sz val="14"/>
            <color rgb="FF000000"/>
            <rFont val="Calibri"/>
            <family val="34"/>
          </rPr>
          <t xml:space="preserve">
</t>
        </r>
        <r>
          <rPr>
            <sz val="14"/>
            <color rgb="FF000000"/>
            <rFont val="Times New Roman"/>
            <family val="18"/>
          </rPr>
          <t>At Muster 02/09/1808 14. Fus Comp Nr. 37</t>
        </r>
        <r>
          <rPr>
            <sz val="14"/>
            <color rgb="FF000000"/>
            <rFont val="Calibri"/>
            <family val="34"/>
          </rPr>
          <t xml:space="preserve">
</t>
        </r>
        <r>
          <rPr>
            <sz val="14"/>
            <color rgb="FF000000"/>
            <rFont val="Times New Roman"/>
            <family val="18"/>
          </rPr>
          <t xml:space="preserve">15/02/1809 </t>
        </r>
        <r>
          <rPr>
            <i/>
            <sz val="14"/>
            <color rgb="FF000000"/>
            <rFont val="Times New Roman"/>
            <family val="18"/>
          </rPr>
          <t>von 14. Fus zum 15 Fus Comp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gemeiner zum Corporal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17/05/1809 </t>
        </r>
        <r>
          <rPr>
            <i/>
            <sz val="14"/>
            <color rgb="FF000000"/>
            <rFont val="Times New Roman"/>
            <family val="18"/>
          </rPr>
          <t>Bei der Affaire von Podgary vermisst</t>
        </r>
        <r>
          <rPr>
            <sz val="14"/>
            <color rgb="FF000000"/>
            <rFont val="Times New Roman"/>
            <family val="18"/>
          </rPr>
          <t xml:space="preserve"> [ST Mai 1809]</t>
        </r>
        <r>
          <rPr>
            <sz val="14"/>
            <color rgb="FF000000"/>
            <rFont val="Calibri"/>
            <family val="34"/>
          </rPr>
          <t xml:space="preserve">
</t>
        </r>
      </text>
    </comment>
    <comment ref="BG556" authorId="0" shapeId="0" xr:uid="{A1FFCF7A-8B75-3540-8351-E8CDEE5210F5}">
      <text>
        <r>
          <rPr>
            <sz val="14"/>
            <color rgb="FF000000"/>
            <rFont val="Times New Roman"/>
            <family val="18"/>
          </rPr>
          <t>ML 10.272 IR 43 (1802) – IR 43 Haupt Geisler Nr. 93 (Cattaro 28/08/1802)</t>
        </r>
        <r>
          <rPr>
            <sz val="14"/>
            <color rgb="FF000000"/>
            <rFont val="Calibri"/>
            <family val="34"/>
          </rPr>
          <t xml:space="preserve">
</t>
        </r>
        <r>
          <rPr>
            <sz val="14"/>
            <color rgb="FF000000"/>
            <rFont val="Times New Roman"/>
            <family val="18"/>
          </rPr>
          <t>ML 10.273 IR 43 (1803) – IR 43 Haupt Geisler Nr. 83 (Cattaro 02/11/1803)</t>
        </r>
        <r>
          <rPr>
            <sz val="14"/>
            <color rgb="FF000000"/>
            <rFont val="Calibri"/>
            <family val="34"/>
          </rPr>
          <t xml:space="preserve">
</t>
        </r>
        <r>
          <rPr>
            <sz val="14"/>
            <color rgb="FF000000"/>
            <rFont val="Times New Roman"/>
            <family val="18"/>
          </rPr>
          <t>ML 10.274 IR 43 (1804) – IR 43 Haupt Geisler Nr. 80 (Theodo 05/10/1804)</t>
        </r>
        <r>
          <rPr>
            <sz val="14"/>
            <color rgb="FF000000"/>
            <rFont val="Calibri"/>
            <family val="34"/>
          </rPr>
          <t xml:space="preserve">
</t>
        </r>
        <r>
          <rPr>
            <sz val="14"/>
            <color rgb="FF000000"/>
            <rFont val="Times New Roman"/>
            <family val="18"/>
          </rPr>
          <t>ML 10.275/6 IR 43 (1805) – IR 43 10. Fus Comp Nr. 71 (Spalato 23/10/1805)</t>
        </r>
        <r>
          <rPr>
            <sz val="14"/>
            <color rgb="FF000000"/>
            <rFont val="Calibri"/>
            <family val="34"/>
          </rPr>
          <t xml:space="preserve">
</t>
        </r>
        <r>
          <rPr>
            <sz val="14"/>
            <color rgb="FF000000"/>
            <rFont val="Times New Roman"/>
            <family val="18"/>
          </rPr>
          <t>ML 10.277/8 IR 43 (1806) – IR 43 14. Fus Comp Nr. 63(Laibach 02/12/1806)</t>
        </r>
        <r>
          <rPr>
            <sz val="14"/>
            <color rgb="FF000000"/>
            <rFont val="Calibri"/>
            <family val="34"/>
          </rPr>
          <t xml:space="preserve">
</t>
        </r>
        <r>
          <rPr>
            <sz val="14"/>
            <color rgb="FF000000"/>
            <rFont val="Times New Roman"/>
            <family val="18"/>
          </rPr>
          <t>ML 10.279 IR 43 (1808-10) – RL 14. Fus Nr. 37 (Neustadt 02/09/1808)</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r>
          <rPr>
            <sz val="14"/>
            <color rgb="FF000000"/>
            <rFont val="Times New Roman"/>
            <family val="18"/>
          </rPr>
          <t>ML 10.313 IR 43 (1803) – ST Jänner (15/02/1803) und März (15/04/1803)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10.323 IR 43 (1809) – ST Feb (25/08/1810) und Mai (02/11/1810)</t>
        </r>
      </text>
    </comment>
    <comment ref="BH556" authorId="0" shapeId="0" xr:uid="{EA8910B2-E9E6-A342-AF46-FB0942F95CEE}">
      <text>
        <r>
          <rPr>
            <sz val="14"/>
            <color rgb="FF000000"/>
            <rFont val="Calibri"/>
            <family val="34"/>
          </rPr>
          <t>IR 43 (1799-1809)</t>
        </r>
      </text>
    </comment>
    <comment ref="B557" authorId="0" shapeId="0" xr:uid="{ACB31FF6-676F-CB4E-91F7-CBB2F39665E3}">
      <text>
        <r>
          <rPr>
            <sz val="14"/>
            <color rgb="FF000000"/>
            <rFont val="Calibri"/>
            <family val="34"/>
          </rPr>
          <t xml:space="preserve">ABRAHAM, Leib
</t>
        </r>
        <r>
          <rPr>
            <sz val="14"/>
            <color rgb="FF000000"/>
            <rFont val="Calibri"/>
            <family val="34"/>
          </rPr>
          <t>ABRAHAM, Hersch</t>
        </r>
      </text>
    </comment>
    <comment ref="I557" authorId="0" shapeId="0" xr:uid="{AB8B556B-3471-0E4E-9322-FDE5BE64DC98}">
      <text>
        <r>
          <rPr>
            <sz val="14"/>
            <color rgb="FF000000"/>
            <rFont val="Calibri"/>
            <family val="34"/>
          </rPr>
          <t xml:space="preserve">1767 [35 (1802)] 
</t>
        </r>
        <r>
          <rPr>
            <sz val="14"/>
            <color rgb="FF000000"/>
            <rFont val="Calibri"/>
            <family val="34"/>
          </rPr>
          <t xml:space="preserve">OR 
</t>
        </r>
        <r>
          <rPr>
            <sz val="14"/>
            <color rgb="FF000000"/>
            <rFont val="Calibri"/>
            <family val="34"/>
          </rPr>
          <t>1780 [20 (1800)]</t>
        </r>
      </text>
    </comment>
    <comment ref="K557" authorId="0" shapeId="0" xr:uid="{DAE9245B-B886-4E4E-9384-FB0BB86349F4}">
      <text>
        <r>
          <rPr>
            <sz val="14"/>
            <color rgb="FF000000"/>
            <rFont val="Calibri"/>
            <family val="34"/>
          </rPr>
          <t xml:space="preserve">Schneider  (1803)
</t>
        </r>
        <r>
          <rPr>
            <sz val="14"/>
            <color rgb="FF000000"/>
            <rFont val="Calibri"/>
            <family val="34"/>
          </rPr>
          <t>Kirschner (1803-6)</t>
        </r>
      </text>
    </comment>
    <comment ref="BF557" authorId="0" shapeId="0" xr:uid="{C4A77A92-254C-A04A-BDEE-5CC6AB23C165}">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 xml:space="preserve">15/07/1799 </t>
        </r>
        <r>
          <rPr>
            <i/>
            <sz val="14"/>
            <color rgb="FF000000"/>
            <rFont val="Times New Roman"/>
            <family val="18"/>
          </rPr>
          <t xml:space="preserve">Von Ständen gestellt </t>
        </r>
        <r>
          <rPr>
            <sz val="14"/>
            <color rgb="FF000000"/>
            <rFont val="Times New Roman"/>
            <family val="18"/>
          </rPr>
          <t>[ML 1799]</t>
        </r>
        <r>
          <rPr>
            <sz val="14"/>
            <color rgb="FF000000"/>
            <rFont val="Calibri"/>
            <family val="34"/>
          </rPr>
          <t xml:space="preserve">
</t>
        </r>
        <r>
          <rPr>
            <sz val="14"/>
            <color rgb="FF000000"/>
            <rFont val="Times New Roman"/>
            <family val="18"/>
          </rPr>
          <t xml:space="preserve">03/11/1799 </t>
        </r>
        <r>
          <rPr>
            <i/>
            <sz val="14"/>
            <color rgb="FF000000"/>
            <rFont val="Times New Roman"/>
            <family val="18"/>
          </rPr>
          <t xml:space="preserve">Nach anhero Marsch mit Friedensgebühr in der Reserve Division eingerückt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13/11/1799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Aufmarsch zum Regiment mit Kriegsgebühr</t>
        </r>
        <r>
          <rPr>
            <sz val="14"/>
            <color rgb="FF000000"/>
            <rFont val="Times New Roman"/>
            <family val="18"/>
          </rPr>
          <t xml:space="preserve"> [TL 1800 &amp;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Baumann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Baumann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07/07/1802 </t>
        </r>
        <r>
          <rPr>
            <i/>
            <sz val="14"/>
            <color rgb="FF000000"/>
            <rFont val="Times New Roman"/>
            <family val="18"/>
          </rPr>
          <t>Bestimmt beurlaubt 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28/08/1802 Muster: IR 43 Haupt Baumann Nr. 56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bestimmte zum unbestimmte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01/11/1803 Muster: IR 43 Haupt Baumann Comp Nr. 52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05/10/1804 Muster: IR 43 Haupt Baumann Komp. Nr. 49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17/06/1805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Depot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23/10/1805 Muster: IR 43 12. Fus Comp Nr. 54 [</t>
        </r>
        <r>
          <rPr>
            <i/>
            <sz val="14"/>
            <color rgb="FF000000"/>
            <rFont val="Times New Roman"/>
            <family val="18"/>
          </rPr>
          <t>Bei Abrichtungsdepot zugeheilt</t>
        </r>
        <r>
          <rPr>
            <sz val="14"/>
            <color rgb="FF000000"/>
            <rFont val="Times New Roman"/>
            <family val="18"/>
          </rPr>
          <t>]</t>
        </r>
        <r>
          <rPr>
            <sz val="14"/>
            <color rgb="FF000000"/>
            <rFont val="Calibri"/>
            <family val="34"/>
          </rPr>
          <t xml:space="preserve">
</t>
        </r>
        <r>
          <rPr>
            <sz val="14"/>
            <color rgb="FF000000"/>
            <rFont val="Times New Roman"/>
            <family val="18"/>
          </rPr>
          <t>01/12/1806 Muster: IR 43 16. Fus Comp Nr. 34</t>
        </r>
        <r>
          <rPr>
            <sz val="14"/>
            <color rgb="FF000000"/>
            <rFont val="Calibri"/>
            <family val="34"/>
          </rPr>
          <t xml:space="preserve">
</t>
        </r>
        <r>
          <rPr>
            <sz val="14"/>
            <color rgb="FF000000"/>
            <rFont val="Times New Roman"/>
            <family val="18"/>
          </rPr>
          <t xml:space="preserve">06/08/1807 </t>
        </r>
        <r>
          <rPr>
            <i/>
            <sz val="14"/>
            <color rgb="FF000000"/>
            <rFont val="Times New Roman"/>
            <family val="18"/>
          </rPr>
          <t>Auf Ritt Nach Gratz</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15/08/1807 </t>
        </r>
        <r>
          <rPr>
            <i/>
            <sz val="14"/>
            <color rgb="FF000000"/>
            <rFont val="Times New Roman"/>
            <family val="18"/>
          </rPr>
          <t>Wieder Zurück</t>
        </r>
        <r>
          <rPr>
            <sz val="14"/>
            <color rgb="FF000000"/>
            <rFont val="Times New Roman"/>
            <family val="18"/>
          </rPr>
          <t xml:space="preserve"> [ST Aug 1807]</t>
        </r>
        <r>
          <rPr>
            <sz val="14"/>
            <color rgb="FF000000"/>
            <rFont val="Calibri"/>
            <family val="34"/>
          </rPr>
          <t xml:space="preserve">
</t>
        </r>
        <r>
          <rPr>
            <sz val="14"/>
            <color rgb="FF000000"/>
            <rFont val="Times New Roman"/>
            <family val="18"/>
          </rPr>
          <t>06/09/1808 Revision: IR 43 16. Fus Komp Nr. 29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18.</t>
        </r>
        <r>
          <rPr>
            <sz val="14"/>
            <color rgb="FF000000"/>
            <rFont val="Times New Roman"/>
            <family val="18"/>
          </rPr>
          <t xml:space="preserve"> [früher 16. Fus]</t>
        </r>
        <r>
          <rPr>
            <i/>
            <sz val="14"/>
            <color rgb="FF000000"/>
            <rFont val="Times New Roman"/>
            <family val="18"/>
          </rPr>
          <t xml:space="preserve"> zum 2. Depot Komp. transferiert </t>
        </r>
        <r>
          <rPr>
            <sz val="14"/>
            <color rgb="FF000000"/>
            <rFont val="Times New Roman"/>
            <family val="18"/>
          </rPr>
          <t>[ST Feb 1809]</t>
        </r>
        <r>
          <rPr>
            <sz val="14"/>
            <color rgb="FF000000"/>
            <rFont val="Calibri"/>
            <family val="34"/>
          </rPr>
          <t xml:space="preserve">
</t>
        </r>
        <r>
          <rPr>
            <sz val="14"/>
            <color rgb="FF000000"/>
            <rFont val="Times New Roman"/>
            <family val="18"/>
          </rPr>
          <t xml:space="preserve">31/08/1809 </t>
        </r>
        <r>
          <rPr>
            <i/>
            <sz val="14"/>
            <color rgb="FF000000"/>
            <rFont val="Times New Roman"/>
            <family val="18"/>
          </rPr>
          <t>Von 2. Depot Komp. zum 10.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25/02/1810 Dissolvierung: IR 43 18 Fus. Komp Nr. 87 [Sic!] [zu IR 24 Strauch einzuteilen]</t>
        </r>
        <r>
          <rPr>
            <sz val="14"/>
            <color rgb="FF000000"/>
            <rFont val="Calibri"/>
            <family val="34"/>
          </rPr>
          <t xml:space="preserve">
</t>
        </r>
        <r>
          <rPr>
            <sz val="14"/>
            <color rgb="FF000000"/>
            <rFont val="Times New Roman"/>
            <family val="18"/>
          </rPr>
          <t xml:space="preserve">06/03/1810 </t>
        </r>
        <r>
          <rPr>
            <i/>
            <sz val="14"/>
            <color rgb="FF000000"/>
            <rFont val="Times New Roman"/>
            <family val="18"/>
          </rPr>
          <t xml:space="preserve">Von dissolvierte IR 43 10. Fus Comp. zum IR 24 ‚Strauch transferiert, seitdem auf Anhero Marsch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10/04/1810 </t>
        </r>
        <r>
          <rPr>
            <i/>
            <sz val="14"/>
            <color rgb="FF000000"/>
            <rFont val="Times New Roman"/>
            <family val="18"/>
          </rPr>
          <t>Ins Regiment eingerückt und zur 4. Fus. Komp. eingeteilt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15/11/1810 </t>
        </r>
        <r>
          <rPr>
            <i/>
            <sz val="14"/>
            <color rgb="FF000000"/>
            <rFont val="Times New Roman"/>
            <family val="18"/>
          </rPr>
          <t>Als Ausgedienter Veteran Mit Abschied entlassen</t>
        </r>
        <r>
          <rPr>
            <sz val="14"/>
            <color rgb="FF000000"/>
            <rFont val="Times New Roman"/>
            <family val="18"/>
          </rPr>
          <t xml:space="preserve"> [ML 1811]</t>
        </r>
        <r>
          <rPr>
            <sz val="14"/>
            <color rgb="FF000000"/>
            <rFont val="Calibri"/>
            <family val="34"/>
          </rPr>
          <t xml:space="preserve">
</t>
        </r>
      </text>
    </comment>
    <comment ref="BG557" authorId="0" shapeId="0" xr:uid="{3ED70447-A8C0-1041-80E2-18716C09741D}">
      <text>
        <r>
          <rPr>
            <sz val="14"/>
            <color rgb="FF000000"/>
            <rFont val="Times New Roman"/>
            <family val="18"/>
          </rPr>
          <t>ML 10.272 IR 43 (1802) – Haupt Baumann Nr. 56 (Cattaro 28/08/1802)</t>
        </r>
        <r>
          <rPr>
            <sz val="14"/>
            <color rgb="FF000000"/>
            <rFont val="Calibri"/>
            <family val="34"/>
          </rPr>
          <t xml:space="preserve">
</t>
        </r>
        <r>
          <rPr>
            <sz val="14"/>
            <color rgb="FF000000"/>
            <rFont val="Times New Roman"/>
            <family val="18"/>
          </rPr>
          <t>ML 10.273 IR 43 (1803) – Haupt Baumann Nr. 52 (Cattaro 01/11/1803)</t>
        </r>
        <r>
          <rPr>
            <sz val="14"/>
            <color rgb="FF000000"/>
            <rFont val="Calibri"/>
            <family val="34"/>
          </rPr>
          <t xml:space="preserve">
</t>
        </r>
        <r>
          <rPr>
            <sz val="14"/>
            <color rgb="FF000000"/>
            <rFont val="Times New Roman"/>
            <family val="18"/>
          </rPr>
          <t>ML 10.274 IR 43 (1804) – Haupt Baumann Nr. 49 (Theodo 05/10/1804)</t>
        </r>
        <r>
          <rPr>
            <sz val="14"/>
            <color rgb="FF000000"/>
            <rFont val="Calibri"/>
            <family val="34"/>
          </rPr>
          <t xml:space="preserve">
</t>
        </r>
        <r>
          <rPr>
            <sz val="14"/>
            <color rgb="FF000000"/>
            <rFont val="Times New Roman"/>
            <family val="18"/>
          </rPr>
          <t>ML 10.275/6 IR 43 (1805) – 12. Fus Comp Nr. 53 (Spalato 23/10/1805)</t>
        </r>
        <r>
          <rPr>
            <sz val="14"/>
            <color rgb="FF000000"/>
            <rFont val="Calibri"/>
            <family val="34"/>
          </rPr>
          <t xml:space="preserve">
</t>
        </r>
        <r>
          <rPr>
            <sz val="14"/>
            <color rgb="FF000000"/>
            <rFont val="Times New Roman"/>
            <family val="18"/>
          </rPr>
          <t>ML 10.277/8 IR 43 (1806) – 16. Fus Comp Nr. 34 (Laibach 01/12/1806)</t>
        </r>
        <r>
          <rPr>
            <sz val="14"/>
            <color rgb="FF000000"/>
            <rFont val="Calibri"/>
            <family val="34"/>
          </rPr>
          <t xml:space="preserve">
</t>
        </r>
        <r>
          <rPr>
            <sz val="14"/>
            <color rgb="FF000000"/>
            <rFont val="Times New Roman"/>
            <family val="18"/>
          </rPr>
          <t>ML 10.279 IR 43 (1808-10) – RL 16. Fus Comp Nr. 29 (Laibach 06/09/1808) &amp; DL 18. Fus Comp Nr. 87 (Vordenberg 25/02/1810)</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Feb (06/04/1801) und April (24/01/1802)</t>
        </r>
        <r>
          <rPr>
            <sz val="14"/>
            <color rgb="FF000000"/>
            <rFont val="Calibri"/>
            <family val="34"/>
          </rPr>
          <t xml:space="preserve">
</t>
        </r>
        <r>
          <rPr>
            <sz val="14"/>
            <color rgb="FF000000"/>
            <rFont val="Times New Roman"/>
            <family val="18"/>
          </rPr>
          <t>ML 10.310 IR 43 (1800) – TL IR 43 Res Div-&gt;Feld Nr. 140 (Laibach, 05/02/1800)</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10.313 IR 43 (1803) – ST March (15/04/1803)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10.319 IR 43 (1807) – ST Aug (12/09/1807)</t>
        </r>
        <r>
          <rPr>
            <sz val="14"/>
            <color rgb="FF000000"/>
            <rFont val="Calibri"/>
            <family val="34"/>
          </rPr>
          <t xml:space="preserve">
</t>
        </r>
        <r>
          <rPr>
            <sz val="14"/>
            <color rgb="FF000000"/>
            <rFont val="Times New Roman"/>
            <family val="18"/>
          </rPr>
          <t>ML 10.323 IR 43 (1809) – ST Feb (25/08/1810) und Sept (25/12/1810)</t>
        </r>
        <r>
          <rPr>
            <sz val="14"/>
            <color rgb="FF000000"/>
            <rFont val="Calibri"/>
            <family val="34"/>
          </rPr>
          <t xml:space="preserve">
</t>
        </r>
        <r>
          <rPr>
            <sz val="14"/>
            <color rgb="FF000000"/>
            <rFont val="Times New Roman"/>
            <family val="18"/>
          </rPr>
          <t>ML 10.325 IR 43 (1810) – ST März (11/02/1811)</t>
        </r>
        <r>
          <rPr>
            <sz val="14"/>
            <color rgb="FF000000"/>
            <rFont val="Calibri"/>
            <family val="34"/>
          </rPr>
          <t xml:space="preserve">
</t>
        </r>
        <r>
          <rPr>
            <sz val="14"/>
            <color rgb="FF000000"/>
            <rFont val="Times New Roman"/>
            <family val="18"/>
          </rPr>
          <t>ML 1942 IR 24 (1811) – 4. Fus. Komp. Abgang (Mostan, 23/09/1811)</t>
        </r>
        <r>
          <rPr>
            <sz val="14"/>
            <color rgb="FF000000"/>
            <rFont val="Calibri"/>
            <family val="34"/>
          </rPr>
          <t xml:space="preserve">
</t>
        </r>
        <r>
          <rPr>
            <sz val="14"/>
            <color rgb="FF000000"/>
            <rFont val="Times New Roman"/>
            <family val="18"/>
          </rPr>
          <t>ML 2000 IR 24 (1810) – April (Raab 10/06/1812)</t>
        </r>
        <r>
          <rPr>
            <sz val="14"/>
            <color rgb="FF000000"/>
            <rFont val="Calibri"/>
            <family val="34"/>
          </rPr>
          <t xml:space="preserve">
</t>
        </r>
      </text>
    </comment>
    <comment ref="BH557" authorId="0" shapeId="0" xr:uid="{541317A2-F291-774A-AD5D-F9E85E8F3FC8}">
      <text>
        <r>
          <rPr>
            <sz val="14"/>
            <color rgb="FF000000"/>
            <rFont val="Calibri"/>
            <family val="34"/>
          </rPr>
          <t xml:space="preserve">IR 43 (1799-1810)
</t>
        </r>
        <r>
          <rPr>
            <sz val="14"/>
            <color rgb="FF000000"/>
            <rFont val="Calibri"/>
            <family val="34"/>
          </rPr>
          <t>IR 24 (1810)</t>
        </r>
      </text>
    </comment>
    <comment ref="BF558" authorId="0" shapeId="0" xr:uid="{2922CF31-BDF1-0A4E-A9EE-4C7ED7A8C994}">
      <text>
        <r>
          <rPr>
            <sz val="14"/>
            <color rgb="FF000000"/>
            <rFont val="Times New Roman"/>
            <family val="18"/>
          </rPr>
          <t xml:space="preserve">15/07/1799 </t>
        </r>
        <r>
          <rPr>
            <i/>
            <sz val="14"/>
            <color rgb="FF000000"/>
            <rFont val="Times New Roman"/>
            <family val="18"/>
          </rPr>
          <t>Zu Kielce in West Gallizien a 3Fl Handgeld auf Beständig assentiert ab dem und bis 8. August mit Auswärtiger Verpflegung in Anmarsch und seit 26. mit Geld und Brot, set 25 mit service in loco</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Ankunft in Reserve Division</t>
        </r>
        <r>
          <rPr>
            <sz val="14"/>
            <color rgb="FF000000"/>
            <rFont val="Times New Roman"/>
            <family val="18"/>
          </rPr>
          <t xml:space="preserve"> [ST Sept1799]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Eisenkolb Comp. und ab eodem dato mit auswärtiger Verpflegung</t>
        </r>
        <r>
          <rPr>
            <sz val="14"/>
            <color rgb="FF000000"/>
            <rFont val="Times New Roman"/>
            <family val="18"/>
          </rPr>
          <t xml:space="preserve"> [ST Oct 1799]</t>
        </r>
        <r>
          <rPr>
            <sz val="14"/>
            <color rgb="FF000000"/>
            <rFont val="Calibri"/>
            <family val="34"/>
          </rPr>
          <t xml:space="preserve">
</t>
        </r>
        <r>
          <rPr>
            <sz val="14"/>
            <color rgb="FF000000"/>
            <rFont val="Times New Roman"/>
            <family val="18"/>
          </rPr>
          <t>09/09/1802 Muster: IR 23 Haupt von Eisenkolb Komp. Nr. 116 [</t>
        </r>
        <r>
          <rPr>
            <i/>
            <sz val="14"/>
            <color rgb="FF000000"/>
            <rFont val="Times New Roman"/>
            <family val="18"/>
          </rPr>
          <t>Beurlaubt in Österreich</t>
        </r>
        <r>
          <rPr>
            <sz val="14"/>
            <color rgb="FF000000"/>
            <rFont val="Times New Roman"/>
            <family val="18"/>
          </rPr>
          <t>]</t>
        </r>
        <r>
          <rPr>
            <sz val="14"/>
            <color rgb="FF000000"/>
            <rFont val="Calibri"/>
            <family val="34"/>
          </rPr>
          <t xml:space="preserve">
</t>
        </r>
        <r>
          <rPr>
            <sz val="14"/>
            <color rgb="FF000000"/>
            <rFont val="Times New Roman"/>
            <family val="18"/>
          </rPr>
          <t>07/09/1803 Muster: IR 23 Haupt Eisenkolb Komp. Nr. 107</t>
        </r>
        <r>
          <rPr>
            <sz val="14"/>
            <color rgb="FF000000"/>
            <rFont val="Calibri"/>
            <family val="34"/>
          </rPr>
          <t xml:space="preserve">
</t>
        </r>
        <r>
          <rPr>
            <sz val="14"/>
            <color rgb="FF000000"/>
            <rFont val="Times New Roman"/>
            <family val="18"/>
          </rPr>
          <t>06/09/1804 Muster: IR 23 Haupt Wetzelberg Komp. Nr. 101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r>
          <rPr>
            <sz val="14"/>
            <color rgb="FF000000"/>
            <rFont val="Calibri"/>
            <family val="34"/>
          </rPr>
          <t xml:space="preserve">
</t>
        </r>
      </text>
    </comment>
    <comment ref="BG558" authorId="0" shapeId="0" xr:uid="{F3972CFE-0842-BB4C-9129-C78513E4ED9B}">
      <text>
        <r>
          <rPr>
            <sz val="14"/>
            <color rgb="FF000000"/>
            <rFont val="Times New Roman"/>
            <family val="18"/>
          </rPr>
          <t>ML 10.124 IR 23 (1802) – Haupt Eisenkolb Komp. Nr. 116 (Krems 09/09/1802)</t>
        </r>
        <r>
          <rPr>
            <sz val="14"/>
            <color rgb="FF000000"/>
            <rFont val="Calibri"/>
            <family val="34"/>
          </rPr>
          <t xml:space="preserve">
</t>
        </r>
        <r>
          <rPr>
            <sz val="14"/>
            <color rgb="FF000000"/>
            <rFont val="Times New Roman"/>
            <family val="18"/>
          </rPr>
          <t>ML 10/125 IR 23 (1803) – Haupt Eisenkolb Komp. Nr. 107 (Execierlager bei St Pölten 07/09/1803)</t>
        </r>
        <r>
          <rPr>
            <sz val="14"/>
            <color rgb="FF000000"/>
            <rFont val="Calibri"/>
            <family val="34"/>
          </rPr>
          <t xml:space="preserve">
</t>
        </r>
        <r>
          <rPr>
            <sz val="14"/>
            <color rgb="FF000000"/>
            <rFont val="Times New Roman"/>
            <family val="18"/>
          </rPr>
          <t>ML 10.126 IR 23 (1804) – Haupt Wetzelberg Komp. Nr. 94 (Krems 06/09/1803)</t>
        </r>
        <r>
          <rPr>
            <sz val="14"/>
            <color rgb="FF000000"/>
            <rFont val="Calibri"/>
            <family val="34"/>
          </rPr>
          <t xml:space="preserve">
</t>
        </r>
        <r>
          <rPr>
            <sz val="14"/>
            <color rgb="FF000000"/>
            <rFont val="Times New Roman"/>
            <family val="18"/>
          </rPr>
          <t>ML 10.127/8 IR 23 (1807) – Haupt Waldstetten Komp. Abgang (Rötz 26/01/1807)</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r>
          <rPr>
            <sz val="14"/>
            <color rgb="FF000000"/>
            <rFont val="Times New Roman"/>
            <family val="18"/>
          </rPr>
          <t>ML 10.164 IR 23 (1799) – ST Sept (01/04/1801)</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558" authorId="0" shapeId="0" xr:uid="{51416F2F-C32A-BB4D-B448-5152FAC65603}">
      <text>
        <r>
          <rPr>
            <sz val="14"/>
            <color rgb="FF000000"/>
            <rFont val="Calibri"/>
            <family val="34"/>
          </rPr>
          <t>IR 23 (1799-1806)</t>
        </r>
      </text>
    </comment>
    <comment ref="T559" authorId="0" shapeId="0" xr:uid="{0B911EE9-9E45-0142-91BA-70176B84A00C}">
      <text>
        <r>
          <rPr>
            <sz val="14"/>
            <color rgb="FF000000"/>
            <rFont val="Calibri"/>
            <family val="34"/>
          </rPr>
          <t xml:space="preserve">5.3 (165.89 cm) [ML 1803]
</t>
        </r>
        <r>
          <rPr>
            <sz val="14"/>
            <color rgb="FF000000"/>
            <rFont val="Calibri"/>
            <family val="34"/>
          </rPr>
          <t>5.4.1 (168.74 cm) [ML 1803]</t>
        </r>
      </text>
    </comment>
    <comment ref="BF559" authorId="0" shapeId="0" xr:uid="{33B96E28-4E1D-7746-A895-8624DA4F225E}">
      <text>
        <r>
          <rPr>
            <sz val="14"/>
            <color rgb="FF000000"/>
            <rFont val="Times New Roman"/>
            <family val="18"/>
          </rPr>
          <t xml:space="preserve">19/07/1799 </t>
        </r>
        <r>
          <rPr>
            <i/>
            <sz val="14"/>
            <color rgb="FF000000"/>
            <rFont val="Times New Roman"/>
            <family val="18"/>
          </rPr>
          <t>Von galizischen Ständen gestellt und a 3Fl für Beständig in Kielce assentiert, seitdem auf Anhero Marsch</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 xml:space="preserve">25/08/1799 </t>
        </r>
        <r>
          <rPr>
            <i/>
            <sz val="14"/>
            <color rgb="FF000000"/>
            <rFont val="Times New Roman"/>
            <family val="18"/>
          </rPr>
          <t>Ankunft in Reserve Division</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21/10 1799 Von die Reserve Division zum Komp. transferiert und ab eodem dato mit auswärtiger Verpflegung im Anmarsch [ST Oct 1799]</t>
        </r>
        <r>
          <rPr>
            <sz val="14"/>
            <color rgb="FF000000"/>
            <rFont val="Calibri"/>
            <family val="34"/>
          </rPr>
          <t xml:space="preserve">
</t>
        </r>
        <r>
          <rPr>
            <sz val="14"/>
            <color rgb="FF000000"/>
            <rFont val="Times New Roman"/>
            <family val="18"/>
          </rPr>
          <t>16/09/1802 Muster: IR 23 Haupt Balbus Nr. 91 [</t>
        </r>
        <r>
          <rPr>
            <i/>
            <sz val="14"/>
            <color rgb="FF000000"/>
            <rFont val="Times New Roman"/>
            <family val="18"/>
          </rPr>
          <t>Beurlaubt in Gallizien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Balbus Nr. 77</t>
        </r>
        <r>
          <rPr>
            <sz val="14"/>
            <color rgb="FF000000"/>
            <rFont val="Calibri"/>
            <family val="34"/>
          </rPr>
          <t xml:space="preserve">
</t>
        </r>
        <r>
          <rPr>
            <sz val="14"/>
            <color rgb="FF000000"/>
            <rFont val="Times New Roman"/>
            <family val="18"/>
          </rPr>
          <t>06/09/1804 Muster: IR 23 Haupt Balbus Nr. 71 [</t>
        </r>
        <r>
          <rPr>
            <i/>
            <sz val="14"/>
            <color rgb="FF000000"/>
            <rFont val="Times New Roman"/>
            <family val="18"/>
          </rPr>
          <t>Bis zur Exercierzeit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r>
          <rPr>
            <sz val="14"/>
            <color rgb="FF000000"/>
            <rFont val="Calibri"/>
            <family val="34"/>
          </rPr>
          <t xml:space="preserve">
</t>
        </r>
        <r>
          <rPr>
            <sz val="14"/>
            <color rgb="FF000000"/>
            <rFont val="Times New Roman"/>
            <family val="18"/>
          </rPr>
          <t xml:space="preserve">20/10/1807 </t>
        </r>
        <r>
          <rPr>
            <i/>
            <sz val="14"/>
            <color rgb="FF000000"/>
            <rFont val="Times New Roman"/>
            <family val="18"/>
          </rPr>
          <t>Als unwissend verloren per errorem in Abgang gebracht, 1. Juni 806 kommt wieder in Zuwachs bis inklusive 20. Okt 807 auf Urlaub</t>
        </r>
        <r>
          <rPr>
            <sz val="14"/>
            <color rgb="FF000000"/>
            <rFont val="Times New Roman"/>
            <family val="18"/>
          </rPr>
          <t xml:space="preserve"> [ST Nov 1807 &amp; RL 1808]</t>
        </r>
        <r>
          <rPr>
            <sz val="14"/>
            <color rgb="FF000000"/>
            <rFont val="Calibri"/>
            <family val="34"/>
          </rPr>
          <t xml:space="preserve">
</t>
        </r>
        <r>
          <rPr>
            <sz val="14"/>
            <color rgb="FF000000"/>
            <rFont val="Times New Roman"/>
            <family val="18"/>
          </rPr>
          <t xml:space="preserve">20/10/1807 </t>
        </r>
        <r>
          <rPr>
            <i/>
            <sz val="14"/>
            <color rgb="FF000000"/>
            <rFont val="Times New Roman"/>
            <family val="18"/>
          </rPr>
          <t xml:space="preserve">Von Urlaub Präsentiert; seit auf anhero Marsch </t>
        </r>
        <r>
          <rPr>
            <sz val="14"/>
            <color rgb="FF000000"/>
            <rFont val="Times New Roman"/>
            <family val="18"/>
          </rPr>
          <t>[ST Nov 1807]</t>
        </r>
        <r>
          <rPr>
            <sz val="14"/>
            <color rgb="FF000000"/>
            <rFont val="Calibri"/>
            <family val="34"/>
          </rPr>
          <t xml:space="preserve">
</t>
        </r>
        <r>
          <rPr>
            <sz val="14"/>
            <color rgb="FF000000"/>
            <rFont val="Times New Roman"/>
            <family val="18"/>
          </rPr>
          <t xml:space="preserve">23/10/1807 </t>
        </r>
        <r>
          <rPr>
            <i/>
            <sz val="14"/>
            <color rgb="FF000000"/>
            <rFont val="Times New Roman"/>
            <family val="18"/>
          </rPr>
          <t>Aus dem Marsch nach Krakau desertiert</t>
        </r>
        <r>
          <rPr>
            <sz val="14"/>
            <color rgb="FF000000"/>
            <rFont val="Times New Roman"/>
            <family val="18"/>
          </rPr>
          <t xml:space="preserve"> [ST Nov 1807 &amp; RL 1808]</t>
        </r>
        <r>
          <rPr>
            <sz val="14"/>
            <color rgb="FF000000"/>
            <rFont val="Calibri"/>
            <family val="34"/>
          </rPr>
          <t xml:space="preserve">
</t>
        </r>
      </text>
    </comment>
    <comment ref="BG559" authorId="0" shapeId="0" xr:uid="{1BC20951-C6D6-1446-894C-D910A3C425A8}">
      <text>
        <r>
          <rPr>
            <sz val="14"/>
            <color rgb="FF000000"/>
            <rFont val="Times New Roman"/>
            <family val="18"/>
          </rPr>
          <t>ML 10.124 IR 23 (1802) – Haupt Balbus Komp. Nr. 91 (Vienna 16/09/1802)</t>
        </r>
        <r>
          <rPr>
            <sz val="14"/>
            <color rgb="FF000000"/>
            <rFont val="Calibri"/>
            <family val="34"/>
          </rPr>
          <t xml:space="preserve">
</t>
        </r>
        <r>
          <rPr>
            <sz val="14"/>
            <color rgb="FF000000"/>
            <rFont val="Times New Roman"/>
            <family val="18"/>
          </rPr>
          <t>ML 10.125 IR 23 (1803) – Haupt Balbus Komp. Nr. 77 (Vienna 13/09/1803)</t>
        </r>
        <r>
          <rPr>
            <sz val="14"/>
            <color rgb="FF000000"/>
            <rFont val="Calibri"/>
            <family val="34"/>
          </rPr>
          <t xml:space="preserve">
</t>
        </r>
        <r>
          <rPr>
            <sz val="14"/>
            <color rgb="FF000000"/>
            <rFont val="Times New Roman"/>
            <family val="18"/>
          </rPr>
          <t>ML 10.126 IR 23 (1804) – Haupt Balbus Komp. Nr. 73 (Krems 06/09/1804)</t>
        </r>
        <r>
          <rPr>
            <sz val="14"/>
            <color rgb="FF000000"/>
            <rFont val="Calibri"/>
            <family val="34"/>
          </rPr>
          <t xml:space="preserve">
</t>
        </r>
        <r>
          <rPr>
            <sz val="14"/>
            <color rgb="FF000000"/>
            <rFont val="Times New Roman"/>
            <family val="18"/>
          </rPr>
          <t>ML 10.127/8 IR 23 (1807) – Haupt Balbus Komp. Abgang (Rötz 26/01/1807)</t>
        </r>
        <r>
          <rPr>
            <sz val="14"/>
            <color rgb="FF000000"/>
            <rFont val="Calibri"/>
            <family val="34"/>
          </rPr>
          <t xml:space="preserve">
</t>
        </r>
        <r>
          <rPr>
            <sz val="14"/>
            <color rgb="FF000000"/>
            <rFont val="Times New Roman"/>
            <family val="18"/>
          </rPr>
          <t>ML 10.129 IR 23 (1808) – Haupt Pappius Komp. Zuwachs &amp; Abgang (Zamosc 23/09/1808)</t>
        </r>
        <r>
          <rPr>
            <sz val="14"/>
            <color rgb="FF000000"/>
            <rFont val="Calibri"/>
            <family val="34"/>
          </rPr>
          <t xml:space="preserve">
</t>
        </r>
        <r>
          <rPr>
            <sz val="14"/>
            <color rgb="FF000000"/>
            <rFont val="Times New Roman"/>
            <family val="18"/>
          </rPr>
          <t>ML 10.164 IR 23 (1800) – ST Aug (22/10/1800), Sept (01/04/1801)</t>
        </r>
        <r>
          <rPr>
            <sz val="14"/>
            <color rgb="FF000000"/>
            <rFont val="Calibri"/>
            <family val="34"/>
          </rPr>
          <t xml:space="preserve">
</t>
        </r>
        <r>
          <rPr>
            <sz val="14"/>
            <color rgb="FF000000"/>
            <rFont val="Times New Roman"/>
            <family val="18"/>
          </rPr>
          <t>ML 10.177 IR 23 (1807) – ST Nov (07/01/1808)</t>
        </r>
        <r>
          <rPr>
            <sz val="14"/>
            <color rgb="FF000000"/>
            <rFont val="Calibri"/>
            <family val="34"/>
          </rPr>
          <t xml:space="preserve">
</t>
        </r>
      </text>
    </comment>
    <comment ref="BH559" authorId="0" shapeId="0" xr:uid="{79A7A3F6-5B94-DA49-9499-287A5312CDEA}">
      <text>
        <r>
          <rPr>
            <sz val="14"/>
            <color rgb="FF000000"/>
            <rFont val="Calibri"/>
            <family val="34"/>
          </rPr>
          <t>IR 23 (1799-1806)</t>
        </r>
      </text>
    </comment>
    <comment ref="BF560" authorId="0" shapeId="0" xr:uid="{ABDDB0F9-B551-0D47-848E-A37760FEA6F2}">
      <text>
        <r>
          <rPr>
            <sz val="14"/>
            <color rgb="FF000000"/>
            <rFont val="Times New Roman"/>
            <family val="18"/>
          </rPr>
          <t xml:space="preserve">22/07/1799 </t>
        </r>
        <r>
          <rPr>
            <i/>
            <sz val="14"/>
            <color rgb="FF000000"/>
            <rFont val="Times New Roman"/>
            <family val="18"/>
          </rPr>
          <t>Von Ständen gestellt und auf 3Fl zum Sandmierz assentiert, seitdem aud anhero Marsch mit Friedensgebuhr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10/1799 </t>
        </r>
        <r>
          <rPr>
            <i/>
            <sz val="14"/>
            <color rgb="FF000000"/>
            <rFont val="Times New Roman"/>
            <family val="18"/>
          </rPr>
          <t>Ins Reserve Division eingerückt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07/01/1800 </t>
        </r>
        <r>
          <rPr>
            <i/>
            <sz val="14"/>
            <color rgb="FF000000"/>
            <rFont val="Times New Roman"/>
            <family val="18"/>
          </rPr>
          <t>Zu Laibach in loco gestorben</t>
        </r>
        <r>
          <rPr>
            <sz val="14"/>
            <color rgb="FF000000"/>
            <rFont val="Times New Roman"/>
            <family val="18"/>
          </rPr>
          <t xml:space="preserve"> [ST Jan 1800]</t>
        </r>
        <r>
          <rPr>
            <sz val="14"/>
            <color rgb="FF000000"/>
            <rFont val="Calibri"/>
            <family val="34"/>
          </rPr>
          <t xml:space="preserve">
</t>
        </r>
      </text>
    </comment>
    <comment ref="BG560" authorId="0" shapeId="0" xr:uid="{EDB9604F-5619-764C-8AE5-9E559C6BFBEC}">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text>
    </comment>
    <comment ref="BH560" authorId="0" shapeId="0" xr:uid="{C5CC715C-8866-1C4B-8838-189BCD5B5340}">
      <text>
        <r>
          <rPr>
            <sz val="14"/>
            <color rgb="FF000000"/>
            <rFont val="Calibri"/>
            <family val="34"/>
          </rPr>
          <t>IR 43 (1799-1800)</t>
        </r>
      </text>
    </comment>
    <comment ref="BF561" authorId="0" shapeId="0" xr:uid="{2C621D6F-F338-494D-9EAF-6A326F7720AD}">
      <text>
        <r>
          <rPr>
            <sz val="14"/>
            <color rgb="FF000000"/>
            <rFont val="Times New Roman"/>
            <family val="18"/>
          </rPr>
          <t xml:space="preserve">22/07/1799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25/11/1799 </t>
        </r>
        <r>
          <rPr>
            <i/>
            <sz val="14"/>
            <color rgb="FF000000"/>
            <rFont val="Times New Roman"/>
            <family val="18"/>
          </rPr>
          <t xml:space="preserve">Vermög hoher General Commando Verordnung det. Graz am 18. Xbrs mit Laufpass entlassen </t>
        </r>
        <r>
          <rPr>
            <sz val="14"/>
            <color rgb="FF000000"/>
            <rFont val="Times New Roman"/>
            <family val="18"/>
          </rPr>
          <t>[ST Feb 1800]</t>
        </r>
        <r>
          <rPr>
            <sz val="14"/>
            <color rgb="FF000000"/>
            <rFont val="Calibri"/>
            <family val="34"/>
          </rPr>
          <t xml:space="preserve">
</t>
        </r>
      </text>
    </comment>
    <comment ref="BG561" authorId="0" shapeId="0" xr:uid="{4630D97C-A138-CB44-9516-5289E736DDC3}">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35 (Sandomierz 31/08/1799)</t>
        </r>
        <r>
          <rPr>
            <sz val="14"/>
            <color rgb="FF000000"/>
            <rFont val="Calibri"/>
            <family val="34"/>
          </rPr>
          <t xml:space="preserve">
</t>
        </r>
        <r>
          <rPr>
            <sz val="14"/>
            <color rgb="FF000000"/>
            <rFont val="Times New Roman"/>
            <family val="18"/>
          </rPr>
          <t>ML 10.309 IR 43 (1800) – ST Feb (06/04/1801)</t>
        </r>
        <r>
          <rPr>
            <sz val="14"/>
            <color rgb="FF000000"/>
            <rFont val="Calibri"/>
            <family val="34"/>
          </rPr>
          <t xml:space="preserve">
</t>
        </r>
      </text>
    </comment>
    <comment ref="BH561" authorId="0" shapeId="0" xr:uid="{65987FE3-9DF5-9B40-BE70-B18D8E2F5AE9}">
      <text>
        <r>
          <rPr>
            <sz val="14"/>
            <color rgb="FF000000"/>
            <rFont val="Calibri"/>
            <family val="34"/>
          </rPr>
          <t>IR 43 (1799)</t>
        </r>
      </text>
    </comment>
    <comment ref="BF562" authorId="0" shapeId="0" xr:uid="{FFA64FFA-5B4F-C740-898B-6EA396294E83}">
      <text>
        <r>
          <rPr>
            <sz val="14"/>
            <color rgb="FF000000"/>
            <rFont val="Times New Roman"/>
            <family val="18"/>
          </rPr>
          <t xml:space="preserve">22/07/1799 </t>
        </r>
        <r>
          <rPr>
            <i/>
            <sz val="14"/>
            <color rgb="FF000000"/>
            <rFont val="Times New Roman"/>
            <family val="18"/>
          </rPr>
          <t xml:space="preserve">Von Ständen gestellt und zum Sandomierz assentiert und seitdem auf anhero Marsch mit Friedensgebühr </t>
        </r>
        <r>
          <rPr>
            <sz val="14"/>
            <color rgb="FF000000"/>
            <rFont val="Times New Roman"/>
            <family val="18"/>
          </rPr>
          <t>[AL 1799 &amp; ST Nov 1799]</t>
        </r>
        <r>
          <rPr>
            <sz val="14"/>
            <color rgb="FF000000"/>
            <rFont val="Calibri"/>
            <family val="34"/>
          </rPr>
          <t xml:space="preserve">
</t>
        </r>
        <r>
          <rPr>
            <sz val="14"/>
            <color rgb="FF000000"/>
            <rFont val="Times New Roman"/>
            <family val="18"/>
          </rPr>
          <t xml:space="preserve">10/11/1800 </t>
        </r>
        <r>
          <rPr>
            <i/>
            <sz val="14"/>
            <color rgb="FF000000"/>
            <rFont val="Times New Roman"/>
            <family val="18"/>
          </rPr>
          <t>In Reserve Division eingerückt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26/03/1801 </t>
        </r>
        <r>
          <rPr>
            <i/>
            <sz val="14"/>
            <color rgb="FF000000"/>
            <rFont val="Times New Roman"/>
            <family val="18"/>
          </rPr>
          <t>Von Reserve Division zum Haupt Basta Komp. transferiert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28/03/1801 </t>
        </r>
        <r>
          <rPr>
            <i/>
            <sz val="14"/>
            <color rgb="FF000000"/>
            <rFont val="Times New Roman"/>
            <family val="18"/>
          </rPr>
          <t xml:space="preserve">Krank in </t>
        </r>
        <r>
          <rPr>
            <i/>
            <sz val="14"/>
            <color rgb="FF000000"/>
            <rFont val="Times New Roman"/>
            <family val="18"/>
          </rPr>
          <t>auswärtiger Spital</t>
        </r>
        <r>
          <rPr>
            <sz val="14"/>
            <color rgb="FF000000"/>
            <rFont val="Times New Roman"/>
            <family val="18"/>
          </rPr>
          <t xml:space="preserve"> [Als Anton SPANHUTZ]</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ins auswärtiger Feldspitalern als über ½ Jahr auswärts und deren Existenz gänzlich unbewusst als unwissend verloren in Abgang gebracht</t>
        </r>
        <r>
          <rPr>
            <sz val="14"/>
            <color rgb="FF000000"/>
            <rFont val="Times New Roman"/>
            <family val="18"/>
          </rPr>
          <t xml:space="preserve"> [ST Oct 1801]</t>
        </r>
        <r>
          <rPr>
            <sz val="14"/>
            <color rgb="FF000000"/>
            <rFont val="Calibri"/>
            <family val="34"/>
          </rPr>
          <t xml:space="preserve">
</t>
        </r>
      </text>
    </comment>
    <comment ref="BG562" authorId="0" shapeId="0" xr:uid="{EB5A2C9F-3A14-9E47-B5A4-34FB2268AB1B}">
      <text>
        <r>
          <rPr>
            <sz val="14"/>
            <color rgb="FF000000"/>
            <rFont val="Times New Roman"/>
            <family val="18"/>
          </rPr>
          <t>ML 10.308 IR 43 (1799) – Nov (12/10/1800)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r>
          <rPr>
            <sz val="14"/>
            <color rgb="FF000000"/>
            <rFont val="Times New Roman"/>
            <family val="18"/>
          </rPr>
          <t>ML 10.309 IR 43 (1800) – ST Nov (02/04/1804)</t>
        </r>
        <r>
          <rPr>
            <sz val="14"/>
            <color rgb="FF000000"/>
            <rFont val="Calibri"/>
            <family val="34"/>
          </rPr>
          <t xml:space="preserve">
</t>
        </r>
        <r>
          <rPr>
            <sz val="14"/>
            <color rgb="FF000000"/>
            <rFont val="Times New Roman"/>
            <family val="18"/>
          </rPr>
          <t>ML 10.311 IR 43 (1801) – März (10/10/1804), Oct (21/07/1805)</t>
        </r>
        <r>
          <rPr>
            <sz val="14"/>
            <color rgb="FF000000"/>
            <rFont val="Calibri"/>
            <family val="34"/>
          </rPr>
          <t xml:space="preserve">
</t>
        </r>
      </text>
    </comment>
    <comment ref="BH562" authorId="0" shapeId="0" xr:uid="{566B160C-8580-BF43-9439-1EFE2FE3C668}">
      <text>
        <r>
          <rPr>
            <sz val="14"/>
            <color rgb="FF000000"/>
            <rFont val="Calibri"/>
            <family val="34"/>
          </rPr>
          <t>IR 43 (1799-1801)</t>
        </r>
      </text>
    </comment>
    <comment ref="J563" authorId="0" shapeId="0" xr:uid="{524C0835-8FF6-2F4B-B406-CA6B4A87F96B}">
      <text>
        <r>
          <rPr>
            <sz val="14"/>
            <color rgb="FF000000"/>
            <rFont val="Calibri"/>
            <family val="34"/>
          </rPr>
          <t>Veheiratet (1799)</t>
        </r>
        <r>
          <rPr>
            <sz val="14"/>
            <color rgb="FF000000"/>
            <rFont val="Calibri"/>
            <family val="34"/>
          </rPr>
          <t xml:space="preserve">
</t>
        </r>
        <r>
          <rPr>
            <sz val="14"/>
            <color rgb="FF000000"/>
            <rFont val="Calibri"/>
            <family val="34"/>
          </rPr>
          <t>Ledig (1802-1803)</t>
        </r>
      </text>
    </comment>
    <comment ref="T563" authorId="0" shapeId="0" xr:uid="{8485E281-2EB0-DF47-A1DF-4B3B878EB796}">
      <text>
        <r>
          <rPr>
            <sz val="14"/>
            <color rgb="FF000000"/>
            <rFont val="Calibri"/>
            <family val="34"/>
          </rPr>
          <t xml:space="preserve">5.1.2 (161.07 cm) [AL Aug 1799]
</t>
        </r>
        <r>
          <rPr>
            <sz val="14"/>
            <color rgb="FF000000"/>
            <rFont val="Calibri"/>
            <family val="34"/>
          </rPr>
          <t>5.3.1 (166.11 cm) [ML 1802/3]</t>
        </r>
      </text>
    </comment>
    <comment ref="BF563" authorId="0" shapeId="0" xr:uid="{37C5C2DB-FE78-0045-9CC7-E9DC3F4F6D19}">
      <text>
        <r>
          <rPr>
            <sz val="14"/>
            <color rgb="FFFF0000"/>
            <rFont val="Times New Roman"/>
            <family val="18"/>
          </rPr>
          <t xml:space="preserve">12/01/1799 </t>
        </r>
        <r>
          <rPr>
            <i/>
            <sz val="14"/>
            <color rgb="FFFF0000"/>
            <rFont val="Times New Roman"/>
            <family val="18"/>
          </rPr>
          <t>Von Ständen a 3Fl Handgeld gestellt [</t>
        </r>
        <r>
          <rPr>
            <sz val="14"/>
            <color rgb="FFFF0000"/>
            <rFont val="Times New Roman"/>
            <family val="18"/>
          </rPr>
          <t>ML 1802]</t>
        </r>
        <r>
          <rPr>
            <sz val="14"/>
            <color rgb="FF000000"/>
            <rFont val="Calibri"/>
            <family val="34"/>
          </rPr>
          <t xml:space="preserve">
</t>
        </r>
        <r>
          <rPr>
            <sz val="14"/>
            <color rgb="FF000000"/>
            <rFont val="Times New Roman"/>
            <family val="18"/>
          </rPr>
          <t xml:space="preserve">22/07/1799 </t>
        </r>
        <r>
          <rPr>
            <i/>
            <sz val="14"/>
            <color rgb="FF000000"/>
            <rFont val="Times New Roman"/>
            <family val="18"/>
          </rPr>
          <t xml:space="preserve">Von Ständen für Ostrowiec </t>
        </r>
        <r>
          <rPr>
            <b/>
            <sz val="14"/>
            <color rgb="FF000000"/>
            <rFont val="Times New Roman"/>
            <family val="18"/>
          </rPr>
          <t>[</t>
        </r>
        <r>
          <rPr>
            <b/>
            <u/>
            <sz val="14"/>
            <color rgb="FF0563C1"/>
            <rFont val="Times New Roman"/>
            <family val="18"/>
          </rPr>
          <t>Ostrowiec Świętokrzyski, Poland</t>
        </r>
        <r>
          <rPr>
            <b/>
            <sz val="14"/>
            <color rgb="FF000000"/>
            <rFont val="Times New Roman"/>
            <family val="18"/>
          </rPr>
          <t>]</t>
        </r>
        <r>
          <rPr>
            <sz val="14"/>
            <color rgb="FF000000"/>
            <rFont val="Times New Roman"/>
            <family val="18"/>
          </rPr>
          <t xml:space="preserve"> </t>
        </r>
        <r>
          <rPr>
            <i/>
            <sz val="14"/>
            <color rgb="FF000000"/>
            <rFont val="Times New Roman"/>
            <family val="18"/>
          </rPr>
          <t>a 3Fl Handgeld gestellt</t>
        </r>
        <r>
          <rPr>
            <sz val="14"/>
            <color rgb="FF000000"/>
            <rFont val="Times New Roman"/>
            <family val="18"/>
          </rPr>
          <t xml:space="preserve"> [AL 1799]</t>
        </r>
        <r>
          <rPr>
            <sz val="14"/>
            <color rgb="FF000000"/>
            <rFont val="Calibri"/>
            <family val="34"/>
          </rPr>
          <t xml:space="preserve">
</t>
        </r>
        <r>
          <rPr>
            <sz val="14"/>
            <color rgb="FF000000"/>
            <rFont val="Times New Roman"/>
            <family val="18"/>
          </rPr>
          <t xml:space="preserve">31/10/1799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13/12/1799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20/12/1799 </t>
        </r>
        <r>
          <rPr>
            <i/>
            <sz val="14"/>
            <color rgb="FF000000"/>
            <rFont val="Times New Roman"/>
            <family val="18"/>
          </rPr>
          <t>Rekonvalesziert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25/01/1800 </t>
        </r>
        <r>
          <rPr>
            <i/>
            <sz val="14"/>
            <color rgb="FF000000"/>
            <rFont val="Times New Roman"/>
            <family val="18"/>
          </rPr>
          <t>Ferner Krank auswärts mit Kriegsgebühr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10/02/1800 </t>
        </r>
        <r>
          <rPr>
            <i/>
            <sz val="14"/>
            <color rgb="FF000000"/>
            <rFont val="Times New Roman"/>
            <family val="18"/>
          </rPr>
          <t>Rekonvalesziert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31/03/1800 </t>
        </r>
        <r>
          <rPr>
            <i/>
            <sz val="14"/>
            <color rgb="FF000000"/>
            <rFont val="Times New Roman"/>
            <family val="18"/>
          </rPr>
          <t>Ferner 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10/05/1800 </t>
        </r>
        <r>
          <rPr>
            <i/>
            <sz val="14"/>
            <color rgb="FF000000"/>
            <rFont val="Times New Roman"/>
            <family val="18"/>
          </rPr>
          <t>In Reserve Division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25/06/1800 </t>
        </r>
        <r>
          <rPr>
            <i/>
            <sz val="14"/>
            <color rgb="FF000000"/>
            <rFont val="Times New Roman"/>
            <family val="18"/>
          </rPr>
          <t>Von Reserve Division ins Haupt Selmbach Komp. Transferiert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24/08/1802 Muster: IR 43 Haupt. Selmbach Komp. Nr. 84</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78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15/05/1804 </t>
        </r>
        <r>
          <rPr>
            <i/>
            <sz val="14"/>
            <color rgb="FF000000"/>
            <rFont val="Times New Roman"/>
            <family val="18"/>
          </rPr>
          <t>Als steuerbare Grundbesitzer gegen Stellung deas am 13ten April 804 zu Latterman Inf., Regt Nr. 45 zu Reszow asssentierte Recrouten Sebastian Panek mit Abschied entlassen</t>
        </r>
        <r>
          <rPr>
            <sz val="14"/>
            <color rgb="FF000000"/>
            <rFont val="Times New Roman"/>
            <family val="18"/>
          </rPr>
          <t xml:space="preserve"> [ST May 1804 &amp; ML 1804]</t>
        </r>
        <r>
          <rPr>
            <sz val="14"/>
            <color rgb="FF000000"/>
            <rFont val="Calibri"/>
            <family val="34"/>
          </rPr>
          <t xml:space="preserve">
</t>
        </r>
      </text>
    </comment>
    <comment ref="BG563" authorId="0" shapeId="0" xr:uid="{70ADBC23-A0EB-624A-B65B-B44F0EA2C43E}">
      <text>
        <r>
          <rPr>
            <sz val="14"/>
            <color rgb="FF000000"/>
            <rFont val="Times New Roman"/>
            <family val="18"/>
          </rPr>
          <t>ML 10.272 IR 43 (1802) – Haupt Selmbach Komp. Nr. 84 (Budua 24/08/1802)</t>
        </r>
        <r>
          <rPr>
            <sz val="14"/>
            <color rgb="FF000000"/>
            <rFont val="Calibri"/>
            <family val="34"/>
          </rPr>
          <t xml:space="preserve">
</t>
        </r>
        <r>
          <rPr>
            <sz val="14"/>
            <color rgb="FF000000"/>
            <rFont val="Times New Roman"/>
            <family val="18"/>
          </rPr>
          <t>ML 10.273 IR 43 (1803) – Haupt Selmbach Komp. Nr. 78 (Knin 03/11/1803)</t>
        </r>
        <r>
          <rPr>
            <sz val="14"/>
            <color rgb="FF000000"/>
            <rFont val="Calibri"/>
            <family val="34"/>
          </rPr>
          <t xml:space="preserve">
</t>
        </r>
        <r>
          <rPr>
            <sz val="14"/>
            <color rgb="FF000000"/>
            <rFont val="Times New Roman"/>
            <family val="18"/>
          </rPr>
          <t>ML 10.274 IR 43 (1804) – Haupt Selmbach Komp. Abgang (Zara 15/09/1804)</t>
        </r>
        <r>
          <rPr>
            <sz val="14"/>
            <color rgb="FF000000"/>
            <rFont val="Calibri"/>
            <family val="34"/>
          </rPr>
          <t xml:space="preserve">
</t>
        </r>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36 (Sandomierz 31/08/1799)</t>
        </r>
        <r>
          <rPr>
            <sz val="14"/>
            <color rgb="FF000000"/>
            <rFont val="Calibri"/>
            <family val="34"/>
          </rPr>
          <t xml:space="preserve">
</t>
        </r>
        <r>
          <rPr>
            <sz val="14"/>
            <color rgb="FF000000"/>
            <rFont val="Times New Roman"/>
            <family val="18"/>
          </rPr>
          <t>ML 10.309 IR 43 (1800) – ST Jan (26/02/1801), Feb (06/04/1801), März (04/10/1801), Mai (??), Juni (27/08/1803)</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10.314 IR 43 (1804) – ST Mai (15/06/1804)</t>
        </r>
        <r>
          <rPr>
            <sz val="14"/>
            <color rgb="FF000000"/>
            <rFont val="Calibri"/>
            <family val="34"/>
          </rPr>
          <t xml:space="preserve">
</t>
        </r>
      </text>
    </comment>
    <comment ref="BH563" authorId="0" shapeId="0" xr:uid="{00112D86-418D-9649-A329-2A3FE3D06AD5}">
      <text>
        <r>
          <rPr>
            <sz val="14"/>
            <color rgb="FF000000"/>
            <rFont val="Calibri"/>
            <family val="34"/>
          </rPr>
          <t>IR 43 (1799-1804)</t>
        </r>
      </text>
    </comment>
    <comment ref="I564" authorId="0" shapeId="0" xr:uid="{0DB9D024-0B50-3348-A271-39084F9CAF59}">
      <text>
        <r>
          <rPr>
            <sz val="14"/>
            <color rgb="FF000000"/>
            <rFont val="Calibri"/>
            <family val="34"/>
          </rPr>
          <t xml:space="preserve">1778 [22 (TL 1800)]
</t>
        </r>
        <r>
          <rPr>
            <sz val="14"/>
            <color rgb="FF000000"/>
            <rFont val="Calibri"/>
            <family val="34"/>
          </rPr>
          <t xml:space="preserve">OR
</t>
        </r>
        <r>
          <rPr>
            <sz val="14"/>
            <color rgb="FF000000"/>
            <rFont val="Calibri"/>
            <family val="34"/>
          </rPr>
          <t xml:space="preserve">1781 [18 (AL 1799)] </t>
        </r>
      </text>
    </comment>
    <comment ref="K564" authorId="0" shapeId="0" xr:uid="{19308655-7870-7A4F-9ADD-F689F4C5AD2B}">
      <text>
        <r>
          <rPr>
            <sz val="14"/>
            <color rgb="FF000000"/>
            <rFont val="Calibri"/>
            <family val="34"/>
          </rPr>
          <t xml:space="preserve">Ohne  (1799)
</t>
        </r>
        <r>
          <rPr>
            <sz val="14"/>
            <color rgb="FF000000"/>
            <rFont val="Calibri"/>
            <family val="34"/>
          </rPr>
          <t>Schneider (1800-1810)</t>
        </r>
      </text>
    </comment>
    <comment ref="T564" authorId="0" shapeId="0" xr:uid="{7F264278-F011-724F-A1C1-2DF2967C4523}">
      <text>
        <r>
          <rPr>
            <sz val="14"/>
            <color rgb="FF000000"/>
            <rFont val="Calibri"/>
            <family val="34"/>
          </rPr>
          <t xml:space="preserve">5.2 (163.26 cm) [AL Aug 1799]
</t>
        </r>
        <r>
          <rPr>
            <sz val="14"/>
            <color rgb="FF000000"/>
            <rFont val="Calibri"/>
            <family val="34"/>
          </rPr>
          <t xml:space="preserve">5.2.3 (163.92 cm) [ML 1810]
</t>
        </r>
        <r>
          <rPr>
            <sz val="14"/>
            <color rgb="FF000000"/>
            <rFont val="Calibri"/>
            <family val="34"/>
          </rPr>
          <t>5.5.1 (171.37 cm) [TL June 1800]</t>
        </r>
      </text>
    </comment>
    <comment ref="BF564" authorId="0" shapeId="0" xr:uid="{077E0FA1-7CCC-3844-9B6D-0C2A03DA011C}">
      <text>
        <r>
          <rPr>
            <sz val="14"/>
            <color rgb="FFFF0000"/>
            <rFont val="Times New Roman"/>
            <family val="18"/>
          </rPr>
          <t xml:space="preserve">10/06/1799 </t>
        </r>
        <r>
          <rPr>
            <i/>
            <sz val="14"/>
            <color rgb="FFFF0000"/>
            <rFont val="Times New Roman"/>
            <family val="18"/>
          </rPr>
          <t>Als galizische ständische Recourt a 3Fl Handgeld assentiert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23/07/1799 </t>
        </r>
        <r>
          <rPr>
            <i/>
            <sz val="14"/>
            <color rgb="FF000000"/>
            <rFont val="Times New Roman"/>
            <family val="18"/>
          </rPr>
          <t>Von Ständen gestellt und zum IR 43 a 3Fl Handgeld zum Sandomierz assentiert, seitdem auf Anhero Marsch mit Friedensgebühr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Reserve Division eingerückt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Krank auswärts</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15/11/1799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Reserve Division ins Regiment transferiert</t>
        </r>
        <r>
          <rPr>
            <sz val="14"/>
            <color rgb="FF000000"/>
            <rFont val="Times New Roman"/>
            <family val="18"/>
          </rPr>
          <t xml:space="preserve"> [Durchgestriechen] [TL June 1800]</t>
        </r>
        <r>
          <rPr>
            <sz val="14"/>
            <color rgb="FF000000"/>
            <rFont val="Calibri"/>
            <family val="34"/>
          </rPr>
          <t xml:space="preserve">
</t>
        </r>
        <r>
          <rPr>
            <sz val="14"/>
            <color rgb="FF000000"/>
            <rFont val="Times New Roman"/>
            <family val="18"/>
          </rPr>
          <t xml:space="preserve">15/12/1800 </t>
        </r>
        <r>
          <rPr>
            <i/>
            <sz val="14"/>
            <color rgb="FF000000"/>
            <rFont val="Times New Roman"/>
            <family val="18"/>
          </rPr>
          <t>Krank auswärts</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31/01/1801 </t>
        </r>
        <r>
          <rPr>
            <i/>
            <sz val="14"/>
            <color rgb="FF000000"/>
            <rFont val="Times New Roman"/>
            <family val="18"/>
          </rPr>
          <t>Rekonvalesziert und ins Reserve Division eingerückt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 Haupt Basta Companie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26/06/1802 </t>
        </r>
        <r>
          <rPr>
            <i/>
            <sz val="14"/>
            <color rgb="FF000000"/>
            <rFont val="Times New Roman"/>
            <family val="18"/>
          </rPr>
          <t>Hat bei Visitierung des Stationes durch Herrn Oberst Kleinmayrn die Jüdische Religion abgelegt und die Christ katholische angenommen und deswegen er in der Taufe die Namen Franz Kleinmayern erhalten</t>
        </r>
        <r>
          <rPr>
            <sz val="14"/>
            <color rgb="FF000000"/>
            <rFont val="Times New Roman"/>
            <family val="18"/>
          </rPr>
          <t>] [ML 1803 &amp; ML 1804]</t>
        </r>
        <r>
          <rPr>
            <sz val="14"/>
            <color rgb="FF000000"/>
            <rFont val="Calibri"/>
            <family val="34"/>
          </rPr>
          <t xml:space="preserve">
</t>
        </r>
        <r>
          <rPr>
            <sz val="14"/>
            <color rgb="FF000000"/>
            <rFont val="Times New Roman"/>
            <family val="18"/>
          </rPr>
          <t>21/08/1802 Muster: IR 43 Haupt Basta Komp. Nr. 126</t>
        </r>
        <r>
          <rPr>
            <sz val="14"/>
            <color rgb="FF000000"/>
            <rFont val="Calibri"/>
            <family val="34"/>
          </rPr>
          <t xml:space="preserve">
</t>
        </r>
        <r>
          <rPr>
            <sz val="14"/>
            <color rgb="FF000000"/>
            <rFont val="Times New Roman"/>
            <family val="18"/>
          </rPr>
          <t xml:space="preserve">30/06/1803 </t>
        </r>
        <r>
          <rPr>
            <i/>
            <sz val="14"/>
            <color rgb="FF000000"/>
            <rFont val="Times New Roman"/>
            <family val="18"/>
          </rPr>
          <t>Von Haupt Basta zum 2. Major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28/09/1803 Muster: IR 43 2. Major Komp. Nr. 155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07/10/1804 Muster: IR 43 2. Major Nr. 139</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[ML 1805]</t>
        </r>
        <r>
          <rPr>
            <sz val="14"/>
            <color rgb="FF000000"/>
            <rFont val="Calibri"/>
            <family val="34"/>
          </rPr>
          <t xml:space="preserve">
</t>
        </r>
        <r>
          <rPr>
            <sz val="14"/>
            <color rgb="FF000000"/>
            <rFont val="Times New Roman"/>
            <family val="18"/>
          </rPr>
          <t>01/10/1805 Muster: IR 43 5. Fus. Komp. Nr. 13</t>
        </r>
        <r>
          <rPr>
            <sz val="14"/>
            <color rgb="FF000000"/>
            <rFont val="Calibri"/>
            <family val="34"/>
          </rPr>
          <t xml:space="preserve">
</t>
        </r>
        <r>
          <rPr>
            <sz val="14"/>
            <color rgb="FF000000"/>
            <rFont val="Times New Roman"/>
            <family val="18"/>
          </rPr>
          <t>01/12/1806 Muster: IR 43 7. Fus. Komp. Nr. 11</t>
        </r>
        <r>
          <rPr>
            <sz val="14"/>
            <color rgb="FF000000"/>
            <rFont val="Calibri"/>
            <family val="34"/>
          </rPr>
          <t xml:space="preserve">
</t>
        </r>
        <r>
          <rPr>
            <sz val="14"/>
            <color rgb="FF000000"/>
            <rFont val="Times New Roman"/>
            <family val="18"/>
          </rPr>
          <t>06/09/1808 Revision: IR 43 7. Fus. Nr. 9 [Als Vital Kleinmayern]</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7. Zur 6. Fus. Komp. transferiert und zum Feldwebel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23/05/1809 </t>
        </r>
        <r>
          <rPr>
            <i/>
            <sz val="14"/>
            <color rgb="FF000000"/>
            <rFont val="Times New Roman"/>
            <family val="18"/>
          </rPr>
          <t xml:space="preserve">Bei der </t>
        </r>
        <r>
          <rPr>
            <b/>
            <i/>
            <sz val="14"/>
            <color rgb="FF000000"/>
            <rFont val="Times New Roman"/>
            <family val="18"/>
          </rPr>
          <t xml:space="preserve">Übergabe des Laibacher Kastel </t>
        </r>
        <r>
          <rPr>
            <i/>
            <sz val="14"/>
            <color rgb="FF000000"/>
            <rFont val="Times New Roman"/>
            <family val="18"/>
          </rPr>
          <t>in Kriegsgefangenschaft gefallen</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20/07/1809 </t>
        </r>
        <r>
          <rPr>
            <i/>
            <sz val="14"/>
            <color rgb="FF000000"/>
            <rFont val="Times New Roman"/>
            <family val="18"/>
          </rPr>
          <t>Sich selbst ranzioniert und in Depot Division in Arrest zugeteilt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7. Zur 10. Fus. Komp. transferiert</t>
        </r>
        <r>
          <rPr>
            <sz val="14"/>
            <color rgb="FF000000"/>
            <rFont val="Times New Roman"/>
            <family val="18"/>
          </rPr>
          <t xml:space="preserve">, </t>
        </r>
        <r>
          <rPr>
            <i/>
            <sz val="14"/>
            <color rgb="FF000000"/>
            <rFont val="Times New Roman"/>
            <family val="18"/>
          </rPr>
          <t>bleibt in Arrest</t>
        </r>
        <r>
          <rPr>
            <sz val="14"/>
            <color rgb="FF000000"/>
            <rFont val="Times New Roman"/>
            <family val="18"/>
          </rPr>
          <t xml:space="preserve"> [ST Aug]</t>
        </r>
        <r>
          <rPr>
            <sz val="14"/>
            <color rgb="FF000000"/>
            <rFont val="Calibri"/>
            <family val="34"/>
          </rPr>
          <t xml:space="preserve">
</t>
        </r>
        <r>
          <rPr>
            <sz val="14"/>
            <color rgb="FF000000"/>
            <rFont val="Times New Roman"/>
            <family val="18"/>
          </rPr>
          <t xml:space="preserve">26/10/1809 </t>
        </r>
        <r>
          <rPr>
            <i/>
            <sz val="14"/>
            <color rgb="FF000000"/>
            <rFont val="Times New Roman"/>
            <family val="18"/>
          </rPr>
          <t>Vermog Kriegsrechtlichen Sentenz auf Beständig zur Gemeiner degradiert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25/02/1810 Dissolvierung: 10. Fus. Komp. Nr. 100 [</t>
        </r>
        <r>
          <rPr>
            <i/>
            <sz val="14"/>
            <color rgb="FF000000"/>
            <rFont val="Times New Roman"/>
            <family val="18"/>
          </rPr>
          <t>Zum Chasteler eingeheilt</t>
        </r>
        <r>
          <rPr>
            <sz val="14"/>
            <color rgb="FF000000"/>
            <rFont val="Times New Roman"/>
            <family val="18"/>
          </rPr>
          <t>]</t>
        </r>
        <r>
          <rPr>
            <sz val="14"/>
            <color rgb="FF000000"/>
            <rFont val="Calibri"/>
            <family val="34"/>
          </rPr>
          <t xml:space="preserve">
</t>
        </r>
        <r>
          <rPr>
            <sz val="14"/>
            <color rgb="FF000000"/>
            <rFont val="Times New Roman"/>
            <family val="18"/>
          </rPr>
          <t xml:space="preserve">26/02/1810 </t>
        </r>
        <r>
          <rPr>
            <i/>
            <sz val="14"/>
            <color rgb="FF000000"/>
            <rFont val="Times New Roman"/>
            <family val="18"/>
          </rPr>
          <t xml:space="preserve">Von dissolvierte IR 43 10. Fus. Komp. zum IR 27 transferiert und zur 4. Fus. Komp. eingeteilt </t>
        </r>
        <r>
          <rPr>
            <sz val="14"/>
            <color rgb="FF000000"/>
            <rFont val="Times New Roman"/>
            <family val="18"/>
          </rPr>
          <t>[TL Juli 1810 &amp; ST Feb 1810 &amp; ST March 1810]</t>
        </r>
        <r>
          <rPr>
            <sz val="14"/>
            <color rgb="FF000000"/>
            <rFont val="Calibri"/>
            <family val="34"/>
          </rPr>
          <t xml:space="preserve">
</t>
        </r>
        <r>
          <rPr>
            <sz val="14"/>
            <color rgb="FF000000"/>
            <rFont val="Times New Roman"/>
            <family val="18"/>
          </rPr>
          <t>13/09/1810 Revision: IR 27 4. Fus. Komp. Nr. 130</t>
        </r>
        <r>
          <rPr>
            <sz val="14"/>
            <color rgb="FF000000"/>
            <rFont val="Calibri"/>
            <family val="34"/>
          </rPr>
          <t xml:space="preserve">
</t>
        </r>
        <r>
          <rPr>
            <sz val="14"/>
            <color rgb="FF000000"/>
            <rFont val="Times New Roman"/>
            <family val="18"/>
          </rPr>
          <t xml:space="preserve">31/07/1811 </t>
        </r>
        <r>
          <rPr>
            <i/>
            <sz val="14"/>
            <color rgb="FF000000"/>
            <rFont val="Times New Roman"/>
            <family val="18"/>
          </rPr>
          <t>Als Ausgediente Inländer Capitulant mit Abschied entlassen</t>
        </r>
        <r>
          <rPr>
            <sz val="14"/>
            <color rgb="FF000000"/>
            <rFont val="Times New Roman"/>
            <family val="18"/>
          </rPr>
          <t xml:space="preserve"> [ML 1811]</t>
        </r>
        <r>
          <rPr>
            <sz val="14"/>
            <color rgb="FF000000"/>
            <rFont val="Calibri"/>
            <family val="34"/>
          </rPr>
          <t xml:space="preserve">
</t>
        </r>
      </text>
    </comment>
    <comment ref="BG564" authorId="0" shapeId="0" xr:uid="{CB896EF2-C80B-A54C-ABB9-F71C160A34F2}">
      <text>
        <r>
          <rPr>
            <sz val="14"/>
            <color rgb="FF000000"/>
            <rFont val="Times New Roman"/>
            <family val="18"/>
          </rPr>
          <t>ML 10.272 IR 43 (1802) – Haupt Basta Komp. Nr. 126 (Risano 21/08/1802)</t>
        </r>
        <r>
          <rPr>
            <sz val="14"/>
            <color rgb="FF000000"/>
            <rFont val="Calibri"/>
            <family val="34"/>
          </rPr>
          <t xml:space="preserve">
</t>
        </r>
        <r>
          <rPr>
            <sz val="14"/>
            <color rgb="FF000000"/>
            <rFont val="Times New Roman"/>
            <family val="18"/>
          </rPr>
          <t>ML 10.273 IR 43 (1803) – 2. Major Komp. Nr. 155 (Zara 28/09/1803)</t>
        </r>
        <r>
          <rPr>
            <sz val="14"/>
            <color rgb="FF000000"/>
            <rFont val="Calibri"/>
            <family val="34"/>
          </rPr>
          <t xml:space="preserve">
</t>
        </r>
        <r>
          <rPr>
            <sz val="14"/>
            <color rgb="FF000000"/>
            <rFont val="Times New Roman"/>
            <family val="18"/>
          </rPr>
          <t>ML 10.274 IR 43 (1804) – 2. Major Komp. Nr. 139 (Zara 15/09/1804)</t>
        </r>
        <r>
          <rPr>
            <sz val="14"/>
            <color rgb="FF000000"/>
            <rFont val="Calibri"/>
            <family val="34"/>
          </rPr>
          <t xml:space="preserve">
</t>
        </r>
        <r>
          <rPr>
            <sz val="14"/>
            <color rgb="FF000000"/>
            <rFont val="Times New Roman"/>
            <family val="18"/>
          </rPr>
          <t>ML 10.275/6 IR 43 (1805) – 5. Fus. Komp. Nr. 13 (Zara 01/10/1805)</t>
        </r>
        <r>
          <rPr>
            <sz val="14"/>
            <color rgb="FF000000"/>
            <rFont val="Calibri"/>
            <family val="34"/>
          </rPr>
          <t xml:space="preserve">
</t>
        </r>
        <r>
          <rPr>
            <sz val="14"/>
            <color rgb="FF000000"/>
            <rFont val="Times New Roman"/>
            <family val="18"/>
          </rPr>
          <t>ML 10.277/8 IR 43 (1806) – 7. Komp. Nr. 11 (Laibach 01/12/1806)</t>
        </r>
        <r>
          <rPr>
            <sz val="14"/>
            <color rgb="FF000000"/>
            <rFont val="Calibri"/>
            <family val="34"/>
          </rPr>
          <t xml:space="preserve">
</t>
        </r>
        <r>
          <rPr>
            <sz val="14"/>
            <color rgb="FF000000"/>
            <rFont val="Times New Roman"/>
            <family val="18"/>
          </rPr>
          <t>ML 10.279 IR 43 (1808-10) – RL 7. Fus. Komp. Nr. 9 (Laibach 06/09/1808) &amp; DL 10. Fus. Komp. Nr. 100 (Vordenberg 25/02/1810)</t>
        </r>
        <r>
          <rPr>
            <sz val="14"/>
            <color rgb="FF000000"/>
            <rFont val="Calibri"/>
            <family val="34"/>
          </rPr>
          <t xml:space="preserve">
</t>
        </r>
        <r>
          <rPr>
            <sz val="14"/>
            <color rgb="FF000000"/>
            <rFont val="Times New Roman"/>
            <family val="18"/>
          </rPr>
          <t>ML 10.307 IR 43 (1799) – Nov (12/10/1800)</t>
        </r>
        <r>
          <rPr>
            <sz val="14"/>
            <color rgb="FF000000"/>
            <rFont val="Calibri"/>
            <family val="34"/>
          </rPr>
          <t xml:space="preserve">
</t>
        </r>
        <r>
          <rPr>
            <sz val="14"/>
            <color rgb="FF000000"/>
            <rFont val="Times New Roman"/>
            <family val="18"/>
          </rPr>
          <t>ML 10.308 IR 43 (1799) – AL Nr. 42 (Sandomierz 31/08/1799)</t>
        </r>
        <r>
          <rPr>
            <sz val="14"/>
            <color rgb="FF000000"/>
            <rFont val="Calibri"/>
            <family val="34"/>
          </rPr>
          <t xml:space="preserve">
</t>
        </r>
        <r>
          <rPr>
            <sz val="14"/>
            <color rgb="FF000000"/>
            <rFont val="Times New Roman"/>
            <family val="18"/>
          </rPr>
          <t>ML 10.310 IR 43 (1800) – TL IR 43 Res. Div-&gt; Feld Bats Nr. 110 (Laibach 05/06/1800)</t>
        </r>
        <r>
          <rPr>
            <sz val="14"/>
            <color rgb="FF000000"/>
            <rFont val="Calibri"/>
            <family val="34"/>
          </rPr>
          <t xml:space="preserve">
</t>
        </r>
        <r>
          <rPr>
            <sz val="14"/>
            <color rgb="FF000000"/>
            <rFont val="Times New Roman"/>
            <family val="18"/>
          </rPr>
          <t>ML 10.311 IR 43 (1800) Jän (26/02/1800), März (04/10/1801), Juni (27/08/1803)</t>
        </r>
        <r>
          <rPr>
            <sz val="14"/>
            <color rgb="FF000000"/>
            <rFont val="Calibri"/>
            <family val="34"/>
          </rPr>
          <t xml:space="preserve">
</t>
        </r>
        <r>
          <rPr>
            <sz val="14"/>
            <color rgb="FF000000"/>
            <rFont val="Times New Roman"/>
            <family val="18"/>
          </rPr>
          <t>ML 10.311 IR 43 (1801) – ST Jän (23/08/1804), Juni (20/06/1805)</t>
        </r>
        <r>
          <rPr>
            <sz val="14"/>
            <color rgb="FF000000"/>
            <rFont val="Calibri"/>
            <family val="34"/>
          </rPr>
          <t xml:space="preserve">
</t>
        </r>
        <r>
          <rPr>
            <sz val="14"/>
            <color rgb="FF000000"/>
            <rFont val="Times New Roman"/>
            <family val="18"/>
          </rPr>
          <t>ML 10.323 IR 43 (1809) – Feb (Klagenfurt XX/07/1810), Mai (Klagenfurt 02/11/1810), Juli (26/11/1810), Aug (Klagenfurt 12/12/1810), Okt (Klagenfurt 31/12/1810)</t>
        </r>
        <r>
          <rPr>
            <sz val="14"/>
            <color rgb="FF000000"/>
            <rFont val="Calibri"/>
            <family val="34"/>
          </rPr>
          <t xml:space="preserve">
</t>
        </r>
        <r>
          <rPr>
            <sz val="14"/>
            <color rgb="FF000000"/>
            <rFont val="Times New Roman"/>
            <family val="18"/>
          </rPr>
          <t>ML 10.325 IR 43 (1810) – ST Feb (Klagenfurt 10/03/1811)</t>
        </r>
        <r>
          <rPr>
            <sz val="14"/>
            <color rgb="FF000000"/>
            <rFont val="Calibri"/>
            <family val="34"/>
          </rPr>
          <t xml:space="preserve">
</t>
        </r>
        <r>
          <rPr>
            <sz val="14"/>
            <color rgb="FF000000"/>
            <rFont val="Times New Roman"/>
            <family val="18"/>
          </rPr>
          <t>ML 10.326 IR 43 (1810) – TL IR 43-&gt; IR 27 Nr. 110 (Klagenfurt 16/07/1810)</t>
        </r>
        <r>
          <rPr>
            <sz val="14"/>
            <color rgb="FF000000"/>
            <rFont val="Calibri"/>
            <family val="34"/>
          </rPr>
          <t xml:space="preserve">
</t>
        </r>
        <r>
          <rPr>
            <sz val="14"/>
            <color rgb="FF000000"/>
            <rFont val="Times New Roman"/>
            <family val="18"/>
          </rPr>
          <t>ML 2264 IR 27 (1810) – 4. Fus. Komp. Nr. 131 (Graz 13/09/1810)</t>
        </r>
        <r>
          <rPr>
            <sz val="14"/>
            <color rgb="FF000000"/>
            <rFont val="Calibri"/>
            <family val="34"/>
          </rPr>
          <t xml:space="preserve">
</t>
        </r>
        <r>
          <rPr>
            <sz val="14"/>
            <color rgb="FF000000"/>
            <rFont val="Times New Roman"/>
            <family val="18"/>
          </rPr>
          <t>ML 2265 IR 27 (1811) – 4. Fus. Komp. Abgang (Graz 19/09/1811)</t>
        </r>
        <r>
          <rPr>
            <sz val="14"/>
            <color rgb="FF000000"/>
            <rFont val="Calibri"/>
            <family val="34"/>
          </rPr>
          <t xml:space="preserve">
</t>
        </r>
        <r>
          <rPr>
            <sz val="14"/>
            <color rgb="FF000000"/>
            <rFont val="Times New Roman"/>
            <family val="18"/>
          </rPr>
          <t>ML IR 2326/7 IR 27 (1810) – ST März (Graz 27/03/1811)</t>
        </r>
        <r>
          <rPr>
            <sz val="14"/>
            <color rgb="FF000000"/>
            <rFont val="Calibri"/>
            <family val="34"/>
          </rPr>
          <t xml:space="preserve">
</t>
        </r>
      </text>
    </comment>
    <comment ref="BH564" authorId="0" shapeId="0" xr:uid="{2E0A3498-27E1-364E-8285-DEC57581FCB7}">
      <text>
        <r>
          <rPr>
            <sz val="14"/>
            <color rgb="FF000000"/>
            <rFont val="Calibri"/>
            <family val="34"/>
          </rPr>
          <t xml:space="preserve">IR 43 (1799-1810)
</t>
        </r>
        <r>
          <rPr>
            <sz val="14"/>
            <color rgb="FF000000"/>
            <rFont val="Calibri"/>
            <family val="34"/>
          </rPr>
          <t>IR 27 (1810-1811)</t>
        </r>
      </text>
    </comment>
    <comment ref="BF565" authorId="0" shapeId="0" xr:uid="{8187A84D-E144-C749-80FB-93F49F58B396}">
      <text>
        <r>
          <rPr>
            <sz val="14"/>
            <color rgb="FF000000"/>
            <rFont val="Times New Roman"/>
            <family val="18"/>
          </rPr>
          <t xml:space="preserve">23/07/1799 </t>
        </r>
        <r>
          <rPr>
            <i/>
            <sz val="14"/>
            <color rgb="FF000000"/>
            <rFont val="Times New Roman"/>
            <family val="18"/>
          </rPr>
          <t xml:space="preserve">von Ständen gestellt und seitdem auf Anhero Marsch mit Friedensgebühr </t>
        </r>
        <r>
          <rPr>
            <sz val="14"/>
            <color rgb="FF000000"/>
            <rFont val="Times New Roman"/>
            <family val="18"/>
          </rPr>
          <t>[AL 1799]</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565" authorId="0" shapeId="0" xr:uid="{D7F10680-F7B2-9D49-BD7B-653702B18B93}">
      <text>
        <r>
          <rPr>
            <sz val="14"/>
            <color rgb="FF000000"/>
            <rFont val="Times New Roman"/>
            <family val="18"/>
          </rPr>
          <t>ML 10.308 IR 43 (1799) – AL Nr. 41 (Sandomierz 31/08/1799)</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565" authorId="0" shapeId="0" xr:uid="{7E3F953E-B476-D244-BCA8-E72A15454B1D}">
      <text>
        <r>
          <rPr>
            <sz val="14"/>
            <color rgb="FF000000"/>
            <rFont val="Calibri"/>
            <family val="34"/>
          </rPr>
          <t>IR 43 (1799-1801)</t>
        </r>
      </text>
    </comment>
    <comment ref="I566" authorId="0" shapeId="0" xr:uid="{36B4DEE7-1B65-D744-AB8C-CB362A786472}">
      <text>
        <r>
          <rPr>
            <sz val="14"/>
            <color rgb="FF000000"/>
            <rFont val="Calibri"/>
            <family val="34"/>
          </rPr>
          <t xml:space="preserve">1766 [34 (TL 1800)]
</t>
        </r>
        <r>
          <rPr>
            <sz val="14"/>
            <color rgb="FF000000"/>
            <rFont val="Calibri"/>
            <family val="34"/>
          </rPr>
          <t xml:space="preserve">OR
</t>
        </r>
        <r>
          <rPr>
            <sz val="14"/>
            <color rgb="FF000000"/>
            <rFont val="Calibri"/>
            <family val="34"/>
          </rPr>
          <t xml:space="preserve">1769 [30 (AL 1799)] </t>
        </r>
      </text>
    </comment>
    <comment ref="T566" authorId="0" shapeId="0" xr:uid="{2A82FB6B-5147-6B40-BD47-94CB442DB45D}">
      <text>
        <r>
          <rPr>
            <sz val="14"/>
            <color rgb="FF000000"/>
            <rFont val="Calibri"/>
            <family val="34"/>
          </rPr>
          <t xml:space="preserve">5.1.2 (1799) [160.07 cm]
</t>
        </r>
        <r>
          <rPr>
            <sz val="14"/>
            <color rgb="FF000000"/>
            <rFont val="Calibri"/>
            <family val="34"/>
          </rPr>
          <t xml:space="preserve">5.2 (1800) [163.26 cm]
</t>
        </r>
        <r>
          <rPr>
            <sz val="14"/>
            <color rgb="FF000000"/>
            <rFont val="Calibri"/>
            <family val="34"/>
          </rPr>
          <t xml:space="preserve">5.2.1 (1802ff.) [163.48 cm] </t>
        </r>
      </text>
    </comment>
    <comment ref="BF566" authorId="0" shapeId="0" xr:uid="{690D739E-EC7C-1D43-A7D1-0669D8017DAE}">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23/07/1799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12/11/1799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03/12/1799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15/12/1799 </t>
        </r>
        <r>
          <rPr>
            <i/>
            <sz val="14"/>
            <color rgb="FF000000"/>
            <rFont val="Times New Roman"/>
            <family val="18"/>
          </rPr>
          <t>Reconvalesciert</t>
        </r>
        <r>
          <rPr>
            <sz val="14"/>
            <color rgb="FF000000"/>
            <rFont val="Times New Roman"/>
            <family val="18"/>
          </rPr>
          <t xml:space="preserve"> [ST Dec 1799]</t>
        </r>
        <r>
          <rPr>
            <sz val="14"/>
            <color rgb="FF000000"/>
            <rFont val="Calibri"/>
            <family val="34"/>
          </rPr>
          <t xml:space="preserve">
</t>
        </r>
        <r>
          <rPr>
            <sz val="14"/>
            <color rgb="FFFF0000"/>
            <rFont val="Times New Roman"/>
            <family val="18"/>
          </rPr>
          <t xml:space="preserve">30/12/1799 </t>
        </r>
        <r>
          <rPr>
            <i/>
            <sz val="14"/>
            <color rgb="FFFF0000"/>
            <rFont val="Times New Roman"/>
            <family val="18"/>
          </rPr>
          <t>Gegen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[TL Feb 1800]</t>
        </r>
        <r>
          <rPr>
            <sz val="14"/>
            <color rgb="FF000000"/>
            <rFont val="Calibri"/>
            <family val="34"/>
          </rPr>
          <t xml:space="preserve">
</t>
        </r>
        <r>
          <rPr>
            <sz val="14"/>
            <color rgb="FF000000"/>
            <rFont val="Times New Roman"/>
            <family val="18"/>
          </rPr>
          <t>06/04/1800 Von Reserve Division ins ObristLt Companie transferiert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Würz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Würz Nr. 109 [</t>
        </r>
        <r>
          <rPr>
            <i/>
            <sz val="14"/>
            <color rgb="FF000000"/>
            <rFont val="Times New Roman"/>
            <family val="18"/>
          </rPr>
          <t>Auf Urlaub zu Sandomierz in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12/05/1804 IR 44: Haupt Würz Nr. 96 [</t>
        </r>
        <r>
          <rPr>
            <i/>
            <sz val="14"/>
            <color rgb="FF000000"/>
            <rFont val="Times New Roman"/>
            <family val="18"/>
          </rPr>
          <t>Beurlaubt in Sandomierz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t>
        </r>
        <r>
          <rPr>
            <b/>
            <u/>
            <sz val="14"/>
            <color rgb="FF000000"/>
            <rFont val="Times New Roman"/>
            <family val="18"/>
          </rPr>
          <t xml:space="preserve"> </t>
        </r>
        <r>
          <rPr>
            <sz val="14"/>
            <color rgb="FF000000"/>
            <rFont val="Times New Roman"/>
            <family val="18"/>
          </rPr>
          <t>[ML 1806]</t>
        </r>
        <r>
          <rPr>
            <sz val="14"/>
            <color rgb="FF000000"/>
            <rFont val="Calibri"/>
            <family val="34"/>
          </rPr>
          <t xml:space="preserve">
</t>
        </r>
      </text>
    </comment>
    <comment ref="BG566" authorId="0" shapeId="0" xr:uid="{E7C10620-83E0-B949-8E2B-A2C8EE65C048}">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40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141 (Laibach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Würz Komp. Nr. 109 (Venice 19/09/1803)</t>
        </r>
        <r>
          <rPr>
            <sz val="14"/>
            <color rgb="FF000000"/>
            <rFont val="Calibri"/>
            <family val="34"/>
          </rPr>
          <t xml:space="preserve">
</t>
        </r>
        <r>
          <rPr>
            <sz val="14"/>
            <color rgb="FF000000"/>
            <rFont val="Times New Roman"/>
            <family val="18"/>
          </rPr>
          <t>ML 3909 IR 44 (1804) – Haupt Würz Komp. Nr. 96 (Vicenza 12/05/1804)</t>
        </r>
        <r>
          <rPr>
            <sz val="14"/>
            <color rgb="FF000000"/>
            <rFont val="Calibri"/>
            <family val="34"/>
          </rPr>
          <t xml:space="preserve">
</t>
        </r>
        <r>
          <rPr>
            <sz val="14"/>
            <color rgb="FF000000"/>
            <rFont val="Times New Roman"/>
            <family val="18"/>
          </rPr>
          <t>ML 3910 IR 44 (1806) – Haupt De Baut Komp. Abgang (Fiume 10/12/1806)</t>
        </r>
        <r>
          <rPr>
            <sz val="14"/>
            <color rgb="FF000000"/>
            <rFont val="Calibri"/>
            <family val="34"/>
          </rPr>
          <t xml:space="preserve">
</t>
        </r>
        <r>
          <rPr>
            <sz val="14"/>
            <color rgb="FF000000"/>
            <rFont val="Times New Roman"/>
            <family val="18"/>
          </rPr>
          <t>ML 3946 IR 44 (1802) – AL IR 43-&gt; IR 43 Nr. 15 (Zara 14/08/1802)</t>
        </r>
        <r>
          <rPr>
            <sz val="14"/>
            <color rgb="FF000000"/>
            <rFont val="Calibri"/>
            <family val="34"/>
          </rPr>
          <t xml:space="preserve">
</t>
        </r>
      </text>
    </comment>
    <comment ref="BH566" authorId="0" shapeId="0" xr:uid="{B307C1D0-6ED7-CE4C-9F6F-23411E6934EB}">
      <text>
        <r>
          <rPr>
            <sz val="14"/>
            <color rgb="FF000000"/>
            <rFont val="Calibri"/>
            <family val="34"/>
          </rPr>
          <t xml:space="preserve">IR 43 (1799-1802)
</t>
        </r>
        <r>
          <rPr>
            <sz val="14"/>
            <color rgb="FF000000"/>
            <rFont val="Calibri"/>
            <family val="34"/>
          </rPr>
          <t>IR 44 (1802-1806)</t>
        </r>
      </text>
    </comment>
    <comment ref="BI566" authorId="0" shapeId="0" xr:uid="{3E96EEB9-FBDF-834A-B4D0-F4A031328B50}">
      <text>
        <r>
          <rPr>
            <sz val="14"/>
            <color rgb="FF000000"/>
            <rFont val="Calibri"/>
            <family val="34"/>
          </rPr>
          <t>Gut [TL Aug 1802]</t>
        </r>
      </text>
    </comment>
    <comment ref="BF567" authorId="0" shapeId="0" xr:uid="{4F1C2226-4B20-0A4B-9F7F-8BA752BEDB6E}">
      <text>
        <r>
          <rPr>
            <sz val="14"/>
            <color rgb="FF000000"/>
            <rFont val="Times New Roman"/>
            <family val="18"/>
          </rPr>
          <t xml:space="preserve">23/07/1799 </t>
        </r>
        <r>
          <rPr>
            <i/>
            <sz val="14"/>
            <color rgb="FF000000"/>
            <rFont val="Times New Roman"/>
            <family val="18"/>
          </rPr>
          <t>Von Ständen gestellt und zum IR 43 a 3Fl Handgeld zum Sandomierz assentiert, seitdem auf Anhero Marsch mit Friedensgebühr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Reserve Division engerückt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 xml:space="preserve">Krank auswärts mit Kriegsgebuhr </t>
        </r>
        <r>
          <rPr>
            <sz val="14"/>
            <color rgb="FF000000"/>
            <rFont val="Times New Roman"/>
            <family val="18"/>
          </rPr>
          <t>[ST Nov 1799]</t>
        </r>
        <r>
          <rPr>
            <sz val="14"/>
            <color rgb="FF000000"/>
            <rFont val="Calibri"/>
            <family val="34"/>
          </rPr>
          <t xml:space="preserve">
</t>
        </r>
        <r>
          <rPr>
            <sz val="14"/>
            <color rgb="FF000000"/>
            <rFont val="Times New Roman"/>
            <family val="18"/>
          </rPr>
          <t xml:space="preserve">12/12/1799 </t>
        </r>
        <r>
          <rPr>
            <i/>
            <sz val="14"/>
            <color rgb="FF000000"/>
            <rFont val="Times New Roman"/>
            <family val="18"/>
          </rPr>
          <t>In Laibach Gestorben</t>
        </r>
        <r>
          <rPr>
            <sz val="14"/>
            <color rgb="FF000000"/>
            <rFont val="Times New Roman"/>
            <family val="18"/>
          </rPr>
          <t xml:space="preserve"> [ST Dec 1799]</t>
        </r>
        <r>
          <rPr>
            <sz val="14"/>
            <color rgb="FF000000"/>
            <rFont val="Calibri"/>
            <family val="34"/>
          </rPr>
          <t xml:space="preserve">
</t>
        </r>
      </text>
    </comment>
    <comment ref="BG567" authorId="0" shapeId="0" xr:uid="{65BF5B07-DFDE-8648-A8F3-88BD69D30B6F}">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text>
    </comment>
    <comment ref="BH567" authorId="0" shapeId="0" xr:uid="{EA4106B8-5513-674D-943A-887D856DD519}">
      <text>
        <r>
          <rPr>
            <sz val="14"/>
            <color rgb="FF000000"/>
            <rFont val="Calibri"/>
            <family val="34"/>
          </rPr>
          <t>IR 43 (1799)</t>
        </r>
      </text>
    </comment>
    <comment ref="BF568" authorId="0" shapeId="0" xr:uid="{28F8D7B8-4A8E-9B4D-8A6F-FB4B5EEE8C8B}">
      <text>
        <r>
          <rPr>
            <sz val="14"/>
            <color rgb="FF000000"/>
            <rFont val="Times New Roman"/>
            <family val="18"/>
          </rPr>
          <t xml:space="preserve">23/07/1799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15/11/1799 </t>
        </r>
        <r>
          <rPr>
            <i/>
            <sz val="14"/>
            <color rgb="FF000000"/>
            <rFont val="Times New Roman"/>
            <family val="18"/>
          </rPr>
          <t>wegen Untauglichkeit und hereinbringen der Ankosten vermög hoher General Commando Verordnung det. Graz am 9. Oct 799 mit Laufpass entlassen</t>
        </r>
        <r>
          <rPr>
            <sz val="14"/>
            <color rgb="FF000000"/>
            <rFont val="Times New Roman"/>
            <family val="18"/>
          </rPr>
          <t xml:space="preserve"> [ST Feb 1800]</t>
        </r>
        <r>
          <rPr>
            <sz val="14"/>
            <color rgb="FF000000"/>
            <rFont val="Calibri"/>
            <family val="34"/>
          </rPr>
          <t xml:space="preserve">
</t>
        </r>
      </text>
    </comment>
    <comment ref="BG568" authorId="0" shapeId="0" xr:uid="{ABF46D9D-42B6-B642-9894-92A138762724}">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37 (Sandomierz 31/08/1799)</t>
        </r>
        <r>
          <rPr>
            <sz val="14"/>
            <color rgb="FF000000"/>
            <rFont val="Calibri"/>
            <family val="34"/>
          </rPr>
          <t xml:space="preserve">
</t>
        </r>
        <r>
          <rPr>
            <sz val="14"/>
            <color rgb="FF000000"/>
            <rFont val="Times New Roman"/>
            <family val="18"/>
          </rPr>
          <t>ML 10.309 IR 43 (1800) – ST Feb (06/04/1801)</t>
        </r>
        <r>
          <rPr>
            <sz val="14"/>
            <color rgb="FF000000"/>
            <rFont val="Calibri"/>
            <family val="34"/>
          </rPr>
          <t xml:space="preserve">
</t>
        </r>
      </text>
    </comment>
    <comment ref="BH568" authorId="0" shapeId="0" xr:uid="{83B9EDE6-262F-C44F-8D35-526BB5497DB8}">
      <text>
        <r>
          <rPr>
            <sz val="14"/>
            <color rgb="FF000000"/>
            <rFont val="Calibri"/>
            <family val="34"/>
          </rPr>
          <t>IR 43 (1799)</t>
        </r>
      </text>
    </comment>
    <comment ref="I569" authorId="0" shapeId="0" xr:uid="{E383D754-C151-5A4F-B457-5823F3A38A0E}">
      <text>
        <r>
          <rPr>
            <sz val="14"/>
            <color rgb="FF000000"/>
            <rFont val="Calibri"/>
            <family val="34"/>
          </rPr>
          <t xml:space="preserve">1777 [22 (1799)] 
</t>
        </r>
        <r>
          <rPr>
            <sz val="14"/>
            <color rgb="FF000000"/>
            <rFont val="Calibri"/>
            <family val="34"/>
          </rPr>
          <t xml:space="preserve">OR 
</t>
        </r>
        <r>
          <rPr>
            <sz val="14"/>
            <color rgb="FF000000"/>
            <rFont val="Calibri"/>
            <family val="34"/>
          </rPr>
          <t>1776 [26 (1802)]</t>
        </r>
      </text>
    </comment>
    <comment ref="T569" authorId="0" shapeId="0" xr:uid="{8B80D48B-FD0A-1D4E-8CE4-B71BD9909CB8}">
      <text>
        <r>
          <rPr>
            <sz val="14"/>
            <color rgb="FF000000"/>
            <rFont val="Calibri"/>
            <family val="34"/>
          </rPr>
          <t xml:space="preserve">5.1 (1799) [160.6 cm]
</t>
        </r>
        <r>
          <rPr>
            <sz val="14"/>
            <color rgb="FF000000"/>
            <rFont val="Calibri"/>
            <family val="34"/>
          </rPr>
          <t xml:space="preserve">5.2.2 (1801) [163.7 cm]
</t>
        </r>
        <r>
          <rPr>
            <sz val="14"/>
            <color rgb="FF000000"/>
            <rFont val="Calibri"/>
            <family val="34"/>
          </rPr>
          <t xml:space="preserve">5.3.2 (1802) [166.3 cm] </t>
        </r>
      </text>
    </comment>
    <comment ref="BF569" authorId="0" shapeId="0" xr:uid="{D4E3993B-3952-184F-8BBE-1E839FC22AC0}">
      <text>
        <r>
          <rPr>
            <sz val="14"/>
            <color rgb="FF000000"/>
            <rFont val="Times New Roman"/>
            <family val="18"/>
          </rPr>
          <t xml:space="preserve">23/07/1799 </t>
        </r>
        <r>
          <rPr>
            <i/>
            <sz val="14"/>
            <color rgb="FF000000"/>
            <rFont val="Times New Roman"/>
            <family val="18"/>
          </rPr>
          <t>a 3Fl Handgeld von Ständen gestellt und zum Sandomierz assentiert</t>
        </r>
        <r>
          <rPr>
            <sz val="14"/>
            <color rgb="FF000000"/>
            <rFont val="Times New Roman"/>
            <family val="18"/>
          </rPr>
          <t xml:space="preserve"> [AL 1799]</t>
        </r>
        <r>
          <rPr>
            <sz val="14"/>
            <color rgb="FF000000"/>
            <rFont val="Calibri"/>
            <family val="34"/>
          </rPr>
          <t xml:space="preserve">
</t>
        </r>
        <r>
          <rPr>
            <sz val="14"/>
            <color rgb="FF000000"/>
            <rFont val="Times New Roman"/>
            <family val="18"/>
          </rPr>
          <t xml:space="preserve">06/02/1800 [seit] </t>
        </r>
        <r>
          <rPr>
            <i/>
            <sz val="14"/>
            <color rgb="FF000000"/>
            <rFont val="Times New Roman"/>
            <family val="18"/>
          </rPr>
          <t>Als angehöriger von Reserve Division Ferners Aufmarsch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Pasqually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Pasqually Comp. eingerückt</t>
        </r>
        <r>
          <rPr>
            <sz val="14"/>
            <color rgb="FF000000"/>
            <rFont val="Times New Roman"/>
            <family val="18"/>
          </rPr>
          <t xml:space="preserve"> [ST April 1800] </t>
        </r>
        <r>
          <rPr>
            <sz val="14"/>
            <color rgb="FF000000"/>
            <rFont val="Calibri"/>
            <family val="34"/>
          </rPr>
          <t xml:space="preserve">
</t>
        </r>
        <r>
          <rPr>
            <sz val="14"/>
            <color rgb="FF000000"/>
            <rFont val="Times New Roman"/>
            <family val="18"/>
          </rPr>
          <t>28/08/1802 Musterung: IR 43 Haupt Pasqually Nr. 66</t>
        </r>
        <r>
          <rPr>
            <sz val="14"/>
            <color rgb="FF000000"/>
            <rFont val="Calibri"/>
            <family val="34"/>
          </rPr>
          <t xml:space="preserve">
</t>
        </r>
        <r>
          <rPr>
            <sz val="14"/>
            <color rgb="FF000000"/>
            <rFont val="Times New Roman"/>
            <family val="18"/>
          </rPr>
          <t xml:space="preserve">06/02/1803 </t>
        </r>
        <r>
          <rPr>
            <i/>
            <sz val="14"/>
            <color rgb="FF000000"/>
            <rFont val="Times New Roman"/>
            <family val="18"/>
          </rPr>
          <t>auf dem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31/05/1803 </t>
        </r>
        <r>
          <rPr>
            <i/>
            <sz val="14"/>
            <color rgb="FF000000"/>
            <rFont val="Times New Roman"/>
            <family val="18"/>
          </rPr>
          <t>Als unbestimmt Beurlaubte in Galizien eingerückt</t>
        </r>
        <r>
          <rPr>
            <sz val="14"/>
            <color rgb="FF000000"/>
            <rFont val="Times New Roman"/>
            <family val="18"/>
          </rPr>
          <t xml:space="preserve"> [ST Juni 1803]</t>
        </r>
        <r>
          <rPr>
            <sz val="14"/>
            <color rgb="FF000000"/>
            <rFont val="Calibri"/>
            <family val="34"/>
          </rPr>
          <t xml:space="preserve">
</t>
        </r>
        <r>
          <rPr>
            <sz val="14"/>
            <color rgb="FF000000"/>
            <rFont val="Times New Roman"/>
            <family val="18"/>
          </rPr>
          <t>02/11/1803 Musterung: IR 43 Haupt Pasqually Comp Nr. 59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Pasqually Comp Nr. 55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10/11/1805 Musterung: IR 43 15. Fus Comp Nr. 51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9.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569" authorId="0" shapeId="0" xr:uid="{5F41D97C-9A4F-7A45-AC12-9B01D8BC629F}">
      <text>
        <r>
          <rPr>
            <sz val="14"/>
            <color rgb="FF000000"/>
            <rFont val="Calibri"/>
            <family val="34"/>
          </rPr>
          <t xml:space="preserve">ML 10.272 IR 43 (1802) – Heft von Haupt Pasqually Nr. 66 (Cattaro 28/08/1802)
</t>
        </r>
        <r>
          <rPr>
            <sz val="14"/>
            <color rgb="FF000000"/>
            <rFont val="Calibri"/>
            <family val="34"/>
          </rPr>
          <t xml:space="preserve">ML 10.273 IR 43 (1803) – Heft von Haupt Pasqually Nr. 59 (Cattaro 02/11/1803)
</t>
        </r>
        <r>
          <rPr>
            <sz val="14"/>
            <color rgb="FF000000"/>
            <rFont val="Calibri"/>
            <family val="34"/>
          </rPr>
          <t xml:space="preserve">ML 10.274 IR 43 (1804) – Heft von Haupt Pasqually Comp. Nr. 55 (Theodo 05/10/1804)
</t>
        </r>
        <r>
          <rPr>
            <sz val="14"/>
            <color rgb="FF000000"/>
            <rFont val="Calibri"/>
            <family val="34"/>
          </rPr>
          <t xml:space="preserve">ML 10.275/6 IR 43 (1805) – Heft von 15. Fus Comp. Nr. 51 (Macarsca (10/11/1805)
</t>
        </r>
        <r>
          <rPr>
            <sz val="14"/>
            <color rgb="FF000000"/>
            <rFont val="Calibri"/>
            <family val="34"/>
          </rPr>
          <t xml:space="preserve">ML 10.277/8 IR 43 (1806) – Heft von 9. Fus Comp. Abgang (Neustadt 05/12/1806)
</t>
        </r>
        <r>
          <rPr>
            <sz val="14"/>
            <color rgb="FF000000"/>
            <rFont val="Calibri"/>
            <family val="34"/>
          </rPr>
          <t xml:space="preserve">ML 10.308 IR 43 (1799) – AL IR 43 ‚Res. Div‘ Nr. 39 (Sandomierz 31/08/1799)
</t>
        </r>
        <r>
          <rPr>
            <sz val="14"/>
            <color rgb="FF000000"/>
            <rFont val="Calibri"/>
            <family val="34"/>
          </rPr>
          <t xml:space="preserve">ML 10.310 IR 43 (1800) – TL IR 43 Res. Div-&gt; FELD Bats. Nr. 129 (Laibach 05/02/1800)
</t>
        </r>
        <r>
          <rPr>
            <sz val="14"/>
            <color rgb="FF000000"/>
            <rFont val="Calibri"/>
            <family val="34"/>
          </rPr>
          <t xml:space="preserve">ML 10.313 IR 43 (1803) – ST Feb (15/03/1803) und Juni (15/07/1803) 
</t>
        </r>
        <r>
          <rPr>
            <sz val="14"/>
            <color rgb="FF000000"/>
            <rFont val="Calibri"/>
            <family val="34"/>
          </rPr>
          <t xml:space="preserve">ML 10.317 IR 43 (1806) – ST Oktober (27/11/1806) 
</t>
        </r>
      </text>
    </comment>
    <comment ref="BH569" authorId="0" shapeId="0" xr:uid="{EB62DC14-9FA8-4A41-85B2-60B818C00E2E}">
      <text>
        <r>
          <rPr>
            <sz val="14"/>
            <color rgb="FF000000"/>
            <rFont val="Calibri"/>
            <family val="34"/>
          </rPr>
          <t>IR 43 (1799-1806)</t>
        </r>
      </text>
    </comment>
    <comment ref="T570" authorId="0" shapeId="0" xr:uid="{946DC2DC-8EFA-4D41-85F1-505F5CD871BF}">
      <text>
        <r>
          <rPr>
            <sz val="14"/>
            <color rgb="FF000000"/>
            <rFont val="Calibri"/>
            <family val="34"/>
          </rPr>
          <t xml:space="preserve">5.1 (160.63 cm) [AL Aug 1799]
</t>
        </r>
        <r>
          <rPr>
            <sz val="14"/>
            <color rgb="FF000000"/>
            <rFont val="Calibri"/>
            <family val="34"/>
          </rPr>
          <t>5.0.3 (158.66 cm) [ML 1803]</t>
        </r>
      </text>
    </comment>
    <comment ref="BF570" authorId="0" shapeId="0" xr:uid="{832971A8-2E9E-D242-BA04-C2B105B439BB}">
      <text>
        <r>
          <rPr>
            <sz val="14"/>
            <color rgb="FF000000"/>
            <rFont val="Times New Roman"/>
            <family val="18"/>
          </rPr>
          <t xml:space="preserve">25/07/1799 </t>
        </r>
        <r>
          <rPr>
            <i/>
            <sz val="14"/>
            <color rgb="FF000000"/>
            <rFont val="Times New Roman"/>
            <family val="18"/>
          </rPr>
          <t>Von Ständen a 3Fl Handgeld gestellt</t>
        </r>
        <r>
          <rPr>
            <sz val="14"/>
            <color rgb="FF000000"/>
            <rFont val="Times New Roman"/>
            <family val="18"/>
          </rPr>
          <t xml:space="preserve"> [AL Aug 1799]</t>
        </r>
        <r>
          <rPr>
            <sz val="14"/>
            <color rgb="FF000000"/>
            <rFont val="Calibri"/>
            <family val="34"/>
          </rPr>
          <t xml:space="preserve">
</t>
        </r>
        <r>
          <rPr>
            <sz val="14"/>
            <color rgb="FFFF0000"/>
            <rFont val="Times New Roman"/>
            <family val="18"/>
          </rPr>
          <t xml:space="preserve">??/08/1799 </t>
        </r>
        <r>
          <rPr>
            <i/>
            <sz val="14"/>
            <color rgb="FFFF0000"/>
            <rFont val="Times New Roman"/>
            <family val="18"/>
          </rPr>
          <t>In August 1799 auf Beständig gegen 3Fl assentiert</t>
        </r>
        <r>
          <rPr>
            <sz val="14"/>
            <color rgb="FFFF0000"/>
            <rFont val="Times New Roman"/>
            <family val="18"/>
          </rPr>
          <t xml:space="preserve"> [TL Feb 1800 &amp; TL Juli 1802]</t>
        </r>
        <r>
          <rPr>
            <sz val="14"/>
            <color rgb="FF000000"/>
            <rFont val="Calibri"/>
            <family val="34"/>
          </rPr>
          <t xml:space="preserve">
</t>
        </r>
        <r>
          <rPr>
            <sz val="14"/>
            <color rgb="FF000000"/>
            <rFont val="Times New Roman"/>
            <family val="18"/>
          </rPr>
          <t xml:space="preserve">31/10/1799 [Mindestens seit] </t>
        </r>
        <r>
          <rPr>
            <i/>
            <sz val="14"/>
            <color rgb="FF000000"/>
            <rFont val="Times New Roman"/>
            <family val="18"/>
          </rPr>
          <t>Als angehöriger von Reserve Division 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 xml:space="preserve">Rekonvalesziert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Von Reserve Division transferiert und 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Richter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Richter Nr. 107</t>
        </r>
        <r>
          <rPr>
            <sz val="14"/>
            <color rgb="FF000000"/>
            <rFont val="Calibri"/>
            <family val="34"/>
          </rPr>
          <t xml:space="preserve">
</t>
        </r>
        <r>
          <rPr>
            <sz val="14"/>
            <color rgb="FF000000"/>
            <rFont val="Times New Roman"/>
            <family val="18"/>
          </rPr>
          <t>12/05/1804 IR 44: Haupt Richter Nr. 96 [</t>
        </r>
        <r>
          <rPr>
            <i/>
            <sz val="14"/>
            <color rgb="FF000000"/>
            <rFont val="Times New Roman"/>
            <family val="18"/>
          </rPr>
          <t>Beurlaubt in Galizien zu Tarloff Sendomierzer Kreis, bis zur Exerzierzeit</t>
        </r>
        <r>
          <rPr>
            <sz val="14"/>
            <color rgb="FF000000"/>
            <rFont val="Times New Roman"/>
            <family val="18"/>
          </rPr>
          <t>]</t>
        </r>
        <r>
          <rPr>
            <sz val="14"/>
            <color rgb="FF000000"/>
            <rFont val="Calibri"/>
            <family val="34"/>
          </rPr>
          <t xml:space="preserve">
</t>
        </r>
        <r>
          <rPr>
            <sz val="14"/>
            <color rgb="FF000000"/>
            <rFont val="Times New Roman"/>
            <family val="18"/>
          </rPr>
          <t>10/12/1806 Muster: IR 44 CaptLt. Schick Komp. Nr. 47</t>
        </r>
        <r>
          <rPr>
            <sz val="14"/>
            <color rgb="FF000000"/>
            <rFont val="Calibri"/>
            <family val="34"/>
          </rPr>
          <t xml:space="preserve">
</t>
        </r>
        <r>
          <rPr>
            <sz val="14"/>
            <color rgb="FF000000"/>
            <rFont val="Times New Roman"/>
            <family val="18"/>
          </rPr>
          <t>19/09/1808 Muster: IR 44 CaptLt. Schlindwein Nr. 34</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1.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16/07/1810 </t>
        </r>
        <r>
          <rPr>
            <i/>
            <sz val="14"/>
            <color rgb="FF000000"/>
            <rFont val="Times New Roman"/>
            <family val="18"/>
          </rPr>
          <t>Von 13. zum 7.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27/09/1810 Revision: IR 44 7. Fus. Komp. Nr. 228 </t>
        </r>
        <r>
          <rPr>
            <sz val="14"/>
            <color rgb="FF000000"/>
            <rFont val="Calibri"/>
            <family val="34"/>
          </rPr>
          <t xml:space="preserve">
</t>
        </r>
        <r>
          <rPr>
            <sz val="14"/>
            <color rgb="FF000000"/>
            <rFont val="Times New Roman"/>
            <family val="18"/>
          </rPr>
          <t xml:space="preserve">10/11/1810 </t>
        </r>
        <r>
          <rPr>
            <i/>
            <sz val="14"/>
            <color rgb="FF000000"/>
            <rFont val="Times New Roman"/>
            <family val="18"/>
          </rPr>
          <t>Als angehöriger von 7. Fus. Komp als ausgedienter Veteran mit Abschied entlassen</t>
        </r>
        <r>
          <rPr>
            <sz val="14"/>
            <color rgb="FF000000"/>
            <rFont val="Times New Roman"/>
            <family val="18"/>
          </rPr>
          <t xml:space="preserve"> [ML 1811 &amp; ST Nov 1810]</t>
        </r>
        <r>
          <rPr>
            <sz val="14"/>
            <color rgb="FF000000"/>
            <rFont val="Calibri"/>
            <family val="34"/>
          </rPr>
          <t xml:space="preserve">
</t>
        </r>
      </text>
    </comment>
    <comment ref="BG570" authorId="0" shapeId="0" xr:uid="{5E948273-18A6-1C45-B174-756215968AED}">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43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72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Richter Komp. Nr. 107 (Venice 19/09/1803)</t>
        </r>
        <r>
          <rPr>
            <sz val="14"/>
            <color rgb="FF000000"/>
            <rFont val="Calibri"/>
            <family val="34"/>
          </rPr>
          <t xml:space="preserve">
</t>
        </r>
        <r>
          <rPr>
            <sz val="14"/>
            <color rgb="FF000000"/>
            <rFont val="Times New Roman"/>
            <family val="18"/>
          </rPr>
          <t>ML 3909 IR 44 (1804) – Haupt Richter Komp. Nr. 96 (Vicenza 12/05/1804)</t>
        </r>
        <r>
          <rPr>
            <sz val="14"/>
            <color rgb="FF000000"/>
            <rFont val="Calibri"/>
            <family val="34"/>
          </rPr>
          <t xml:space="preserve">
</t>
        </r>
        <r>
          <rPr>
            <sz val="14"/>
            <color rgb="FF000000"/>
            <rFont val="Times New Roman"/>
            <family val="18"/>
          </rPr>
          <t>ML 3910 IR 44 (1806) – CaptLt Schick Komp. Nr. 47 (Fiume 10/12/1806)</t>
        </r>
        <r>
          <rPr>
            <sz val="14"/>
            <color rgb="FF000000"/>
            <rFont val="Calibri"/>
            <family val="34"/>
          </rPr>
          <t xml:space="preserve">
</t>
        </r>
        <r>
          <rPr>
            <sz val="14"/>
            <color rgb="FF000000"/>
            <rFont val="Times New Roman"/>
            <family val="18"/>
          </rPr>
          <t>ML 3911 IR 44 (1808-10) – RL CaptLt. Schlindwein [14. Fus.] Komp. Nr, 34 (Sambor 19/09/1808), 7. Fus. Komp. Nr. 228 (Papa 27/09/1810)</t>
        </r>
        <r>
          <rPr>
            <sz val="14"/>
            <color rgb="FF000000"/>
            <rFont val="Calibri"/>
            <family val="34"/>
          </rPr>
          <t xml:space="preserve">
</t>
        </r>
        <r>
          <rPr>
            <sz val="14"/>
            <color rgb="FF000000"/>
            <rFont val="Times New Roman"/>
            <family val="18"/>
          </rPr>
          <t>ML 3912/3 IR 44 (1811) – 7. Fus. Komp. – Abgang (Sthulweissenburg 20/09/1811)</t>
        </r>
        <r>
          <rPr>
            <sz val="14"/>
            <color rgb="FF000000"/>
            <rFont val="Calibri"/>
            <family val="34"/>
          </rPr>
          <t xml:space="preserve">
</t>
        </r>
        <r>
          <rPr>
            <sz val="14"/>
            <color rgb="FF000000"/>
            <rFont val="Times New Roman"/>
            <family val="18"/>
          </rPr>
          <t>ML 3946 IR 44 (1802) – AL IR 43-&gt; IR 43 Nr. 80 (Zara 14/08/1802)</t>
        </r>
        <r>
          <rPr>
            <sz val="14"/>
            <color rgb="FF000000"/>
            <rFont val="Calibri"/>
            <family val="34"/>
          </rPr>
          <t xml:space="preserve">
</t>
        </r>
        <r>
          <rPr>
            <sz val="14"/>
            <color rgb="FF000000"/>
            <rFont val="Times New Roman"/>
            <family val="18"/>
          </rPr>
          <t>ML 3960 IR 44 (1809) – ST Feb (Ofen 31/10/1810)</t>
        </r>
        <r>
          <rPr>
            <sz val="14"/>
            <color rgb="FF000000"/>
            <rFont val="Calibri"/>
            <family val="34"/>
          </rPr>
          <t xml:space="preserve">
</t>
        </r>
        <r>
          <rPr>
            <sz val="14"/>
            <color rgb="FF000000"/>
            <rFont val="Times New Roman"/>
            <family val="18"/>
          </rPr>
          <t>ML 3962 IR 44 (1810) – ST Nov (18/12/1811)</t>
        </r>
        <r>
          <rPr>
            <sz val="14"/>
            <color rgb="FF000000"/>
            <rFont val="Calibri"/>
            <family val="34"/>
          </rPr>
          <t xml:space="preserve">
</t>
        </r>
      </text>
    </comment>
    <comment ref="BH570" authorId="0" shapeId="0" xr:uid="{CCD1DDC7-85A8-DE42-B22C-57C3B77BFE11}">
      <text>
        <r>
          <rPr>
            <sz val="14"/>
            <color rgb="FF000000"/>
            <rFont val="Calibri"/>
            <family val="34"/>
          </rPr>
          <t xml:space="preserve">IR 43 (1799-1802)
</t>
        </r>
        <r>
          <rPr>
            <sz val="14"/>
            <color rgb="FF000000"/>
            <rFont val="Calibri"/>
            <family val="34"/>
          </rPr>
          <t>IR 44 (1802-1810)</t>
        </r>
      </text>
    </comment>
    <comment ref="BI570" authorId="0" shapeId="0" xr:uid="{C18B602A-8B10-D84C-A598-1F07C92B0F30}">
      <text>
        <r>
          <rPr>
            <sz val="14"/>
            <color rgb="FF000000"/>
            <rFont val="Calibri"/>
            <family val="34"/>
          </rPr>
          <t>Gut [TL Aug 1802]</t>
        </r>
      </text>
    </comment>
    <comment ref="I571" authorId="0" shapeId="0" xr:uid="{5BE88A09-3364-2A4F-AA11-25E9A150393D}">
      <text>
        <r>
          <rPr>
            <sz val="14"/>
            <color rgb="FF000000"/>
            <rFont val="Calibri"/>
            <family val="34"/>
          </rPr>
          <t xml:space="preserve">1770 [32 (1802)] 
</t>
        </r>
        <r>
          <rPr>
            <sz val="14"/>
            <color rgb="FF000000"/>
            <rFont val="Calibri"/>
            <family val="34"/>
          </rPr>
          <t xml:space="preserve">OR 
</t>
        </r>
        <r>
          <rPr>
            <sz val="14"/>
            <color rgb="FF000000"/>
            <rFont val="Calibri"/>
            <family val="34"/>
          </rPr>
          <t>1775 [25 (1800)]</t>
        </r>
      </text>
    </comment>
    <comment ref="J571" authorId="0" shapeId="0" xr:uid="{B27275BA-AA18-6D4C-BDE7-F576152471CD}">
      <text>
        <r>
          <rPr>
            <sz val="14"/>
            <color rgb="FF000000"/>
            <rFont val="Calibri"/>
            <family val="34"/>
          </rPr>
          <t xml:space="preserve">Ledig (1802-3)
</t>
        </r>
        <r>
          <rPr>
            <sz val="14"/>
            <color rgb="FF000000"/>
            <rFont val="Calibri"/>
            <family val="34"/>
          </rPr>
          <t>Veheiratet (1800/4-5)</t>
        </r>
      </text>
    </comment>
    <comment ref="BF571" authorId="0" shapeId="0" xr:uid="{867C414E-9AE0-C64C-925F-DA57E00081F7}">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 xml:space="preserve">26/07/1799 </t>
        </r>
        <r>
          <rPr>
            <i/>
            <sz val="14"/>
            <color rgb="FF000000"/>
            <rFont val="Times New Roman"/>
            <family val="18"/>
          </rPr>
          <t>von Ständen gestellt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Pasqually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Pasqually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Musterung: IR 43 Haupt Pasqually Nr. 82</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Pasqually Comp. Nr. 74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Pasqually Comp Nr. 70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10/11/1805 Musterung: IR 43 15. Fus Comp Nr. 64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9. Fus Comp als unwissend Verloren in Abgang</t>
        </r>
        <r>
          <rPr>
            <sz val="14"/>
            <color rgb="FF000000"/>
            <rFont val="Times New Roman"/>
            <family val="18"/>
          </rPr>
          <t xml:space="preserve"> [ST Oct 1806 &amp;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wurde in den Monats Tabelle per 8ber 806 nit ultimo unrecht als unwissend verloren in Abgang gebracht; weil selbe auf Urlaub als Untauglich entlausen Wird</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zu Folge hoher General Commando Verordnung Nr. 7200 als untauglich gegen Renuncierung con Militar Beneficien mit Abschied entlassen</t>
        </r>
        <r>
          <rPr>
            <sz val="14"/>
            <color rgb="FF000000"/>
            <rFont val="Times New Roman"/>
            <family val="18"/>
          </rPr>
          <t xml:space="preserve"> [ST Nov 1806 &amp; ML 1806]</t>
        </r>
        <r>
          <rPr>
            <sz val="14"/>
            <color rgb="FF000000"/>
            <rFont val="Calibri"/>
            <family val="34"/>
          </rPr>
          <t xml:space="preserve">
</t>
        </r>
      </text>
    </comment>
    <comment ref="BG571" authorId="0" shapeId="0" xr:uid="{15E9CE46-6B6B-C34A-9841-DEBF5B881116}">
      <text>
        <r>
          <rPr>
            <sz val="14"/>
            <color rgb="FF000000"/>
            <rFont val="Calibri"/>
            <family val="34"/>
          </rPr>
          <t xml:space="preserve">ML 10.272 IR 43 (1802) – Heft von Haupt Pasqually Comp Nr. 82 (Cattaro 28/08/1802)
</t>
        </r>
        <r>
          <rPr>
            <sz val="14"/>
            <color rgb="FF000000"/>
            <rFont val="Calibri"/>
            <family val="34"/>
          </rPr>
          <t xml:space="preserve">ML 10.273 IR 43 (1803) – Heft von Haupt Pasqually  Comp Nr. 74 (Cattaro 02/11/1803)
</t>
        </r>
        <r>
          <rPr>
            <sz val="14"/>
            <color rgb="FF000000"/>
            <rFont val="Calibri"/>
            <family val="34"/>
          </rPr>
          <t xml:space="preserve">ML 10.274 IR 43 (1804) – Heft von Haupt Pasqually Comp Nr. 70 (Theodo 05/10/1804)
</t>
        </r>
        <r>
          <rPr>
            <sz val="14"/>
            <color rgb="FF000000"/>
            <rFont val="Calibri"/>
            <family val="34"/>
          </rPr>
          <t xml:space="preserve">ML 10.275/6 IR 43 (1805) – Heft von 15. Fus. Comp. Nr. 64 (Macarska 10/11/1805)
</t>
        </r>
        <r>
          <rPr>
            <sz val="14"/>
            <color rgb="FF000000"/>
            <rFont val="Calibri"/>
            <family val="34"/>
          </rPr>
          <t xml:space="preserve">ML 10.277/8 IR 43 (1806) – Heft von 10. Fus. Comp. – Abgang (Neustadt (05/12/1806)
</t>
        </r>
        <r>
          <rPr>
            <sz val="14"/>
            <color rgb="FF000000"/>
            <rFont val="Calibri"/>
            <family val="34"/>
          </rPr>
          <t xml:space="preserve">ML 10.309 IR 43 (1800) – ST April (24/01/1802)
</t>
        </r>
        <r>
          <rPr>
            <sz val="14"/>
            <color rgb="FF000000"/>
            <rFont val="Calibri"/>
            <family val="34"/>
          </rPr>
          <t xml:space="preserve">ML 10.310 IR 43 (1800) – TL IR 43 Res Div-&gt; Feld Bat Nr. 23 (Laibach 05/02/1800)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und November (15/12/1806)
</t>
        </r>
      </text>
    </comment>
    <comment ref="BH571" authorId="0" shapeId="0" xr:uid="{3B54EE1B-C39A-844A-95B7-E3EF8B9AC083}">
      <text>
        <r>
          <rPr>
            <sz val="14"/>
            <color rgb="FF000000"/>
            <rFont val="Calibri"/>
            <family val="34"/>
          </rPr>
          <t>IR 43 (1799-1806)</t>
        </r>
      </text>
    </comment>
    <comment ref="I572" authorId="0" shapeId="0" xr:uid="{B1407B4B-2613-0140-8E3E-46C9F172F9F2}">
      <text>
        <r>
          <rPr>
            <sz val="14"/>
            <color rgb="FF000000"/>
            <rFont val="Calibri"/>
            <family val="34"/>
          </rPr>
          <t xml:space="preserve">1771 [28 (AL 1799)] 
</t>
        </r>
        <r>
          <rPr>
            <sz val="14"/>
            <color rgb="FF000000"/>
            <rFont val="Calibri"/>
            <family val="34"/>
          </rPr>
          <t xml:space="preserve">OR 
</t>
        </r>
        <r>
          <rPr>
            <sz val="14"/>
            <color rgb="FF000000"/>
            <rFont val="Calibri"/>
            <family val="34"/>
          </rPr>
          <t>1762 [41 (ML 1803)]</t>
        </r>
      </text>
    </comment>
    <comment ref="T572" authorId="0" shapeId="0" xr:uid="{C75C3A5B-0F90-EA4F-8D10-35D20A846581}">
      <text>
        <r>
          <rPr>
            <sz val="14"/>
            <color rgb="FF000000"/>
            <rFont val="Calibri"/>
            <family val="34"/>
          </rPr>
          <t xml:space="preserve">5 (1803-6) [158 cm]
</t>
        </r>
        <r>
          <rPr>
            <sz val="14"/>
            <color rgb="FF000000"/>
            <rFont val="Calibri"/>
            <family val="34"/>
          </rPr>
          <t>5.1 (1799) [161.07 cm]</t>
        </r>
      </text>
    </comment>
    <comment ref="BF572" authorId="0" shapeId="0" xr:uid="{747A0098-700A-4C44-A998-3009AD41052E}">
      <text>
        <r>
          <rPr>
            <sz val="14"/>
            <color rgb="FFFF0000"/>
            <rFont val="Times New Roman"/>
            <family val="18"/>
          </rPr>
          <t xml:space="preserve">??/05/1799 </t>
        </r>
        <r>
          <rPr>
            <i/>
            <sz val="14"/>
            <color rgb="FFFF0000"/>
            <rFont val="Times New Roman"/>
            <family val="18"/>
          </rPr>
          <t>A 3Fl auf Beständig assentiert</t>
        </r>
        <r>
          <rPr>
            <sz val="14"/>
            <color rgb="FFFF0000"/>
            <rFont val="Times New Roman"/>
            <family val="18"/>
          </rPr>
          <t xml:space="preserve"> [TL Aug 1802]</t>
        </r>
        <r>
          <rPr>
            <sz val="14"/>
            <color rgb="FF000000"/>
            <rFont val="Calibri"/>
            <family val="34"/>
          </rPr>
          <t xml:space="preserve">
</t>
        </r>
        <r>
          <rPr>
            <sz val="14"/>
            <color rgb="FFFF0000"/>
            <rFont val="Times New Roman"/>
            <family val="18"/>
          </rPr>
          <t xml:space="preserve">12/05/1799 </t>
        </r>
        <r>
          <rPr>
            <i/>
            <sz val="14"/>
            <color rgb="FFFF0000"/>
            <rFont val="Times New Roman"/>
            <family val="18"/>
          </rPr>
          <t>A 3Fl auf Beständig assentiert</t>
        </r>
        <r>
          <rPr>
            <sz val="14"/>
            <color rgb="FFFF0000"/>
            <rFont val="Times New Roman"/>
            <family val="18"/>
          </rPr>
          <t xml:space="preserve"> [ML 1804]</t>
        </r>
        <r>
          <rPr>
            <sz val="14"/>
            <color rgb="FF000000"/>
            <rFont val="Calibri"/>
            <family val="34"/>
          </rPr>
          <t xml:space="preserve">
</t>
        </r>
        <r>
          <rPr>
            <sz val="14"/>
            <color rgb="FF000000"/>
            <rFont val="Times New Roman"/>
            <family val="18"/>
          </rPr>
          <t xml:space="preserve">28/07/1799 </t>
        </r>
        <r>
          <rPr>
            <i/>
            <sz val="14"/>
            <color rgb="FF000000"/>
            <rFont val="Times New Roman"/>
            <family val="18"/>
          </rPr>
          <t>Von Ständen gestellt und zum Sandomierz assentiert,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15/11/1799</t>
        </r>
        <r>
          <rPr>
            <i/>
            <sz val="14"/>
            <color rgb="FF000000"/>
            <rFont val="Times New Roman"/>
            <family val="18"/>
          </rPr>
          <t xml:space="preserve"> In die Reserve Division eingerückt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03/04/1800 von Reserve Division in Haupt Gestler Comp. transferiert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Assandri Nr. 94 [</t>
        </r>
        <r>
          <rPr>
            <i/>
            <sz val="14"/>
            <color rgb="FF000000"/>
            <rFont val="Times New Roman"/>
            <family val="18"/>
          </rPr>
          <t>Auf unbestimmte Zeit beurlaubt in Ostrowitz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90 [</t>
        </r>
        <r>
          <rPr>
            <i/>
            <sz val="14"/>
            <color rgb="FF000000"/>
            <rFont val="Times New Roman"/>
            <family val="18"/>
          </rPr>
          <t>Beurlaubt zu Ostrowitz Sandomierz Kreis in West Neu Galizien bis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58</t>
        </r>
        <r>
          <rPr>
            <sz val="14"/>
            <color rgb="FF000000"/>
            <rFont val="Calibri"/>
            <family val="34"/>
          </rPr>
          <t xml:space="preserve">
</t>
        </r>
        <r>
          <rPr>
            <sz val="14"/>
            <color rgb="FF000000"/>
            <rFont val="Times New Roman"/>
            <family val="18"/>
          </rPr>
          <t xml:space="preserve">21/08/1808 </t>
        </r>
        <r>
          <rPr>
            <i/>
            <sz val="14"/>
            <color rgb="FF000000"/>
            <rFont val="Times New Roman"/>
            <family val="18"/>
          </rPr>
          <t>Krank in auswärtiger Garnison Spital in Pest, dann in Comorn</t>
        </r>
        <r>
          <rPr>
            <sz val="14"/>
            <color rgb="FF000000"/>
            <rFont val="Times New Roman"/>
            <family val="18"/>
          </rPr>
          <t xml:space="preserve"> [ST Aug 1808 &amp; ST April 1809]</t>
        </r>
        <r>
          <rPr>
            <sz val="14"/>
            <color rgb="FF000000"/>
            <rFont val="Calibri"/>
            <family val="34"/>
          </rPr>
          <t xml:space="preserve">
</t>
        </r>
        <r>
          <rPr>
            <sz val="14"/>
            <color rgb="FF000000"/>
            <rFont val="Times New Roman"/>
            <family val="18"/>
          </rPr>
          <t>19/09/1808 Muster: IR 44 Haupt Liebler Nr. 43 [</t>
        </r>
        <r>
          <rPr>
            <i/>
            <sz val="14"/>
            <color rgb="FF000000"/>
            <rFont val="Times New Roman"/>
            <family val="18"/>
          </rPr>
          <t>Commandiert in Spital zu Pest</t>
        </r>
        <r>
          <rPr>
            <sz val="14"/>
            <color rgb="FF000000"/>
            <rFont val="Times New Roman"/>
            <family val="18"/>
          </rPr>
          <t>]</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4.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ins Spital verbliebene als unwissend verloren in Abgang</t>
        </r>
        <r>
          <rPr>
            <sz val="14"/>
            <color rgb="FF000000"/>
            <rFont val="Times New Roman"/>
            <family val="18"/>
          </rPr>
          <t xml:space="preserve"> [ML 1811]</t>
        </r>
        <r>
          <rPr>
            <sz val="14"/>
            <color rgb="FF000000"/>
            <rFont val="Calibri"/>
            <family val="34"/>
          </rPr>
          <t xml:space="preserve">
</t>
        </r>
      </text>
    </comment>
    <comment ref="BG572" authorId="0" shapeId="0" xr:uid="{ABE2CCC5-09EF-7C43-B4C4-EDF0E5DACB24}">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44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17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107 (Venice 19/09/1803)</t>
        </r>
        <r>
          <rPr>
            <sz val="14"/>
            <color rgb="FF000000"/>
            <rFont val="Calibri"/>
            <family val="34"/>
          </rPr>
          <t xml:space="preserve">
</t>
        </r>
        <r>
          <rPr>
            <sz val="14"/>
            <color rgb="FF000000"/>
            <rFont val="Times New Roman"/>
            <family val="18"/>
          </rPr>
          <t>ML 3909 IR 44 (1804) – Haupt Assandri Komp. Nr. 90 (Vicenza 12/05/1804)</t>
        </r>
        <r>
          <rPr>
            <sz val="14"/>
            <color rgb="FF000000"/>
            <rFont val="Calibri"/>
            <family val="34"/>
          </rPr>
          <t xml:space="preserve">
</t>
        </r>
        <r>
          <rPr>
            <sz val="14"/>
            <color rgb="FF000000"/>
            <rFont val="Times New Roman"/>
            <family val="18"/>
          </rPr>
          <t>ML 3910 IR 44 (1806) – Haupt. Liebler Nr. 58 (Fiume 10/12/1806)</t>
        </r>
        <r>
          <rPr>
            <sz val="14"/>
            <color rgb="FF000000"/>
            <rFont val="Calibri"/>
            <family val="34"/>
          </rPr>
          <t xml:space="preserve">
</t>
        </r>
        <r>
          <rPr>
            <sz val="14"/>
            <color rgb="FF000000"/>
            <rFont val="Times New Roman"/>
            <family val="18"/>
          </rPr>
          <t>ML 3911 IR 44 (1808-10) – Haupt Liebler [4. Fus.] Komp. Nr. 43 (Comorn 19/09/1808)</t>
        </r>
        <r>
          <rPr>
            <sz val="14"/>
            <color rgb="FF000000"/>
            <rFont val="Calibri"/>
            <family val="34"/>
          </rPr>
          <t xml:space="preserve">
</t>
        </r>
        <r>
          <rPr>
            <sz val="14"/>
            <color rgb="FF000000"/>
            <rFont val="Times New Roman"/>
            <family val="18"/>
          </rPr>
          <t>ML 3912-3 IR 44 (1811) – 1. Fus. Komp. – Abgang (Pappa 18/09/1811)</t>
        </r>
        <r>
          <rPr>
            <sz val="14"/>
            <color rgb="FF000000"/>
            <rFont val="Calibri"/>
            <family val="34"/>
          </rPr>
          <t xml:space="preserve">
</t>
        </r>
        <r>
          <rPr>
            <sz val="14"/>
            <color rgb="FF000000"/>
            <rFont val="Times New Roman"/>
            <family val="18"/>
          </rPr>
          <t>ML 3946 IR 44 (1802) – AL IR 43-&gt; IR 43 Nr. 82 (Zara 27/07/1802)</t>
        </r>
        <r>
          <rPr>
            <sz val="14"/>
            <color rgb="FF000000"/>
            <rFont val="Calibri"/>
            <family val="34"/>
          </rPr>
          <t xml:space="preserve">
</t>
        </r>
        <r>
          <rPr>
            <sz val="14"/>
            <color rgb="FF000000"/>
            <rFont val="Times New Roman"/>
            <family val="18"/>
          </rPr>
          <t>ML 3958 IR 44 (1808) – Aug (Comorn 28/11/1808)</t>
        </r>
        <r>
          <rPr>
            <sz val="14"/>
            <color rgb="FF000000"/>
            <rFont val="Calibri"/>
            <family val="34"/>
          </rPr>
          <t xml:space="preserve">
</t>
        </r>
        <r>
          <rPr>
            <sz val="14"/>
            <color rgb="FF000000"/>
            <rFont val="Times New Roman"/>
            <family val="18"/>
          </rPr>
          <t>ML 3960 IR 44 (1809) – April (Ofen 06/02/1811), Sept (Ofen 20/05/1811)</t>
        </r>
        <r>
          <rPr>
            <sz val="14"/>
            <color rgb="FF000000"/>
            <rFont val="Calibri"/>
            <family val="34"/>
          </rPr>
          <t xml:space="preserve">
</t>
        </r>
      </text>
    </comment>
    <comment ref="BH572" authorId="0" shapeId="0" xr:uid="{F11DD910-FDD8-6947-A8BF-62EBC9FAEE6A}">
      <text>
        <r>
          <rPr>
            <sz val="14"/>
            <color rgb="FF000000"/>
            <rFont val="Calibri"/>
            <family val="34"/>
          </rPr>
          <t xml:space="preserve">IR 43 (1799-1802)
</t>
        </r>
        <r>
          <rPr>
            <sz val="14"/>
            <color rgb="FF000000"/>
            <rFont val="Calibri"/>
            <family val="34"/>
          </rPr>
          <t>IR 44 (1802-1810)</t>
        </r>
      </text>
    </comment>
    <comment ref="BI572" authorId="0" shapeId="0" xr:uid="{DBC45573-05EF-8D4E-A116-E88FE41BD31B}">
      <text>
        <r>
          <rPr>
            <sz val="14"/>
            <color rgb="FF000000"/>
            <rFont val="Calibri"/>
            <family val="34"/>
          </rPr>
          <t>Gut [TL Aug 1802]</t>
        </r>
      </text>
    </comment>
    <comment ref="CR572" authorId="0" shapeId="0" xr:uid="{CCCCFFC6-7604-D847-A99B-A4CB11A126D6}">
      <text>
        <r>
          <rPr>
            <sz val="14"/>
            <color rgb="FF000000"/>
            <rFont val="Calibri"/>
            <family val="34"/>
          </rPr>
          <t>1802-4: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1806: Katolisch </t>
        </r>
      </text>
    </comment>
    <comment ref="BF573" authorId="0" shapeId="0" xr:uid="{55B9579C-F6CB-2544-B5C5-EF9510582635}">
      <text>
        <r>
          <rPr>
            <sz val="14"/>
            <color rgb="FF000000"/>
            <rFont val="Times New Roman"/>
            <family val="18"/>
          </rPr>
          <t xml:space="preserve">29/07/1799 </t>
        </r>
        <r>
          <rPr>
            <i/>
            <sz val="14"/>
            <color rgb="FF000000"/>
            <rFont val="Times New Roman"/>
            <family val="18"/>
          </rPr>
          <t xml:space="preserve">von Ständen zum IR 43 gestellt und seitdem auf anhero Marsch mit Friedensgebühr </t>
        </r>
        <r>
          <rPr>
            <sz val="14"/>
            <color rgb="FF000000"/>
            <rFont val="Times New Roman"/>
            <family val="18"/>
          </rPr>
          <t>[AL Aug 1799]</t>
        </r>
        <r>
          <rPr>
            <sz val="14"/>
            <color rgb="FF000000"/>
            <rFont val="Calibri"/>
            <family val="34"/>
          </rPr>
          <t xml:space="preserve">
</t>
        </r>
        <r>
          <rPr>
            <sz val="14"/>
            <color rgb="FF000000"/>
            <rFont val="Times New Roman"/>
            <family val="18"/>
          </rPr>
          <t>10/1799 In Reserve Division eingerückt</t>
        </r>
        <r>
          <rPr>
            <sz val="14"/>
            <color rgb="FF000000"/>
            <rFont val="Calibri"/>
            <family val="34"/>
          </rPr>
          <t xml:space="preserve">
</t>
        </r>
        <r>
          <rPr>
            <sz val="14"/>
            <color rgb="FF000000"/>
            <rFont val="Times New Roman"/>
            <family val="18"/>
          </rPr>
          <t xml:space="preserve">04/12/1799 </t>
        </r>
        <r>
          <rPr>
            <i/>
            <sz val="14"/>
            <color rgb="FF000000"/>
            <rFont val="Times New Roman"/>
            <family val="18"/>
          </rPr>
          <t>Ferner Krank mit Kriegsgebühr</t>
        </r>
        <r>
          <rPr>
            <sz val="14"/>
            <color rgb="FF000000"/>
            <rFont val="Times New Roman"/>
            <family val="18"/>
          </rPr>
          <t xml:space="preserve"> [ST Dez 1799]</t>
        </r>
        <r>
          <rPr>
            <sz val="14"/>
            <color rgb="FF000000"/>
            <rFont val="Calibri"/>
            <family val="34"/>
          </rPr>
          <t xml:space="preserve">
</t>
        </r>
        <r>
          <rPr>
            <sz val="14"/>
            <color rgb="FF000000"/>
            <rFont val="Times New Roman"/>
            <family val="18"/>
          </rPr>
          <t xml:space="preserve">25/12/1799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16/08/1800 </t>
        </r>
        <r>
          <rPr>
            <i/>
            <sz val="14"/>
            <color rgb="FF000000"/>
            <rFont val="Times New Roman"/>
            <family val="18"/>
          </rPr>
          <t>Von Reserve Division ins Haupt Schoer Comp.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21/08/1800 </t>
        </r>
        <r>
          <rPr>
            <i/>
            <sz val="14"/>
            <color rgb="FF000000"/>
            <rFont val="Times New Roman"/>
            <family val="18"/>
          </rPr>
          <t>Krank auswärts</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30/06/1801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Juli 1801]</t>
        </r>
        <r>
          <rPr>
            <sz val="14"/>
            <color rgb="FF000000"/>
            <rFont val="Calibri"/>
            <family val="34"/>
          </rPr>
          <t xml:space="preserve">
</t>
        </r>
      </text>
    </comment>
    <comment ref="BG573" authorId="0" shapeId="0" xr:uid="{80ABB355-D34D-1746-9316-CAFC1431B068}">
      <text>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45 (Sandomierz 31/08/1799)</t>
        </r>
        <r>
          <rPr>
            <sz val="14"/>
            <color rgb="FF000000"/>
            <rFont val="Calibri"/>
            <family val="34"/>
          </rPr>
          <t xml:space="preserve">
</t>
        </r>
        <r>
          <rPr>
            <sz val="14"/>
            <color rgb="FF000000"/>
            <rFont val="Times New Roman"/>
            <family val="18"/>
          </rPr>
          <t>ML 10.309 IR 43 (1800) – ST Feb (06/04/1801), März (04/10/1801), Sept (31/01/1804)</t>
        </r>
        <r>
          <rPr>
            <sz val="14"/>
            <color rgb="FF000000"/>
            <rFont val="Calibri"/>
            <family val="34"/>
          </rPr>
          <t xml:space="preserve">
</t>
        </r>
        <r>
          <rPr>
            <sz val="14"/>
            <color rgb="FF000000"/>
            <rFont val="Times New Roman"/>
            <family val="18"/>
          </rPr>
          <t>ML 10.310 IR 43 (1800) – TL IR 43 Res. Div.-&gt; Feld Bat. Nr. 31 (Laibach 05/02/1800)</t>
        </r>
        <r>
          <rPr>
            <sz val="14"/>
            <color rgb="FF000000"/>
            <rFont val="Calibri"/>
            <family val="34"/>
          </rPr>
          <t xml:space="preserve">
</t>
        </r>
        <r>
          <rPr>
            <sz val="14"/>
            <color rgb="FF000000"/>
            <rFont val="Times New Roman"/>
            <family val="18"/>
          </rPr>
          <t>ML 10.311 IR 43 (1801) – ST Juli (08/07/1805)</t>
        </r>
        <r>
          <rPr>
            <sz val="14"/>
            <color rgb="FF000000"/>
            <rFont val="Calibri"/>
            <family val="34"/>
          </rPr>
          <t xml:space="preserve">
</t>
        </r>
      </text>
    </comment>
    <comment ref="BH573" authorId="0" shapeId="0" xr:uid="{B4EB495E-E149-8842-8019-2D3B53817D6E}">
      <text>
        <r>
          <rPr>
            <sz val="14"/>
            <color rgb="FF000000"/>
            <rFont val="Calibri"/>
            <family val="34"/>
          </rPr>
          <t>IR 43 (1799-1801)</t>
        </r>
      </text>
    </comment>
    <comment ref="BF574" authorId="0" shapeId="0" xr:uid="{6C9E45A1-EAA6-AB46-AC23-48992987BC27}">
      <text>
        <r>
          <rPr>
            <sz val="14"/>
            <color rgb="FF000000"/>
            <rFont val="Times New Roman"/>
            <family val="18"/>
          </rPr>
          <t xml:space="preserve">01/08/1799 </t>
        </r>
        <r>
          <rPr>
            <i/>
            <sz val="14"/>
            <color rgb="FF000000"/>
            <rFont val="Times New Roman"/>
            <family val="18"/>
          </rPr>
          <t>Werden in Ermanglung von Assent Liste nach der Revision von1. August 1799 in Zuwachs gebracht, und von euodem dato mit auswärtiger verpflegung auf Anmarsch</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28/09/1799 </t>
        </r>
        <r>
          <rPr>
            <i/>
            <sz val="14"/>
            <color rgb="FF000000"/>
            <rFont val="Times New Roman"/>
            <family val="18"/>
          </rPr>
          <t>ist eingerückt und seitdem mit Geld und seit 27.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t>
        </r>
        <r>
          <rPr>
            <sz val="14"/>
            <color rgb="FF000000"/>
            <rFont val="Times New Roman"/>
            <family val="18"/>
          </rPr>
          <t xml:space="preserve"> [ML 1802]</t>
        </r>
        <r>
          <rPr>
            <sz val="14"/>
            <color rgb="FF000000"/>
            <rFont val="Calibri"/>
            <family val="34"/>
          </rPr>
          <t xml:space="preserve">
</t>
        </r>
      </text>
    </comment>
    <comment ref="BG574" authorId="0" shapeId="0" xr:uid="{CF94512D-A68B-2D4B-8A90-18A388E4C33E}">
      <text>
        <r>
          <rPr>
            <sz val="14"/>
            <color rgb="FF000000"/>
            <rFont val="Times New Roman"/>
            <family val="18"/>
          </rPr>
          <t>ML 10.124 IR 23 (1802) – Haupt Pappius Komp. Abgang (Vienna 16/09/1802)</t>
        </r>
        <r>
          <rPr>
            <sz val="14"/>
            <color rgb="FF000000"/>
            <rFont val="Calibri"/>
            <family val="34"/>
          </rPr>
          <t xml:space="preserve">
</t>
        </r>
        <r>
          <rPr>
            <sz val="14"/>
            <color rgb="FF000000"/>
            <rFont val="Times New Roman"/>
            <family val="18"/>
          </rPr>
          <t>ML 10.164 IR 23 (1799) – Sept (01/04/1801)</t>
        </r>
      </text>
    </comment>
    <comment ref="BH574" authorId="0" shapeId="0" xr:uid="{77579605-DB6C-4849-8827-AD8C239DB628}">
      <text>
        <r>
          <rPr>
            <sz val="14"/>
            <color rgb="FF000000"/>
            <rFont val="Calibri"/>
            <family val="34"/>
          </rPr>
          <t>IR 23 (1799-1801)</t>
        </r>
      </text>
    </comment>
    <comment ref="BF575" authorId="0" shapeId="0" xr:uid="{21E2AEEE-D342-F048-BA8D-791E87118235}">
      <text>
        <r>
          <rPr>
            <sz val="14"/>
            <color rgb="FF000000"/>
            <rFont val="Times New Roman"/>
            <family val="18"/>
          </rPr>
          <t xml:space="preserve">In 08/1799 </t>
        </r>
        <r>
          <rPr>
            <i/>
            <sz val="14"/>
            <color rgb="FF000000"/>
            <rFont val="Times New Roman"/>
            <family val="18"/>
          </rPr>
          <t>Assentiert</t>
        </r>
        <r>
          <rPr>
            <sz val="14"/>
            <color rgb="FF000000"/>
            <rFont val="Times New Roman"/>
            <family val="18"/>
          </rPr>
          <t xml:space="preserve"> [TL March 1811]</t>
        </r>
        <r>
          <rPr>
            <sz val="14"/>
            <color rgb="FF000000"/>
            <rFont val="Calibri"/>
            <family val="34"/>
          </rPr>
          <t xml:space="preserve">
</t>
        </r>
        <r>
          <rPr>
            <sz val="14"/>
            <color rgb="FF000000"/>
            <rFont val="Times New Roman"/>
            <family val="18"/>
          </rPr>
          <t xml:space="preserve">In 08/1810 </t>
        </r>
        <r>
          <rPr>
            <i/>
            <sz val="14"/>
            <color rgb="FF000000"/>
            <rFont val="Times New Roman"/>
            <family val="18"/>
          </rPr>
          <t>Auf Unbekannte Datum von Dissolvierte Marine Batterie zum IR 44 16. Fus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21/08/1810 </t>
        </r>
        <r>
          <rPr>
            <i/>
            <sz val="14"/>
            <color rgb="FF000000"/>
            <rFont val="Times New Roman"/>
            <family val="18"/>
          </rPr>
          <t>Von 16. Zum 5. Fus.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5. Fus. Komp, Nr. 279 [</t>
        </r>
        <r>
          <rPr>
            <i/>
            <sz val="14"/>
            <color rgb="FF000000"/>
            <rFont val="Times New Roman"/>
            <family val="18"/>
          </rPr>
          <t>Halb Invalid &amp; Commandiert auf Arbeit zu Ertson</t>
        </r>
        <r>
          <rPr>
            <sz val="14"/>
            <color rgb="FF000000"/>
            <rFont val="Times New Roman"/>
            <family val="18"/>
          </rPr>
          <t>]</t>
        </r>
        <r>
          <rPr>
            <sz val="14"/>
            <color rgb="FF000000"/>
            <rFont val="Calibri"/>
            <family val="34"/>
          </rPr>
          <t xml:space="preserve">
</t>
        </r>
        <r>
          <rPr>
            <sz val="14"/>
            <color rgb="FF000000"/>
            <rFont val="Times New Roman"/>
            <family val="18"/>
          </rPr>
          <t xml:space="preserve">01/03/1811 </t>
        </r>
        <r>
          <rPr>
            <i/>
            <sz val="14"/>
            <color rgb="FF000000"/>
            <rFont val="Times New Roman"/>
            <family val="18"/>
          </rPr>
          <t>von IR 44 5. Fus Comp. zum 6. GAD ‚7Burgen‘ als Halb Invalid transferiert</t>
        </r>
        <r>
          <rPr>
            <sz val="14"/>
            <color rgb="FF000000"/>
            <rFont val="Times New Roman"/>
            <family val="18"/>
          </rPr>
          <t xml:space="preserve"> [TL March 1811]</t>
        </r>
        <r>
          <rPr>
            <sz val="14"/>
            <color rgb="FF000000"/>
            <rFont val="Calibri"/>
            <family val="34"/>
          </rPr>
          <t xml:space="preserve">
</t>
        </r>
        <r>
          <rPr>
            <sz val="14"/>
            <color rgb="FF000000"/>
            <rFont val="Times New Roman"/>
            <family val="18"/>
          </rPr>
          <t xml:space="preserve">20/06/1811 </t>
        </r>
        <r>
          <rPr>
            <i/>
            <sz val="14"/>
            <color rgb="FF000000"/>
            <rFont val="Times New Roman"/>
            <family val="18"/>
          </rPr>
          <t>In Karlsburg Eingerückt und zum Privat Diener Mutiert</t>
        </r>
        <r>
          <rPr>
            <sz val="14"/>
            <color rgb="FF000000"/>
            <rFont val="Times New Roman"/>
            <family val="18"/>
          </rPr>
          <t xml:space="preserve"> [ST June 1811]</t>
        </r>
        <r>
          <rPr>
            <sz val="14"/>
            <color rgb="FF000000"/>
            <rFont val="Calibri"/>
            <family val="34"/>
          </rPr>
          <t xml:space="preserve">
</t>
        </r>
        <r>
          <rPr>
            <sz val="14"/>
            <color rgb="FF000000"/>
            <rFont val="Times New Roman"/>
            <family val="18"/>
          </rPr>
          <t xml:space="preserve">05/08/1811 </t>
        </r>
        <r>
          <rPr>
            <i/>
            <sz val="14"/>
            <color rgb="FF000000"/>
            <rFont val="Times New Roman"/>
            <family val="18"/>
          </rPr>
          <t>Krank ins Garrison Spital</t>
        </r>
        <r>
          <rPr>
            <sz val="14"/>
            <color rgb="FF000000"/>
            <rFont val="Times New Roman"/>
            <family val="18"/>
          </rPr>
          <t xml:space="preserve"> [ST Aug 1811] </t>
        </r>
        <r>
          <rPr>
            <sz val="14"/>
            <color rgb="FF000000"/>
            <rFont val="Calibri"/>
            <family val="34"/>
          </rPr>
          <t xml:space="preserve">
</t>
        </r>
        <r>
          <rPr>
            <sz val="14"/>
            <color rgb="FF000000"/>
            <rFont val="Times New Roman"/>
            <family val="18"/>
          </rPr>
          <t xml:space="preserve">16/09/1811 </t>
        </r>
        <r>
          <rPr>
            <i/>
            <sz val="14"/>
            <color rgb="FF000000"/>
            <rFont val="Times New Roman"/>
            <family val="18"/>
          </rPr>
          <t>Reconvalesiert und als Fourierschütz zurück ins dienst</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15/07/1812 </t>
        </r>
        <r>
          <rPr>
            <i/>
            <sz val="14"/>
            <color rgb="FF000000"/>
            <rFont val="Times New Roman"/>
            <family val="18"/>
          </rPr>
          <t>Vermog hohe Hofkriegsratlichen Reskript von 20 Juni c.a.K 2364 und Hoch Lobl Gen milit Commando Verordnung d. 4. July R. 3935 als Ausgediente Capitulant mit Abschied entlassen</t>
        </r>
        <r>
          <rPr>
            <sz val="14"/>
            <color rgb="FF000000"/>
            <rFont val="Times New Roman"/>
            <family val="18"/>
          </rPr>
          <t xml:space="preserve"> [ST Juli 1812]</t>
        </r>
        <r>
          <rPr>
            <sz val="14"/>
            <color rgb="FF000000"/>
            <rFont val="Calibri"/>
            <family val="34"/>
          </rPr>
          <t xml:space="preserve">
</t>
        </r>
      </text>
    </comment>
    <comment ref="BG575" authorId="0" shapeId="0" xr:uid="{CC1D0022-71A8-7C4E-B987-9F9F7A38E6D7}">
      <text>
        <r>
          <rPr>
            <sz val="14"/>
            <color rgb="FF000000"/>
            <rFont val="Times New Roman"/>
            <family val="18"/>
          </rPr>
          <t>ML 3911 IR 44 (1808-10): 5. Fus Komp. Nr. 279 (Sthulweissenburg 25/09/1810)</t>
        </r>
        <r>
          <rPr>
            <sz val="14"/>
            <color rgb="FF000000"/>
            <rFont val="Calibri"/>
            <family val="34"/>
          </rPr>
          <t xml:space="preserve">
</t>
        </r>
        <r>
          <rPr>
            <sz val="14"/>
            <color rgb="FF000000"/>
            <rFont val="Times New Roman"/>
            <family val="18"/>
          </rPr>
          <t>ML 3912/3 IR 44 (1811): 5. Fus Comp Zuwachs &amp; Abgang (Papa 18/09/1811) &amp; 16. Fus. Zuwachs undAbgang (Stulweisenburg 20/09/1811)</t>
        </r>
        <r>
          <rPr>
            <sz val="14"/>
            <color rgb="FF000000"/>
            <rFont val="Calibri"/>
            <family val="34"/>
          </rPr>
          <t xml:space="preserve">
</t>
        </r>
        <r>
          <rPr>
            <sz val="14"/>
            <color rgb="FF000000"/>
            <rFont val="Times New Roman"/>
            <family val="18"/>
          </rPr>
          <t>ML 3964 IR 44 (1811) – TL IR 44-&gt; 6. GAD Nr. 3 (Sthulweisenburg 16/03/1811)</t>
        </r>
        <r>
          <rPr>
            <sz val="14"/>
            <color rgb="FF000000"/>
            <rFont val="Calibri"/>
            <family val="34"/>
          </rPr>
          <t xml:space="preserve">
</t>
        </r>
        <r>
          <rPr>
            <sz val="14"/>
            <color rgb="FF000000"/>
            <rFont val="Times New Roman"/>
            <family val="18"/>
          </rPr>
          <t>ML 8356 GAD 7 (1811) – Grundbuch für 1811 (Carlsburg 31/12/1811)</t>
        </r>
        <r>
          <rPr>
            <sz val="14"/>
            <color rgb="FF000000"/>
            <rFont val="Calibri"/>
            <family val="34"/>
          </rPr>
          <t xml:space="preserve">
</t>
        </r>
        <r>
          <rPr>
            <sz val="14"/>
            <color rgb="FF000000"/>
            <rFont val="Times New Roman"/>
            <family val="18"/>
          </rPr>
          <t> </t>
        </r>
        <r>
          <rPr>
            <sz val="14"/>
            <color rgb="FF000000"/>
            <rFont val="Calibri"/>
            <family val="34"/>
          </rPr>
          <t xml:space="preserve">
</t>
        </r>
        <r>
          <rPr>
            <sz val="14"/>
            <color rgb="FF000000"/>
            <rFont val="Times New Roman"/>
            <family val="18"/>
          </rPr>
          <t>ML 8364 6. GAD (1806-12) ‚7Burgen‘ – TL IR 44-&gt; 6. GAD Nr. 3 (Sthulweisenburg 16/03/1811) &amp; ST 1811: June (30/06/1811), Aug (31/08/1811), Sept (30/09/1811) &amp; ST 1812 Juli (31/07/1812)</t>
        </r>
        <r>
          <rPr>
            <sz val="14"/>
            <color rgb="FF000000"/>
            <rFont val="Calibri"/>
            <family val="34"/>
          </rPr>
          <t xml:space="preserve">
</t>
        </r>
      </text>
    </comment>
    <comment ref="BH575" authorId="0" shapeId="0" xr:uid="{1065869E-7730-9A47-AE3A-F05AB6CE8224}">
      <text>
        <r>
          <rPr>
            <sz val="14"/>
            <color rgb="FF000000"/>
            <rFont val="Calibri"/>
            <family val="34"/>
          </rPr>
          <t xml:space="preserve">Marine Artillerie (1799?-1810)
</t>
        </r>
        <r>
          <rPr>
            <sz val="14"/>
            <color rgb="FF000000"/>
            <rFont val="Calibri"/>
            <family val="34"/>
          </rPr>
          <t xml:space="preserve">IR 44 (1810-1811)
</t>
        </r>
        <r>
          <rPr>
            <sz val="14"/>
            <color rgb="FF000000"/>
            <rFont val="Calibri"/>
            <family val="34"/>
          </rPr>
          <t>GAD 7Burgen (1811-1812)</t>
        </r>
      </text>
    </comment>
    <comment ref="BF576" authorId="0" shapeId="0" xr:uid="{671F48BB-8DE5-6A4A-8835-7ACCF9049FE0}">
      <text>
        <r>
          <rPr>
            <sz val="14"/>
            <color rgb="FF000000"/>
            <rFont val="Times New Roman"/>
            <family val="18"/>
          </rPr>
          <t xml:space="preserve">01/08/1799 </t>
        </r>
        <r>
          <rPr>
            <i/>
            <sz val="14"/>
            <color rgb="FF000000"/>
            <rFont val="Times New Roman"/>
            <family val="18"/>
          </rPr>
          <t>Dient seit für Beständig</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2. Major Komp. Nr. 64</t>
        </r>
        <r>
          <rPr>
            <sz val="14"/>
            <color rgb="FF000000"/>
            <rFont val="Times New Roman"/>
            <family val="18"/>
          </rPr>
          <t xml:space="preserve">
</t>
        </r>
        <r>
          <rPr>
            <sz val="14"/>
            <color rgb="FF000000"/>
            <rFont val="Times New Roman"/>
            <family val="18"/>
          </rPr>
          <t>25/08/1804 Muster: IR 11 2. Major Komp. Nr. 58 [</t>
        </r>
        <r>
          <rPr>
            <i/>
            <sz val="14"/>
            <color rgb="FF000000"/>
            <rFont val="Times New Roman"/>
            <family val="18"/>
          </rPr>
          <t>Beurlaubt bis Einberufung zu Prag in Böhmen</t>
        </r>
        <r>
          <rPr>
            <sz val="14"/>
            <color rgb="FF000000"/>
            <rFont val="Times New Roman"/>
            <family val="18"/>
          </rPr>
          <t>]</t>
        </r>
        <r>
          <rPr>
            <sz val="14"/>
            <color rgb="FF000000"/>
            <rFont val="Times New Roman"/>
            <family val="18"/>
          </rPr>
          <t xml:space="preserve">
</t>
        </r>
        <r>
          <rPr>
            <sz val="14"/>
            <color rgb="FF000000"/>
            <rFont val="Times New Roman"/>
            <family val="18"/>
          </rPr>
          <t xml:space="preserve">25/05/1806 </t>
        </r>
        <r>
          <rPr>
            <i/>
            <sz val="14"/>
            <color rgb="FF000000"/>
            <rFont val="Times New Roman"/>
            <family val="18"/>
          </rPr>
          <t>Zum Prager Invaliden Haus zur Versorgung</t>
        </r>
        <r>
          <rPr>
            <sz val="14"/>
            <color rgb="FF000000"/>
            <rFont val="Times New Roman"/>
            <family val="18"/>
          </rPr>
          <t xml:space="preserve"> [ML 1806] </t>
        </r>
        <r>
          <rPr>
            <sz val="14"/>
            <color rgb="FF000000"/>
            <rFont val="Times New Roman"/>
            <family val="18"/>
          </rPr>
          <t xml:space="preserve">
</t>
        </r>
      </text>
    </comment>
    <comment ref="BG576" authorId="0" shapeId="0" xr:uid="{C0FC3F62-47B3-F14D-AF61-F1C9E37EEC13}">
      <text>
        <r>
          <rPr>
            <sz val="14"/>
            <color rgb="FF000000"/>
            <rFont val="Times New Roman"/>
            <family val="18"/>
          </rPr>
          <t>ML 804/5 IR 11 (1802) – 2. Major Komp. Nr. 64 (Wisotczan 17/09/1802)</t>
        </r>
        <r>
          <rPr>
            <sz val="14"/>
            <color rgb="FF000000"/>
            <rFont val="Times New Roman"/>
            <family val="18"/>
          </rPr>
          <t xml:space="preserve">
</t>
        </r>
        <r>
          <rPr>
            <sz val="14"/>
            <color rgb="FF000000"/>
            <rFont val="Times New Roman"/>
            <family val="18"/>
          </rPr>
          <t>ML 806 IR 11 (1804) – 2. Major Komp. Nr. 58 (Prague 25/08/1804)</t>
        </r>
        <r>
          <rPr>
            <sz val="14"/>
            <color rgb="FF000000"/>
            <rFont val="Times New Roman"/>
            <family val="18"/>
          </rPr>
          <t xml:space="preserve">
</t>
        </r>
        <r>
          <rPr>
            <sz val="14"/>
            <color rgb="FF000000"/>
            <rFont val="Times New Roman"/>
            <family val="18"/>
          </rPr>
          <t>ML 807/86 IR 11 (1806) – 7. Fus. Komp. Abgang (Prague 23/12/1806)</t>
        </r>
        <r>
          <rPr>
            <sz val="14"/>
            <color rgb="FF000000"/>
            <rFont val="Times New Roman"/>
            <family val="18"/>
          </rPr>
          <t xml:space="preserve">
</t>
        </r>
      </text>
    </comment>
    <comment ref="BH576" authorId="0" shapeId="0" xr:uid="{BEAF669C-F94B-EF4D-AC5F-6A2124F21A7C}">
      <text>
        <r>
          <rPr>
            <sz val="14"/>
            <color rgb="FF000000"/>
            <rFont val="Calibri"/>
            <family val="34"/>
          </rPr>
          <t xml:space="preserve">IR 11 (1799-1806)
</t>
        </r>
        <r>
          <rPr>
            <sz val="14"/>
            <color rgb="FF000000"/>
            <rFont val="Calibri"/>
            <family val="34"/>
          </rPr>
          <t>InvH Prag (1806)</t>
        </r>
      </text>
    </comment>
    <comment ref="I577" authorId="0" shapeId="0" xr:uid="{9B5B947F-0A64-BB49-A97C-7E780943149D}">
      <text>
        <r>
          <rPr>
            <sz val="14"/>
            <color rgb="FF000000"/>
            <rFont val="Calibri"/>
            <family val="34"/>
          </rPr>
          <t xml:space="preserve">1771 [28 (AL 1799)] 
</t>
        </r>
        <r>
          <rPr>
            <sz val="14"/>
            <color rgb="FF000000"/>
            <rFont val="Calibri"/>
            <family val="34"/>
          </rPr>
          <t xml:space="preserve">OR 
</t>
        </r>
        <r>
          <rPr>
            <sz val="14"/>
            <color rgb="FF000000"/>
            <rFont val="Calibri"/>
            <family val="34"/>
          </rPr>
          <t>1768 [35 (TL 1803)]</t>
        </r>
      </text>
    </comment>
    <comment ref="T577" authorId="0" shapeId="0" xr:uid="{44F91BAD-5180-7C4E-A896-738D3D226CE9}">
      <text>
        <r>
          <rPr>
            <sz val="14"/>
            <color rgb="FF000000"/>
            <rFont val="Times New Roman"/>
            <family val="18"/>
          </rPr>
          <t xml:space="preserve">5.1 </t>
        </r>
        <r>
          <rPr>
            <b/>
            <sz val="14"/>
            <color rgb="FF000000"/>
            <rFont val="Times New Roman"/>
            <family val="18"/>
          </rPr>
          <t xml:space="preserve">[160.63 cm] </t>
        </r>
        <r>
          <rPr>
            <sz val="14"/>
            <color rgb="FF000000"/>
            <rFont val="Times New Roman"/>
            <family val="18"/>
          </rPr>
          <t xml:space="preserve">(1799)
</t>
        </r>
        <r>
          <rPr>
            <sz val="14"/>
            <color rgb="FF000000"/>
            <rFont val="Times New Roman"/>
            <family val="18"/>
          </rPr>
          <t xml:space="preserve">5.2.1 </t>
        </r>
        <r>
          <rPr>
            <b/>
            <sz val="14"/>
            <color rgb="FF000000"/>
            <rFont val="Times New Roman"/>
            <family val="18"/>
          </rPr>
          <t>[163.48 cm]</t>
        </r>
        <r>
          <rPr>
            <sz val="14"/>
            <color rgb="FF000000"/>
            <rFont val="Times New Roman"/>
            <family val="18"/>
          </rPr>
          <t xml:space="preserve"> (1800) 
</t>
        </r>
        <r>
          <rPr>
            <sz val="14"/>
            <color rgb="FF000000"/>
            <rFont val="Times New Roman"/>
            <family val="18"/>
          </rPr>
          <t xml:space="preserve">5.2.3 </t>
        </r>
        <r>
          <rPr>
            <b/>
            <sz val="14"/>
            <color rgb="FF000000"/>
            <rFont val="Times New Roman"/>
            <family val="18"/>
          </rPr>
          <t>[163.92 cm]</t>
        </r>
        <r>
          <rPr>
            <sz val="14"/>
            <color rgb="FF000000"/>
            <rFont val="Times New Roman"/>
            <family val="18"/>
          </rPr>
          <t xml:space="preserve"> (1802)
</t>
        </r>
        <r>
          <rPr>
            <sz val="14"/>
            <color rgb="FF000000"/>
            <rFont val="Times New Roman"/>
            <family val="18"/>
          </rPr>
          <t xml:space="preserve">5.3.2 </t>
        </r>
        <r>
          <rPr>
            <b/>
            <sz val="14"/>
            <color rgb="FF000000"/>
            <rFont val="Times New Roman"/>
            <family val="18"/>
          </rPr>
          <t>[166.33]</t>
        </r>
        <r>
          <rPr>
            <sz val="14"/>
            <color rgb="FF000000"/>
            <rFont val="Times New Roman"/>
            <family val="18"/>
          </rPr>
          <t xml:space="preserve"> (1803/4)</t>
        </r>
      </text>
    </comment>
    <comment ref="BF577" authorId="0" shapeId="0" xr:uid="{2D34520A-5686-B340-9DA4-50382E47BC75}">
      <text>
        <r>
          <rPr>
            <sz val="14"/>
            <color rgb="FFFF0000"/>
            <rFont val="Times New Roman"/>
            <family val="18"/>
          </rPr>
          <t xml:space="preserve">??/07/1799 </t>
        </r>
        <r>
          <rPr>
            <i/>
            <sz val="14"/>
            <color rgb="FFFF0000"/>
            <rFont val="Times New Roman"/>
            <family val="18"/>
          </rPr>
          <t>zu Sandomier auf Beständig gestellt</t>
        </r>
        <r>
          <rPr>
            <sz val="14"/>
            <color rgb="FFFF0000"/>
            <rFont val="Times New Roman"/>
            <family val="18"/>
          </rPr>
          <t xml:space="preserve"> [TL Juli 1802]</t>
        </r>
        <r>
          <rPr>
            <sz val="14"/>
            <color rgb="FF000000"/>
            <rFont val="Calibri"/>
            <family val="34"/>
          </rPr>
          <t xml:space="preserve">
</t>
        </r>
        <r>
          <rPr>
            <sz val="14"/>
            <color rgb="FFFF0000"/>
            <rFont val="Times New Roman"/>
            <family val="18"/>
          </rPr>
          <t xml:space="preserve">01/07/1799 </t>
        </r>
        <r>
          <rPr>
            <i/>
            <sz val="14"/>
            <color rgb="FFFF0000"/>
            <rFont val="Times New Roman"/>
            <family val="18"/>
          </rPr>
          <t xml:space="preserve">Von Ständen gestellt </t>
        </r>
        <r>
          <rPr>
            <sz val="14"/>
            <color rgb="FFFF0000"/>
            <rFont val="Times New Roman"/>
            <family val="18"/>
          </rPr>
          <t>[TL Feb 1800]</t>
        </r>
        <r>
          <rPr>
            <sz val="14"/>
            <color rgb="FF000000"/>
            <rFont val="Calibri"/>
            <family val="34"/>
          </rPr>
          <t xml:space="preserve">
</t>
        </r>
        <r>
          <rPr>
            <sz val="14"/>
            <color rgb="FF000000"/>
            <rFont val="Times New Roman"/>
            <family val="18"/>
          </rPr>
          <t xml:space="preserve">01/08/1799 </t>
        </r>
        <r>
          <rPr>
            <i/>
            <sz val="14"/>
            <color rgb="FF000000"/>
            <rFont val="Times New Roman"/>
            <family val="18"/>
          </rPr>
          <t xml:space="preserve">Von Ständen a 3Fl gestellt und zum IR 43 in Sandomierz assentiert, seitdem auf anhero Marsch mit Friedensgebühr </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Dietrich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die Haupt Dietrich Companie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09/03/1801 </t>
        </r>
        <r>
          <rPr>
            <i/>
            <sz val="14"/>
            <color rgb="FF000000"/>
            <rFont val="Times New Roman"/>
            <family val="18"/>
          </rPr>
          <t>Krank auswärts</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25/03/1801 </t>
        </r>
        <r>
          <rPr>
            <i/>
            <sz val="14"/>
            <color rgb="FF000000"/>
            <rFont val="Times New Roman"/>
            <family val="18"/>
          </rPr>
          <t>Rekonvalesziert und zu Reserve Division zugeheilt mit 4/8 Fleischbeitrag</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15/04/1801 </t>
        </r>
        <r>
          <rPr>
            <i/>
            <sz val="14"/>
            <color rgb="FF000000"/>
            <rFont val="Times New Roman"/>
            <family val="18"/>
          </rPr>
          <t>Zurück in Companie eingerückt</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19/07/1802 </t>
        </r>
        <r>
          <rPr>
            <i/>
            <sz val="14"/>
            <color rgb="FF000000"/>
            <rFont val="Times New Roman"/>
            <family val="18"/>
          </rPr>
          <t>Auf Bestimmte Zeit Beurlaubt; mit Deutscher Gebühr und Teuerungsbeitrag, bis 24. hujus Mit Ungarischen Gebühr ohne Teuerungsbeitrag, bis inclusive 26 huj verpflegt</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Dietrich Komp. zum IR 44 transferiert und zur Assandri Komp. eingeheilt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19/09/1803 Muster: IR 44 Haupt Assandri Komp. Nr. 107 [</t>
        </r>
        <r>
          <rPr>
            <i/>
            <sz val="14"/>
            <color rgb="FF000000"/>
            <rFont val="Times New Roman"/>
            <family val="18"/>
          </rPr>
          <t>Auf unbestimmte Zeit beurlaubt in Optow in Neu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Komp. Nr. 101 [</t>
        </r>
        <r>
          <rPr>
            <i/>
            <sz val="14"/>
            <color rgb="FF000000"/>
            <rFont val="Times New Roman"/>
            <family val="18"/>
          </rPr>
          <t>Beurlaubt in Obtow in West Gallizien bis zur kunftigen Execerzierzeit</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577" authorId="0" shapeId="0" xr:uid="{1A21C257-0767-0641-BDD0-91C759436E94}">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46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74 (Laibach 05/02/1800)</t>
        </r>
        <r>
          <rPr>
            <sz val="14"/>
            <color rgb="FF000000"/>
            <rFont val="Calibri"/>
            <family val="34"/>
          </rPr>
          <t xml:space="preserve">
</t>
        </r>
        <r>
          <rPr>
            <sz val="14"/>
            <color rgb="FF000000"/>
            <rFont val="Times New Roman"/>
            <family val="18"/>
          </rPr>
          <t>ML 10.311 IR 43 (1801) – ST März (10/10/1804), Mai (10/03/1805)</t>
        </r>
        <r>
          <rPr>
            <sz val="14"/>
            <color rgb="FF000000"/>
            <rFont val="Calibri"/>
            <family val="34"/>
          </rPr>
          <t xml:space="preserve">
</t>
        </r>
        <r>
          <rPr>
            <sz val="14"/>
            <color rgb="FF000000"/>
            <rFont val="Times New Roman"/>
            <family val="18"/>
          </rPr>
          <t>ML 10.312 IR 43 (1802) – ST Juli (08/07/1805)</t>
        </r>
        <r>
          <rPr>
            <sz val="14"/>
            <color rgb="FF000000"/>
            <rFont val="Calibri"/>
            <family val="34"/>
          </rPr>
          <t xml:space="preserve">
</t>
        </r>
        <r>
          <rPr>
            <sz val="14"/>
            <color rgb="FF000000"/>
            <rFont val="Times New Roman"/>
            <family val="18"/>
          </rPr>
          <t>ML 3908 IR 44 (1803) – Haupt Assandri Komp. Nr. 107 (Venice 19/09/1803)</t>
        </r>
        <r>
          <rPr>
            <sz val="14"/>
            <color rgb="FF000000"/>
            <rFont val="Calibri"/>
            <family val="34"/>
          </rPr>
          <t xml:space="preserve">
</t>
        </r>
        <r>
          <rPr>
            <sz val="14"/>
            <color rgb="FF000000"/>
            <rFont val="Times New Roman"/>
            <family val="18"/>
          </rPr>
          <t>ML 3909 IR 44 (1804) – Haupt Assandri Komp. Nr. 101 (Vicenza 12/05/1804)</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r>
          <rPr>
            <sz val="14"/>
            <color rgb="FF000000"/>
            <rFont val="Times New Roman"/>
            <family val="18"/>
          </rPr>
          <t>ML 3946 IR 44 (1802) – AL IR 43-&gt; IR 43 Nr. 86 (Zara 27/07/1802)</t>
        </r>
        <r>
          <rPr>
            <sz val="14"/>
            <color rgb="FF000000"/>
            <rFont val="Calibri"/>
            <family val="34"/>
          </rPr>
          <t xml:space="preserve">
</t>
        </r>
      </text>
    </comment>
    <comment ref="BH577" authorId="0" shapeId="0" xr:uid="{E2524AA9-4021-D745-AFEA-88B80E4DEBE7}">
      <text>
        <r>
          <rPr>
            <sz val="14"/>
            <color rgb="FF000000"/>
            <rFont val="Calibri"/>
            <family val="34"/>
          </rPr>
          <t xml:space="preserve">IR 43 (1799-1802)
</t>
        </r>
        <r>
          <rPr>
            <sz val="14"/>
            <color rgb="FF000000"/>
            <rFont val="Calibri"/>
            <family val="34"/>
          </rPr>
          <t>IR 44 (1802-1806)</t>
        </r>
      </text>
    </comment>
    <comment ref="BI577" authorId="0" shapeId="0" xr:uid="{0FE9615C-535A-2F4A-9F32-7305FF4FC6EA}">
      <text>
        <r>
          <rPr>
            <sz val="14"/>
            <color rgb="FF000000"/>
            <rFont val="Calibri"/>
            <family val="34"/>
          </rPr>
          <t>Gut [TL Aug 1802]</t>
        </r>
      </text>
    </comment>
    <comment ref="T578" authorId="0" shapeId="0" xr:uid="{29F894CA-EA10-1248-9E75-0A89BF5078EA}">
      <text>
        <r>
          <rPr>
            <sz val="14"/>
            <color rgb="FF000000"/>
            <rFont val="Times New Roman"/>
            <family val="18"/>
          </rPr>
          <t xml:space="preserve">5.1 </t>
        </r>
        <r>
          <rPr>
            <b/>
            <sz val="14"/>
            <color rgb="FF000000"/>
            <rFont val="Times New Roman"/>
            <family val="18"/>
          </rPr>
          <t xml:space="preserve">[160.6 cm] </t>
        </r>
        <r>
          <rPr>
            <sz val="14"/>
            <color rgb="FF000000"/>
            <rFont val="Times New Roman"/>
            <family val="18"/>
          </rPr>
          <t xml:space="preserve">(1799)
</t>
        </r>
        <r>
          <rPr>
            <sz val="14"/>
            <color rgb="FF000000"/>
            <rFont val="Times New Roman"/>
            <family val="18"/>
          </rPr>
          <t xml:space="preserve">5.2.2 </t>
        </r>
        <r>
          <rPr>
            <b/>
            <sz val="14"/>
            <color rgb="FF000000"/>
            <rFont val="Times New Roman"/>
            <family val="18"/>
          </rPr>
          <t>[163.7 cm]</t>
        </r>
        <r>
          <rPr>
            <sz val="14"/>
            <color rgb="FF000000"/>
            <rFont val="Times New Roman"/>
            <family val="18"/>
          </rPr>
          <t xml:space="preserve"> (1800) 5.3 </t>
        </r>
        <r>
          <rPr>
            <b/>
            <sz val="14"/>
            <color rgb="FF000000"/>
            <rFont val="Times New Roman"/>
            <family val="18"/>
          </rPr>
          <t>[165.89 cm]</t>
        </r>
        <r>
          <rPr>
            <sz val="14"/>
            <color rgb="FF000000"/>
            <rFont val="Times New Roman"/>
            <family val="18"/>
          </rPr>
          <t xml:space="preserve"> 5.3.2(1802)  (1803-6) </t>
        </r>
        <r>
          <rPr>
            <b/>
            <sz val="14"/>
            <color rgb="FF000000"/>
            <rFont val="Times New Roman"/>
            <family val="18"/>
          </rPr>
          <t>[166.33] cm]</t>
        </r>
        <r>
          <rPr>
            <sz val="14"/>
            <color rgb="FF000000"/>
            <rFont val="Times New Roman"/>
            <family val="18"/>
          </rPr>
          <t xml:space="preserve"> </t>
        </r>
        <r>
          <rPr>
            <sz val="14"/>
            <color rgb="FF000000"/>
            <rFont val="Times New Roman"/>
            <family val="18"/>
          </rPr>
          <t>(1803-6)</t>
        </r>
      </text>
    </comment>
    <comment ref="BF578" authorId="0" shapeId="0" xr:uid="{70EDBC78-2A76-D84F-9C4D-5895BD4B1BF4}">
      <text>
        <r>
          <rPr>
            <sz val="14"/>
            <color rgb="FFFF0000"/>
            <rFont val="Times New Roman"/>
            <family val="18"/>
          </rPr>
          <t xml:space="preserve">14/11/1798 </t>
        </r>
        <r>
          <rPr>
            <i/>
            <sz val="14"/>
            <color rgb="FFFF0000"/>
            <rFont val="Times New Roman"/>
            <family val="18"/>
          </rPr>
          <t>Von Ständen a 3Fl Handgeld gestellt</t>
        </r>
        <r>
          <rPr>
            <sz val="14"/>
            <color rgb="FFFF0000"/>
            <rFont val="Times New Roman"/>
            <family val="18"/>
          </rPr>
          <t xml:space="preserve"> [ML 1802] </t>
        </r>
        <r>
          <rPr>
            <sz val="14"/>
            <color rgb="FF000000"/>
            <rFont val="Calibri"/>
            <family val="34"/>
          </rPr>
          <t xml:space="preserve">
</t>
        </r>
        <r>
          <rPr>
            <sz val="14"/>
            <color rgb="FFFF0000"/>
            <rFont val="Times New Roman"/>
            <family val="18"/>
          </rPr>
          <t xml:space="preserve">01/07/1799 </t>
        </r>
        <r>
          <rPr>
            <i/>
            <sz val="14"/>
            <color rgb="FFFF0000"/>
            <rFont val="Times New Roman"/>
            <family val="18"/>
          </rPr>
          <t>Von Ständen a 3Fl Handgeld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02/08/1799 </t>
        </r>
        <r>
          <rPr>
            <i/>
            <sz val="14"/>
            <color rgb="FF000000"/>
            <rFont val="Times New Roman"/>
            <family val="18"/>
          </rPr>
          <t xml:space="preserve">Von </t>
        </r>
        <r>
          <rPr>
            <i/>
            <sz val="14"/>
            <color rgb="FF000000"/>
            <rFont val="Times New Roman"/>
            <family val="18"/>
          </rPr>
          <t xml:space="preserve">Ständen gestellt </t>
        </r>
        <r>
          <rPr>
            <i/>
            <sz val="14"/>
            <color rgb="FF000000"/>
            <rFont val="Times New Roman"/>
            <family val="18"/>
          </rPr>
          <t xml:space="preserve">und zu Sandomierz assentiert und seitdem Auf anhero Marsch mit Friedensgbuhr </t>
        </r>
        <r>
          <rPr>
            <sz val="14"/>
            <color rgb="FF000000"/>
            <rFont val="Times New Roman"/>
            <family val="18"/>
          </rPr>
          <t>[AL 1799 &amp; ST Nov 1799]</t>
        </r>
        <r>
          <rPr>
            <sz val="14"/>
            <color rgb="FF000000"/>
            <rFont val="Calibri"/>
            <family val="34"/>
          </rPr>
          <t xml:space="preserve">
</t>
        </r>
        <r>
          <rPr>
            <sz val="14"/>
            <color rgb="FF000000"/>
            <rFont val="Times New Roman"/>
            <family val="18"/>
          </rPr>
          <t xml:space="preserve">24/12/1799 </t>
        </r>
        <r>
          <rPr>
            <i/>
            <sz val="14"/>
            <color rgb="FF000000"/>
            <rFont val="Times New Roman"/>
            <family val="18"/>
          </rPr>
          <t>In Die Reserve Division eingerückt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 xml:space="preserve">von die Reserve Division ins Haupt Köpf Comp. eingerückt </t>
        </r>
        <r>
          <rPr>
            <sz val="14"/>
            <color rgb="FF000000"/>
            <rFont val="Times New Roman"/>
            <family val="18"/>
          </rPr>
          <t>[ST June 1800]</t>
        </r>
        <r>
          <rPr>
            <sz val="14"/>
            <color rgb="FF000000"/>
            <rFont val="Calibri"/>
            <family val="34"/>
          </rPr>
          <t xml:space="preserve">
</t>
        </r>
        <r>
          <rPr>
            <sz val="14"/>
            <color rgb="FF000000"/>
            <rFont val="Times New Roman"/>
            <family val="18"/>
          </rPr>
          <t>28/08/1802 Musterung: IR 43 Haupt Köpf Nr. 74 [</t>
        </r>
        <r>
          <rPr>
            <i/>
            <sz val="14"/>
            <color rgb="FF000000"/>
            <rFont val="Times New Roman"/>
            <family val="18"/>
          </rPr>
          <t>Kommandiert zu Dobarze</t>
        </r>
        <r>
          <rPr>
            <sz val="14"/>
            <color rgb="FF000000"/>
            <rFont val="Times New Roman"/>
            <family val="18"/>
          </rPr>
          <t>]</t>
        </r>
        <r>
          <rPr>
            <sz val="14"/>
            <color rgb="FF000000"/>
            <rFont val="Calibri"/>
            <family val="34"/>
          </rPr>
          <t xml:space="preserve">
</t>
        </r>
        <r>
          <rPr>
            <sz val="14"/>
            <color rgb="FF000000"/>
            <rFont val="Times New Roman"/>
            <family val="18"/>
          </rPr>
          <t>04/11/1803 Musterung: IR 43 Haupt Köpf Nr. 71 [</t>
        </r>
        <r>
          <rPr>
            <i/>
            <sz val="14"/>
            <color rgb="FF000000"/>
            <rFont val="Times New Roman"/>
            <family val="18"/>
          </rPr>
          <t>auf Commando zu Ostrowiza</t>
        </r>
        <r>
          <rPr>
            <sz val="14"/>
            <color rgb="FF000000"/>
            <rFont val="Times New Roman"/>
            <family val="18"/>
          </rPr>
          <t>]</t>
        </r>
        <r>
          <rPr>
            <sz val="14"/>
            <color rgb="FF000000"/>
            <rFont val="Calibri"/>
            <family val="34"/>
          </rPr>
          <t xml:space="preserve">
</t>
        </r>
        <r>
          <rPr>
            <sz val="14"/>
            <color rgb="FF000000"/>
            <rFont val="Times New Roman"/>
            <family val="18"/>
          </rPr>
          <t>15/09/1804 Musterung: IR 43 Haupt Sassi Nr. 67 [</t>
        </r>
        <r>
          <rPr>
            <i/>
            <sz val="14"/>
            <color rgb="FF000000"/>
            <rFont val="Times New Roman"/>
            <family val="18"/>
          </rPr>
          <t>auf Commando zu Pago</t>
        </r>
        <r>
          <rPr>
            <sz val="14"/>
            <color rgb="FF000000"/>
            <rFont val="Times New Roman"/>
            <family val="18"/>
          </rPr>
          <t>]</t>
        </r>
        <r>
          <rPr>
            <sz val="14"/>
            <color rgb="FF000000"/>
            <rFont val="Calibri"/>
            <family val="34"/>
          </rPr>
          <t xml:space="preserve">
</t>
        </r>
        <r>
          <rPr>
            <sz val="14"/>
            <color rgb="FF000000"/>
            <rFont val="Times New Roman"/>
            <family val="18"/>
          </rPr>
          <t>01/10/1805 Musterung: IR 43 14. Fus Comp Nr. 49</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14. Fus Comp zum zum Artillerie Handleger transferiert und zu der anderen Companie zugeheilt mit taglich ½ Xr Fleischbeitrag</t>
        </r>
        <r>
          <rPr>
            <sz val="14"/>
            <color rgb="FF000000"/>
            <rFont val="Times New Roman"/>
            <family val="18"/>
          </rPr>
          <t xml:space="preserve"> [ST Nov 1805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 xml:space="preserve">von Artillerie Handleger zurück ins </t>
        </r>
        <r>
          <rPr>
            <sz val="14"/>
            <color rgb="FF000000"/>
            <rFont val="Times New Roman"/>
            <family val="18"/>
          </rPr>
          <t xml:space="preserve">[jetzt 4. Fus.] </t>
        </r>
        <r>
          <rPr>
            <i/>
            <sz val="14"/>
            <color rgb="FF000000"/>
            <rFont val="Times New Roman"/>
            <family val="18"/>
          </rPr>
          <t>Comp transferiert</t>
        </r>
        <r>
          <rPr>
            <sz val="14"/>
            <color rgb="FF000000"/>
            <rFont val="Times New Roman"/>
            <family val="18"/>
          </rPr>
          <t xml:space="preserve"> [ST April 1806 &amp; ML 1806]</t>
        </r>
        <r>
          <rPr>
            <sz val="14"/>
            <color rgb="FF000000"/>
            <rFont val="Calibri"/>
            <family val="34"/>
          </rPr>
          <t xml:space="preserve">
</t>
        </r>
        <r>
          <rPr>
            <sz val="14"/>
            <color rgb="FF000000"/>
            <rFont val="Times New Roman"/>
            <family val="18"/>
          </rPr>
          <t>01/12/1806 Musterung: IR 43 4. Fus Comp. Nr. 130</t>
        </r>
        <r>
          <rPr>
            <sz val="14"/>
            <color rgb="FF000000"/>
            <rFont val="Calibri"/>
            <family val="34"/>
          </rPr>
          <t xml:space="preserve">
</t>
        </r>
        <r>
          <rPr>
            <sz val="14"/>
            <color rgb="FF000000"/>
            <rFont val="Times New Roman"/>
            <family val="18"/>
          </rPr>
          <t>06/09/1808 Revision: IR 43 4. Fus Comp Nr. 102</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Gemeiner zum Gefreyter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13/05/1809 </t>
        </r>
        <r>
          <rPr>
            <i/>
            <sz val="14"/>
            <color rgb="FF000000"/>
            <rFont val="Times New Roman"/>
            <family val="18"/>
          </rPr>
          <t>auf den Rückzug aus Italien vermisst</t>
        </r>
        <r>
          <rPr>
            <sz val="14"/>
            <color rgb="FF000000"/>
            <rFont val="Times New Roman"/>
            <family val="18"/>
          </rPr>
          <t xml:space="preserve"> [ST May 1809]</t>
        </r>
        <r>
          <rPr>
            <sz val="14"/>
            <color rgb="FF000000"/>
            <rFont val="Calibri"/>
            <family val="34"/>
          </rPr>
          <t xml:space="preserve">
</t>
        </r>
      </text>
    </comment>
    <comment ref="BG578" authorId="0" shapeId="0" xr:uid="{2C4EAE29-AA4B-0B48-81D7-865A689D4BB9}">
      <text>
        <r>
          <rPr>
            <sz val="14"/>
            <color rgb="FF000000"/>
            <rFont val="Times New Roman"/>
            <family val="18"/>
          </rPr>
          <t>ML 10.272 IR 43 (1802) – Haupt Köpf Nr. 74 (Cattaro 28/08/1802)</t>
        </r>
        <r>
          <rPr>
            <sz val="14"/>
            <color rgb="FF000000"/>
            <rFont val="Calibri"/>
            <family val="34"/>
          </rPr>
          <t xml:space="preserve">
</t>
        </r>
        <r>
          <rPr>
            <sz val="14"/>
            <color rgb="FF000000"/>
            <rFont val="Times New Roman"/>
            <family val="18"/>
          </rPr>
          <t>ML 10.273 IR 43 (1803) – Haupt Köpf Nr. 71 (Knin 04/11/1803)</t>
        </r>
        <r>
          <rPr>
            <sz val="14"/>
            <color rgb="FF000000"/>
            <rFont val="Calibri"/>
            <family val="34"/>
          </rPr>
          <t xml:space="preserve">
</t>
        </r>
        <r>
          <rPr>
            <sz val="14"/>
            <color rgb="FF000000"/>
            <rFont val="Times New Roman"/>
            <family val="18"/>
          </rPr>
          <t>ML 10.274 IR 43 (1804) – Haupt Sassi Nr. 67 (Zara 15/09/1804)</t>
        </r>
        <r>
          <rPr>
            <sz val="14"/>
            <color rgb="FF000000"/>
            <rFont val="Calibri"/>
            <family val="34"/>
          </rPr>
          <t xml:space="preserve">
</t>
        </r>
        <r>
          <rPr>
            <sz val="14"/>
            <color rgb="FF000000"/>
            <rFont val="Times New Roman"/>
            <family val="18"/>
          </rPr>
          <t>ML 10.275/6 IR 43 (1805) – 14. Fus Comp Nr. 102 (Zara 01/10/1805)</t>
        </r>
        <r>
          <rPr>
            <sz val="14"/>
            <color rgb="FF000000"/>
            <rFont val="Calibri"/>
            <family val="34"/>
          </rPr>
          <t xml:space="preserve">
</t>
        </r>
        <r>
          <rPr>
            <sz val="14"/>
            <color rgb="FF000000"/>
            <rFont val="Times New Roman"/>
            <family val="18"/>
          </rPr>
          <t>ML 10.277/8 IR 43 (1806) – 4. Fus Comp Nr. 130 (Laibach 01/12/1806)</t>
        </r>
        <r>
          <rPr>
            <sz val="14"/>
            <color rgb="FF000000"/>
            <rFont val="Calibri"/>
            <family val="34"/>
          </rPr>
          <t xml:space="preserve">
</t>
        </r>
        <r>
          <rPr>
            <sz val="14"/>
            <color rgb="FF000000"/>
            <rFont val="Times New Roman"/>
            <family val="18"/>
          </rPr>
          <t>ML 10.279 IR 43 (1808-10) – RL IR 43 Nr. 102 (Laibach 06/09/1808)</t>
        </r>
        <r>
          <rPr>
            <sz val="14"/>
            <color rgb="FF000000"/>
            <rFont val="Calibri"/>
            <family val="34"/>
          </rPr>
          <t xml:space="preserve">
</t>
        </r>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52 (Sandomierz 31/08/1799)</t>
        </r>
        <r>
          <rPr>
            <sz val="14"/>
            <color rgb="FF000000"/>
            <rFont val="Calibri"/>
            <family val="34"/>
          </rPr>
          <t xml:space="preserve">
</t>
        </r>
        <r>
          <rPr>
            <sz val="14"/>
            <color rgb="FF000000"/>
            <rFont val="Times New Roman"/>
            <family val="18"/>
          </rPr>
          <t>ML 10.309 IR 43 (1800) – ST Februar (06/04/1801) und June (27/08/1803)</t>
        </r>
        <r>
          <rPr>
            <sz val="14"/>
            <color rgb="FF000000"/>
            <rFont val="Calibri"/>
            <family val="34"/>
          </rPr>
          <t xml:space="preserve">
</t>
        </r>
        <r>
          <rPr>
            <sz val="14"/>
            <color rgb="FF000000"/>
            <rFont val="Times New Roman"/>
            <family val="18"/>
          </rPr>
          <t>ML 10.310 IR 43 (1800) – TL IR 43 Res. Div-&gt; Feld Bar Nr. 85 (Laibach 05/02/1800)</t>
        </r>
        <r>
          <rPr>
            <sz val="14"/>
            <color rgb="FF000000"/>
            <rFont val="Calibri"/>
            <family val="34"/>
          </rPr>
          <t xml:space="preserve">
</t>
        </r>
        <r>
          <rPr>
            <sz val="14"/>
            <color rgb="FF000000"/>
            <rFont val="Times New Roman"/>
            <family val="18"/>
          </rPr>
          <t>ML 10.315 IR 43 (1805) – ST November (16/06/1806)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10.323 IR 43 (1809) – ST Februar (25/08/1810) und Mai (02/11/1810)</t>
        </r>
      </text>
    </comment>
    <comment ref="BH578" authorId="0" shapeId="0" xr:uid="{00B1026B-9EDB-8040-ACC4-80BBEB1CF6B7}">
      <text>
        <r>
          <rPr>
            <sz val="14"/>
            <color rgb="FF000000"/>
            <rFont val="Calibri"/>
            <family val="34"/>
          </rPr>
          <t>IR 43 (1799-1809)</t>
        </r>
      </text>
    </comment>
    <comment ref="I579" authorId="0" shapeId="0" xr:uid="{C1208B15-825F-6048-BAFE-014E85BE0CEC}">
      <text>
        <r>
          <rPr>
            <sz val="14"/>
            <color rgb="FF000000"/>
            <rFont val="Calibri"/>
            <family val="34"/>
          </rPr>
          <t xml:space="preserve">1771 [28 (AL 1799)] 
</t>
        </r>
        <r>
          <rPr>
            <sz val="14"/>
            <color rgb="FF000000"/>
            <rFont val="Calibri"/>
            <family val="34"/>
          </rPr>
          <t xml:space="preserve">OR 
</t>
        </r>
        <r>
          <rPr>
            <sz val="14"/>
            <color rgb="FF000000"/>
            <rFont val="Calibri"/>
            <family val="34"/>
          </rPr>
          <t xml:space="preserve">1770 [30 (TL 1800)]
</t>
        </r>
        <r>
          <rPr>
            <sz val="14"/>
            <color rgb="FF000000"/>
            <rFont val="Calibri"/>
            <family val="34"/>
          </rPr>
          <t xml:space="preserve">OR
</t>
        </r>
        <r>
          <rPr>
            <sz val="14"/>
            <color rgb="FF000000"/>
            <rFont val="Calibri"/>
            <family val="34"/>
          </rPr>
          <t>1769 [33 (ML 1802-50]</t>
        </r>
      </text>
    </comment>
    <comment ref="T579" authorId="0" shapeId="0" xr:uid="{E5B9B328-8D9D-4C4C-99F5-309A5A3BC2B9}">
      <text>
        <r>
          <rPr>
            <sz val="14"/>
            <color rgb="FF000000"/>
            <rFont val="Calibri"/>
            <family val="34"/>
          </rPr>
          <t xml:space="preserve">163.26 (AL 1799)
</t>
        </r>
        <r>
          <rPr>
            <sz val="14"/>
            <color rgb="FF000000"/>
            <rFont val="Calibri"/>
            <family val="34"/>
          </rPr>
          <t xml:space="preserve">165.89 (TL 1800)
</t>
        </r>
        <r>
          <rPr>
            <sz val="14"/>
            <color rgb="FF000000"/>
            <rFont val="Calibri"/>
            <family val="34"/>
          </rPr>
          <t>166.55 (ML 1802-6)</t>
        </r>
      </text>
    </comment>
    <comment ref="BF579" authorId="0" shapeId="0" xr:uid="{9469CBC7-ACFE-1F40-89F3-27023CE26215}">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FF0000"/>
            <rFont val="Times New Roman"/>
            <family val="18"/>
          </rPr>
          <t xml:space="preserve">26/07/1799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03/08/</t>
        </r>
        <r>
          <rPr>
            <sz val="14"/>
            <color rgb="FF000000"/>
            <rFont val="Times New Roman"/>
            <family val="18"/>
          </rPr>
          <t>1799</t>
        </r>
        <r>
          <rPr>
            <i/>
            <sz val="14"/>
            <color rgb="FF000000"/>
            <rFont val="Times New Roman"/>
            <family val="18"/>
          </rPr>
          <t xml:space="preserve"> von Ständen gestellt und sietdem auf anhero Marsch mit Friedensgebühr</t>
        </r>
        <r>
          <rPr>
            <sz val="14"/>
            <color rgb="FF000000"/>
            <rFont val="Times New Roman"/>
            <family val="18"/>
          </rPr>
          <t xml:space="preserve"> [AL 1799 &amp; ST Dec]</t>
        </r>
        <r>
          <rPr>
            <sz val="14"/>
            <color rgb="FF000000"/>
            <rFont val="Calibri"/>
            <family val="34"/>
          </rPr>
          <t xml:space="preserve">
</t>
        </r>
        <r>
          <rPr>
            <sz val="14"/>
            <color rgb="FF000000"/>
            <rFont val="Times New Roman"/>
            <family val="18"/>
          </rPr>
          <t xml:space="preserve">15/12/1799 </t>
        </r>
        <r>
          <rPr>
            <i/>
            <sz val="14"/>
            <color rgb="FF000000"/>
            <rFont val="Times New Roman"/>
            <family val="18"/>
          </rPr>
          <t>In Reserve Division eingerückt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30/12/1799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10/01/1800 </t>
        </r>
        <r>
          <rPr>
            <i/>
            <sz val="14"/>
            <color rgb="FF000000"/>
            <rFont val="Times New Roman"/>
            <family val="18"/>
          </rPr>
          <t>Reconvalesciert</t>
        </r>
        <r>
          <rPr>
            <sz val="14"/>
            <color rgb="FF000000"/>
            <rFont val="Times New Roman"/>
            <family val="18"/>
          </rPr>
          <t xml:space="preserve"> [ST Jan 1800] </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Pasqually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Pasqually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Musterung: IR 43 Haupt Pasqually Nr. 69</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Haupt Pasqually Comp. Nr. 62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IR 43 Haupt Pasqually Comp Nr. 58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10/11/1805 Musterung: IR 43 15. Fus Comp Nr. 54 [</t>
        </r>
        <r>
          <rPr>
            <i/>
            <sz val="14"/>
            <color rgb="FF000000"/>
            <rFont val="Times New Roman"/>
            <family val="18"/>
          </rPr>
          <t>Auf die Aufmarsch</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Marsch verbliebene von 9. Fus Comp als unwissend Verlohren in Abgang</t>
        </r>
        <r>
          <rPr>
            <sz val="14"/>
            <color rgb="FF000000"/>
            <rFont val="Times New Roman"/>
            <family val="18"/>
          </rPr>
          <t xml:space="preserve"> [ST Oct 1806 &amp; ML 1806]</t>
        </r>
        <r>
          <rPr>
            <sz val="14"/>
            <color rgb="FF000000"/>
            <rFont val="Calibri"/>
            <family val="34"/>
          </rPr>
          <t xml:space="preserve">
</t>
        </r>
        <r>
          <rPr>
            <sz val="14"/>
            <color rgb="FF000000"/>
            <rFont val="Times New Roman"/>
            <family val="18"/>
          </rPr>
          <t xml:space="preserve">August 1807 </t>
        </r>
        <r>
          <rPr>
            <i/>
            <sz val="14"/>
            <color rgb="FF000000"/>
            <rFont val="Times New Roman"/>
            <family val="18"/>
          </rPr>
          <t>als per errorem in Abgang als unwissend Verlohren in Oct. 1806</t>
        </r>
        <r>
          <rPr>
            <sz val="14"/>
            <color rgb="FF000000"/>
            <rFont val="Times New Roman"/>
            <family val="18"/>
          </rPr>
          <t xml:space="preserve"> [ML 1808]</t>
        </r>
        <r>
          <rPr>
            <sz val="14"/>
            <color rgb="FF000000"/>
            <rFont val="Calibri"/>
            <family val="34"/>
          </rPr>
          <t xml:space="preserve">
</t>
        </r>
        <r>
          <rPr>
            <sz val="14"/>
            <color rgb="FF000000"/>
            <rFont val="Times New Roman"/>
            <family val="18"/>
          </rPr>
          <t>20/01/1808</t>
        </r>
        <r>
          <rPr>
            <i/>
            <sz val="14"/>
            <color rgb="FF000000"/>
            <rFont val="Times New Roman"/>
            <family val="18"/>
          </rPr>
          <t xml:space="preserve"> zu folge hohe gallizischen general commando verodnung Gegen Stellung der Auslander Capitulanten und Erlaag des Dopelten Montur Geldes und worden als Recrut Joseph Morelli zu Koburg Inf und Friedrich Wilhelm Arnholz zu Coburg Inf und das doppeltenMontur Geldes zu 80Fl 12Xr zum Krakauer Krieges case von unbestimmte Urlaub mit Abschied entlassen</t>
        </r>
        <r>
          <rPr>
            <sz val="14"/>
            <color rgb="FF000000"/>
            <rFont val="Times New Roman"/>
            <family val="18"/>
          </rPr>
          <t xml:space="preserve"> [ST Jan 1808 &amp; RL 1808]</t>
        </r>
        <r>
          <rPr>
            <sz val="14"/>
            <color rgb="FF000000"/>
            <rFont val="Calibri"/>
            <family val="34"/>
          </rPr>
          <t xml:space="preserve">
</t>
        </r>
      </text>
    </comment>
    <comment ref="BG579" authorId="0" shapeId="0" xr:uid="{732142A9-90CC-6C4D-94AE-72323E9E7A82}">
      <text>
        <r>
          <rPr>
            <sz val="14"/>
            <color rgb="FF000000"/>
            <rFont val="Calibri"/>
            <family val="34"/>
          </rPr>
          <t xml:space="preserve">ML 10.272 IR 43 (1802) – Haupt Pasqually Nr. 69 (Cattaro 28/08/1802)
</t>
        </r>
        <r>
          <rPr>
            <sz val="14"/>
            <color rgb="FF000000"/>
            <rFont val="Calibri"/>
            <family val="34"/>
          </rPr>
          <t xml:space="preserve">ML 10.273 IR 43 (1803) – Haupt Pasqually Nr. 62 (Cattaro 02/11/1803)
</t>
        </r>
        <r>
          <rPr>
            <sz val="14"/>
            <color rgb="FF000000"/>
            <rFont val="Calibri"/>
            <family val="34"/>
          </rPr>
          <t xml:space="preserve">ML 10.274 IR 43 (1804) – Haupt Pasqually Nr. 58 (Theodo 05/10/1804)
</t>
        </r>
        <r>
          <rPr>
            <sz val="14"/>
            <color rgb="FF000000"/>
            <rFont val="Calibri"/>
            <family val="34"/>
          </rPr>
          <t xml:space="preserve">ML 10.275/6 IR 43 (1805) – 15. Fus Comp Nr. 54 (Zara 10/11/1805)
</t>
        </r>
        <r>
          <rPr>
            <sz val="14"/>
            <color rgb="FF000000"/>
            <rFont val="Calibri"/>
            <family val="34"/>
          </rPr>
          <t xml:space="preserve">ML 10.277/8 IR 43 (1806) – 2. Fus Comp – Abgang (Laibach 01/12/1806)
</t>
        </r>
        <r>
          <rPr>
            <sz val="14"/>
            <color rgb="FF000000"/>
            <rFont val="Calibri"/>
            <family val="34"/>
          </rPr>
          <t xml:space="preserve">ML 10.279 IR 43 (1808-10) – RL 9. Fus Comp – Abgang (Laibach 06/09/1808)
</t>
        </r>
        <r>
          <rPr>
            <sz val="14"/>
            <color rgb="FF000000"/>
            <rFont val="Calibri"/>
            <family val="34"/>
          </rPr>
          <t xml:space="preserve">ML 10.307 IR 43 (1799) – ST Dezember (01/11/1800)
</t>
        </r>
        <r>
          <rPr>
            <sz val="14"/>
            <color rgb="FF000000"/>
            <rFont val="Calibri"/>
            <family val="34"/>
          </rPr>
          <t xml:space="preserve">ML 10.308 IR 43 (1799) – AL IR 43 Nr. 48 (Sandomierz 31/08/1799)
</t>
        </r>
        <r>
          <rPr>
            <sz val="14"/>
            <color rgb="FF000000"/>
            <rFont val="Calibri"/>
            <family val="34"/>
          </rPr>
          <t xml:space="preserve">ML 10.309 IR 43 (1800) – ST Jänner (26/02/1800), Februar (06/04/1801), und April (24/01/1802)
</t>
        </r>
        <r>
          <rPr>
            <sz val="14"/>
            <color rgb="FF000000"/>
            <rFont val="Calibri"/>
            <family val="34"/>
          </rPr>
          <t xml:space="preserve">ML 10.310 IR 43 (1800) – TL IR 43 Res Div-&gt; Feld Nr. 92 (Laibach 05/02/1800)
</t>
        </r>
        <r>
          <rPr>
            <sz val="14"/>
            <color rgb="FF000000"/>
            <rFont val="Calibri"/>
            <family val="34"/>
          </rPr>
          <t xml:space="preserve">ML 10.313 IR 43 (1803) – ST Jänner (15/02/1803) und März (15/04/1803)
</t>
        </r>
        <r>
          <rPr>
            <sz val="14"/>
            <color rgb="FF000000"/>
            <rFont val="Calibri"/>
            <family val="34"/>
          </rPr>
          <t xml:space="preserve">ML 10.315 IR 43 (1805) – ST August (15/09/1805)
</t>
        </r>
        <r>
          <rPr>
            <sz val="14"/>
            <color rgb="FF000000"/>
            <rFont val="Calibri"/>
            <family val="34"/>
          </rPr>
          <t xml:space="preserve">ML 10.317 IR 43 (1806) – ST Oktober (27/11/1806)
</t>
        </r>
        <r>
          <rPr>
            <sz val="14"/>
            <color rgb="FF000000"/>
            <rFont val="Calibri"/>
            <family val="34"/>
          </rPr>
          <t>ML 10.321 IR 43 (1808) – ST Jänner (10/02/1808)</t>
        </r>
      </text>
    </comment>
    <comment ref="BH579" authorId="0" shapeId="0" xr:uid="{28CA8D5A-5B9A-0D47-B897-DC842A87985A}">
      <text>
        <r>
          <rPr>
            <sz val="14"/>
            <color rgb="FF000000"/>
            <rFont val="Calibri"/>
            <family val="34"/>
          </rPr>
          <t>IR 43 (1799-1808)</t>
        </r>
      </text>
    </comment>
    <comment ref="C580" authorId="0" shapeId="0" xr:uid="{0669F9BE-02AE-3C48-987E-4788A55CABE5}">
      <text>
        <r>
          <rPr>
            <sz val="10"/>
            <color rgb="FF000000"/>
            <rFont val="Tahoma"/>
            <family val="2"/>
          </rPr>
          <t xml:space="preserve">Opatow (1799 &amp; 1800)
</t>
        </r>
        <r>
          <rPr>
            <sz val="10"/>
            <color rgb="FF000000"/>
            <rFont val="Tahoma"/>
            <family val="2"/>
          </rPr>
          <t xml:space="preserve">Madrositz [?] (1802-6)
</t>
        </r>
      </text>
    </comment>
    <comment ref="I580" authorId="0" shapeId="0" xr:uid="{62A87DAF-6103-1949-B96F-55EBA7BBA258}">
      <text>
        <r>
          <rPr>
            <sz val="14"/>
            <color rgb="FF000000"/>
            <rFont val="Calibri"/>
            <family val="34"/>
          </rPr>
          <t xml:space="preserve">1773 [26 (AL 1799)] 
</t>
        </r>
        <r>
          <rPr>
            <sz val="14"/>
            <color rgb="FF000000"/>
            <rFont val="Calibri"/>
            <family val="34"/>
          </rPr>
          <t xml:space="preserve">OR 
</t>
        </r>
        <r>
          <rPr>
            <sz val="14"/>
            <color rgb="FF000000"/>
            <rFont val="Calibri"/>
            <family val="34"/>
          </rPr>
          <t>1775 [25 (TL 1800) &amp; 27 ML 1802]</t>
        </r>
      </text>
    </comment>
    <comment ref="T580" authorId="0" shapeId="0" xr:uid="{BBC3FA3B-A444-8F46-A33A-71242DE1C7F8}">
      <text>
        <r>
          <rPr>
            <sz val="14"/>
            <color rgb="FF000000"/>
            <rFont val="Calibri"/>
            <family val="34"/>
          </rPr>
          <t xml:space="preserve">160.85 (AL 1799)
</t>
        </r>
        <r>
          <rPr>
            <sz val="14"/>
            <color rgb="FF000000"/>
            <rFont val="Calibri"/>
            <family val="34"/>
          </rPr>
          <t xml:space="preserve">163.26 (TL 1800)
</t>
        </r>
        <r>
          <rPr>
            <sz val="14"/>
            <color rgb="FF000000"/>
            <rFont val="Calibri"/>
            <family val="34"/>
          </rPr>
          <t>166.11 (ML 1802-5)</t>
        </r>
      </text>
    </comment>
    <comment ref="BF580" authorId="0" shapeId="0" xr:uid="{85E450AE-D5CE-2B42-A7D6-086273BCEB0F}">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 xml:space="preserve">05/08/1799 </t>
        </r>
        <r>
          <rPr>
            <i/>
            <sz val="14"/>
            <color rgb="FF000000"/>
            <rFont val="Times New Roman"/>
            <family val="18"/>
          </rPr>
          <t>von Ständen gestellt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01/01/1800 </t>
        </r>
        <r>
          <rPr>
            <i/>
            <sz val="14"/>
            <color rgb="FF000000"/>
            <rFont val="Times New Roman"/>
            <family val="18"/>
          </rPr>
          <t>In Reserve Division eingerückt</t>
        </r>
        <r>
          <rPr>
            <sz val="14"/>
            <color rgb="FF000000"/>
            <rFont val="Times New Roman"/>
            <family val="18"/>
          </rPr>
          <t xml:space="preserve"> [ST Jan 1800]</t>
        </r>
        <r>
          <rPr>
            <sz val="14"/>
            <color rgb="FF000000"/>
            <rFont val="Calibri"/>
            <family val="34"/>
          </rPr>
          <t xml:space="preserve">
</t>
        </r>
        <r>
          <rPr>
            <sz val="14"/>
            <color rgb="FFFF0000"/>
            <rFont val="Times New Roman"/>
            <family val="18"/>
          </rPr>
          <t xml:space="preserve">14/01/1800 </t>
        </r>
        <r>
          <rPr>
            <i/>
            <sz val="14"/>
            <color rgb="FFFF0000"/>
            <rFont val="Times New Roman"/>
            <family val="18"/>
          </rPr>
          <t>von Ständen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06/02/1800 </t>
        </r>
        <r>
          <rPr>
            <i/>
            <sz val="14"/>
            <color rgb="FF000000"/>
            <rFont val="Times New Roman"/>
            <family val="18"/>
          </rPr>
          <t xml:space="preserve">Auf Marsch zum Regiment mit Kriegsgebühr </t>
        </r>
        <r>
          <rPr>
            <sz val="14"/>
            <color rgb="FF000000"/>
            <rFont val="Times New Roman"/>
            <family val="18"/>
          </rPr>
          <t>[ST Feb 1800 &amp; TL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ObristLt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Musterung: IR 43 ObristLt Comp. Nr. 100</t>
        </r>
        <r>
          <rPr>
            <sz val="14"/>
            <color rgb="FF000000"/>
            <rFont val="Calibri"/>
            <family val="34"/>
          </rPr>
          <t xml:space="preserve">
</t>
        </r>
        <r>
          <rPr>
            <sz val="14"/>
            <color rgb="FF000000"/>
            <rFont val="Times New Roman"/>
            <family val="18"/>
          </rPr>
          <t xml:space="preserve">06/02/1803 </t>
        </r>
        <r>
          <rPr>
            <i/>
            <sz val="14"/>
            <color rgb="FF000000"/>
            <rFont val="Times New Roman"/>
            <family val="18"/>
          </rPr>
          <t>Auf dem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30/09/1803 </t>
        </r>
        <r>
          <rPr>
            <i/>
            <sz val="14"/>
            <color rgb="FF000000"/>
            <rFont val="Times New Roman"/>
            <family val="18"/>
          </rPr>
          <t>Als bis zur Einberufung beurlaubte in Galizien eingerückt</t>
        </r>
        <r>
          <rPr>
            <sz val="14"/>
            <color rgb="FF000000"/>
            <rFont val="Times New Roman"/>
            <family val="18"/>
          </rPr>
          <t xml:space="preserve"> [ST Oct 1803]</t>
        </r>
        <r>
          <rPr>
            <sz val="14"/>
            <color rgb="FF000000"/>
            <rFont val="Calibri"/>
            <family val="34"/>
          </rPr>
          <t xml:space="preserve">
</t>
        </r>
        <r>
          <rPr>
            <sz val="14"/>
            <color rgb="FF000000"/>
            <rFont val="Times New Roman"/>
            <family val="18"/>
          </rPr>
          <t>02/11/1803 Musterung: IR 43 ObristLt Comp. Nr. 88 [</t>
        </r>
        <r>
          <rPr>
            <i/>
            <sz val="14"/>
            <color rgb="FF000000"/>
            <rFont val="Times New Roman"/>
            <family val="18"/>
          </rPr>
          <t>Beurlaubt zu Madrositz in Galizien</t>
        </r>
        <r>
          <rPr>
            <sz val="14"/>
            <color rgb="FF000000"/>
            <rFont val="Times New Roman"/>
            <family val="18"/>
          </rPr>
          <t>]</t>
        </r>
        <r>
          <rPr>
            <sz val="14"/>
            <color rgb="FF000000"/>
            <rFont val="Calibri"/>
            <family val="34"/>
          </rPr>
          <t xml:space="preserve">
</t>
        </r>
        <r>
          <rPr>
            <sz val="14"/>
            <color rgb="FF000000"/>
            <rFont val="Times New Roman"/>
            <family val="18"/>
          </rPr>
          <t>05/10/1804 Musterung: ObristLt Comp. Nr. 82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31/10/1805 Musterung: IR 43 9. Fus Comp Nr. 72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13. Fus Comp als unwissend Verlohren in Abgang</t>
        </r>
        <r>
          <rPr>
            <sz val="14"/>
            <color rgb="FF000000"/>
            <rFont val="Times New Roman"/>
            <family val="18"/>
          </rPr>
          <t xml:space="preserve"> [ST Oct 1806 &amp; ML 1806]</t>
        </r>
        <r>
          <rPr>
            <sz val="14"/>
            <color rgb="FF000000"/>
            <rFont val="Calibri"/>
            <family val="34"/>
          </rPr>
          <t xml:space="preserve">
</t>
        </r>
      </text>
    </comment>
    <comment ref="BG580" authorId="0" shapeId="0" xr:uid="{35085377-4F50-B04D-9F6E-1C0085848D2D}">
      <text>
        <r>
          <rPr>
            <sz val="14"/>
            <color rgb="FF000000"/>
            <rFont val="Calibri"/>
            <family val="34"/>
          </rPr>
          <t xml:space="preserve">ML 10.272 IR 43 (1802) – Heft von ObristLt. Comp. Nr. 100 (Zara 11/09/1802)
</t>
        </r>
        <r>
          <rPr>
            <sz val="14"/>
            <color rgb="FF000000"/>
            <rFont val="Calibri"/>
            <family val="34"/>
          </rPr>
          <t xml:space="preserve">ML 10.273 IR 43 (1803) – Heft von ObristLt. Comp. Nr. 88 (Zara 28/09/1803)
</t>
        </r>
        <r>
          <rPr>
            <sz val="14"/>
            <color rgb="FF000000"/>
            <rFont val="Calibri"/>
            <family val="34"/>
          </rPr>
          <t xml:space="preserve">ML 10.274 IR 43 (1804) – Heft von ObristLt. Comp. Nr. 82 (Cattaro 07/10/1804)
</t>
        </r>
        <r>
          <rPr>
            <sz val="14"/>
            <color rgb="FF000000"/>
            <rFont val="Calibri"/>
            <family val="34"/>
          </rPr>
          <t xml:space="preserve">ML 10.275/6 IR 43 (1805) – Heft von 9. Fus Comp. Nr. 72 (Sebenico (31/10/1805))
</t>
        </r>
        <r>
          <rPr>
            <sz val="14"/>
            <color rgb="FF000000"/>
            <rFont val="Calibri"/>
            <family val="34"/>
          </rPr>
          <t xml:space="preserve">ML 10/277/8 IR 43 (1806) – Heft von 13. Fus Comp. Abgang (Laibach 01/12/1806)
</t>
        </r>
        <r>
          <rPr>
            <sz val="14"/>
            <color rgb="FF000000"/>
            <rFont val="Calibri"/>
            <family val="34"/>
          </rPr>
          <t xml:space="preserve">ML 10.307 IR 43 (1799) – November (12/10/1800)
</t>
        </r>
        <r>
          <rPr>
            <sz val="14"/>
            <color rgb="FF000000"/>
            <rFont val="Calibri"/>
            <family val="34"/>
          </rPr>
          <t xml:space="preserve">ML 10.308 IR 43 (1799) – AL Nr. 49 (Sandomierz 31/08/1799)
</t>
        </r>
        <r>
          <rPr>
            <sz val="14"/>
            <color rgb="FF000000"/>
            <rFont val="Calibri"/>
            <family val="34"/>
          </rPr>
          <t xml:space="preserve">ML 10.309 IR 43 (1800) – ST Jänner (23/08/1804), Februar (28/09/1804), und April (13/10/1804)
</t>
        </r>
        <r>
          <rPr>
            <sz val="14"/>
            <color rgb="FF000000"/>
            <rFont val="Calibri"/>
            <family val="34"/>
          </rPr>
          <t xml:space="preserve">ML 10.310 IR 43 (1800) – TL IR 43 Res Div-&gt; Feld Battalions Nr. 68 (Laibach 05/02/1800)
</t>
        </r>
        <r>
          <rPr>
            <sz val="14"/>
            <color rgb="FF000000"/>
            <rFont val="Calibri"/>
            <family val="34"/>
          </rPr>
          <t xml:space="preserve">ML 10.313 IR 43 (1803) – ST Februar (15/03/1803) und August (15/09/1803)
</t>
        </r>
        <r>
          <rPr>
            <sz val="14"/>
            <color rgb="FF000000"/>
            <rFont val="Calibri"/>
            <family val="34"/>
          </rPr>
          <t xml:space="preserve">ML 10.317 IR 43 (1806) – ST Oktober (27/11/1806) </t>
        </r>
      </text>
    </comment>
    <comment ref="BH580" authorId="0" shapeId="0" xr:uid="{E7B6991C-FD78-F449-ABC1-CBA3BFBC96F1}">
      <text>
        <r>
          <rPr>
            <sz val="14"/>
            <color rgb="FF000000"/>
            <rFont val="Calibri"/>
            <family val="34"/>
          </rPr>
          <t>IR 43 (1799-1806)</t>
        </r>
      </text>
    </comment>
    <comment ref="I581" authorId="0" shapeId="0" xr:uid="{6B0DF5E7-9C16-0642-826D-53B878889BF4}">
      <text>
        <r>
          <rPr>
            <sz val="14"/>
            <color rgb="FF000000"/>
            <rFont val="Calibri"/>
            <family val="34"/>
          </rPr>
          <t xml:space="preserve">1777 [20 (AL 1799)] 
</t>
        </r>
        <r>
          <rPr>
            <sz val="14"/>
            <color rgb="FF000000"/>
            <rFont val="Calibri"/>
            <family val="34"/>
          </rPr>
          <t xml:space="preserve">OR
</t>
        </r>
        <r>
          <rPr>
            <sz val="14"/>
            <color rgb="FF000000"/>
            <rFont val="Calibri"/>
            <family val="34"/>
          </rPr>
          <t xml:space="preserve">1782 [21 (ML 1803) 
</t>
        </r>
        <r>
          <rPr>
            <sz val="14"/>
            <color rgb="FF000000"/>
            <rFont val="Calibri"/>
            <family val="34"/>
          </rPr>
          <t xml:space="preserve">OR
</t>
        </r>
        <r>
          <rPr>
            <sz val="14"/>
            <color rgb="FF000000"/>
            <rFont val="Calibri"/>
            <family val="34"/>
          </rPr>
          <t>1783 [21 ML 1804]</t>
        </r>
      </text>
    </comment>
    <comment ref="T581" authorId="0" shapeId="0" xr:uid="{81404808-1C5E-BD48-97BC-4E32AFF25DE4}">
      <text>
        <r>
          <rPr>
            <sz val="14"/>
            <color rgb="FF000000"/>
            <rFont val="Calibri"/>
            <family val="34"/>
          </rPr>
          <t xml:space="preserve">5.3 (160.85) (AL 1799)
</t>
        </r>
        <r>
          <rPr>
            <sz val="14"/>
            <color rgb="FF000000"/>
            <rFont val="Calibri"/>
            <family val="34"/>
          </rPr>
          <t>5.5.3 () 171.81 (ML 1803)</t>
        </r>
      </text>
    </comment>
    <comment ref="BF581" authorId="0" shapeId="0" xr:uid="{DD837AAF-799F-3E44-97DB-D08ED7FD42E5}">
      <text>
        <r>
          <rPr>
            <sz val="14"/>
            <color rgb="FFFF0000"/>
            <rFont val="Times New Roman"/>
            <family val="18"/>
          </rPr>
          <t>05/07/1799 von Ständen gestellt [ML 1802-4]</t>
        </r>
        <r>
          <rPr>
            <sz val="14"/>
            <color rgb="FF000000"/>
            <rFont val="Calibri"/>
            <family val="34"/>
          </rPr>
          <t xml:space="preserve">
</t>
        </r>
        <r>
          <rPr>
            <sz val="14"/>
            <color rgb="FF000000"/>
            <rFont val="Times New Roman"/>
            <family val="18"/>
          </rPr>
          <t xml:space="preserve">05/08/1799 </t>
        </r>
        <r>
          <rPr>
            <i/>
            <sz val="14"/>
            <color rgb="FF000000"/>
            <rFont val="Times New Roman"/>
            <family val="18"/>
          </rPr>
          <t>von Ständen a 3Fl Handgeld gestellt und seitdem auf anhero Marsch mit Friedensgebühr</t>
        </r>
        <r>
          <rPr>
            <sz val="14"/>
            <color rgb="FF000000"/>
            <rFont val="Times New Roman"/>
            <family val="18"/>
          </rPr>
          <t xml:space="preserve"> [AL Aug 1799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eingeruckt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 IR 43 Haupt Frinstlos Komp. Nr. 66</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Frintlos Komp. Nr. 64 [</t>
        </r>
        <r>
          <rPr>
            <i/>
            <sz val="14"/>
            <color rgb="FF000000"/>
            <rFont val="Times New Roman"/>
            <family val="18"/>
          </rPr>
          <t>Mit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 Haupt Frintlos Komp. Nr. 60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Depot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25/08/1805 </t>
        </r>
        <r>
          <rPr>
            <i/>
            <sz val="14"/>
            <color rgb="FF000000"/>
            <rFont val="Times New Roman"/>
            <family val="18"/>
          </rPr>
          <t>Als Untauglich laut I.Ö, General Commando Verordnung det Graz von 20. May 1805 nach vorher abgehaltene Superarbietrierung als Untauglich mit Abschied entlassen</t>
        </r>
        <r>
          <rPr>
            <sz val="14"/>
            <color rgb="FF000000"/>
            <rFont val="Times New Roman"/>
            <family val="18"/>
          </rPr>
          <t xml:space="preserve"> [ST Sept 1805 &amp; ML 1805]</t>
        </r>
        <r>
          <rPr>
            <sz val="14"/>
            <color rgb="FF000000"/>
            <rFont val="Calibri"/>
            <family val="34"/>
          </rPr>
          <t xml:space="preserve">
</t>
        </r>
        <r>
          <rPr>
            <sz val="14"/>
            <color rgb="FF000000"/>
            <rFont val="Times New Roman"/>
            <family val="18"/>
          </rPr>
          <t xml:space="preserve">01/09/1805 [bis] </t>
        </r>
        <r>
          <rPr>
            <i/>
            <sz val="14"/>
            <color rgb="FF000000"/>
            <rFont val="Times New Roman"/>
            <family val="18"/>
          </rPr>
          <t xml:space="preserve">von dem Löbl Feld Kriegs Commissariat weitere angewiesene Verpflegung mit tag: 5 Xr Löhnung und 2Xr Brotgeld in loco nachgetragen </t>
        </r>
        <r>
          <rPr>
            <sz val="14"/>
            <color rgb="FF000000"/>
            <rFont val="Times New Roman"/>
            <family val="18"/>
          </rPr>
          <t>[ST Sept 1805]</t>
        </r>
        <r>
          <rPr>
            <sz val="14"/>
            <color rgb="FF000000"/>
            <rFont val="Calibri"/>
            <family val="34"/>
          </rPr>
          <t xml:space="preserve">
</t>
        </r>
      </text>
    </comment>
    <comment ref="BG581" authorId="0" shapeId="0" xr:uid="{19CD49A0-830E-2948-9CB4-DB2BAACC224B}">
      <text>
        <r>
          <rPr>
            <sz val="14"/>
            <color rgb="FF000000"/>
            <rFont val="Times New Roman"/>
            <family val="18"/>
          </rPr>
          <t>ML 10.272 IR 43 (1802) –Haupt Frintlos Komp. Nr. 66 (Cattaro 28/08/1802)</t>
        </r>
        <r>
          <rPr>
            <sz val="14"/>
            <color rgb="FF000000"/>
            <rFont val="Calibri"/>
            <family val="34"/>
          </rPr>
          <t xml:space="preserve">
</t>
        </r>
        <r>
          <rPr>
            <sz val="14"/>
            <color rgb="FF000000"/>
            <rFont val="Times New Roman"/>
            <family val="18"/>
          </rPr>
          <t>ML 10.273 IR 43 (1803) –Haupt Frintlos Komp. Nr. 64 (Cattaro 02/11/1803)</t>
        </r>
        <r>
          <rPr>
            <sz val="14"/>
            <color rgb="FF000000"/>
            <rFont val="Calibri"/>
            <family val="34"/>
          </rPr>
          <t xml:space="preserve">
</t>
        </r>
        <r>
          <rPr>
            <sz val="14"/>
            <color rgb="FF000000"/>
            <rFont val="Times New Roman"/>
            <family val="18"/>
          </rPr>
          <t>ML 10.274 IR 43 (1804) –Haupt Frintlos Komp. Nr. 60 (Theodo 05/10/1804)</t>
        </r>
        <r>
          <rPr>
            <sz val="14"/>
            <color rgb="FF000000"/>
            <rFont val="Calibri"/>
            <family val="34"/>
          </rPr>
          <t xml:space="preserve">
</t>
        </r>
        <r>
          <rPr>
            <sz val="14"/>
            <color rgb="FF000000"/>
            <rFont val="Times New Roman"/>
            <family val="18"/>
          </rPr>
          <t>ML 10.275/6 IR 43 (1805) –16. Fus Komp. Abgang (Spalato 23/10/1805)</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50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10.315 IR 43 (1805) – ST Aug (15/09/1805) Sept (15/11/1805)</t>
        </r>
      </text>
    </comment>
    <comment ref="BH581" authorId="0" shapeId="0" xr:uid="{B55461D0-C11A-2146-BA67-8177E36F2E1C}">
      <text>
        <r>
          <rPr>
            <sz val="14"/>
            <color rgb="FF000000"/>
            <rFont val="Calibri"/>
            <family val="34"/>
          </rPr>
          <t>IR 43 (1799-1805)</t>
        </r>
      </text>
    </comment>
    <comment ref="BF582" authorId="0" shapeId="0" xr:uid="{0C061361-5EAB-4842-B5F5-45DF227F2A44}">
      <text>
        <r>
          <rPr>
            <sz val="14"/>
            <color rgb="FF000000"/>
            <rFont val="Times New Roman"/>
            <family val="18"/>
          </rPr>
          <t xml:space="preserve">07/08/1799 </t>
        </r>
        <r>
          <rPr>
            <i/>
            <sz val="14"/>
            <color rgb="FF000000"/>
            <rFont val="Times New Roman"/>
            <family val="18"/>
          </rPr>
          <t>Ohne Capitulation zu Olmütz bei Carl Schröder</t>
        </r>
        <r>
          <rPr>
            <sz val="14"/>
            <color rgb="FF000000"/>
            <rFont val="Times New Roman"/>
            <family val="18"/>
          </rPr>
          <t xml:space="preserve"> </t>
        </r>
        <r>
          <rPr>
            <b/>
            <sz val="14"/>
            <color rgb="FF000000"/>
            <rFont val="Times New Roman"/>
            <family val="18"/>
          </rPr>
          <t>[IR 7]</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Nov 1799]</t>
        </r>
        <r>
          <rPr>
            <sz val="14"/>
            <color rgb="FF000000"/>
            <rFont val="Calibri"/>
            <family val="34"/>
          </rPr>
          <t xml:space="preserve">
</t>
        </r>
        <r>
          <rPr>
            <sz val="14"/>
            <color rgb="FF000000"/>
            <rFont val="Times New Roman"/>
            <family val="18"/>
          </rPr>
          <t xml:space="preserve">21/11/1799 </t>
        </r>
        <r>
          <rPr>
            <i/>
            <sz val="14"/>
            <color rgb="FF000000"/>
            <rFont val="Times New Roman"/>
            <family val="18"/>
          </rPr>
          <t>Von IR 7 4. Bat. Haupt Mathlin 2. Komp. zum IR 1 Feld Bats transferiert und zum Haupt Bitto Komp eingeteilt</t>
        </r>
        <r>
          <rPr>
            <sz val="14"/>
            <color rgb="FF000000"/>
            <rFont val="Times New Roman"/>
            <family val="18"/>
          </rPr>
          <t xml:space="preserve"> [TL Nov 1799]</t>
        </r>
        <r>
          <rPr>
            <sz val="14"/>
            <color rgb="FF000000"/>
            <rFont val="Calibri"/>
            <family val="34"/>
          </rPr>
          <t xml:space="preserve">
</t>
        </r>
        <r>
          <rPr>
            <sz val="14"/>
            <color rgb="FF000000"/>
            <rFont val="Times New Roman"/>
            <family val="18"/>
          </rPr>
          <t>13/09/1803 Muster: IR 1 Haupt Bitto Komp. Nr. 102 [</t>
        </r>
        <r>
          <rPr>
            <i/>
            <sz val="14"/>
            <color rgb="FF000000"/>
            <rFont val="Times New Roman"/>
            <family val="18"/>
          </rPr>
          <t>Auf Unbestimmte Urlaub zu Leibnik in Mähren</t>
        </r>
        <r>
          <rPr>
            <sz val="14"/>
            <color rgb="FF000000"/>
            <rFont val="Times New Roman"/>
            <family val="18"/>
          </rPr>
          <t>]</t>
        </r>
        <r>
          <rPr>
            <sz val="14"/>
            <color rgb="FF000000"/>
            <rFont val="Calibri"/>
            <family val="34"/>
          </rPr>
          <t xml:space="preserve">
</t>
        </r>
        <r>
          <rPr>
            <sz val="14"/>
            <color rgb="FF000000"/>
            <rFont val="Times New Roman"/>
            <family val="18"/>
          </rPr>
          <t>20/08/1804 Muster: IR 1 Haupt Remett Komp. Nr. 94 [</t>
        </r>
        <r>
          <rPr>
            <i/>
            <sz val="14"/>
            <color rgb="FF000000"/>
            <rFont val="Times New Roman"/>
            <family val="18"/>
          </rPr>
          <t>Beurlaubt bis zur Einberufung zu Leibnik in Mähren</t>
        </r>
        <r>
          <rPr>
            <sz val="14"/>
            <color rgb="FF000000"/>
            <rFont val="Times New Roman"/>
            <family val="18"/>
          </rPr>
          <t>]</t>
        </r>
        <r>
          <rPr>
            <sz val="14"/>
            <color rgb="FF000000"/>
            <rFont val="Calibri"/>
            <family val="34"/>
          </rPr>
          <t xml:space="preserve">
</t>
        </r>
        <r>
          <rPr>
            <sz val="14"/>
            <color rgb="FF000000"/>
            <rFont val="Times New Roman"/>
            <family val="18"/>
          </rPr>
          <t xml:space="preserve">20/10/1805 </t>
        </r>
        <r>
          <rPr>
            <i/>
            <sz val="14"/>
            <color rgb="FF000000"/>
            <rFont val="Times New Roman"/>
            <family val="18"/>
          </rPr>
          <t xml:space="preserve">In </t>
        </r>
        <r>
          <rPr>
            <b/>
            <i/>
            <sz val="14"/>
            <color rgb="FF000000"/>
            <rFont val="Times New Roman"/>
            <family val="18"/>
          </rPr>
          <t>Festung Ulm</t>
        </r>
        <r>
          <rPr>
            <i/>
            <sz val="14"/>
            <color rgb="FF000000"/>
            <rFont val="Times New Roman"/>
            <family val="18"/>
          </rPr>
          <t xml:space="preserve"> in 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In 05/1806 </t>
        </r>
        <r>
          <rPr>
            <i/>
            <sz val="14"/>
            <color rgb="FF000000"/>
            <rFont val="Times New Roman"/>
            <family val="18"/>
          </rPr>
          <t>Sich selbst ranzioniert und unter unbewusste datum in Linz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17/12/1806 Muster: IR 1 Haupt Siegel Komp. Nr. 44</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05/03/1810 </t>
        </r>
        <r>
          <rPr>
            <i/>
            <sz val="14"/>
            <color rgb="FF000000"/>
            <rFont val="Times New Roman"/>
            <family val="18"/>
          </rPr>
          <t>Unter</t>
        </r>
        <r>
          <rPr>
            <sz val="14"/>
            <color rgb="FF000000"/>
            <rFont val="Times New Roman"/>
            <family val="18"/>
          </rPr>
          <t xml:space="preserve"> </t>
        </r>
        <r>
          <rPr>
            <i/>
            <sz val="14"/>
            <color rgb="FF000000"/>
            <rFont val="Times New Roman"/>
            <family val="18"/>
          </rPr>
          <t>unbewusste dato von Kriegsgefangenschaft ausgetauscht, kommet wieder in loco bei der 15. Kompanie</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17/03/1810 </t>
        </r>
        <r>
          <rPr>
            <i/>
            <sz val="14"/>
            <color rgb="FF000000"/>
            <rFont val="Times New Roman"/>
            <family val="18"/>
          </rPr>
          <t>Beurlaubt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15. Zum 8. Fus. Komp. transferiert</t>
        </r>
        <r>
          <rPr>
            <sz val="14"/>
            <color rgb="FF000000"/>
            <rFont val="Times New Roman"/>
            <family val="18"/>
          </rPr>
          <t xml:space="preserve"> [ML Sept 1810]</t>
        </r>
        <r>
          <rPr>
            <sz val="14"/>
            <color rgb="FF000000"/>
            <rFont val="Calibri"/>
            <family val="34"/>
          </rPr>
          <t xml:space="preserve">
</t>
        </r>
        <r>
          <rPr>
            <sz val="14"/>
            <color rgb="FF000000"/>
            <rFont val="Times New Roman"/>
            <family val="18"/>
          </rPr>
          <t xml:space="preserve">10/08/1811 </t>
        </r>
        <r>
          <rPr>
            <i/>
            <sz val="14"/>
            <color rgb="FF000000"/>
            <rFont val="Times New Roman"/>
            <family val="18"/>
          </rPr>
          <t>In Folge hoher Militär Kommando Verordnung ddt. Brünn den 15. July Litt R Nro 5248 von unbestimmtem Urlaub als ausgedienter Veteran mit Abschied entlassen</t>
        </r>
        <r>
          <rPr>
            <sz val="14"/>
            <color rgb="FF000000"/>
            <rFont val="Times New Roman"/>
            <family val="18"/>
          </rPr>
          <t xml:space="preserve"> [ML 1811 &amp; ST Aug 1811] </t>
        </r>
      </text>
    </comment>
    <comment ref="BG582" authorId="0" shapeId="0" xr:uid="{4C91F314-4738-5247-BD3A-CFDD997680EA}">
      <text>
        <r>
          <rPr>
            <sz val="14"/>
            <color rgb="FF000000"/>
            <rFont val="Times New Roman"/>
            <family val="18"/>
          </rPr>
          <t>ML 29 IR 1 (1803) – Haupt Bitto Komp. Nr. 102 (</t>
        </r>
        <r>
          <rPr>
            <sz val="14"/>
            <color rgb="FF000000"/>
            <rFont val="Times New Roman"/>
            <family val="18"/>
          </rPr>
          <t>Karthaus nächst Brünn 13/09/1803</t>
        </r>
        <r>
          <rPr>
            <sz val="14"/>
            <color rgb="FF000000"/>
            <rFont val="Times New Roman"/>
            <family val="18"/>
          </rPr>
          <t>)</t>
        </r>
        <r>
          <rPr>
            <sz val="14"/>
            <color rgb="FF000000"/>
            <rFont val="Calibri"/>
            <family val="34"/>
          </rPr>
          <t xml:space="preserve">
</t>
        </r>
        <r>
          <rPr>
            <sz val="14"/>
            <color rgb="FF000000"/>
            <rFont val="Times New Roman"/>
            <family val="18"/>
          </rPr>
          <t>ML 30 IR 1 (1804) – Haupt Remety Komp. Nr. 94 (</t>
        </r>
        <r>
          <rPr>
            <sz val="14"/>
            <color rgb="FF000000"/>
            <rFont val="Times New Roman"/>
            <family val="18"/>
          </rPr>
          <t>Karthaus nächst Brünn 20/08/1804</t>
        </r>
        <r>
          <rPr>
            <sz val="14"/>
            <color rgb="FF000000"/>
            <rFont val="Times New Roman"/>
            <family val="18"/>
          </rPr>
          <t>)</t>
        </r>
        <r>
          <rPr>
            <sz val="14"/>
            <color rgb="FF000000"/>
            <rFont val="Calibri"/>
            <family val="34"/>
          </rPr>
          <t xml:space="preserve">
</t>
        </r>
        <r>
          <rPr>
            <sz val="14"/>
            <color rgb="FF000000"/>
            <rFont val="Times New Roman"/>
            <family val="18"/>
          </rPr>
          <t>ML 31/2 IR 1 (1806) – Haupt Siegel Komp. Nr. 44 (Proßnitz 17/12/1806)</t>
        </r>
        <r>
          <rPr>
            <sz val="14"/>
            <color rgb="FF000000"/>
            <rFont val="Calibri"/>
            <family val="34"/>
          </rPr>
          <t xml:space="preserve">
</t>
        </r>
        <r>
          <rPr>
            <sz val="14"/>
            <color rgb="FF000000"/>
            <rFont val="Times New Roman"/>
            <family val="18"/>
          </rPr>
          <t>ML 33 IR 1 (1811) – 8. Fus. Komp. Nr. Abgang (Prossnitz 08/09/1811)</t>
        </r>
        <r>
          <rPr>
            <sz val="14"/>
            <color rgb="FF000000"/>
            <rFont val="Calibri"/>
            <family val="34"/>
          </rPr>
          <t xml:space="preserve">
</t>
        </r>
        <r>
          <rPr>
            <sz val="14"/>
            <color rgb="FF000000"/>
            <rFont val="Times New Roman"/>
            <family val="18"/>
          </rPr>
          <t>ML 73 IR 1 (1799) AL/TL – TL IR 7-&gt;IR 1 Nr. 39 (Olmütz 22/11/1799)</t>
        </r>
        <r>
          <rPr>
            <sz val="14"/>
            <color rgb="FF000000"/>
            <rFont val="Calibri"/>
            <family val="34"/>
          </rPr>
          <t xml:space="preserve">
</t>
        </r>
        <r>
          <rPr>
            <sz val="14"/>
            <color rgb="FF000000"/>
            <rFont val="Times New Roman"/>
            <family val="18"/>
          </rPr>
          <t>ML 91 IR 1 (1809) – ST April (Proßnitz 26/07/1810)</t>
        </r>
        <r>
          <rPr>
            <sz val="14"/>
            <color rgb="FF000000"/>
            <rFont val="Calibri"/>
            <family val="34"/>
          </rPr>
          <t xml:space="preserve">
</t>
        </r>
        <r>
          <rPr>
            <sz val="14"/>
            <color rgb="FF000000"/>
            <rFont val="Times New Roman"/>
            <family val="18"/>
          </rPr>
          <t>ML 94 IR 1 (1810) – ST March (Proßnitz 28/02/1810), Sept (17/04/1811)</t>
        </r>
        <r>
          <rPr>
            <sz val="14"/>
            <color rgb="FF000000"/>
            <rFont val="Calibri"/>
            <family val="34"/>
          </rPr>
          <t xml:space="preserve">
</t>
        </r>
        <r>
          <rPr>
            <sz val="14"/>
            <color rgb="FF000000"/>
            <rFont val="Times New Roman"/>
            <family val="18"/>
          </rPr>
          <t>ML 96 IR 1 (1811) – ST Aug (Proßnitz 09/11/1811)</t>
        </r>
        <r>
          <rPr>
            <sz val="14"/>
            <color rgb="FF000000"/>
            <rFont val="Calibri"/>
            <family val="34"/>
          </rPr>
          <t xml:space="preserve">
</t>
        </r>
      </text>
    </comment>
    <comment ref="BH582" authorId="0" shapeId="0" xr:uid="{2CD2E6D1-1195-0E41-98C0-BD72E876F435}">
      <text>
        <r>
          <rPr>
            <sz val="14"/>
            <color rgb="FF000000"/>
            <rFont val="Calibri"/>
            <family val="34"/>
          </rPr>
          <t xml:space="preserve">IR 7 (1799)
</t>
        </r>
        <r>
          <rPr>
            <sz val="14"/>
            <color rgb="FF000000"/>
            <rFont val="Calibri"/>
            <family val="34"/>
          </rPr>
          <t>IR 1 (1799-1811)</t>
        </r>
      </text>
    </comment>
    <comment ref="BF583" authorId="0" shapeId="0" xr:uid="{EA9FD247-1938-5E46-91EE-A4471E4EB310}">
      <text>
        <r>
          <rPr>
            <sz val="14"/>
            <color rgb="FF000000"/>
            <rFont val="Times New Roman"/>
            <family val="18"/>
          </rPr>
          <t xml:space="preserve">08/08/1799 </t>
        </r>
        <r>
          <rPr>
            <i/>
            <sz val="14"/>
            <color rgb="FF000000"/>
            <rFont val="Times New Roman"/>
            <family val="18"/>
          </rPr>
          <t xml:space="preserve">Von Ständen gestellt und zum Sandomierz assentiert uns seitdem auf anhero Marsch mit Friedensgebühr </t>
        </r>
        <r>
          <rPr>
            <sz val="14"/>
            <color rgb="FF000000"/>
            <rFont val="Times New Roman"/>
            <family val="18"/>
          </rPr>
          <t>[AL Aug 1799]</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583" authorId="0" shapeId="0" xr:uid="{FB5551FF-2443-6842-B3F1-400B49506C6F}">
      <text>
        <r>
          <rPr>
            <sz val="14"/>
            <color rgb="FF000000"/>
            <rFont val="Times New Roman"/>
            <family val="18"/>
          </rPr>
          <t>ML 10.308 IR 43 (1799) – AL Nr. 51 (Sandomierz 31/08/1799)</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583" authorId="0" shapeId="0" xr:uid="{ECBC7B5D-04AA-EF4C-B748-27A4851D8B57}">
      <text>
        <r>
          <rPr>
            <sz val="14"/>
            <color rgb="FF000000"/>
            <rFont val="Calibri"/>
            <family val="34"/>
          </rPr>
          <t>IR 43 (1799-1801)</t>
        </r>
      </text>
    </comment>
    <comment ref="B584" authorId="0" shapeId="0" xr:uid="{DB177622-109F-2348-9403-8892CF800356}">
      <text>
        <r>
          <rPr>
            <sz val="14"/>
            <color rgb="FF000000"/>
            <rFont val="Calibri"/>
            <family val="34"/>
          </rPr>
          <t xml:space="preserve">Berek LEFKOWIK (1799)
</t>
        </r>
        <r>
          <rPr>
            <sz val="14"/>
            <color rgb="FF000000"/>
            <rFont val="Calibri"/>
            <family val="34"/>
          </rPr>
          <t xml:space="preserve">Leibl LEOKOWIZ (1800)
</t>
        </r>
        <r>
          <rPr>
            <sz val="14"/>
            <color rgb="FF000000"/>
            <rFont val="Calibri"/>
            <family val="34"/>
          </rPr>
          <t xml:space="preserve">Leib LEBKOWITZ (1802)
</t>
        </r>
        <r>
          <rPr>
            <sz val="14"/>
            <color rgb="FF000000"/>
            <rFont val="Calibri"/>
            <family val="34"/>
          </rPr>
          <t xml:space="preserve">Leib LEWKOWIZ (1803)
</t>
        </r>
        <r>
          <rPr>
            <sz val="14"/>
            <color rgb="FF000000"/>
            <rFont val="Calibri"/>
            <family val="34"/>
          </rPr>
          <t>Laib LEWKOWITZ (1811)</t>
        </r>
      </text>
    </comment>
    <comment ref="J584" authorId="0" shapeId="0" xr:uid="{15EF84F9-A6B2-824A-B438-B6568ADF5C64}">
      <text>
        <r>
          <rPr>
            <sz val="14"/>
            <color rgb="FF000000"/>
            <rFont val="Calibri"/>
            <family val="34"/>
          </rPr>
          <t xml:space="preserve">Ledig (1799-1804)
</t>
        </r>
        <r>
          <rPr>
            <sz val="14"/>
            <color rgb="FF000000"/>
            <rFont val="Calibri"/>
            <family val="34"/>
          </rPr>
          <t>Veheiratet (1806-16)</t>
        </r>
      </text>
    </comment>
    <comment ref="N584" authorId="0" shapeId="0" xr:uid="{98160691-842F-6B4C-9784-1DFFF1BE1088}">
      <text>
        <r>
          <rPr>
            <sz val="14"/>
            <color rgb="FF000000"/>
            <rFont val="Calibri"/>
            <family val="34"/>
          </rPr>
          <t xml:space="preserve">Ausser (1806)
</t>
        </r>
        <r>
          <rPr>
            <sz val="14"/>
            <color rgb="FF000000"/>
            <rFont val="Calibri"/>
            <family val="34"/>
          </rPr>
          <t>Absent (1811)</t>
        </r>
      </text>
    </comment>
    <comment ref="T584" authorId="0" shapeId="0" xr:uid="{CAB59CC2-F586-E840-85DD-9BD398FB98FB}">
      <text>
        <r>
          <rPr>
            <sz val="14"/>
            <color rgb="FF000000"/>
            <rFont val="Calibri"/>
            <family val="34"/>
          </rPr>
          <t xml:space="preserve">163.26 (1799/1800)
</t>
        </r>
        <r>
          <rPr>
            <sz val="14"/>
            <color rgb="FF000000"/>
            <rFont val="Calibri"/>
            <family val="34"/>
          </rPr>
          <t>163.48 (1802-11)</t>
        </r>
      </text>
    </comment>
    <comment ref="BF584" authorId="0" shapeId="0" xr:uid="{EF39FBC6-63A3-FA43-890C-0B6F168550FF}">
      <text>
        <r>
          <rPr>
            <sz val="14"/>
            <color rgb="FFFF0000"/>
            <rFont val="Times New Roman"/>
            <family val="18"/>
          </rPr>
          <t xml:space="preserve">14/07/1798 </t>
        </r>
        <r>
          <rPr>
            <i/>
            <sz val="14"/>
            <color rgb="FFFF0000"/>
            <rFont val="Times New Roman"/>
            <family val="18"/>
          </rPr>
          <t xml:space="preserve">von Ständen gestellt </t>
        </r>
        <r>
          <rPr>
            <sz val="14"/>
            <color rgb="FFFF0000"/>
            <rFont val="Times New Roman"/>
            <family val="18"/>
          </rPr>
          <t>[ML1802-6]</t>
        </r>
        <r>
          <rPr>
            <sz val="14"/>
            <color rgb="FF000000"/>
            <rFont val="Calibri"/>
            <family val="34"/>
          </rPr>
          <t xml:space="preserve">
</t>
        </r>
        <r>
          <rPr>
            <sz val="14"/>
            <color rgb="FFFF0000"/>
            <rFont val="Times New Roman"/>
            <family val="18"/>
          </rPr>
          <t xml:space="preserve">01/06/1799 </t>
        </r>
        <r>
          <rPr>
            <i/>
            <sz val="14"/>
            <color rgb="FFFF0000"/>
            <rFont val="Times New Roman"/>
            <family val="18"/>
          </rPr>
          <t xml:space="preserve">von Ständen gestellt </t>
        </r>
        <r>
          <rPr>
            <sz val="14"/>
            <color rgb="FFFF0000"/>
            <rFont val="Times New Roman"/>
            <family val="18"/>
          </rPr>
          <t>[TL 1800]</t>
        </r>
        <r>
          <rPr>
            <sz val="14"/>
            <color rgb="FF000000"/>
            <rFont val="Calibri"/>
            <family val="34"/>
          </rPr>
          <t xml:space="preserve">
</t>
        </r>
        <r>
          <rPr>
            <sz val="14"/>
            <color rgb="FF000000"/>
            <rFont val="Times New Roman"/>
            <family val="18"/>
          </rPr>
          <t xml:space="preserve">12/08/1799 </t>
        </r>
        <r>
          <rPr>
            <i/>
            <sz val="14"/>
            <color rgb="FF000000"/>
            <rFont val="Times New Roman"/>
            <family val="18"/>
          </rPr>
          <t>von Ständen a 3Fl Handgeld gestellt uns zum IR 43 assentiert</t>
        </r>
        <r>
          <rPr>
            <sz val="14"/>
            <color rgb="FF000000"/>
            <rFont val="Times New Roman"/>
            <family val="18"/>
          </rPr>
          <t xml:space="preserve"> [AL 1799]</t>
        </r>
        <r>
          <rPr>
            <sz val="14"/>
            <color rgb="FF000000"/>
            <rFont val="Calibri"/>
            <family val="34"/>
          </rPr>
          <t xml:space="preserve">
</t>
        </r>
        <r>
          <rPr>
            <sz val="14"/>
            <color rgb="FF000000"/>
            <rFont val="Times New Roman"/>
            <family val="18"/>
          </rPr>
          <t xml:space="preserve">25/12/1799 </t>
        </r>
        <r>
          <rPr>
            <i/>
            <sz val="14"/>
            <color rgb="FF000000"/>
            <rFont val="Times New Roman"/>
            <family val="18"/>
          </rPr>
          <t>Ohne Zuwachs Dokumenten ins Reserve Division eingerückt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05/01/1800 </t>
        </r>
        <r>
          <rPr>
            <i/>
            <sz val="14"/>
            <color rgb="FF000000"/>
            <rFont val="Times New Roman"/>
            <family val="18"/>
          </rPr>
          <t>Ferner Krank auswärts mit Friedensgebühr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10/01/1800</t>
        </r>
        <r>
          <rPr>
            <i/>
            <sz val="14"/>
            <color rgb="FF000000"/>
            <rFont val="Times New Roman"/>
            <family val="18"/>
          </rPr>
          <t xml:space="preserve"> Reconvalesciert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06/02/1800 </t>
        </r>
        <r>
          <rPr>
            <i/>
            <sz val="14"/>
            <color rgb="FF000000"/>
            <rFont val="Times New Roman"/>
            <family val="18"/>
          </rPr>
          <t xml:space="preserve">Ferners Aufmarsch zum Regiment </t>
        </r>
        <r>
          <rPr>
            <sz val="14"/>
            <color rgb="FF000000"/>
            <rFont val="Times New Roman"/>
            <family val="18"/>
          </rPr>
          <t>[TL 1800 &amp;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In Regiment eingerückt und zum Haupt Baumann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07/07/1802 </t>
        </r>
        <r>
          <rPr>
            <i/>
            <sz val="14"/>
            <color rgb="FF000000"/>
            <rFont val="Times New Roman"/>
            <family val="18"/>
          </rPr>
          <t>Auf Bestimmte 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28/08/1802 Musterung: IR 43 Haupt Baumann Nr. 54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bestimmte zum unbestimmte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01/11/1803 Musterung: IR 43 Haupt Baumann Komp. Nr. 51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05/10/1804 Musterung: Haupt Baumann Komp. Nr. 49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23/10/1805 Musterung: IR 43 12. Fus Comp Nr. 54 [</t>
        </r>
        <r>
          <rPr>
            <i/>
            <sz val="14"/>
            <color rgb="FF000000"/>
            <rFont val="Times New Roman"/>
            <family val="18"/>
          </rPr>
          <t>Bei Abrichtungsdepot zugeheilt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12. Fus Comp zum Artillerie Handlanger Transferiert</t>
        </r>
        <r>
          <rPr>
            <sz val="14"/>
            <color rgb="FF000000"/>
            <rFont val="Times New Roman"/>
            <family val="18"/>
          </rPr>
          <t xml:space="preserve"> [ST Nov 1805 &amp;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Artillerie Handleger wieder zurück in seine [jetzt 16. Fus] Comp. transferiert</t>
        </r>
        <r>
          <rPr>
            <sz val="14"/>
            <color rgb="FF000000"/>
            <rFont val="Times New Roman"/>
            <family val="18"/>
          </rPr>
          <t xml:space="preserve"> [ST April 1806 &amp; ML 1806]</t>
        </r>
        <r>
          <rPr>
            <sz val="14"/>
            <color rgb="FF000000"/>
            <rFont val="Calibri"/>
            <family val="34"/>
          </rPr>
          <t xml:space="preserve">
</t>
        </r>
        <r>
          <rPr>
            <sz val="14"/>
            <color rgb="FF000000"/>
            <rFont val="Times New Roman"/>
            <family val="18"/>
          </rPr>
          <t>01/12/1806 Musterung: IR 43 16. Fus. Komp. Nr. 33</t>
        </r>
        <r>
          <rPr>
            <sz val="14"/>
            <color rgb="FF000000"/>
            <rFont val="Calibri"/>
            <family val="34"/>
          </rPr>
          <t xml:space="preserve">
</t>
        </r>
        <r>
          <rPr>
            <sz val="14"/>
            <color rgb="FF000000"/>
            <rFont val="Times New Roman"/>
            <family val="18"/>
          </rPr>
          <t>06/09/1808 Musterung: IR 43 16. Fus. Komp. Nr. 30 [</t>
        </r>
        <r>
          <rPr>
            <i/>
            <sz val="14"/>
            <color rgb="FF000000"/>
            <rFont val="Times New Roman"/>
            <family val="18"/>
          </rPr>
          <t>auf Tabak Commando in Weinsburg</t>
        </r>
        <r>
          <rPr>
            <sz val="14"/>
            <color rgb="FF000000"/>
            <rFont val="Times New Roman"/>
            <family val="18"/>
          </rPr>
          <t>]</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18. [früher 16. Fus] zum 2. Depot Comp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07/09/1809 </t>
        </r>
        <r>
          <rPr>
            <i/>
            <sz val="14"/>
            <color rgb="FF000000"/>
            <rFont val="Times New Roman"/>
            <family val="18"/>
          </rPr>
          <t>Von 2. Depot zum 18. Fus Comp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07/10/1809 </t>
        </r>
        <r>
          <rPr>
            <i/>
            <sz val="14"/>
            <color rgb="FF000000"/>
            <rFont val="Times New Roman"/>
            <family val="18"/>
          </rPr>
          <t>Krank Auswärts</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Rekonvalesziert und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25/02/1810 Dissolvierung: 18 Fus. Comp Nr. 63 [</t>
        </r>
        <r>
          <rPr>
            <i/>
            <sz val="14"/>
            <color rgb="FF000000"/>
            <rFont val="Times New Roman"/>
            <family val="18"/>
          </rPr>
          <t>Zur IR 24 einzuteilen</t>
        </r>
        <r>
          <rPr>
            <sz val="14"/>
            <color rgb="FF000000"/>
            <rFont val="Times New Roman"/>
            <family val="18"/>
          </rPr>
          <t>]</t>
        </r>
        <r>
          <rPr>
            <sz val="14"/>
            <color rgb="FF000000"/>
            <rFont val="Calibri"/>
            <family val="34"/>
          </rPr>
          <t xml:space="preserve">
</t>
        </r>
        <r>
          <rPr>
            <sz val="14"/>
            <color rgb="FFFF0000"/>
            <rFont val="Times New Roman"/>
            <family val="18"/>
          </rPr>
          <t xml:space="preserve">06/03/1810 </t>
        </r>
        <r>
          <rPr>
            <i/>
            <sz val="14"/>
            <color rgb="FFFF0000"/>
            <rFont val="Times New Roman"/>
            <family val="18"/>
          </rPr>
          <t>Von 18. Fus Comp des Dissolvierte IR 43 zum IR 24 Strauch</t>
        </r>
        <r>
          <rPr>
            <sz val="14"/>
            <color rgb="FFFF0000"/>
            <rFont val="Times New Roman"/>
            <family val="18"/>
          </rPr>
          <t xml:space="preserve"> [ST March 1810]</t>
        </r>
        <r>
          <rPr>
            <sz val="14"/>
            <color rgb="FF000000"/>
            <rFont val="Calibri"/>
            <family val="34"/>
          </rPr>
          <t xml:space="preserve">
</t>
        </r>
        <r>
          <rPr>
            <sz val="14"/>
            <color rgb="FF000000"/>
            <rFont val="Times New Roman"/>
            <family val="18"/>
          </rPr>
          <t xml:space="preserve">16/03/1810 </t>
        </r>
        <r>
          <rPr>
            <i/>
            <sz val="14"/>
            <color rgb="FF000000"/>
            <rFont val="Times New Roman"/>
            <family val="18"/>
          </rPr>
          <t xml:space="preserve">Von 18. Fus Comp des Dissolvierte IR 43 zum IR 24 </t>
        </r>
        <r>
          <rPr>
            <sz val="14"/>
            <color rgb="FF000000"/>
            <rFont val="Times New Roman"/>
            <family val="18"/>
          </rPr>
          <t>[ML IR 24 1811]</t>
        </r>
        <r>
          <rPr>
            <sz val="14"/>
            <color rgb="FF000000"/>
            <rFont val="Calibri"/>
            <family val="34"/>
          </rPr>
          <t xml:space="preserve">
</t>
        </r>
        <r>
          <rPr>
            <sz val="14"/>
            <color rgb="FF000000"/>
            <rFont val="Times New Roman"/>
            <family val="18"/>
          </rPr>
          <t>21/09/1811 Musterung: IR 24 9. Fus Komp Nr. 117 [</t>
        </r>
        <r>
          <rPr>
            <i/>
            <sz val="14"/>
            <color rgb="FF000000"/>
            <rFont val="Times New Roman"/>
            <family val="18"/>
          </rPr>
          <t>Commandiert zu Comorn</t>
        </r>
        <r>
          <rPr>
            <sz val="14"/>
            <color rgb="FF000000"/>
            <rFont val="Times New Roman"/>
            <family val="18"/>
          </rPr>
          <t>]</t>
        </r>
        <r>
          <rPr>
            <sz val="14"/>
            <color rgb="FF000000"/>
            <rFont val="Calibri"/>
            <family val="34"/>
          </rPr>
          <t xml:space="preserve">
</t>
        </r>
        <r>
          <rPr>
            <sz val="14"/>
            <color rgb="FF000000"/>
            <rFont val="Times New Roman"/>
            <family val="18"/>
          </rPr>
          <t xml:space="preserve">30/04/1815 </t>
        </r>
        <r>
          <rPr>
            <i/>
            <sz val="14"/>
            <color rgb="FF000000"/>
            <rFont val="Times New Roman"/>
            <family val="18"/>
          </rPr>
          <t>Von IR 24 9. Fus. Komp. zum neu errichtete HFS 48 transferiert</t>
        </r>
        <r>
          <rPr>
            <sz val="14"/>
            <color rgb="FF000000"/>
            <rFont val="Times New Roman"/>
            <family val="18"/>
          </rPr>
          <t xml:space="preserve"> [TL Juni 1818]</t>
        </r>
        <r>
          <rPr>
            <sz val="14"/>
            <color rgb="FF000000"/>
            <rFont val="Calibri"/>
            <family val="34"/>
          </rPr>
          <t xml:space="preserve">
</t>
        </r>
        <r>
          <rPr>
            <sz val="14"/>
            <color rgb="FF000000"/>
            <rFont val="Times New Roman"/>
            <family val="18"/>
          </rPr>
          <t xml:space="preserve">20/09/1815 </t>
        </r>
        <r>
          <rPr>
            <i/>
            <sz val="14"/>
            <color rgb="FF000000"/>
            <rFont val="Times New Roman"/>
            <family val="18"/>
          </rPr>
          <t xml:space="preserve">Von HFS 48 zum HFS 44 transferiert </t>
        </r>
        <r>
          <rPr>
            <sz val="14"/>
            <color rgb="FF000000"/>
            <rFont val="Times New Roman"/>
            <family val="18"/>
          </rPr>
          <t>[VrpfL Okt 1815]</t>
        </r>
        <r>
          <rPr>
            <sz val="14"/>
            <color rgb="FF000000"/>
            <rFont val="Calibri"/>
            <family val="34"/>
          </rPr>
          <t xml:space="preserve">
</t>
        </r>
        <r>
          <rPr>
            <sz val="14"/>
            <color rgb="FF000000"/>
            <rFont val="Times New Roman"/>
            <family val="18"/>
          </rPr>
          <t xml:space="preserve">21/09/1815 </t>
        </r>
        <r>
          <rPr>
            <i/>
            <sz val="14"/>
            <color rgb="FF000000"/>
            <rFont val="Times New Roman"/>
            <family val="18"/>
          </rPr>
          <t xml:space="preserve">Von HFS 48 zum HFS 44 transferiert </t>
        </r>
        <r>
          <rPr>
            <sz val="14"/>
            <color rgb="FF000000"/>
            <rFont val="Times New Roman"/>
            <family val="18"/>
          </rPr>
          <t>[VrpfL Sept 1815 &amp; Verpf Oct 1815]</t>
        </r>
        <r>
          <rPr>
            <sz val="14"/>
            <color rgb="FF000000"/>
            <rFont val="Calibri"/>
            <family val="34"/>
          </rPr>
          <t xml:space="preserve">
</t>
        </r>
        <r>
          <rPr>
            <sz val="14"/>
            <color rgb="FF000000"/>
            <rFont val="Times New Roman"/>
            <family val="18"/>
          </rPr>
          <t xml:space="preserve">01/02/1816 </t>
        </r>
        <r>
          <rPr>
            <i/>
            <sz val="14"/>
            <color rgb="FF000000"/>
            <rFont val="Times New Roman"/>
            <family val="18"/>
          </rPr>
          <t>In Folge Hohe N.O General Commando Verordnung det. 13 Jannuar a:C: R 787 zum Tyrnauer Invaliden Haus transferiert und zur 1. Chambre eingeteilt</t>
        </r>
        <r>
          <rPr>
            <sz val="14"/>
            <color rgb="FF000000"/>
            <rFont val="Times New Roman"/>
            <family val="18"/>
          </rPr>
          <t xml:space="preserve"> [VerpfL Feb 1816 &amp; ML 1816]</t>
        </r>
        <r>
          <rPr>
            <sz val="14"/>
            <color rgb="FF000000"/>
            <rFont val="Calibri"/>
            <family val="34"/>
          </rPr>
          <t xml:space="preserve">
</t>
        </r>
        <r>
          <rPr>
            <sz val="14"/>
            <color rgb="FF000000"/>
            <rFont val="Times New Roman"/>
            <family val="18"/>
          </rPr>
          <t>01/05/1816 Muster: InvH Tyrnau 1. Chambre Nr. 233</t>
        </r>
        <r>
          <rPr>
            <sz val="14"/>
            <color rgb="FF000000"/>
            <rFont val="Calibri"/>
            <family val="34"/>
          </rPr>
          <t xml:space="preserve">
</t>
        </r>
        <r>
          <rPr>
            <sz val="14"/>
            <color rgb="FF000000"/>
            <rFont val="Times New Roman"/>
            <family val="18"/>
          </rPr>
          <t xml:space="preserve">15/08/1816 </t>
        </r>
        <r>
          <rPr>
            <i/>
            <sz val="14"/>
            <color rgb="FF000000"/>
            <rFont val="Times New Roman"/>
            <family val="18"/>
          </rPr>
          <t>Zum Vorbahlt Stand</t>
        </r>
        <r>
          <rPr>
            <sz val="14"/>
            <color rgb="FF000000"/>
            <rFont val="Times New Roman"/>
            <family val="18"/>
          </rPr>
          <t xml:space="preserve"> [ML 1817]</t>
        </r>
        <r>
          <rPr>
            <sz val="14"/>
            <color rgb="FF000000"/>
            <rFont val="Calibri"/>
            <family val="34"/>
          </rPr>
          <t xml:space="preserve">
</t>
        </r>
      </text>
    </comment>
    <comment ref="BG584" authorId="0" shapeId="0" xr:uid="{52923ED2-EF48-274C-9B45-C0B3041994E1}">
      <text>
        <r>
          <rPr>
            <sz val="14"/>
            <color rgb="FF000000"/>
            <rFont val="Times New Roman"/>
            <family val="18"/>
          </rPr>
          <t>ML 10.272 IR 43 (1802) – IR 43 Haupt Baumann Nr. 54 (Cattaro 28/08/1802)</t>
        </r>
        <r>
          <rPr>
            <sz val="14"/>
            <color rgb="FF000000"/>
            <rFont val="Calibri"/>
            <family val="34"/>
          </rPr>
          <t xml:space="preserve">
</t>
        </r>
        <r>
          <rPr>
            <sz val="14"/>
            <color rgb="FF000000"/>
            <rFont val="Times New Roman"/>
            <family val="18"/>
          </rPr>
          <t xml:space="preserve">ML 10.273 IR 43 (1803) – IR 43 Haupt Baumann Comp Nr. 51 (Cattaro 02/11/1803) </t>
        </r>
        <r>
          <rPr>
            <sz val="14"/>
            <color rgb="FF000000"/>
            <rFont val="Calibri"/>
            <family val="34"/>
          </rPr>
          <t xml:space="preserve">
</t>
        </r>
        <r>
          <rPr>
            <sz val="14"/>
            <color rgb="FF000000"/>
            <rFont val="Times New Roman"/>
            <family val="18"/>
          </rPr>
          <t>ML 10.274 IR 43 (1804) – Haupt Baumann Comp Nr. 49 (Theodo 05/10/1804)</t>
        </r>
        <r>
          <rPr>
            <sz val="14"/>
            <color rgb="FF000000"/>
            <rFont val="Calibri"/>
            <family val="34"/>
          </rPr>
          <t xml:space="preserve">
</t>
        </r>
        <r>
          <rPr>
            <sz val="14"/>
            <color rgb="FF000000"/>
            <rFont val="Times New Roman"/>
            <family val="18"/>
          </rPr>
          <t>ML 10.275/6 IR 43 (1805) – IR 43 12. Fus Comp Nr. 54 (Spalato 23/10/1805)</t>
        </r>
        <r>
          <rPr>
            <sz val="14"/>
            <color rgb="FF000000"/>
            <rFont val="Calibri"/>
            <family val="34"/>
          </rPr>
          <t xml:space="preserve">
</t>
        </r>
        <r>
          <rPr>
            <sz val="14"/>
            <color rgb="FF000000"/>
            <rFont val="Times New Roman"/>
            <family val="18"/>
          </rPr>
          <t>ML 10.277/8 IR 43 (1806) – IR 43 16. Fus Comp Nr. 33 (Laibach 01/12/1806)</t>
        </r>
        <r>
          <rPr>
            <sz val="14"/>
            <color rgb="FF000000"/>
            <rFont val="Calibri"/>
            <family val="34"/>
          </rPr>
          <t xml:space="preserve">
</t>
        </r>
        <r>
          <rPr>
            <sz val="14"/>
            <color rgb="FF000000"/>
            <rFont val="Times New Roman"/>
            <family val="18"/>
          </rPr>
          <t>ML 10.279 IR 43 (1808-10) – RL IR 43 16. Fus (Laibach 06/09/1808) &amp; DL 18. Fus (Vordenberg 25/02/1810)</t>
        </r>
        <r>
          <rPr>
            <sz val="14"/>
            <color rgb="FF000000"/>
            <rFont val="Calibri"/>
            <family val="34"/>
          </rPr>
          <t xml:space="preserve">
</t>
        </r>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52 (Sandomierz 31/08/1799)</t>
        </r>
        <r>
          <rPr>
            <sz val="14"/>
            <color rgb="FF000000"/>
            <rFont val="Calibri"/>
            <family val="34"/>
          </rPr>
          <t xml:space="preserve">
</t>
        </r>
        <r>
          <rPr>
            <sz val="14"/>
            <color rgb="FF000000"/>
            <rFont val="Times New Roman"/>
            <family val="18"/>
          </rPr>
          <t>ML 10.309 IR 43 (1800) – ST April (24/01/1801)</t>
        </r>
        <r>
          <rPr>
            <sz val="14"/>
            <color rgb="FF000000"/>
            <rFont val="Calibri"/>
            <family val="34"/>
          </rPr>
          <t xml:space="preserve">
</t>
        </r>
        <r>
          <rPr>
            <sz val="14"/>
            <color rgb="FF000000"/>
            <rFont val="Times New Roman"/>
            <family val="18"/>
          </rPr>
          <t>ML 10.310 IR 43 (1800) – TL IR Res Div-&gt; Feld Nr. 106 (Laibach 05/02/1800)</t>
        </r>
        <r>
          <rPr>
            <sz val="14"/>
            <color rgb="FF000000"/>
            <rFont val="Calibri"/>
            <family val="34"/>
          </rPr>
          <t xml:space="preserve">
</t>
        </r>
        <r>
          <rPr>
            <sz val="14"/>
            <color rgb="FF000000"/>
            <rFont val="Times New Roman"/>
            <family val="18"/>
          </rPr>
          <t>ML 10.312 IR 43 (1802) – ST July (15/08/1802)</t>
        </r>
        <r>
          <rPr>
            <sz val="14"/>
            <color rgb="FF000000"/>
            <rFont val="Calibri"/>
            <family val="34"/>
          </rPr>
          <t xml:space="preserve">
</t>
        </r>
        <r>
          <rPr>
            <sz val="14"/>
            <color rgb="FF000000"/>
            <rFont val="Times New Roman"/>
            <family val="18"/>
          </rPr>
          <t>ML 10.313 IR 43 (1803) – ST March (15/04/1803)</t>
        </r>
        <r>
          <rPr>
            <sz val="14"/>
            <color rgb="FF000000"/>
            <rFont val="Calibri"/>
            <family val="34"/>
          </rPr>
          <t xml:space="preserve">
</t>
        </r>
        <r>
          <rPr>
            <sz val="14"/>
            <color rgb="FF000000"/>
            <rFont val="Times New Roman"/>
            <family val="18"/>
          </rPr>
          <t>ML 10.315 IR 43 (1805) – ST Aug (15/09/1805), Sept (15/11/1805), und Nov (16/06/1806)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10.323 IR 43 (1809) – ST Februar (25/08/181), September (25/12/1810), und October (02/01/1811)</t>
        </r>
        <r>
          <rPr>
            <sz val="14"/>
            <color rgb="FF000000"/>
            <rFont val="Calibri"/>
            <family val="34"/>
          </rPr>
          <t xml:space="preserve">
</t>
        </r>
        <r>
          <rPr>
            <sz val="14"/>
            <color rgb="FF000000"/>
            <rFont val="Times New Roman"/>
            <family val="18"/>
          </rPr>
          <t>ML 10.325 IR 43 (1810) – ST Jan (01/03/1811) und March (11/03/1811)</t>
        </r>
        <r>
          <rPr>
            <sz val="14"/>
            <color rgb="FF000000"/>
            <rFont val="Calibri"/>
            <family val="34"/>
          </rPr>
          <t xml:space="preserve">
</t>
        </r>
        <r>
          <rPr>
            <sz val="14"/>
            <color rgb="FF000000"/>
            <rFont val="Times New Roman"/>
            <family val="18"/>
          </rPr>
          <t>ML 1942 IR 24 (1811) – 9. Fus Nr. 117 (Raab 21/09/1811)</t>
        </r>
        <r>
          <rPr>
            <sz val="14"/>
            <color rgb="FF000000"/>
            <rFont val="Calibri"/>
            <family val="34"/>
          </rPr>
          <t xml:space="preserve">
</t>
        </r>
        <r>
          <rPr>
            <sz val="14"/>
            <color rgb="FF000000"/>
            <rFont val="Times New Roman"/>
            <family val="18"/>
          </rPr>
          <t>ML 12.017 HFS 48 (1815) – TL IR 24-&gt;HFS 48 Nr. 5 (Grosswardein 08/06/1818); VrpfL Okt (Prague 30/03/1816)</t>
        </r>
        <r>
          <rPr>
            <sz val="14"/>
            <color rgb="FF000000"/>
            <rFont val="Calibri"/>
            <family val="34"/>
          </rPr>
          <t xml:space="preserve">
</t>
        </r>
        <r>
          <rPr>
            <sz val="14"/>
            <color rgb="FF000000"/>
            <rFont val="Times New Roman"/>
            <family val="18"/>
          </rPr>
          <t>ML 12.011 HFS 44 (1809-16) – VrpfL Sept (Colmar 10/10/1815); Verpf Feb 1816 (Karlsbach 16/03/1815)</t>
        </r>
        <r>
          <rPr>
            <sz val="14"/>
            <color rgb="FF000000"/>
            <rFont val="Calibri"/>
            <family val="34"/>
          </rPr>
          <t xml:space="preserve">
</t>
        </r>
        <r>
          <rPr>
            <sz val="14"/>
            <color rgb="FF000000"/>
            <rFont val="Times New Roman"/>
            <family val="18"/>
          </rPr>
          <t>ML 9787/8 InvH Tyrnau (1816) – 1. Chambre Nr. 233 (Tyrnau 01/05/1816)</t>
        </r>
        <r>
          <rPr>
            <sz val="14"/>
            <color rgb="FF000000"/>
            <rFont val="Calibri"/>
            <family val="34"/>
          </rPr>
          <t xml:space="preserve">
</t>
        </r>
        <r>
          <rPr>
            <sz val="14"/>
            <color rgb="FF000000"/>
            <rFont val="Times New Roman"/>
            <family val="18"/>
          </rPr>
          <t>ML 9789/90 InvH Tyrnau (1817) – 1. Chambre Abgang (Tyrnau 02/05/1817)</t>
        </r>
      </text>
    </comment>
    <comment ref="BH584" authorId="0" shapeId="0" xr:uid="{B67FF00E-50FA-3840-9F56-47B6E72D5F0B}">
      <text>
        <r>
          <rPr>
            <sz val="14"/>
            <color rgb="FF000000"/>
            <rFont val="Calibri"/>
            <family val="34"/>
          </rPr>
          <t xml:space="preserve">IR 43 (1799-1810)
</t>
        </r>
        <r>
          <rPr>
            <sz val="14"/>
            <color rgb="FF000000"/>
            <rFont val="Calibri"/>
            <family val="34"/>
          </rPr>
          <t xml:space="preserve">IR 24 (1810-1815)
</t>
        </r>
        <r>
          <rPr>
            <sz val="14"/>
            <color rgb="FF000000"/>
            <rFont val="Calibri"/>
            <family val="34"/>
          </rPr>
          <t xml:space="preserve">HFS 48 (1815)
</t>
        </r>
        <r>
          <rPr>
            <sz val="14"/>
            <color rgb="FF000000"/>
            <rFont val="Calibri"/>
            <family val="34"/>
          </rPr>
          <t xml:space="preserve">HFS 44 (1815-1816)
</t>
        </r>
        <r>
          <rPr>
            <sz val="14"/>
            <color rgb="FF000000"/>
            <rFont val="Calibri"/>
            <family val="34"/>
          </rPr>
          <t xml:space="preserve">InvH Tyrn (1816)
</t>
        </r>
      </text>
    </comment>
    <comment ref="BJ584" authorId="0" shapeId="0" xr:uid="{41E1FA1C-2ACA-F447-856F-16F78E645DBE}">
      <text>
        <r>
          <rPr>
            <i/>
            <sz val="14"/>
            <color rgb="FF000000"/>
            <rFont val="Times New Roman"/>
            <family val="18"/>
          </rPr>
          <t>Brustdefekt</t>
        </r>
        <r>
          <rPr>
            <sz val="14"/>
            <color rgb="FF000000"/>
            <rFont val="Times New Roman"/>
            <family val="18"/>
          </rPr>
          <t xml:space="preserve"> [ML 1816]</t>
        </r>
      </text>
    </comment>
    <comment ref="T585" authorId="0" shapeId="0" xr:uid="{1B52005F-7D45-9F44-9558-E12022E2A3C2}">
      <text>
        <r>
          <rPr>
            <sz val="14"/>
            <color rgb="FF000000"/>
            <rFont val="Calibri"/>
            <family val="34"/>
          </rPr>
          <t xml:space="preserve">5.0.1 (158.22 cm) [ML 1802]
</t>
        </r>
        <r>
          <rPr>
            <sz val="14"/>
            <color rgb="FF000000"/>
            <rFont val="Calibri"/>
            <family val="34"/>
          </rPr>
          <t xml:space="preserve">5.0.2 (158.44 cm) [ML 1807]
</t>
        </r>
        <r>
          <rPr>
            <sz val="14"/>
            <color rgb="FF000000"/>
            <rFont val="Calibri"/>
            <family val="34"/>
          </rPr>
          <t>5.2.2 (163.7 cm) [ML 1811]</t>
        </r>
      </text>
    </comment>
    <comment ref="BF585" authorId="0" shapeId="0" xr:uid="{75FDCBE1-FE64-3D4C-8739-F99DED1209CF}">
      <text>
        <r>
          <rPr>
            <sz val="14"/>
            <color rgb="FFFF0000"/>
            <rFont val="Times New Roman"/>
            <family val="18"/>
          </rPr>
          <t xml:space="preserve">04/08/1799 </t>
        </r>
        <r>
          <rPr>
            <i/>
            <sz val="14"/>
            <color rgb="FFFF0000"/>
            <rFont val="Times New Roman"/>
            <family val="18"/>
          </rPr>
          <t>Landständisch gestellt und gegen 3Fl Handgeld zum IR 45 assentiert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14/08/1799 </t>
        </r>
        <r>
          <rPr>
            <i/>
            <sz val="14"/>
            <color rgb="FF000000"/>
            <rFont val="Times New Roman"/>
            <family val="18"/>
          </rPr>
          <t xml:space="preserve">Von galizischen Ständen gestellt und in Cracau West Galizien a 3Fl Handgeld assentiert zu IR 23 Reserve Division assentiert, ab ieusdem und bis 27. Sept auf Auswärtiger Verpflegung auf Anmarsch von Galizien </t>
        </r>
        <r>
          <rPr>
            <sz val="14"/>
            <color rgb="FF000000"/>
            <rFont val="Times New Roman"/>
            <family val="18"/>
          </rPr>
          <t>[ML 1802 &amp; ST Sept 1799]</t>
        </r>
        <r>
          <rPr>
            <sz val="14"/>
            <color rgb="FF000000"/>
            <rFont val="Calibri"/>
            <family val="34"/>
          </rPr>
          <t xml:space="preserve">
</t>
        </r>
        <r>
          <rPr>
            <sz val="14"/>
            <color rgb="FF000000"/>
            <rFont val="Times New Roman"/>
            <family val="18"/>
          </rPr>
          <t xml:space="preserve">28/09/1799 </t>
        </r>
        <r>
          <rPr>
            <i/>
            <sz val="14"/>
            <color rgb="FF000000"/>
            <rFont val="Times New Roman"/>
            <family val="18"/>
          </rPr>
          <t>Ins Reserve Division eingerückt und seitdem mit Geld und seit 27.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09/09/1802 Muster: IR 23 Haupt von Wolff Komp. Nr. 77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von Wolff Komp. Nr. 68 [</t>
        </r>
        <r>
          <rPr>
            <i/>
            <sz val="14"/>
            <color rgb="FF000000"/>
            <rFont val="Times New Roman"/>
            <family val="18"/>
          </rPr>
          <t>In seinem Geburtsort beurlaubt in Galizien</t>
        </r>
        <r>
          <rPr>
            <sz val="14"/>
            <color rgb="FF000000"/>
            <rFont val="Times New Roman"/>
            <family val="18"/>
          </rPr>
          <t>]</t>
        </r>
        <r>
          <rPr>
            <sz val="14"/>
            <color rgb="FF000000"/>
            <rFont val="Calibri"/>
            <family val="34"/>
          </rPr>
          <t xml:space="preserve">
</t>
        </r>
        <r>
          <rPr>
            <sz val="14"/>
            <color rgb="FF000000"/>
            <rFont val="Times New Roman"/>
            <family val="18"/>
          </rPr>
          <t>06/09/1804 Muster: IR 23 Haupt von Wolff Komp. Nr. 65 [</t>
        </r>
        <r>
          <rPr>
            <i/>
            <sz val="14"/>
            <color rgb="FF000000"/>
            <rFont val="Times New Roman"/>
            <family val="18"/>
          </rPr>
          <t>Bis zur Einberufung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 xml:space="preserve">13/11/1805 </t>
        </r>
        <r>
          <rPr>
            <i/>
            <sz val="14"/>
            <color rgb="FF000000"/>
            <rFont val="Times New Roman"/>
            <family val="18"/>
          </rPr>
          <t>In Hauptspital in Wien in Kriegsgefangenschaft gefallen</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06/06/1806 </t>
        </r>
        <r>
          <rPr>
            <i/>
            <sz val="14"/>
            <color rgb="FF000000"/>
            <rFont val="Times New Roman"/>
            <family val="18"/>
          </rPr>
          <t>Ranzioniert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22/01/1807 Muster: IR 23 CaptLt Wachetich Komp. Nr. 154 </t>
        </r>
        <r>
          <rPr>
            <sz val="14"/>
            <color rgb="FF000000"/>
            <rFont val="Calibri"/>
            <family val="34"/>
          </rPr>
          <t xml:space="preserve">
</t>
        </r>
        <r>
          <rPr>
            <sz val="14"/>
            <color rgb="FF000000"/>
            <rFont val="Times New Roman"/>
            <family val="18"/>
          </rPr>
          <t xml:space="preserve">01/06/1808 </t>
        </r>
        <r>
          <rPr>
            <i/>
            <sz val="14"/>
            <color rgb="FF000000"/>
            <rFont val="Times New Roman"/>
            <family val="18"/>
          </rPr>
          <t>Von CaptLt Vuchetich zum Haupt Pappius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23/09/1808 Revision: IR 23 Haupt Pappius Komp. Nr. 184 [RL 1808]</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GH Würzburg Inf. Regiment Nr. 23 zum IR 44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21/08/1810 </t>
        </r>
        <r>
          <rPr>
            <i/>
            <sz val="14"/>
            <color rgb="FF000000"/>
            <rFont val="Times New Roman"/>
            <family val="18"/>
          </rPr>
          <t>Von. 14. zum. 10.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29/09/1810 Revision: 10. Fus. Komp. Nr. 241 [</t>
        </r>
        <r>
          <rPr>
            <i/>
            <sz val="14"/>
            <color rgb="FF000000"/>
            <rFont val="Times New Roman"/>
            <family val="18"/>
          </rPr>
          <t>Kommandiert zu, Feldspital in Raab</t>
        </r>
        <r>
          <rPr>
            <sz val="14"/>
            <color rgb="FF000000"/>
            <rFont val="Times New Roman"/>
            <family val="18"/>
          </rPr>
          <t>]</t>
        </r>
        <r>
          <rPr>
            <sz val="14"/>
            <color rgb="FF000000"/>
            <rFont val="Calibri"/>
            <family val="34"/>
          </rPr>
          <t xml:space="preserve">
</t>
        </r>
        <r>
          <rPr>
            <sz val="14"/>
            <color rgb="FF000000"/>
            <rFont val="Times New Roman"/>
            <family val="18"/>
          </rPr>
          <t>20/09/1811 Muster: IR 44 10. Fus. Komp. Nr. 177 [</t>
        </r>
        <r>
          <rPr>
            <i/>
            <sz val="14"/>
            <color rgb="FF000000"/>
            <rFont val="Times New Roman"/>
            <family val="18"/>
          </rPr>
          <t>Beurlaubt bis zur Einberufung zu Koschitz in Gallizien</t>
        </r>
        <r>
          <rPr>
            <sz val="14"/>
            <color rgb="FF000000"/>
            <rFont val="Times New Roman"/>
            <family val="18"/>
          </rPr>
          <t>]</t>
        </r>
        <r>
          <rPr>
            <sz val="14"/>
            <color rgb="FF000000"/>
            <rFont val="Calibri"/>
            <family val="34"/>
          </rPr>
          <t xml:space="preserve">
</t>
        </r>
        <r>
          <rPr>
            <sz val="14"/>
            <color rgb="FF000000"/>
            <rFont val="Times New Roman"/>
            <family val="18"/>
          </rPr>
          <t>19/09/1812 Revision: IR 44 10. Fus. Komp. Nr. 115</t>
        </r>
        <r>
          <rPr>
            <sz val="14"/>
            <color rgb="FF000000"/>
            <rFont val="Calibri"/>
            <family val="34"/>
          </rPr>
          <t xml:space="preserve">
</t>
        </r>
      </text>
    </comment>
    <comment ref="BG585" authorId="0" shapeId="0" xr:uid="{837DB0DC-5F86-3543-B048-C02209A5C95D}">
      <text>
        <r>
          <rPr>
            <sz val="14"/>
            <color rgb="FF000000"/>
            <rFont val="Times New Roman"/>
            <family val="18"/>
          </rPr>
          <t>ML 10.124 IR 23 (1802) – Haupt Wolff Komp. Nr. 77 (Krems 09/09/1802)</t>
        </r>
        <r>
          <rPr>
            <sz val="14"/>
            <color rgb="FF000000"/>
            <rFont val="Calibri"/>
            <family val="34"/>
          </rPr>
          <t xml:space="preserve">
</t>
        </r>
        <r>
          <rPr>
            <sz val="14"/>
            <color rgb="FF000000"/>
            <rFont val="Times New Roman"/>
            <family val="18"/>
          </rPr>
          <t>ML 10.125 IR 23 (1803) – 2. Major Komp. Nr. 68 (Krems 07/09/1803)</t>
        </r>
        <r>
          <rPr>
            <sz val="14"/>
            <color rgb="FF000000"/>
            <rFont val="Calibri"/>
            <family val="34"/>
          </rPr>
          <t xml:space="preserve">
</t>
        </r>
        <r>
          <rPr>
            <sz val="14"/>
            <color rgb="FF000000"/>
            <rFont val="Times New Roman"/>
            <family val="18"/>
          </rPr>
          <t>ML 10.126 IR 23 (1804) – 2. Major Komp. Nr. 68 (Krems 06/09/1804)</t>
        </r>
        <r>
          <rPr>
            <sz val="14"/>
            <color rgb="FF000000"/>
            <rFont val="Calibri"/>
            <family val="34"/>
          </rPr>
          <t xml:space="preserve">
</t>
        </r>
        <r>
          <rPr>
            <sz val="14"/>
            <color rgb="FF000000"/>
            <rFont val="Times New Roman"/>
            <family val="18"/>
          </rPr>
          <t>ML 10.127/8 IR 23 (1807) – CaptLt Wachetich Komp. Nr 154 (Rötz 26/01/1807)</t>
        </r>
        <r>
          <rPr>
            <sz val="14"/>
            <color rgb="FF000000"/>
            <rFont val="Calibri"/>
            <family val="34"/>
          </rPr>
          <t xml:space="preserve">
</t>
        </r>
        <r>
          <rPr>
            <sz val="14"/>
            <color rgb="FF000000"/>
            <rFont val="Times New Roman"/>
            <family val="18"/>
          </rPr>
          <t>ML 10.129 IR 23 (1808) – Haupt Pappius Komp. Nr. 184 (Zamosc 23/09/1808)</t>
        </r>
        <r>
          <rPr>
            <sz val="14"/>
            <color rgb="FF000000"/>
            <rFont val="Calibri"/>
            <family val="34"/>
          </rPr>
          <t xml:space="preserve">
</t>
        </r>
        <r>
          <rPr>
            <sz val="14"/>
            <color rgb="FF000000"/>
            <rFont val="Times New Roman"/>
            <family val="18"/>
          </rPr>
          <t>ML 10.164 IR 23 (1799) – ST Sept (01/04/1801)</t>
        </r>
        <r>
          <rPr>
            <sz val="14"/>
            <color rgb="FF000000"/>
            <rFont val="Calibri"/>
            <family val="34"/>
          </rPr>
          <t xml:space="preserve">
</t>
        </r>
        <r>
          <rPr>
            <sz val="14"/>
            <color rgb="FF000000"/>
            <rFont val="Times New Roman"/>
            <family val="18"/>
          </rPr>
          <t>ML 3911 IR 44 (1808-10) – 10 Fus. Komp. Nr. 241 (Papa 29/09/1810)</t>
        </r>
        <r>
          <rPr>
            <sz val="14"/>
            <color rgb="FF000000"/>
            <rFont val="Calibri"/>
            <family val="34"/>
          </rPr>
          <t xml:space="preserve">
</t>
        </r>
        <r>
          <rPr>
            <sz val="14"/>
            <color rgb="FF000000"/>
            <rFont val="Times New Roman"/>
            <family val="18"/>
          </rPr>
          <t>ML 3912-3 IR 44 (1811) – 10. Fus. Komp. Nr. 177 (Sthulweissenburg 20/09/1811)</t>
        </r>
        <r>
          <rPr>
            <sz val="14"/>
            <color rgb="FF000000"/>
            <rFont val="Calibri"/>
            <family val="34"/>
          </rPr>
          <t xml:space="preserve">
</t>
        </r>
        <r>
          <rPr>
            <sz val="14"/>
            <color rgb="FF000000"/>
            <rFont val="Times New Roman"/>
            <family val="18"/>
          </rPr>
          <t>ML 3914 IR 44 (1812/6) – 10. Fus. Komp. Nr. 115 (Pest 19/09/1812)</t>
        </r>
        <r>
          <rPr>
            <sz val="14"/>
            <color rgb="FF000000"/>
            <rFont val="Calibri"/>
            <family val="34"/>
          </rPr>
          <t xml:space="preserve">
</t>
        </r>
      </text>
    </comment>
    <comment ref="BH585" authorId="0" shapeId="0" xr:uid="{2BE15DE2-1D3B-F344-9BAB-70AAE737D8BB}">
      <text>
        <r>
          <rPr>
            <sz val="14"/>
            <color rgb="FF000000"/>
            <rFont val="Calibri"/>
            <family val="34"/>
          </rPr>
          <t xml:space="preserve">IR 23 (1799-1810)
</t>
        </r>
        <r>
          <rPr>
            <sz val="14"/>
            <color rgb="FF000000"/>
            <rFont val="Calibri"/>
            <family val="34"/>
          </rPr>
          <t>IR 44 (1810-1812)</t>
        </r>
      </text>
    </comment>
    <comment ref="BF586" authorId="0" shapeId="0" xr:uid="{9A4D7BE3-B47A-0C41-98C7-FA607BCA75A2}">
      <text>
        <r>
          <rPr>
            <sz val="14"/>
            <color rgb="FF000000"/>
            <rFont val="Times New Roman"/>
            <family val="18"/>
          </rPr>
          <t xml:space="preserve">14/08/1799 </t>
        </r>
        <r>
          <rPr>
            <i/>
            <sz val="14"/>
            <color rgb="FF000000"/>
            <rFont val="Times New Roman"/>
            <family val="18"/>
          </rPr>
          <t>Von galizischen Ständen gestellt und a 3Fl Handgeld zum Krakau in IR 23 Reserve Division assentiert; seitdem auf anhero Marsch mit auswärtiger Verpflegung</t>
        </r>
        <r>
          <rPr>
            <sz val="14"/>
            <color rgb="FF000000"/>
            <rFont val="Times New Roman"/>
            <family val="18"/>
          </rPr>
          <t xml:space="preserve"> [ST Sept 1799&amp; ML 1802]</t>
        </r>
        <r>
          <rPr>
            <sz val="14"/>
            <color rgb="FF000000"/>
            <rFont val="Calibri"/>
            <family val="34"/>
          </rPr>
          <t xml:space="preserve">
</t>
        </r>
        <r>
          <rPr>
            <sz val="14"/>
            <color rgb="FF000000"/>
            <rFont val="Times New Roman"/>
            <family val="18"/>
          </rPr>
          <t xml:space="preserve">28/09/1799 </t>
        </r>
        <r>
          <rPr>
            <i/>
            <sz val="14"/>
            <color rgb="FF000000"/>
            <rFont val="Times New Roman"/>
            <family val="18"/>
          </rPr>
          <t>Ist eingerückt in die Reserve Division und seitdem mit Geld und seit 27.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der Reserve Division zum Haupt Young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Young Nr. 144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Young Nr. 122</t>
        </r>
        <r>
          <rPr>
            <sz val="14"/>
            <color rgb="FF000000"/>
            <rFont val="Calibri"/>
            <family val="34"/>
          </rPr>
          <t xml:space="preserve">
</t>
        </r>
        <r>
          <rPr>
            <sz val="14"/>
            <color rgb="FF000000"/>
            <rFont val="Times New Roman"/>
            <family val="18"/>
          </rPr>
          <t>06/09/1804 Muster: IR 23 Haupt Young Nr. 116 [</t>
        </r>
        <r>
          <rPr>
            <i/>
            <sz val="14"/>
            <color rgb="FF000000"/>
            <rFont val="Times New Roman"/>
            <family val="18"/>
          </rPr>
          <t>Bis zur Exercierzeit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June 1806]</t>
        </r>
        <r>
          <rPr>
            <sz val="14"/>
            <color rgb="FF000000"/>
            <rFont val="Calibri"/>
            <family val="2"/>
          </rPr>
          <t xml:space="preserve"> </t>
        </r>
      </text>
    </comment>
    <comment ref="BG586" authorId="0" shapeId="0" xr:uid="{153A5304-A0DF-AC40-ABF7-CB7F3E2639A9}">
      <text>
        <r>
          <rPr>
            <sz val="14"/>
            <color rgb="FF000000"/>
            <rFont val="Times New Roman"/>
            <family val="18"/>
          </rPr>
          <t>ML 10.124 IR 23 (1802) – Haupt Young Komp. Nr. 144 (Krems 09/09/1802)</t>
        </r>
        <r>
          <rPr>
            <sz val="14"/>
            <color rgb="FF000000"/>
            <rFont val="Calibri"/>
            <family val="34"/>
          </rPr>
          <t xml:space="preserve">
</t>
        </r>
        <r>
          <rPr>
            <sz val="14"/>
            <color rgb="FF000000"/>
            <rFont val="Times New Roman"/>
            <family val="18"/>
          </rPr>
          <t>ML 10.125 IR 23 (1803) – Haupt Young Komp. Nr. 122 (Execierlager bei St Pölten 07/09/1803)</t>
        </r>
        <r>
          <rPr>
            <sz val="14"/>
            <color rgb="FF000000"/>
            <rFont val="Calibri"/>
            <family val="34"/>
          </rPr>
          <t xml:space="preserve">
</t>
        </r>
        <r>
          <rPr>
            <sz val="14"/>
            <color rgb="FF000000"/>
            <rFont val="Times New Roman"/>
            <family val="18"/>
          </rPr>
          <t>ML 10.126 IR 23 (1804) – Haupt Young Komp. Nr. 116 (Krems 06/09/1804)</t>
        </r>
        <r>
          <rPr>
            <sz val="14"/>
            <color rgb="FF000000"/>
            <rFont val="Calibri"/>
            <family val="34"/>
          </rPr>
          <t xml:space="preserve">
</t>
        </r>
        <r>
          <rPr>
            <sz val="14"/>
            <color rgb="FF000000"/>
            <rFont val="Times New Roman"/>
            <family val="18"/>
          </rPr>
          <t>ML 10.127/8 IR 23 (1807) – Haupt Young Abgang (Korneuburg 24/01/1807)</t>
        </r>
        <r>
          <rPr>
            <sz val="14"/>
            <color rgb="FF000000"/>
            <rFont val="Calibri"/>
            <family val="34"/>
          </rPr>
          <t xml:space="preserve">
</t>
        </r>
        <r>
          <rPr>
            <sz val="14"/>
            <color rgb="FF000000"/>
            <rFont val="Times New Roman"/>
            <family val="18"/>
          </rPr>
          <t>ML 10.164 IR 23 (1799) – Sept (01/04/1801)</t>
        </r>
        <r>
          <rPr>
            <sz val="14"/>
            <color rgb="FF000000"/>
            <rFont val="Calibri"/>
            <family val="34"/>
          </rPr>
          <t xml:space="preserve">
</t>
        </r>
      </text>
    </comment>
    <comment ref="BH586" authorId="0" shapeId="0" xr:uid="{D84F1F6C-A372-CB46-B521-EE58FBB14F09}">
      <text>
        <r>
          <rPr>
            <sz val="14"/>
            <color rgb="FF000000"/>
            <rFont val="Calibri"/>
            <family val="34"/>
          </rPr>
          <t>IR 23 (1799-1806)</t>
        </r>
      </text>
    </comment>
    <comment ref="I587" authorId="0" shapeId="0" xr:uid="{5374A772-B0E9-B943-A3D9-2736AFADF3D8}">
      <text>
        <r>
          <rPr>
            <sz val="14"/>
            <color rgb="FF000000"/>
            <rFont val="Calibri"/>
            <family val="34"/>
          </rPr>
          <t xml:space="preserve">1779 [20 (AL 1799)] 
</t>
        </r>
        <r>
          <rPr>
            <sz val="14"/>
            <color rgb="FF000000"/>
            <rFont val="Calibri"/>
            <family val="34"/>
          </rPr>
          <t xml:space="preserve">OR
</t>
        </r>
        <r>
          <rPr>
            <sz val="14"/>
            <color rgb="FF000000"/>
            <rFont val="Calibri"/>
            <family val="34"/>
          </rPr>
          <t xml:space="preserve">1780 [23 (ML 1803) </t>
        </r>
      </text>
    </comment>
    <comment ref="T587" authorId="0" shapeId="0" xr:uid="{21F22530-890A-1F48-B2DE-5A170E9D3A21}">
      <text>
        <r>
          <rPr>
            <b/>
            <sz val="14"/>
            <color rgb="FF000000"/>
            <rFont val="Calibri"/>
            <family val="34"/>
          </rPr>
          <t xml:space="preserve">5.1.2 (161.08 cm) [AL 1797]
</t>
        </r>
        <r>
          <rPr>
            <sz val="14"/>
            <color rgb="FF000000"/>
            <rFont val="Calibri"/>
            <family val="34"/>
          </rPr>
          <t>5.3.3 (166.55 cm) [ML 1803]</t>
        </r>
      </text>
    </comment>
    <comment ref="BF587" authorId="0" shapeId="0" xr:uid="{21BB1AB6-9CA0-E147-A193-F4447F773D9B}">
      <text>
        <r>
          <rPr>
            <sz val="14"/>
            <color rgb="FF000000"/>
            <rFont val="Times New Roman"/>
            <family val="18"/>
          </rPr>
          <t xml:space="preserve">16/08/1799 </t>
        </r>
        <r>
          <rPr>
            <i/>
            <sz val="14"/>
            <color rgb="FF000000"/>
            <rFont val="Times New Roman"/>
            <family val="18"/>
          </rPr>
          <t>Zu Olmütz assentiert</t>
        </r>
        <r>
          <rPr>
            <sz val="14"/>
            <color rgb="FF000000"/>
            <rFont val="Times New Roman"/>
            <family val="18"/>
          </rPr>
          <t xml:space="preserve"> [TL Nov 1799]</t>
        </r>
        <r>
          <rPr>
            <sz val="14"/>
            <color rgb="FF000000"/>
            <rFont val="Calibri"/>
            <family val="34"/>
          </rPr>
          <t xml:space="preserve">
</t>
        </r>
        <r>
          <rPr>
            <sz val="14"/>
            <color rgb="FF000000"/>
            <rFont val="Times New Roman"/>
            <family val="18"/>
          </rPr>
          <t xml:space="preserve">21/11/1799 </t>
        </r>
        <r>
          <rPr>
            <i/>
            <sz val="14"/>
            <color rgb="FF000000"/>
            <rFont val="Times New Roman"/>
            <family val="18"/>
          </rPr>
          <t>Von IR 7 4. Bat. Major von Simics 1. Komp. zum IR 1 Feld Bats transferiert und zum Haupt Sanor Komp eingeteilt</t>
        </r>
        <r>
          <rPr>
            <sz val="14"/>
            <color rgb="FF000000"/>
            <rFont val="Times New Roman"/>
            <family val="18"/>
          </rPr>
          <t xml:space="preserve"> [TL Nov 1799]</t>
        </r>
        <r>
          <rPr>
            <sz val="14"/>
            <color rgb="FF000000"/>
            <rFont val="Calibri"/>
            <family val="34"/>
          </rPr>
          <t xml:space="preserve">
</t>
        </r>
        <r>
          <rPr>
            <sz val="14"/>
            <color rgb="FF000000"/>
            <rFont val="Times New Roman"/>
            <family val="18"/>
          </rPr>
          <t>13/09/1803 Muster: IR 1 Haupt Fölseis Komp. Nr. 80 [</t>
        </r>
        <r>
          <rPr>
            <i/>
            <sz val="14"/>
            <color rgb="FF000000"/>
            <rFont val="Times New Roman"/>
            <family val="18"/>
          </rPr>
          <t>Beurlaubt bis zur Exercierszeit in Cznochoschow in Galizien</t>
        </r>
        <r>
          <rPr>
            <sz val="14"/>
            <color rgb="FF000000"/>
            <rFont val="Times New Roman"/>
            <family val="18"/>
          </rPr>
          <t>]</t>
        </r>
        <r>
          <rPr>
            <sz val="14"/>
            <color rgb="FF000000"/>
            <rFont val="Calibri"/>
            <family val="34"/>
          </rPr>
          <t xml:space="preserve">
</t>
        </r>
        <r>
          <rPr>
            <sz val="14"/>
            <color rgb="FF000000"/>
            <rFont val="Times New Roman"/>
            <family val="18"/>
          </rPr>
          <t>13/08/1804 Muster: IR 1 Haupt Fölseis Komp. Nr. 63 [</t>
        </r>
        <r>
          <rPr>
            <i/>
            <sz val="14"/>
            <color rgb="FF000000"/>
            <rFont val="Times New Roman"/>
            <family val="18"/>
          </rPr>
          <t>Auf dem Marsche ins West Galizien</t>
        </r>
        <r>
          <rPr>
            <sz val="14"/>
            <color rgb="FF000000"/>
            <rFont val="Times New Roman"/>
            <family val="18"/>
          </rPr>
          <t>]</t>
        </r>
        <r>
          <rPr>
            <sz val="14"/>
            <color rgb="FF000000"/>
            <rFont val="Calibri"/>
            <family val="34"/>
          </rPr>
          <t xml:space="preserve">
</t>
        </r>
        <r>
          <rPr>
            <sz val="14"/>
            <color rgb="FF000000"/>
            <rFont val="Times New Roman"/>
            <family val="18"/>
          </rPr>
          <t xml:space="preserve">In 11/1805 </t>
        </r>
        <r>
          <rPr>
            <i/>
            <sz val="14"/>
            <color rgb="FF000000"/>
            <rFont val="Times New Roman"/>
            <family val="18"/>
          </rPr>
          <t>Seit unbewusste Datum von Urlaub desertiert</t>
        </r>
        <r>
          <rPr>
            <sz val="14"/>
            <color rgb="FF000000"/>
            <rFont val="Times New Roman"/>
            <family val="18"/>
          </rPr>
          <t xml:space="preserve"> [ML 1806]</t>
        </r>
        <r>
          <rPr>
            <sz val="14"/>
            <color rgb="FF000000"/>
            <rFont val="Calibri"/>
            <family val="34"/>
          </rPr>
          <t xml:space="preserve">
</t>
        </r>
      </text>
    </comment>
    <comment ref="BG587" authorId="0" shapeId="0" xr:uid="{136715D7-212D-7941-807E-5006F65EC18D}">
      <text>
        <r>
          <rPr>
            <sz val="14"/>
            <color rgb="FF000000"/>
            <rFont val="Times New Roman"/>
            <family val="18"/>
          </rPr>
          <t>ML 29 IR 1 (1803) – Haupt Fölseis Komp. Nr. 80 (</t>
        </r>
        <r>
          <rPr>
            <sz val="14"/>
            <color rgb="FF000000"/>
            <rFont val="Times New Roman"/>
            <family val="18"/>
          </rPr>
          <t>Karthaus nächst Brünn 13/09/1803)</t>
        </r>
        <r>
          <rPr>
            <sz val="14"/>
            <color rgb="FF000000"/>
            <rFont val="Calibri"/>
            <family val="34"/>
          </rPr>
          <t xml:space="preserve">
</t>
        </r>
        <r>
          <rPr>
            <sz val="14"/>
            <color rgb="FF000000"/>
            <rFont val="Times New Roman"/>
            <family val="18"/>
          </rPr>
          <t>ML 30 IR 1 (1804) – Haupt Fölseis Komp. Nr. 63 (</t>
        </r>
        <r>
          <rPr>
            <sz val="14"/>
            <color rgb="FF000000"/>
            <rFont val="Times New Roman"/>
            <family val="18"/>
          </rPr>
          <t>Olmütz 13/08/1804)</t>
        </r>
        <r>
          <rPr>
            <sz val="14"/>
            <color rgb="FF000000"/>
            <rFont val="Calibri"/>
            <family val="34"/>
          </rPr>
          <t xml:space="preserve">
</t>
        </r>
        <r>
          <rPr>
            <sz val="14"/>
            <color rgb="FF000000"/>
            <rFont val="Times New Roman"/>
            <family val="18"/>
          </rPr>
          <t>ML 31/2 IR 1 (1806) – Haupt Gutwill Komp. Abgang (Brünn 15/12/1806)</t>
        </r>
        <r>
          <rPr>
            <sz val="14"/>
            <color rgb="FF000000"/>
            <rFont val="Calibri"/>
            <family val="34"/>
          </rPr>
          <t xml:space="preserve">
</t>
        </r>
        <r>
          <rPr>
            <sz val="14"/>
            <color rgb="FF000000"/>
            <rFont val="Times New Roman"/>
            <family val="18"/>
          </rPr>
          <t>ML 73 IR 1 (1799) AL/TL – TL IR 7-&gt;IR 1 Nr. 16 (Olmütz 22/11/1799)</t>
        </r>
        <r>
          <rPr>
            <sz val="14"/>
            <color rgb="FF000000"/>
            <rFont val="Calibri"/>
            <family val="34"/>
          </rPr>
          <t xml:space="preserve">
</t>
        </r>
      </text>
    </comment>
    <comment ref="BH587" authorId="0" shapeId="0" xr:uid="{C3E8EE77-7003-A542-8C87-3A134258FE24}">
      <text>
        <r>
          <rPr>
            <sz val="14"/>
            <color rgb="FF000000"/>
            <rFont val="Calibri"/>
            <family val="34"/>
          </rPr>
          <t xml:space="preserve">IR 7 (1799)
</t>
        </r>
        <r>
          <rPr>
            <sz val="14"/>
            <color rgb="FF000000"/>
            <rFont val="Calibri"/>
            <family val="34"/>
          </rPr>
          <t>IR 1 (1799-1805)</t>
        </r>
      </text>
    </comment>
    <comment ref="BI587" authorId="0" shapeId="0" xr:uid="{19A3A6F4-7980-A24F-901F-5F31095D0261}">
      <text>
        <r>
          <rPr>
            <sz val="14"/>
            <color rgb="FF000000"/>
            <rFont val="Calibri"/>
            <family val="34"/>
          </rPr>
          <t>Gut [TL Nov 1799]</t>
        </r>
      </text>
    </comment>
    <comment ref="BF588" authorId="0" shapeId="0" xr:uid="{87212839-C065-AF44-850A-E347D3ACDE44}">
      <text>
        <r>
          <rPr>
            <sz val="14"/>
            <color rgb="FFFF0000"/>
            <rFont val="Times New Roman"/>
            <family val="18"/>
          </rPr>
          <t xml:space="preserve">??/08/1799 </t>
        </r>
        <r>
          <rPr>
            <i/>
            <sz val="14"/>
            <color rgb="FFFF0000"/>
            <rFont val="Times New Roman"/>
            <family val="18"/>
          </rPr>
          <t>A 3Fl auf Beständig assentiert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Ständen a 3Fl assentiert und seitdem auf anhero Marsch mit Friedensgebühr</t>
        </r>
        <r>
          <rPr>
            <sz val="14"/>
            <color rgb="FF000000"/>
            <rFont val="Times New Roman"/>
            <family val="18"/>
          </rPr>
          <t xml:space="preserve"> [ML 1804 &amp; ST Nov 1802]</t>
        </r>
        <r>
          <rPr>
            <sz val="14"/>
            <color rgb="FF000000"/>
            <rFont val="Calibri"/>
            <family val="34"/>
          </rPr>
          <t xml:space="preserve">
</t>
        </r>
        <r>
          <rPr>
            <sz val="14"/>
            <color rgb="FF000000"/>
            <rFont val="Times New Roman"/>
            <family val="18"/>
          </rPr>
          <t xml:space="preserve">??/10/1799 </t>
        </r>
        <r>
          <rPr>
            <i/>
            <sz val="14"/>
            <color rgb="FF000000"/>
            <rFont val="Times New Roman"/>
            <family val="18"/>
          </rPr>
          <t>In Reserve Division eingerückt</t>
        </r>
        <r>
          <rPr>
            <sz val="14"/>
            <color rgb="FF000000"/>
            <rFont val="Calibri"/>
            <family val="34"/>
          </rPr>
          <t xml:space="preserve">
</t>
        </r>
        <r>
          <rPr>
            <sz val="14"/>
            <color rgb="FF000000"/>
            <rFont val="Times New Roman"/>
            <family val="18"/>
          </rPr>
          <t xml:space="preserve">29/07/1800 </t>
        </r>
        <r>
          <rPr>
            <i/>
            <sz val="14"/>
            <color rgb="FF000000"/>
            <rFont val="Times New Roman"/>
            <family val="18"/>
          </rPr>
          <t>Krank auswärts mit Friedensgebühr</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05/08/1800 </t>
        </r>
        <r>
          <rPr>
            <i/>
            <sz val="14"/>
            <color rgb="FF000000"/>
            <rFont val="Times New Roman"/>
            <family val="18"/>
          </rPr>
          <t>Rekonvalesziert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10/08/1800 </t>
        </r>
        <r>
          <rPr>
            <i/>
            <sz val="14"/>
            <color rgb="FF000000"/>
            <rFont val="Times New Roman"/>
            <family val="18"/>
          </rPr>
          <t>Krank auswärts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Rekonvalesziert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Basta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Dietrich Comp zum IR 44 transferiert und zur Avignonesi Komp. eingeheilt </t>
        </r>
        <r>
          <rPr>
            <sz val="14"/>
            <color rgb="FF000000"/>
            <rFont val="Times New Roman"/>
            <family val="18"/>
          </rPr>
          <t>[TL Juli 1802]</t>
        </r>
        <r>
          <rPr>
            <sz val="14"/>
            <color rgb="FF000000"/>
            <rFont val="Calibri"/>
            <family val="34"/>
          </rPr>
          <t xml:space="preserve">
</t>
        </r>
        <r>
          <rPr>
            <sz val="14"/>
            <color rgb="FF000000"/>
            <rFont val="Times New Roman"/>
            <family val="18"/>
          </rPr>
          <t>19/09/1803 Muster: IR 44 Haupt Avignonesi Nr. 95 [</t>
        </r>
        <r>
          <rPr>
            <i/>
            <sz val="14"/>
            <color rgb="FF000000"/>
            <rFont val="Times New Roman"/>
            <family val="18"/>
          </rPr>
          <t>Auf Cordon’s commando zu Lonigo</t>
        </r>
        <r>
          <rPr>
            <sz val="14"/>
            <color rgb="FF000000"/>
            <rFont val="Times New Roman"/>
            <family val="18"/>
          </rPr>
          <t xml:space="preserve"> </t>
        </r>
        <r>
          <rPr>
            <b/>
            <sz val="14"/>
            <color rgb="FF000000"/>
            <rFont val="Times New Roman"/>
            <family val="18"/>
          </rPr>
          <t>[</t>
        </r>
        <r>
          <rPr>
            <b/>
            <u/>
            <sz val="14"/>
            <color rgb="FF0563C1"/>
            <rFont val="Times New Roman"/>
            <family val="18"/>
          </rPr>
          <t>Lonigo, Italy</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12/05/1804 Muster: IR 44 Haupt Avignonesi Nr. 90 [</t>
        </r>
        <r>
          <rPr>
            <i/>
            <sz val="14"/>
            <color rgb="FF000000"/>
            <rFont val="Times New Roman"/>
            <family val="18"/>
          </rPr>
          <t>Commandiert zu Lanigo</t>
        </r>
        <r>
          <rPr>
            <sz val="14"/>
            <color rgb="FF000000"/>
            <rFont val="Times New Roman"/>
            <family val="18"/>
          </rPr>
          <t>]</t>
        </r>
        <r>
          <rPr>
            <sz val="14"/>
            <color rgb="FF000000"/>
            <rFont val="Calibri"/>
            <family val="34"/>
          </rPr>
          <t xml:space="preserve">
</t>
        </r>
        <r>
          <rPr>
            <sz val="14"/>
            <color rgb="FF000000"/>
            <rFont val="Times New Roman"/>
            <family val="18"/>
          </rPr>
          <t>10/12/1806 Muster: IR 44 Haupt Menze Komp. Nr. 49</t>
        </r>
        <r>
          <rPr>
            <sz val="14"/>
            <color rgb="FF000000"/>
            <rFont val="Calibri"/>
            <family val="34"/>
          </rPr>
          <t xml:space="preserve">
</t>
        </r>
        <r>
          <rPr>
            <sz val="14"/>
            <color rgb="FF000000"/>
            <rFont val="Times New Roman"/>
            <family val="18"/>
          </rPr>
          <t xml:space="preserve">16/02/1807 </t>
        </r>
        <r>
          <rPr>
            <i/>
            <sz val="14"/>
            <color rgb="FF000000"/>
            <rFont val="Times New Roman"/>
            <family val="18"/>
          </rPr>
          <t>In Regiment Spital zu Fiume gestorben</t>
        </r>
        <r>
          <rPr>
            <sz val="14"/>
            <color rgb="FF000000"/>
            <rFont val="Times New Roman"/>
            <family val="18"/>
          </rPr>
          <t xml:space="preserve"> [ML 1808]</t>
        </r>
        <r>
          <rPr>
            <sz val="14"/>
            <color rgb="FF000000"/>
            <rFont val="Calibri"/>
            <family val="34"/>
          </rPr>
          <t xml:space="preserve">
</t>
        </r>
      </text>
    </comment>
    <comment ref="BG588" authorId="0" shapeId="0" xr:uid="{A75CEA4B-AF49-FA44-A997-20EDB9D9AFDA}">
      <text>
        <r>
          <rPr>
            <sz val="14"/>
            <color rgb="FF000000"/>
            <rFont val="Times New Roman"/>
            <family val="18"/>
          </rPr>
          <t>ML 10.309 IR 43 (1800) – ST Juli (24/10/1803), Aug (27/12/1803), Sept (31/01/1804),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Nr 95 (Venice 19/09/1803)</t>
        </r>
        <r>
          <rPr>
            <sz val="14"/>
            <color rgb="FF000000"/>
            <rFont val="Calibri"/>
            <family val="34"/>
          </rPr>
          <t xml:space="preserve">
</t>
        </r>
        <r>
          <rPr>
            <sz val="14"/>
            <color rgb="FF000000"/>
            <rFont val="Times New Roman"/>
            <family val="18"/>
          </rPr>
          <t>ML 3909 IR 44 (1804) – Haupt Avignonesi Komp. Nr 90 (Venice 12/05/1804)</t>
        </r>
        <r>
          <rPr>
            <sz val="14"/>
            <color rgb="FF000000"/>
            <rFont val="Calibri"/>
            <family val="34"/>
          </rPr>
          <t xml:space="preserve">
</t>
        </r>
        <r>
          <rPr>
            <sz val="14"/>
            <color rgb="FF000000"/>
            <rFont val="Times New Roman"/>
            <family val="18"/>
          </rPr>
          <t>ML 3910 IR 44 (1806) – Haupt Menze Komp. Nr. 48 (Fiume 10/12/1806)</t>
        </r>
        <r>
          <rPr>
            <sz val="14"/>
            <color rgb="FF000000"/>
            <rFont val="Calibri"/>
            <family val="34"/>
          </rPr>
          <t xml:space="preserve">
</t>
        </r>
        <r>
          <rPr>
            <sz val="14"/>
            <color rgb="FF000000"/>
            <rFont val="Times New Roman"/>
            <family val="18"/>
          </rPr>
          <t>ML 3911 IR 44 (1808) – RL CaptLt. Menze [15. Fus.] Komp. Abgang (Sambor 19/09/1808)</t>
        </r>
        <r>
          <rPr>
            <sz val="14"/>
            <color rgb="FF000000"/>
            <rFont val="Calibri"/>
            <family val="34"/>
          </rPr>
          <t xml:space="preserve">
</t>
        </r>
        <r>
          <rPr>
            <sz val="14"/>
            <color rgb="FF000000"/>
            <rFont val="Times New Roman"/>
            <family val="18"/>
          </rPr>
          <t>ML 3946 IR 44 (1802) – AL IR 43-&gt; IR 43 Nr. 87 (Zara 27/07/1802)</t>
        </r>
        <r>
          <rPr>
            <sz val="14"/>
            <color rgb="FF000000"/>
            <rFont val="Calibri"/>
            <family val="34"/>
          </rPr>
          <t xml:space="preserve">
</t>
        </r>
      </text>
    </comment>
    <comment ref="BH588" authorId="0" shapeId="0" xr:uid="{878120EA-3D1A-854F-894A-F617CF00A462}">
      <text>
        <r>
          <rPr>
            <sz val="14"/>
            <color rgb="FF000000"/>
            <rFont val="Calibri"/>
            <family val="34"/>
          </rPr>
          <t xml:space="preserve">IR 43 (1799-1802)
</t>
        </r>
        <r>
          <rPr>
            <sz val="14"/>
            <color rgb="FF000000"/>
            <rFont val="Calibri"/>
            <family val="34"/>
          </rPr>
          <t>IR 44 (1802-1807)</t>
        </r>
      </text>
    </comment>
    <comment ref="BI588" authorId="0" shapeId="0" xr:uid="{0EB39B86-A092-3C4C-AC40-AFED1C34A0F1}">
      <text>
        <r>
          <rPr>
            <sz val="14"/>
            <color rgb="FF000000"/>
            <rFont val="Calibri"/>
            <family val="34"/>
          </rPr>
          <t>Gut [TL Juli 1802]</t>
        </r>
      </text>
    </comment>
    <comment ref="BF589" authorId="0" shapeId="0" xr:uid="{526B8727-0023-CF4F-AE1E-94A0D39000B3}">
      <text>
        <r>
          <rPr>
            <sz val="14"/>
            <color rgb="FF000000"/>
            <rFont val="Times New Roman"/>
            <family val="18"/>
          </rPr>
          <t xml:space="preserve">27/08/1799 </t>
        </r>
        <r>
          <rPr>
            <i/>
            <sz val="14"/>
            <color rgb="FF000000"/>
            <rFont val="Times New Roman"/>
            <family val="18"/>
          </rPr>
          <t>Zu Cracau in West Galizien a 3Fl Handgeld zum IR 23 Reserve Division assentiert und von euodem dato mit auswärtiger Verpflegung auf Anmarsch</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31/10/1799 </t>
        </r>
        <r>
          <rPr>
            <i/>
            <sz val="14"/>
            <color rgb="FF000000"/>
            <rFont val="Times New Roman"/>
            <family val="18"/>
          </rPr>
          <t xml:space="preserve">Ankunft in Reserve Division </t>
        </r>
        <r>
          <rPr>
            <sz val="14"/>
            <color rgb="FF000000"/>
            <rFont val="Times New Roman"/>
            <family val="18"/>
          </rPr>
          <t>[ST Oct 1799]</t>
        </r>
        <r>
          <rPr>
            <sz val="14"/>
            <color rgb="FF000000"/>
            <rFont val="Calibri"/>
            <family val="34"/>
          </rPr>
          <t xml:space="preserve">
</t>
        </r>
        <r>
          <rPr>
            <sz val="14"/>
            <color rgb="FF000000"/>
            <rFont val="Times New Roman"/>
            <family val="18"/>
          </rPr>
          <t xml:space="preserve">30/04/1801 </t>
        </r>
        <r>
          <rPr>
            <i/>
            <sz val="14"/>
            <color rgb="FF000000"/>
            <rFont val="Times New Roman"/>
            <family val="18"/>
          </rPr>
          <t>Zu Feldspital in Görz Gestorben</t>
        </r>
        <r>
          <rPr>
            <sz val="14"/>
            <color rgb="FF000000"/>
            <rFont val="Times New Roman"/>
            <family val="18"/>
          </rPr>
          <t xml:space="preserve"> [ML 1802]</t>
        </r>
        <r>
          <rPr>
            <sz val="14"/>
            <color rgb="FF000000"/>
            <rFont val="Calibri"/>
            <family val="34"/>
          </rPr>
          <t xml:space="preserve">
</t>
        </r>
      </text>
    </comment>
    <comment ref="BG589" authorId="0" shapeId="0" xr:uid="{078775A2-F557-1D49-A401-D0BECBB653F5}">
      <text>
        <r>
          <rPr>
            <sz val="14"/>
            <color rgb="FF000000"/>
            <rFont val="Times New Roman"/>
            <family val="18"/>
          </rPr>
          <t>ML 10.124 IR 23 (1802) – Haupt Böhm Komp. Nr.126 (Krems 09/09/1802)</t>
        </r>
        <r>
          <rPr>
            <sz val="14"/>
            <color rgb="FF000000"/>
            <rFont val="Calibri"/>
            <family val="34"/>
          </rPr>
          <t xml:space="preserve">
</t>
        </r>
        <r>
          <rPr>
            <sz val="14"/>
            <color rgb="FF000000"/>
            <rFont val="Times New Roman"/>
            <family val="18"/>
          </rPr>
          <t>ML 10.164 IR 23 (1802) – ST Sept (01/04/1801), Oct (06/04/1801)</t>
        </r>
        <r>
          <rPr>
            <sz val="14"/>
            <color rgb="FF000000"/>
            <rFont val="Calibri"/>
            <family val="34"/>
          </rPr>
          <t xml:space="preserve">
</t>
        </r>
      </text>
    </comment>
    <comment ref="BH589" authorId="0" shapeId="0" xr:uid="{C79DEC89-DF85-3C43-BD4C-5CB25548328E}">
      <text>
        <r>
          <rPr>
            <sz val="14"/>
            <color rgb="FF000000"/>
            <rFont val="Calibri"/>
            <family val="34"/>
          </rPr>
          <t>IR 23 (1799-1801)</t>
        </r>
      </text>
    </comment>
    <comment ref="BF590" authorId="0" shapeId="0" xr:uid="{37E87034-33B0-3C47-A925-03C5CA76B7A1}">
      <text>
        <r>
          <rPr>
            <sz val="14"/>
            <color rgb="FF000000"/>
            <rFont val="Times New Roman"/>
            <family val="18"/>
          </rPr>
          <t xml:space="preserve">27/08/1799 </t>
        </r>
        <r>
          <rPr>
            <i/>
            <sz val="14"/>
            <color rgb="FF000000"/>
            <rFont val="Times New Roman"/>
            <family val="18"/>
          </rPr>
          <t>Von Werbbezirk a 3 Fl Handgeld ausgehoben und zum IR 1 4. Bataillon Haupt Rannger Komp. in Olmütz assentiert</t>
        </r>
        <r>
          <rPr>
            <sz val="14"/>
            <color rgb="FF000000"/>
            <rFont val="Times New Roman"/>
            <family val="18"/>
          </rPr>
          <t xml:space="preserve"> [AL Aug 1799 &amp; ST Aug 1799]</t>
        </r>
        <r>
          <rPr>
            <sz val="14"/>
            <color rgb="FF000000"/>
            <rFont val="Calibri"/>
            <family val="34"/>
          </rPr>
          <t xml:space="preserve">
</t>
        </r>
        <r>
          <rPr>
            <sz val="14"/>
            <color rgb="FF000000"/>
            <rFont val="Times New Roman"/>
            <family val="18"/>
          </rPr>
          <t>25/09/1799</t>
        </r>
        <r>
          <rPr>
            <i/>
            <sz val="14"/>
            <color rgb="FF000000"/>
            <rFont val="Times New Roman"/>
            <family val="18"/>
          </rPr>
          <t xml:space="preserve"> In Folge con General Kommando Verordnung von 10. September von IR 1 4. Bataillon Haupt Rannger Komp. zum IR 8 Huff transferiert</t>
        </r>
        <r>
          <rPr>
            <sz val="14"/>
            <color rgb="FF000000"/>
            <rFont val="Times New Roman"/>
            <family val="18"/>
          </rPr>
          <t xml:space="preserve"> [ST April 1799]</t>
        </r>
        <r>
          <rPr>
            <sz val="14"/>
            <color rgb="FF000000"/>
            <rFont val="Calibri"/>
            <family val="2"/>
          </rPr>
          <t xml:space="preserve"> </t>
        </r>
      </text>
    </comment>
    <comment ref="BG590" authorId="0" shapeId="0" xr:uid="{42701595-CFEB-A046-ACF4-472F18DE3E41}">
      <text>
        <r>
          <rPr>
            <sz val="14"/>
            <color rgb="FF000000"/>
            <rFont val="Times New Roman"/>
            <family val="18"/>
          </rPr>
          <t>ML 72 IR 1 (1799) – ST Aug (Olmütz 06/11/1799), ST Sept (Olmütz 07/01/1800)</t>
        </r>
        <r>
          <rPr>
            <sz val="14"/>
            <color rgb="FF000000"/>
            <rFont val="Calibri"/>
            <family val="34"/>
          </rPr>
          <t xml:space="preserve">
</t>
        </r>
        <r>
          <rPr>
            <sz val="14"/>
            <color rgb="FF000000"/>
            <rFont val="Times New Roman"/>
            <family val="18"/>
          </rPr>
          <t>ML 73 IR 1 (1799) AL/TL – AL Nr. 121 (Olmütz 31/08/1799)</t>
        </r>
        <r>
          <rPr>
            <sz val="14"/>
            <color rgb="FF000000"/>
            <rFont val="Calibri"/>
            <family val="34"/>
          </rPr>
          <t xml:space="preserve">
</t>
        </r>
      </text>
    </comment>
    <comment ref="BH590" authorId="0" shapeId="0" xr:uid="{FC87C6E1-51A7-B549-9173-DEBF2EDF5A4E}">
      <text>
        <r>
          <rPr>
            <sz val="14"/>
            <color rgb="FF000000"/>
            <rFont val="Calibri"/>
            <family val="34"/>
          </rPr>
          <t xml:space="preserve">IR 1 (1799)
</t>
        </r>
        <r>
          <rPr>
            <sz val="14"/>
            <color rgb="FF000000"/>
            <rFont val="Calibri"/>
            <family val="34"/>
          </rPr>
          <t>IR 8 (1799)</t>
        </r>
      </text>
    </comment>
    <comment ref="BF591" authorId="0" shapeId="0" xr:uid="{5152157A-6B2A-1B49-8599-96A5CCA0F4F7}">
      <text>
        <r>
          <rPr>
            <sz val="14"/>
            <color rgb="FF000000"/>
            <rFont val="Times New Roman"/>
            <family val="18"/>
          </rPr>
          <t xml:space="preserve">c. 09/1799 </t>
        </r>
        <r>
          <rPr>
            <i/>
            <sz val="14"/>
            <color rgb="FF000000"/>
            <rFont val="Times New Roman"/>
            <family val="18"/>
          </rPr>
          <t>Assentiert</t>
        </r>
        <r>
          <rPr>
            <sz val="14"/>
            <color rgb="FF000000"/>
            <rFont val="Times New Roman"/>
            <family val="18"/>
          </rPr>
          <t xml:space="preserve"> [ML 1802] </t>
        </r>
        <r>
          <rPr>
            <sz val="14"/>
            <color rgb="FF000000"/>
            <rFont val="Times New Roman"/>
            <family val="18"/>
          </rPr>
          <t xml:space="preserve">
</t>
        </r>
        <r>
          <rPr>
            <sz val="14"/>
            <color rgb="FF000000"/>
            <rFont val="Times New Roman"/>
            <family val="18"/>
          </rPr>
          <t xml:space="preserve">c. 09/1799 </t>
        </r>
        <r>
          <rPr>
            <i/>
            <sz val="14"/>
            <color rgb="FF000000"/>
            <rFont val="Times New Roman"/>
            <family val="18"/>
          </rPr>
          <t>Gegen Stellung des Rekrutes Herschel ABRAMOWIZ entlassen</t>
        </r>
        <r>
          <rPr>
            <sz val="14"/>
            <color rgb="FF000000"/>
            <rFont val="Times New Roman"/>
            <family val="18"/>
          </rPr>
          <t xml:space="preserve"> [ML 1802]</t>
        </r>
      </text>
    </comment>
    <comment ref="BG591" authorId="0" shapeId="0" xr:uid="{6D83F36A-BC1D-934F-8498-61F297A93078}">
      <text>
        <r>
          <rPr>
            <sz val="14"/>
            <color rgb="FF000000"/>
            <rFont val="Times New Roman"/>
            <family val="18"/>
          </rPr>
          <t>ML 10.045/6 IR 13 (1802) – 1. Major Komp.  Komp. Nr. 38 (Görz 22/09/1802)</t>
        </r>
        <r>
          <rPr>
            <sz val="14"/>
            <color rgb="FF000000"/>
            <rFont val="Times New Roman"/>
            <family val="18"/>
          </rPr>
          <t xml:space="preserve">
</t>
        </r>
      </text>
    </comment>
    <comment ref="BH591" authorId="0" shapeId="0" xr:uid="{1148B1DF-5B94-7B48-A4CC-2C3BB2EF2DD9}">
      <text>
        <r>
          <rPr>
            <sz val="14"/>
            <color rgb="FF000000"/>
            <rFont val="Calibri"/>
            <family val="34"/>
          </rPr>
          <t>IR 13 (1799)</t>
        </r>
      </text>
    </comment>
    <comment ref="BF592" authorId="0" shapeId="0" xr:uid="{A74A7597-F88D-C540-AC60-C582CA01980D}">
      <text>
        <r>
          <rPr>
            <sz val="14"/>
            <color rgb="FF000000"/>
            <rFont val="Times New Roman"/>
            <family val="18"/>
          </rPr>
          <t xml:space="preserve">15/09/1799 </t>
        </r>
        <r>
          <rPr>
            <i/>
            <sz val="14"/>
            <color rgb="FF000000"/>
            <rFont val="Times New Roman"/>
            <family val="18"/>
          </rPr>
          <t>Von Werbbezirk a 3 Fl Handgeld ausgehoben und zum IR 1 4. Bataillon vacante Dietlinger Komp. in Olmütz</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[AL Sept 1799]</t>
        </r>
        <r>
          <rPr>
            <sz val="14"/>
            <color rgb="FF000000"/>
            <rFont val="Calibri"/>
            <family val="34"/>
          </rPr>
          <t xml:space="preserve">
</t>
        </r>
        <r>
          <rPr>
            <sz val="14"/>
            <color rgb="FF000000"/>
            <rFont val="Times New Roman"/>
            <family val="18"/>
          </rPr>
          <t xml:space="preserve">03/12/1799 </t>
        </r>
        <r>
          <rPr>
            <i/>
            <sz val="14"/>
            <color rgb="FF000000"/>
            <rFont val="Times New Roman"/>
            <family val="18"/>
          </rPr>
          <t>Von 4. Bat. Haupt Dietlinger Komp. zum 1. Major Komp. transferiert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15/02/1802 </t>
        </r>
        <r>
          <rPr>
            <i/>
            <sz val="14"/>
            <color rgb="FF000000"/>
            <rFont val="Times New Roman"/>
            <family val="18"/>
          </rPr>
          <t xml:space="preserve">Zu Folge hoher k.k. General Militar Comando Verordnung ddt. Brünn am 20. Jänner als auf die Dauer des Krieges ausgedienter Capitulant von unbestimmtem Urlaub mit Abschied entlassen </t>
        </r>
        <r>
          <rPr>
            <sz val="14"/>
            <color rgb="FF000000"/>
            <rFont val="Times New Roman"/>
            <family val="18"/>
          </rPr>
          <t xml:space="preserve">[ST Feb 1802] </t>
        </r>
      </text>
    </comment>
    <comment ref="BG592" authorId="0" shapeId="0" xr:uid="{F166C31F-F3B7-A74C-AF75-292D087853D0}">
      <text>
        <r>
          <rPr>
            <sz val="14"/>
            <color rgb="FF000000"/>
            <rFont val="Times New Roman"/>
            <family val="18"/>
          </rPr>
          <t>ML 72 IR 1 (1799) – ST Sept (Olmütz 07/01/1800), Dec (Olmütz 10/03/1800)</t>
        </r>
        <r>
          <rPr>
            <sz val="14"/>
            <color rgb="FF000000"/>
            <rFont val="Calibri"/>
            <family val="34"/>
          </rPr>
          <t xml:space="preserve">
</t>
        </r>
        <r>
          <rPr>
            <sz val="14"/>
            <color rgb="FF000000"/>
            <rFont val="Times New Roman"/>
            <family val="18"/>
          </rPr>
          <t>ML 73 IR 1 (1799) AL/TL – AL Nr. 106 (Olmütz 26/09/1799)</t>
        </r>
        <r>
          <rPr>
            <sz val="14"/>
            <color rgb="FF000000"/>
            <rFont val="Calibri"/>
            <family val="34"/>
          </rPr>
          <t xml:space="preserve">
</t>
        </r>
        <r>
          <rPr>
            <sz val="14"/>
            <color rgb="FF000000"/>
            <rFont val="Times New Roman"/>
            <family val="18"/>
          </rPr>
          <t>ML 78 IR 1 (1802) – ST Feb (Olmütz 14/03/1802)</t>
        </r>
        <r>
          <rPr>
            <sz val="14"/>
            <color rgb="FF000000"/>
            <rFont val="Calibri"/>
            <family val="34"/>
          </rPr>
          <t xml:space="preserve">
</t>
        </r>
      </text>
    </comment>
    <comment ref="BH592" authorId="0" shapeId="0" xr:uid="{2581A72F-9012-3B49-A56B-E597F3F5CA22}">
      <text>
        <r>
          <rPr>
            <sz val="14"/>
            <color rgb="FF000000"/>
            <rFont val="Calibri"/>
            <family val="34"/>
          </rPr>
          <t>IR 1 (1799-1802)</t>
        </r>
      </text>
    </comment>
    <comment ref="I593" authorId="0" shapeId="0" xr:uid="{E8B588A1-EAEA-B84A-83B8-56F58B299AB1}">
      <text>
        <r>
          <rPr>
            <b/>
            <sz val="14"/>
            <color rgb="FF000000"/>
            <rFont val="Calibri"/>
            <family val="34"/>
          </rPr>
          <t xml:space="preserve">1780 [20 (TL 1800)]
</t>
        </r>
        <r>
          <rPr>
            <sz val="14"/>
            <color rgb="FF000000"/>
            <rFont val="Calibri"/>
            <family val="34"/>
          </rPr>
          <t xml:space="preserve">OR 
</t>
        </r>
        <r>
          <rPr>
            <sz val="14"/>
            <color rgb="FF000000"/>
            <rFont val="Calibri"/>
            <family val="34"/>
          </rPr>
          <t xml:space="preserve">1782 [17 (TL 1799]
</t>
        </r>
      </text>
    </comment>
    <comment ref="BF593" authorId="0" shapeId="0" xr:uid="{BA142073-1113-3B45-A4FC-D50B073741B3}">
      <text>
        <r>
          <rPr>
            <sz val="14"/>
            <color rgb="FF000000"/>
            <rFont val="Times New Roman"/>
            <family val="18"/>
          </rPr>
          <t xml:space="preserve">26/09/1799 </t>
        </r>
        <r>
          <rPr>
            <i/>
            <sz val="14"/>
            <color rgb="FF000000"/>
            <rFont val="Times New Roman"/>
            <family val="18"/>
          </rPr>
          <t>Von Stände zu Karl Schröder Infanterie</t>
        </r>
        <r>
          <rPr>
            <sz val="14"/>
            <color rgb="FF000000"/>
            <rFont val="Times New Roman"/>
            <family val="18"/>
          </rPr>
          <t xml:space="preserve"> </t>
        </r>
        <r>
          <rPr>
            <b/>
            <sz val="14"/>
            <color rgb="FF000000"/>
            <rFont val="Times New Roman"/>
            <family val="18"/>
          </rPr>
          <t>[IR 7]</t>
        </r>
        <r>
          <rPr>
            <sz val="14"/>
            <color rgb="FF000000"/>
            <rFont val="Times New Roman"/>
            <family val="18"/>
          </rPr>
          <t xml:space="preserve"> </t>
        </r>
        <r>
          <rPr>
            <i/>
            <sz val="14"/>
            <color rgb="FF000000"/>
            <rFont val="Times New Roman"/>
            <family val="18"/>
          </rPr>
          <t>ohne Capitulation zu Sambor gestellt</t>
        </r>
        <r>
          <rPr>
            <sz val="14"/>
            <color rgb="FF000000"/>
            <rFont val="Times New Roman"/>
            <family val="18"/>
          </rPr>
          <t xml:space="preserve"> [TL Nov 1799 &amp; ML 1802] </t>
        </r>
        <r>
          <rPr>
            <sz val="14"/>
            <color rgb="FF000000"/>
            <rFont val="Calibri"/>
            <family val="34"/>
          </rPr>
          <t xml:space="preserve">
</t>
        </r>
        <r>
          <rPr>
            <sz val="14"/>
            <color rgb="FF000000"/>
            <rFont val="Times New Roman"/>
            <family val="18"/>
          </rPr>
          <t xml:space="preserve">21/11/1799 </t>
        </r>
        <r>
          <rPr>
            <i/>
            <sz val="14"/>
            <color rgb="FF000000"/>
            <rFont val="Times New Roman"/>
            <family val="18"/>
          </rPr>
          <t>Von IR 7 4. Bat. Major von Simics 1. Komp. zum IR 1 Feld Bats transferiert und zum Haupt Sanor Komp eingeteilt</t>
        </r>
        <r>
          <rPr>
            <sz val="14"/>
            <color rgb="FF000000"/>
            <rFont val="Times New Roman"/>
            <family val="18"/>
          </rPr>
          <t xml:space="preserve"> [TL Nov 1799]</t>
        </r>
        <r>
          <rPr>
            <sz val="14"/>
            <color rgb="FF000000"/>
            <rFont val="Calibri"/>
            <family val="34"/>
          </rPr>
          <t xml:space="preserve">
</t>
        </r>
        <r>
          <rPr>
            <sz val="14"/>
            <color rgb="FF000000"/>
            <rFont val="Times New Roman"/>
            <family val="18"/>
          </rPr>
          <t xml:space="preserve">15/09/1800 </t>
        </r>
        <r>
          <rPr>
            <i/>
            <sz val="14"/>
            <color rgb="FF000000"/>
            <rFont val="Times New Roman"/>
            <family val="18"/>
          </rPr>
          <t>Von IR 1 Haupt Gutwill Komp.</t>
        </r>
        <r>
          <rPr>
            <sz val="14"/>
            <color rgb="FF000000"/>
            <rFont val="Times New Roman"/>
            <family val="18"/>
          </rPr>
          <t xml:space="preserve"> </t>
        </r>
        <r>
          <rPr>
            <i/>
            <sz val="14"/>
            <color rgb="FF000000"/>
            <rFont val="Times New Roman"/>
            <family val="18"/>
          </rPr>
          <t>zum Wenzel Colloredo Infantrie</t>
        </r>
        <r>
          <rPr>
            <sz val="14"/>
            <color rgb="FF000000"/>
            <rFont val="Times New Roman"/>
            <family val="18"/>
          </rPr>
          <t xml:space="preserve"> </t>
        </r>
        <r>
          <rPr>
            <b/>
            <sz val="14"/>
            <color rgb="FF000000"/>
            <rFont val="Times New Roman"/>
            <family val="18"/>
          </rPr>
          <t>[IR 56]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[TL Dec 1800]</t>
        </r>
        <r>
          <rPr>
            <sz val="14"/>
            <color rgb="FF000000"/>
            <rFont val="Calibri"/>
            <family val="34"/>
          </rPr>
          <t xml:space="preserve">
</t>
        </r>
      </text>
    </comment>
    <comment ref="BG593" authorId="0" shapeId="0" xr:uid="{4871D5BF-6EBC-614C-896A-27D1BAD73C02}">
      <text>
        <r>
          <rPr>
            <sz val="14"/>
            <color rgb="FF000000"/>
            <rFont val="Times New Roman"/>
            <family val="18"/>
          </rPr>
          <t>ML 73 IR 1 (1799) AL/TL – TL IR 7-&gt;IR 1 Nr. 57 (Olmütz 22/11/1799)</t>
        </r>
        <r>
          <rPr>
            <sz val="14"/>
            <color rgb="FF000000"/>
            <rFont val="Calibri"/>
            <family val="34"/>
          </rPr>
          <t xml:space="preserve">
</t>
        </r>
        <r>
          <rPr>
            <sz val="14"/>
            <color rgb="FF000000"/>
            <rFont val="Times New Roman"/>
            <family val="18"/>
          </rPr>
          <t>ML 75 IR 1 (1800) AL/TL – TL IR 1-&gt;IR 56 Nr. 22 (Olmütz 29/12/1800)</t>
        </r>
        <r>
          <rPr>
            <sz val="14"/>
            <color rgb="FF000000"/>
            <rFont val="Calibri"/>
            <family val="34"/>
          </rPr>
          <t xml:space="preserve">
</t>
        </r>
      </text>
    </comment>
    <comment ref="BH593" authorId="0" shapeId="0" xr:uid="{7617B8A2-5CBC-314C-92DE-B1E462F65CDB}">
      <text>
        <r>
          <rPr>
            <sz val="14"/>
            <color rgb="FF000000"/>
            <rFont val="Calibri"/>
            <family val="34"/>
          </rPr>
          <t xml:space="preserve">IR 7 (1799)
</t>
        </r>
        <r>
          <rPr>
            <sz val="14"/>
            <color rgb="FF000000"/>
            <rFont val="Calibri"/>
            <family val="34"/>
          </rPr>
          <t xml:space="preserve">IR 1 (1799-1800
</t>
        </r>
        <r>
          <rPr>
            <sz val="14"/>
            <color rgb="FF000000"/>
            <rFont val="Calibri"/>
            <family val="34"/>
          </rPr>
          <t xml:space="preserve">IR 56 (1800)
</t>
        </r>
      </text>
    </comment>
    <comment ref="BF594" authorId="0" shapeId="0" xr:uid="{1634317A-701A-4142-80C6-CD88CA03E47D}">
      <text>
        <r>
          <rPr>
            <sz val="14"/>
            <color rgb="FF000000"/>
            <rFont val="Times New Roman"/>
            <family val="18"/>
          </rPr>
          <t xml:space="preserve">c. 10/1799 </t>
        </r>
        <r>
          <rPr>
            <i/>
            <sz val="14"/>
            <color rgb="FF000000"/>
            <rFont val="Times New Roman"/>
            <family val="18"/>
          </rPr>
          <t>als landständischer Recrout auf Kriegsdauer gestellt</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 </t>
        </r>
        <r>
          <rPr>
            <i/>
            <sz val="14"/>
            <color rgb="FF000000"/>
            <rFont val="Times New Roman"/>
            <family val="18"/>
          </rPr>
          <t xml:space="preserve">Beurlaubt </t>
        </r>
        <r>
          <rPr>
            <sz val="14"/>
            <color rgb="FF000000"/>
            <rFont val="Calibri"/>
            <family val="34"/>
          </rPr>
          <t xml:space="preserve">
</t>
        </r>
        <r>
          <rPr>
            <sz val="14"/>
            <color rgb="FF000000"/>
            <rFont val="Times New Roman"/>
            <family val="18"/>
          </rPr>
          <t xml:space="preserve">31/10/1801 </t>
        </r>
        <r>
          <rPr>
            <i/>
            <sz val="14"/>
            <color rgb="FF000000"/>
            <rFont val="Times New Roman"/>
            <family val="18"/>
          </rPr>
          <t xml:space="preserve">Von Dissolvierte LB 10 ‘Greth’ Haupt von Drouin Komp. zum IR 39 2. Major Komp. transferiert </t>
        </r>
        <r>
          <rPr>
            <sz val="14"/>
            <color rgb="FF000000"/>
            <rFont val="Times New Roman"/>
            <family val="18"/>
          </rPr>
          <t>[TL Nov 1801 &amp; ST Nov 1801]</t>
        </r>
        <r>
          <rPr>
            <sz val="14"/>
            <color rgb="FF000000"/>
            <rFont val="Calibri"/>
            <family val="34"/>
          </rPr>
          <t xml:space="preserve">
</t>
        </r>
        <r>
          <rPr>
            <sz val="14"/>
            <color rgb="FF000000"/>
            <rFont val="Times New Roman"/>
            <family val="18"/>
          </rPr>
          <t xml:space="preserve">05/01/1802 </t>
        </r>
        <r>
          <rPr>
            <i/>
            <sz val="14"/>
            <color rgb="FF000000"/>
            <rFont val="Times New Roman"/>
            <family val="18"/>
          </rPr>
          <t>Vermog hohe Verordnung detto Padua 23/12/1801 als auf die Kriegsdauer gestellte von Urlaub mit Abschied ohne entgeltlich entlassen [</t>
        </r>
        <r>
          <rPr>
            <sz val="14"/>
            <color rgb="FF000000"/>
            <rFont val="Times New Roman"/>
            <family val="18"/>
          </rPr>
          <t>ST Jan 1802]</t>
        </r>
        <r>
          <rPr>
            <sz val="14"/>
            <color rgb="FF000000"/>
            <rFont val="Calibri"/>
            <family val="34"/>
          </rPr>
          <t xml:space="preserve">
</t>
        </r>
      </text>
    </comment>
    <comment ref="BG594" authorId="0" shapeId="0" xr:uid="{ED8C0570-9E13-B24C-8A4F-17207A7F892E}">
      <text>
        <r>
          <rPr>
            <sz val="14"/>
            <color rgb="FF000000"/>
            <rFont val="Times New Roman"/>
            <family val="18"/>
          </rPr>
          <t>ML 3542 IR 39 (1800-1) – TL LB 10-&gt; IR 39 Nr. 47 (Cividale, 01/11/1801); ST Nov 1801 (Padua 19/12/1801)</t>
        </r>
        <r>
          <rPr>
            <sz val="14"/>
            <color rgb="FF000000"/>
            <rFont val="Calibri"/>
            <family val="34"/>
          </rPr>
          <t xml:space="preserve">
</t>
        </r>
        <r>
          <rPr>
            <sz val="14"/>
            <color rgb="FF000000"/>
            <rFont val="Times New Roman"/>
            <family val="18"/>
          </rPr>
          <t>ML 3543 IR 39 (1802) – ST Jan 1802 (13/02/1802)</t>
        </r>
        <r>
          <rPr>
            <sz val="14"/>
            <color rgb="FF000000"/>
            <rFont val="Calibri"/>
            <family val="34"/>
          </rPr>
          <t xml:space="preserve">
</t>
        </r>
      </text>
    </comment>
    <comment ref="BH594" authorId="0" shapeId="0" xr:uid="{D06C5AF3-EC86-434C-9D3E-C6CF925EC9A1}">
      <text>
        <r>
          <rPr>
            <sz val="14"/>
            <color rgb="FF000000"/>
            <rFont val="Calibri"/>
            <family val="34"/>
          </rPr>
          <t xml:space="preserve">LB 10 (1799-1801)
</t>
        </r>
        <r>
          <rPr>
            <sz val="14"/>
            <color rgb="FF000000"/>
            <rFont val="Calibri"/>
            <family val="34"/>
          </rPr>
          <t>IR 39 (1801-1802)</t>
        </r>
      </text>
    </comment>
    <comment ref="T595" authorId="0" shapeId="0" xr:uid="{793C71FA-C528-1F4E-91B5-00E42C2DD385}">
      <text>
        <r>
          <rPr>
            <sz val="14"/>
            <color rgb="FF000000"/>
            <rFont val="Calibri"/>
            <family val="34"/>
          </rPr>
          <t xml:space="preserve">5.4.1 [(168.74 (ML 1803)]
</t>
        </r>
        <r>
          <rPr>
            <sz val="14"/>
            <color rgb="FF000000"/>
            <rFont val="Calibri"/>
            <family val="34"/>
          </rPr>
          <t>5.1 [160.63 cm (ML 1804)]</t>
        </r>
      </text>
    </comment>
    <comment ref="BF595" authorId="0" shapeId="0" xr:uid="{0E638E16-E72B-3E4F-8BF6-B4FA10CFBB5D}">
      <text>
        <r>
          <rPr>
            <sz val="14"/>
            <color rgb="FF000000"/>
            <rFont val="Times New Roman"/>
            <family val="18"/>
          </rPr>
          <t xml:space="preserve">11/10/1799 </t>
        </r>
        <r>
          <rPr>
            <i/>
            <sz val="14"/>
            <color rgb="FF000000"/>
            <rFont val="Times New Roman"/>
            <family val="18"/>
          </rPr>
          <t>Zu Konskie a 3Fl 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 xml:space="preserve">Bey </t>
        </r>
        <r>
          <rPr>
            <b/>
            <i/>
            <sz val="14"/>
            <color rgb="FF000000"/>
            <rFont val="Times New Roman"/>
            <family val="18"/>
          </rPr>
          <t xml:space="preserve">Genua </t>
        </r>
        <r>
          <rPr>
            <i/>
            <sz val="14"/>
            <color rgb="FF000000"/>
            <rFont val="Times New Roman"/>
            <family val="18"/>
          </rPr>
          <t>gefangen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20/08/1800 </t>
        </r>
        <r>
          <rPr>
            <i/>
            <sz val="14"/>
            <color rgb="FF000000"/>
            <rFont val="Times New Roman"/>
            <family val="18"/>
          </rPr>
          <t>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Seit in seinem Geburtort beurlaubt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Jordis Nr. 52 [</t>
        </r>
        <r>
          <rPr>
            <i/>
            <sz val="14"/>
            <color rgb="FF000000"/>
            <rFont val="Times New Roman"/>
            <family val="18"/>
          </rPr>
          <t>Beurlaubt in seinem Geburtort in Gallizien</t>
        </r>
        <r>
          <rPr>
            <sz val="14"/>
            <color rgb="FF000000"/>
            <rFont val="Times New Roman"/>
            <family val="18"/>
          </rPr>
          <t>]</t>
        </r>
        <r>
          <rPr>
            <sz val="14"/>
            <color rgb="FF000000"/>
            <rFont val="Calibri"/>
            <family val="34"/>
          </rPr>
          <t xml:space="preserve">
</t>
        </r>
        <r>
          <rPr>
            <sz val="14"/>
            <color rgb="FF000000"/>
            <rFont val="Times New Roman"/>
            <family val="18"/>
          </rPr>
          <t>03/09/1804 Muster: IR 59 Haupt Jordis Nr. 48 [</t>
        </r>
        <r>
          <rPr>
            <i/>
            <sz val="14"/>
            <color rgb="FF000000"/>
            <rFont val="Times New Roman"/>
            <family val="18"/>
          </rPr>
          <t>Beurlaubt in Wodislaw ort und Herrschaft in Krakau Kreis,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595" authorId="0" shapeId="0" xr:uid="{C4505D8D-A9C7-0242-BAC2-6B9A051A07BC}">
      <text>
        <r>
          <rPr>
            <sz val="14"/>
            <color rgb="FF000000"/>
            <rFont val="Times New Roman"/>
            <family val="18"/>
          </rPr>
          <t>ML 5015 IR 59 ‘Jordis’ (1803) –Haupt. Jordis Komp. Nr. 52 (Enns 29/08/1803)</t>
        </r>
        <r>
          <rPr>
            <sz val="14"/>
            <color rgb="FF000000"/>
            <rFont val="Calibri"/>
            <family val="34"/>
          </rPr>
          <t xml:space="preserve">
</t>
        </r>
        <r>
          <rPr>
            <sz val="14"/>
            <color rgb="FF000000"/>
            <rFont val="Times New Roman"/>
            <family val="18"/>
          </rPr>
          <t>ML 5015 IR 59 ‘Jordis’ (1804) –Haupt. Jordis Komp. Nr. 48 (Innsbruck 03/09/1804)</t>
        </r>
        <r>
          <rPr>
            <sz val="14"/>
            <color rgb="FF000000"/>
            <rFont val="Calibri"/>
            <family val="34"/>
          </rPr>
          <t xml:space="preserve">
</t>
        </r>
        <r>
          <rPr>
            <sz val="14"/>
            <color rgb="FF000000"/>
            <rFont val="Times New Roman"/>
            <family val="18"/>
          </rPr>
          <t>ML 5017/8 IR 59 ‚Jordis (1806) – Heft ‚Unwissend verlohren‘ Nr. 168 (Linz 10/07/1807)</t>
        </r>
        <r>
          <rPr>
            <sz val="14"/>
            <color rgb="FF000000"/>
            <rFont val="Calibri"/>
            <family val="34"/>
          </rPr>
          <t xml:space="preserve">
</t>
        </r>
      </text>
    </comment>
    <comment ref="BH595" authorId="0" shapeId="0" xr:uid="{B7886F27-8848-AF47-8F2E-A153C3FE6491}">
      <text>
        <r>
          <rPr>
            <sz val="14"/>
            <color rgb="FF000000"/>
            <rFont val="Calibri"/>
            <family val="34"/>
          </rPr>
          <t>IR 59 (1799-1806)</t>
        </r>
      </text>
    </comment>
    <comment ref="CR595" authorId="0" shapeId="0" xr:uid="{4F0565F6-2400-B341-8D6B-5C2861FD1CAE}">
      <text>
        <r>
          <rPr>
            <sz val="14"/>
            <color rgb="FF000000"/>
            <rFont val="Calibri"/>
            <family val="34"/>
          </rPr>
          <t>1803: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1804-6: Katolisch </t>
        </r>
      </text>
    </comment>
    <comment ref="C596" authorId="0" shapeId="0" xr:uid="{6A66E533-ADD1-654E-8D11-65704744B0A0}">
      <text>
        <r>
          <rPr>
            <sz val="12"/>
            <color rgb="FF000000"/>
            <rFont val="+mn-lt"/>
            <charset val="1"/>
          </rPr>
          <t xml:space="preserve">Von </t>
        </r>
        <r>
          <rPr>
            <b/>
            <u/>
            <sz val="12"/>
            <color rgb="FF0563C1"/>
            <rFont val="Times New Roman"/>
            <family val="18"/>
          </rPr>
          <t>Berlin, Germany</t>
        </r>
        <r>
          <rPr>
            <sz val="12"/>
            <color rgb="FF000000"/>
            <rFont val="Calibri"/>
            <family val="2"/>
            <scheme val="minor"/>
          </rPr>
          <t xml:space="preserve"> in Preussen </t>
        </r>
        <r>
          <rPr>
            <sz val="12"/>
            <color rgb="FF000000"/>
            <rFont val="+mn-lt"/>
            <charset val="1"/>
          </rPr>
          <t xml:space="preserve">geburtig
</t>
        </r>
        <r>
          <rPr>
            <sz val="12"/>
            <color rgb="FF000000"/>
            <rFont val="+mn-lt"/>
            <charset val="1"/>
          </rPr>
          <t xml:space="preserve">In </t>
        </r>
        <r>
          <rPr>
            <i/>
            <sz val="12"/>
            <color rgb="FF000000"/>
            <rFont val="+mn-lt"/>
            <charset val="1"/>
          </rPr>
          <t>Krzekowiz</t>
        </r>
        <r>
          <rPr>
            <sz val="12"/>
            <color rgb="FF000000"/>
            <rFont val="+mn-lt"/>
            <charset val="1"/>
          </rPr>
          <t xml:space="preserve"> </t>
        </r>
        <r>
          <rPr>
            <b/>
            <sz val="12"/>
            <color rgb="FF000000"/>
            <rFont val="+mn-lt"/>
            <charset val="1"/>
          </rPr>
          <t>[</t>
        </r>
        <r>
          <rPr>
            <b/>
            <u/>
            <sz val="12"/>
            <color rgb="FF0563C1"/>
            <rFont val="+mn-lt"/>
            <charset val="1"/>
          </rPr>
          <t>Krzeszowice, Poland</t>
        </r>
        <r>
          <rPr>
            <b/>
            <sz val="12"/>
            <color rgb="FF000000"/>
            <rFont val="+mn-lt"/>
            <charset val="1"/>
          </rPr>
          <t>]</t>
        </r>
        <r>
          <rPr>
            <sz val="12"/>
            <color rgb="FF000000"/>
            <rFont val="+mn-lt"/>
            <charset val="1"/>
          </rPr>
          <t xml:space="preserve">, Herrschaft </t>
        </r>
        <r>
          <rPr>
            <i/>
            <sz val="12"/>
            <color rgb="FF000000"/>
            <rFont val="+mn-lt"/>
            <charset val="1"/>
          </rPr>
          <t>Waiwoda</t>
        </r>
        <r>
          <rPr>
            <sz val="12"/>
            <color rgb="FF000000"/>
            <rFont val="+mn-lt"/>
            <charset val="1"/>
          </rPr>
          <t xml:space="preserve"> </t>
        </r>
        <r>
          <rPr>
            <b/>
            <sz val="12"/>
            <color rgb="FF000000"/>
            <rFont val="+mn-lt"/>
            <charset val="1"/>
          </rPr>
          <t>[?]</t>
        </r>
        <r>
          <rPr>
            <sz val="12"/>
            <color rgb="FF000000"/>
            <rFont val="+mn-lt"/>
            <charset val="1"/>
          </rPr>
          <t xml:space="preserve">, Kries Krakau, West Galizien ausgesiedelt/ </t>
        </r>
      </text>
    </comment>
    <comment ref="H596" authorId="0" shapeId="0" xr:uid="{FA29CB99-16E3-C94C-AE5A-3C9910A74EC9}">
      <text>
        <r>
          <rPr>
            <i/>
            <sz val="12"/>
            <color rgb="FF000000"/>
            <rFont val="+mn-lt"/>
            <charset val="1"/>
          </rPr>
          <t>Naturalisierter habsburgischer Untertan</t>
        </r>
      </text>
    </comment>
    <comment ref="BF596" authorId="0" shapeId="0" xr:uid="{5C20E703-F8D8-F04F-90B5-6508E7CA31A3}">
      <text>
        <r>
          <rPr>
            <sz val="14"/>
            <color rgb="FF000000"/>
            <rFont val="Times New Roman"/>
            <family val="18"/>
          </rPr>
          <t xml:space="preserve">17/10/1799 </t>
        </r>
        <r>
          <rPr>
            <i/>
            <sz val="14"/>
            <color rgb="FF000000"/>
            <rFont val="Times New Roman"/>
            <family val="18"/>
          </rPr>
          <t>Von den Gallizischen Stände a 3Fl gestellt und zu Konskie assentiert</t>
        </r>
        <r>
          <rPr>
            <sz val="14"/>
            <color rgb="FF000000"/>
            <rFont val="Times New Roman"/>
            <family val="18"/>
          </rPr>
          <t xml:space="preserve"> [ML 1803] </t>
        </r>
        <r>
          <rPr>
            <i/>
            <sz val="14"/>
            <color rgb="FF000000"/>
            <rFont val="Times New Roman"/>
            <family val="18"/>
          </rPr>
          <t>Hat das Decenium und wird folge als Inländer Betrachtet</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17/10/1799 </t>
        </r>
        <r>
          <rPr>
            <i/>
            <sz val="14"/>
            <color rgb="FFFF0000"/>
            <rFont val="Times New Roman"/>
            <family val="18"/>
          </rPr>
          <t>Zu Frankfurt assentiert</t>
        </r>
        <r>
          <rPr>
            <sz val="14"/>
            <color rgb="FFFF0000"/>
            <rFont val="Times New Roman"/>
            <family val="18"/>
          </rPr>
          <t xml:space="preserve"> [ML 1806]</t>
        </r>
        <r>
          <rPr>
            <sz val="14"/>
            <color rgb="FF000000"/>
            <rFont val="Calibri"/>
            <family val="34"/>
          </rPr>
          <t xml:space="preserve">
</t>
        </r>
        <r>
          <rPr>
            <sz val="14"/>
            <color rgb="FF000000"/>
            <rFont val="Times New Roman"/>
            <family val="18"/>
          </rPr>
          <t xml:space="preserve">Sept 1800 </t>
        </r>
        <r>
          <rPr>
            <i/>
            <sz val="14"/>
            <color rgb="FF000000"/>
            <rFont val="Times New Roman"/>
            <family val="18"/>
          </rPr>
          <t>Als Kranker zu florenz uberblieben und in die Kriegsgefangenschaft gerathen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May 1801 </t>
        </r>
        <r>
          <rPr>
            <i/>
            <sz val="14"/>
            <color rgb="FF000000"/>
            <rFont val="Times New Roman"/>
            <family val="18"/>
          </rPr>
          <t>wieder Zuruckgelegt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Seit zu Krzekowiz</t>
        </r>
        <r>
          <rPr>
            <sz val="14"/>
            <color rgb="FF000000"/>
            <rFont val="Times New Roman"/>
            <family val="18"/>
          </rPr>
          <t xml:space="preserve"> </t>
        </r>
        <r>
          <rPr>
            <b/>
            <sz val="14"/>
            <color rgb="FF000000"/>
            <rFont val="Times New Roman"/>
            <family val="18"/>
          </rPr>
          <t>[</t>
        </r>
        <r>
          <rPr>
            <b/>
            <u/>
            <sz val="14"/>
            <color rgb="FF0563C1"/>
            <rFont val="Times New Roman"/>
            <family val="18"/>
          </rPr>
          <t>Krzeszowice, Poland</t>
        </r>
        <r>
          <rPr>
            <b/>
            <sz val="14"/>
            <color rgb="FF000000"/>
            <rFont val="Times New Roman"/>
            <family val="18"/>
          </rPr>
          <t>]</t>
        </r>
        <r>
          <rPr>
            <i/>
            <sz val="14"/>
            <color rgb="FF000000"/>
            <rFont val="Times New Roman"/>
            <family val="18"/>
          </rPr>
          <t>, Herrschaft Waiwoda, Kreis Krakau, in West Galicia</t>
        </r>
        <r>
          <rPr>
            <sz val="14"/>
            <color rgb="FF000000"/>
            <rFont val="Times New Roman"/>
            <family val="18"/>
          </rPr>
          <t xml:space="preserve"> [Beurlaubt] [ML 1806]</t>
        </r>
        <r>
          <rPr>
            <sz val="14"/>
            <color rgb="FF000000"/>
            <rFont val="Calibri"/>
            <family val="34"/>
          </rPr>
          <t xml:space="preserve">
</t>
        </r>
        <r>
          <rPr>
            <sz val="14"/>
            <color rgb="FF000000"/>
            <rFont val="Times New Roman"/>
            <family val="18"/>
          </rPr>
          <t>29/08/1803 Muster: IR 59 Haupt Petrick Komp. Nr. 144 [</t>
        </r>
        <r>
          <rPr>
            <i/>
            <sz val="14"/>
            <color rgb="FF000000"/>
            <rFont val="Times New Roman"/>
            <family val="18"/>
          </rPr>
          <t>Beurlaubt bis zue Einberufung in Gallizien zu Gregowitz, Herrschaft Waiwoda, Krakau Kreis</t>
        </r>
        <r>
          <rPr>
            <sz val="14"/>
            <color rgb="FF000000"/>
            <rFont val="Times New Roman"/>
            <family val="18"/>
          </rPr>
          <t>]</t>
        </r>
        <r>
          <rPr>
            <sz val="14"/>
            <color rgb="FF000000"/>
            <rFont val="Calibri"/>
            <family val="34"/>
          </rPr>
          <t xml:space="preserve">
</t>
        </r>
        <r>
          <rPr>
            <sz val="14"/>
            <color rgb="FF000000"/>
            <rFont val="Times New Roman"/>
            <family val="18"/>
          </rPr>
          <t>03/09/1804 Muster: IR 59 Haupt Patrick Nr. 129 [</t>
        </r>
        <r>
          <rPr>
            <i/>
            <sz val="14"/>
            <color rgb="FF000000"/>
            <rFont val="Times New Roman"/>
            <family val="18"/>
          </rPr>
          <t>Beurlaubt bis einberufung in seinem Ausiedlungort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 </t>
        </r>
        <r>
          <rPr>
            <sz val="14"/>
            <color rgb="FF000000"/>
            <rFont val="Calibri"/>
            <family val="34"/>
          </rPr>
          <t xml:space="preserve">
</t>
        </r>
      </text>
    </comment>
    <comment ref="BG596" authorId="0" shapeId="0" xr:uid="{6F897165-2FEC-D242-9661-8A407963E7E4}">
      <text>
        <r>
          <rPr>
            <sz val="14"/>
            <color rgb="FF000000"/>
            <rFont val="Times New Roman"/>
            <family val="18"/>
          </rPr>
          <t>ML 5015 IR 59 ‘Jordis’ (1803) – Haupt. Petrick Comp. nr. 144 (Enns 29/08/1803)</t>
        </r>
        <r>
          <rPr>
            <sz val="14"/>
            <color rgb="FF000000"/>
            <rFont val="Calibri"/>
            <family val="34"/>
          </rPr>
          <t xml:space="preserve">
</t>
        </r>
        <r>
          <rPr>
            <sz val="14"/>
            <color rgb="FF000000"/>
            <rFont val="Times New Roman"/>
            <family val="18"/>
          </rPr>
          <t>ML 5015 IR 59 ‘Jordis’ (1804) – Haupt. Petrick Comp nr. 129 (Innsbruck 03/09/1804)</t>
        </r>
        <r>
          <rPr>
            <sz val="14"/>
            <color rgb="FF000000"/>
            <rFont val="Calibri"/>
            <family val="34"/>
          </rPr>
          <t xml:space="preserve">
</t>
        </r>
        <r>
          <rPr>
            <sz val="14"/>
            <color rgb="FF000000"/>
            <rFont val="Times New Roman"/>
            <family val="18"/>
          </rPr>
          <t>ML 5017/8 IR 59 ‚Jordis (1806) – 4. Fus. Komp. Abgang (Florian 27/12/1806), Consc. Unwissend verlohren‘ Nr. 85 (Linz 10/07/1807)</t>
        </r>
        <r>
          <rPr>
            <sz val="14"/>
            <color rgb="FF000000"/>
            <rFont val="Calibri"/>
            <family val="34"/>
          </rPr>
          <t xml:space="preserve">
</t>
        </r>
      </text>
    </comment>
    <comment ref="BH596" authorId="0" shapeId="0" xr:uid="{0F266574-0660-CF44-92A7-210B3D580156}">
      <text>
        <r>
          <rPr>
            <sz val="14"/>
            <color rgb="FF000000"/>
            <rFont val="Calibri"/>
            <family val="34"/>
          </rPr>
          <t>IR 59 (1799-1806)</t>
        </r>
      </text>
    </comment>
    <comment ref="BF597" authorId="0" shapeId="0" xr:uid="{A6D84616-DC3D-C443-B026-FBE50A372F07}">
      <text>
        <r>
          <rPr>
            <sz val="14"/>
            <color rgb="FF000000"/>
            <rFont val="Times New Roman"/>
            <family val="18"/>
          </rPr>
          <t xml:space="preserve">18/10/1799 </t>
        </r>
        <r>
          <rPr>
            <i/>
            <sz val="14"/>
            <color rgb="FF000000"/>
            <rFont val="Times New Roman"/>
            <family val="18"/>
          </rPr>
          <t>Zu Lublin gegen 3Fl Handgeld auf Beständig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26/05/1802 [als Fischel Miklowitz] </t>
        </r>
        <r>
          <rPr>
            <i/>
            <sz val="14"/>
            <color rgb="FF000000"/>
            <rFont val="Times New Roman"/>
            <family val="18"/>
          </rPr>
          <t xml:space="preserve">Als aus der Kriegsgefangenschaft sich selbst ranzioniert zu Lublin präsentiert </t>
        </r>
        <r>
          <rPr>
            <sz val="14"/>
            <color rgb="FF000000"/>
            <rFont val="Times New Roman"/>
            <family val="18"/>
          </rPr>
          <t>[ML 1802]</t>
        </r>
        <r>
          <rPr>
            <sz val="14"/>
            <color rgb="FF000000"/>
            <rFont val="Times New Roman"/>
            <family val="18"/>
          </rPr>
          <t xml:space="preserve">
</t>
        </r>
        <r>
          <rPr>
            <sz val="14"/>
            <color rgb="FF000000"/>
            <rFont val="Times New Roman"/>
            <family val="18"/>
          </rPr>
          <t>18/09/1802 Muster: IR 13 ObristLt Komp. Nr. 143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03/1803 </t>
        </r>
        <r>
          <rPr>
            <i/>
            <sz val="14"/>
            <color rgb="FF000000"/>
            <rFont val="Times New Roman"/>
            <family val="18"/>
          </rPr>
          <t>Vermog In- und oberost. Gral.Comdp Verordnung von 3. Jully 802 gegen Stellung eines uncapitulierten Ausl. Rekrutten und Erlag des Montouts Geld zu 26Fl 11xr mit Abschied entlassen</t>
        </r>
        <r>
          <rPr>
            <sz val="14"/>
            <color rgb="FF000000"/>
            <rFont val="Times New Roman"/>
            <family val="18"/>
          </rPr>
          <t xml:space="preserve"> [ML 1803] </t>
        </r>
      </text>
    </comment>
    <comment ref="BG597" authorId="0" shapeId="0" xr:uid="{DAD84443-C548-2940-959A-FA98DBC58082}">
      <text>
        <r>
          <rPr>
            <sz val="14"/>
            <color rgb="FF000000"/>
            <rFont val="Times New Roman"/>
            <family val="18"/>
          </rPr>
          <t>ML 10.045/6 IR 13 (1802) – ObristLt Komp. Nr. 143 (Capo D‘Istria 18/09/1802)</t>
        </r>
        <r>
          <rPr>
            <sz val="14"/>
            <color rgb="FF000000"/>
            <rFont val="Times New Roman"/>
            <family val="18"/>
          </rPr>
          <t xml:space="preserve">
</t>
        </r>
        <r>
          <rPr>
            <sz val="14"/>
            <color rgb="FF000000"/>
            <rFont val="Times New Roman"/>
            <family val="18"/>
          </rPr>
          <t>ML 10.047/8 IR 13 (1803) – ObristLt. Komp. Abgang (Capo D‘Istria 24/09/1803)</t>
        </r>
        <r>
          <rPr>
            <sz val="14"/>
            <color rgb="FF000000"/>
            <rFont val="Times New Roman"/>
            <family val="18"/>
          </rPr>
          <t xml:space="preserve">
</t>
        </r>
      </text>
    </comment>
    <comment ref="BH597" authorId="0" shapeId="0" xr:uid="{275BE189-5C1A-AD46-951C-129F57086A97}">
      <text>
        <r>
          <rPr>
            <sz val="14"/>
            <color rgb="FF000000"/>
            <rFont val="Calibri"/>
            <family val="34"/>
          </rPr>
          <t>IR 13 (1799-1803)</t>
        </r>
      </text>
    </comment>
    <comment ref="BF598" authorId="0" shapeId="0" xr:uid="{17FAA218-ED15-8545-946D-E596ACE03AA6}">
      <text>
        <r>
          <rPr>
            <sz val="14"/>
            <color rgb="FF000000"/>
            <rFont val="Times New Roman"/>
            <family val="18"/>
          </rPr>
          <t xml:space="preserve">21/10/1799 </t>
        </r>
        <r>
          <rPr>
            <i/>
            <sz val="14"/>
            <color rgb="FF000000"/>
            <rFont val="Times New Roman"/>
            <family val="18"/>
          </rPr>
          <t>Von Ständen</t>
        </r>
        <r>
          <rPr>
            <sz val="14"/>
            <color rgb="FF000000"/>
            <rFont val="Times New Roman"/>
            <family val="18"/>
          </rPr>
          <t xml:space="preserve"> [auf 10 Jahren] </t>
        </r>
        <r>
          <rPr>
            <i/>
            <sz val="14"/>
            <color rgb="FF000000"/>
            <rFont val="Times New Roman"/>
            <family val="18"/>
          </rPr>
          <t>Gestellt</t>
        </r>
        <r>
          <rPr>
            <sz val="14"/>
            <color rgb="FF000000"/>
            <rFont val="Times New Roman"/>
            <family val="18"/>
          </rPr>
          <t xml:space="preserve"> [ML 1803 &amp; ML 1804]</t>
        </r>
        <r>
          <rPr>
            <sz val="14"/>
            <color rgb="FF000000"/>
            <rFont val="Calibri"/>
            <family val="34"/>
          </rPr>
          <t xml:space="preserve">
</t>
        </r>
        <r>
          <rPr>
            <sz val="14"/>
            <color rgb="FF000000"/>
            <rFont val="Times New Roman"/>
            <family val="18"/>
          </rPr>
          <t xml:space="preserve">01/06/1802 </t>
        </r>
        <r>
          <rPr>
            <i/>
            <sz val="14"/>
            <color rgb="FF000000"/>
            <rFont val="Times New Roman"/>
            <family val="18"/>
          </rPr>
          <t>zum Privat Diener Muttiert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ObristLt Comp. Nr. 96</t>
        </r>
        <r>
          <rPr>
            <sz val="14"/>
            <color rgb="FF000000"/>
            <rFont val="Calibri"/>
            <family val="34"/>
          </rPr>
          <t xml:space="preserve">
</t>
        </r>
        <r>
          <rPr>
            <sz val="14"/>
            <color rgb="FF000000"/>
            <rFont val="Times New Roman"/>
            <family val="18"/>
          </rPr>
          <t xml:space="preserve">21/10/1803 </t>
        </r>
        <r>
          <rPr>
            <i/>
            <sz val="14"/>
            <color rgb="FF000000"/>
            <rFont val="Times New Roman"/>
            <family val="18"/>
          </rPr>
          <t>Wieder zum Gemeiner übersetzt</t>
        </r>
        <r>
          <rPr>
            <sz val="14"/>
            <color rgb="FF000000"/>
            <rFont val="Times New Roman"/>
            <family val="18"/>
          </rPr>
          <t xml:space="preserve"> [ML 1804]</t>
        </r>
        <r>
          <rPr>
            <sz val="14"/>
            <color rgb="FF000000"/>
            <rFont val="Calibri"/>
            <family val="34"/>
          </rPr>
          <t xml:space="preserve">
</t>
        </r>
        <r>
          <rPr>
            <sz val="14"/>
            <color rgb="FF000000"/>
            <rFont val="Times New Roman"/>
            <family val="18"/>
          </rPr>
          <t>19/09/1804 Muster: ObristLt Komp. Nr. 80</t>
        </r>
        <r>
          <rPr>
            <sz val="14"/>
            <color rgb="FF000000"/>
            <rFont val="Calibri"/>
            <family val="34"/>
          </rPr>
          <t xml:space="preserve">
</t>
        </r>
        <r>
          <rPr>
            <sz val="14"/>
            <color rgb="FF000000"/>
            <rFont val="Times New Roman"/>
            <family val="18"/>
          </rPr>
          <t xml:space="preserve">01/08/1808 </t>
        </r>
        <r>
          <rPr>
            <i/>
            <sz val="14"/>
            <color rgb="FF000000"/>
            <rFont val="Times New Roman"/>
            <family val="18"/>
          </rPr>
          <t>von 6. Fus (Haupt Jarovsky) zum 13. Fus Comp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05/09/1808 Revision: IR 30 13. Fus Komp. Nr. 194 [</t>
        </r>
        <r>
          <rPr>
            <i/>
            <sz val="14"/>
            <color rgb="FF000000"/>
            <rFont val="Times New Roman"/>
            <family val="18"/>
          </rPr>
          <t>Commandiert in Spital</t>
        </r>
        <r>
          <rPr>
            <sz val="14"/>
            <color rgb="FF000000"/>
            <rFont val="Times New Roman"/>
            <family val="18"/>
          </rPr>
          <t>]</t>
        </r>
        <r>
          <rPr>
            <sz val="14"/>
            <color rgb="FF000000"/>
            <rFont val="Calibri"/>
            <family val="34"/>
          </rPr>
          <t xml:space="preserve">
</t>
        </r>
        <r>
          <rPr>
            <sz val="14"/>
            <color rgb="FF000000"/>
            <rFont val="Times New Roman"/>
            <family val="18"/>
          </rPr>
          <t>01/10/1810 Revision: IR 30 1. Fus Komp. Nr. 159 [</t>
        </r>
        <r>
          <rPr>
            <i/>
            <sz val="14"/>
            <color rgb="FF000000"/>
            <rFont val="Times New Roman"/>
            <family val="18"/>
          </rPr>
          <t>Beim Staab zugeheilt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10/08/1811 </t>
        </r>
        <r>
          <rPr>
            <i/>
            <sz val="14"/>
            <color rgb="FF000000"/>
            <rFont val="Times New Roman"/>
            <family val="18"/>
          </rPr>
          <t>zu Folge hohe hofkriegsratliche Verordnung von 20/07/1811 als Ausgedienter Veteran von 1. Fus Comp mit Abschied entlassen</t>
        </r>
        <r>
          <rPr>
            <sz val="14"/>
            <color rgb="FF000000"/>
            <rFont val="Times New Roman"/>
            <family val="18"/>
          </rPr>
          <t xml:space="preserve"> [ML 1811]</t>
        </r>
        <r>
          <rPr>
            <sz val="14"/>
            <color rgb="FF000000"/>
            <rFont val="Calibri"/>
            <family val="34"/>
          </rPr>
          <t xml:space="preserve">
</t>
        </r>
      </text>
    </comment>
    <comment ref="BG598" authorId="0" shapeId="0" xr:uid="{8C033DE3-F624-2042-A04E-E841B2D42984}">
      <text>
        <r>
          <rPr>
            <sz val="14"/>
            <color rgb="FF000000"/>
            <rFont val="Times New Roman"/>
            <family val="18"/>
          </rPr>
          <t>ML 2630 IR 30 (1803) – ObristLt Komp. Nr. 96 (Lemberg 18/08/1803)</t>
        </r>
        <r>
          <rPr>
            <sz val="14"/>
            <color rgb="FF000000"/>
            <rFont val="Calibri"/>
            <family val="34"/>
          </rPr>
          <t xml:space="preserve">
</t>
        </r>
        <r>
          <rPr>
            <sz val="14"/>
            <color rgb="FF000000"/>
            <rFont val="Times New Roman"/>
            <family val="18"/>
          </rPr>
          <t>ML 2631 IR 30 (1804) – ObristLt Komp. Nr. 80 (Lemberg 19/09/1804)</t>
        </r>
        <r>
          <rPr>
            <sz val="14"/>
            <color rgb="FF000000"/>
            <rFont val="Calibri"/>
            <family val="34"/>
          </rPr>
          <t xml:space="preserve">
</t>
        </r>
        <r>
          <rPr>
            <sz val="14"/>
            <color rgb="FF000000"/>
            <rFont val="Times New Roman"/>
            <family val="18"/>
          </rPr>
          <t>ML 2632 IR 30 (1808) – RL 13. Fus. Komp. Nr. 194 (Lemberg 05/09/1808); RL 1. Fus. Komp. Nr. 159 (Stry 01/10/1810)</t>
        </r>
        <r>
          <rPr>
            <sz val="14"/>
            <color rgb="FF000000"/>
            <rFont val="Calibri"/>
            <family val="34"/>
          </rPr>
          <t xml:space="preserve">
</t>
        </r>
        <r>
          <rPr>
            <sz val="14"/>
            <color rgb="FF000000"/>
            <rFont val="Times New Roman"/>
            <family val="18"/>
          </rPr>
          <t>ML 2633 IR 30 (1811) – 1. Fus. Komp. – Abgang (Stanislau 21/09/1811)</t>
        </r>
        <r>
          <rPr>
            <sz val="14"/>
            <color rgb="FF000000"/>
            <rFont val="Calibri"/>
            <family val="34"/>
          </rPr>
          <t xml:space="preserve">
</t>
        </r>
      </text>
    </comment>
    <comment ref="BH598" authorId="0" shapeId="0" xr:uid="{52A45D96-DAC5-5543-AF26-BF06CA77A7C7}">
      <text>
        <r>
          <rPr>
            <sz val="14"/>
            <color rgb="FF000000"/>
            <rFont val="Calibri"/>
            <family val="34"/>
          </rPr>
          <t>IR 30 (1799-1811)</t>
        </r>
      </text>
    </comment>
    <comment ref="BF599" authorId="0" shapeId="0" xr:uid="{76C5AAB2-DA72-9048-B918-EAF94D8A7A0D}">
      <text>
        <r>
          <rPr>
            <sz val="14"/>
            <color rgb="FF000000"/>
            <rFont val="Times New Roman"/>
            <family val="18"/>
          </rPr>
          <t xml:space="preserve">30/10/1799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Drohn Komp. Nr. 63 [</t>
        </r>
        <r>
          <rPr>
            <i/>
            <sz val="14"/>
            <color rgb="FF000000"/>
            <rFont val="Times New Roman"/>
            <family val="18"/>
          </rPr>
          <t>Beurlaubt zu Krakau</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59 [</t>
        </r>
        <r>
          <rPr>
            <i/>
            <sz val="14"/>
            <color rgb="FF000000"/>
            <rFont val="Times New Roman"/>
            <family val="18"/>
          </rPr>
          <t>Kommandiert auf Mappierung</t>
        </r>
        <r>
          <rPr>
            <sz val="14"/>
            <color rgb="FF000000"/>
            <rFont val="Times New Roman"/>
            <family val="18"/>
          </rPr>
          <t>]</t>
        </r>
        <r>
          <rPr>
            <sz val="14"/>
            <color rgb="FF000000"/>
            <rFont val="Calibri"/>
            <family val="34"/>
          </rPr>
          <t xml:space="preserve">
</t>
        </r>
        <r>
          <rPr>
            <sz val="14"/>
            <color rgb="FF000000"/>
            <rFont val="Times New Roman"/>
            <family val="18"/>
          </rPr>
          <t xml:space="preserve">20/04/1805 </t>
        </r>
        <r>
          <rPr>
            <i/>
            <sz val="14"/>
            <color rgb="FF000000"/>
            <rFont val="Times New Roman"/>
            <family val="18"/>
          </rPr>
          <t>Von Picquet zu Patowill desertiert</t>
        </r>
        <r>
          <rPr>
            <sz val="14"/>
            <color rgb="FF000000"/>
            <rFont val="Times New Roman"/>
            <family val="18"/>
          </rPr>
          <t xml:space="preserve"> [ML 1806] </t>
        </r>
      </text>
    </comment>
    <comment ref="BG599" authorId="0" shapeId="0" xr:uid="{4B9AAC98-FCA0-2641-9E4C-D48D5C8C6AF0}">
      <text>
        <r>
          <rPr>
            <sz val="14"/>
            <color rgb="FF000000"/>
            <rFont val="Times New Roman"/>
            <family val="18"/>
          </rPr>
          <t>ML 5015 IR 59 (1803) – Haupt. Drohn Komp. Nr. 63 (Wells 30/08/1803)</t>
        </r>
        <r>
          <rPr>
            <sz val="14"/>
            <color rgb="FF000000"/>
            <rFont val="Calibri"/>
            <family val="34"/>
          </rPr>
          <t xml:space="preserve">
</t>
        </r>
        <r>
          <rPr>
            <sz val="14"/>
            <color rgb="FF000000"/>
            <rFont val="Times New Roman"/>
            <family val="18"/>
          </rPr>
          <t>ML 5016 IR 59 (1804) – Haupt. Drohn Komp. Nr. 59 (Wells 05/09/1804)</t>
        </r>
        <r>
          <rPr>
            <sz val="14"/>
            <color rgb="FF000000"/>
            <rFont val="Calibri"/>
            <family val="34"/>
          </rPr>
          <t xml:space="preserve">
</t>
        </r>
        <r>
          <rPr>
            <sz val="14"/>
            <color rgb="FF000000"/>
            <rFont val="Times New Roman"/>
            <family val="18"/>
          </rPr>
          <t>ML 5017/8 IR 59 (1806) – 16. Fus. Komp. Abgang (Freistadt 22/12/1806)</t>
        </r>
        <r>
          <rPr>
            <sz val="14"/>
            <color rgb="FF000000"/>
            <rFont val="Calibri"/>
            <family val="34"/>
          </rPr>
          <t xml:space="preserve">
</t>
        </r>
      </text>
    </comment>
    <comment ref="BH599" authorId="0" shapeId="0" xr:uid="{5C3696DF-752A-0342-A8AB-149B2C6C8E83}">
      <text>
        <r>
          <rPr>
            <sz val="14"/>
            <color rgb="FF000000"/>
            <rFont val="Calibri"/>
            <family val="34"/>
          </rPr>
          <t>IR 59 (1799-1805)</t>
        </r>
      </text>
    </comment>
    <comment ref="BF600" authorId="0" shapeId="0" xr:uid="{4209326C-1CF6-2141-8991-08621AA84F2A}">
      <text>
        <r>
          <rPr>
            <sz val="14"/>
            <color rgb="FF000000"/>
            <rFont val="Times New Roman"/>
            <family val="18"/>
          </rPr>
          <t xml:space="preserve">01/11/1799 [Seit mindestens] </t>
        </r>
        <r>
          <rPr>
            <i/>
            <sz val="14"/>
            <color rgb="FF000000"/>
            <rFont val="Times New Roman"/>
            <family val="18"/>
          </rPr>
          <t>Dient bei der IR 43 Proviant Bespannung</t>
        </r>
        <r>
          <rPr>
            <sz val="14"/>
            <color rgb="FF000000"/>
            <rFont val="Calibri"/>
            <family val="34"/>
          </rPr>
          <t xml:space="preserve">
</t>
        </r>
        <r>
          <rPr>
            <sz val="14"/>
            <color rgb="FF000000"/>
            <rFont val="Times New Roman"/>
            <family val="18"/>
          </rPr>
          <t xml:space="preserve">20/05/1801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r>
          <rPr>
            <sz val="14"/>
            <color rgb="FF000000"/>
            <rFont val="Calibri"/>
            <family val="34"/>
          </rPr>
          <t xml:space="preserve">
</t>
        </r>
      </text>
    </comment>
    <comment ref="BG600" authorId="0" shapeId="0" xr:uid="{E30015AE-6B7E-B445-847F-50DE144EFDD4}">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600" authorId="0" shapeId="0" xr:uid="{D938A040-A58B-DB4B-949C-1314F22DD857}">
      <text>
        <r>
          <rPr>
            <sz val="14"/>
            <color rgb="FF000000"/>
            <rFont val="Calibri"/>
            <family val="34"/>
          </rPr>
          <t>MFWK (1799-1801)</t>
        </r>
      </text>
    </comment>
    <comment ref="BF601" authorId="0" shapeId="0" xr:uid="{A6945983-C020-2044-8516-228DDC48AD43}">
      <text>
        <r>
          <rPr>
            <sz val="14"/>
            <color rgb="FF000000"/>
            <rFont val="Times New Roman"/>
            <family val="18"/>
          </rPr>
          <t xml:space="preserve">01/11/1799 [Seit mindestens] </t>
        </r>
        <r>
          <rPr>
            <i/>
            <sz val="14"/>
            <color rgb="FF000000"/>
            <rFont val="Times New Roman"/>
            <family val="18"/>
          </rPr>
          <t>Dient bei der IR 43 Proviant Bespannung</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r>
          <rPr>
            <sz val="14"/>
            <color rgb="FF000000"/>
            <rFont val="Calibri"/>
            <family val="34"/>
          </rPr>
          <t xml:space="preserve">
</t>
        </r>
      </text>
    </comment>
    <comment ref="BG601" authorId="0" shapeId="0" xr:uid="{88B2DC1E-3FC7-CA40-8E3F-29AC9C5824E6}">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601" authorId="0" shapeId="0" xr:uid="{A0557DFE-73B5-674F-A1F4-6912B05AFD38}">
      <text>
        <r>
          <rPr>
            <sz val="14"/>
            <color rgb="FF000000"/>
            <rFont val="Calibri"/>
            <family val="34"/>
          </rPr>
          <t>MFWK (1799-1801)</t>
        </r>
      </text>
    </comment>
    <comment ref="BF602" authorId="0" shapeId="0" xr:uid="{12437E39-F953-8442-AA8F-2EA3A54C6890}">
      <text>
        <r>
          <rPr>
            <sz val="14"/>
            <color rgb="FF000000"/>
            <rFont val="Times New Roman"/>
            <family val="18"/>
          </rPr>
          <t xml:space="preserve">01/11/1799 [Seit mindestens] </t>
        </r>
        <r>
          <rPr>
            <i/>
            <sz val="14"/>
            <color rgb="FF000000"/>
            <rFont val="Times New Roman"/>
            <family val="18"/>
          </rPr>
          <t>Dient bei der IR 43 Artillerie Bespannung</t>
        </r>
        <r>
          <rPr>
            <sz val="14"/>
            <color rgb="FF000000"/>
            <rFont val="Calibri"/>
            <family val="34"/>
          </rPr>
          <t xml:space="preserve">
</t>
        </r>
        <r>
          <rPr>
            <sz val="14"/>
            <color rgb="FF000000"/>
            <rFont val="Times New Roman"/>
            <family val="18"/>
          </rPr>
          <t xml:space="preserve">20/05/1801 </t>
        </r>
        <r>
          <rPr>
            <i/>
            <sz val="14"/>
            <color rgb="FF000000"/>
            <rFont val="Times New Roman"/>
            <family val="18"/>
          </rPr>
          <t>Von IR 43 Regiment Artillerie Bespannung zum Ital. Fuhrwesen Reserve division transferiert</t>
        </r>
        <r>
          <rPr>
            <sz val="14"/>
            <color rgb="FF000000"/>
            <rFont val="Times New Roman"/>
            <family val="18"/>
          </rPr>
          <t xml:space="preserve"> [ST May 1801]</t>
        </r>
        <r>
          <rPr>
            <sz val="14"/>
            <color rgb="FF000000"/>
            <rFont val="Calibri"/>
            <family val="34"/>
          </rPr>
          <t xml:space="preserve">
</t>
        </r>
      </text>
    </comment>
    <comment ref="BG602" authorId="0" shapeId="0" xr:uid="{032F14F1-09BF-E042-A814-3C6B33F8B605}">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602" authorId="0" shapeId="0" xr:uid="{44F976F6-B3AA-924C-9940-DD958D3F1ECE}">
      <text>
        <r>
          <rPr>
            <sz val="14"/>
            <color rgb="FF000000"/>
            <rFont val="Calibri"/>
            <family val="34"/>
          </rPr>
          <t>MFWK (1799-1801)</t>
        </r>
      </text>
    </comment>
    <comment ref="BF603" authorId="0" shapeId="0" xr:uid="{9B1DA671-143E-E841-9010-FB959E1935B3}">
      <text>
        <r>
          <rPr>
            <sz val="14"/>
            <color rgb="FF000000"/>
            <rFont val="Times New Roman"/>
            <family val="18"/>
          </rPr>
          <t xml:space="preserve">31/10/1799 [Dient seit mindestens] </t>
        </r>
        <r>
          <rPr>
            <i/>
            <sz val="14"/>
            <color rgb="FF000000"/>
            <rFont val="Times New Roman"/>
            <family val="18"/>
          </rPr>
          <t>Beim IR 10 Artillerie Bespannung</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31/08/1800 </t>
        </r>
        <r>
          <rPr>
            <i/>
            <sz val="14"/>
            <color rgb="FF000000"/>
            <rFont val="Times New Roman"/>
            <family val="18"/>
          </rPr>
          <t>Von IR 10 Proviant Fuhrwesen zum MFWK Tyroller Feld Reserve Division transferiert</t>
        </r>
        <r>
          <rPr>
            <sz val="14"/>
            <color rgb="FF000000"/>
            <rFont val="Times New Roman"/>
            <family val="18"/>
          </rPr>
          <t xml:space="preserve"> [ST Sept 1799]</t>
        </r>
        <r>
          <rPr>
            <sz val="14"/>
            <color rgb="FF000000"/>
            <rFont val="Calibri"/>
            <family val="34"/>
          </rPr>
          <t xml:space="preserve">
</t>
        </r>
      </text>
    </comment>
    <comment ref="BG603" authorId="0" shapeId="0" xr:uid="{5BD20D86-1394-6345-B84C-0EDD0B9A5CD7}">
      <text>
        <r>
          <rPr>
            <sz val="14"/>
            <color rgb="FF000000"/>
            <rFont val="Times New Roman"/>
            <family val="18"/>
          </rPr>
          <t>ML 746 IR 10 (1798/9) – ST Nov 1799 (13/05/1800)</t>
        </r>
        <r>
          <rPr>
            <sz val="14"/>
            <color rgb="FF000000"/>
            <rFont val="Calibri"/>
            <family val="34"/>
          </rPr>
          <t xml:space="preserve">
</t>
        </r>
        <r>
          <rPr>
            <sz val="14"/>
            <color rgb="FF000000"/>
            <rFont val="Times New Roman"/>
            <family val="18"/>
          </rPr>
          <t>ML 747 IR 10 (1800) – ST Sept (08/10/1801)</t>
        </r>
        <r>
          <rPr>
            <sz val="14"/>
            <color rgb="FF000000"/>
            <rFont val="Calibri"/>
            <family val="34"/>
          </rPr>
          <t xml:space="preserve">
</t>
        </r>
      </text>
    </comment>
    <comment ref="BH603" authorId="0" shapeId="0" xr:uid="{14AD0E36-AEE2-8C44-8786-161C4A59DAAB}">
      <text>
        <r>
          <rPr>
            <sz val="14"/>
            <color rgb="FF000000"/>
            <rFont val="Calibri"/>
            <family val="34"/>
          </rPr>
          <t xml:space="preserve">MFWK (1799-1800)
</t>
        </r>
      </text>
    </comment>
    <comment ref="BF604" authorId="0" shapeId="0" xr:uid="{4EA917CA-6E3A-8C42-833B-4DC1992DDB96}">
      <text>
        <r>
          <rPr>
            <sz val="14"/>
            <color rgb="FF000000"/>
            <rFont val="Times New Roman"/>
            <family val="18"/>
          </rPr>
          <t xml:space="preserve">31/10/1799 [Dient seit mindestens] </t>
        </r>
        <r>
          <rPr>
            <i/>
            <sz val="14"/>
            <color rgb="FF000000"/>
            <rFont val="Times New Roman"/>
            <family val="18"/>
          </rPr>
          <t>Beim IR 10 Artillerie Bespannung</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05/01/1800 </t>
        </r>
        <r>
          <rPr>
            <i/>
            <sz val="14"/>
            <color rgb="FF000000"/>
            <rFont val="Times New Roman"/>
            <family val="18"/>
          </rPr>
          <t>Mit auswärtiger Verpflegung Krank zu Tassano</t>
        </r>
        <r>
          <rPr>
            <sz val="14"/>
            <color rgb="FF000000"/>
            <rFont val="Times New Roman"/>
            <family val="18"/>
          </rPr>
          <t xml:space="preserve"> [ST Jan 1800]</t>
        </r>
        <r>
          <rPr>
            <sz val="14"/>
            <color rgb="FF000000"/>
            <rFont val="Calibri"/>
            <family val="34"/>
          </rPr>
          <t xml:space="preserve">
</t>
        </r>
        <r>
          <rPr>
            <sz val="14"/>
            <color rgb="FF000000"/>
            <rFont val="Times New Roman"/>
            <family val="18"/>
          </rPr>
          <t>25/01/1800</t>
        </r>
        <r>
          <rPr>
            <i/>
            <sz val="14"/>
            <color rgb="FF000000"/>
            <rFont val="Times New Roman"/>
            <family val="18"/>
          </rPr>
          <t xml:space="preserve"> Rekonvalesziert </t>
        </r>
        <r>
          <rPr>
            <sz val="14"/>
            <color rgb="FF000000"/>
            <rFont val="Times New Roman"/>
            <family val="18"/>
          </rPr>
          <t>[ST Jan 1800]</t>
        </r>
        <r>
          <rPr>
            <sz val="14"/>
            <color rgb="FF000000"/>
            <rFont val="Calibri"/>
            <family val="34"/>
          </rPr>
          <t xml:space="preserve">
</t>
        </r>
        <r>
          <rPr>
            <sz val="14"/>
            <color rgb="FF000000"/>
            <rFont val="Times New Roman"/>
            <family val="18"/>
          </rPr>
          <t xml:space="preserve">15/05/1801 </t>
        </r>
        <r>
          <rPr>
            <i/>
            <sz val="14"/>
            <color rgb="FF000000"/>
            <rFont val="Times New Roman"/>
            <family val="18"/>
          </rPr>
          <t xml:space="preserve">Von IR 10 Artillerie Bespannung zum MFWK Wiener Einrichtung Division transferiert </t>
        </r>
        <r>
          <rPr>
            <sz val="14"/>
            <color rgb="FF000000"/>
            <rFont val="Times New Roman"/>
            <family val="18"/>
          </rPr>
          <t>[ST May]</t>
        </r>
        <r>
          <rPr>
            <sz val="14"/>
            <color rgb="FF000000"/>
            <rFont val="Calibri"/>
            <family val="34"/>
          </rPr>
          <t xml:space="preserve">
</t>
        </r>
      </text>
    </comment>
    <comment ref="BG604" authorId="0" shapeId="0" xr:uid="{906A2CAA-CDC4-EC47-9FD9-EC732784CE82}">
      <text>
        <r>
          <rPr>
            <sz val="14"/>
            <color rgb="FF000000"/>
            <rFont val="Times New Roman"/>
            <family val="18"/>
          </rPr>
          <t>ML 746 IR 10 (1798/9) – ST Nov 1799 (13/05/1800)</t>
        </r>
        <r>
          <rPr>
            <sz val="14"/>
            <color rgb="FF000000"/>
            <rFont val="Calibri"/>
            <family val="34"/>
          </rPr>
          <t xml:space="preserve">
</t>
        </r>
        <r>
          <rPr>
            <sz val="14"/>
            <color rgb="FF000000"/>
            <rFont val="Times New Roman"/>
            <family val="18"/>
          </rPr>
          <t>ML 747 IR 10 (1800) – ST Jan (24/06/1800)</t>
        </r>
        <r>
          <rPr>
            <sz val="14"/>
            <color rgb="FF000000"/>
            <rFont val="Calibri"/>
            <family val="34"/>
          </rPr>
          <t xml:space="preserve">
</t>
        </r>
        <r>
          <rPr>
            <sz val="14"/>
            <color rgb="FF000000"/>
            <rFont val="Times New Roman"/>
            <family val="18"/>
          </rPr>
          <t>ML 749 IR 10 (1801) – ST May (02/03/1802)</t>
        </r>
        <r>
          <rPr>
            <sz val="14"/>
            <color rgb="FF000000"/>
            <rFont val="Calibri"/>
            <family val="34"/>
          </rPr>
          <t xml:space="preserve">
</t>
        </r>
      </text>
    </comment>
    <comment ref="BH604" authorId="0" shapeId="0" xr:uid="{30AC1F03-9E84-6A43-8CD0-0D13EF89651F}">
      <text>
        <r>
          <rPr>
            <sz val="14"/>
            <color rgb="FF000000"/>
            <rFont val="Calibri"/>
            <family val="34"/>
          </rPr>
          <t>MFWK (1799-1801)</t>
        </r>
      </text>
    </comment>
    <comment ref="BF605" authorId="0" shapeId="0" xr:uid="{BC10F295-6CA8-8246-A988-4B8C2AC63458}">
      <text>
        <r>
          <rPr>
            <sz val="14"/>
            <color rgb="FF000000"/>
            <rFont val="Times New Roman"/>
            <family val="18"/>
          </rPr>
          <t xml:space="preserve">01/11/1799 </t>
        </r>
        <r>
          <rPr>
            <i/>
            <sz val="14"/>
            <color rgb="FF000000"/>
            <rFont val="Times New Roman"/>
            <family val="18"/>
          </rPr>
          <t xml:space="preserve">Zu Siedlice gegen 3Fl von Ständen gestellt </t>
        </r>
        <r>
          <rPr>
            <sz val="14"/>
            <color rgb="FF000000"/>
            <rFont val="Times New Roman"/>
            <family val="18"/>
          </rPr>
          <t>[ML 1804]</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Setlinger Nr. 57 [</t>
        </r>
        <r>
          <rPr>
            <i/>
            <sz val="14"/>
            <color rgb="FF000000"/>
            <rFont val="Times New Roman"/>
            <family val="18"/>
          </rPr>
          <t>Beuralubt in Galizien in seinem Geburtsort</t>
        </r>
        <r>
          <rPr>
            <sz val="14"/>
            <color rgb="FF000000"/>
            <rFont val="Times New Roman"/>
            <family val="18"/>
          </rPr>
          <t>] [ML 1803]</t>
        </r>
        <r>
          <rPr>
            <sz val="14"/>
            <color rgb="FF000000"/>
            <rFont val="Calibri"/>
            <family val="34"/>
          </rPr>
          <t xml:space="preserve">
</t>
        </r>
        <r>
          <rPr>
            <sz val="14"/>
            <color rgb="FF000000"/>
            <rFont val="Times New Roman"/>
            <family val="18"/>
          </rPr>
          <t>03/09/1804 Muster: IR 59 Haupt Setlinger Komp. Nr. 129 [</t>
        </r>
        <r>
          <rPr>
            <i/>
            <sz val="14"/>
            <color rgb="FF000000"/>
            <rFont val="Times New Roman"/>
            <family val="18"/>
          </rPr>
          <t>Beurlaubt bis zur Einberufung is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 </t>
        </r>
        <r>
          <rPr>
            <sz val="14"/>
            <color rgb="FF000000"/>
            <rFont val="Calibri"/>
            <family val="34"/>
          </rPr>
          <t xml:space="preserve">
</t>
        </r>
      </text>
    </comment>
    <comment ref="BG605" authorId="0" shapeId="0" xr:uid="{DF872B21-C995-2443-8C6F-378B211C9D83}">
      <text>
        <r>
          <rPr>
            <sz val="14"/>
            <color rgb="FF000000"/>
            <rFont val="Times New Roman"/>
            <family val="18"/>
          </rPr>
          <t>ML 5015 IR 59 (1803) – Haupt. Setlinger Komp. Nr. 62 (Enns 29/08/1803)</t>
        </r>
        <r>
          <rPr>
            <sz val="14"/>
            <color rgb="FF000000"/>
            <rFont val="Calibri"/>
            <family val="34"/>
          </rPr>
          <t xml:space="preserve">
</t>
        </r>
        <r>
          <rPr>
            <sz val="14"/>
            <color rgb="FF000000"/>
            <rFont val="Times New Roman"/>
            <family val="18"/>
          </rPr>
          <t>ML 5015 IR 59 (1804) – Haupt. Setlinger Komp. Nr. 57 (Innsbruck 03/09/1804)</t>
        </r>
        <r>
          <rPr>
            <sz val="14"/>
            <color rgb="FF000000"/>
            <rFont val="Calibri"/>
            <family val="34"/>
          </rPr>
          <t xml:space="preserve">
</t>
        </r>
        <r>
          <rPr>
            <sz val="14"/>
            <color rgb="FF000000"/>
            <rFont val="Times New Roman"/>
            <family val="18"/>
          </rPr>
          <t>ML 5017/8 IR 59 (1806) –5. Fus. Komp. Abgang (Linz 20/12/1806) &amp; Cons. Unwissend verlohren‘ Nr. 100 (Linz 10/07/1807)</t>
        </r>
        <r>
          <rPr>
            <sz val="14"/>
            <color rgb="FF000000"/>
            <rFont val="Calibri"/>
            <family val="34"/>
          </rPr>
          <t xml:space="preserve">
</t>
        </r>
      </text>
    </comment>
    <comment ref="BH605" authorId="0" shapeId="0" xr:uid="{12453DF6-2C7B-544F-8475-DE20679B22BB}">
      <text>
        <r>
          <rPr>
            <sz val="14"/>
            <color rgb="FF000000"/>
            <rFont val="Calibri"/>
            <family val="34"/>
          </rPr>
          <t>IR 59 (1799-1806)</t>
        </r>
      </text>
    </comment>
    <comment ref="CR605" authorId="0" shapeId="0" xr:uid="{F586EBBA-B89D-AF49-9091-BA2D40758E64}">
      <text>
        <r>
          <rPr>
            <sz val="14"/>
            <color rgb="FF000000"/>
            <rFont val="Calibri"/>
            <family val="34"/>
          </rPr>
          <t>1803/6: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 Katolisch 'detto' </t>
        </r>
      </text>
    </comment>
    <comment ref="T606" authorId="0" shapeId="0" xr:uid="{DF8AAB2D-E341-1541-9CDE-3C0364FAC57D}">
      <text>
        <r>
          <rPr>
            <sz val="14"/>
            <color rgb="FF000000"/>
            <rFont val="Calibri"/>
            <family val="34"/>
          </rPr>
          <t xml:space="preserve">5.3.2 [(166.33 (ML 1803-6)]
</t>
        </r>
        <r>
          <rPr>
            <sz val="14"/>
            <color rgb="FF000000"/>
            <rFont val="Calibri"/>
            <family val="34"/>
          </rPr>
          <t>5.4 [168.52 cm (TL 18010)]</t>
        </r>
      </text>
    </comment>
    <comment ref="BF606" authorId="0" shapeId="0" xr:uid="{F9237FC0-8F40-A14D-9696-BD5DD1668E70}">
      <text>
        <r>
          <rPr>
            <sz val="14"/>
            <color rgb="FF000000"/>
            <rFont val="Times New Roman"/>
            <family val="18"/>
          </rPr>
          <t xml:space="preserve">16/11/1799 </t>
        </r>
        <r>
          <rPr>
            <i/>
            <sz val="14"/>
            <color rgb="FF000000"/>
            <rFont val="Times New Roman"/>
            <family val="18"/>
          </rPr>
          <t>Gegen 3Fl Handgeld zu Reus Blauen Infant. in Galizien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17 Haupt Hartleib Komp. Nr. 57</t>
        </r>
        <r>
          <rPr>
            <sz val="14"/>
            <color rgb="FF000000"/>
            <rFont val="Aptos"/>
            <family val="34"/>
          </rPr>
          <t xml:space="preserve">
</t>
        </r>
        <r>
          <rPr>
            <sz val="14"/>
            <color rgb="FF000000"/>
            <rFont val="Times New Roman"/>
            <family val="18"/>
          </rPr>
          <t xml:space="preserve">21/08/1804 Muster: IR 17 Haupt Hartleib Komp. Nr. 56 </t>
        </r>
        <r>
          <rPr>
            <sz val="14"/>
            <color rgb="FF000000"/>
            <rFont val="Aptos"/>
            <family val="34"/>
          </rPr>
          <t xml:space="preserve">
</t>
        </r>
        <r>
          <rPr>
            <sz val="14"/>
            <color rgb="FF000000"/>
            <rFont val="Times New Roman"/>
            <family val="18"/>
          </rPr>
          <t xml:space="preserve">01/09/1805 </t>
        </r>
        <r>
          <rPr>
            <i/>
            <sz val="14"/>
            <color rgb="FF000000"/>
            <rFont val="Times New Roman"/>
            <family val="18"/>
          </rPr>
          <t>Zum Gefreyter avanciert</t>
        </r>
        <r>
          <rPr>
            <sz val="14"/>
            <color rgb="FF000000"/>
            <rFont val="Times New Roman"/>
            <family val="18"/>
          </rPr>
          <t xml:space="preserve"> [TL March 1810]</t>
        </r>
        <r>
          <rPr>
            <sz val="14"/>
            <color rgb="FF000000"/>
            <rFont val="Aptos"/>
            <family val="34"/>
          </rPr>
          <t xml:space="preserve">
</t>
        </r>
        <r>
          <rPr>
            <sz val="14"/>
            <color rgb="FF000000"/>
            <rFont val="Times New Roman"/>
            <family val="18"/>
          </rPr>
          <t xml:space="preserve">18/10/1805 </t>
        </r>
        <r>
          <rPr>
            <i/>
            <sz val="14"/>
            <color rgb="FF000000"/>
            <rFont val="Times New Roman"/>
            <family val="18"/>
          </rPr>
          <t xml:space="preserve">Bei </t>
        </r>
        <r>
          <rPr>
            <b/>
            <i/>
            <sz val="14"/>
            <color rgb="FF000000"/>
            <rFont val="Times New Roman"/>
            <family val="18"/>
          </rPr>
          <t>Benzenzimmern</t>
        </r>
        <r>
          <rPr>
            <i/>
            <sz val="14"/>
            <color rgb="FF000000"/>
            <rFont val="Times New Roman"/>
            <family val="18"/>
          </rPr>
          <t xml:space="preserve"> in die französische Kriegsgefangenschaft geraten </t>
        </r>
        <r>
          <rPr>
            <sz val="14"/>
            <color rgb="FF000000"/>
            <rFont val="Times New Roman"/>
            <family val="18"/>
          </rPr>
          <t>[ML 1806]</t>
        </r>
        <r>
          <rPr>
            <sz val="14"/>
            <color rgb="FF000000"/>
            <rFont val="Aptos"/>
            <family val="34"/>
          </rPr>
          <t xml:space="preserve">
</t>
        </r>
        <r>
          <rPr>
            <sz val="14"/>
            <color rgb="FF000000"/>
            <rFont val="Times New Roman"/>
            <family val="18"/>
          </rPr>
          <t xml:space="preserve">09/11/1805 </t>
        </r>
        <r>
          <rPr>
            <i/>
            <sz val="14"/>
            <color rgb="FF000000"/>
            <rFont val="Times New Roman"/>
            <family val="18"/>
          </rPr>
          <t>Sich selbst ranzioniert und in loco präsentiert</t>
        </r>
        <r>
          <rPr>
            <sz val="14"/>
            <color rgb="FF000000"/>
            <rFont val="Times New Roman"/>
            <family val="18"/>
          </rPr>
          <t xml:space="preserve"> [ML 1805]</t>
        </r>
        <r>
          <rPr>
            <sz val="14"/>
            <color rgb="FF000000"/>
            <rFont val="Aptos"/>
            <family val="34"/>
          </rPr>
          <t xml:space="preserve">
</t>
        </r>
        <r>
          <rPr>
            <sz val="14"/>
            <color rgb="FF000000"/>
            <rFont val="Times New Roman"/>
            <family val="18"/>
          </rPr>
          <t xml:space="preserve">21/11/1805 </t>
        </r>
        <r>
          <rPr>
            <i/>
            <sz val="14"/>
            <color rgb="FF000000"/>
            <rFont val="Times New Roman"/>
            <family val="18"/>
          </rPr>
          <t>Von 10. Fus. Komp. zum neu formierte Haupt Steinhausen Komp.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 xml:space="preserve">01/04/1806 </t>
        </r>
        <r>
          <rPr>
            <i/>
            <sz val="14"/>
            <color rgb="FF000000"/>
            <rFont val="Times New Roman"/>
            <family val="18"/>
          </rPr>
          <t>Von Dissolvierte Haupt Steinhausen zum 10. Fus. Komp. transferiert</t>
        </r>
        <r>
          <rPr>
            <sz val="14"/>
            <color rgb="FF000000"/>
            <rFont val="Times New Roman"/>
            <family val="18"/>
          </rPr>
          <t xml:space="preserve"> [ML 1806]</t>
        </r>
        <r>
          <rPr>
            <sz val="14"/>
            <color rgb="FF000000"/>
            <rFont val="Aptos"/>
            <family val="34"/>
          </rPr>
          <t xml:space="preserve">
</t>
        </r>
        <r>
          <rPr>
            <sz val="14"/>
            <color rgb="FF000000"/>
            <rFont val="Times New Roman"/>
            <family val="18"/>
          </rPr>
          <t>20/12/1806 Muster: IR 17 10. Fus. Komp. Nr. 26</t>
        </r>
        <r>
          <rPr>
            <sz val="14"/>
            <color rgb="FF000000"/>
            <rFont val="Aptos"/>
            <family val="34"/>
          </rPr>
          <t xml:space="preserve">
</t>
        </r>
        <r>
          <rPr>
            <sz val="14"/>
            <color rgb="FF000000"/>
            <rFont val="Times New Roman"/>
            <family val="18"/>
          </rPr>
          <t xml:space="preserve">11/03/1809 </t>
        </r>
        <r>
          <rPr>
            <i/>
            <sz val="14"/>
            <color rgb="FF000000"/>
            <rFont val="Times New Roman"/>
            <family val="18"/>
          </rPr>
          <t xml:space="preserve">Von Reuss Plauen Inf  </t>
        </r>
        <r>
          <rPr>
            <b/>
            <sz val="14"/>
            <color rgb="FF000000"/>
            <rFont val="Times New Roman"/>
            <family val="18"/>
          </rPr>
          <t xml:space="preserve">[IR 17] </t>
        </r>
        <r>
          <rPr>
            <i/>
            <sz val="14"/>
            <color rgb="FF000000"/>
            <rFont val="Times New Roman"/>
            <family val="18"/>
          </rPr>
          <t>zum EH Carl Legion 4. Bataillon transferiert</t>
        </r>
        <r>
          <rPr>
            <sz val="14"/>
            <color rgb="FF000000"/>
            <rFont val="Times New Roman"/>
            <family val="18"/>
          </rPr>
          <t xml:space="preserve"> [ST March 1809 &amp; TL March 1810]</t>
        </r>
        <r>
          <rPr>
            <sz val="14"/>
            <color rgb="FF000000"/>
            <rFont val="Aptos"/>
            <family val="34"/>
          </rPr>
          <t xml:space="preserve">
</t>
        </r>
        <r>
          <rPr>
            <sz val="14"/>
            <color rgb="FF000000"/>
            <rFont val="Times New Roman"/>
            <family val="18"/>
          </rPr>
          <t xml:space="preserve">11/06/1809 </t>
        </r>
        <r>
          <rPr>
            <i/>
            <sz val="14"/>
            <color rgb="FF000000"/>
            <rFont val="Times New Roman"/>
            <family val="18"/>
          </rPr>
          <t>Zum Corporal avanciert</t>
        </r>
        <r>
          <rPr>
            <sz val="14"/>
            <color rgb="FF000000"/>
            <rFont val="Times New Roman"/>
            <family val="18"/>
          </rPr>
          <t xml:space="preserve"> [ST June 1809 &amp; TL March 1810]</t>
        </r>
        <r>
          <rPr>
            <sz val="14"/>
            <color rgb="FF000000"/>
            <rFont val="Aptos"/>
            <family val="34"/>
          </rPr>
          <t xml:space="preserve">
</t>
        </r>
        <r>
          <rPr>
            <sz val="14"/>
            <color rgb="FF000000"/>
            <rFont val="Times New Roman"/>
            <family val="18"/>
          </rPr>
          <t xml:space="preserve">25/01/1810 </t>
        </r>
        <r>
          <rPr>
            <i/>
            <sz val="14"/>
            <color rgb="FF000000"/>
            <rFont val="Times New Roman"/>
            <family val="18"/>
          </rPr>
          <t>Von EH Carl Legion 4. Bataillon 1. Komp. zum IR 17 ‚Reus Plauen‘ transferiert</t>
        </r>
        <r>
          <rPr>
            <sz val="14"/>
            <color rgb="FF000000"/>
            <rFont val="Times New Roman"/>
            <family val="18"/>
          </rPr>
          <t xml:space="preserve"> [TL March 1810 &amp; ST Jan 1810]</t>
        </r>
        <r>
          <rPr>
            <sz val="14"/>
            <color rgb="FF000000"/>
            <rFont val="Aptos"/>
            <family val="34"/>
          </rPr>
          <t xml:space="preserve">
</t>
        </r>
        <r>
          <rPr>
            <sz val="14"/>
            <color rgb="FF000000"/>
            <rFont val="Times New Roman"/>
            <family val="18"/>
          </rPr>
          <t xml:space="preserve">31/07/1811 </t>
        </r>
        <r>
          <rPr>
            <i/>
            <sz val="14"/>
            <color rgb="FF000000"/>
            <rFont val="Times New Roman"/>
            <family val="18"/>
          </rPr>
          <t>Als ausgedienter Inländer Capitulant mit Abschied entlassen</t>
        </r>
        <r>
          <rPr>
            <sz val="14"/>
            <color rgb="FF000000"/>
            <rFont val="Times New Roman"/>
            <family val="18"/>
          </rPr>
          <t xml:space="preserve"> [ML 1811]</t>
        </r>
      </text>
    </comment>
    <comment ref="BG606" authorId="0" shapeId="0" xr:uid="{187022A8-334E-7E4D-9BD2-EA992C5C6772}">
      <text>
        <r>
          <rPr>
            <sz val="14"/>
            <color rgb="FF000000"/>
            <rFont val="Times New Roman"/>
            <family val="18"/>
          </rPr>
          <t>ML 1316 IR 17 (1803) – Haupt Hartleib Komp. Nr. 57 (Leitmeritz 14/09/1803)</t>
        </r>
        <r>
          <rPr>
            <sz val="14"/>
            <color rgb="FF000000"/>
            <rFont val="Aptos"/>
            <family val="34"/>
          </rPr>
          <t xml:space="preserve">
</t>
        </r>
        <r>
          <rPr>
            <sz val="14"/>
            <color rgb="FF000000"/>
            <rFont val="Times New Roman"/>
            <family val="18"/>
          </rPr>
          <t>ML 1317/8 IR 17 (1804) – Haupt Hartleib Komp. Nr. 56 (Theresienstadt 21/08/1804)</t>
        </r>
        <r>
          <rPr>
            <sz val="14"/>
            <color rgb="FF000000"/>
            <rFont val="Aptos"/>
            <family val="34"/>
          </rPr>
          <t xml:space="preserve">
</t>
        </r>
        <r>
          <rPr>
            <sz val="14"/>
            <color rgb="FF000000"/>
            <rFont val="Times New Roman"/>
            <family val="18"/>
          </rPr>
          <t>ML 1319/21 IR 17 (1806) – 10. Fus. Komp. Nr. 26 (Theresienstadt 20/12/1806)</t>
        </r>
        <r>
          <rPr>
            <sz val="14"/>
            <color rgb="FF000000"/>
            <rFont val="Aptos"/>
            <family val="34"/>
          </rPr>
          <t xml:space="preserve">
</t>
        </r>
        <r>
          <rPr>
            <sz val="14"/>
            <color rgb="FF000000"/>
            <rFont val="Times New Roman"/>
            <family val="18"/>
          </rPr>
          <t>ML 1323/4 IR 17 (1811) – 10. Fus. Komp. Abgang (Josephstadt 17/09/1811)</t>
        </r>
        <r>
          <rPr>
            <sz val="14"/>
            <color rgb="FF000000"/>
            <rFont val="Aptos"/>
            <family val="34"/>
          </rPr>
          <t xml:space="preserve">
</t>
        </r>
        <r>
          <rPr>
            <sz val="14"/>
            <color rgb="FF000000"/>
            <rFont val="Times New Roman"/>
            <family val="18"/>
          </rPr>
          <t>ML 10.818 Legion EH Carl 4. Bat. (1809-10) – TL Nr. 2 (Prague 17/03/1810); ST March 1809 (Prague 23/03/1810), June 1809 (Prague 28/06/1810), Jan 1810 (05/11/1810)</t>
        </r>
        <r>
          <rPr>
            <sz val="14"/>
            <color rgb="FF000000"/>
            <rFont val="Aptos"/>
            <family val="34"/>
          </rPr>
          <t xml:space="preserve">
</t>
        </r>
      </text>
    </comment>
    <comment ref="BH606" authorId="0" shapeId="0" xr:uid="{8506A795-75D8-FE48-B69E-12C4526CAC9C}">
      <text>
        <r>
          <rPr>
            <sz val="14"/>
            <color rgb="FF000000"/>
            <rFont val="Calibri"/>
            <family val="34"/>
          </rPr>
          <t xml:space="preserve">IR 17 (1799-1809)
</t>
        </r>
        <r>
          <rPr>
            <sz val="14"/>
            <color rgb="FF000000"/>
            <rFont val="Calibri"/>
            <family val="34"/>
          </rPr>
          <t xml:space="preserve">Legion EH Carl (1809-1810)
</t>
        </r>
        <r>
          <rPr>
            <sz val="14"/>
            <color rgb="FF000000"/>
            <rFont val="Calibri"/>
            <family val="34"/>
          </rPr>
          <t>IR 17 (1810-1811)</t>
        </r>
      </text>
    </comment>
    <comment ref="BI606" authorId="0" shapeId="0" xr:uid="{5005E2FC-F5D8-9746-8221-5638306D9F9E}">
      <text>
        <r>
          <rPr>
            <i/>
            <sz val="14"/>
            <color rgb="FF000000"/>
            <rFont val="Calibri"/>
            <family val="34"/>
          </rPr>
          <t xml:space="preserve">Gute </t>
        </r>
        <r>
          <rPr>
            <sz val="14"/>
            <color rgb="FF000000"/>
            <rFont val="Calibri"/>
            <family val="34"/>
          </rPr>
          <t>[TL March 1810]</t>
        </r>
      </text>
    </comment>
    <comment ref="BF607" authorId="0" shapeId="0" xr:uid="{788EC0FA-63C3-CE4F-9BA5-92B78D304557}">
      <text>
        <r>
          <rPr>
            <sz val="14"/>
            <color rgb="FF000000"/>
            <rFont val="Times New Roman"/>
            <family val="18"/>
          </rPr>
          <t xml:space="preserve">17/11/1799 </t>
        </r>
        <r>
          <rPr>
            <i/>
            <sz val="14"/>
            <color rgb="FF000000"/>
            <rFont val="Times New Roman"/>
            <family val="18"/>
          </rPr>
          <t>A 10Fl Handgeld als Regiments-Recrout in IR 60 zu Trentsin angeworben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01/01/1800 </t>
        </r>
        <r>
          <rPr>
            <i/>
            <sz val="14"/>
            <color rgb="FF000000"/>
            <rFont val="Times New Roman"/>
            <family val="18"/>
          </rPr>
          <t>Von Reserve Division zum Haupt Dankey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Dankey Komp. Nr. 106 [</t>
        </r>
        <r>
          <rPr>
            <i/>
            <sz val="14"/>
            <color rgb="FF000000"/>
            <rFont val="Times New Roman"/>
            <family val="18"/>
          </rPr>
          <t>Krank in Szrael</t>
        </r>
        <r>
          <rPr>
            <sz val="14"/>
            <color rgb="FF000000"/>
            <rFont val="Times New Roman"/>
            <family val="18"/>
          </rPr>
          <t>]</t>
        </r>
        <r>
          <rPr>
            <sz val="14"/>
            <color rgb="FF000000"/>
            <rFont val="Calibri"/>
            <family val="34"/>
          </rPr>
          <t xml:space="preserve">
</t>
        </r>
        <r>
          <rPr>
            <sz val="14"/>
            <color rgb="FF000000"/>
            <rFont val="Times New Roman"/>
            <family val="18"/>
          </rPr>
          <t>16/09/1803 Musterung: IR 60 Haupt Dankey Komp. Nr. 90</t>
        </r>
        <r>
          <rPr>
            <sz val="14"/>
            <color rgb="FF000000"/>
            <rFont val="Calibri"/>
            <family val="34"/>
          </rPr>
          <t xml:space="preserve">
</t>
        </r>
        <r>
          <rPr>
            <sz val="14"/>
            <color rgb="FF000000"/>
            <rFont val="Times New Roman"/>
            <family val="18"/>
          </rPr>
          <t>28/06/1804 Musterung: IR 60 Haupt Dankey Komp. Nr. 83 [</t>
        </r>
        <r>
          <rPr>
            <i/>
            <sz val="14"/>
            <color rgb="FF000000"/>
            <rFont val="Times New Roman"/>
            <family val="18"/>
          </rPr>
          <t>Krank in Tamesvar</t>
        </r>
        <r>
          <rPr>
            <sz val="14"/>
            <color rgb="FF000000"/>
            <rFont val="Times New Roman"/>
            <family val="18"/>
          </rPr>
          <t>]</t>
        </r>
        <r>
          <rPr>
            <sz val="14"/>
            <color rgb="FF000000"/>
            <rFont val="Calibri"/>
            <family val="34"/>
          </rPr>
          <t xml:space="preserve">
</t>
        </r>
      </text>
    </comment>
    <comment ref="BG607" authorId="0" shapeId="0" xr:uid="{A37171D0-EEC4-8945-88AD-5A0EF909E2FA}">
      <text>
        <r>
          <rPr>
            <sz val="14"/>
            <color rgb="FF000000"/>
            <rFont val="Times New Roman"/>
            <family val="18"/>
          </rPr>
          <t>ML 5102-4 IR 60 (1802) –Haupt De La Morre Komp Nr. 103 (Petervardein 20/09/1802)</t>
        </r>
        <r>
          <rPr>
            <sz val="14"/>
            <color rgb="FF000000"/>
            <rFont val="Calibri"/>
            <family val="34"/>
          </rPr>
          <t xml:space="preserve">
</t>
        </r>
        <r>
          <rPr>
            <sz val="14"/>
            <color rgb="FF000000"/>
            <rFont val="Times New Roman"/>
            <family val="18"/>
          </rPr>
          <t>ML 5105 IR 60 (1803) – Haupt Dela Morre Komp. Nr. 87 (Tamesvar 15/09/1803)</t>
        </r>
        <r>
          <rPr>
            <sz val="14"/>
            <color rgb="FF000000"/>
            <rFont val="Calibri"/>
            <family val="34"/>
          </rPr>
          <t xml:space="preserve">
</t>
        </r>
        <r>
          <rPr>
            <sz val="14"/>
            <color rgb="FF000000"/>
            <rFont val="Times New Roman"/>
            <family val="18"/>
          </rPr>
          <t>ML 5106 IR 60 (1804) – Haupt Dela Morre Komp. Nr. 76 (1804)</t>
        </r>
        <r>
          <rPr>
            <sz val="14"/>
            <color rgb="FF000000"/>
            <rFont val="Calibri"/>
            <family val="34"/>
          </rPr>
          <t xml:space="preserve">
</t>
        </r>
      </text>
    </comment>
    <comment ref="BH607" authorId="0" shapeId="0" xr:uid="{9DBD18E7-6777-DF4D-9C72-8ADBB7E95108}">
      <text>
        <r>
          <rPr>
            <sz val="14"/>
            <color rgb="FF000000"/>
            <rFont val="Calibri"/>
            <family val="34"/>
          </rPr>
          <t>IR 60 (1799-1804)</t>
        </r>
      </text>
    </comment>
    <comment ref="BF608" authorId="0" shapeId="0" xr:uid="{28E9FFB1-0707-AC4F-81AB-4A20097CACB8}">
      <text>
        <r>
          <rPr>
            <sz val="14"/>
            <color rgb="FF000000"/>
            <rFont val="Times New Roman"/>
            <family val="18"/>
          </rPr>
          <t xml:space="preserve">22/11/1799 </t>
        </r>
        <r>
          <rPr>
            <i/>
            <sz val="14"/>
            <color rgb="FF000000"/>
            <rFont val="Times New Roman"/>
            <family val="18"/>
          </rPr>
          <t>Von galizischen Ständen gestellt und a 3Fl Handgeld für Beständig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09/09/1802 Muster: IR 23 Lieb Komp. Nr. 63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Lieb Komp. Nr. 75 [</t>
        </r>
        <r>
          <rPr>
            <i/>
            <sz val="14"/>
            <color rgb="FF000000"/>
            <rFont val="Times New Roman"/>
            <family val="18"/>
          </rPr>
          <t>Auf Wache in Krems</t>
        </r>
        <r>
          <rPr>
            <sz val="14"/>
            <color rgb="FF000000"/>
            <rFont val="Times New Roman"/>
            <family val="18"/>
          </rPr>
          <t>]</t>
        </r>
        <r>
          <rPr>
            <sz val="14"/>
            <color rgb="FF000000"/>
            <rFont val="Calibri"/>
            <family val="34"/>
          </rPr>
          <t xml:space="preserve">
</t>
        </r>
        <r>
          <rPr>
            <sz val="14"/>
            <color rgb="FF000000"/>
            <rFont val="Times New Roman"/>
            <family val="18"/>
          </rPr>
          <t>13/09/1804 Muster: IR 23 Lieb Komp. Nr. 70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13/11/1805 </t>
        </r>
        <r>
          <rPr>
            <i/>
            <sz val="14"/>
            <color rgb="FF000000"/>
            <rFont val="Times New Roman"/>
            <family val="18"/>
          </rPr>
          <t>In Hauptspital in Wien in Kriegsgefangenschaft gefallen</t>
        </r>
        <r>
          <rPr>
            <sz val="14"/>
            <color rgb="FF000000"/>
            <rFont val="Times New Roman"/>
            <family val="18"/>
          </rPr>
          <t xml:space="preserve"> [ML 1807] </t>
        </r>
        <r>
          <rPr>
            <sz val="14"/>
            <color rgb="FF000000"/>
            <rFont val="Calibri"/>
            <family val="34"/>
          </rPr>
          <t xml:space="preserve">
</t>
        </r>
      </text>
    </comment>
    <comment ref="BG608" authorId="0" shapeId="0" xr:uid="{F0977EC7-A753-4046-BBED-4BEF8BB8716C}">
      <text>
        <r>
          <rPr>
            <sz val="14"/>
            <color rgb="FF000000"/>
            <rFont val="Times New Roman"/>
            <family val="18"/>
          </rPr>
          <t xml:space="preserve">ML 10.124 IR 23 (1802) – Lieb Komp. Nr. 89 (Krems 09/09/1802)
</t>
        </r>
        <r>
          <rPr>
            <sz val="14"/>
            <color rgb="FF000000"/>
            <rFont val="Times New Roman"/>
            <family val="18"/>
          </rPr>
          <t xml:space="preserve">ML 10.125 IR 23 (1802) – Lieb Komp. Nr. 75 (Execierlager bei St Pölten 07/09/1803)
</t>
        </r>
        <r>
          <rPr>
            <sz val="14"/>
            <color rgb="FF000000"/>
            <rFont val="Times New Roman"/>
            <family val="18"/>
          </rPr>
          <t xml:space="preserve">ML 10.125 IR 23 (1802) – Lieb Komp. Nr. 70 (Vienna 13/09/1804)
</t>
        </r>
        <r>
          <rPr>
            <sz val="14"/>
            <color rgb="FF000000"/>
            <rFont val="Times New Roman"/>
            <family val="18"/>
          </rPr>
          <t xml:space="preserve">ML 10.127/8 IR 23 (1807) – CaptLt Herz Komp. Abgang (Korneuburg 24/01/1807)
</t>
        </r>
      </text>
    </comment>
    <comment ref="BH608" authorId="0" shapeId="0" xr:uid="{B6446591-B679-F04C-9DDE-75AA88332231}">
      <text>
        <r>
          <rPr>
            <sz val="14"/>
            <color rgb="FF000000"/>
            <rFont val="Calibri"/>
            <family val="34"/>
          </rPr>
          <t>IR 23 (1799-1805)</t>
        </r>
      </text>
    </comment>
    <comment ref="BF609" authorId="0" shapeId="0" xr:uid="{0E133E62-811C-214F-9DD7-45059FF4DCF8}">
      <text>
        <r>
          <rPr>
            <sz val="14"/>
            <color rgb="FF000000"/>
            <rFont val="Times New Roman"/>
            <family val="18"/>
          </rPr>
          <t xml:space="preserve">04/12/1799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04/12/1799 [circa] </t>
        </r>
        <r>
          <rPr>
            <i/>
            <sz val="14"/>
            <color rgb="FF000000"/>
            <rFont val="Times New Roman"/>
            <family val="18"/>
          </rPr>
          <t xml:space="preserve">Gegen Stellung des Recroutes Manner SZULMOVITZ entlassen </t>
        </r>
        <r>
          <rPr>
            <sz val="14"/>
            <color rgb="FF000000"/>
            <rFont val="Times New Roman"/>
            <family val="18"/>
          </rPr>
          <t>[ML 1802]</t>
        </r>
        <r>
          <rPr>
            <sz val="14"/>
            <color rgb="FF000000"/>
            <rFont val="Calibri"/>
            <family val="34"/>
          </rPr>
          <t xml:space="preserve">
</t>
        </r>
      </text>
    </comment>
    <comment ref="BG609" authorId="0" shapeId="0" xr:uid="{3A1940EB-560B-3542-BEC4-F3716AA81CD3}">
      <text>
        <r>
          <rPr>
            <sz val="14"/>
            <color rgb="FF000000"/>
            <rFont val="Times New Roman"/>
            <family val="18"/>
          </rPr>
          <t xml:space="preserve">ML 1937 IR 24 (1802) – Haupt Gebhard Komp. Abgang (Vienna 16/09/1802)
</t>
        </r>
      </text>
    </comment>
    <comment ref="BH609" authorId="0" shapeId="0" xr:uid="{2F6CB6CE-8669-9741-AADB-2C955511841E}">
      <text>
        <r>
          <rPr>
            <sz val="14"/>
            <color rgb="FF000000"/>
            <rFont val="Calibri"/>
            <family val="34"/>
          </rPr>
          <t>IR 24 (1799)</t>
        </r>
      </text>
    </comment>
    <comment ref="BF610" authorId="0" shapeId="0" xr:uid="{78610CD2-AC15-614B-A837-93CE4ADF6F9F}">
      <text>
        <r>
          <rPr>
            <sz val="14"/>
            <color rgb="FF000000"/>
            <rFont val="Times New Roman"/>
            <family val="18"/>
          </rPr>
          <t xml:space="preserve">16/12/1799 </t>
        </r>
        <r>
          <rPr>
            <i/>
            <sz val="14"/>
            <color rgb="FF000000"/>
            <rFont val="Times New Roman"/>
            <family val="18"/>
          </rPr>
          <t>Dient seit ohne Capitulation</t>
        </r>
        <r>
          <rPr>
            <sz val="14"/>
            <color rgb="FF000000"/>
            <rFont val="Times New Roman"/>
            <family val="18"/>
          </rPr>
          <t xml:space="preserve"> [ML 1802]</t>
        </r>
        <r>
          <rPr>
            <sz val="14"/>
            <color rgb="FF000000"/>
            <rFont val="Calibri"/>
            <family val="34"/>
          </rPr>
          <t xml:space="preserve">
</t>
        </r>
        <r>
          <rPr>
            <sz val="14"/>
            <color rgb="FF000000"/>
            <rFont val="Times New Roman"/>
            <family val="18"/>
          </rPr>
          <t>04/09/1802 Muster: IR 41 Haupt Boob Komp. Nr. 89 [</t>
        </r>
        <r>
          <rPr>
            <i/>
            <sz val="14"/>
            <color rgb="FF000000"/>
            <rFont val="Times New Roman"/>
            <family val="18"/>
          </rPr>
          <t>Bestimmt Beurlaubt</t>
        </r>
        <r>
          <rPr>
            <sz val="14"/>
            <color rgb="FF000000"/>
            <rFont val="Times New Roman"/>
            <family val="18"/>
          </rPr>
          <t>]</t>
        </r>
        <r>
          <rPr>
            <sz val="14"/>
            <color rgb="FF000000"/>
            <rFont val="Calibri"/>
            <family val="34"/>
          </rPr>
          <t xml:space="preserve">
</t>
        </r>
        <r>
          <rPr>
            <sz val="14"/>
            <color rgb="FF000000"/>
            <rFont val="Times New Roman"/>
            <family val="18"/>
          </rPr>
          <t>01/10/1803 Muster: IR 41 Haupt Boob Komp. Nr. 76 [</t>
        </r>
        <r>
          <rPr>
            <i/>
            <sz val="14"/>
            <color rgb="FF000000"/>
            <rFont val="Times New Roman"/>
            <family val="18"/>
          </rPr>
          <t>Beurlaubt bis zur Einberufung zu Odonow,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Gegen Stellung eines Mannes mit Abshied entlassen</t>
        </r>
        <r>
          <rPr>
            <sz val="14"/>
            <color rgb="FF000000"/>
            <rFont val="Times New Roman"/>
            <family val="18"/>
          </rPr>
          <t xml:space="preserve"> [ML 1804]</t>
        </r>
        <r>
          <rPr>
            <sz val="14"/>
            <color rgb="FF000000"/>
            <rFont val="Calibri"/>
            <family val="34"/>
          </rPr>
          <t xml:space="preserve">
</t>
        </r>
      </text>
    </comment>
    <comment ref="BG610" authorId="0" shapeId="0" xr:uid="{020DAE55-B414-C547-A3C3-DC674A048AF3}">
      <text>
        <r>
          <rPr>
            <sz val="14"/>
            <color rgb="FF000000"/>
            <rFont val="Times New Roman"/>
            <family val="18"/>
          </rPr>
          <t>ML 3677 IR 41 Vacant ‘Bender’ (1802) – Haupt Boob Coy, Nr. 89 (Bregenz 04/09/1802)</t>
        </r>
        <r>
          <rPr>
            <sz val="14"/>
            <color rgb="FF000000"/>
            <rFont val="Calibri"/>
            <family val="34"/>
          </rPr>
          <t xml:space="preserve">
</t>
        </r>
        <r>
          <rPr>
            <sz val="14"/>
            <color rgb="FF000000"/>
            <rFont val="Times New Roman"/>
            <family val="18"/>
          </rPr>
          <t>ML 3678 IR 41 ‘Churprinz von Württemberg‘ (1803) – Haupt Boob Coy, Nr. 76 (Günzburg 01/10/1803)</t>
        </r>
        <r>
          <rPr>
            <sz val="14"/>
            <color rgb="FF000000"/>
            <rFont val="Calibri"/>
            <family val="34"/>
          </rPr>
          <t xml:space="preserve">
</t>
        </r>
        <r>
          <rPr>
            <sz val="14"/>
            <color rgb="FF000000"/>
            <rFont val="Times New Roman"/>
            <family val="18"/>
          </rPr>
          <t>ML 3679 IR 41 ‘Churprinz von Württemberg‘ (1804) – Haupt Boob Coy, Abgang 30/11/1803 (Günzburg 05/09/1804)</t>
        </r>
        <r>
          <rPr>
            <sz val="14"/>
            <color rgb="FF000000"/>
            <rFont val="Calibri"/>
            <family val="34"/>
          </rPr>
          <t xml:space="preserve">
</t>
        </r>
      </text>
    </comment>
    <comment ref="BH610" authorId="0" shapeId="0" xr:uid="{C2F7AD2F-B97B-7A49-A5B5-CC904B73FADD}">
      <text>
        <r>
          <rPr>
            <sz val="14"/>
            <color rgb="FF000000"/>
            <rFont val="Calibri"/>
            <family val="34"/>
          </rPr>
          <t>IR 41 (1799-1803)</t>
        </r>
      </text>
    </comment>
    <comment ref="BF611" authorId="0" shapeId="0" xr:uid="{6E526193-AFAB-7A4A-870D-203885FAB528}">
      <text>
        <r>
          <rPr>
            <sz val="14"/>
            <color rgb="FF000000"/>
            <rFont val="Times New Roman"/>
            <family val="18"/>
          </rPr>
          <t xml:space="preserve">17/12/1799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17/12/1799 [circa] </t>
        </r>
        <r>
          <rPr>
            <i/>
            <sz val="14"/>
            <color rgb="FF000000"/>
            <rFont val="Times New Roman"/>
            <family val="18"/>
          </rPr>
          <t>Gegen Stellung des Recroutes Schmul MERK entlassen</t>
        </r>
        <r>
          <rPr>
            <sz val="14"/>
            <color rgb="FF000000"/>
            <rFont val="Times New Roman"/>
            <family val="18"/>
          </rPr>
          <t xml:space="preserve"> [ML 1802]</t>
        </r>
        <r>
          <rPr>
            <sz val="14"/>
            <color rgb="FF000000"/>
            <rFont val="Calibri"/>
            <family val="34"/>
          </rPr>
          <t xml:space="preserve">
</t>
        </r>
      </text>
    </comment>
    <comment ref="BG611" authorId="0" shapeId="0" xr:uid="{E0F54833-C077-1246-8695-6EB7E48CF179}">
      <text>
        <r>
          <rPr>
            <sz val="14"/>
            <color rgb="FF000000"/>
            <rFont val="Times New Roman"/>
            <family val="18"/>
          </rPr>
          <t xml:space="preserve">ML 1937 IR 24 (1802) – Haupt Gebhard Komp. Abgang (Vienna 16/09/1802)
</t>
        </r>
      </text>
    </comment>
    <comment ref="BH611" authorId="0" shapeId="0" xr:uid="{50CC44E3-9A62-574A-AC1A-1DC575B976A8}">
      <text>
        <r>
          <rPr>
            <sz val="14"/>
            <color rgb="FF000000"/>
            <rFont val="Calibri"/>
            <family val="34"/>
          </rPr>
          <t>IR 24 (1799)</t>
        </r>
      </text>
    </comment>
    <comment ref="BF612" authorId="0" shapeId="0" xr:uid="{4C39103C-DC36-754E-A9A5-4532E5F44F1A}">
      <text>
        <r>
          <rPr>
            <sz val="14"/>
            <color rgb="FF000000"/>
            <rFont val="Times New Roman"/>
            <family val="18"/>
          </rPr>
          <t xml:space="preserve">13/01/1800 </t>
        </r>
        <r>
          <rPr>
            <i/>
            <sz val="14"/>
            <color rgb="FF000000"/>
            <rFont val="Times New Roman"/>
            <family val="18"/>
          </rPr>
          <t>Dient seit mindestens in IR 3 Obrist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ausgedienter Capitulant mit Abschied entlassen</t>
        </r>
        <r>
          <rPr>
            <sz val="14"/>
            <color rgb="FF000000"/>
            <rFont val="Times New Roman"/>
            <family val="18"/>
          </rPr>
          <t xml:space="preserve"> [ML 1802]</t>
        </r>
        <r>
          <rPr>
            <sz val="14"/>
            <color rgb="FF000000"/>
            <rFont val="Calibri"/>
            <family val="34"/>
          </rPr>
          <t xml:space="preserve">
</t>
        </r>
      </text>
    </comment>
    <comment ref="BG612" authorId="0" shapeId="0" xr:uid="{6BA29668-DD85-3B4F-A768-4F501C880FF6}">
      <text>
        <r>
          <rPr>
            <sz val="14"/>
            <color rgb="FF000000"/>
            <rFont val="Times New Roman"/>
            <family val="18"/>
          </rPr>
          <t>ML 234/5 IR 3 (1802) – Obrist Komp. Abgang (Vienna 15/09/1802)</t>
        </r>
        <r>
          <rPr>
            <sz val="14"/>
            <color rgb="FF000000"/>
            <rFont val="Calibri"/>
            <family val="34"/>
          </rPr>
          <t xml:space="preserve">
</t>
        </r>
      </text>
    </comment>
    <comment ref="BH612" authorId="0" shapeId="0" xr:uid="{0C30F841-8CAC-4244-AF2A-CCB525033516}">
      <text>
        <r>
          <rPr>
            <sz val="14"/>
            <color rgb="FF000000"/>
            <rFont val="Calibri"/>
            <family val="34"/>
          </rPr>
          <t>IR 3 (1800-1801)</t>
        </r>
      </text>
    </comment>
    <comment ref="BF613" authorId="0" shapeId="0" xr:uid="{F218D3C7-F8CE-6A40-A816-0C59A2402CB6}">
      <text>
        <r>
          <rPr>
            <sz val="14"/>
            <color rgb="FF000000"/>
            <rFont val="Times New Roman"/>
            <family val="18"/>
          </rPr>
          <t xml:space="preserve">13/01/1800 </t>
        </r>
        <r>
          <rPr>
            <i/>
            <sz val="14"/>
            <color rgb="FF000000"/>
            <rFont val="Times New Roman"/>
            <family val="18"/>
          </rPr>
          <t>Von Werbbezirk ausgehoben und a 3Fl Handgeld zum IR 1 ohne Capitulation assentiert und zum 4. Bataillon Major von Riboulet Komp. eingeteilt</t>
        </r>
        <r>
          <rPr>
            <sz val="14"/>
            <color rgb="FF000000"/>
            <rFont val="Times New Roman"/>
            <family val="18"/>
          </rPr>
          <t xml:space="preserve"> [AL Jan 1800]</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IR 1 4. Bataillon 1. Komp (Major von Riboulet) zum IR 7 transferiert</t>
        </r>
        <r>
          <rPr>
            <sz val="14"/>
            <color rgb="FF000000"/>
            <rFont val="Times New Roman"/>
            <family val="18"/>
          </rPr>
          <t xml:space="preserve"> [TL June 1800]</t>
        </r>
        <r>
          <rPr>
            <sz val="14"/>
            <color rgb="FF000000"/>
            <rFont val="Calibri"/>
            <family val="34"/>
          </rPr>
          <t xml:space="preserve">
</t>
        </r>
      </text>
    </comment>
    <comment ref="BG613" authorId="0" shapeId="0" xr:uid="{4C8F725E-DC64-D645-8865-CB1C261CFDBB}">
      <text>
        <r>
          <rPr>
            <sz val="14"/>
            <color rgb="FF000000"/>
            <rFont val="Times New Roman"/>
            <family val="18"/>
          </rPr>
          <t>ML 75 IR 1 (1800) – AL Nr. 7 (Olmütz 31/01/1800), TL IR 1-&gt; IR 7 Nr. 2 (Olmütz 19/06/1800)</t>
        </r>
        <r>
          <rPr>
            <sz val="14"/>
            <color rgb="FF000000"/>
            <rFont val="Calibri"/>
            <family val="34"/>
          </rPr>
          <t xml:space="preserve">
</t>
        </r>
      </text>
    </comment>
    <comment ref="BH613" authorId="0" shapeId="0" xr:uid="{07B64899-7A36-FD4B-8672-8D1ABD6BEF96}">
      <text>
        <r>
          <rPr>
            <sz val="14"/>
            <color rgb="FF000000"/>
            <rFont val="Calibri"/>
            <family val="34"/>
          </rPr>
          <t xml:space="preserve">IR 1 (1800)
</t>
        </r>
        <r>
          <rPr>
            <sz val="14"/>
            <color rgb="FF000000"/>
            <rFont val="Calibri"/>
            <family val="34"/>
          </rPr>
          <t>IR 7 (1800)</t>
        </r>
      </text>
    </comment>
    <comment ref="BI613" authorId="0" shapeId="0" xr:uid="{D4877F8A-F67F-1345-9D16-F28A002F00E8}">
      <text>
        <r>
          <rPr>
            <sz val="14"/>
            <color rgb="FF000000"/>
            <rFont val="Calibri"/>
            <family val="34"/>
          </rPr>
          <t>Gut [TL June 1800]</t>
        </r>
      </text>
    </comment>
    <comment ref="BF614" authorId="0" shapeId="0" xr:uid="{47500A63-5890-0140-9B7A-6C7A305D9B47}">
      <text>
        <r>
          <rPr>
            <sz val="14"/>
            <color rgb="FF000000"/>
            <rFont val="Times New Roman"/>
            <family val="18"/>
          </rPr>
          <t xml:space="preserve">28/01/1800 </t>
        </r>
        <r>
          <rPr>
            <i/>
            <sz val="14"/>
            <color rgb="FF000000"/>
            <rFont val="Times New Roman"/>
            <family val="18"/>
          </rPr>
          <t>Von Werbbezirk ausgehoben und a 3Fl Handgeld ohne Capitulation zum IR 1 assentiert und zum 4. Bataillon Vacante Komp. eingeteilt</t>
        </r>
        <r>
          <rPr>
            <sz val="14"/>
            <color rgb="FF000000"/>
            <rFont val="Times New Roman"/>
            <family val="18"/>
          </rPr>
          <t xml:space="preserve"> [AL Jan 1800]</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IR 1 4. Bataillon 2. Komp (Vacante) zum IR 7 transferiert</t>
        </r>
        <r>
          <rPr>
            <sz val="14"/>
            <color rgb="FF000000"/>
            <rFont val="Times New Roman"/>
            <family val="18"/>
          </rPr>
          <t xml:space="preserve"> [TL June 1800]</t>
        </r>
        <r>
          <rPr>
            <sz val="14"/>
            <color rgb="FF000000"/>
            <rFont val="Calibri"/>
            <family val="34"/>
          </rPr>
          <t xml:space="preserve">
</t>
        </r>
      </text>
    </comment>
    <comment ref="BG614" authorId="0" shapeId="0" xr:uid="{27CD5F98-1DD0-F140-AC4C-A38D37872033}">
      <text>
        <r>
          <rPr>
            <sz val="14"/>
            <color rgb="FF000000"/>
            <rFont val="Times New Roman"/>
            <family val="18"/>
          </rPr>
          <t>ML 75 IR 1 (1800) – AL Nr. 134 (Olmütz 31/01/1800), TL IR 1-&gt; IR 7 Nr. 32 (Olmütz 19/06/1800)</t>
        </r>
        <r>
          <rPr>
            <sz val="14"/>
            <color rgb="FF000000"/>
            <rFont val="Calibri"/>
            <family val="34"/>
          </rPr>
          <t xml:space="preserve">
</t>
        </r>
      </text>
    </comment>
    <comment ref="BH614" authorId="0" shapeId="0" xr:uid="{10F4E55C-E99D-2C4E-87F3-4E7163046CB7}">
      <text>
        <r>
          <rPr>
            <sz val="14"/>
            <color rgb="FF000000"/>
            <rFont val="Calibri"/>
            <family val="34"/>
          </rPr>
          <t xml:space="preserve">IR 1 (1800)
</t>
        </r>
        <r>
          <rPr>
            <sz val="14"/>
            <color rgb="FF000000"/>
            <rFont val="Calibri"/>
            <family val="34"/>
          </rPr>
          <t>IR 7 (1800)</t>
        </r>
      </text>
    </comment>
    <comment ref="BI614" authorId="0" shapeId="0" xr:uid="{90E323B1-A356-9447-9C6C-061675AE53E2}">
      <text>
        <r>
          <rPr>
            <sz val="14"/>
            <color rgb="FF000000"/>
            <rFont val="Calibri"/>
            <family val="34"/>
          </rPr>
          <t>Gut [TL June 1800]</t>
        </r>
      </text>
    </comment>
    <comment ref="BF615" authorId="0" shapeId="0" xr:uid="{074899D4-07A9-6840-AB47-F5543766CA40}">
      <text>
        <r>
          <rPr>
            <sz val="14"/>
            <color rgb="FF000000"/>
            <rFont val="Times New Roman"/>
            <family val="18"/>
          </rPr>
          <t xml:space="preserve">01/02/1800 </t>
        </r>
        <r>
          <rPr>
            <i/>
            <sz val="14"/>
            <color rgb="FF000000"/>
            <rFont val="Times New Roman"/>
            <family val="18"/>
          </rPr>
          <t>Dient seit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15. Fus. Komp. Nr. 34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text>
    </comment>
    <comment ref="BG615" authorId="0" shapeId="0" xr:uid="{EA246D75-D785-BE4C-957B-990E2DD0AE8D}">
      <text>
        <r>
          <rPr>
            <sz val="14"/>
            <color rgb="FF000000"/>
            <rFont val="Times New Roman"/>
            <family val="18"/>
          </rPr>
          <t>ML 1623-5 IR 20 (1806) – 15. Fus. Komp. Nr. 34 (Olmütz 15/12/1806)</t>
        </r>
        <r>
          <rPr>
            <sz val="14"/>
            <color rgb="FF000000"/>
            <rFont val="Calibri"/>
            <family val="34"/>
          </rPr>
          <t xml:space="preserve">
</t>
        </r>
      </text>
    </comment>
    <comment ref="BH615" authorId="0" shapeId="0" xr:uid="{BEB259E3-C562-4444-AAF5-685EAE532561}">
      <text>
        <r>
          <rPr>
            <sz val="14"/>
            <color rgb="FF000000"/>
            <rFont val="Calibri"/>
            <family val="34"/>
          </rPr>
          <t>IR 3 (1800-1806)</t>
        </r>
      </text>
    </comment>
    <comment ref="BF616" authorId="0" shapeId="0" xr:uid="{F3255A54-B93B-CB40-AB9B-271B2654186F}">
      <text>
        <r>
          <rPr>
            <sz val="14"/>
            <color rgb="FF000000"/>
            <rFont val="Times New Roman"/>
            <family val="18"/>
          </rPr>
          <t xml:space="preserve">01/02/1800 </t>
        </r>
        <r>
          <rPr>
            <i/>
            <sz val="14"/>
            <color rgb="FF000000"/>
            <rFont val="Times New Roman"/>
            <family val="18"/>
          </rPr>
          <t>Auf die Kriegsdauer zu Szillawa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11/05/1800 </t>
        </r>
        <r>
          <rPr>
            <i/>
            <sz val="14"/>
            <color rgb="FF000000"/>
            <rFont val="Times New Roman"/>
            <family val="18"/>
          </rPr>
          <t>Von Reserve Division ins Haupt De la Morre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de La Morre Komp. Nr. 103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15/09/1803 Musterung: IR 60 Haupt de La Morre Komp. Nr. 87</t>
        </r>
        <r>
          <rPr>
            <sz val="14"/>
            <color rgb="FF000000"/>
            <rFont val="Calibri"/>
            <family val="34"/>
          </rPr>
          <t xml:space="preserve">
</t>
        </r>
        <r>
          <rPr>
            <sz val="14"/>
            <color rgb="FF000000"/>
            <rFont val="Times New Roman"/>
            <family val="18"/>
          </rPr>
          <t>1804 Musterung: IR 60 Haupt de La Morre Jomp. Nr. 76 [</t>
        </r>
        <r>
          <rPr>
            <i/>
            <sz val="14"/>
            <color rgb="FF000000"/>
            <rFont val="Times New Roman"/>
            <family val="18"/>
          </rPr>
          <t>Kommandiert zu Oravitza</t>
        </r>
        <r>
          <rPr>
            <sz val="14"/>
            <color rgb="FF000000"/>
            <rFont val="Times New Roman"/>
            <family val="18"/>
          </rPr>
          <t>]</t>
        </r>
        <r>
          <rPr>
            <sz val="14"/>
            <color rgb="FF000000"/>
            <rFont val="Calibri"/>
            <family val="34"/>
          </rPr>
          <t xml:space="preserve">
</t>
        </r>
      </text>
    </comment>
    <comment ref="BG616" authorId="0" shapeId="0" xr:uid="{B0168C94-751E-044A-BCE9-B12EC75DD1A9}">
      <text>
        <r>
          <rPr>
            <sz val="14"/>
            <color rgb="FF000000"/>
            <rFont val="Times New Roman"/>
            <family val="18"/>
          </rPr>
          <t>ML 5102-4 IR 60 (1802) – Heft von Reserve Division Zuwachs &amp; Abgang (Tamesvar 15/09/1802), Heft von Haupt Dankey Komp Nr. 106 (Tamesvar 15/09/1802)</t>
        </r>
        <r>
          <rPr>
            <sz val="14"/>
            <color rgb="FF000000"/>
            <rFont val="Calibri"/>
            <family val="34"/>
          </rPr>
          <t xml:space="preserve">
</t>
        </r>
        <r>
          <rPr>
            <sz val="14"/>
            <color rgb="FF000000"/>
            <rFont val="Times New Roman"/>
            <family val="18"/>
          </rPr>
          <t>ML 5105 IR 60 (1803) – Haupt Daneky Komp. Nr. 90 (Arad 16/09/1803)</t>
        </r>
        <r>
          <rPr>
            <sz val="14"/>
            <color rgb="FF000000"/>
            <rFont val="Calibri"/>
            <family val="34"/>
          </rPr>
          <t xml:space="preserve">
</t>
        </r>
        <r>
          <rPr>
            <sz val="14"/>
            <color rgb="FF000000"/>
            <rFont val="Times New Roman"/>
            <family val="18"/>
          </rPr>
          <t>ML 5106 IR 60 (1804) – Haupt Dankey Komp/ Nr. 83 (Tamesvar 28/06/1804)</t>
        </r>
        <r>
          <rPr>
            <sz val="14"/>
            <color rgb="FF000000"/>
            <rFont val="Calibri"/>
            <family val="34"/>
          </rPr>
          <t xml:space="preserve">
</t>
        </r>
      </text>
    </comment>
    <comment ref="BH616" authorId="0" shapeId="0" xr:uid="{FBB87F1D-B3A5-B247-88AE-E2463DEF4DE4}">
      <text>
        <r>
          <rPr>
            <sz val="14"/>
            <color rgb="FF000000"/>
            <rFont val="Calibri"/>
            <family val="34"/>
          </rPr>
          <t>IR 60 (1800-1804)</t>
        </r>
      </text>
    </comment>
    <comment ref="BF617" authorId="0" shapeId="0" xr:uid="{6A107EEA-3FA4-0B4D-AE94-9295DDCF51E9}">
      <text>
        <r>
          <rPr>
            <sz val="14"/>
            <color rgb="FF000000"/>
            <rFont val="Times New Roman"/>
            <family val="18"/>
          </rPr>
          <t xml:space="preserve">06/02/1800 </t>
        </r>
        <r>
          <rPr>
            <i/>
            <sz val="14"/>
            <color rgb="FF000000"/>
            <rFont val="Times New Roman"/>
            <family val="18"/>
          </rPr>
          <t>statt den 15/08/1799 mit Laufpass entlassenen Jude Herschel Jetzkowicz von Lande a 3Fl Handgeld gestellt und in IR 27 Assentiert</t>
        </r>
        <r>
          <rPr>
            <sz val="14"/>
            <color rgb="FF000000"/>
            <rFont val="Times New Roman"/>
            <family val="18"/>
          </rPr>
          <t xml:space="preserve"> [AL 1800]
</t>
        </r>
        <r>
          <rPr>
            <sz val="14"/>
            <color rgb="FF000000"/>
            <rFont val="Times New Roman"/>
            <family val="18"/>
          </rPr>
          <t xml:space="preserve">16/06/1801 </t>
        </r>
        <r>
          <rPr>
            <i/>
            <sz val="14"/>
            <color rgb="FF000000"/>
            <rFont val="Times New Roman"/>
            <family val="18"/>
          </rPr>
          <t>von Haupt Gruber zum ObristLt. Comp. transferiert</t>
        </r>
        <r>
          <rPr>
            <sz val="14"/>
            <color rgb="FF000000"/>
            <rFont val="Times New Roman"/>
            <family val="18"/>
          </rPr>
          <t xml:space="preserve"> [ML 1802]
</t>
        </r>
        <r>
          <rPr>
            <sz val="14"/>
            <color rgb="FF000000"/>
            <rFont val="Times New Roman"/>
            <family val="18"/>
          </rPr>
          <t xml:space="preserve">23/07/1802 </t>
        </r>
        <r>
          <rPr>
            <i/>
            <sz val="14"/>
            <color rgb="FF000000"/>
            <rFont val="Times New Roman"/>
            <family val="18"/>
          </rPr>
          <t>Bei dem Einsturz einer Mauer zu Ehrenhaußen nachgeschlagen</t>
        </r>
        <r>
          <rPr>
            <sz val="14"/>
            <color rgb="FF000000"/>
            <rFont val="Times New Roman"/>
            <family val="18"/>
          </rPr>
          <t xml:space="preserve"> [1802]</t>
        </r>
      </text>
    </comment>
    <comment ref="BG617" authorId="0" shapeId="0" xr:uid="{4E720369-67E3-074F-9AC0-FED7CA7ABFF8}">
      <text>
        <r>
          <rPr>
            <sz val="14"/>
            <color rgb="FF000000"/>
            <rFont val="Times New Roman"/>
            <family val="18"/>
          </rPr>
          <t xml:space="preserve">ML 2258 IR 27 (1802) – ObristLt Komp. Abgang (Zara 10/08/1802) &amp; Haupt Gruber Komp. Abgang (Graz 06/09/1802)
</t>
        </r>
        <r>
          <rPr>
            <sz val="14"/>
            <color rgb="FF000000"/>
            <rFont val="Times New Roman"/>
            <family val="18"/>
          </rPr>
          <t xml:space="preserve">ML 2305 IR 27 (1800) – AL IR 27 Nr. 2 (Sandomierz 06/02/1800)
</t>
        </r>
      </text>
    </comment>
    <comment ref="BH617" authorId="0" shapeId="0" xr:uid="{350397E5-9682-9F40-8074-1B00D9537EEF}">
      <text>
        <r>
          <rPr>
            <sz val="14"/>
            <color rgb="FF000000"/>
            <rFont val="Calibri"/>
            <family val="34"/>
          </rPr>
          <t>IR 27 (1800-1802)</t>
        </r>
      </text>
    </comment>
    <comment ref="BF618" authorId="0" shapeId="0" xr:uid="{C1B6F325-375D-4C45-8191-69512773F710}">
      <text>
        <r>
          <rPr>
            <sz val="14"/>
            <color rgb="FF000000"/>
            <rFont val="Times New Roman"/>
            <family val="18"/>
          </rPr>
          <t xml:space="preserve">07/02/1800 </t>
        </r>
        <r>
          <rPr>
            <i/>
            <sz val="14"/>
            <color rgb="FF000000"/>
            <rFont val="Times New Roman"/>
            <family val="18"/>
          </rPr>
          <t xml:space="preserve">Als Ausgehobene Inländische Recrout a 3 Fl Handgeld in die Reserve Division assentiert </t>
        </r>
        <r>
          <rPr>
            <sz val="14"/>
            <color rgb="FF000000"/>
            <rFont val="Times New Roman"/>
            <family val="18"/>
          </rPr>
          <t xml:space="preserve">[AL Feb 1800]
</t>
        </r>
        <r>
          <rPr>
            <sz val="14"/>
            <color rgb="FF000000"/>
            <rFont val="Times New Roman"/>
            <family val="18"/>
          </rPr>
          <t xml:space="preserve">04/06/1800 </t>
        </r>
        <r>
          <rPr>
            <i/>
            <sz val="14"/>
            <color rgb="FF000000"/>
            <rFont val="Times New Roman"/>
            <family val="18"/>
          </rPr>
          <t>Vermog Hohe General Commando Verordnung ddet. Lemberg 28 Feb 800 den 4. Juni Gegen Stellung andere Recroutten und Ersatz des Mont Geldes mit Abschied entlassen</t>
        </r>
        <r>
          <rPr>
            <sz val="14"/>
            <color rgb="FF000000"/>
            <rFont val="Times New Roman"/>
            <family val="18"/>
          </rPr>
          <t xml:space="preserve"> ST June 1800]
</t>
        </r>
      </text>
    </comment>
    <comment ref="BG618" authorId="0" shapeId="0" xr:uid="{8FD8970F-A2F0-D54B-927E-4CFBCF733CCA}">
      <text>
        <r>
          <rPr>
            <sz val="14"/>
            <color rgb="FF000000"/>
            <rFont val="Times New Roman"/>
            <family val="18"/>
          </rPr>
          <t xml:space="preserve">ML 2303/4 IR 27 (1800) – ST Juni (Graz 11/01/1801)
</t>
        </r>
        <r>
          <rPr>
            <sz val="14"/>
            <color rgb="FF000000"/>
            <rFont val="Times New Roman"/>
            <family val="18"/>
          </rPr>
          <t xml:space="preserve">ML 2305 IR 27 (1800) – AL Reserve Division Nr. 7 (Zaleszczyk, 13/02/1800)
</t>
        </r>
      </text>
    </comment>
    <comment ref="BH618" authorId="0" shapeId="0" xr:uid="{83A3240D-1D59-1843-8F97-90CAAFBE1528}">
      <text>
        <r>
          <rPr>
            <sz val="14"/>
            <color rgb="FF000000"/>
            <rFont val="Calibri"/>
            <family val="34"/>
          </rPr>
          <t>IR 27 (1800)</t>
        </r>
      </text>
    </comment>
    <comment ref="BF619" authorId="0" shapeId="0" xr:uid="{829FB2D2-0D5A-8C44-A6A4-7656BE2E6A47}">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der Reserve Division zum Haupt Wratislaw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11/12/1800 </t>
        </r>
        <r>
          <rPr>
            <i/>
            <sz val="14"/>
            <color rgb="FF000000"/>
            <rFont val="Times New Roman"/>
            <family val="18"/>
          </rPr>
          <t xml:space="preserve">Bei </t>
        </r>
        <r>
          <rPr>
            <b/>
            <i/>
            <sz val="14"/>
            <color rgb="FF000000"/>
            <rFont val="Times New Roman"/>
            <family val="18"/>
          </rPr>
          <t xml:space="preserve">Traunstein </t>
        </r>
        <r>
          <rPr>
            <i/>
            <sz val="14"/>
            <color rgb="FF000000"/>
            <rFont val="Times New Roman"/>
            <family val="18"/>
          </rPr>
          <t>in Kriegsgefangenschaft gefallen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28/01/1801 </t>
        </r>
        <r>
          <rPr>
            <i/>
            <sz val="14"/>
            <color rgb="FF000000"/>
            <rFont val="Times New Roman"/>
            <family val="18"/>
          </rPr>
          <t xml:space="preserve">Sich selbst ranzioniert </t>
        </r>
        <r>
          <rPr>
            <sz val="14"/>
            <color rgb="FF000000"/>
            <rFont val="Times New Roman"/>
            <family val="18"/>
          </rPr>
          <t>[ML 1802]</t>
        </r>
        <r>
          <rPr>
            <sz val="14"/>
            <color rgb="FF000000"/>
            <rFont val="Calibri"/>
            <family val="34"/>
          </rPr>
          <t xml:space="preserve">
</t>
        </r>
        <r>
          <rPr>
            <sz val="14"/>
            <color rgb="FF000000"/>
            <rFont val="Times New Roman"/>
            <family val="18"/>
          </rPr>
          <t xml:space="preserve">02/02/1801 </t>
        </r>
        <r>
          <rPr>
            <i/>
            <sz val="14"/>
            <color rgb="FF000000"/>
            <rFont val="Times New Roman"/>
            <family val="18"/>
          </rPr>
          <t>Zu Marienbaum gestorben</t>
        </r>
        <r>
          <rPr>
            <sz val="14"/>
            <color rgb="FF000000"/>
            <rFont val="Times New Roman"/>
            <family val="18"/>
          </rPr>
          <t xml:space="preserve"> [ML 1802]</t>
        </r>
        <r>
          <rPr>
            <sz val="14"/>
            <color rgb="FF000000"/>
            <rFont val="Calibri"/>
            <family val="34"/>
          </rPr>
          <t xml:space="preserve">
</t>
        </r>
      </text>
    </comment>
    <comment ref="BG619" authorId="0" shapeId="0" xr:uid="{E1242CB8-6A04-8243-8FD8-2B3B6C3F72FA}">
      <text>
        <r>
          <rPr>
            <sz val="14"/>
            <color rgb="FF000000"/>
            <rFont val="Times New Roman"/>
            <family val="18"/>
          </rPr>
          <t>ML 5102-4 IR 60 (1802) –Haupt Ehrenstein Komp. Zuwachs &amp; Abgang (Tamesvar 15/09/1802), Reserve Division Zuwachs &amp; Abgang (Tamesvar 15/09/1802)</t>
        </r>
        <r>
          <rPr>
            <sz val="14"/>
            <color rgb="FF000000"/>
            <rFont val="Calibri"/>
            <family val="34"/>
          </rPr>
          <t xml:space="preserve">
</t>
        </r>
      </text>
    </comment>
    <comment ref="BH619" authorId="0" shapeId="0" xr:uid="{3E8A0AEF-6278-A240-8407-A0B3070B83D1}">
      <text>
        <r>
          <rPr>
            <sz val="14"/>
            <color rgb="FF000000"/>
            <rFont val="Calibri"/>
            <family val="34"/>
          </rPr>
          <t>IR 60 (1800-1801)</t>
        </r>
      </text>
    </comment>
    <comment ref="BF620" authorId="0" shapeId="0" xr:uid="{824B607B-AC98-4E42-9AB7-340CED3F264B}">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Ratkoszky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12/06/1800 </t>
        </r>
        <r>
          <rPr>
            <b/>
            <sz val="14"/>
            <color rgb="FF000000"/>
            <rFont val="Times New Roman"/>
            <family val="18"/>
          </rPr>
          <t>[Bei der Gefecht von Nesselwang]</t>
        </r>
        <r>
          <rPr>
            <sz val="14"/>
            <color rgb="FF000000"/>
            <rFont val="Times New Roman"/>
            <family val="18"/>
          </rPr>
          <t xml:space="preserve"> </t>
        </r>
        <r>
          <rPr>
            <i/>
            <sz val="14"/>
            <color rgb="FF000000"/>
            <rFont val="Times New Roman"/>
            <family val="18"/>
          </rPr>
          <t>ins Kriegsgefangenschaft geraten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01/09/1801 </t>
        </r>
        <r>
          <rPr>
            <i/>
            <sz val="14"/>
            <color rgb="FF000000"/>
            <rFont val="Times New Roman"/>
            <family val="18"/>
          </rPr>
          <t>Als sich selbst ranzioniert zum Tamesvar präsentiert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31/11/1801 </t>
        </r>
        <r>
          <rPr>
            <i/>
            <sz val="14"/>
            <color rgb="FF000000"/>
            <rFont val="Times New Roman"/>
            <family val="18"/>
          </rPr>
          <t>Von Haupt Szombathely zum Haupt Kacskovics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31/05/1802 </t>
        </r>
        <r>
          <rPr>
            <i/>
            <sz val="14"/>
            <color rgb="FF000000"/>
            <rFont val="Times New Roman"/>
            <family val="18"/>
          </rPr>
          <t xml:space="preserve">In Folge hoher ungarische general Kommando Verordnung ddto Ofen von 1. Mai 802 ohneentgeldich von Werbubg mit Abschied entlassen </t>
        </r>
        <r>
          <rPr>
            <sz val="14"/>
            <color rgb="FF000000"/>
            <rFont val="Times New Roman"/>
            <family val="18"/>
          </rPr>
          <t>[ST May 1802]</t>
        </r>
        <r>
          <rPr>
            <sz val="14"/>
            <color rgb="FF000000"/>
            <rFont val="Calibri"/>
            <family val="34"/>
          </rPr>
          <t xml:space="preserve">
</t>
        </r>
      </text>
    </comment>
    <comment ref="BG620" authorId="0" shapeId="0" xr:uid="{EE6A8289-4087-8C4B-95DA-EA9A5A2078BC}">
      <text>
        <r>
          <rPr>
            <sz val="14"/>
            <color rgb="FF000000"/>
            <rFont val="Times New Roman"/>
            <family val="18"/>
          </rPr>
          <t>ML 5102-4 IR 60 (1802) – Haupt Schwartz Komp. Zuwachs &amp; Abgang (Tamesvar 15/09/1802), Haupt Szombathely Abgang (Tamesvar 15/09/1802), Haupt Kacskovics Komp. Zuwachs &amp; Abgang (Petervardein 20/09/1802)Reserve Division Zuwachs &amp; Abgang (Tamesvar 15/09/1802)</t>
        </r>
        <r>
          <rPr>
            <sz val="14"/>
            <color rgb="FF000000"/>
            <rFont val="Calibri"/>
            <family val="34"/>
          </rPr>
          <t xml:space="preserve">
</t>
        </r>
        <r>
          <rPr>
            <sz val="14"/>
            <color rgb="FF000000"/>
            <rFont val="Times New Roman"/>
            <family val="18"/>
          </rPr>
          <t>ML 5125 IR 60 (1802) – ST June (Temesvar 15/07/1802)</t>
        </r>
        <r>
          <rPr>
            <sz val="14"/>
            <color rgb="FF000000"/>
            <rFont val="Calibri"/>
            <family val="34"/>
          </rPr>
          <t xml:space="preserve">
</t>
        </r>
      </text>
    </comment>
    <comment ref="BH620" authorId="0" shapeId="0" xr:uid="{3EF14D8F-DE32-1D4B-A6F8-2230686CD965}">
      <text>
        <r>
          <rPr>
            <sz val="14"/>
            <color rgb="FF000000"/>
            <rFont val="Calibri"/>
            <family val="34"/>
          </rPr>
          <t>IR 60 (1800-1802)</t>
        </r>
      </text>
    </comment>
    <comment ref="BF621" authorId="0" shapeId="0" xr:uid="{5BB1D9B8-C28A-2148-ACCA-B5BDDD16C6A0}">
      <text>
        <r>
          <rPr>
            <sz val="14"/>
            <color rgb="FF000000"/>
            <rFont val="Times New Roman"/>
            <family val="18"/>
          </rPr>
          <t xml:space="preserve">08/02/1800 </t>
        </r>
        <r>
          <rPr>
            <i/>
            <sz val="14"/>
            <color rgb="FF000000"/>
            <rFont val="Times New Roman"/>
            <family val="18"/>
          </rPr>
          <t>A 3Fl Handgeld zu Tarnow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13 Haupt Braunitzer Komp. Nr. 72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15/06/1803 </t>
        </r>
        <r>
          <rPr>
            <i/>
            <sz val="14"/>
            <color rgb="FF000000"/>
            <rFont val="Times New Roman"/>
            <family val="18"/>
          </rPr>
          <t>Gegen Stellung eines Mannes Als steuerbare Grundbesitzer mit Abschied entlassen</t>
        </r>
        <r>
          <rPr>
            <sz val="14"/>
            <color rgb="FF000000"/>
            <rFont val="Times New Roman"/>
            <family val="18"/>
          </rPr>
          <t xml:space="preserve"> [ML 1803] </t>
        </r>
      </text>
    </comment>
    <comment ref="BG621" authorId="0" shapeId="0" xr:uid="{EE0624EE-F2AE-7445-899A-020E02D4044C}">
      <text>
        <r>
          <rPr>
            <sz val="14"/>
            <color rgb="FF000000"/>
            <rFont val="Times New Roman"/>
            <family val="18"/>
          </rPr>
          <t>ML 10.045/6 IR 13 (1802) – Haupt Braunitzer Komp. Nr. 72 (Triest 16/09/1802)</t>
        </r>
        <r>
          <rPr>
            <sz val="14"/>
            <color rgb="FF000000"/>
            <rFont val="Times New Roman"/>
            <family val="18"/>
          </rPr>
          <t xml:space="preserve">
</t>
        </r>
        <r>
          <rPr>
            <sz val="14"/>
            <color rgb="FF000000"/>
            <rFont val="Times New Roman"/>
            <family val="18"/>
          </rPr>
          <t>ML 10.047/8 IR 13 (1803) – Haupt Braunitzer Komp. Abgang (Triest 21/09/1803)</t>
        </r>
        <r>
          <rPr>
            <sz val="14"/>
            <color rgb="FF000000"/>
            <rFont val="Times New Roman"/>
            <family val="18"/>
          </rPr>
          <t xml:space="preserve">
</t>
        </r>
      </text>
    </comment>
    <comment ref="BH621" authorId="0" shapeId="0" xr:uid="{B8D3D094-B8C3-4545-9776-F797BEFB57F5}">
      <text>
        <r>
          <rPr>
            <sz val="14"/>
            <color rgb="FF000000"/>
            <rFont val="Calibri"/>
            <family val="34"/>
          </rPr>
          <t>IR 13 (1800-1803)</t>
        </r>
      </text>
    </comment>
    <comment ref="BF622" authorId="0" shapeId="0" xr:uid="{F17B8653-F760-624B-B0BE-53E3648FDFFC}">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Ratkovsky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Haupt Schwartz zum Haupt Prietto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01/12/1801 </t>
        </r>
        <r>
          <rPr>
            <i/>
            <sz val="14"/>
            <color rgb="FF000000"/>
            <rFont val="Times New Roman"/>
            <family val="18"/>
          </rPr>
          <t>Von Hauptmann Prietto zum Haupt Dubovitsky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de La Morre Nr. 232 [</t>
        </r>
        <r>
          <rPr>
            <i/>
            <sz val="14"/>
            <color rgb="FF000000"/>
            <rFont val="Times New Roman"/>
            <family val="18"/>
          </rPr>
          <t>Commandiert auf Oberburg</t>
        </r>
        <r>
          <rPr>
            <sz val="14"/>
            <color rgb="FF000000"/>
            <rFont val="Times New Roman"/>
            <family val="18"/>
          </rPr>
          <t>]</t>
        </r>
        <r>
          <rPr>
            <sz val="14"/>
            <color rgb="FF000000"/>
            <rFont val="Calibri"/>
            <family val="34"/>
          </rPr>
          <t xml:space="preserve">
</t>
        </r>
        <r>
          <rPr>
            <sz val="14"/>
            <color rgb="FF000000"/>
            <rFont val="Times New Roman"/>
            <family val="18"/>
          </rPr>
          <t xml:space="preserve">20/02/1803 </t>
        </r>
        <r>
          <rPr>
            <i/>
            <sz val="14"/>
            <color rgb="FF000000"/>
            <rFont val="Times New Roman"/>
            <family val="18"/>
          </rPr>
          <t>Gegen Stellung Anderer Mannes mit Abschied entlassen</t>
        </r>
        <r>
          <rPr>
            <sz val="14"/>
            <color rgb="FF000000"/>
            <rFont val="Times New Roman"/>
            <family val="18"/>
          </rPr>
          <t xml:space="preserve"> [ML 1803]</t>
        </r>
        <r>
          <rPr>
            <sz val="14"/>
            <color rgb="FF000000"/>
            <rFont val="Calibri"/>
            <family val="34"/>
          </rPr>
          <t xml:space="preserve">
</t>
        </r>
      </text>
    </comment>
    <comment ref="BG622" authorId="0" shapeId="0" xr:uid="{BF7499B1-513D-664B-AC58-37C6BC263C8A}">
      <text>
        <r>
          <rPr>
            <sz val="14"/>
            <color rgb="FF000000"/>
            <rFont val="Times New Roman"/>
            <family val="18"/>
          </rPr>
          <t>ML 5103-4 IR 60 (1802) – Haupt De La Morre Komp. Nr. 232 (Petervardein 20/09/1802), Reserve Division Abgang &amp; Zuwachs (Tamesvar 15/09/1802)</t>
        </r>
        <r>
          <rPr>
            <sz val="14"/>
            <color rgb="FF000000"/>
            <rFont val="Calibri"/>
            <family val="34"/>
          </rPr>
          <t xml:space="preserve">
</t>
        </r>
        <r>
          <rPr>
            <sz val="14"/>
            <color rgb="FF000000"/>
            <rFont val="Times New Roman"/>
            <family val="18"/>
          </rPr>
          <t>ML 5105 IR 60 (1803) – Haupt de La Morre Komp. – Abgang (Tamesvar 15/09/1803)</t>
        </r>
        <r>
          <rPr>
            <sz val="14"/>
            <color rgb="FF000000"/>
            <rFont val="Calibri"/>
            <family val="34"/>
          </rPr>
          <t xml:space="preserve">
</t>
        </r>
      </text>
    </comment>
    <comment ref="BH622" authorId="0" shapeId="0" xr:uid="{F5F02E17-9A11-B748-9084-A027AAF069F5}">
      <text>
        <r>
          <rPr>
            <sz val="14"/>
            <color rgb="FF000000"/>
            <rFont val="Calibri"/>
            <family val="34"/>
          </rPr>
          <t>IR 60 (1800-1803)</t>
        </r>
      </text>
    </comment>
    <comment ref="BF623" authorId="0" shapeId="0" xr:uid="{0D16C648-9D9A-C14F-8550-3311D37BD5D4}">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31/07/1800 </t>
        </r>
        <r>
          <rPr>
            <i/>
            <sz val="14"/>
            <color rgb="FF000000"/>
            <rFont val="Times New Roman"/>
            <family val="18"/>
          </rPr>
          <t xml:space="preserve">In Folge hoher General Commando Verordnung dem 2te April mit Lauf Pass entlassen </t>
        </r>
        <r>
          <rPr>
            <sz val="14"/>
            <color rgb="FF000000"/>
            <rFont val="Times New Roman"/>
            <family val="18"/>
          </rPr>
          <t>[ML 1802]</t>
        </r>
        <r>
          <rPr>
            <sz val="14"/>
            <color rgb="FF000000"/>
            <rFont val="Calibri"/>
            <family val="34"/>
          </rPr>
          <t xml:space="preserve">
</t>
        </r>
      </text>
    </comment>
    <comment ref="BG623" authorId="0" shapeId="0" xr:uid="{F9A1EB0E-1936-2E41-A7F7-826F48AE3855}">
      <text>
        <r>
          <rPr>
            <sz val="14"/>
            <color rgb="FF000000"/>
            <rFont val="Times New Roman"/>
            <family val="18"/>
          </rPr>
          <t>ML 5102-4 IR 60 (1802) – Reserve Division Zuwachs &amp; Abgang (Tamesvar 15/09/1802)</t>
        </r>
        <r>
          <rPr>
            <sz val="14"/>
            <color rgb="FF000000"/>
            <rFont val="Calibri"/>
            <family val="34"/>
          </rPr>
          <t xml:space="preserve">
</t>
        </r>
      </text>
    </comment>
    <comment ref="BH623" authorId="0" shapeId="0" xr:uid="{0B62E0F0-11BE-C74E-98A7-DB6E42478E80}">
      <text>
        <r>
          <rPr>
            <sz val="14"/>
            <color rgb="FF000000"/>
            <rFont val="Calibri"/>
            <family val="34"/>
          </rPr>
          <t>IR 60 (1800)</t>
        </r>
      </text>
    </comment>
    <comment ref="BF624" authorId="0" shapeId="0" xr:uid="{5731EF5E-1645-F04D-9655-C913114D3940}">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10/06/1800 </t>
        </r>
        <r>
          <rPr>
            <i/>
            <sz val="14"/>
            <color rgb="FF000000"/>
            <rFont val="Times New Roman"/>
            <family val="18"/>
          </rPr>
          <t>Von Haupt Krapf Komp. Zur Reserve Division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 xml:space="preserve">Von Reserve Division zum Obrist Komp.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nicht zu evidente auswärts befindliche als unwissend verloren in Abgang</t>
        </r>
        <r>
          <rPr>
            <sz val="14"/>
            <color rgb="FF000000"/>
            <rFont val="Times New Roman"/>
            <family val="18"/>
          </rPr>
          <t xml:space="preserve"> [ML 1801]</t>
        </r>
        <r>
          <rPr>
            <sz val="14"/>
            <color rgb="FF000000"/>
            <rFont val="Calibri"/>
            <family val="34"/>
          </rPr>
          <t xml:space="preserve">
</t>
        </r>
      </text>
    </comment>
    <comment ref="BG624" authorId="0" shapeId="0" xr:uid="{DA789519-937D-2943-9F32-1045AE086B83}">
      <text>
        <r>
          <rPr>
            <sz val="14"/>
            <color rgb="FF000000"/>
            <rFont val="Times"/>
            <family val="2"/>
          </rPr>
          <t>ML 5102-4 IR 60 (1802) – Obrist Komp. Zuwachs &amp; Abgang (Tamesvar 15/09/1802), Krapf Komp. Zuwachs &amp; Abgang (</t>
        </r>
        <r>
          <rPr>
            <sz val="14"/>
            <color rgb="FF000000"/>
            <rFont val="Times New Roman"/>
            <family val="18"/>
          </rPr>
          <t>Tamesvar</t>
        </r>
        <r>
          <rPr>
            <sz val="14"/>
            <color rgb="FF000000"/>
            <rFont val="Times"/>
            <family val="2"/>
          </rPr>
          <t xml:space="preserve"> 15/09/1802), Reserve Division Zuwachs &amp; Abgang (Tamesvar 15/09/1802)
</t>
        </r>
      </text>
    </comment>
    <comment ref="BH624" authorId="0" shapeId="0" xr:uid="{EF71CC89-E1A7-2F4F-867D-452EFED357BF}">
      <text>
        <r>
          <rPr>
            <sz val="14"/>
            <color rgb="FF000000"/>
            <rFont val="Calibri"/>
            <family val="34"/>
          </rPr>
          <t>IR 60 (1800-1801)</t>
        </r>
      </text>
    </comment>
    <comment ref="BF625" authorId="0" shapeId="0" xr:uid="{837479E4-499B-BE42-94D8-1643AA7919B3}">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2. Major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30/04/1800 </t>
        </r>
        <r>
          <rPr>
            <i/>
            <sz val="14"/>
            <color rgb="FF000000"/>
            <rFont val="Times New Roman"/>
            <family val="18"/>
          </rPr>
          <t xml:space="preserve">Mit Laufpass als Untauglich entlassen </t>
        </r>
        <r>
          <rPr>
            <sz val="14"/>
            <color rgb="FF000000"/>
            <rFont val="Times New Roman"/>
            <family val="18"/>
          </rPr>
          <t>[ML 1802]</t>
        </r>
        <r>
          <rPr>
            <sz val="14"/>
            <color rgb="FF000000"/>
            <rFont val="Calibri"/>
            <family val="34"/>
          </rPr>
          <t xml:space="preserve">
</t>
        </r>
      </text>
    </comment>
    <comment ref="BG625" authorId="0" shapeId="0" xr:uid="{8191871A-7D43-9148-9F07-B84C03AB5FF6}">
      <text>
        <r>
          <rPr>
            <sz val="14"/>
            <color rgb="FF000000"/>
            <rFont val="Times New Roman"/>
            <family val="18"/>
          </rPr>
          <t>ML 5102-4 IR 60 (1802) – 2. Major Komp. Zuwachs &amp; Abgang (Tamesvar 15/09/1802), Reserve Division Zuwachs &amp; Abgang (Tamesvar 15/09/1802)</t>
        </r>
        <r>
          <rPr>
            <sz val="14"/>
            <color rgb="FF000000"/>
            <rFont val="Calibri"/>
            <family val="34"/>
          </rPr>
          <t xml:space="preserve">
</t>
        </r>
      </text>
    </comment>
    <comment ref="BH625" authorId="0" shapeId="0" xr:uid="{20265A79-5E16-584E-8698-2819E5A8BA9B}">
      <text>
        <r>
          <rPr>
            <sz val="14"/>
            <color rgb="FF000000"/>
            <rFont val="Calibri"/>
            <family val="34"/>
          </rPr>
          <t>IR 60 (1800)</t>
        </r>
      </text>
    </comment>
    <comment ref="BF626" authorId="0" shapeId="0" xr:uid="{C2731DA2-D0BB-5740-B870-C3ABB107EE1A}">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1. Major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31/10/1800 </t>
        </r>
        <r>
          <rPr>
            <i/>
            <sz val="14"/>
            <color rgb="FF000000"/>
            <rFont val="Times New Roman"/>
            <family val="18"/>
          </rPr>
          <t>Von 1. Major zum Reserve Division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13/01/1801 </t>
        </r>
        <r>
          <rPr>
            <i/>
            <sz val="14"/>
            <color rgb="FF000000"/>
            <rFont val="Times New Roman"/>
            <family val="18"/>
          </rPr>
          <t>Gegen Stellung eines anderen Mannes mit Abschied Entlassen</t>
        </r>
        <r>
          <rPr>
            <sz val="14"/>
            <color rgb="FF000000"/>
            <rFont val="Times New Roman"/>
            <family val="18"/>
          </rPr>
          <t xml:space="preserve"> [ML 1802]</t>
        </r>
        <r>
          <rPr>
            <sz val="14"/>
            <color rgb="FF000000"/>
            <rFont val="Calibri"/>
            <family val="34"/>
          </rPr>
          <t xml:space="preserve">
</t>
        </r>
      </text>
    </comment>
    <comment ref="BG626" authorId="0" shapeId="0" xr:uid="{D6FB58E2-0C34-5147-9BE8-5A0C91AC8DCF}">
      <text>
        <r>
          <rPr>
            <sz val="14"/>
            <color rgb="FF000000"/>
            <rFont val="Times New Roman"/>
            <family val="18"/>
          </rPr>
          <t>ML 5102-4 IR 60 (1802) – 1. Major Komp. Zuwachs &amp; Abgang (Tamesvar 15/09/1802), Reserve Division Zuwachs &amp; Abgang (Tamesvar 15/09/1802)</t>
        </r>
        <r>
          <rPr>
            <sz val="14"/>
            <color rgb="FF000000"/>
            <rFont val="Calibri"/>
            <family val="34"/>
          </rPr>
          <t xml:space="preserve">
</t>
        </r>
      </text>
    </comment>
    <comment ref="BH626" authorId="0" shapeId="0" xr:uid="{93B79461-E362-564E-AF4A-1FC0C736E010}">
      <text>
        <r>
          <rPr>
            <sz val="14"/>
            <color rgb="FF000000"/>
            <rFont val="Calibri"/>
            <family val="34"/>
          </rPr>
          <t>IR 60 (1800-1801)</t>
        </r>
      </text>
    </comment>
    <comment ref="BF627" authorId="0" shapeId="0" xr:uid="{B9B1B7F7-4288-C540-9E35-0D2F5EEC95FD}">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31/07/1800 </t>
        </r>
        <r>
          <rPr>
            <i/>
            <sz val="14"/>
            <color rgb="FF000000"/>
            <rFont val="Times New Roman"/>
            <family val="18"/>
          </rPr>
          <t xml:space="preserve">In Folge hoher General Commando Verordnung dem 2te April mit Lauf Pass entlassen </t>
        </r>
        <r>
          <rPr>
            <sz val="14"/>
            <color rgb="FF000000"/>
            <rFont val="Times New Roman"/>
            <family val="18"/>
          </rPr>
          <t>[ML 1802]</t>
        </r>
        <r>
          <rPr>
            <sz val="14"/>
            <color rgb="FF000000"/>
            <rFont val="Calibri"/>
            <family val="34"/>
          </rPr>
          <t xml:space="preserve">
</t>
        </r>
      </text>
    </comment>
    <comment ref="BG627" authorId="0" shapeId="0" xr:uid="{3B118E5B-108A-474E-9E2C-12F2B40DE7B0}">
      <text>
        <r>
          <rPr>
            <sz val="14"/>
            <color rgb="FF000000"/>
            <rFont val="Times New Roman"/>
            <family val="18"/>
          </rPr>
          <t>ML 5102-4 IR 60 (1802) – Reserve Division Zuwachs &amp; Abgang (Tamesvar 15/09/1802)</t>
        </r>
      </text>
    </comment>
    <comment ref="BH627" authorId="0" shapeId="0" xr:uid="{7FB93584-3F3D-0E49-8531-B845FF6D0D4F}">
      <text>
        <r>
          <rPr>
            <sz val="14"/>
            <color rgb="FF000000"/>
            <rFont val="Calibri"/>
            <family val="34"/>
          </rPr>
          <t>IR 60 (1800)</t>
        </r>
      </text>
    </comment>
    <comment ref="BF628" authorId="0" shapeId="0" xr:uid="{C2F2BA10-32ED-C740-93B6-DCCB48607C00}">
      <text>
        <r>
          <rPr>
            <sz val="14"/>
            <color rgb="FFFF0000"/>
            <rFont val="Times New Roman"/>
            <family val="18"/>
          </rPr>
          <t xml:space="preserve">??/02/1802 </t>
        </r>
        <r>
          <rPr>
            <i/>
            <sz val="14"/>
            <color rgb="FFFF0000"/>
            <rFont val="Times New Roman"/>
            <family val="18"/>
          </rPr>
          <t>A 3Fl Handgeld auf Beständig gestellt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09/02/1800 </t>
        </r>
        <r>
          <rPr>
            <i/>
            <sz val="14"/>
            <color rgb="FF000000"/>
            <rFont val="Times New Roman"/>
            <family val="18"/>
          </rPr>
          <t>Von Ständen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Reserve Division ins Haupt Basta Companie transferiert</t>
        </r>
        <r>
          <rPr>
            <sz val="14"/>
            <color rgb="FF000000"/>
            <rFont val="Times New Roman"/>
            <family val="18"/>
          </rPr>
          <t xml:space="preserve"> [ST August 1801]</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[IR 43]</t>
        </r>
        <r>
          <rPr>
            <sz val="14"/>
            <color rgb="FF000000"/>
            <rFont val="Times New Roman"/>
            <family val="18"/>
          </rPr>
          <t xml:space="preserve"> </t>
        </r>
        <r>
          <rPr>
            <i/>
            <sz val="14"/>
            <color rgb="FF000000"/>
            <rFont val="Times New Roman"/>
            <family val="18"/>
          </rPr>
          <t>Haupt Basta Komp zum IR 44 transferiert und zur Haupt Vassy Komp. eingeteilt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19/09/1803 Muster: IR 44 Haupt Gilleta Nr. 92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12/05/1804 Muster: IR 44 Haupt Giletta Nr. 81 [</t>
        </r>
        <r>
          <rPr>
            <i/>
            <sz val="14"/>
            <color rgb="FF000000"/>
            <rFont val="Times New Roman"/>
            <family val="18"/>
          </rPr>
          <t>Beurlaubt auf Bestimmte Zeit zu Bielokamien Zlocower Kreis</t>
        </r>
        <r>
          <rPr>
            <sz val="14"/>
            <color rgb="FF000000"/>
            <rFont val="Times New Roman"/>
            <family val="18"/>
          </rPr>
          <t>, Ost Galizien]</t>
        </r>
        <r>
          <rPr>
            <sz val="14"/>
            <color rgb="FF000000"/>
            <rFont val="Calibri"/>
            <family val="34"/>
          </rPr>
          <t xml:space="preserve">
</t>
        </r>
        <r>
          <rPr>
            <sz val="14"/>
            <color rgb="FF000000"/>
            <rFont val="Times New Roman"/>
            <family val="18"/>
          </rPr>
          <t xml:space="preserve">28/05/1804 </t>
        </r>
        <r>
          <rPr>
            <i/>
            <sz val="14"/>
            <color rgb="FF000000"/>
            <rFont val="Times New Roman"/>
            <family val="18"/>
          </rPr>
          <t xml:space="preserve">Auf Urlaub in Lemberg Gestorben </t>
        </r>
        <r>
          <rPr>
            <sz val="14"/>
            <color rgb="FF000000"/>
            <rFont val="Times New Roman"/>
            <family val="18"/>
          </rPr>
          <t>[ST Juli 1804]</t>
        </r>
        <r>
          <rPr>
            <sz val="14"/>
            <color rgb="FF000000"/>
            <rFont val="Calibri"/>
            <family val="34"/>
          </rPr>
          <t xml:space="preserve">
</t>
        </r>
        <r>
          <rPr>
            <sz val="14"/>
            <color rgb="FF000000"/>
            <rFont val="Times New Roman"/>
            <family val="18"/>
          </rPr>
          <t>Nie Desertiert</t>
        </r>
        <r>
          <rPr>
            <sz val="14"/>
            <color rgb="FF000000"/>
            <rFont val="Calibri"/>
            <family val="34"/>
          </rPr>
          <t xml:space="preserve">
</t>
        </r>
      </text>
    </comment>
    <comment ref="BG628" authorId="0" shapeId="0" xr:uid="{275EBF94-20CC-E845-A393-4C040AA31F36}">
      <text>
        <r>
          <rPr>
            <sz val="14"/>
            <color rgb="FF000000"/>
            <rFont val="Times New Roman"/>
            <family val="18"/>
          </rPr>
          <t>ML 10.311 IR 43 (1801) – ST Juni (20/06/1805)</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Gilleta Komp. Nr. 92 (Venice 19/09/1803)</t>
        </r>
        <r>
          <rPr>
            <sz val="14"/>
            <color rgb="FF000000"/>
            <rFont val="Calibri"/>
            <family val="34"/>
          </rPr>
          <t xml:space="preserve">
</t>
        </r>
        <r>
          <rPr>
            <sz val="14"/>
            <color rgb="FF000000"/>
            <rFont val="Times New Roman"/>
            <family val="18"/>
          </rPr>
          <t>ML 3909 IR 44 (1804) – Haupt Gilleta Komp. Nr. 81 (Vicenza 12/05/1804)</t>
        </r>
        <r>
          <rPr>
            <sz val="14"/>
            <color rgb="FF000000"/>
            <rFont val="Calibri"/>
            <family val="34"/>
          </rPr>
          <t xml:space="preserve">
</t>
        </r>
        <r>
          <rPr>
            <sz val="14"/>
            <color rgb="FF000000"/>
            <rFont val="Times New Roman"/>
            <family val="18"/>
          </rPr>
          <t>ML 3946 IR 44 (1802) – AL IR 43-&gt; IR 43 Nr. 128 (Zara 27/07/1802)</t>
        </r>
        <r>
          <rPr>
            <sz val="14"/>
            <color rgb="FF000000"/>
            <rFont val="Calibri"/>
            <family val="34"/>
          </rPr>
          <t xml:space="preserve">
</t>
        </r>
        <r>
          <rPr>
            <sz val="14"/>
            <color rgb="FF000000"/>
            <rFont val="Times New Roman"/>
            <family val="18"/>
          </rPr>
          <t>ML 3949 IR 44 (1806) – ST July (Vicenza 14/08/1804)</t>
        </r>
        <r>
          <rPr>
            <sz val="14"/>
            <color rgb="FF000000"/>
            <rFont val="Calibri"/>
            <family val="34"/>
          </rPr>
          <t xml:space="preserve">
</t>
        </r>
      </text>
    </comment>
    <comment ref="BH628" authorId="0" shapeId="0" xr:uid="{1115AC03-7692-A341-88E2-3E70310917CB}">
      <text>
        <r>
          <rPr>
            <sz val="14"/>
            <color rgb="FF000000"/>
            <rFont val="Calibri"/>
            <family val="34"/>
          </rPr>
          <t xml:space="preserve">IR 43 (1800-1802)
</t>
        </r>
        <r>
          <rPr>
            <sz val="14"/>
            <color rgb="FF000000"/>
            <rFont val="Calibri"/>
            <family val="34"/>
          </rPr>
          <t>IR 44 (1802-1804)</t>
        </r>
      </text>
    </comment>
    <comment ref="BI628" authorId="0" shapeId="0" xr:uid="{C817DE1A-C0ED-8048-81E1-A67129364F1C}">
      <text>
        <r>
          <rPr>
            <sz val="14"/>
            <color rgb="FF000000"/>
            <rFont val="Calibri"/>
            <family val="34"/>
          </rPr>
          <t>Gut [TL Aug 1802]</t>
        </r>
      </text>
    </comment>
    <comment ref="BF629" authorId="0" shapeId="0" xr:uid="{E0690579-8B97-7841-AC75-7DB8F305914F}">
      <text>
        <r>
          <rPr>
            <sz val="14"/>
            <color rgb="FF000000"/>
            <rFont val="Times New Roman"/>
            <family val="18"/>
          </rPr>
          <t xml:space="preserve">09/02/1800 </t>
        </r>
        <r>
          <rPr>
            <i/>
            <sz val="14"/>
            <color rgb="FF000000"/>
            <rFont val="Times New Roman"/>
            <family val="18"/>
          </rPr>
          <t xml:space="preserve">Als Ausgehobene Inländische Recrout a 3 Fl Handgeld in die Reserve Division assentiert </t>
        </r>
        <r>
          <rPr>
            <sz val="14"/>
            <color rgb="FF000000"/>
            <rFont val="Times New Roman"/>
            <family val="18"/>
          </rPr>
          <t xml:space="preserve">[AL Feb 1800]
</t>
        </r>
        <r>
          <rPr>
            <sz val="14"/>
            <color rgb="FF000000"/>
            <rFont val="Times New Roman"/>
            <family val="18"/>
          </rPr>
          <t xml:space="preserve">04/06/1800 </t>
        </r>
        <r>
          <rPr>
            <i/>
            <sz val="14"/>
            <color rgb="FF000000"/>
            <rFont val="Times New Roman"/>
            <family val="18"/>
          </rPr>
          <t>Vermog Hohe General Commando Verordnung ddet. Lemberg 28 Feb 800 den 4. Juni Gegen Stellung andere Recroutten und Ersatz des Mont Geldes mit Abschied entlassen</t>
        </r>
        <r>
          <rPr>
            <sz val="14"/>
            <color rgb="FF000000"/>
            <rFont val="Times New Roman"/>
            <family val="18"/>
          </rPr>
          <t xml:space="preserve"> ST June 1800]
</t>
        </r>
      </text>
    </comment>
    <comment ref="BG629" authorId="0" shapeId="0" xr:uid="{D01AF2FE-6C28-BD4B-8F6F-7618B4486CE6}">
      <text>
        <r>
          <rPr>
            <sz val="14"/>
            <color rgb="FF000000"/>
            <rFont val="Times New Roman"/>
            <family val="18"/>
          </rPr>
          <t xml:space="preserve">ML 2303/4 IR 27 (1800) – ST Juni (Graz 11/01/1801)
</t>
        </r>
        <r>
          <rPr>
            <sz val="14"/>
            <color rgb="FF000000"/>
            <rFont val="Times New Roman"/>
            <family val="18"/>
          </rPr>
          <t xml:space="preserve">ML 2305 IR 27 (1800) – AL Reserve Division Nr. 57 (Zaleszczyk, 13/02/1800)
</t>
        </r>
      </text>
    </comment>
    <comment ref="BH629" authorId="0" shapeId="0" xr:uid="{AB5B7C43-6BC9-2E42-AF71-C08C1C239CBE}">
      <text>
        <r>
          <rPr>
            <sz val="14"/>
            <color rgb="FF000000"/>
            <rFont val="Calibri"/>
            <family val="34"/>
          </rPr>
          <t>IR 27 (1800)</t>
        </r>
      </text>
    </comment>
    <comment ref="BF630" authorId="0" shapeId="0" xr:uid="{8A7C91E0-F926-F745-AF1C-F08FFC58DA9F}">
      <text>
        <r>
          <rPr>
            <sz val="14"/>
            <color rgb="FF000000"/>
            <rFont val="Times New Roman"/>
            <family val="18"/>
          </rPr>
          <t xml:space="preserve">10/02/1800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11 Haupt Baumgarten Komp. Nr. 74 [</t>
        </r>
        <r>
          <rPr>
            <i/>
            <sz val="14"/>
            <color rgb="FF000000"/>
            <rFont val="Times New Roman"/>
            <family val="18"/>
          </rPr>
          <t>Krank in Regimentsspital</t>
        </r>
        <r>
          <rPr>
            <sz val="14"/>
            <color rgb="FF000000"/>
            <rFont val="Times New Roman"/>
            <family val="18"/>
          </rPr>
          <t>]</t>
        </r>
        <r>
          <rPr>
            <sz val="14"/>
            <color rgb="FF000000"/>
            <rFont val="Times New Roman"/>
            <family val="18"/>
          </rPr>
          <t xml:space="preserve">
</t>
        </r>
        <r>
          <rPr>
            <sz val="14"/>
            <color rgb="FF000000"/>
            <rFont val="Times New Roman"/>
            <family val="18"/>
          </rPr>
          <t>25/08/1804 Muster: IR 11 Haupt Baumgarten Komp. Nr. 67 [</t>
        </r>
        <r>
          <rPr>
            <i/>
            <sz val="14"/>
            <color rgb="FF000000"/>
            <rFont val="Times New Roman"/>
            <family val="18"/>
          </rPr>
          <t>Beurlaubt zur Einberufung in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14/02/1806 </t>
        </r>
        <r>
          <rPr>
            <i/>
            <sz val="14"/>
            <color rgb="FF000000"/>
            <rFont val="Times New Roman"/>
            <family val="18"/>
          </rPr>
          <t>In Galizien von Urlaub desertiert</t>
        </r>
        <r>
          <rPr>
            <sz val="14"/>
            <color rgb="FF000000"/>
            <rFont val="Times New Roman"/>
            <family val="18"/>
          </rPr>
          <t xml:space="preserve"> [ML 1806] </t>
        </r>
      </text>
    </comment>
    <comment ref="BG630" authorId="0" shapeId="0" xr:uid="{DC138E65-E862-BA4F-87BB-1B9273F3CDEC}">
      <text>
        <r>
          <rPr>
            <sz val="14"/>
            <color rgb="FF000000"/>
            <rFont val="Times New Roman"/>
            <family val="18"/>
          </rPr>
          <t>ML 804/5 IR 11 (1802) – Haupt Baumgarten Komp. Nr. 74 (Prague 16/09/1802)</t>
        </r>
        <r>
          <rPr>
            <sz val="14"/>
            <color rgb="FF000000"/>
            <rFont val="Times New Roman"/>
            <family val="18"/>
          </rPr>
          <t xml:space="preserve">
</t>
        </r>
        <r>
          <rPr>
            <sz val="14"/>
            <color rgb="FF000000"/>
            <rFont val="Times New Roman"/>
            <family val="18"/>
          </rPr>
          <t>ML 806 IR 11 (1804) – Haupt Baumgarten Komp. Nr. 67 (Prague 25/08/1804)</t>
        </r>
        <r>
          <rPr>
            <sz val="14"/>
            <color rgb="FF000000"/>
            <rFont val="Times New Roman"/>
            <family val="18"/>
          </rPr>
          <t xml:space="preserve">
</t>
        </r>
        <r>
          <rPr>
            <sz val="14"/>
            <color rgb="FF000000"/>
            <rFont val="Times New Roman"/>
            <family val="18"/>
          </rPr>
          <t>ML 807/8 IR 11 (1806) – 10. Fus. Komp. Abgang (Prague 23/12/1806)</t>
        </r>
        <r>
          <rPr>
            <sz val="14"/>
            <color rgb="FF000000"/>
            <rFont val="Times New Roman"/>
            <family val="18"/>
          </rPr>
          <t xml:space="preserve">
</t>
        </r>
      </text>
    </comment>
    <comment ref="BH630" authorId="0" shapeId="0" xr:uid="{3BB04FF1-0252-8740-8A4A-BA996F189AE2}">
      <text>
        <r>
          <rPr>
            <sz val="14"/>
            <color rgb="FF000000"/>
            <rFont val="Calibri"/>
            <family val="34"/>
          </rPr>
          <t>IR 11 (1800-1806)</t>
        </r>
      </text>
    </comment>
    <comment ref="P631" authorId="0" shapeId="0" xr:uid="{09D2DCBD-4B31-5D47-9929-AF9FB44321B2}">
      <text>
        <r>
          <rPr>
            <sz val="14"/>
            <color rgb="FF000000"/>
            <rFont val="Times New Roman"/>
            <family val="18"/>
          </rPr>
          <t>Sory (1799)</t>
        </r>
      </text>
    </comment>
    <comment ref="BF631" authorId="0" shapeId="0" xr:uid="{9A760E55-82C6-0B44-8311-ADE449FC73DD}">
      <text>
        <r>
          <rPr>
            <sz val="14"/>
            <color rgb="FF000000"/>
            <rFont val="Times New Roman"/>
            <family val="18"/>
          </rPr>
          <t xml:space="preserve">10/02/1800 </t>
        </r>
        <r>
          <rPr>
            <i/>
            <sz val="14"/>
            <color rgb="FF000000"/>
            <rFont val="Times New Roman"/>
            <family val="18"/>
          </rPr>
          <t>A 3 Fl Handgeld von ostgalizischen Ständen gestellt und zum Zolkiew in IR 4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4 Leib Komp. Nr. 39 [</t>
        </r>
        <r>
          <rPr>
            <i/>
            <sz val="14"/>
            <color rgb="FF000000"/>
            <rFont val="Times New Roman"/>
            <family val="18"/>
          </rPr>
          <t>Beurlaubt in seinem Geburtsort in Galizien</t>
        </r>
        <r>
          <rPr>
            <sz val="14"/>
            <color rgb="FF000000"/>
            <rFont val="Times New Roman"/>
            <family val="18"/>
          </rPr>
          <t xml:space="preserve">] </t>
        </r>
        <r>
          <rPr>
            <sz val="14"/>
            <color rgb="FF000000"/>
            <rFont val="Aptos"/>
            <family val="34"/>
          </rPr>
          <t xml:space="preserve">
</t>
        </r>
        <r>
          <rPr>
            <sz val="14"/>
            <color rgb="FF000000"/>
            <rFont val="Times New Roman"/>
            <family val="18"/>
          </rPr>
          <t xml:space="preserve">UNBEKANNT: </t>
        </r>
        <r>
          <rPr>
            <i/>
            <sz val="14"/>
            <color rgb="FF000000"/>
            <rFont val="Times New Roman"/>
            <family val="18"/>
          </rPr>
          <t>Erscheint nicht in der Revisions-Liste von Haupt Hertwich Kompanie zwischen  31. Marz 1804 und 1. Mai 1804</t>
        </r>
        <r>
          <rPr>
            <sz val="14"/>
            <color rgb="FF000000"/>
            <rFont val="Calibri"/>
            <family val="34"/>
          </rPr>
          <t xml:space="preserve">
</t>
        </r>
      </text>
    </comment>
    <comment ref="BG631" authorId="0" shapeId="0" xr:uid="{B0DA177D-F986-9D42-8916-2880346978F2}">
      <text>
        <r>
          <rPr>
            <sz val="14"/>
            <color rgb="FF000000"/>
            <rFont val="Times New Roman"/>
            <family val="18"/>
          </rPr>
          <t>ML 348 IR 4 (1803) – Lieb Komp. Nr. 39 (Vienna 14/09/1803)</t>
        </r>
        <r>
          <rPr>
            <sz val="14"/>
            <color rgb="FF000000"/>
            <rFont val="Aptos"/>
            <family val="34"/>
          </rPr>
          <t xml:space="preserve">
</t>
        </r>
      </text>
    </comment>
    <comment ref="BH631" authorId="0" shapeId="0" xr:uid="{67768075-6374-5046-8F6C-B3C6D93F0032}">
      <text>
        <r>
          <rPr>
            <sz val="14"/>
            <color rgb="FF000000"/>
            <rFont val="Calibri"/>
            <family val="34"/>
          </rPr>
          <t>IR 4 (1800-1804)</t>
        </r>
      </text>
    </comment>
    <comment ref="BF632" authorId="0" shapeId="0" xr:uid="{F3D40DBB-EA90-0F41-BB89-FF0C0AF7F01A}">
      <text>
        <r>
          <rPr>
            <sz val="14"/>
            <color rgb="FF000000"/>
            <rFont val="Times New Roman"/>
            <family val="18"/>
          </rPr>
          <t xml:space="preserve">11/02/1800 </t>
        </r>
        <r>
          <rPr>
            <i/>
            <sz val="14"/>
            <color rgb="FF000000"/>
            <rFont val="Times New Roman"/>
            <family val="18"/>
          </rPr>
          <t xml:space="preserve">Von Land gestellt und zum IR 1 a 3Fl ohne Capitulation 4. Batallion 3. Komp Ranger als Inländer assentiert </t>
        </r>
        <r>
          <rPr>
            <sz val="14"/>
            <color rgb="FF000000"/>
            <rFont val="Times New Roman"/>
            <family val="18"/>
          </rPr>
          <t>[AL March 1800]</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IR 1 4. Bataillon 3. Komp (Haupt Ranger) zum IR 7 transferiert</t>
        </r>
        <r>
          <rPr>
            <sz val="14"/>
            <color rgb="FF000000"/>
            <rFont val="Times New Roman"/>
            <family val="18"/>
          </rPr>
          <t xml:space="preserve"> [TL June 1800</t>
        </r>
        <r>
          <rPr>
            <sz val="14"/>
            <color rgb="FF000000"/>
            <rFont val="Calibri"/>
            <family val="2"/>
          </rPr>
          <t xml:space="preserve"> </t>
        </r>
      </text>
    </comment>
    <comment ref="BG632" authorId="0" shapeId="0" xr:uid="{7A3893FF-898A-8F4E-A228-5C42A72B7FC6}">
      <text>
        <r>
          <rPr>
            <sz val="14"/>
            <color rgb="FF000000"/>
            <rFont val="Times New Roman"/>
            <family val="18"/>
          </rPr>
          <t>ML 75 IR 1 (1800) – AL Nr. 43 (Zamosc 28/03/1800). TL IR 1-&gt; IR 7 Nr. 69 (Olmütz 19/06/1800)</t>
        </r>
        <r>
          <rPr>
            <sz val="14"/>
            <color rgb="FF000000"/>
            <rFont val="Calibri"/>
            <family val="34"/>
          </rPr>
          <t xml:space="preserve">
</t>
        </r>
      </text>
    </comment>
    <comment ref="BH632" authorId="0" shapeId="0" xr:uid="{B08C2073-952D-2F41-988B-A03541A618E5}">
      <text>
        <r>
          <rPr>
            <sz val="14"/>
            <color rgb="FF000000"/>
            <rFont val="Calibri"/>
            <family val="34"/>
          </rPr>
          <t xml:space="preserve">IR 1 (1800)
</t>
        </r>
        <r>
          <rPr>
            <sz val="14"/>
            <color rgb="FF000000"/>
            <rFont val="Calibri"/>
            <family val="34"/>
          </rPr>
          <t>IR 7 (1800)</t>
        </r>
      </text>
    </comment>
    <comment ref="BI632" authorId="0" shapeId="0" xr:uid="{6BF9881C-7626-EF42-A30C-4B368DE55831}">
      <text>
        <r>
          <rPr>
            <i/>
            <sz val="14"/>
            <color rgb="FF000000"/>
            <rFont val="Calibri"/>
            <family val="34"/>
          </rPr>
          <t>Gut</t>
        </r>
        <r>
          <rPr>
            <sz val="14"/>
            <color rgb="FF000000"/>
            <rFont val="Calibri"/>
            <family val="34"/>
          </rPr>
          <t xml:space="preserve"> [TL June 1800]</t>
        </r>
      </text>
    </comment>
    <comment ref="BF633" authorId="0" shapeId="0" xr:uid="{4EF7DEA0-8651-5946-AAE5-D9C818514252}">
      <text>
        <r>
          <rPr>
            <sz val="14"/>
            <color rgb="FF000000"/>
            <rFont val="Times New Roman"/>
            <family val="18"/>
          </rPr>
          <t xml:space="preserve">11/02/1800 </t>
        </r>
        <r>
          <rPr>
            <i/>
            <sz val="14"/>
            <color rgb="FF000000"/>
            <rFont val="Times New Roman"/>
            <family val="18"/>
          </rPr>
          <t>A 3 Fl Handgeld in Zolkiew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Schwarz Komp, Nr. 48</t>
        </r>
        <r>
          <rPr>
            <sz val="14"/>
            <color rgb="FF000000"/>
            <rFont val="Calibri"/>
            <family val="34"/>
          </rPr>
          <t xml:space="preserve">
</t>
        </r>
        <r>
          <rPr>
            <sz val="14"/>
            <color rgb="FF000000"/>
            <rFont val="Times New Roman"/>
            <family val="18"/>
          </rPr>
          <t xml:space="preserve">09/10/1805 </t>
        </r>
        <r>
          <rPr>
            <i/>
            <sz val="14"/>
            <color rgb="FF000000"/>
            <rFont val="Times New Roman"/>
            <family val="18"/>
          </rPr>
          <t>Aus die Station Bierwand desertiert</t>
        </r>
        <r>
          <rPr>
            <sz val="14"/>
            <color rgb="FF000000"/>
            <rFont val="Times New Roman"/>
            <family val="18"/>
          </rPr>
          <t xml:space="preserve"> [ML 1806]</t>
        </r>
        <r>
          <rPr>
            <sz val="14"/>
            <color rgb="FF000000"/>
            <rFont val="Calibri"/>
            <family val="34"/>
          </rPr>
          <t xml:space="preserve">
</t>
        </r>
      </text>
    </comment>
    <comment ref="BG633" authorId="0" shapeId="0" xr:uid="{E5349E79-59BF-3743-A56B-08ACBD77D9AB}">
      <text>
        <r>
          <rPr>
            <sz val="14"/>
            <color rgb="FF000000"/>
            <rFont val="Times New Roman"/>
            <family val="18"/>
          </rPr>
          <t>ML 348 IR 4 (1803) – Haupt Schwarz Nr. 48 (Vienna 14/09/1803)</t>
        </r>
        <r>
          <rPr>
            <sz val="14"/>
            <color rgb="FF000000"/>
            <rFont val="Calibri"/>
            <family val="34"/>
          </rPr>
          <t xml:space="preserve">
</t>
        </r>
        <r>
          <rPr>
            <sz val="14"/>
            <color rgb="FF000000"/>
            <rFont val="Times New Roman"/>
            <family val="18"/>
          </rPr>
          <t>ML 349/50 IR 4 (1806) – 2. Fus. Komp. Abgang (Baden 30/12/1806)</t>
        </r>
        <r>
          <rPr>
            <sz val="14"/>
            <color rgb="FF000000"/>
            <rFont val="Calibri"/>
            <family val="34"/>
          </rPr>
          <t xml:space="preserve">
</t>
        </r>
      </text>
    </comment>
    <comment ref="BH633" authorId="0" shapeId="0" xr:uid="{2286F700-4075-2D4E-9FC3-FB6136E70509}">
      <text>
        <r>
          <rPr>
            <sz val="14"/>
            <color rgb="FF000000"/>
            <rFont val="Calibri"/>
            <family val="34"/>
          </rPr>
          <t>IR 4 (1800-1805)</t>
        </r>
      </text>
    </comment>
    <comment ref="T634" authorId="0" shapeId="0" xr:uid="{D13D96F9-252B-024D-A124-35D899848C64}">
      <text>
        <r>
          <rPr>
            <sz val="14"/>
            <color rgb="FF000000"/>
            <rFont val="Calibri"/>
            <family val="34"/>
          </rPr>
          <t xml:space="preserve">5.2.3 [163.91 cm] [ML 1802]
</t>
        </r>
        <r>
          <rPr>
            <sz val="14"/>
            <color rgb="FF000000"/>
            <rFont val="Calibri"/>
            <family val="34"/>
          </rPr>
          <t>5.5.2 [163.7 cm] [ML 1803]</t>
        </r>
      </text>
    </comment>
    <comment ref="BF634" authorId="0" shapeId="0" xr:uid="{B1B07ABD-EE76-F64F-B797-6D8A9F55936D}">
      <text>
        <r>
          <rPr>
            <sz val="14"/>
            <color rgb="FF000000"/>
            <rFont val="Times New Roman"/>
            <family val="18"/>
          </rPr>
          <t xml:space="preserve">11/02/1800 </t>
        </r>
        <r>
          <rPr>
            <i/>
            <sz val="14"/>
            <color rgb="FF000000"/>
            <rFont val="Times New Roman"/>
            <family val="18"/>
          </rPr>
          <t>Von Landständen gestellt und a 3Fl Handgeld auf Beständig zum IR 23 Reserve Division gestellt</t>
        </r>
        <r>
          <rPr>
            <sz val="14"/>
            <color rgb="FF000000"/>
            <rFont val="Times New Roman"/>
            <family val="18"/>
          </rPr>
          <t xml:space="preserve"> [ML 1802 &amp; AL Feb 1800]</t>
        </r>
        <r>
          <rPr>
            <sz val="14"/>
            <color rgb="FF000000"/>
            <rFont val="Calibri"/>
            <family val="34"/>
          </rPr>
          <t xml:space="preserve">
</t>
        </r>
        <r>
          <rPr>
            <sz val="14"/>
            <color rgb="FF000000"/>
            <rFont val="Times New Roman"/>
            <family val="18"/>
          </rPr>
          <t xml:space="preserve">22/06/1800 </t>
        </r>
        <r>
          <rPr>
            <i/>
            <sz val="14"/>
            <color rgb="FF000000"/>
            <rFont val="Times New Roman"/>
            <family val="18"/>
          </rPr>
          <t>Von der Arbeit zu Wald haufen desertiert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30/06/1800 </t>
        </r>
        <r>
          <rPr>
            <i/>
            <sz val="14"/>
            <color rgb="FF000000"/>
            <rFont val="Times New Roman"/>
            <family val="18"/>
          </rPr>
          <t>Von Landmann a 24 Fl Taglia eingebracht</t>
        </r>
        <r>
          <rPr>
            <sz val="14"/>
            <color rgb="FF000000"/>
            <rFont val="Times New Roman"/>
            <family val="18"/>
          </rPr>
          <t xml:space="preserve"> [ML 1802 &amp; ML 1803]</t>
        </r>
        <r>
          <rPr>
            <sz val="14"/>
            <color rgb="FF000000"/>
            <rFont val="Calibri"/>
            <family val="34"/>
          </rPr>
          <t xml:space="preserve">
</t>
        </r>
        <r>
          <rPr>
            <sz val="14"/>
            <color rgb="FF000000"/>
            <rFont val="Times New Roman"/>
            <family val="18"/>
          </rPr>
          <t>16/09/1802 Muster: IR 23 Haupt Pappius Komp Nr. 107 [</t>
        </r>
        <r>
          <rPr>
            <i/>
            <sz val="14"/>
            <color rgb="FF000000"/>
            <rFont val="Times New Roman"/>
            <family val="18"/>
          </rPr>
          <t>Commandiert in Laxenburg</t>
        </r>
        <r>
          <rPr>
            <sz val="14"/>
            <color rgb="FF000000"/>
            <rFont val="Times New Roman"/>
            <family val="18"/>
          </rPr>
          <t>]</t>
        </r>
        <r>
          <rPr>
            <sz val="14"/>
            <color rgb="FF000000"/>
            <rFont val="Calibri"/>
            <family val="34"/>
          </rPr>
          <t xml:space="preserve">
</t>
        </r>
        <r>
          <rPr>
            <sz val="14"/>
            <color rgb="FF000000"/>
            <rFont val="Times New Roman"/>
            <family val="18"/>
          </rPr>
          <t>13/09/1803 Muster: IR 23 Haupt Pappius Komp Nr. 86</t>
        </r>
        <r>
          <rPr>
            <sz val="14"/>
            <color rgb="FF000000"/>
            <rFont val="Calibri"/>
            <family val="34"/>
          </rPr>
          <t xml:space="preserve">
</t>
        </r>
        <r>
          <rPr>
            <sz val="14"/>
            <color rgb="FF000000"/>
            <rFont val="Times New Roman"/>
            <family val="18"/>
          </rPr>
          <t>06/09/1804 Muster: IR 23 Haupt Pappius Komp Nr. 81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Haupt Pappius zum Haupt Waldstetten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r>
          <rPr>
            <sz val="14"/>
            <color rgb="FF000000"/>
            <rFont val="Calibri"/>
            <family val="34"/>
          </rPr>
          <t xml:space="preserve">
</t>
        </r>
      </text>
    </comment>
    <comment ref="BG634" authorId="0" shapeId="0" xr:uid="{78B2D97D-D846-DF40-BCB5-A4CBD4172279}">
      <text>
        <r>
          <rPr>
            <sz val="14"/>
            <color rgb="FF000000"/>
            <rFont val="Times New Roman"/>
            <family val="18"/>
          </rPr>
          <t>ML 10.124 IR 23 (1802) – Haupt Pappius Komp. Nr. 107 (Vienna 16/09/1802)</t>
        </r>
        <r>
          <rPr>
            <sz val="14"/>
            <color rgb="FF000000"/>
            <rFont val="Calibri"/>
            <family val="34"/>
          </rPr>
          <t xml:space="preserve">
</t>
        </r>
        <r>
          <rPr>
            <sz val="14"/>
            <color rgb="FF000000"/>
            <rFont val="Times New Roman"/>
            <family val="18"/>
          </rPr>
          <t>ML 10.125 IR 23 (1803) – Haupt Pappius Komp. Nr. 86 (Vienna 13/09/1803)</t>
        </r>
        <r>
          <rPr>
            <sz val="14"/>
            <color rgb="FF000000"/>
            <rFont val="Calibri"/>
            <family val="34"/>
          </rPr>
          <t xml:space="preserve">
</t>
        </r>
        <r>
          <rPr>
            <sz val="14"/>
            <color rgb="FF000000"/>
            <rFont val="Times New Roman"/>
            <family val="18"/>
          </rPr>
          <t>ML 10.126 IR 23 (1804) – Haupt Pappius Komp. Nr. 81 (Krems 06/09/1804)</t>
        </r>
        <r>
          <rPr>
            <sz val="14"/>
            <color rgb="FF000000"/>
            <rFont val="Calibri"/>
            <family val="34"/>
          </rPr>
          <t xml:space="preserve">
</t>
        </r>
        <r>
          <rPr>
            <sz val="14"/>
            <color rgb="FF000000"/>
            <rFont val="Times New Roman"/>
            <family val="18"/>
          </rPr>
          <t>ML 10.127/8 IR 23 (1807) – Haupt Waldstetten Komp. Abgang (Rötz 26/01/1807)</t>
        </r>
        <r>
          <rPr>
            <sz val="14"/>
            <color rgb="FF000000"/>
            <rFont val="Calibri"/>
            <family val="34"/>
          </rPr>
          <t xml:space="preserve">
</t>
        </r>
        <r>
          <rPr>
            <sz val="14"/>
            <color rgb="FF000000"/>
            <rFont val="Times New Roman"/>
            <family val="18"/>
          </rPr>
          <t>ML 10.167 IR 23 (1800) AL/TL – AL Nr. 4 (Krems 21/02/1800)</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634" authorId="0" shapeId="0" xr:uid="{A237FC94-E492-6F4F-921C-D20633A2252C}">
      <text>
        <r>
          <rPr>
            <sz val="14"/>
            <color rgb="FF000000"/>
            <rFont val="Calibri"/>
            <family val="34"/>
          </rPr>
          <t>IR 23 (1800-1806)</t>
        </r>
      </text>
    </comment>
    <comment ref="BF635" authorId="0" shapeId="0" xr:uid="{2B3B8204-B6E1-3448-9CF1-0EFE6EF9F49D}">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In Cremona in die Kriegsgefangenschaft geraten</t>
        </r>
        <r>
          <rPr>
            <sz val="14"/>
            <color rgb="FF000000"/>
            <rFont val="Times New Roman"/>
            <family val="18"/>
          </rPr>
          <t xml:space="preserve"> [ML 1802]</t>
        </r>
      </text>
    </comment>
    <comment ref="BG635" authorId="0" shapeId="0" xr:uid="{9494E8B2-B125-CC48-8DE9-C99B36FCA76B}">
      <text>
        <r>
          <rPr>
            <sz val="14"/>
            <color rgb="FF000000"/>
            <rFont val="Times New Roman"/>
            <family val="18"/>
          </rPr>
          <t>ML 1937 IR 24 (1802) – Haupt O‘Madden Komp. Abgang (Vienna 16/09/1802)</t>
        </r>
        <r>
          <rPr>
            <sz val="14"/>
            <color rgb="FF000000"/>
            <rFont val="Calibri"/>
            <family val="34"/>
          </rPr>
          <t xml:space="preserve">
</t>
        </r>
      </text>
    </comment>
    <comment ref="BH635" authorId="0" shapeId="0" xr:uid="{29E64DB0-476E-1945-8AC9-C9356C0D696A}">
      <text>
        <r>
          <rPr>
            <sz val="14"/>
            <color rgb="FF000000"/>
            <rFont val="Calibri"/>
            <family val="34"/>
          </rPr>
          <t>IR 24 (1800)</t>
        </r>
      </text>
    </comment>
    <comment ref="BF636" authorId="0" shapeId="0" xr:uid="{454B9CE8-3C48-9746-94E7-F8865D3AD638}">
      <text>
        <r>
          <rPr>
            <sz val="14"/>
            <color rgb="FF000000"/>
            <rFont val="Times New Roman"/>
            <family val="18"/>
          </rPr>
          <t xml:space="preserve">12/02/1800 [seit mindestens] </t>
        </r>
        <r>
          <rPr>
            <i/>
            <sz val="14"/>
            <color rgb="FF000000"/>
            <rFont val="Times New Roman"/>
            <family val="18"/>
          </rPr>
          <t>Dient bei IR 24 Obrist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31/08/1801 </t>
        </r>
        <r>
          <rPr>
            <i/>
            <sz val="14"/>
            <color rgb="FF000000"/>
            <rFont val="Times New Roman"/>
            <family val="18"/>
          </rPr>
          <t>Als Unwissend verloren in Abgang</t>
        </r>
        <r>
          <rPr>
            <sz val="14"/>
            <color rgb="FF000000"/>
            <rFont val="Times New Roman"/>
            <family val="18"/>
          </rPr>
          <t xml:space="preserve"> [ML 1802]</t>
        </r>
      </text>
    </comment>
    <comment ref="BG636" authorId="0" shapeId="0" xr:uid="{DB76C9BC-A9DC-E649-BBE5-63E06262CBF0}">
      <text>
        <r>
          <rPr>
            <sz val="14"/>
            <color rgb="FF000000"/>
            <rFont val="Times New Roman"/>
            <family val="18"/>
          </rPr>
          <t>ML 1937 IR 24 (1802) – Obrist Komp. Abgang (Vienna 16/09/1802)</t>
        </r>
        <r>
          <rPr>
            <sz val="14"/>
            <color rgb="FF000000"/>
            <rFont val="Calibri"/>
            <family val="34"/>
          </rPr>
          <t xml:space="preserve">
</t>
        </r>
      </text>
    </comment>
    <comment ref="BH636" authorId="0" shapeId="0" xr:uid="{F4A2C863-2ADD-CE44-8D9A-095B12CE7610}">
      <text>
        <r>
          <rPr>
            <sz val="14"/>
            <color rgb="FF000000"/>
            <rFont val="Calibri"/>
            <family val="34"/>
          </rPr>
          <t>IR 24 (1800-1801)</t>
        </r>
      </text>
    </comment>
    <comment ref="BF637" authorId="0" shapeId="0" xr:uid="{829AA876-A47B-1D41-80C1-81B2C981EC55}">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In Cremona in die Kriegsgefangenschaft geraten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Per errorem in Abgang</t>
        </r>
        <r>
          <rPr>
            <sz val="14"/>
            <color rgb="FF000000"/>
            <rFont val="Times New Roman"/>
            <family val="18"/>
          </rPr>
          <t xml:space="preserve"> [ML 1802]</t>
        </r>
        <r>
          <rPr>
            <sz val="14"/>
            <color rgb="FF000000"/>
            <rFont val="Calibri"/>
            <family val="34"/>
          </rPr>
          <t xml:space="preserve">
</t>
        </r>
        <r>
          <rPr>
            <sz val="14"/>
            <color rgb="FF000000"/>
            <rFont val="Times New Roman"/>
            <family val="18"/>
          </rPr>
          <t>04/02/1801</t>
        </r>
        <r>
          <rPr>
            <i/>
            <sz val="14"/>
            <color rgb="FF000000"/>
            <rFont val="Times New Roman"/>
            <family val="18"/>
          </rPr>
          <t xml:space="preserve"> Gegen Renuncierung Als Reale Invalid mit Abschied entlassen</t>
        </r>
        <r>
          <rPr>
            <sz val="14"/>
            <color rgb="FF000000"/>
            <rFont val="Times New Roman"/>
            <family val="18"/>
          </rPr>
          <t xml:space="preserve"> [ML 1802] </t>
        </r>
        <r>
          <rPr>
            <sz val="14"/>
            <color rgb="FF000000"/>
            <rFont val="Calibri"/>
            <family val="34"/>
          </rPr>
          <t xml:space="preserve">
</t>
        </r>
      </text>
    </comment>
    <comment ref="BG637" authorId="0" shapeId="0" xr:uid="{DA13C377-9EE1-A74E-A695-33219D27F866}">
      <text>
        <r>
          <rPr>
            <sz val="14"/>
            <color rgb="FF000000"/>
            <rFont val="Times New Roman"/>
            <family val="18"/>
          </rPr>
          <t>ML 1937 IR 24 (1802) – Haupt O‘Madden Komp. Abgang (Vienna 16/09/1802)</t>
        </r>
        <r>
          <rPr>
            <sz val="14"/>
            <color rgb="FF000000"/>
            <rFont val="Calibri"/>
            <family val="34"/>
          </rPr>
          <t xml:space="preserve">
</t>
        </r>
      </text>
    </comment>
    <comment ref="BH637" authorId="0" shapeId="0" xr:uid="{934A8B40-D54F-F447-A63F-4931FCEE46A9}">
      <text>
        <r>
          <rPr>
            <sz val="14"/>
            <color rgb="FF000000"/>
            <rFont val="Calibri"/>
            <family val="34"/>
          </rPr>
          <t>IR 24 (1800-1801)</t>
        </r>
      </text>
    </comment>
    <comment ref="BF638" authorId="0" shapeId="0" xr:uid="{625DAD50-4A39-2242-8B02-4C18B9FCCF6C}">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13/03/1801</t>
        </r>
        <r>
          <rPr>
            <i/>
            <sz val="14"/>
            <color rgb="FF000000"/>
            <rFont val="Times New Roman"/>
            <family val="18"/>
          </rPr>
          <t xml:space="preserve"> In Capo d’Istria gestorben </t>
        </r>
        <r>
          <rPr>
            <sz val="14"/>
            <color rgb="FF000000"/>
            <rFont val="Times New Roman"/>
            <family val="18"/>
          </rPr>
          <t>[ML 1802]</t>
        </r>
        <r>
          <rPr>
            <sz val="14"/>
            <color rgb="FF000000"/>
            <rFont val="Calibri"/>
            <family val="34"/>
          </rPr>
          <t xml:space="preserve">
</t>
        </r>
        <r>
          <rPr>
            <sz val="14"/>
            <color rgb="FF000000"/>
            <rFont val="Times New Roman"/>
            <family val="18"/>
          </rPr>
          <t xml:space="preserve">17/06/1801 </t>
        </r>
        <r>
          <rPr>
            <i/>
            <sz val="14"/>
            <color rgb="FF000000"/>
            <rFont val="Times New Roman"/>
            <family val="18"/>
          </rPr>
          <t>Per errorem in Abgang</t>
        </r>
        <r>
          <rPr>
            <sz val="14"/>
            <color rgb="FF000000"/>
            <rFont val="Times New Roman"/>
            <family val="18"/>
          </rPr>
          <t xml:space="preserve"> [ML 1802]</t>
        </r>
        <r>
          <rPr>
            <sz val="14"/>
            <color rgb="FF000000"/>
            <rFont val="Calibri"/>
            <family val="34"/>
          </rPr>
          <t xml:space="preserve">
</t>
        </r>
        <r>
          <rPr>
            <sz val="14"/>
            <color rgb="FF000000"/>
            <rFont val="Times New Roman"/>
            <family val="18"/>
          </rPr>
          <t>15/11/1801</t>
        </r>
        <r>
          <rPr>
            <i/>
            <sz val="14"/>
            <color rgb="FF000000"/>
            <rFont val="Times New Roman"/>
            <family val="18"/>
          </rPr>
          <t xml:space="preserve"> Gegen Renuncierung Als Reale Invalid mit Abschied entlassen</t>
        </r>
        <r>
          <rPr>
            <sz val="14"/>
            <color rgb="FF000000"/>
            <rFont val="Times New Roman"/>
            <family val="18"/>
          </rPr>
          <t xml:space="preserve"> [ML 1802]</t>
        </r>
      </text>
    </comment>
    <comment ref="BG638" authorId="0" shapeId="0" xr:uid="{E8438A3A-731F-6046-A5CC-C69EEFFF5C63}">
      <text>
        <r>
          <rPr>
            <sz val="14"/>
            <color rgb="FF000000"/>
            <rFont val="Times New Roman"/>
            <family val="18"/>
          </rPr>
          <t>ML 1937 IR 24 (1802) – Haupt O‘Madden Komp. Abgang (Vienna 16/09/1802)</t>
        </r>
        <r>
          <rPr>
            <sz val="14"/>
            <color rgb="FF000000"/>
            <rFont val="Calibri"/>
            <family val="34"/>
          </rPr>
          <t xml:space="preserve">
</t>
        </r>
      </text>
    </comment>
    <comment ref="BH638" authorId="0" shapeId="0" xr:uid="{12615F9F-2E4E-7547-8617-B9A24AB170FD}">
      <text>
        <r>
          <rPr>
            <sz val="14"/>
            <color rgb="FF000000"/>
            <rFont val="Calibri"/>
            <family val="34"/>
          </rPr>
          <t>IR 24 (1800-1801)</t>
        </r>
      </text>
    </comment>
    <comment ref="BF639" authorId="0" shapeId="0" xr:uid="{969CCC05-E2EE-F649-BFB7-7C984646150C}">
      <text>
        <r>
          <rPr>
            <sz val="14"/>
            <color rgb="FF000000"/>
            <rFont val="Times New Roman"/>
            <family val="18"/>
          </rPr>
          <t xml:space="preserve">12/02/1800 </t>
        </r>
        <r>
          <rPr>
            <i/>
            <sz val="14"/>
            <color rgb="FF000000"/>
            <rFont val="Times New Roman"/>
            <family val="18"/>
          </rPr>
          <t>Dient seit Mindestens bei IR 24 Haupt Dusky Komp</t>
        </r>
        <r>
          <rPr>
            <sz val="14"/>
            <color rgb="FF000000"/>
            <rFont val="Calibri"/>
            <family val="34"/>
          </rPr>
          <t xml:space="preserve">
</t>
        </r>
        <r>
          <rPr>
            <sz val="14"/>
            <color rgb="FF000000"/>
            <rFont val="Times New Roman"/>
            <family val="18"/>
          </rPr>
          <t xml:space="preserve">10/04/1800 </t>
        </r>
        <r>
          <rPr>
            <i/>
            <sz val="14"/>
            <color rgb="FF000000"/>
            <rFont val="Times New Roman"/>
            <family val="18"/>
          </rPr>
          <t xml:space="preserve">ins InvH Pettau zur Versorgung transferiert </t>
        </r>
        <r>
          <rPr>
            <sz val="14"/>
            <color rgb="FF000000"/>
            <rFont val="Times New Roman"/>
            <family val="18"/>
          </rPr>
          <t>[ML 1802]</t>
        </r>
        <r>
          <rPr>
            <sz val="14"/>
            <color rgb="FF000000"/>
            <rFont val="Calibri"/>
            <family val="34"/>
          </rPr>
          <t xml:space="preserve">
</t>
        </r>
      </text>
    </comment>
    <comment ref="BG639" authorId="0" shapeId="0" xr:uid="{FFD35701-A43E-614C-9FBE-2CB9AC7AE35C}">
      <text>
        <r>
          <rPr>
            <sz val="14"/>
            <color rgb="FF000000"/>
            <rFont val="Times New Roman"/>
            <family val="18"/>
          </rPr>
          <t>ML 1937 IR 24 (1802) – Haupt Dusky Komp. Nr.117 (Vienna 16/09/1802)</t>
        </r>
        <r>
          <rPr>
            <sz val="14"/>
            <color rgb="FF000000"/>
            <rFont val="Calibri"/>
            <family val="34"/>
          </rPr>
          <t xml:space="preserve">
</t>
        </r>
      </text>
    </comment>
    <comment ref="BH639" authorId="0" shapeId="0" xr:uid="{3564355F-9A18-B94A-A9E8-1DB07543E482}">
      <text>
        <r>
          <rPr>
            <sz val="14"/>
            <color rgb="FF000000"/>
            <rFont val="Calibri"/>
            <family val="34"/>
          </rPr>
          <t xml:space="preserve">IR 24 (1800-1801)
</t>
        </r>
        <r>
          <rPr>
            <sz val="14"/>
            <color rgb="FF000000"/>
            <rFont val="Calibri"/>
            <family val="34"/>
          </rPr>
          <t>InvH Pettau (1801)</t>
        </r>
      </text>
    </comment>
    <comment ref="BF640" authorId="0" shapeId="0" xr:uid="{B937FDED-21E3-0045-86E1-F961A9F42A4E}">
      <text>
        <r>
          <rPr>
            <sz val="14"/>
            <color rgb="FF000000"/>
            <rFont val="Times New Roman"/>
            <family val="18"/>
          </rPr>
          <t xml:space="preserve">12/02/1800 [seit mindestens] </t>
        </r>
        <r>
          <rPr>
            <i/>
            <sz val="14"/>
            <color rgb="FF000000"/>
            <rFont val="Times New Roman"/>
            <family val="18"/>
          </rPr>
          <t>Dient bei IR 24 Haupt Adelsberg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 in Abgang</t>
        </r>
        <r>
          <rPr>
            <sz val="14"/>
            <color rgb="FF000000"/>
            <rFont val="Times New Roman"/>
            <family val="18"/>
          </rPr>
          <t xml:space="preserve"> [ML 1802]</t>
        </r>
      </text>
    </comment>
    <comment ref="BG640" authorId="0" shapeId="0" xr:uid="{60E3620E-8269-F345-9439-9EA339A22E6B}">
      <text>
        <r>
          <rPr>
            <sz val="14"/>
            <color rgb="FF000000"/>
            <rFont val="Times New Roman"/>
            <family val="18"/>
          </rPr>
          <t>ML 1937 IR 24 (1802) – Haupt Adelsberg Abgang (Vienna 16/09/1802)</t>
        </r>
        <r>
          <rPr>
            <sz val="14"/>
            <color rgb="FF000000"/>
            <rFont val="Calibri"/>
            <family val="34"/>
          </rPr>
          <t xml:space="preserve">
</t>
        </r>
      </text>
    </comment>
    <comment ref="BH640" authorId="0" shapeId="0" xr:uid="{6F851D44-FD5E-D747-8C4B-D0ECB20B885F}">
      <text>
        <r>
          <rPr>
            <sz val="14"/>
            <color rgb="FF000000"/>
            <rFont val="Calibri"/>
            <family val="34"/>
          </rPr>
          <t>IR 24 (1800-1801)</t>
        </r>
      </text>
    </comment>
    <comment ref="BF641" authorId="0" shapeId="0" xr:uid="{C913EDBF-2D7D-CC45-9446-170554C31F57}">
      <text>
        <r>
          <rPr>
            <sz val="14"/>
            <color rgb="FF000000"/>
            <rFont val="Times New Roman"/>
            <family val="18"/>
          </rPr>
          <t xml:space="preserve">12/02/1800 [seit mindestens] </t>
        </r>
        <r>
          <rPr>
            <i/>
            <sz val="14"/>
            <color rgb="FF000000"/>
            <rFont val="Times New Roman"/>
            <family val="18"/>
          </rPr>
          <t>Dient bei IR 24 1. Major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10/06/1800 </t>
        </r>
        <r>
          <rPr>
            <i/>
            <sz val="14"/>
            <color rgb="FF000000"/>
            <rFont val="Times New Roman"/>
            <family val="18"/>
          </rPr>
          <t>Desertiert</t>
        </r>
        <r>
          <rPr>
            <sz val="14"/>
            <color rgb="FF000000"/>
            <rFont val="Times New Roman"/>
            <family val="18"/>
          </rPr>
          <t xml:space="preserve"> [ML 1802]</t>
        </r>
      </text>
    </comment>
    <comment ref="BG641" authorId="0" shapeId="0" xr:uid="{3CD92499-61E0-6E45-9C5B-3BFCB782BFDF}">
      <text>
        <r>
          <rPr>
            <sz val="14"/>
            <color rgb="FF000000"/>
            <rFont val="Times New Roman"/>
            <family val="18"/>
          </rPr>
          <t>ML 1937 IR 24 (1802) – 1. Major Komp. Abgang (Vienna 16/09/1802)</t>
        </r>
        <r>
          <rPr>
            <sz val="14"/>
            <color rgb="FF000000"/>
            <rFont val="Calibri"/>
            <family val="34"/>
          </rPr>
          <t xml:space="preserve">
</t>
        </r>
      </text>
    </comment>
    <comment ref="BH641" authorId="0" shapeId="0" xr:uid="{7835BF85-4DB1-DA42-98B9-E2CFB271EA04}">
      <text>
        <r>
          <rPr>
            <sz val="14"/>
            <color rgb="FF000000"/>
            <rFont val="Calibri"/>
            <family val="34"/>
          </rPr>
          <t>IR 24 (1800)</t>
        </r>
      </text>
    </comment>
    <comment ref="BF642" authorId="0" shapeId="0" xr:uid="{EDAEA898-F49E-F748-B544-115034E130A2}">
      <text>
        <r>
          <rPr>
            <sz val="14"/>
            <color rgb="FF000000"/>
            <rFont val="Times New Roman"/>
            <family val="18"/>
          </rPr>
          <t xml:space="preserve">12/02/1800 [seit mindestens] </t>
        </r>
        <r>
          <rPr>
            <i/>
            <sz val="14"/>
            <color rgb="FF000000"/>
            <rFont val="Times New Roman"/>
            <family val="18"/>
          </rPr>
          <t>Dient bei IR 24 Haupt Luttemberger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10/09/1800 </t>
        </r>
        <r>
          <rPr>
            <i/>
            <sz val="14"/>
            <color rgb="FF000000"/>
            <rFont val="Times New Roman"/>
            <family val="18"/>
          </rPr>
          <t xml:space="preserve">Von Haupt Luttenberger zum Artillerie Handlanger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11/10/1800 </t>
        </r>
        <r>
          <rPr>
            <i/>
            <sz val="14"/>
            <color rgb="FF000000"/>
            <rFont val="Times New Roman"/>
            <family val="18"/>
          </rPr>
          <t>Von Artillerie Handlanger zum Haupt Luttenberger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10/01/1801 </t>
        </r>
        <r>
          <rPr>
            <i/>
            <sz val="14"/>
            <color rgb="FF000000"/>
            <rFont val="Times New Roman"/>
            <family val="18"/>
          </rPr>
          <t>In Kriegsgefangenschaft gefallen</t>
        </r>
        <r>
          <rPr>
            <sz val="14"/>
            <color rgb="FF000000"/>
            <rFont val="Times New Roman"/>
            <family val="18"/>
          </rPr>
          <t xml:space="preserve"> [ML 1802]</t>
        </r>
      </text>
    </comment>
    <comment ref="BG642" authorId="0" shapeId="0" xr:uid="{D1B805C7-EC97-CB4F-945B-3F13584B531F}">
      <text>
        <r>
          <rPr>
            <sz val="14"/>
            <color rgb="FF000000"/>
            <rFont val="Times New Roman"/>
            <family val="18"/>
          </rPr>
          <t>ML 1937 IR 24 (1802) – Haupt Luttenberger. Abgang (Vienna 16/09/1802)</t>
        </r>
        <r>
          <rPr>
            <sz val="14"/>
            <color rgb="FF000000"/>
            <rFont val="Calibri"/>
            <family val="34"/>
          </rPr>
          <t xml:space="preserve">
</t>
        </r>
      </text>
    </comment>
    <comment ref="BH642" authorId="0" shapeId="0" xr:uid="{63BD74D6-6915-5C4D-AF01-D2A0E9B0EDEF}">
      <text>
        <r>
          <rPr>
            <sz val="14"/>
            <color rgb="FF000000"/>
            <rFont val="Calibri"/>
            <family val="34"/>
          </rPr>
          <t>IR 24 (1800-1801)</t>
        </r>
      </text>
    </comment>
    <comment ref="BF643" authorId="0" shapeId="0" xr:uid="{D268858C-98F5-2D41-B058-4E36D8408133}">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15/07/1801 </t>
        </r>
        <r>
          <rPr>
            <i/>
            <sz val="14"/>
            <color rgb="FF000000"/>
            <rFont val="Times New Roman"/>
            <family val="18"/>
          </rPr>
          <t xml:space="preserve">Zu Tyrnauer Invalidenhaus transferiert </t>
        </r>
        <r>
          <rPr>
            <sz val="14"/>
            <color rgb="FF000000"/>
            <rFont val="Times New Roman"/>
            <family val="18"/>
          </rPr>
          <t>[ML 1802]</t>
        </r>
      </text>
    </comment>
    <comment ref="BG643" authorId="0" shapeId="0" xr:uid="{F5B20319-15F9-8E46-9559-A7F87E51B21C}">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15/07/1801 </t>
        </r>
        <r>
          <rPr>
            <i/>
            <sz val="14"/>
            <color rgb="FF000000"/>
            <rFont val="Times New Roman"/>
            <family val="18"/>
          </rPr>
          <t xml:space="preserve">Zu Tyrnauer Invalidenhaus transferiert </t>
        </r>
        <r>
          <rPr>
            <sz val="14"/>
            <color rgb="FF000000"/>
            <rFont val="Times New Roman"/>
            <family val="18"/>
          </rPr>
          <t>[ML 1802]</t>
        </r>
        <r>
          <rPr>
            <sz val="14"/>
            <color rgb="FF000000"/>
            <rFont val="Calibri"/>
            <family val="34"/>
          </rPr>
          <t xml:space="preserve">
</t>
        </r>
      </text>
    </comment>
    <comment ref="BH643" authorId="0" shapeId="0" xr:uid="{454A1EDC-6E7D-FA41-8D5E-B7DD0AAA1022}">
      <text>
        <r>
          <rPr>
            <sz val="14"/>
            <color rgb="FF000000"/>
            <rFont val="Calibri"/>
            <family val="34"/>
          </rPr>
          <t xml:space="preserve">IR 24 (1800-1801)
</t>
        </r>
        <r>
          <rPr>
            <sz val="14"/>
            <color rgb="FF000000"/>
            <rFont val="Calibri"/>
            <family val="34"/>
          </rPr>
          <t>Inv Tyrnau (1801)</t>
        </r>
      </text>
    </comment>
    <comment ref="BF644" authorId="0" shapeId="0" xr:uid="{14A66BD3-6044-2844-8B9A-14E1C8DC06A5}">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09/04/1800 </t>
        </r>
        <r>
          <rPr>
            <i/>
            <sz val="14"/>
            <color rgb="FF000000"/>
            <rFont val="Times New Roman"/>
            <family val="18"/>
          </rPr>
          <t>Zu Alessandria gestorben</t>
        </r>
        <r>
          <rPr>
            <sz val="14"/>
            <color rgb="FF000000"/>
            <rFont val="Times New Roman"/>
            <family val="18"/>
          </rPr>
          <t xml:space="preserve"> [ML 1802]</t>
        </r>
      </text>
    </comment>
    <comment ref="BG644" authorId="0" shapeId="0" xr:uid="{B738DBF6-30B4-124B-9B58-FDBCEFC4CAC8}">
      <text>
        <r>
          <rPr>
            <sz val="14"/>
            <color rgb="FF000000"/>
            <rFont val="Times New Roman"/>
            <family val="18"/>
          </rPr>
          <t>ML 1937 IR 24 (1802) – Haupt Fraaz Abgang (Vienna 16/09/1802)</t>
        </r>
      </text>
    </comment>
    <comment ref="BH644" authorId="0" shapeId="0" xr:uid="{10625110-4E6F-AE42-A3B4-D38730D4D6E4}">
      <text>
        <r>
          <rPr>
            <sz val="14"/>
            <color rgb="FF000000"/>
            <rFont val="Calibri"/>
            <family val="34"/>
          </rPr>
          <t>IR 24 (1800)</t>
        </r>
      </text>
    </comment>
    <comment ref="BF645" authorId="0" shapeId="0" xr:uid="{1723773A-1E7D-3447-971F-F274BBB52883}">
      <text>
        <r>
          <rPr>
            <sz val="14"/>
            <color rgb="FF000000"/>
            <rFont val="Times New Roman"/>
            <family val="18"/>
          </rPr>
          <t xml:space="preserve">12/02/1800 </t>
        </r>
        <r>
          <rPr>
            <i/>
            <sz val="14"/>
            <color rgb="FF000000"/>
            <rFont val="Times New Roman"/>
            <family val="18"/>
          </rPr>
          <t>in Galizien ausgehoben a 3Fl und seitdem auf Anhero Marsch mit Friedensgebühr</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 nicht mehr in die Quellen</t>
        </r>
        <r>
          <rPr>
            <sz val="14"/>
            <color rgb="FF000000"/>
            <rFont val="Times New Roman"/>
            <family val="18"/>
          </rPr>
          <t xml:space="preserve"> [ST Juni 1801]</t>
        </r>
        <r>
          <rPr>
            <sz val="14"/>
            <color rgb="FF000000"/>
            <rFont val="Calibri"/>
            <family val="34"/>
          </rPr>
          <t xml:space="preserve">
</t>
        </r>
      </text>
    </comment>
    <comment ref="BG645" authorId="0" shapeId="0" xr:uid="{1D7C3347-7AD3-8649-98C5-E70D58164122}">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text>
    </comment>
    <comment ref="BH645" authorId="0" shapeId="0" xr:uid="{40453C35-4DEB-3D45-A60E-BE20FAF130CE}">
      <text>
        <r>
          <rPr>
            <sz val="14"/>
            <color rgb="FF000000"/>
            <rFont val="Calibri"/>
            <family val="34"/>
          </rPr>
          <t>IR 43 (1800-1801)</t>
        </r>
      </text>
    </comment>
    <comment ref="BF646" authorId="0" shapeId="0" xr:uid="{3BA1102C-C8EB-4F43-8F3B-18707D13728F}">
      <text>
        <r>
          <rPr>
            <sz val="14"/>
            <color rgb="FF000000"/>
            <rFont val="Times New Roman"/>
            <family val="18"/>
          </rPr>
          <t xml:space="preserve">12/02/1800 </t>
        </r>
        <r>
          <rPr>
            <i/>
            <sz val="14"/>
            <color rgb="FF000000"/>
            <rFont val="Times New Roman"/>
            <family val="18"/>
          </rPr>
          <t xml:space="preserve">Zum Stuart Infantrie Regiment </t>
        </r>
        <r>
          <rPr>
            <b/>
            <sz val="14"/>
            <color rgb="FF000000"/>
            <rFont val="Times New Roman"/>
            <family val="18"/>
          </rPr>
          <t>[IR 18]</t>
        </r>
        <r>
          <rPr>
            <sz val="14"/>
            <color rgb="FF000000"/>
            <rFont val="Times New Roman"/>
            <family val="18"/>
          </rPr>
          <t xml:space="preserve"> </t>
        </r>
        <r>
          <rPr>
            <i/>
            <sz val="14"/>
            <color rgb="FF000000"/>
            <rFont val="Times New Roman"/>
            <family val="18"/>
          </rPr>
          <t>a 3Fl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23/07/1800 </t>
        </r>
        <r>
          <rPr>
            <i/>
            <sz val="14"/>
            <color rgb="FF000000"/>
            <rFont val="Times New Roman"/>
            <family val="18"/>
          </rPr>
          <t>Von da</t>
        </r>
        <r>
          <rPr>
            <sz val="14"/>
            <color rgb="FF000000"/>
            <rFont val="Times New Roman"/>
            <family val="18"/>
          </rPr>
          <t xml:space="preserve"> </t>
        </r>
        <r>
          <rPr>
            <b/>
            <sz val="14"/>
            <color rgb="FF000000"/>
            <rFont val="Times New Roman"/>
            <family val="18"/>
          </rPr>
          <t>[IR 18]</t>
        </r>
        <r>
          <rPr>
            <sz val="14"/>
            <color rgb="FF000000"/>
            <rFont val="Times New Roman"/>
            <family val="18"/>
          </rPr>
          <t xml:space="preserve"> </t>
        </r>
        <r>
          <rPr>
            <i/>
            <sz val="14"/>
            <color rgb="FF000000"/>
            <rFont val="Times New Roman"/>
            <family val="18"/>
          </rPr>
          <t xml:space="preserve">zum Kerpen Infant. </t>
        </r>
        <r>
          <rPr>
            <b/>
            <sz val="14"/>
            <color rgb="FF000000"/>
            <rFont val="Times New Roman"/>
            <family val="18"/>
          </rPr>
          <t xml:space="preserve">[IR 49]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t>
        </r>
        <r>
          <rPr>
            <b/>
            <sz val="14"/>
            <color rgb="FF000000"/>
            <rFont val="Times New Roman"/>
            <family val="18"/>
          </rPr>
          <t xml:space="preserve">[IR 49] </t>
        </r>
        <r>
          <rPr>
            <i/>
            <sz val="14"/>
            <color rgb="FF000000"/>
            <rFont val="Times New Roman"/>
            <family val="18"/>
          </rPr>
          <t>anhero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154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131 [</t>
        </r>
        <r>
          <rPr>
            <i/>
            <sz val="14"/>
            <color rgb="FF000000"/>
            <rFont val="Times New Roman"/>
            <family val="18"/>
          </rPr>
          <t>Beurlaubt in seinem Geburtsort auf Bestimte Zeit</t>
        </r>
        <r>
          <rPr>
            <sz val="14"/>
            <color rgb="FF000000"/>
            <rFont val="Times New Roman"/>
            <family val="18"/>
          </rPr>
          <t>]</t>
        </r>
        <r>
          <rPr>
            <sz val="14"/>
            <color rgb="FF000000"/>
            <rFont val="Calibri"/>
            <family val="34"/>
          </rPr>
          <t xml:space="preserve">
</t>
        </r>
        <r>
          <rPr>
            <sz val="14"/>
            <color rgb="FF000000"/>
            <rFont val="Times New Roman"/>
            <family val="18"/>
          </rPr>
          <t xml:space="preserve">11/07/1803 </t>
        </r>
        <r>
          <rPr>
            <i/>
            <sz val="14"/>
            <color rgb="FF000000"/>
            <rFont val="Times New Roman"/>
            <family val="18"/>
          </rPr>
          <t xml:space="preserve">Von Urlaub desertiert </t>
        </r>
        <r>
          <rPr>
            <sz val="14"/>
            <color rgb="FF000000"/>
            <rFont val="Times New Roman"/>
            <family val="18"/>
          </rPr>
          <t>[ML 1804]</t>
        </r>
        <r>
          <rPr>
            <sz val="14"/>
            <color rgb="FF000000"/>
            <rFont val="Calibri"/>
            <family val="2"/>
          </rPr>
          <t xml:space="preserve"> </t>
        </r>
      </text>
    </comment>
    <comment ref="BG646" authorId="0" shapeId="0" xr:uid="{C38456B9-1154-E94A-B472-E2D39CEAD706}">
      <text>
        <r>
          <rPr>
            <sz val="14"/>
            <color rgb="FF000000"/>
            <rFont val="Times New Roman"/>
            <family val="18"/>
          </rPr>
          <t>ML 10.124 IR 23 (1802) – Haupt Hochegg Komp. Nr. 154 (Krems 09/09/1802)</t>
        </r>
        <r>
          <rPr>
            <sz val="14"/>
            <color rgb="FF000000"/>
            <rFont val="Calibri"/>
            <family val="34"/>
          </rPr>
          <t xml:space="preserve">
</t>
        </r>
        <r>
          <rPr>
            <sz val="14"/>
            <color rgb="FF000000"/>
            <rFont val="Times New Roman"/>
            <family val="18"/>
          </rPr>
          <t>ML 10.125 IR 23 (1803) – Haupt Hochegg Komp. Nr. 131 (Execierlager bei St Pölten 07/09/1803)</t>
        </r>
        <r>
          <rPr>
            <sz val="14"/>
            <color rgb="FF000000"/>
            <rFont val="Calibri"/>
            <family val="34"/>
          </rPr>
          <t xml:space="preserve">
</t>
        </r>
        <r>
          <rPr>
            <sz val="14"/>
            <color rgb="FF000000"/>
            <rFont val="Times New Roman"/>
            <family val="18"/>
          </rPr>
          <t>10.126 IR 23 (1804) – Haupt Hochegg Komp. Abgang (Vienna 13/09/1804)</t>
        </r>
        <r>
          <rPr>
            <sz val="14"/>
            <color rgb="FF000000"/>
            <rFont val="Calibri"/>
            <family val="34"/>
          </rPr>
          <t xml:space="preserve">
</t>
        </r>
      </text>
    </comment>
    <comment ref="BH646" authorId="0" shapeId="0" xr:uid="{66618872-AA53-724D-ACA9-38F553576D28}">
      <text>
        <r>
          <rPr>
            <sz val="14"/>
            <color rgb="FF000000"/>
            <rFont val="Calibri"/>
            <family val="34"/>
          </rPr>
          <t xml:space="preserve">IR 18 (1800-1800)
</t>
        </r>
        <r>
          <rPr>
            <sz val="14"/>
            <color rgb="FF000000"/>
            <rFont val="Calibri"/>
            <family val="34"/>
          </rPr>
          <t xml:space="preserve">IR 49 (1800-1802)
</t>
        </r>
        <r>
          <rPr>
            <sz val="14"/>
            <color rgb="FF000000"/>
            <rFont val="Calibri"/>
            <family val="34"/>
          </rPr>
          <t xml:space="preserve">IR 23 (1802-1803)
</t>
        </r>
      </text>
    </comment>
    <comment ref="BF647" authorId="0" shapeId="0" xr:uid="{C8AD965C-B757-3048-BAF9-6164E77F99F1}">
      <text>
        <r>
          <rPr>
            <sz val="14"/>
            <color rgb="FFFF0000"/>
            <rFont val="Times New Roman"/>
            <family val="18"/>
          </rPr>
          <t xml:space="preserve">21/11/1799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13/02/1800 </t>
        </r>
        <r>
          <rPr>
            <i/>
            <sz val="14"/>
            <color rgb="FF000000"/>
            <rFont val="Times New Roman"/>
            <family val="18"/>
          </rPr>
          <t>Von Ständen gestellt und in Sandomierz zum IR 43 assentiert; seitdem auf anhero Marsch mit Friedensgebühr</t>
        </r>
        <r>
          <rPr>
            <sz val="14"/>
            <color rgb="FF000000"/>
            <rFont val="Times New Roman"/>
            <family val="18"/>
          </rPr>
          <t xml:space="preserve"> [ML Mai 1800]</t>
        </r>
        <r>
          <rPr>
            <sz val="14"/>
            <color rgb="FF000000"/>
            <rFont val="Calibri"/>
            <family val="34"/>
          </rPr>
          <t xml:space="preserve">
</t>
        </r>
        <r>
          <rPr>
            <sz val="14"/>
            <color rgb="FF000000"/>
            <rFont val="Times New Roman"/>
            <family val="18"/>
          </rPr>
          <t xml:space="preserve">16/08/1800 </t>
        </r>
        <r>
          <rPr>
            <i/>
            <sz val="14"/>
            <color rgb="FF000000"/>
            <rFont val="Times New Roman"/>
            <family val="18"/>
          </rPr>
          <t>Von Reserve Division ins 2. Major Komp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11/09/1802 Muster: IR 43 2. Major Komp. Nr. 82]</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2. Major Comp. Nr. 74 [</t>
        </r>
        <r>
          <rPr>
            <i/>
            <sz val="14"/>
            <color rgb="FF000000"/>
            <rFont val="Times New Roman"/>
            <family val="18"/>
          </rPr>
          <t>Bis Einberufung in Josephow in Ost Galizien beurlaubt</t>
        </r>
        <r>
          <rPr>
            <sz val="14"/>
            <color rgb="FF000000"/>
            <rFont val="Times New Roman"/>
            <family val="18"/>
          </rPr>
          <t>]</t>
        </r>
        <r>
          <rPr>
            <sz val="14"/>
            <color rgb="FF000000"/>
            <rFont val="Calibri"/>
            <family val="34"/>
          </rPr>
          <t xml:space="preserve">
</t>
        </r>
        <r>
          <rPr>
            <sz val="14"/>
            <color rgb="FF000000"/>
            <rFont val="Times New Roman"/>
            <family val="18"/>
          </rPr>
          <t xml:space="preserve">20/09/1804 </t>
        </r>
        <r>
          <rPr>
            <i/>
            <sz val="14"/>
            <color rgb="FF000000"/>
            <rFont val="Times New Roman"/>
            <family val="18"/>
          </rPr>
          <t>Von unbestimmte Urlaub desertiert</t>
        </r>
        <r>
          <rPr>
            <sz val="14"/>
            <color rgb="FF000000"/>
            <rFont val="Times New Roman"/>
            <family val="18"/>
          </rPr>
          <t xml:space="preserve"> [ST Oct 1804 &amp; ML 1805]</t>
        </r>
        <r>
          <rPr>
            <sz val="14"/>
            <color rgb="FF000000"/>
            <rFont val="Calibri"/>
            <family val="34"/>
          </rPr>
          <t xml:space="preserve">
</t>
        </r>
      </text>
    </comment>
    <comment ref="BG647" authorId="0" shapeId="0" xr:uid="{65A23387-7BC4-044D-BFB0-E5E4AEF018E9}">
      <text>
        <r>
          <rPr>
            <sz val="14"/>
            <color rgb="FF000000"/>
            <rFont val="Times New Roman"/>
            <family val="18"/>
          </rPr>
          <t>ML 10.272 IR 43 (1802) – Heft von 2. Major Comp. Nr. 82 (Zara 11/09/1802)</t>
        </r>
        <r>
          <rPr>
            <sz val="14"/>
            <color rgb="FF000000"/>
            <rFont val="Calibri"/>
            <family val="34"/>
          </rPr>
          <t xml:space="preserve">
</t>
        </r>
        <r>
          <rPr>
            <sz val="14"/>
            <color rgb="FF000000"/>
            <rFont val="Times New Roman"/>
            <family val="18"/>
          </rPr>
          <t>ML 10.273 IR 43 (1803) – Heft von 2. Major Comp. Nr. 74 (Zara 28/09/1803)</t>
        </r>
        <r>
          <rPr>
            <sz val="14"/>
            <color rgb="FF000000"/>
            <rFont val="Calibri"/>
            <family val="34"/>
          </rPr>
          <t xml:space="preserve">
</t>
        </r>
        <r>
          <rPr>
            <sz val="14"/>
            <color rgb="FF000000"/>
            <rFont val="Times New Roman"/>
            <family val="18"/>
          </rPr>
          <t>ML 10.274 IR 43 (1804) – Heft von 2. Major Comp. Abgang (Cattaro 07/10/1804)</t>
        </r>
        <r>
          <rPr>
            <sz val="14"/>
            <color rgb="FF000000"/>
            <rFont val="Calibri"/>
            <family val="34"/>
          </rPr>
          <t xml:space="preserve">
</t>
        </r>
        <r>
          <rPr>
            <sz val="14"/>
            <color rgb="FF000000"/>
            <rFont val="Times New Roman"/>
            <family val="18"/>
          </rPr>
          <t>ML 10.309 IR 43 (1800) – ST Mai (??), Sept (31/01/1804)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10.314 IR 43 (1804) – ST Okt (08/12/1804)</t>
        </r>
      </text>
    </comment>
    <comment ref="BH647" authorId="0" shapeId="0" xr:uid="{3E931BC6-D888-9544-9AFE-5D0572CF768F}">
      <text>
        <r>
          <rPr>
            <sz val="14"/>
            <color rgb="FF000000"/>
            <rFont val="Calibri"/>
            <family val="34"/>
          </rPr>
          <t>IR 43 (1800-1804)</t>
        </r>
      </text>
    </comment>
    <comment ref="O648" authorId="0" shapeId="0" xr:uid="{A07E4B59-0AF3-D84A-AA1B-AE53C678AEEC}">
      <text>
        <r>
          <rPr>
            <sz val="14"/>
            <color rgb="FF000000"/>
            <rFont val="Times New Roman"/>
            <family val="18"/>
          </rPr>
          <t xml:space="preserve">Helsel (1796)
</t>
        </r>
        <r>
          <rPr>
            <sz val="14"/>
            <color rgb="FF000000"/>
            <rFont val="Times New Roman"/>
            <family val="18"/>
          </rPr>
          <t>Joseph (1798)</t>
        </r>
      </text>
    </comment>
    <comment ref="BF648" authorId="0" shapeId="0" xr:uid="{6F0169B6-E320-3B48-881E-E744ACA42924}">
      <text>
        <r>
          <rPr>
            <sz val="14"/>
            <color rgb="FF000000"/>
            <rFont val="Times New Roman"/>
            <family val="18"/>
          </rPr>
          <t xml:space="preserve">21/02/1800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Dancky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Dankey Komp. Nr. 48 [</t>
        </r>
        <r>
          <rPr>
            <i/>
            <sz val="14"/>
            <color rgb="FF000000"/>
            <rFont val="Times New Roman"/>
            <family val="18"/>
          </rPr>
          <t>Bestimmt beurlaubt</t>
        </r>
        <r>
          <rPr>
            <sz val="14"/>
            <color rgb="FF000000"/>
            <rFont val="Times New Roman"/>
            <family val="18"/>
          </rPr>
          <t>]</t>
        </r>
        <r>
          <rPr>
            <sz val="14"/>
            <color rgb="FF000000"/>
            <rFont val="Calibri"/>
            <family val="34"/>
          </rPr>
          <t xml:space="preserve">
</t>
        </r>
        <r>
          <rPr>
            <sz val="14"/>
            <color rgb="FF000000"/>
            <rFont val="Times New Roman"/>
            <family val="18"/>
          </rPr>
          <t xml:space="preserve">31/08/1803 </t>
        </r>
        <r>
          <rPr>
            <i/>
            <sz val="14"/>
            <color rgb="FF000000"/>
            <rFont val="Times New Roman"/>
            <family val="18"/>
          </rPr>
          <t>Laut Besondere Verordnung mit Abschied entlassen</t>
        </r>
        <r>
          <rPr>
            <sz val="14"/>
            <color rgb="FF000000"/>
            <rFont val="Times New Roman"/>
            <family val="18"/>
          </rPr>
          <t xml:space="preserve"> [ML 1803]</t>
        </r>
        <r>
          <rPr>
            <sz val="14"/>
            <color rgb="FF000000"/>
            <rFont val="Calibri"/>
            <family val="34"/>
          </rPr>
          <t xml:space="preserve">
</t>
        </r>
      </text>
    </comment>
    <comment ref="BG648" authorId="0" shapeId="0" xr:uid="{659E7A2E-7CA9-7D4F-A386-D04F3C432534}">
      <text>
        <r>
          <rPr>
            <sz val="14"/>
            <color rgb="FF000000"/>
            <rFont val="Times New Roman"/>
            <family val="18"/>
          </rPr>
          <t>ML 5102-4 IR 60 (1802) – Heft von Haupt Dankey Komp Nr. 48 (Tamesvar 15/09/1802), Reserve Division (Tamesvar 15/09/1802)</t>
        </r>
        <r>
          <rPr>
            <sz val="14"/>
            <color rgb="FF000000"/>
            <rFont val="Calibri"/>
            <family val="34"/>
          </rPr>
          <t xml:space="preserve">
</t>
        </r>
        <r>
          <rPr>
            <sz val="14"/>
            <color rgb="FF000000"/>
            <rFont val="Times New Roman"/>
            <family val="18"/>
          </rPr>
          <t>ML 5105 IR 60 (1803) – Haupt Daneky Komp. - Abgang (Arad 16/09/1803)</t>
        </r>
      </text>
    </comment>
    <comment ref="BH648" authorId="0" shapeId="0" xr:uid="{10993D36-59C0-2C42-9A7F-6E3123F227B7}">
      <text>
        <r>
          <rPr>
            <sz val="14"/>
            <color rgb="FF000000"/>
            <rFont val="Calibri"/>
            <family val="34"/>
          </rPr>
          <t>IR 60 (1800-1803)</t>
        </r>
      </text>
    </comment>
    <comment ref="BF649" authorId="0" shapeId="0" xr:uid="{E2DA7610-0338-9B4E-AFE0-1F39E97C650C}">
      <text>
        <r>
          <rPr>
            <sz val="14"/>
            <color rgb="FF000000"/>
            <rFont val="Times New Roman"/>
            <family val="18"/>
          </rPr>
          <t xml:space="preserve">22/02/1800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Szombathely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15/09/1801 </t>
        </r>
        <r>
          <rPr>
            <i/>
            <sz val="14"/>
            <color rgb="FF000000"/>
            <rFont val="Times New Roman"/>
            <family val="18"/>
          </rPr>
          <t xml:space="preserve">Laut Besondere Verordnung unentgeltlich mit Abschied entlassen </t>
        </r>
        <r>
          <rPr>
            <sz val="14"/>
            <color rgb="FF000000"/>
            <rFont val="Times New Roman"/>
            <family val="18"/>
          </rPr>
          <t>[ML 1802]</t>
        </r>
        <r>
          <rPr>
            <sz val="14"/>
            <color rgb="FF000000"/>
            <rFont val="Calibri"/>
            <family val="34"/>
          </rPr>
          <t xml:space="preserve">
</t>
        </r>
      </text>
    </comment>
    <comment ref="BG649" authorId="0" shapeId="0" xr:uid="{39EBC012-06B5-1C4E-ADF2-60DBA540C641}">
      <text>
        <r>
          <rPr>
            <sz val="14"/>
            <color rgb="FF000000"/>
            <rFont val="Times New Roman"/>
            <family val="18"/>
          </rPr>
          <t>ML 5102-4 IR 60 (1802) – Haupt Szombathely Zuwachs &amp; Abgang (Tamesvar 15/09/1802), Reserve Division Zuwachs &amp; Abgang (Tamesvar 15/09/1802)</t>
        </r>
        <r>
          <rPr>
            <sz val="14"/>
            <color rgb="FF000000"/>
            <rFont val="Calibri"/>
            <family val="34"/>
          </rPr>
          <t xml:space="preserve">
</t>
        </r>
      </text>
    </comment>
    <comment ref="BH649" authorId="0" shapeId="0" xr:uid="{3FC964D0-DE04-0C45-9B7E-35B843A45A21}">
      <text>
        <r>
          <rPr>
            <sz val="14"/>
            <color rgb="FF000000"/>
            <rFont val="Calibri"/>
            <family val="34"/>
          </rPr>
          <t>IR 60 (1800-1801)</t>
        </r>
      </text>
    </comment>
    <comment ref="BF650" authorId="0" shapeId="0" xr:uid="{46C6333C-BFBB-B545-B68E-1691D15FA98B}">
      <text>
        <r>
          <rPr>
            <sz val="14"/>
            <color rgb="FF000000"/>
            <rFont val="Times New Roman"/>
            <family val="18"/>
          </rPr>
          <t xml:space="preserve">22/02/1800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08/12/1800 </t>
        </r>
        <r>
          <rPr>
            <i/>
            <sz val="14"/>
            <color rgb="FF000000"/>
            <rFont val="Times New Roman"/>
            <family val="18"/>
          </rPr>
          <t xml:space="preserve">Zum Samuel Gyulai Infanterie Regiment Nro. 32. 3tes. Feld Bataillon transferiert </t>
        </r>
        <r>
          <rPr>
            <sz val="14"/>
            <color rgb="FF000000"/>
            <rFont val="Times New Roman"/>
            <family val="18"/>
          </rPr>
          <t>[ML 1802]</t>
        </r>
      </text>
    </comment>
    <comment ref="BG650" authorId="0" shapeId="0" xr:uid="{B4BC2D27-BC6B-D641-9B75-6B2B57FF9BFD}">
      <text>
        <r>
          <rPr>
            <sz val="14"/>
            <color rgb="FF000000"/>
            <rFont val="Times New Roman"/>
            <family val="18"/>
          </rPr>
          <t>ML 5102-4 IR 60 (1802) – Reserve Division Zuwachs &amp; Abgang (Tamesvar 15/09/1802)</t>
        </r>
        <r>
          <rPr>
            <sz val="14"/>
            <color rgb="FF000000"/>
            <rFont val="Calibri"/>
            <family val="34"/>
          </rPr>
          <t xml:space="preserve">
</t>
        </r>
      </text>
    </comment>
    <comment ref="BH650" authorId="0" shapeId="0" xr:uid="{FAB15C16-709C-2041-B09C-4E9294BC5376}">
      <text>
        <r>
          <rPr>
            <sz val="14"/>
            <color rgb="FF000000"/>
            <rFont val="Calibri"/>
            <family val="34"/>
          </rPr>
          <t xml:space="preserve">IR 60 (1800)
</t>
        </r>
        <r>
          <rPr>
            <sz val="14"/>
            <color rgb="FF000000"/>
            <rFont val="Calibri"/>
            <family val="34"/>
          </rPr>
          <t>IR 32 (1800)</t>
        </r>
      </text>
    </comment>
    <comment ref="BF651" authorId="0" shapeId="0" xr:uid="{219CA37F-D753-B74F-B52A-0DDB8E584B82}">
      <text>
        <r>
          <rPr>
            <sz val="14"/>
            <color rgb="FF000000"/>
            <rFont val="Times New Roman"/>
            <family val="18"/>
          </rPr>
          <t xml:space="preserve">25/02/1800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06/06/1800 </t>
        </r>
        <r>
          <rPr>
            <i/>
            <sz val="14"/>
            <color rgb="FF000000"/>
            <rFont val="Times New Roman"/>
            <family val="18"/>
          </rPr>
          <t>Von Reserve Division zum ObristLt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ObristLt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26/04/1801 </t>
        </r>
        <r>
          <rPr>
            <i/>
            <sz val="14"/>
            <color rgb="FF000000"/>
            <rFont val="Times New Roman"/>
            <family val="18"/>
          </rPr>
          <t>Von Obrist zum Haupt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31/05/1801 </t>
        </r>
        <r>
          <rPr>
            <i/>
            <sz val="14"/>
            <color rgb="FF000000"/>
            <rFont val="Times New Roman"/>
            <family val="18"/>
          </rPr>
          <t>Von Haupt Krapf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05/08/1802</t>
        </r>
        <r>
          <rPr>
            <i/>
            <sz val="14"/>
            <color rgb="FF000000"/>
            <rFont val="Times New Roman"/>
            <family val="18"/>
          </rPr>
          <t xml:space="preserve"> Laut Besondere Verordnung ohnentgeldich Mit Abschied entlassen </t>
        </r>
        <r>
          <rPr>
            <sz val="14"/>
            <color rgb="FF000000"/>
            <rFont val="Times New Roman"/>
            <family val="18"/>
          </rPr>
          <t>[ML 1802]</t>
        </r>
        <r>
          <rPr>
            <sz val="14"/>
            <color rgb="FF000000"/>
            <rFont val="Calibri"/>
            <family val="34"/>
          </rPr>
          <t xml:space="preserve">
</t>
        </r>
      </text>
    </comment>
    <comment ref="BG651" authorId="0" shapeId="0" xr:uid="{7F4154F5-00DC-254A-AEDC-5DD5DC0A475F}">
      <text>
        <r>
          <rPr>
            <sz val="14"/>
            <color rgb="FF000000"/>
            <rFont val="Times New Roman"/>
            <family val="18"/>
          </rPr>
          <t>ML 5102-4 IR 60 (1802) – Obrist Komp. Zuwachs (Tamesvar 15/09/1802), ObristLt Komp. Zuwachs &amp; Abgang (Petervardein 20/05/1802), Haupt Krapf Komp. (Tamesvar 15/09/1802), Reserve Division Zuwachs &amp; Abgang (Tamesvar 15/09/1802)</t>
        </r>
        <r>
          <rPr>
            <sz val="14"/>
            <color rgb="FF000000"/>
            <rFont val="Calibri"/>
            <family val="34"/>
          </rPr>
          <t xml:space="preserve">
</t>
        </r>
      </text>
    </comment>
    <comment ref="BH651" authorId="0" shapeId="0" xr:uid="{72F08CBA-F614-CD40-B7EB-5E173E0DA578}">
      <text>
        <r>
          <rPr>
            <sz val="14"/>
            <color rgb="FF000000"/>
            <rFont val="Calibri"/>
            <family val="34"/>
          </rPr>
          <t>IR 60 (1800-1802)</t>
        </r>
      </text>
    </comment>
    <comment ref="I652" authorId="0" shapeId="0" xr:uid="{DF7FA326-C312-EF41-B72D-C254125BE828}">
      <text>
        <r>
          <rPr>
            <sz val="14"/>
            <color rgb="FF000000"/>
            <rFont val="Calibri"/>
            <family val="34"/>
          </rPr>
          <t xml:space="preserve">1772 [30 (1802] 
</t>
        </r>
        <r>
          <rPr>
            <sz val="14"/>
            <color rgb="FF000000"/>
            <rFont val="Calibri"/>
            <family val="34"/>
          </rPr>
          <t xml:space="preserve">OR 
</t>
        </r>
        <r>
          <rPr>
            <sz val="14"/>
            <color rgb="FF000000"/>
            <rFont val="Calibri"/>
            <family val="34"/>
          </rPr>
          <t xml:space="preserve">1774 [34 (1808])
</t>
        </r>
        <r>
          <rPr>
            <sz val="14"/>
            <color rgb="FF000000"/>
            <rFont val="Calibri"/>
            <family val="34"/>
          </rPr>
          <t xml:space="preserve">OR
</t>
        </r>
        <r>
          <rPr>
            <sz val="14"/>
            <color rgb="FF000000"/>
            <rFont val="Calibri"/>
            <family val="34"/>
          </rPr>
          <t>1773 [38 (1811)]</t>
        </r>
      </text>
    </comment>
    <comment ref="O652" authorId="0" shapeId="0" xr:uid="{4EC46D52-ACD4-B049-B808-EE25F08DACD6}">
      <text>
        <r>
          <rPr>
            <sz val="14"/>
            <color rgb="FF000000"/>
            <rFont val="Times New Roman"/>
            <family val="18"/>
          </rPr>
          <t>Moises (1792)</t>
        </r>
      </text>
    </comment>
    <comment ref="P652" authorId="0" shapeId="0" xr:uid="{9AF8D61D-8E2F-8945-82F3-D11290B04919}">
      <text>
        <r>
          <rPr>
            <sz val="14"/>
            <color rgb="FF000000"/>
            <rFont val="Times New Roman"/>
            <family val="18"/>
          </rPr>
          <t xml:space="preserve">Sadel (1794)
</t>
        </r>
        <r>
          <rPr>
            <sz val="14"/>
            <color rgb="FF000000"/>
            <rFont val="Times New Roman"/>
            <family val="18"/>
          </rPr>
          <t>Lenka (1796)</t>
        </r>
      </text>
    </comment>
    <comment ref="BF652" authorId="0" shapeId="0" xr:uid="{51FA8D99-7997-984B-AEC3-F3688F3C9E20}">
      <text>
        <r>
          <rPr>
            <sz val="14"/>
            <color rgb="FF000000"/>
            <rFont val="Times New Roman"/>
            <family val="18"/>
          </rPr>
          <t xml:space="preserve">26/02/1800 </t>
        </r>
        <r>
          <rPr>
            <i/>
            <sz val="14"/>
            <color rgb="FF000000"/>
            <rFont val="Times New Roman"/>
            <family val="18"/>
          </rPr>
          <t>Zu Reisky Infantry IR 13 als Landständischer Recrout a 3Fl Handgeld zu Joczefow assentiert auf Beständig assentiert</t>
        </r>
        <r>
          <rPr>
            <sz val="14"/>
            <color rgb="FF000000"/>
            <rFont val="Times New Roman"/>
            <family val="18"/>
          </rPr>
          <t xml:space="preserve"> [ML 1802 &amp; TL 1808]</t>
        </r>
        <r>
          <rPr>
            <sz val="14"/>
            <color rgb="FF000000"/>
            <rFont val="Calibri"/>
            <family val="34"/>
          </rPr>
          <t xml:space="preserve">
</t>
        </r>
        <r>
          <rPr>
            <sz val="14"/>
            <color rgb="FF000000"/>
            <rFont val="Times New Roman"/>
            <family val="18"/>
          </rPr>
          <t>22/09/1802 Muster: IR 13 Haupt Tuzzi Komp. Nr. 40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 xml:space="preserve">10/03/1808 </t>
        </r>
        <r>
          <rPr>
            <i/>
            <sz val="14"/>
            <color rgb="FF000000"/>
            <rFont val="Times New Roman"/>
            <family val="18"/>
          </rPr>
          <t xml:space="preserve">Von IR 13 15. Fus. </t>
        </r>
        <r>
          <rPr>
            <sz val="14"/>
            <color rgb="FF000000"/>
            <rFont val="Times New Roman"/>
            <family val="18"/>
          </rPr>
          <t>[Haupt Angeli]</t>
        </r>
        <r>
          <rPr>
            <i/>
            <sz val="14"/>
            <color rgb="FF000000"/>
            <rFont val="Times New Roman"/>
            <family val="18"/>
          </rPr>
          <t xml:space="preserve"> Komp. zum Marine Infanterie zum Triest transferiert</t>
        </r>
        <r>
          <rPr>
            <sz val="14"/>
            <color rgb="FF000000"/>
            <rFont val="Times New Roman"/>
            <family val="18"/>
          </rPr>
          <t xml:space="preserve"> [</t>
        </r>
        <r>
          <rPr>
            <i/>
            <sz val="14"/>
            <color rgb="FF000000"/>
            <rFont val="Times New Roman"/>
            <family val="18"/>
          </rPr>
          <t>Ist bei der Marine nicht angekommen Worden</t>
        </r>
        <r>
          <rPr>
            <sz val="14"/>
            <color rgb="FF000000"/>
            <rFont val="Times New Roman"/>
            <family val="18"/>
          </rPr>
          <t>] [TL March 1797]</t>
        </r>
        <r>
          <rPr>
            <sz val="14"/>
            <color rgb="FF000000"/>
            <rFont val="Calibri"/>
            <family val="34"/>
          </rPr>
          <t xml:space="preserve">
</t>
        </r>
        <r>
          <rPr>
            <sz val="14"/>
            <color rgb="FF000000"/>
            <rFont val="Times New Roman"/>
            <family val="18"/>
          </rPr>
          <t xml:space="preserve">01/07/1808 </t>
        </r>
        <r>
          <rPr>
            <i/>
            <sz val="14"/>
            <color rgb="FF000000"/>
            <rFont val="Times New Roman"/>
            <family val="18"/>
          </rPr>
          <t>Von IR 13 ‘Reisky’ 15. Fus.</t>
        </r>
        <r>
          <rPr>
            <sz val="14"/>
            <color rgb="FF000000"/>
            <rFont val="Times New Roman"/>
            <family val="18"/>
          </rPr>
          <t xml:space="preserve"> [Haupt Angely] </t>
        </r>
        <r>
          <rPr>
            <i/>
            <sz val="14"/>
            <color rgb="FF000000"/>
            <rFont val="Times New Roman"/>
            <family val="18"/>
          </rPr>
          <t xml:space="preserve">Komp. zum Krainer-Kärntischer Grenz Cordon transferiert </t>
        </r>
        <r>
          <rPr>
            <sz val="14"/>
            <color rgb="FF000000"/>
            <rFont val="Times New Roman"/>
            <family val="18"/>
          </rPr>
          <t xml:space="preserve">[TL July 1808] </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Inner-Österreichischen Grenz Cordon transferiert</t>
        </r>
        <r>
          <rPr>
            <sz val="14"/>
            <color rgb="FF000000"/>
            <rFont val="Times New Roman"/>
            <family val="18"/>
          </rPr>
          <t xml:space="preserve"> [ML 1810]</t>
        </r>
        <r>
          <rPr>
            <sz val="14"/>
            <color rgb="FF000000"/>
            <rFont val="Calibri"/>
            <family val="34"/>
          </rPr>
          <t xml:space="preserve">
</t>
        </r>
        <r>
          <rPr>
            <sz val="14"/>
            <color rgb="FF000000"/>
            <rFont val="Times New Roman"/>
            <family val="18"/>
          </rPr>
          <t>18/09/1810 Revision: GK IÖ 4. Komp. Nr. 54</t>
        </r>
        <r>
          <rPr>
            <sz val="14"/>
            <color rgb="FF000000"/>
            <rFont val="Calibri"/>
            <family val="34"/>
          </rPr>
          <t xml:space="preserve">
</t>
        </r>
        <r>
          <rPr>
            <sz val="14"/>
            <color rgb="FF000000"/>
            <rFont val="Times New Roman"/>
            <family val="18"/>
          </rPr>
          <t>12/09/1811 Muster: GK IÖ 4. Komp. Nr. 66</t>
        </r>
        <r>
          <rPr>
            <sz val="14"/>
            <color rgb="FF000000"/>
            <rFont val="Calibri"/>
            <family val="34"/>
          </rPr>
          <t xml:space="preserve">
</t>
        </r>
        <r>
          <rPr>
            <sz val="14"/>
            <color rgb="FF000000"/>
            <rFont val="Times New Roman"/>
            <family val="18"/>
          </rPr>
          <t xml:space="preserve">30/04/1812 </t>
        </r>
        <r>
          <rPr>
            <i/>
            <sz val="14"/>
            <color rgb="FF000000"/>
            <rFont val="Times New Roman"/>
            <family val="18"/>
          </rPr>
          <t>In Folge hoher Inner-Österreichische General Kommando Verordnung detto Graz den 14/04/1812 K. 1800 als reale Invalid gegen Renuncierung’ mit Abschied entlassen</t>
        </r>
        <r>
          <rPr>
            <sz val="14"/>
            <color rgb="FF000000"/>
            <rFont val="Times New Roman"/>
            <family val="18"/>
          </rPr>
          <t xml:space="preserve"> [RL 1812]</t>
        </r>
        <r>
          <rPr>
            <sz val="14"/>
            <color rgb="FF000000"/>
            <rFont val="Calibri"/>
            <family val="34"/>
          </rPr>
          <t xml:space="preserve">
</t>
        </r>
      </text>
    </comment>
    <comment ref="BG652" authorId="0" shapeId="0" xr:uid="{60126A5B-3240-D94B-9C9F-5FCB4AD37105}">
      <text>
        <r>
          <rPr>
            <sz val="14"/>
            <color rgb="FF000000"/>
            <rFont val="Times New Roman"/>
            <family val="18"/>
          </rPr>
          <t>ML 10.045/6 IR 13 (1802) – Heft von Haupt Tuzzi Comp. Nr. 40 (Görz 22/09/1802)</t>
        </r>
        <r>
          <rPr>
            <sz val="14"/>
            <color rgb="FF000000"/>
            <rFont val="Calibri"/>
            <family val="34"/>
          </rPr>
          <t xml:space="preserve">
</t>
        </r>
        <r>
          <rPr>
            <sz val="14"/>
            <color rgb="FF000000"/>
            <rFont val="Times New Roman"/>
            <family val="18"/>
          </rPr>
          <t>ML 10.095 IR 13 (1808) AL/TL – TL IR 13-&gt;Triester Marine Infanterie [Between Nr. 59 and 60 – Erased] (Görz 11/03/1808), TL IR 13-&gt; Krainer GK Nr. 25 (Triest 20/07/1808)</t>
        </r>
        <r>
          <rPr>
            <sz val="14"/>
            <color rgb="FF000000"/>
            <rFont val="Calibri"/>
            <family val="34"/>
          </rPr>
          <t xml:space="preserve">
</t>
        </r>
        <r>
          <rPr>
            <sz val="14"/>
            <color rgb="FF000000"/>
            <rFont val="Times New Roman"/>
            <family val="18"/>
          </rPr>
          <t>ML 8750 GK IÖ (1810) – RL 1810 4. Komp. [Haupt. Heibel] 4. Nr. 54 (Cilly 18/09/1810), ML 1811 4. Komp. [Haupt. von Braunitzer] Nr. 66 &amp; Zuwachs (Cilly 12/09/1811); RL 1812 4. Komp. [Haupt. von Braunitzer] Abgang (Tiefern 13/09/1812)</t>
        </r>
        <r>
          <rPr>
            <sz val="14"/>
            <color rgb="FF000000"/>
            <rFont val="Calibri"/>
            <family val="34"/>
          </rPr>
          <t xml:space="preserve">
</t>
        </r>
      </text>
    </comment>
    <comment ref="BH652" authorId="0" shapeId="0" xr:uid="{D882BB19-E19F-104F-928B-468202968F95}">
      <text>
        <r>
          <rPr>
            <sz val="14"/>
            <color rgb="FF000000"/>
            <rFont val="Calibri"/>
            <family val="34"/>
          </rPr>
          <t xml:space="preserve">IR 13 (1800-1808)
</t>
        </r>
        <r>
          <rPr>
            <sz val="14"/>
            <color rgb="FF000000"/>
            <rFont val="Calibri"/>
            <family val="34"/>
          </rPr>
          <t xml:space="preserve">GK Kr-Kär (1808-1809)
</t>
        </r>
        <r>
          <rPr>
            <sz val="14"/>
            <color rgb="FF000000"/>
            <rFont val="Calibri"/>
            <family val="34"/>
          </rPr>
          <t xml:space="preserve">GK IÖ (1809-1812)
</t>
        </r>
      </text>
    </comment>
    <comment ref="BF653" authorId="0" shapeId="0" xr:uid="{F003681E-B645-C04E-B5A7-197B2E411D3C}">
      <text>
        <r>
          <rPr>
            <sz val="14"/>
            <color rgb="FF000000"/>
            <rFont val="Times New Roman"/>
            <family val="18"/>
          </rPr>
          <t xml:space="preserve">c. 03/1800 </t>
        </r>
        <r>
          <rPr>
            <i/>
            <sz val="14"/>
            <color rgb="FF000000"/>
            <rFont val="Times New Roman"/>
            <family val="18"/>
          </rPr>
          <t>Assentiert</t>
        </r>
        <r>
          <rPr>
            <sz val="14"/>
            <color rgb="FF000000"/>
            <rFont val="Times New Roman"/>
            <family val="18"/>
          </rPr>
          <t xml:space="preserve"> [ML 1802] </t>
        </r>
        <r>
          <rPr>
            <sz val="14"/>
            <color rgb="FF000000"/>
            <rFont val="Times New Roman"/>
            <family val="18"/>
          </rPr>
          <t xml:space="preserve">
</t>
        </r>
        <r>
          <rPr>
            <sz val="14"/>
            <color rgb="FF000000"/>
            <rFont val="Times New Roman"/>
            <family val="18"/>
          </rPr>
          <t xml:space="preserve">c. 03/1800 </t>
        </r>
        <r>
          <rPr>
            <i/>
            <sz val="14"/>
            <color rgb="FF000000"/>
            <rFont val="Times New Roman"/>
            <family val="18"/>
          </rPr>
          <t>Wegen Untauglichkeit gegen Stellung des Rekrutes Abraham TAWLOWITZ entlassen</t>
        </r>
        <r>
          <rPr>
            <sz val="14"/>
            <color rgb="FF000000"/>
            <rFont val="Times New Roman"/>
            <family val="18"/>
          </rPr>
          <t xml:space="preserve"> [ML 1802]</t>
        </r>
        <r>
          <rPr>
            <sz val="14"/>
            <color rgb="FF000000"/>
            <rFont val="Times New Roman"/>
            <family val="18"/>
          </rPr>
          <t xml:space="preserve">
</t>
        </r>
      </text>
    </comment>
    <comment ref="BG653" authorId="0" shapeId="0" xr:uid="{FD1E3C09-17F4-6747-AA5C-393B683691FC}">
      <text>
        <r>
          <rPr>
            <sz val="14"/>
            <color rgb="FF000000"/>
            <rFont val="Times New Roman"/>
            <family val="18"/>
          </rPr>
          <t>ML 10.045/6 IR 13 (1802) – Haupt Majus Komp.  Komp. Nr. 59 (Görz 22/09/1802)</t>
        </r>
        <r>
          <rPr>
            <sz val="14"/>
            <color rgb="FF000000"/>
            <rFont val="Times New Roman"/>
            <family val="18"/>
          </rPr>
          <t xml:space="preserve">
</t>
        </r>
      </text>
    </comment>
    <comment ref="BH653" authorId="0" shapeId="0" xr:uid="{9D13717C-CE3D-6B49-BA2C-4DF78EDCC074}">
      <text>
        <r>
          <rPr>
            <sz val="14"/>
            <color rgb="FF000000"/>
            <rFont val="Calibri"/>
            <family val="34"/>
          </rPr>
          <t>IR 13 (1800)</t>
        </r>
      </text>
    </comment>
    <comment ref="BF654" authorId="0" shapeId="0" xr:uid="{4DFF2188-63FC-0845-8116-4F5C16013409}">
      <text>
        <r>
          <rPr>
            <sz val="14"/>
            <color rgb="FF000000"/>
            <rFont val="Times New Roman"/>
            <family val="18"/>
          </rPr>
          <t xml:space="preserve">[c. March 1800] </t>
        </r>
        <r>
          <rPr>
            <i/>
            <sz val="14"/>
            <color rgb="FF000000"/>
            <rFont val="Times New Roman"/>
            <family val="18"/>
          </rPr>
          <t>Assentiert</t>
        </r>
        <r>
          <rPr>
            <sz val="14"/>
            <color rgb="FF000000"/>
            <rFont val="Times New Roman"/>
            <family val="18"/>
          </rPr>
          <t xml:space="preserve"> [</t>
        </r>
        <r>
          <rPr>
            <i/>
            <sz val="14"/>
            <color rgb="FF000000"/>
            <rFont val="Times New Roman"/>
            <family val="18"/>
          </rPr>
          <t>Diente in Kollowrath Infanterie</t>
        </r>
        <r>
          <rPr>
            <sz val="14"/>
            <color rgb="FF000000"/>
            <rFont val="Times New Roman"/>
            <family val="18"/>
          </rPr>
          <t xml:space="preserve"> </t>
        </r>
        <r>
          <rPr>
            <b/>
            <sz val="14"/>
            <color rgb="FF000000"/>
            <rFont val="Times New Roman"/>
            <family val="18"/>
          </rPr>
          <t>[IR 36]</t>
        </r>
        <r>
          <rPr>
            <sz val="14"/>
            <color rgb="FF000000"/>
            <rFont val="Times New Roman"/>
            <family val="18"/>
          </rPr>
          <t xml:space="preserve"> </t>
        </r>
        <r>
          <rPr>
            <i/>
            <sz val="14"/>
            <color rgb="FF000000"/>
            <rFont val="Times New Roman"/>
            <family val="18"/>
          </rPr>
          <t>9 Jahren 11 Monaten</t>
        </r>
        <r>
          <rPr>
            <sz val="14"/>
            <color rgb="FF000000"/>
            <rFont val="Times New Roman"/>
            <family val="18"/>
          </rPr>
          <t>] [ML 1811]</t>
        </r>
        <r>
          <rPr>
            <sz val="14"/>
            <color rgb="FF000000"/>
            <rFont val="Calibri"/>
            <family val="34"/>
          </rPr>
          <t xml:space="preserve">
</t>
        </r>
        <r>
          <rPr>
            <sz val="14"/>
            <color rgb="FF000000"/>
            <rFont val="Times New Roman"/>
            <family val="18"/>
          </rPr>
          <t xml:space="preserve">25/02/1810 </t>
        </r>
        <r>
          <rPr>
            <i/>
            <sz val="14"/>
            <color rgb="FF000000"/>
            <rFont val="Times New Roman"/>
            <family val="18"/>
          </rPr>
          <t>Von regiment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19/04/1811 </t>
        </r>
        <r>
          <rPr>
            <i/>
            <sz val="14"/>
            <color rgb="FF000000"/>
            <rFont val="Times New Roman"/>
            <family val="18"/>
          </rPr>
          <t>Von vorbehalt Stand in Musterung des InvH Prag zugewachsen</t>
        </r>
        <r>
          <rPr>
            <sz val="14"/>
            <color rgb="FF000000"/>
            <rFont val="Times New Roman"/>
            <family val="18"/>
          </rPr>
          <t xml:space="preserve"> [ML 1811]</t>
        </r>
        <r>
          <rPr>
            <sz val="14"/>
            <color rgb="FF000000"/>
            <rFont val="Calibri"/>
            <family val="34"/>
          </rPr>
          <t xml:space="preserve">
</t>
        </r>
        <r>
          <rPr>
            <sz val="14"/>
            <color rgb="FF000000"/>
            <rFont val="Times New Roman"/>
            <family val="18"/>
          </rPr>
          <t>24/06/1811 Muster: InvH Prag 1. &amp; 2. Chambre Nr. 175 [</t>
        </r>
        <r>
          <rPr>
            <i/>
            <sz val="14"/>
            <color rgb="FF000000"/>
            <rFont val="Times New Roman"/>
            <family val="18"/>
          </rPr>
          <t>Zu Haus dienst Tauglich</t>
        </r>
        <r>
          <rPr>
            <sz val="14"/>
            <color rgb="FF000000"/>
            <rFont val="Times New Roman"/>
            <family val="18"/>
          </rPr>
          <t>]</t>
        </r>
        <r>
          <rPr>
            <sz val="14"/>
            <color rgb="FF000000"/>
            <rFont val="Calibri"/>
            <family val="34"/>
          </rPr>
          <t xml:space="preserve">
</t>
        </r>
      </text>
    </comment>
    <comment ref="BG654" authorId="0" shapeId="0" xr:uid="{8F2F7506-81CD-CC43-973A-D599ACFB7F71}">
      <text>
        <r>
          <rPr>
            <sz val="14"/>
            <color rgb="FF000000"/>
            <rFont val="Times New Roman"/>
            <family val="18"/>
          </rPr>
          <t>ML 9664 INvH Prag (1811) – Heft von 1. &amp; 2. Chambre Nr. 175 &amp; Zuwachs (Prag 24/06/1811)</t>
        </r>
        <r>
          <rPr>
            <sz val="14"/>
            <color rgb="FF000000"/>
            <rFont val="Calibri"/>
            <family val="34"/>
          </rPr>
          <t xml:space="preserve">
</t>
        </r>
      </text>
    </comment>
    <comment ref="BH654" authorId="0" shapeId="0" xr:uid="{1BDE0E5D-C185-6745-9CFF-AEB4DEA23C2C}">
      <text>
        <r>
          <rPr>
            <sz val="14"/>
            <color rgb="FF000000"/>
            <rFont val="Calibri"/>
            <family val="34"/>
          </rPr>
          <t xml:space="preserve">IR 36 (1800-1810)
</t>
        </r>
        <r>
          <rPr>
            <sz val="14"/>
            <color rgb="FF000000"/>
            <rFont val="Calibri"/>
            <family val="34"/>
          </rPr>
          <t>InvH Prag (1810-1811)</t>
        </r>
      </text>
    </comment>
    <comment ref="BF655" authorId="0" shapeId="0" xr:uid="{431F7842-2BF8-E647-AAC1-9A32B783AC34}">
      <text>
        <r>
          <rPr>
            <sz val="14"/>
            <color rgb="FF000000"/>
            <rFont val="Times New Roman"/>
            <family val="18"/>
          </rPr>
          <t xml:space="preserve">01/03/1800 </t>
        </r>
        <r>
          <rPr>
            <i/>
            <sz val="14"/>
            <color rgb="FF000000"/>
            <rFont val="Times New Roman"/>
            <family val="18"/>
          </rPr>
          <t>Von EH Ferdinand Inf Regiment Nr. 2 zum IR 60 Artillerie Bespannung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31/08/1800 </t>
        </r>
        <r>
          <rPr>
            <i/>
            <sz val="14"/>
            <color rgb="FF000000"/>
            <rFont val="Times New Roman"/>
            <family val="18"/>
          </rPr>
          <t>Von IR 60 Artillerie Bespannung zum IR 31 Beneovszky Grenadier Division transferiert</t>
        </r>
        <r>
          <rPr>
            <sz val="14"/>
            <color rgb="FF000000"/>
            <rFont val="Times New Roman"/>
            <family val="18"/>
          </rPr>
          <t xml:space="preserve"> [ML 1802]</t>
        </r>
      </text>
    </comment>
    <comment ref="BG655" authorId="0" shapeId="0" xr:uid="{581DCBD3-1768-264B-9EB6-9491ED71547E}">
      <text>
        <r>
          <rPr>
            <sz val="14"/>
            <color rgb="FF000000"/>
            <rFont val="Times New Roman"/>
            <family val="18"/>
          </rPr>
          <t>ML 5102-4 IR 60 (1802) – Artillerie Bespannung Zuwachs &amp; Abgang (Tamesvar 15/09/1802)</t>
        </r>
        <r>
          <rPr>
            <sz val="14"/>
            <color rgb="FF000000"/>
            <rFont val="Calibri"/>
            <family val="34"/>
          </rPr>
          <t xml:space="preserve">
</t>
        </r>
      </text>
    </comment>
    <comment ref="BH655" authorId="0" shapeId="0" xr:uid="{FD03DEE7-B0D8-6A45-BD5C-D820C3E5AA8A}">
      <text>
        <r>
          <rPr>
            <sz val="14"/>
            <color rgb="FF000000"/>
            <rFont val="Calibri"/>
            <family val="34"/>
          </rPr>
          <t>MFWK (1800)</t>
        </r>
      </text>
    </comment>
    <comment ref="BF656" authorId="0" shapeId="0" xr:uid="{924D8E02-2201-904C-BA20-FA11F996862D}">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31/04/1801 </t>
        </r>
        <r>
          <rPr>
            <i/>
            <sz val="14"/>
            <color rgb="FF000000"/>
            <rFont val="Times New Roman"/>
            <family val="18"/>
          </rPr>
          <t>Von Reserve Division zum Haupt Katskovits Komp. transferiert</t>
        </r>
        <r>
          <rPr>
            <sz val="14"/>
            <color rgb="FF000000"/>
            <rFont val="Times New Roman"/>
            <family val="18"/>
          </rPr>
          <t xml:space="preserve"> [ML 1802] </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Haupt Szambothey zum Haupt Kaskovics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Kacskovics Nr. 94 [</t>
        </r>
        <r>
          <rPr>
            <i/>
            <sz val="14"/>
            <color rgb="FF000000"/>
            <rFont val="Times New Roman"/>
            <family val="18"/>
          </rPr>
          <t>Auf die Wache</t>
        </r>
        <r>
          <rPr>
            <sz val="14"/>
            <color rgb="FF000000"/>
            <rFont val="Times New Roman"/>
            <family val="18"/>
          </rPr>
          <t>]</t>
        </r>
        <r>
          <rPr>
            <sz val="14"/>
            <color rgb="FF000000"/>
            <rFont val="Calibri"/>
            <family val="34"/>
          </rPr>
          <t xml:space="preserve">
</t>
        </r>
        <r>
          <rPr>
            <sz val="14"/>
            <color rgb="FF000000"/>
            <rFont val="Times New Roman"/>
            <family val="18"/>
          </rPr>
          <t>15/09/1803 Musterung: IR 60 Haupt Kacskovics Nr. 70</t>
        </r>
        <r>
          <rPr>
            <sz val="14"/>
            <color rgb="FF000000"/>
            <rFont val="Calibri"/>
            <family val="34"/>
          </rPr>
          <t xml:space="preserve">
</t>
        </r>
        <r>
          <rPr>
            <sz val="14"/>
            <color rgb="FF000000"/>
            <rFont val="Times New Roman"/>
            <family val="18"/>
          </rPr>
          <t>1804/06/28 Musterung: IR 60 Haupt. Kaufmann Nr. 64 [</t>
        </r>
        <r>
          <rPr>
            <i/>
            <sz val="14"/>
            <color rgb="FF000000"/>
            <rFont val="Times New Roman"/>
            <family val="18"/>
          </rPr>
          <t>Kommandiert nach Siebenbürgen</t>
        </r>
        <r>
          <rPr>
            <sz val="14"/>
            <color rgb="FF000000"/>
            <rFont val="Times New Roman"/>
            <family val="18"/>
          </rPr>
          <t>]</t>
        </r>
      </text>
    </comment>
    <comment ref="BG656" authorId="0" shapeId="0" xr:uid="{E28FC049-4E3B-6242-B66B-E4171BE1DA4D}">
      <text>
        <r>
          <rPr>
            <sz val="14"/>
            <color rgb="FF000000"/>
            <rFont val="Times New Roman"/>
            <family val="18"/>
          </rPr>
          <t>ML 5102-4 IR 60 (1802) – Haupt Kavskovics Nr. 94 &amp; Zuwachs (Petervardein 20/09/1802), Haupt Szombathely Zuwachs &amp; Abgang (Tamesvar 15/09/1805), Reserve Division Zuwachs &amp; Abgang (Tamesvar 15/09/1802)</t>
        </r>
        <r>
          <rPr>
            <sz val="14"/>
            <color rgb="FF000000"/>
            <rFont val="Calibri"/>
            <family val="34"/>
          </rPr>
          <t xml:space="preserve">
</t>
        </r>
        <r>
          <rPr>
            <sz val="14"/>
            <color rgb="FF000000"/>
            <rFont val="Times New Roman"/>
            <family val="18"/>
          </rPr>
          <t>ML 5105 IR 60 (1803) – Haupt Kacskovics Nr. 70 (Tamesvar 15/09/1803)</t>
        </r>
        <r>
          <rPr>
            <sz val="14"/>
            <color rgb="FF000000"/>
            <rFont val="Calibri"/>
            <family val="34"/>
          </rPr>
          <t xml:space="preserve">
</t>
        </r>
        <r>
          <rPr>
            <sz val="14"/>
            <color rgb="FF000000"/>
            <rFont val="Times New Roman"/>
            <family val="18"/>
          </rPr>
          <t>ML 5106 IR 60 (1804) – Haupt Kauffmann Nr. 64 (Tamesvar 28/06/1804)</t>
        </r>
        <r>
          <rPr>
            <sz val="14"/>
            <color rgb="FF000000"/>
            <rFont val="Calibri"/>
            <family val="34"/>
          </rPr>
          <t xml:space="preserve">
</t>
        </r>
      </text>
    </comment>
    <comment ref="BH656" authorId="0" shapeId="0" xr:uid="{3882A65D-B9E1-7845-BB47-6AFB45C7295F}">
      <text>
        <r>
          <rPr>
            <sz val="14"/>
            <color rgb="FF000000"/>
            <rFont val="Calibri"/>
            <family val="34"/>
          </rPr>
          <t>IR 60 (1800-1804)</t>
        </r>
      </text>
    </comment>
    <comment ref="BF657" authorId="0" shapeId="0" xr:uid="{E695655F-6C0C-494B-B01C-3AFAE8AFA13D}">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06/06/1800 </t>
        </r>
        <r>
          <rPr>
            <i/>
            <sz val="14"/>
            <color rgb="FF000000"/>
            <rFont val="Times New Roman"/>
            <family val="18"/>
          </rPr>
          <t>von Reserve Division zum ObristLt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30/04/1801 </t>
        </r>
        <r>
          <rPr>
            <i/>
            <sz val="14"/>
            <color rgb="FF000000"/>
            <rFont val="Times New Roman"/>
            <family val="18"/>
          </rPr>
          <t>Von 1. Major zum ObristLt Comp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ObristLt. Komp Nr. 67</t>
        </r>
        <r>
          <rPr>
            <sz val="14"/>
            <color rgb="FF000000"/>
            <rFont val="Calibri"/>
            <family val="34"/>
          </rPr>
          <t xml:space="preserve">
</t>
        </r>
        <r>
          <rPr>
            <sz val="14"/>
            <color rgb="FF000000"/>
            <rFont val="Times New Roman"/>
            <family val="18"/>
          </rPr>
          <t xml:space="preserve">10/03/1803 </t>
        </r>
        <r>
          <rPr>
            <i/>
            <sz val="14"/>
            <color rgb="FF000000"/>
            <rFont val="Times New Roman"/>
            <family val="18"/>
          </rPr>
          <t>Laut Besondere Verordnung mit Abschied entlassen</t>
        </r>
        <r>
          <rPr>
            <sz val="14"/>
            <color rgb="FF000000"/>
            <rFont val="Times New Roman"/>
            <family val="18"/>
          </rPr>
          <t xml:space="preserve"> [ML 1803] </t>
        </r>
      </text>
    </comment>
    <comment ref="BG657" authorId="0" shapeId="0" xr:uid="{7ACB6E46-410B-014D-AAC1-F8F92A16FFBB}">
      <text>
        <r>
          <rPr>
            <sz val="14"/>
            <color rgb="FF000000"/>
            <rFont val="Times New Roman"/>
            <family val="18"/>
          </rPr>
          <t>ML 5102-4 IR 60 (1802) – ObristLt Komp Nr. 67 (Petervardein 20/09/1802), Reserve Division Zuwachs &amp; Abgang (Tamesvar 15/09/1802)</t>
        </r>
        <r>
          <rPr>
            <sz val="14"/>
            <color rgb="FF000000"/>
            <rFont val="Calibri"/>
            <family val="34"/>
          </rPr>
          <t xml:space="preserve">
</t>
        </r>
        <r>
          <rPr>
            <sz val="14"/>
            <color rgb="FF000000"/>
            <rFont val="Times New Roman"/>
            <family val="18"/>
          </rPr>
          <t>ML 5105 IR 60 (1803) ObristLt Komp. Abgang (Tamesvar 15/09/1803)</t>
        </r>
        <r>
          <rPr>
            <sz val="14"/>
            <color rgb="FF000000"/>
            <rFont val="Calibri"/>
            <family val="34"/>
          </rPr>
          <t xml:space="preserve">
</t>
        </r>
      </text>
    </comment>
    <comment ref="BH657" authorId="0" shapeId="0" xr:uid="{565975D5-350C-8145-8A91-51D062F07C60}">
      <text>
        <r>
          <rPr>
            <sz val="14"/>
            <color rgb="FF000000"/>
            <rFont val="Calibri"/>
            <family val="34"/>
          </rPr>
          <t>IR 60 (1800-1803))</t>
        </r>
      </text>
    </comment>
    <comment ref="BF658" authorId="0" shapeId="0" xr:uid="{5CAA3474-20A3-854F-B15F-995E38B9E505}">
      <text>
        <r>
          <rPr>
            <sz val="14"/>
            <color rgb="FF000000"/>
            <rFont val="Times New Roman"/>
            <family val="18"/>
          </rPr>
          <t xml:space="preserve">01/03/1800 </t>
        </r>
        <r>
          <rPr>
            <i/>
            <sz val="14"/>
            <color rgb="FF000000"/>
            <rFont val="Times New Roman"/>
            <family val="18"/>
          </rPr>
          <t xml:space="preserve">Zu Zaleszyk </t>
        </r>
        <r>
          <rPr>
            <b/>
            <sz val="14"/>
            <color rgb="FF000000"/>
            <rFont val="Times New Roman"/>
            <family val="18"/>
          </rPr>
          <t>[Zaleszczyki, Ukraine]</t>
        </r>
        <r>
          <rPr>
            <sz val="14"/>
            <color rgb="FF000000"/>
            <rFont val="Times New Roman"/>
            <family val="18"/>
          </rPr>
          <t xml:space="preserve"> </t>
        </r>
        <r>
          <rPr>
            <i/>
            <sz val="14"/>
            <color rgb="FF000000"/>
            <rFont val="Times New Roman"/>
            <family val="18"/>
          </rPr>
          <t>a 10Fl mit 6 Jähriger Capitulation assentiert und zum Tonni Comp eingeteilt</t>
        </r>
        <r>
          <rPr>
            <sz val="14"/>
            <color rgb="FF000000"/>
            <rFont val="Times New Roman"/>
            <family val="18"/>
          </rPr>
          <t xml:space="preserve"> [GB LB 1 1798-1801]</t>
        </r>
        <r>
          <rPr>
            <sz val="14"/>
            <color rgb="FF000000"/>
            <rFont val="Calibri"/>
            <family val="34"/>
          </rPr>
          <t xml:space="preserve">
</t>
        </r>
        <r>
          <rPr>
            <sz val="14"/>
            <color rgb="FF000000"/>
            <rFont val="Times New Roman"/>
            <family val="18"/>
          </rPr>
          <t xml:space="preserve">??/??/1801 Dissolvierung: </t>
        </r>
        <r>
          <rPr>
            <i/>
            <sz val="14"/>
            <color rgb="FF000000"/>
            <rFont val="Times New Roman"/>
            <family val="18"/>
          </rPr>
          <t>Zum 2. Garrison Regiment Eizuteilen</t>
        </r>
        <r>
          <rPr>
            <sz val="14"/>
            <color rgb="FF000000"/>
            <rFont val="Times New Roman"/>
            <family val="18"/>
          </rPr>
          <t xml:space="preserve"> [GB 1798-1801]</t>
        </r>
        <r>
          <rPr>
            <sz val="14"/>
            <color rgb="FF000000"/>
            <rFont val="Calibri"/>
            <family val="34"/>
          </rPr>
          <t xml:space="preserve">
</t>
        </r>
        <r>
          <rPr>
            <sz val="14"/>
            <color rgb="FF000000"/>
            <rFont val="Times New Roman"/>
            <family val="18"/>
          </rPr>
          <t xml:space="preserve">01/09/1801 </t>
        </r>
        <r>
          <rPr>
            <i/>
            <sz val="14"/>
            <color rgb="FF000000"/>
            <rFont val="Times New Roman"/>
            <family val="18"/>
          </rPr>
          <t>Von Strozzi LB 1 zum GR 1 transferiert und zur Major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20/11/1801 </t>
        </r>
        <r>
          <rPr>
            <i/>
            <sz val="14"/>
            <color rgb="FF000000"/>
            <rFont val="Times New Roman"/>
            <family val="18"/>
          </rPr>
          <t>Desertiert</t>
        </r>
        <r>
          <rPr>
            <sz val="14"/>
            <color rgb="FF000000"/>
            <rFont val="Times New Roman"/>
            <family val="18"/>
          </rPr>
          <t xml:space="preserve"> [ML 1802]</t>
        </r>
        <r>
          <rPr>
            <sz val="14"/>
            <color rgb="FF000000"/>
            <rFont val="Calibri"/>
            <family val="34"/>
          </rPr>
          <t xml:space="preserve">
</t>
        </r>
      </text>
    </comment>
    <comment ref="BG658" authorId="0" shapeId="0" xr:uid="{17158F1A-22BA-0845-9BCC-D1A22E639F1F}">
      <text>
        <r>
          <rPr>
            <sz val="14"/>
            <color rgb="FF000000"/>
            <rFont val="Times New Roman"/>
            <family val="18"/>
          </rPr>
          <t>ML 10.614 LB 1 (1798-1801) – Lit R. ‚ROSENBLATT, Joseph‘</t>
        </r>
        <r>
          <rPr>
            <sz val="14"/>
            <color rgb="FF000000"/>
            <rFont val="Calibri"/>
            <family val="34"/>
          </rPr>
          <t xml:space="preserve">
</t>
        </r>
        <r>
          <rPr>
            <sz val="14"/>
            <color rgb="FF000000"/>
            <rFont val="Times New Roman"/>
            <family val="18"/>
          </rPr>
          <t>ML 11.181 GR 2 (1802) – Major Komp. – Zuwachs &amp; Abgang</t>
        </r>
        <r>
          <rPr>
            <sz val="14"/>
            <color rgb="FF000000"/>
            <rFont val="Calibri"/>
            <family val="34"/>
          </rPr>
          <t xml:space="preserve">
</t>
        </r>
      </text>
    </comment>
    <comment ref="BH658" authorId="0" shapeId="0" xr:uid="{72DAE26B-792D-C642-962E-F75F44ABA2BF}">
      <text>
        <r>
          <rPr>
            <sz val="14"/>
            <color rgb="FF000000"/>
            <rFont val="Calibri"/>
            <family val="34"/>
          </rPr>
          <t xml:space="preserve">LB 1 (1800-1801)
</t>
        </r>
        <r>
          <rPr>
            <sz val="14"/>
            <color rgb="FF000000"/>
            <rFont val="Calibri"/>
            <family val="34"/>
          </rPr>
          <t>GR 2 (1801)</t>
        </r>
      </text>
    </comment>
    <comment ref="BF659" authorId="0" shapeId="0" xr:uid="{6CBDB02D-E88E-A74D-9440-B5BB2F902E26}">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30/04/1800 </t>
        </r>
        <r>
          <rPr>
            <i/>
            <sz val="14"/>
            <color rgb="FF000000"/>
            <rFont val="Times New Roman"/>
            <family val="18"/>
          </rPr>
          <t>Von Reserve Division zum Haupt Luk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26/08/1800 </t>
        </r>
        <r>
          <rPr>
            <i/>
            <sz val="14"/>
            <color rgb="FF000000"/>
            <rFont val="Times New Roman"/>
            <family val="18"/>
          </rPr>
          <t>Von Haupt Luk zum Haupt Wratislaw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Ehrenstein Komp. Nr. 66 [</t>
        </r>
        <r>
          <rPr>
            <i/>
            <sz val="14"/>
            <color rgb="FF000000"/>
            <rFont val="Times New Roman"/>
            <family val="18"/>
          </rPr>
          <t>Auf Räubern Commando</t>
        </r>
        <r>
          <rPr>
            <sz val="14"/>
            <color rgb="FF000000"/>
            <rFont val="Times New Roman"/>
            <family val="18"/>
          </rPr>
          <t>]</t>
        </r>
        <r>
          <rPr>
            <sz val="14"/>
            <color rgb="FF000000"/>
            <rFont val="Calibri"/>
            <family val="34"/>
          </rPr>
          <t xml:space="preserve">
</t>
        </r>
        <r>
          <rPr>
            <sz val="14"/>
            <color rgb="FF000000"/>
            <rFont val="Times New Roman"/>
            <family val="18"/>
          </rPr>
          <t>16/09/1803 Musterung: IR 60 Haupt Ehrenstein Komp. Nr. 56 [</t>
        </r>
        <r>
          <rPr>
            <i/>
            <sz val="14"/>
            <color rgb="FF000000"/>
            <rFont val="Times New Roman"/>
            <family val="18"/>
          </rPr>
          <t>Zu Fölsö Ozarovetz bis zur Einberufung beurlaubt</t>
        </r>
        <r>
          <rPr>
            <sz val="14"/>
            <color rgb="FF000000"/>
            <rFont val="Times New Roman"/>
            <family val="18"/>
          </rPr>
          <t>]</t>
        </r>
        <r>
          <rPr>
            <sz val="14"/>
            <color rgb="FF000000"/>
            <rFont val="Calibri"/>
            <family val="34"/>
          </rPr>
          <t xml:space="preserve">
</t>
        </r>
        <r>
          <rPr>
            <sz val="14"/>
            <color rgb="FF000000"/>
            <rFont val="Times New Roman"/>
            <family val="18"/>
          </rPr>
          <t>1804/06/28 Musterung: IR 60 Haupt Ehrenstein Komp. Nr. 58 [</t>
        </r>
        <r>
          <rPr>
            <i/>
            <sz val="14"/>
            <color rgb="FF000000"/>
            <rFont val="Times New Roman"/>
            <family val="18"/>
          </rPr>
          <t>Unbestimmt beurlaubt zu Ozarovetz</t>
        </r>
        <r>
          <rPr>
            <sz val="14"/>
            <color rgb="FF000000"/>
            <rFont val="Times New Roman"/>
            <family val="18"/>
          </rPr>
          <t>]</t>
        </r>
      </text>
    </comment>
    <comment ref="BG659" authorId="0" shapeId="0" xr:uid="{B8328969-3715-DB49-A86D-3AAB961BEF1B}">
      <text>
        <r>
          <rPr>
            <sz val="14"/>
            <color rgb="FF000000"/>
            <rFont val="Times New Roman"/>
            <family val="18"/>
          </rPr>
          <t>ML 5102-4 IR 60 (1802) – Haupt Ehrenstein Komp. Nr. 66 (Tamesvar 15/09/1802), Reserve Division Zuwachs &amp; Abgang (Tamesvar 15/09/1802)</t>
        </r>
        <r>
          <rPr>
            <sz val="14"/>
            <color rgb="FF000000"/>
            <rFont val="Calibri"/>
            <family val="34"/>
          </rPr>
          <t xml:space="preserve">
</t>
        </r>
        <r>
          <rPr>
            <sz val="14"/>
            <color rgb="FF000000"/>
            <rFont val="Times New Roman"/>
            <family val="18"/>
          </rPr>
          <t>ML 5105 IR 60 (1803) – Haupt Ehernstein Komp. Nr. 56 (Arad 16/09/1803)</t>
        </r>
        <r>
          <rPr>
            <sz val="14"/>
            <color rgb="FF000000"/>
            <rFont val="Calibri"/>
            <family val="34"/>
          </rPr>
          <t xml:space="preserve">
</t>
        </r>
        <r>
          <rPr>
            <sz val="14"/>
            <color rgb="FF000000"/>
            <rFont val="Times New Roman"/>
            <family val="18"/>
          </rPr>
          <t>ML 5106 IR 60 (1804) – Jaupt Ehrenstein Komp. Nr. 58 (Tamesvar 28/06/1804)</t>
        </r>
        <r>
          <rPr>
            <sz val="14"/>
            <color rgb="FF000000"/>
            <rFont val="Calibri"/>
            <family val="34"/>
          </rPr>
          <t xml:space="preserve">
</t>
        </r>
      </text>
    </comment>
    <comment ref="BH659" authorId="0" shapeId="0" xr:uid="{B7022BA6-1CD9-C942-AC91-8A26180C85B3}">
      <text>
        <r>
          <rPr>
            <sz val="14"/>
            <color rgb="FF000000"/>
            <rFont val="Calibri"/>
            <family val="34"/>
          </rPr>
          <t>IR 60 (1800-1804)</t>
        </r>
      </text>
    </comment>
    <comment ref="BF660" authorId="0" shapeId="0" xr:uid="{04847DB0-00BC-6044-A0B8-C3981128D3B0}">
      <text>
        <r>
          <rPr>
            <sz val="14"/>
            <color rgb="FF000000"/>
            <rFont val="Times New Roman"/>
            <family val="18"/>
          </rPr>
          <t xml:space="preserve">01/03/1800 </t>
        </r>
        <r>
          <rPr>
            <i/>
            <sz val="14"/>
            <color rgb="FF000000"/>
            <rFont val="Times New Roman"/>
            <family val="18"/>
          </rPr>
          <t xml:space="preserve">Von Dominien a 4Fl zu Trentsin auf die Kriegsdauer gestellt und zum IR 60 Reserve Division assentiert </t>
        </r>
        <r>
          <rPr>
            <sz val="14"/>
            <color rgb="FF000000"/>
            <rFont val="Times New Roman"/>
            <family val="18"/>
          </rPr>
          <t xml:space="preserve">[ML 1802]
</t>
        </r>
        <r>
          <rPr>
            <sz val="14"/>
            <color rgb="FF000000"/>
            <rFont val="Times New Roman"/>
            <family val="18"/>
          </rPr>
          <t xml:space="preserve">25/06/1800 </t>
        </r>
        <r>
          <rPr>
            <i/>
            <sz val="14"/>
            <color rgb="FF000000"/>
            <rFont val="Times New Roman"/>
            <family val="18"/>
          </rPr>
          <t xml:space="preserve">In Folge hoher General Commando Verordnung dem 4ten Juny mit Lauf Pass entlassen </t>
        </r>
        <r>
          <rPr>
            <sz val="14"/>
            <color rgb="FF000000"/>
            <rFont val="Times New Roman"/>
            <family val="18"/>
          </rPr>
          <t>[ML 1802]</t>
        </r>
      </text>
    </comment>
    <comment ref="BG660" authorId="0" shapeId="0" xr:uid="{303D4518-3B22-AD4C-8D36-3E1E80906820}">
      <text>
        <r>
          <rPr>
            <sz val="14"/>
            <color rgb="FF000000"/>
            <rFont val="Times New Roman"/>
            <family val="18"/>
          </rPr>
          <t>ML 5102-4 IR 60 (1802) – Reserve Division Zuwachs &amp; Abgang (Tamesvar 15/09/1802)</t>
        </r>
        <r>
          <rPr>
            <sz val="14"/>
            <color rgb="FF000000"/>
            <rFont val="Calibri"/>
            <family val="34"/>
          </rPr>
          <t xml:space="preserve">
</t>
        </r>
      </text>
    </comment>
    <comment ref="BH660" authorId="0" shapeId="0" xr:uid="{4F388340-1FC0-C84F-8C01-B7BC066A024D}">
      <text>
        <r>
          <rPr>
            <sz val="14"/>
            <color rgb="FF000000"/>
            <rFont val="Calibri"/>
            <family val="34"/>
          </rPr>
          <t>IR 60 (1800)</t>
        </r>
      </text>
    </comment>
    <comment ref="BF661" authorId="0" shapeId="0" xr:uid="{10CC5AF2-212F-584C-B4B3-0C59651E132E}">
      <text>
        <r>
          <rPr>
            <sz val="14"/>
            <color rgb="FF000000"/>
            <rFont val="Times New Roman"/>
            <family val="18"/>
          </rPr>
          <t xml:space="preserve">04/03/1800 </t>
        </r>
        <r>
          <rPr>
            <i/>
            <sz val="14"/>
            <color rgb="FF000000"/>
            <rFont val="Times New Roman"/>
            <family val="18"/>
          </rPr>
          <t xml:space="preserve">Zu Chelm a 3Fl statt der Untauglichkeit entlassenen Josel Laiser auf Beständig assentiert </t>
        </r>
        <r>
          <rPr>
            <sz val="14"/>
            <color rgb="FF000000"/>
            <rFont val="Times New Roman"/>
            <family val="18"/>
          </rPr>
          <t>[ML 1802]</t>
        </r>
        <r>
          <rPr>
            <sz val="14"/>
            <color rgb="FF000000"/>
            <rFont val="Times New Roman"/>
            <family val="18"/>
          </rPr>
          <t xml:space="preserve">
</t>
        </r>
        <r>
          <rPr>
            <sz val="14"/>
            <color rgb="FF000000"/>
            <rFont val="Times New Roman"/>
            <family val="18"/>
          </rPr>
          <t>18/09/1802 Muster: IR 13 Haupt Majus Komp. Nr. 59</t>
        </r>
        <r>
          <rPr>
            <sz val="14"/>
            <color rgb="FF000000"/>
            <rFont val="Times New Roman"/>
            <family val="18"/>
          </rPr>
          <t xml:space="preserve">
</t>
        </r>
        <r>
          <rPr>
            <sz val="14"/>
            <color rgb="FF000000"/>
            <rFont val="Times New Roman"/>
            <family val="18"/>
          </rPr>
          <t>24/09/1803 Muster: IR 13 Haupt Majus Komp. Nr. 35 [</t>
        </r>
        <r>
          <rPr>
            <i/>
            <sz val="14"/>
            <color rgb="FF000000"/>
            <rFont val="Times New Roman"/>
            <family val="18"/>
          </rPr>
          <t>Beurlaubt auf unbestimmte Zeit in seinem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unwissend Verloren</t>
        </r>
        <r>
          <rPr>
            <sz val="14"/>
            <color rgb="FF000000"/>
            <rFont val="Times New Roman"/>
            <family val="18"/>
          </rPr>
          <t xml:space="preserve"> [ML 1806 &amp; ST Oct 1806] </t>
        </r>
        <r>
          <rPr>
            <sz val="14"/>
            <color rgb="FF000000"/>
            <rFont val="Times New Roman"/>
            <family val="18"/>
          </rPr>
          <t xml:space="preserve">
</t>
        </r>
      </text>
    </comment>
    <comment ref="BG661" authorId="0" shapeId="0" xr:uid="{14430A66-B699-2D4A-BA7A-AD46ADA147DD}">
      <text>
        <r>
          <rPr>
            <sz val="14"/>
            <color rgb="FF000000"/>
            <rFont val="Times New Roman"/>
            <family val="18"/>
          </rPr>
          <t>ML 10.045/6 IR 13 (1802) – Haupt Majus Komp. Nr. 59 (Capo D‘Istria 18/09/1802)</t>
        </r>
        <r>
          <rPr>
            <sz val="14"/>
            <color rgb="FF000000"/>
            <rFont val="Times New Roman"/>
            <family val="18"/>
          </rPr>
          <t xml:space="preserve">
</t>
        </r>
        <r>
          <rPr>
            <sz val="14"/>
            <color rgb="FF000000"/>
            <rFont val="Times New Roman"/>
            <family val="18"/>
          </rPr>
          <t>ML 10.047/8 IR 13 (1803) – Haupt Majus Komp. Nr. 35 (Capo D‘Istria 24/09/1803)</t>
        </r>
        <r>
          <rPr>
            <sz val="14"/>
            <color rgb="FF000000"/>
            <rFont val="Times New Roman"/>
            <family val="18"/>
          </rPr>
          <t xml:space="preserve">
</t>
        </r>
        <r>
          <rPr>
            <sz val="14"/>
            <color rgb="FF000000"/>
            <rFont val="Times New Roman"/>
            <family val="18"/>
          </rPr>
          <t>ML 10.050/1 IR 13 (1806) – Haupt Novak Komp. Abgang (</t>
        </r>
        <r>
          <rPr>
            <sz val="14"/>
            <color rgb="FF000000"/>
            <rFont val="Times New Roman"/>
            <family val="18"/>
          </rPr>
          <t>Giuppana 16/01/1807)</t>
        </r>
        <r>
          <rPr>
            <sz val="14"/>
            <color rgb="FF000000"/>
            <rFont val="Times New Roman"/>
            <family val="18"/>
          </rPr>
          <t xml:space="preserve">
</t>
        </r>
        <r>
          <rPr>
            <sz val="14"/>
            <color rgb="FF000000"/>
            <rFont val="Times New Roman"/>
            <family val="18"/>
          </rPr>
          <t xml:space="preserve">ML 10.091 IR 13 (1806) </t>
        </r>
        <r>
          <rPr>
            <sz val="14"/>
            <color rgb="FF000000"/>
            <rFont val="Times New Roman"/>
            <family val="18"/>
          </rPr>
          <t>– ST Oct (16/01/1807)</t>
        </r>
        <r>
          <rPr>
            <sz val="14"/>
            <color rgb="FF000000"/>
            <rFont val="Times New Roman"/>
            <family val="18"/>
          </rPr>
          <t xml:space="preserve">
</t>
        </r>
      </text>
    </comment>
    <comment ref="BH661" authorId="0" shapeId="0" xr:uid="{9DDF0A02-53A2-514A-BDD6-460BB8A2D4EE}">
      <text>
        <r>
          <rPr>
            <sz val="14"/>
            <color rgb="FF000000"/>
            <rFont val="Calibri"/>
            <family val="34"/>
          </rPr>
          <t>IR 10 (1800-1806)</t>
        </r>
      </text>
    </comment>
    <comment ref="T662" authorId="0" shapeId="0" xr:uid="{B5DCF03E-A008-F74E-8FEE-A3B6587F01B1}">
      <text>
        <r>
          <rPr>
            <b/>
            <sz val="14"/>
            <color rgb="FF000000"/>
            <rFont val="Calibri"/>
            <family val="34"/>
          </rPr>
          <t xml:space="preserve">5.2.3 [163.92 cm (ML 1802/3]
</t>
        </r>
        <r>
          <rPr>
            <sz val="14"/>
            <color rgb="FF000000"/>
            <rFont val="Calibri"/>
            <family val="34"/>
          </rPr>
          <t>5.5 [171.15 (ML 1804/5)]</t>
        </r>
      </text>
    </comment>
    <comment ref="BF662" authorId="0" shapeId="0" xr:uid="{7BE59A24-D638-904E-8BFA-D95AAB97C3D6}">
      <text>
        <r>
          <rPr>
            <sz val="14"/>
            <color rgb="FF000000"/>
            <rFont val="Times New Roman"/>
            <family val="18"/>
          </rPr>
          <t xml:space="preserve">10/03/1800 </t>
        </r>
        <r>
          <rPr>
            <i/>
            <sz val="14"/>
            <color rgb="FF000000"/>
            <rFont val="Times New Roman"/>
            <family val="18"/>
          </rPr>
          <t xml:space="preserve">Dient seit bei Wankheim Infanterie </t>
        </r>
        <r>
          <rPr>
            <b/>
            <sz val="14"/>
            <color rgb="FF000000"/>
            <rFont val="Times New Roman"/>
            <family val="18"/>
          </rPr>
          <t>[IR 35]</t>
        </r>
        <r>
          <rPr>
            <i/>
            <sz val="14"/>
            <color rgb="FF000000"/>
            <rFont val="Times New Roman"/>
            <family val="18"/>
          </rPr>
          <t xml:space="preserve"> </t>
        </r>
        <r>
          <rPr>
            <sz val="14"/>
            <color rgb="FF000000"/>
            <rFont val="Times New Roman"/>
            <family val="18"/>
          </rPr>
          <t>[ML 1803]</t>
        </r>
        <r>
          <rPr>
            <sz val="14"/>
            <color rgb="FF000000"/>
            <rFont val="Calibri"/>
            <family val="34"/>
          </rPr>
          <t xml:space="preserve">
</t>
        </r>
        <r>
          <rPr>
            <sz val="14"/>
            <color rgb="FF000000"/>
            <rFont val="Times New Roman"/>
            <family val="18"/>
          </rPr>
          <t xml:space="preserve">11/04/1800 </t>
        </r>
        <r>
          <rPr>
            <i/>
            <sz val="14"/>
            <color rgb="FF000000"/>
            <rFont val="Times New Roman"/>
            <family val="18"/>
          </rPr>
          <t>Von dort</t>
        </r>
        <r>
          <rPr>
            <sz val="14"/>
            <color rgb="FF000000"/>
            <rFont val="Times New Roman"/>
            <family val="18"/>
          </rPr>
          <t xml:space="preserve"> </t>
        </r>
        <r>
          <rPr>
            <b/>
            <sz val="14"/>
            <color rgb="FF000000"/>
            <rFont val="Times New Roman"/>
            <family val="18"/>
          </rPr>
          <t>[IR 35]</t>
        </r>
        <r>
          <rPr>
            <sz val="14"/>
            <color rgb="FF000000"/>
            <rFont val="Times New Roman"/>
            <family val="18"/>
          </rPr>
          <t xml:space="preserve"> </t>
        </r>
        <r>
          <rPr>
            <i/>
            <sz val="14"/>
            <color rgb="FF000000"/>
            <rFont val="Times New Roman"/>
            <family val="18"/>
          </rPr>
          <t>zum Sporck Infanterie</t>
        </r>
        <r>
          <rPr>
            <sz val="14"/>
            <color rgb="FF000000"/>
            <rFont val="Times New Roman"/>
            <family val="18"/>
          </rPr>
          <t xml:space="preserve"> </t>
        </r>
        <r>
          <rPr>
            <b/>
            <sz val="14"/>
            <color rgb="FF000000"/>
            <rFont val="Times New Roman"/>
            <family val="18"/>
          </rPr>
          <t>[IR 25]</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26/07/1802 </t>
        </r>
        <r>
          <rPr>
            <i/>
            <sz val="14"/>
            <color rgb="FF000000"/>
            <rFont val="Times New Roman"/>
            <family val="18"/>
          </rPr>
          <t>Von Spork Infantrie</t>
        </r>
        <r>
          <rPr>
            <sz val="14"/>
            <color rgb="FF000000"/>
            <rFont val="Times New Roman"/>
            <family val="18"/>
          </rPr>
          <t xml:space="preserve"> </t>
        </r>
        <r>
          <rPr>
            <b/>
            <sz val="14"/>
            <color rgb="FF000000"/>
            <rFont val="Times New Roman"/>
            <family val="18"/>
          </rPr>
          <t>Nr. 25</t>
        </r>
        <r>
          <rPr>
            <sz val="14"/>
            <color rgb="FF000000"/>
            <rFont val="Times New Roman"/>
            <family val="18"/>
          </rPr>
          <t xml:space="preserve"> </t>
        </r>
        <r>
          <rPr>
            <i/>
            <sz val="14"/>
            <color rgb="FF000000"/>
            <rFont val="Times New Roman"/>
            <family val="18"/>
          </rPr>
          <t>anhero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10 Haupt Gronne Komp. Nr. 133</t>
        </r>
        <r>
          <rPr>
            <sz val="14"/>
            <color rgb="FF000000"/>
            <rFont val="Calibri"/>
            <family val="34"/>
          </rPr>
          <t xml:space="preserve">
</t>
        </r>
        <r>
          <rPr>
            <sz val="14"/>
            <color rgb="FF000000"/>
            <rFont val="Times New Roman"/>
            <family val="18"/>
          </rPr>
          <t>16/09/1803 Muster: IR 10 Haupt Gronne Komp. Nr. 124</t>
        </r>
        <r>
          <rPr>
            <sz val="14"/>
            <color rgb="FF000000"/>
            <rFont val="Calibri"/>
            <family val="34"/>
          </rPr>
          <t xml:space="preserve">
</t>
        </r>
        <r>
          <rPr>
            <sz val="14"/>
            <color rgb="FF000000"/>
            <rFont val="Times New Roman"/>
            <family val="18"/>
          </rPr>
          <t>25/08/1804 Muster: IR 10 Haupt Gronne Komp. Nr. 122</t>
        </r>
        <r>
          <rPr>
            <sz val="14"/>
            <color rgb="FF000000"/>
            <rFont val="Calibri"/>
            <family val="34"/>
          </rPr>
          <t xml:space="preserve">
</t>
        </r>
        <r>
          <rPr>
            <sz val="14"/>
            <color rgb="FF000000"/>
            <rFont val="Times New Roman"/>
            <family val="18"/>
          </rPr>
          <t>16/05/1805 Muster: IR 10 Haupt Rumerskirch Komp. Nr. 117 [</t>
        </r>
        <r>
          <rPr>
            <i/>
            <sz val="14"/>
            <color rgb="FF000000"/>
            <rFont val="Times New Roman"/>
            <family val="18"/>
          </rPr>
          <t>Beurlaubt in seinem Geburtsort bis zur Exerzierzeit</t>
        </r>
        <r>
          <rPr>
            <sz val="14"/>
            <color rgb="FF000000"/>
            <rFont val="Times New Roman"/>
            <family val="18"/>
          </rPr>
          <t>]</t>
        </r>
      </text>
    </comment>
    <comment ref="BG662" authorId="0" shapeId="0" xr:uid="{ED7274F8-846A-E743-A149-1D659A4A45C1}">
      <text>
        <r>
          <rPr>
            <sz val="14"/>
            <color rgb="FF000000"/>
            <rFont val="Times New Roman"/>
            <family val="18"/>
          </rPr>
          <t>ML 713 IR 10 (1802) – Haupt Gronne Komp. Nr. 133 (Wells 16/09/1802)</t>
        </r>
        <r>
          <rPr>
            <sz val="14"/>
            <color rgb="FF000000"/>
            <rFont val="Calibri"/>
            <family val="34"/>
          </rPr>
          <t xml:space="preserve">
</t>
        </r>
        <r>
          <rPr>
            <sz val="14"/>
            <color rgb="FF000000"/>
            <rFont val="Times New Roman"/>
            <family val="18"/>
          </rPr>
          <t>ML 714 IR 10 (1803) – Haupt Gronne Komp. Nr. 124 (Neuhaus 16/09/1803)</t>
        </r>
        <r>
          <rPr>
            <sz val="14"/>
            <color rgb="FF000000"/>
            <rFont val="Calibri"/>
            <family val="34"/>
          </rPr>
          <t xml:space="preserve">
</t>
        </r>
        <r>
          <rPr>
            <sz val="14"/>
            <color rgb="FF000000"/>
            <rFont val="Times New Roman"/>
            <family val="18"/>
          </rPr>
          <t>ML 715 IR 10 (1804) – Haupt Gronne Komp. Nr. 122 (Neuhaus 25/08/1804)</t>
        </r>
        <r>
          <rPr>
            <sz val="14"/>
            <color rgb="FF000000"/>
            <rFont val="Calibri"/>
            <family val="34"/>
          </rPr>
          <t xml:space="preserve">
</t>
        </r>
        <r>
          <rPr>
            <sz val="14"/>
            <color rgb="FF000000"/>
            <rFont val="Times New Roman"/>
            <family val="18"/>
          </rPr>
          <t>ML 716 IR 10 (1805) – Haupt Gronne Komp. Nr. 117 (Graz 16/05/1805)</t>
        </r>
        <r>
          <rPr>
            <sz val="14"/>
            <color rgb="FF000000"/>
            <rFont val="Calibri"/>
            <family val="34"/>
          </rPr>
          <t xml:space="preserve">
</t>
        </r>
      </text>
    </comment>
    <comment ref="BH662" authorId="0" shapeId="0" xr:uid="{0EBFF75A-5A0E-424F-A010-D8AAD93B4476}">
      <text>
        <r>
          <rPr>
            <sz val="14"/>
            <color rgb="FF000000"/>
            <rFont val="Calibri"/>
            <family val="34"/>
          </rPr>
          <t>IR 10 (1800-1805)</t>
        </r>
      </text>
    </comment>
    <comment ref="BF663" authorId="0" shapeId="0" xr:uid="{B87DC31C-C60E-1C45-A535-E62C94DED826}">
      <text>
        <r>
          <rPr>
            <sz val="14"/>
            <color rgb="FF000000"/>
            <rFont val="Times New Roman"/>
            <family val="18"/>
          </rPr>
          <t xml:space="preserve">12/03/1800 </t>
        </r>
        <r>
          <rPr>
            <i/>
            <sz val="14"/>
            <color rgb="FF000000"/>
            <rFont val="Times New Roman"/>
            <family val="18"/>
          </rPr>
          <t xml:space="preserve">Dient seit beim Modena Infanterie Regiment </t>
        </r>
        <r>
          <rPr>
            <b/>
            <sz val="14"/>
            <color rgb="FF000000"/>
            <rFont val="Times New Roman"/>
            <family val="18"/>
          </rPr>
          <t xml:space="preserve">[IR 35] </t>
        </r>
        <r>
          <rPr>
            <sz val="14"/>
            <color rgb="FF000000"/>
            <rFont val="Times New Roman"/>
            <family val="18"/>
          </rPr>
          <t>[ML 1804]</t>
        </r>
        <r>
          <rPr>
            <sz val="14"/>
            <color rgb="FF000000"/>
            <rFont val="Times New Roman"/>
            <family val="18"/>
          </rPr>
          <t xml:space="preserve">
</t>
        </r>
        <r>
          <rPr>
            <sz val="14"/>
            <color rgb="FF000000"/>
            <rFont val="Times New Roman"/>
            <family val="18"/>
          </rPr>
          <t xml:space="preserve">01/08/1802 </t>
        </r>
        <r>
          <rPr>
            <i/>
            <sz val="14"/>
            <color rgb="FF000000"/>
            <rFont val="Times New Roman"/>
            <family val="18"/>
          </rPr>
          <t>Von dort</t>
        </r>
        <r>
          <rPr>
            <sz val="14"/>
            <color rgb="FF000000"/>
            <rFont val="Times New Roman"/>
            <family val="18"/>
          </rPr>
          <t xml:space="preserve"> </t>
        </r>
        <r>
          <rPr>
            <b/>
            <sz val="14"/>
            <color rgb="FF000000"/>
            <rFont val="Times New Roman"/>
            <family val="18"/>
          </rPr>
          <t>[IR 35]</t>
        </r>
        <r>
          <rPr>
            <sz val="14"/>
            <color rgb="FF000000"/>
            <rFont val="Times New Roman"/>
            <family val="18"/>
          </rPr>
          <t xml:space="preserve"> </t>
        </r>
        <r>
          <rPr>
            <i/>
            <sz val="14"/>
            <color rgb="FF000000"/>
            <rFont val="Times New Roman"/>
            <family val="18"/>
          </rPr>
          <t>zum F</t>
        </r>
        <r>
          <rPr>
            <i/>
            <sz val="14"/>
            <color rgb="FF000000"/>
            <rFont val="Times New Roman"/>
            <family val="18"/>
          </rPr>
          <t>ü</t>
        </r>
        <r>
          <rPr>
            <i/>
            <sz val="14"/>
            <color rgb="FF000000"/>
            <rFont val="Times New Roman"/>
            <family val="18"/>
          </rPr>
          <t>rst Reu</t>
        </r>
        <r>
          <rPr>
            <i/>
            <sz val="14"/>
            <color rgb="FF000000"/>
            <rFont val="Times New Roman"/>
            <family val="18"/>
          </rPr>
          <t>ß</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 xml:space="preserve">11/03/1803 </t>
        </r>
        <r>
          <rPr>
            <i/>
            <sz val="14"/>
            <color rgb="FF000000"/>
            <rFont val="Times New Roman"/>
            <family val="18"/>
          </rPr>
          <t>Mittels Einverständnis der betroffenen Regimenter von da</t>
        </r>
        <r>
          <rPr>
            <sz val="14"/>
            <color rgb="FF000000"/>
            <rFont val="Times New Roman"/>
            <family val="18"/>
          </rPr>
          <t xml:space="preserve"> </t>
        </r>
        <r>
          <rPr>
            <b/>
            <sz val="14"/>
            <color rgb="FF000000"/>
            <rFont val="Times New Roman"/>
            <family val="18"/>
          </rPr>
          <t xml:space="preserve">[IR 17] </t>
        </r>
        <r>
          <rPr>
            <i/>
            <sz val="14"/>
            <color rgb="FF000000"/>
            <rFont val="Times New Roman"/>
            <family val="18"/>
          </rPr>
          <t>anhero</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1804]</t>
        </r>
        <r>
          <rPr>
            <sz val="14"/>
            <color rgb="FF000000"/>
            <rFont val="Times New Roman"/>
            <family val="18"/>
          </rPr>
          <t xml:space="preserve">
</t>
        </r>
        <r>
          <rPr>
            <sz val="14"/>
            <color rgb="FF000000"/>
            <rFont val="Times New Roman"/>
            <family val="18"/>
          </rPr>
          <t>25/08/1804 Muster: IR 11 Haupt Kraus Komp. Nr. 150</t>
        </r>
        <r>
          <rPr>
            <sz val="14"/>
            <color rgb="FF000000"/>
            <rFont val="Times New Roman"/>
            <family val="18"/>
          </rPr>
          <t xml:space="preserve">
</t>
        </r>
        <r>
          <rPr>
            <sz val="14"/>
            <color rgb="FF000000"/>
            <rFont val="Times New Roman"/>
            <family val="18"/>
          </rPr>
          <t xml:space="preserve">02/07/1805 </t>
        </r>
        <r>
          <rPr>
            <i/>
            <sz val="14"/>
            <color rgb="FF000000"/>
            <rFont val="Times New Roman"/>
            <family val="18"/>
          </rPr>
          <t>Gegen Stellung 2 Ausländer Capitulanten mit Abschied entlassen</t>
        </r>
        <r>
          <rPr>
            <sz val="14"/>
            <color rgb="FF000000"/>
            <rFont val="Times New Roman"/>
            <family val="18"/>
          </rPr>
          <t xml:space="preserve"> [ML 1806]</t>
        </r>
      </text>
    </comment>
    <comment ref="BG663" authorId="0" shapeId="0" xr:uid="{F7177436-00C9-984A-874A-5FC5B8477D5F}">
      <text>
        <r>
          <rPr>
            <sz val="14"/>
            <color rgb="FF000000"/>
            <rFont val="Times New Roman"/>
            <family val="18"/>
          </rPr>
          <t>ML 806 IR 11 (1804) – Haupt Kraus Komp. Nr. 150 (Prague 25/08/1804)</t>
        </r>
        <r>
          <rPr>
            <sz val="14"/>
            <color rgb="FF000000"/>
            <rFont val="Times New Roman"/>
            <family val="18"/>
          </rPr>
          <t xml:space="preserve">
</t>
        </r>
        <r>
          <rPr>
            <sz val="14"/>
            <color rgb="FF000000"/>
            <rFont val="Times New Roman"/>
            <family val="18"/>
          </rPr>
          <t>ML 807/8 IR 11 (1806) – 2. Fus. Komp. Komp. Abgang (Prague 23/12/1806)</t>
        </r>
        <r>
          <rPr>
            <sz val="14"/>
            <color rgb="FF000000"/>
            <rFont val="Times New Roman"/>
            <family val="18"/>
          </rPr>
          <t xml:space="preserve">
</t>
        </r>
        <r>
          <rPr>
            <sz val="14"/>
            <color rgb="FF000000"/>
            <rFont val="Times New Roman"/>
            <family val="18"/>
          </rPr>
          <t>ML 841 IR 11 (1803) – ST March (Prague 06/04/1803)</t>
        </r>
      </text>
    </comment>
    <comment ref="BH663" authorId="0" shapeId="0" xr:uid="{A32D6879-89DF-9E41-B494-A47695EBC4E8}">
      <text>
        <r>
          <rPr>
            <sz val="14"/>
            <color rgb="FF000000"/>
            <rFont val="Calibri"/>
            <family val="34"/>
          </rPr>
          <t xml:space="preserve">IR 35 (1800-1802)
</t>
        </r>
        <r>
          <rPr>
            <sz val="14"/>
            <color rgb="FF000000"/>
            <rFont val="Calibri"/>
            <family val="34"/>
          </rPr>
          <t xml:space="preserve">IR 17 (1802-1803)
</t>
        </r>
        <r>
          <rPr>
            <sz val="14"/>
            <color rgb="FF000000"/>
            <rFont val="Calibri"/>
            <family val="34"/>
          </rPr>
          <t>IR 11 (1803-1805)</t>
        </r>
      </text>
    </comment>
    <comment ref="T664" authorId="0" shapeId="0" xr:uid="{E72A987F-F361-FE4D-93A1-201726CC9DB6}">
      <text>
        <r>
          <rPr>
            <sz val="14"/>
            <color rgb="FF000000"/>
            <rFont val="Calibri"/>
            <family val="34"/>
          </rPr>
          <t xml:space="preserve">5.8 [179 cm] [ML 1802-1805]
</t>
        </r>
        <r>
          <rPr>
            <sz val="14"/>
            <color rgb="FF000000"/>
            <rFont val="Calibri"/>
            <family val="34"/>
          </rPr>
          <t>5.5.3 [171.8  [ML 1806]</t>
        </r>
      </text>
    </comment>
    <comment ref="BF664" authorId="0" shapeId="0" xr:uid="{E587EB65-6C78-C342-BF81-97C85F69721C}">
      <text>
        <r>
          <rPr>
            <sz val="14"/>
            <color rgb="FFFF0000"/>
            <rFont val="Times New Roman"/>
            <family val="18"/>
          </rPr>
          <t xml:space="preserve">23/02/1800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26/03/1800 </t>
        </r>
        <r>
          <rPr>
            <i/>
            <sz val="14"/>
            <color rgb="FF000000"/>
            <rFont val="Times New Roman"/>
            <family val="18"/>
          </rPr>
          <t>Von Ständen gestellt und seitdem auf die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10/06/1800 </t>
        </r>
        <r>
          <rPr>
            <i/>
            <sz val="14"/>
            <color rgb="FF000000"/>
            <rFont val="Times New Roman"/>
            <family val="18"/>
          </rPr>
          <t>In Reserve Division eingerückt</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14/07/1800 </t>
        </r>
        <r>
          <rPr>
            <i/>
            <sz val="14"/>
            <color rgb="FF000000"/>
            <rFont val="Times New Roman"/>
            <family val="18"/>
          </rPr>
          <t>Krank auswärts mit Friedensgebühr</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25/07/1800 </t>
        </r>
        <r>
          <rPr>
            <i/>
            <sz val="14"/>
            <color rgb="FF000000"/>
            <rFont val="Times New Roman"/>
            <family val="18"/>
          </rPr>
          <t>Rekonvalesziert</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ObristLt Komp. Transferiert</t>
        </r>
        <r>
          <rPr>
            <sz val="14"/>
            <color rgb="FF000000"/>
            <rFont val="Times New Roman"/>
            <family val="18"/>
          </rPr>
          <t xml:space="preserve"> [ST Dez 1800]</t>
        </r>
        <r>
          <rPr>
            <sz val="14"/>
            <color rgb="FF000000"/>
            <rFont val="Calibri"/>
            <family val="34"/>
          </rPr>
          <t xml:space="preserve">
</t>
        </r>
        <r>
          <rPr>
            <sz val="14"/>
            <color rgb="FF000000"/>
            <rFont val="Times New Roman"/>
            <family val="18"/>
          </rPr>
          <t xml:space="preserve">01/04/1801 </t>
        </r>
        <r>
          <rPr>
            <i/>
            <sz val="14"/>
            <color rgb="FF000000"/>
            <rFont val="Times New Roman"/>
            <family val="18"/>
          </rPr>
          <t>Krank auswärts</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30/04/1801 </t>
        </r>
        <r>
          <rPr>
            <i/>
            <sz val="14"/>
            <color rgb="FF000000"/>
            <rFont val="Times New Roman"/>
            <family val="18"/>
          </rPr>
          <t>Rekonvalesziert</t>
        </r>
        <r>
          <rPr>
            <sz val="14"/>
            <color rgb="FF000000"/>
            <rFont val="Times New Roman"/>
            <family val="18"/>
          </rPr>
          <t xml:space="preserve"> [ST May 1801]</t>
        </r>
        <r>
          <rPr>
            <sz val="14"/>
            <color rgb="FF000000"/>
            <rFont val="Calibri"/>
            <family val="34"/>
          </rPr>
          <t xml:space="preserve">
</t>
        </r>
        <r>
          <rPr>
            <sz val="14"/>
            <color rgb="FF000000"/>
            <rFont val="Times New Roman"/>
            <family val="18"/>
          </rPr>
          <t>28/08/1802 Muster: IR 43 ObristLt Komp. Nr. 108</t>
        </r>
        <r>
          <rPr>
            <sz val="14"/>
            <color rgb="FF000000"/>
            <rFont val="Calibri"/>
            <family val="34"/>
          </rPr>
          <t xml:space="preserve">
</t>
        </r>
        <r>
          <rPr>
            <sz val="14"/>
            <color rgb="FF000000"/>
            <rFont val="Times New Roman"/>
            <family val="18"/>
          </rPr>
          <t>02/11/1803 Muster: IR 43 ObristLt Komp. Nr. 95</t>
        </r>
        <r>
          <rPr>
            <sz val="14"/>
            <color rgb="FF000000"/>
            <rFont val="Calibri"/>
            <family val="34"/>
          </rPr>
          <t xml:space="preserve">
</t>
        </r>
        <r>
          <rPr>
            <sz val="14"/>
            <color rgb="FF000000"/>
            <rFont val="Times New Roman"/>
            <family val="18"/>
          </rPr>
          <t>05/10/1804 Muster: IR 43 ObristLt Komp. Nr. 89</t>
        </r>
        <r>
          <rPr>
            <sz val="14"/>
            <color rgb="FF000000"/>
            <rFont val="Calibri"/>
            <family val="34"/>
          </rPr>
          <t xml:space="preserve">
</t>
        </r>
        <r>
          <rPr>
            <sz val="14"/>
            <color rgb="FF000000"/>
            <rFont val="Times New Roman"/>
            <family val="18"/>
          </rPr>
          <t xml:space="preserve">01/11/1804 </t>
        </r>
        <r>
          <rPr>
            <i/>
            <sz val="14"/>
            <color rgb="FF000000"/>
            <rFont val="Times New Roman"/>
            <family val="18"/>
          </rPr>
          <t>Von ObristLt zu, 1. Grenadier Komp. transferiert</t>
        </r>
        <r>
          <rPr>
            <sz val="14"/>
            <color rgb="FF000000"/>
            <rFont val="Times New Roman"/>
            <family val="18"/>
          </rPr>
          <t xml:space="preserve"> [ML 1805]</t>
        </r>
        <r>
          <rPr>
            <sz val="14"/>
            <color rgb="FF000000"/>
            <rFont val="Calibri"/>
            <family val="34"/>
          </rPr>
          <t xml:space="preserve">
</t>
        </r>
        <r>
          <rPr>
            <sz val="14"/>
            <color rgb="FF000000"/>
            <rFont val="Times New Roman"/>
            <family val="18"/>
          </rPr>
          <t>30/09/1805 Muster: IR 43 1. Grenadier Komp. Nr. 109</t>
        </r>
        <r>
          <rPr>
            <sz val="14"/>
            <color rgb="FF000000"/>
            <rFont val="Calibri"/>
            <family val="34"/>
          </rPr>
          <t xml:space="preserve">
</t>
        </r>
        <r>
          <rPr>
            <sz val="14"/>
            <color rgb="FF000000"/>
            <rFont val="Times New Roman"/>
            <family val="18"/>
          </rPr>
          <t xml:space="preserve">25/04/1806 </t>
        </r>
        <r>
          <rPr>
            <i/>
            <sz val="14"/>
            <color rgb="FF000000"/>
            <rFont val="Times New Roman"/>
            <family val="18"/>
          </rPr>
          <t xml:space="preserve">von IR 43 1. Grenadier Komp. zum IR 13 transferiert und zum 12. Fus. Komp. eingeheilt </t>
        </r>
        <r>
          <rPr>
            <sz val="14"/>
            <color rgb="FF000000"/>
            <rFont val="Times New Roman"/>
            <family val="18"/>
          </rPr>
          <t>[ST May 1806 &amp; ML 1806]</t>
        </r>
        <r>
          <rPr>
            <sz val="14"/>
            <color rgb="FF000000"/>
            <rFont val="Calibri"/>
            <family val="34"/>
          </rPr>
          <t xml:space="preserve">
</t>
        </r>
        <r>
          <rPr>
            <sz val="14"/>
            <color rgb="FF000000"/>
            <rFont val="Times New Roman"/>
            <family val="18"/>
          </rPr>
          <t>12/12/1806 Muster: IR 13 12. Fus. Komp. Nr. 110</t>
        </r>
        <r>
          <rPr>
            <sz val="14"/>
            <color rgb="FF000000"/>
            <rFont val="Calibri"/>
            <family val="34"/>
          </rPr>
          <t xml:space="preserve">
</t>
        </r>
        <r>
          <rPr>
            <sz val="14"/>
            <color rgb="FF000000"/>
            <rFont val="Times New Roman"/>
            <family val="18"/>
          </rPr>
          <t>20/09/1808 Revision: IR 13 12. Fus. Komp. Nr. 72 [</t>
        </r>
        <r>
          <rPr>
            <i/>
            <sz val="14"/>
            <color rgb="FF000000"/>
            <rFont val="Times New Roman"/>
            <family val="18"/>
          </rPr>
          <t>Krank in Spital</t>
        </r>
        <r>
          <rPr>
            <sz val="14"/>
            <color rgb="FF000000"/>
            <rFont val="Times New Roman"/>
            <family val="18"/>
          </rPr>
          <t>]</t>
        </r>
        <r>
          <rPr>
            <sz val="14"/>
            <color rgb="FF000000"/>
            <rFont val="Calibri"/>
            <family val="34"/>
          </rPr>
          <t xml:space="preserve">
</t>
        </r>
        <r>
          <rPr>
            <sz val="14"/>
            <color rgb="FF000000"/>
            <rFont val="Times New Roman"/>
            <family val="18"/>
          </rPr>
          <t xml:space="preserve">26/02/1809 </t>
        </r>
        <r>
          <rPr>
            <i/>
            <sz val="14"/>
            <color rgb="FF000000"/>
            <rFont val="Times New Roman"/>
            <family val="18"/>
          </rPr>
          <t>Von 12. Fus. Komp. zur 1. Gren.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29/05/1809 </t>
        </r>
        <r>
          <rPr>
            <b/>
            <sz val="14"/>
            <color rgb="FF000000"/>
            <rFont val="Times New Roman"/>
            <family val="18"/>
          </rPr>
          <t xml:space="preserve">[Während der Retirade aus Italien] </t>
        </r>
        <r>
          <rPr>
            <i/>
            <sz val="14"/>
            <color rgb="FF000000"/>
            <rFont val="Times New Roman"/>
            <family val="18"/>
          </rPr>
          <t xml:space="preserve">Unwissend Verloren </t>
        </r>
        <r>
          <rPr>
            <sz val="14"/>
            <color rgb="FF000000"/>
            <rFont val="Times New Roman"/>
            <family val="18"/>
          </rPr>
          <t>[ST Mai 1809]</t>
        </r>
        <r>
          <rPr>
            <sz val="14"/>
            <color rgb="FF000000"/>
            <rFont val="Calibri"/>
            <family val="34"/>
          </rPr>
          <t xml:space="preserve">
</t>
        </r>
      </text>
    </comment>
    <comment ref="BG664" authorId="0" shapeId="0" xr:uid="{243E88FC-9FA2-5F4C-90F9-A2A93DBC3B7A}">
      <text>
        <r>
          <rPr>
            <sz val="14"/>
            <color rgb="FF000000"/>
            <rFont val="Times New Roman"/>
            <family val="18"/>
          </rPr>
          <t>ML 10.272 IR 43 (1802) – ObristLt. Komp. Nr. 108 (Zara 11/09/1802)</t>
        </r>
        <r>
          <rPr>
            <sz val="14"/>
            <color rgb="FF000000"/>
            <rFont val="Calibri"/>
            <family val="34"/>
          </rPr>
          <t xml:space="preserve">
</t>
        </r>
        <r>
          <rPr>
            <sz val="14"/>
            <color rgb="FF000000"/>
            <rFont val="Times New Roman"/>
            <family val="18"/>
          </rPr>
          <t>ML 10.273 IR 43 (1803) – ObristLt. Komp. Nr. 95 (Zara 28/09/1803)</t>
        </r>
        <r>
          <rPr>
            <sz val="14"/>
            <color rgb="FF000000"/>
            <rFont val="Calibri"/>
            <family val="34"/>
          </rPr>
          <t xml:space="preserve">
</t>
        </r>
        <r>
          <rPr>
            <sz val="14"/>
            <color rgb="FF000000"/>
            <rFont val="Times New Roman"/>
            <family val="18"/>
          </rPr>
          <t>ML 10.274 IR 43 (1804) – ObristLt. Komp. Nr. 89 (Cattaro 07/10/1804)</t>
        </r>
        <r>
          <rPr>
            <sz val="14"/>
            <color rgb="FF000000"/>
            <rFont val="Calibri"/>
            <family val="34"/>
          </rPr>
          <t xml:space="preserve">
</t>
        </r>
        <r>
          <rPr>
            <sz val="14"/>
            <color rgb="FF000000"/>
            <rFont val="Times New Roman"/>
            <family val="18"/>
          </rPr>
          <t>ML 10.275/6 IR 43 (1805) – 1. Gren. Komp. Nr. 109 (Cattaro (30/09/1805)</t>
        </r>
        <r>
          <rPr>
            <sz val="14"/>
            <color rgb="FF000000"/>
            <rFont val="Calibri"/>
            <family val="34"/>
          </rPr>
          <t xml:space="preserve">
</t>
        </r>
        <r>
          <rPr>
            <sz val="14"/>
            <color rgb="FF000000"/>
            <rFont val="Times New Roman"/>
            <family val="18"/>
          </rPr>
          <t>ML 10/277/8 IR 43 (1806) – 1. Gren. Komp. – Abgang (Laibach 01/12/1806)</t>
        </r>
        <r>
          <rPr>
            <sz val="14"/>
            <color rgb="FF000000"/>
            <rFont val="Calibri"/>
            <family val="34"/>
          </rPr>
          <t xml:space="preserve">
</t>
        </r>
        <r>
          <rPr>
            <sz val="14"/>
            <color rgb="FF000000"/>
            <rFont val="Times New Roman"/>
            <family val="18"/>
          </rPr>
          <t>ML 10.309 IR 43 (1800) – ST Mai (??), Juni (27/08/1803), Juli (24/10/1803), Nov (02/04/1804), Dez (18/08/1804)</t>
        </r>
        <r>
          <rPr>
            <sz val="14"/>
            <color rgb="FF000000"/>
            <rFont val="Calibri"/>
            <family val="34"/>
          </rPr>
          <t xml:space="preserve">
</t>
        </r>
        <r>
          <rPr>
            <sz val="14"/>
            <color rgb="FF000000"/>
            <rFont val="Times New Roman"/>
            <family val="18"/>
          </rPr>
          <t>ML 10.311 IR 43 (1801) – ST April (13/10/1804), Mai (10/03/1805)</t>
        </r>
        <r>
          <rPr>
            <sz val="14"/>
            <color rgb="FF000000"/>
            <rFont val="Calibri"/>
            <family val="34"/>
          </rPr>
          <t xml:space="preserve">
</t>
        </r>
        <r>
          <rPr>
            <sz val="14"/>
            <color rgb="FF000000"/>
            <rFont val="Times New Roman"/>
            <family val="18"/>
          </rPr>
          <t xml:space="preserve">ML 10.050/1 IR 13 (1806): Haupt Pini Komp. Nr. 110 (Görz 12/12/1806) </t>
        </r>
        <r>
          <rPr>
            <sz val="14"/>
            <color rgb="FF000000"/>
            <rFont val="Calibri"/>
            <family val="34"/>
          </rPr>
          <t xml:space="preserve">
</t>
        </r>
        <r>
          <rPr>
            <sz val="14"/>
            <color rgb="FF000000"/>
            <rFont val="Times New Roman"/>
            <family val="18"/>
          </rPr>
          <t>ML 10.052 IR 13 (1808-10): RL (1808) 12. Fus Komp. Nr. 72 (Triest 20/09/1808)</t>
        </r>
        <r>
          <rPr>
            <sz val="14"/>
            <color rgb="FF000000"/>
            <rFont val="Calibri"/>
            <family val="34"/>
          </rPr>
          <t xml:space="preserve">
</t>
        </r>
        <r>
          <rPr>
            <sz val="14"/>
            <color rgb="FF000000"/>
            <rFont val="Times New Roman"/>
            <family val="18"/>
          </rPr>
          <t>ML 10.096 IR 13 (1809): ST Feb (18/05/1809); Mai (28/10/1810)</t>
        </r>
      </text>
    </comment>
    <comment ref="BH664" authorId="0" shapeId="0" xr:uid="{628B587F-7AC5-A74D-8691-A5FDDD18D778}">
      <text>
        <r>
          <rPr>
            <sz val="14"/>
            <color rgb="FF000000"/>
            <rFont val="Calibri"/>
            <family val="34"/>
          </rPr>
          <t xml:space="preserve">IR 43 (1800-1806)
</t>
        </r>
        <r>
          <rPr>
            <sz val="14"/>
            <color rgb="FF000000"/>
            <rFont val="Calibri"/>
            <family val="34"/>
          </rPr>
          <t>IR 13 (1806-1809)</t>
        </r>
      </text>
    </comment>
    <comment ref="BF665" authorId="0" shapeId="0" xr:uid="{637D6AAB-0AAF-AE4B-883B-EB2967147E63}">
      <text>
        <r>
          <rPr>
            <sz val="14"/>
            <color rgb="FF000000"/>
            <rFont val="Times New Roman"/>
            <family val="18"/>
          </rPr>
          <t xml:space="preserve">26/03/1800 </t>
        </r>
        <r>
          <rPr>
            <i/>
            <sz val="14"/>
            <color rgb="FF000000"/>
            <rFont val="Times New Roman"/>
            <family val="18"/>
          </rPr>
          <t>Als landständischer Recrout a 3Fl Handgeld zu Tarnow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13 Haupt Braunitzer Komp. Nr. 53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05/1803 </t>
        </r>
        <r>
          <rPr>
            <i/>
            <sz val="14"/>
            <color rgb="FF000000"/>
            <rFont val="Times New Roman"/>
            <family val="18"/>
          </rPr>
          <t>Statt dem Unterem 15. April zu EH Modena Infanterie gestellte Werbbezirk Rekruten mit Abschied entlassen</t>
        </r>
        <r>
          <rPr>
            <sz val="14"/>
            <color rgb="FF000000"/>
            <rFont val="Times New Roman"/>
            <family val="18"/>
          </rPr>
          <t xml:space="preserve"> [ML 1803] </t>
        </r>
      </text>
    </comment>
    <comment ref="BG665" authorId="0" shapeId="0" xr:uid="{10A05D97-962B-294C-89BF-52ACCE1FDBA9}">
      <text>
        <r>
          <rPr>
            <sz val="14"/>
            <color rgb="FF000000"/>
            <rFont val="Times New Roman"/>
            <family val="18"/>
          </rPr>
          <t>ML 10.045/6 IR 13 (1802) – Haupt Braunitzer Komp. Nr. 53 (Triest 16/09/1802)</t>
        </r>
        <r>
          <rPr>
            <sz val="14"/>
            <color rgb="FF000000"/>
            <rFont val="Times New Roman"/>
            <family val="18"/>
          </rPr>
          <t xml:space="preserve">
</t>
        </r>
        <r>
          <rPr>
            <sz val="14"/>
            <color rgb="FF000000"/>
            <rFont val="Times New Roman"/>
            <family val="18"/>
          </rPr>
          <t>ML 10.047/8 IR 13 (1803) – Haupt Braunitzer Komp. Abgang (Triest 21/09/1803)</t>
        </r>
        <r>
          <rPr>
            <sz val="14"/>
            <color rgb="FF000000"/>
            <rFont val="Times New Roman"/>
            <family val="18"/>
          </rPr>
          <t xml:space="preserve">
</t>
        </r>
      </text>
    </comment>
    <comment ref="BH665" authorId="0" shapeId="0" xr:uid="{06A6DD29-AEFB-A044-B520-7182E0B750F4}">
      <text>
        <r>
          <rPr>
            <sz val="14"/>
            <color rgb="FF000000"/>
            <rFont val="Calibri"/>
            <family val="34"/>
          </rPr>
          <t>IR 13 (1800-1803)</t>
        </r>
      </text>
    </comment>
    <comment ref="T666" authorId="0" shapeId="0" xr:uid="{0D4EE755-F6F6-F44E-A78F-10E4F15AC918}">
      <text>
        <r>
          <rPr>
            <sz val="14"/>
            <color rgb="FF000000"/>
            <rFont val="Calibri"/>
            <family val="34"/>
          </rPr>
          <t xml:space="preserve">5.5.3 [171.81 cm] [AL 1800]
</t>
        </r>
        <r>
          <rPr>
            <sz val="14"/>
            <color rgb="FF000000"/>
            <rFont val="Calibri"/>
            <family val="34"/>
          </rPr>
          <t xml:space="preserve">5.6 [173.78 cm] [ML 1802]
</t>
        </r>
        <r>
          <rPr>
            <sz val="14"/>
            <color rgb="FF000000"/>
            <rFont val="Calibri"/>
            <family val="34"/>
          </rPr>
          <t>5.5.1 [171.3 cm] [ML 1803]</t>
        </r>
      </text>
    </comment>
    <comment ref="BF666" authorId="0" shapeId="0" xr:uid="{734C8819-F478-9C4D-ADB3-F52F666EC094}">
      <text>
        <r>
          <rPr>
            <sz val="14"/>
            <color rgb="FF000000"/>
            <rFont val="Times New Roman"/>
            <family val="18"/>
          </rPr>
          <t>16/09/1802 Muster: IR 23 Haupt Pappius Komp Nr. 106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Pappius Komp Nr. 85 [</t>
        </r>
        <r>
          <rPr>
            <i/>
            <sz val="14"/>
            <color rgb="FF000000"/>
            <rFont val="Times New Roman"/>
            <family val="18"/>
          </rPr>
          <t>Beurlaubt auf bestimmte Zeit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Pappius Komp Nr. 80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Pappius zum Haupt Jordan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r>
          <rPr>
            <sz val="14"/>
            <color rgb="FF000000"/>
            <rFont val="Calibri"/>
            <family val="34"/>
          </rPr>
          <t xml:space="preserve">
</t>
        </r>
      </text>
    </comment>
    <comment ref="BG666" authorId="0" shapeId="0" xr:uid="{28D18EAB-DFBB-7D4E-9739-79078E2A4A2E}">
      <text>
        <r>
          <rPr>
            <sz val="14"/>
            <color rgb="FF000000"/>
            <rFont val="Times New Roman"/>
            <family val="18"/>
          </rPr>
          <t>ML 10.124 IR 23 (1802) – Haupt Pappius Komp. Nr. 106 (Vienna 16/09/1802)</t>
        </r>
        <r>
          <rPr>
            <sz val="14"/>
            <color rgb="FF000000"/>
            <rFont val="Calibri"/>
            <family val="34"/>
          </rPr>
          <t xml:space="preserve">
</t>
        </r>
        <r>
          <rPr>
            <sz val="14"/>
            <color rgb="FF000000"/>
            <rFont val="Times New Roman"/>
            <family val="18"/>
          </rPr>
          <t>ML 10.125 IR 23 (1803) – Haupt Pappius Komp. Nr. 85 (Vienna 13/09/1803)</t>
        </r>
        <r>
          <rPr>
            <sz val="14"/>
            <color rgb="FF000000"/>
            <rFont val="Calibri"/>
            <family val="34"/>
          </rPr>
          <t xml:space="preserve">
</t>
        </r>
        <r>
          <rPr>
            <sz val="14"/>
            <color rgb="FF000000"/>
            <rFont val="Times New Roman"/>
            <family val="18"/>
          </rPr>
          <t>ML 10.126 IR 23 (1804) – Haupt Pappius Komp. Nr. 80 (Krems 06/09/1804)</t>
        </r>
        <r>
          <rPr>
            <sz val="14"/>
            <color rgb="FF000000"/>
            <rFont val="Calibri"/>
            <family val="34"/>
          </rPr>
          <t xml:space="preserve">
</t>
        </r>
        <r>
          <rPr>
            <sz val="14"/>
            <color rgb="FF000000"/>
            <rFont val="Times New Roman"/>
            <family val="18"/>
          </rPr>
          <t>ML 10.127/8 IR 23 (1807) – Haupt Stark Komp. Abgang (Poysdorf 26/01/1807)</t>
        </r>
        <r>
          <rPr>
            <sz val="14"/>
            <color rgb="FF000000"/>
            <rFont val="Calibri"/>
            <family val="34"/>
          </rPr>
          <t xml:space="preserve">
</t>
        </r>
        <r>
          <rPr>
            <sz val="14"/>
            <color rgb="FF000000"/>
            <rFont val="Times New Roman"/>
            <family val="18"/>
          </rPr>
          <t>ML 10.167 IR 23 (1800) AL/TL – AL Nr. 4 (Zolkiew 09/04/1800)</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666" authorId="0" shapeId="0" xr:uid="{88352199-F9A3-E54C-9C56-94C45638F864}">
      <text>
        <r>
          <rPr>
            <sz val="14"/>
            <color rgb="FF000000"/>
            <rFont val="Calibri"/>
            <family val="34"/>
          </rPr>
          <t>IR 23 (1800-1806)</t>
        </r>
      </text>
    </comment>
    <comment ref="BF667" authorId="0" shapeId="0" xr:uid="{53AFD7B6-B682-8E41-9CF7-237B0C1D8541}">
      <text>
        <r>
          <rPr>
            <sz val="14"/>
            <color rgb="FF000000"/>
            <rFont val="Times New Roman"/>
            <family val="18"/>
          </rPr>
          <t xml:space="preserve">28/03/1800 </t>
        </r>
        <r>
          <rPr>
            <i/>
            <sz val="14"/>
            <color rgb="FF000000"/>
            <rFont val="Times New Roman"/>
            <family val="18"/>
          </rPr>
          <t>A 3Fl Handgeld zu Zolkiew in Gallizien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4 1. Major Komp. Nr. 49 [</t>
        </r>
        <r>
          <rPr>
            <i/>
            <sz val="14"/>
            <color rgb="FF000000"/>
            <rFont val="Times New Roman"/>
            <family val="18"/>
          </rPr>
          <t>Beurlaubt in seinem Geburtsort in Galizien</t>
        </r>
        <r>
          <rPr>
            <sz val="14"/>
            <color rgb="FF000000"/>
            <rFont val="Times New Roman"/>
            <family val="18"/>
          </rPr>
          <t>]</t>
        </r>
        <r>
          <rPr>
            <sz val="14"/>
            <color rgb="FF000000"/>
            <rFont val="Aptos"/>
            <family val="34"/>
          </rPr>
          <t xml:space="preserve">
</t>
        </r>
        <r>
          <rPr>
            <sz val="14"/>
            <color rgb="FF000000"/>
            <rFont val="Times New Roman"/>
            <family val="18"/>
          </rPr>
          <t xml:space="preserve">15/07/1804 </t>
        </r>
        <r>
          <rPr>
            <i/>
            <sz val="14"/>
            <color rgb="FF000000"/>
            <rFont val="Times New Roman"/>
            <family val="18"/>
          </rPr>
          <t>Gegen Stellung beyder Ausländer Capitulanten Jan Kaczkosky Wasil Bardaszko und Erlag des doppelten Montours Geld Vermog Verordnung ddeto 5 Juli 1803 von unbestimte Urlaub mit Abschied entlassen</t>
        </r>
        <r>
          <rPr>
            <sz val="14"/>
            <color rgb="FF000000"/>
            <rFont val="Times New Roman"/>
            <family val="18"/>
          </rPr>
          <t xml:space="preserve"> [ST July 1804] 
</t>
        </r>
      </text>
    </comment>
    <comment ref="BG667" authorId="0" shapeId="0" xr:uid="{222E7B71-EDD1-8B47-86F3-D1D89C73CF48}">
      <text>
        <r>
          <rPr>
            <sz val="14"/>
            <color rgb="FF000000"/>
            <rFont val="Times New Roman"/>
            <family val="18"/>
          </rPr>
          <t>ML 348 IR 4 (1803) – 1. Major Komp. Nr. 49 (Vienna 14/09/1803)</t>
        </r>
        <r>
          <rPr>
            <sz val="14"/>
            <color rgb="FF000000"/>
            <rFont val="Aptos"/>
            <family val="34"/>
          </rPr>
          <t xml:space="preserve">
</t>
        </r>
        <r>
          <rPr>
            <sz val="14"/>
            <color rgb="FF000000"/>
            <rFont val="Times New Roman"/>
            <family val="18"/>
          </rPr>
          <t>ML 383 IR 4 (1804) – ST July (Vienna 18/08/1804)</t>
        </r>
        <r>
          <rPr>
            <sz val="14"/>
            <color rgb="FF000000"/>
            <rFont val="Aptos"/>
            <family val="34"/>
          </rPr>
          <t xml:space="preserve">
</t>
        </r>
      </text>
    </comment>
    <comment ref="BH667" authorId="0" shapeId="0" xr:uid="{18D5615A-2494-D04C-B8D2-11EB6ECCF4F4}">
      <text>
        <r>
          <rPr>
            <sz val="14"/>
            <color rgb="FF000000"/>
            <rFont val="Calibri"/>
            <family val="34"/>
          </rPr>
          <t>IR 4 (1800-1804)</t>
        </r>
      </text>
    </comment>
    <comment ref="BF668" authorId="0" shapeId="0" xr:uid="{81936FE9-C166-8244-893C-29A158FEF949}">
      <text>
        <r>
          <rPr>
            <sz val="14"/>
            <color rgb="FF000000"/>
            <rFont val="Times New Roman"/>
            <family val="18"/>
          </rPr>
          <t xml:space="preserve">01/04/1800 </t>
        </r>
        <r>
          <rPr>
            <i/>
            <sz val="14"/>
            <color rgb="FF000000"/>
            <rFont val="Times New Roman"/>
            <family val="18"/>
          </rPr>
          <t>Auf Kriegsdauer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26/10/1802 </t>
        </r>
        <r>
          <rPr>
            <i/>
            <sz val="14"/>
            <color rgb="FF000000"/>
            <rFont val="Times New Roman"/>
            <family val="18"/>
          </rPr>
          <t>Von Haupt Schuller zum 1. Grenadier Komp. transferiert</t>
        </r>
        <r>
          <rPr>
            <sz val="14"/>
            <color rgb="FF000000"/>
            <rFont val="Times New Roman"/>
            <family val="18"/>
          </rPr>
          <t xml:space="preserve"> [ST Okt 1802]</t>
        </r>
        <r>
          <rPr>
            <sz val="14"/>
            <color rgb="FF000000"/>
            <rFont val="Calibri"/>
            <family val="34"/>
          </rPr>
          <t xml:space="preserve">
</t>
        </r>
        <r>
          <rPr>
            <sz val="14"/>
            <color rgb="FF000000"/>
            <rFont val="Times New Roman"/>
            <family val="18"/>
          </rPr>
          <t>09/09/1803 Muster: IR 39 1. Gren. Komp. Nr. 114</t>
        </r>
        <r>
          <rPr>
            <sz val="14"/>
            <color rgb="FF000000"/>
            <rFont val="Calibri"/>
            <family val="34"/>
          </rPr>
          <t xml:space="preserve">
</t>
        </r>
        <r>
          <rPr>
            <sz val="14"/>
            <color rgb="FF000000"/>
            <rFont val="Times New Roman"/>
            <family val="18"/>
          </rPr>
          <t>24/05/1804 Muster: IR 38 1. Gren. Komp. Nr. 104</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23/01/1807 Revision: IR 39 1. Gren. Komp. Nr. 10</t>
        </r>
        <r>
          <rPr>
            <sz val="14"/>
            <color rgb="FF000000"/>
            <rFont val="Calibri"/>
            <family val="34"/>
          </rPr>
          <t xml:space="preserve">
</t>
        </r>
        <r>
          <rPr>
            <sz val="14"/>
            <color rgb="FF000000"/>
            <rFont val="Times New Roman"/>
            <family val="18"/>
          </rPr>
          <t xml:space="preserve">10/03/1807 </t>
        </r>
        <r>
          <rPr>
            <i/>
            <sz val="14"/>
            <color rgb="FF000000"/>
            <rFont val="Times New Roman"/>
            <family val="18"/>
          </rPr>
          <t>Gegen Stellung Anderer Mannes mit Abschied entlassen</t>
        </r>
        <r>
          <rPr>
            <sz val="14"/>
            <color rgb="FF000000"/>
            <rFont val="Times New Roman"/>
            <family val="18"/>
          </rPr>
          <t xml:space="preserve"> [RL 1808]
</t>
        </r>
      </text>
    </comment>
    <comment ref="BG668" authorId="0" shapeId="0" xr:uid="{FB292B28-C513-CC43-A247-A693EC4428EE}">
      <text>
        <r>
          <rPr>
            <sz val="14"/>
            <color rgb="FF000000"/>
            <rFont val="Times New Roman"/>
            <family val="18"/>
          </rPr>
          <t>ML 3497 IR 39 (1803) – 1. Gren. Komp. Nr. 114 (Venice 09/09/1803)</t>
        </r>
        <r>
          <rPr>
            <sz val="14"/>
            <color rgb="FF000000"/>
            <rFont val="Calibri"/>
            <family val="34"/>
          </rPr>
          <t xml:space="preserve">
</t>
        </r>
        <r>
          <rPr>
            <sz val="14"/>
            <color rgb="FF000000"/>
            <rFont val="Times New Roman"/>
            <family val="18"/>
          </rPr>
          <t>ML 3498 IR 39 (1804) – 1. Gren. Komp. Nr. 104 (Lido 24/05/1804)</t>
        </r>
        <r>
          <rPr>
            <sz val="14"/>
            <color rgb="FF000000"/>
            <rFont val="Calibri"/>
            <family val="34"/>
          </rPr>
          <t xml:space="preserve">
</t>
        </r>
        <r>
          <rPr>
            <sz val="14"/>
            <color rgb="FF000000"/>
            <rFont val="Times New Roman"/>
            <family val="18"/>
          </rPr>
          <t>ML 3499 IR 39 (1807) – 1. Gren. Komp. Nr. 10 (Letschau 23/01/1807)</t>
        </r>
        <r>
          <rPr>
            <sz val="14"/>
            <color rgb="FF000000"/>
            <rFont val="Calibri"/>
            <family val="34"/>
          </rPr>
          <t xml:space="preserve">
</t>
        </r>
        <r>
          <rPr>
            <sz val="14"/>
            <color rgb="FF000000"/>
            <rFont val="Times New Roman"/>
            <family val="18"/>
          </rPr>
          <t>ML 3500 IR 39 (1808-10) – RL 1808 1. Gren. Komp. – Abgang (Comorn 19/09/1808)</t>
        </r>
        <r>
          <rPr>
            <sz val="14"/>
            <color rgb="FF000000"/>
            <rFont val="Calibri"/>
            <family val="34"/>
          </rPr>
          <t xml:space="preserve">
</t>
        </r>
        <r>
          <rPr>
            <sz val="14"/>
            <color rgb="FF000000"/>
            <rFont val="Times New Roman"/>
            <family val="18"/>
          </rPr>
          <t>ML 3543 IR 39 (1802) –ST Okt (Padua 15/11/1802)</t>
        </r>
        <r>
          <rPr>
            <sz val="14"/>
            <color rgb="FF000000"/>
            <rFont val="Calibri"/>
            <family val="34"/>
          </rPr>
          <t xml:space="preserve">
</t>
        </r>
        <r>
          <rPr>
            <sz val="14"/>
            <color rgb="FF000000"/>
            <rFont val="Times New Roman"/>
            <family val="18"/>
          </rPr>
          <t>ML 3546 IR 39 (1805) – ST September (Stuhlweißenburg 15/07/1806)</t>
        </r>
        <r>
          <rPr>
            <sz val="14"/>
            <color rgb="FF000000"/>
            <rFont val="Calibri"/>
            <family val="34"/>
          </rPr>
          <t xml:space="preserve">
</t>
        </r>
      </text>
    </comment>
    <comment ref="BH668" authorId="0" shapeId="0" xr:uid="{BB34DF9E-3CE5-DE41-9316-80EA3EBC29E3}">
      <text>
        <r>
          <rPr>
            <sz val="14"/>
            <color rgb="FF000000"/>
            <rFont val="Calibri"/>
            <family val="34"/>
          </rPr>
          <t>IR 39 (1800-1807)</t>
        </r>
      </text>
    </comment>
    <comment ref="BF669" authorId="0" shapeId="0" xr:uid="{B9EE6FF5-A0DC-4C49-99AF-964E74049C8B}">
      <text>
        <r>
          <rPr>
            <sz val="14"/>
            <color rgb="FF000000"/>
            <rFont val="Times New Roman"/>
            <family val="18"/>
          </rPr>
          <t xml:space="preserve">01/04/1800 </t>
        </r>
        <r>
          <rPr>
            <i/>
            <sz val="14"/>
            <color rgb="FF000000"/>
            <rFont val="Times New Roman"/>
            <family val="18"/>
          </rPr>
          <t>in Galizien ausgehoben und zum IR 43 zum Sandomierz assentiert 3Fl</t>
        </r>
        <r>
          <rPr>
            <sz val="14"/>
            <color rgb="FF000000"/>
            <rFont val="Times New Roman"/>
            <family val="18"/>
          </rPr>
          <t xml:space="preserve"> [ST Mai 1800]
</t>
        </r>
        <r>
          <rPr>
            <sz val="14"/>
            <color rgb="FF000000"/>
            <rFont val="Times New Roman"/>
            <family val="18"/>
          </rPr>
          <t xml:space="preserve">20/05/1800 </t>
        </r>
        <r>
          <rPr>
            <i/>
            <sz val="14"/>
            <color rgb="FF000000"/>
            <rFont val="Times New Roman"/>
            <family val="18"/>
          </rPr>
          <t>vermog hoher General Commando Verordnung det. Krakau den 24. May 1800 mit Laufpass entlassen</t>
        </r>
        <r>
          <rPr>
            <sz val="14"/>
            <color rgb="FF000000"/>
            <rFont val="Times New Roman"/>
            <family val="18"/>
          </rPr>
          <t xml:space="preserve"> [ST Mai 1800]
</t>
        </r>
      </text>
    </comment>
    <comment ref="BG669" authorId="0" shapeId="0" xr:uid="{EADCD27A-F6EA-EB4F-96EA-B057E8BAB955}">
      <text>
        <r>
          <rPr>
            <sz val="14"/>
            <color rgb="FF000000"/>
            <rFont val="Times New Roman"/>
            <family val="18"/>
          </rPr>
          <t>ML 10.309 IR 43 (1800) – ST May (????)</t>
        </r>
      </text>
    </comment>
    <comment ref="BH669" authorId="0" shapeId="0" xr:uid="{94342470-0CB4-2341-A9D4-CBB03B53932C}">
      <text>
        <r>
          <rPr>
            <sz val="14"/>
            <color rgb="FF000000"/>
            <rFont val="Calibri"/>
            <family val="34"/>
          </rPr>
          <t>IR 43 (1800)</t>
        </r>
      </text>
    </comment>
    <comment ref="BF670" authorId="0" shapeId="0" xr:uid="{3CB3BE60-371D-DE4A-97DF-851B616EF447}">
      <text>
        <r>
          <rPr>
            <sz val="14"/>
            <color rgb="FF000000"/>
            <rFont val="Times New Roman"/>
            <family val="18"/>
          </rPr>
          <t xml:space="preserve">01/04/1800 </t>
        </r>
        <r>
          <rPr>
            <i/>
            <sz val="14"/>
            <color rgb="FF000000"/>
            <rFont val="Times New Roman"/>
            <family val="18"/>
          </rPr>
          <t>in Galizien ausgehoben und zum IR 43 zum Sandomierz assentiert 3Fl</t>
        </r>
        <r>
          <rPr>
            <sz val="14"/>
            <color rgb="FF000000"/>
            <rFont val="Times New Roman"/>
            <family val="18"/>
          </rPr>
          <t xml:space="preserve"> [ST Mai 1800]
</t>
        </r>
        <r>
          <rPr>
            <sz val="14"/>
            <color rgb="FF000000"/>
            <rFont val="Times New Roman"/>
            <family val="18"/>
          </rPr>
          <t xml:space="preserve">10/05/1800 </t>
        </r>
        <r>
          <rPr>
            <i/>
            <sz val="14"/>
            <color rgb="FF000000"/>
            <rFont val="Times New Roman"/>
            <family val="18"/>
          </rPr>
          <t>vermog hoher General Commando Verordnung det. Krakau den 17. May 1800 mit Laufpass entlassen</t>
        </r>
        <r>
          <rPr>
            <sz val="14"/>
            <color rgb="FF000000"/>
            <rFont val="Times New Roman"/>
            <family val="18"/>
          </rPr>
          <t xml:space="preserve"> [ST Mai 1800]
</t>
        </r>
      </text>
    </comment>
    <comment ref="BG670" authorId="0" shapeId="0" xr:uid="{84D5B7A7-8AC5-5B42-818B-EFC8E9836870}">
      <text>
        <r>
          <rPr>
            <sz val="14"/>
            <color rgb="FF000000"/>
            <rFont val="Times New Roman"/>
            <family val="18"/>
          </rPr>
          <t>ML 10.309 IR 43 (1800) – ST May (????)</t>
        </r>
      </text>
    </comment>
    <comment ref="BH670" authorId="0" shapeId="0" xr:uid="{9B9CD17D-295B-F84E-B9E4-C670071391F7}">
      <text>
        <r>
          <rPr>
            <sz val="14"/>
            <color rgb="FF000000"/>
            <rFont val="Calibri"/>
            <family val="34"/>
          </rPr>
          <t>IR 43 (1800)</t>
        </r>
      </text>
    </comment>
    <comment ref="BF671" authorId="0" shapeId="0" xr:uid="{E667081A-41B5-EC4A-A535-DEAB58EB30D0}">
      <text>
        <r>
          <rPr>
            <sz val="14"/>
            <color rgb="FF000000"/>
            <rFont val="Times New Roman"/>
            <family val="18"/>
          </rPr>
          <t xml:space="preserve">01/04/1800 </t>
        </r>
        <r>
          <rPr>
            <i/>
            <sz val="14"/>
            <color rgb="FF000000"/>
            <rFont val="Times New Roman"/>
            <family val="18"/>
          </rPr>
          <t xml:space="preserve">Von Land gestellt und zum IR 1 a 3Fl 4. Bataillon 4. Vacante [Dietlinger] Komp als Inländer assentiert </t>
        </r>
        <r>
          <rPr>
            <sz val="14"/>
            <color rgb="FF000000"/>
            <rFont val="Times New Roman"/>
            <family val="18"/>
          </rPr>
          <t>[AL April 1800]</t>
        </r>
        <r>
          <rPr>
            <sz val="14"/>
            <color rgb="FF000000"/>
            <rFont val="Calibri"/>
            <family val="34"/>
          </rPr>
          <t xml:space="preserve">
</t>
        </r>
        <r>
          <rPr>
            <sz val="14"/>
            <color rgb="FF000000"/>
            <rFont val="Times New Roman"/>
            <family val="18"/>
          </rPr>
          <t xml:space="preserve">13/09/1803 Muster: IR 1 Haupt Hardy Komp. Nr. 119 [Kommandiert </t>
        </r>
        <r>
          <rPr>
            <i/>
            <sz val="14"/>
            <color rgb="FF000000"/>
            <rFont val="Times New Roman"/>
            <family val="18"/>
          </rPr>
          <t>Beurlaubt auf Straßenbau in Österreich</t>
        </r>
        <r>
          <rPr>
            <sz val="14"/>
            <color rgb="FF000000"/>
            <rFont val="Times New Roman"/>
            <family val="18"/>
          </rPr>
          <t xml:space="preserve">] </t>
        </r>
        <r>
          <rPr>
            <sz val="14"/>
            <color rgb="FF000000"/>
            <rFont val="Calibri"/>
            <family val="34"/>
          </rPr>
          <t xml:space="preserve">
</t>
        </r>
        <r>
          <rPr>
            <sz val="14"/>
            <color rgb="FF000000"/>
            <rFont val="Times New Roman"/>
            <family val="18"/>
          </rPr>
          <t>20/08/1804 Muster: IR 1 Haupt Hardy Komp. Nr. 113</t>
        </r>
        <r>
          <rPr>
            <sz val="14"/>
            <color rgb="FF000000"/>
            <rFont val="Calibri"/>
            <family val="34"/>
          </rPr>
          <t xml:space="preserve">
</t>
        </r>
        <r>
          <rPr>
            <sz val="14"/>
            <color rgb="FF000000"/>
            <rFont val="Times New Roman"/>
            <family val="18"/>
          </rPr>
          <t xml:space="preserve">20/10/1805 </t>
        </r>
        <r>
          <rPr>
            <b/>
            <i/>
            <sz val="14"/>
            <color rgb="FF000000"/>
            <rFont val="Times New Roman"/>
            <family val="18"/>
          </rPr>
          <t xml:space="preserve">In Festung Ulm in </t>
        </r>
        <r>
          <rPr>
            <i/>
            <sz val="14"/>
            <color rgb="FF000000"/>
            <rFont val="Times New Roman"/>
            <family val="18"/>
          </rPr>
          <t>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In 12/1805 </t>
        </r>
        <r>
          <rPr>
            <i/>
            <sz val="14"/>
            <color rgb="FF000000"/>
            <rFont val="Times New Roman"/>
            <family val="18"/>
          </rPr>
          <t>mit Unbewusste Datum Auswärts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1 Haupt Hardy Komp. Nr. 66</t>
        </r>
        <r>
          <rPr>
            <sz val="14"/>
            <color rgb="FF000000"/>
            <rFont val="Calibri"/>
            <family val="34"/>
          </rPr>
          <t xml:space="preserve">
</t>
        </r>
        <r>
          <rPr>
            <sz val="14"/>
            <color rgb="FF000000"/>
            <rFont val="Times New Roman"/>
            <family val="18"/>
          </rPr>
          <t xml:space="preserve">26/04/1809 </t>
        </r>
        <r>
          <rPr>
            <i/>
            <sz val="14"/>
            <color rgb="FF000000"/>
            <rFont val="Times New Roman"/>
            <family val="18"/>
          </rPr>
          <t xml:space="preserve">Von 8. Zum 14. Fus. Komp. transferiert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2.</t>
        </r>
        <r>
          <rPr>
            <sz val="14"/>
            <color rgb="FF000000"/>
            <rFont val="Times New Roman"/>
            <family val="18"/>
          </rPr>
          <t xml:space="preserve"> [14.] </t>
        </r>
        <r>
          <rPr>
            <i/>
            <sz val="14"/>
            <color rgb="FF000000"/>
            <rFont val="Times New Roman"/>
            <family val="18"/>
          </rPr>
          <t>zum  1.</t>
        </r>
        <r>
          <rPr>
            <sz val="14"/>
            <color rgb="FF000000"/>
            <rFont val="Times New Roman"/>
            <family val="18"/>
          </rPr>
          <t xml:space="preserve"> [13] </t>
        </r>
        <r>
          <rPr>
            <i/>
            <sz val="14"/>
            <color rgb="FF000000"/>
            <rFont val="Times New Roman"/>
            <family val="18"/>
          </rPr>
          <t>Fus. Komp. transferiert</t>
        </r>
        <r>
          <rPr>
            <sz val="14"/>
            <color rgb="FF000000"/>
            <rFont val="Times New Roman"/>
            <family val="18"/>
          </rPr>
          <t xml:space="preserve"> [ML 1811 &amp; ST May 1809]</t>
        </r>
        <r>
          <rPr>
            <sz val="14"/>
            <color rgb="FF000000"/>
            <rFont val="Calibri"/>
            <family val="34"/>
          </rPr>
          <t xml:space="preserve">
</t>
        </r>
        <r>
          <rPr>
            <sz val="14"/>
            <color rgb="FF000000"/>
            <rFont val="Times New Roman"/>
            <family val="18"/>
          </rPr>
          <t xml:space="preserve">21/05/1809 </t>
        </r>
        <r>
          <rPr>
            <i/>
            <sz val="14"/>
            <color rgb="FF000000"/>
            <rFont val="Times New Roman"/>
            <family val="18"/>
          </rPr>
          <t>Von 1. Zum neu errichtete 7. Fus. Komp. transferiert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17/05/1810 </t>
        </r>
        <r>
          <rPr>
            <i/>
            <sz val="14"/>
            <color rgb="FF000000"/>
            <rFont val="Times New Roman"/>
            <family val="18"/>
          </rPr>
          <t xml:space="preserve">Krank in Kloster Hradisch </t>
        </r>
        <r>
          <rPr>
            <sz val="14"/>
            <color rgb="FF000000"/>
            <rFont val="Times New Roman"/>
            <family val="18"/>
          </rPr>
          <t>[ST May 1810]</t>
        </r>
        <r>
          <rPr>
            <sz val="14"/>
            <color rgb="FF000000"/>
            <rFont val="Calibri"/>
            <family val="34"/>
          </rPr>
          <t xml:space="preserve">
</t>
        </r>
        <r>
          <rPr>
            <sz val="14"/>
            <color rgb="FF000000"/>
            <rFont val="Times New Roman"/>
            <family val="18"/>
          </rPr>
          <t xml:space="preserve">15/06/1810 </t>
        </r>
        <r>
          <rPr>
            <i/>
            <sz val="14"/>
            <color rgb="FF000000"/>
            <rFont val="Times New Roman"/>
            <family val="18"/>
          </rPr>
          <t xml:space="preserve">Rekonvalesziert </t>
        </r>
        <r>
          <rPr>
            <sz val="14"/>
            <color rgb="FF000000"/>
            <rFont val="Times New Roman"/>
            <family val="18"/>
          </rPr>
          <t>[ST June 1810]</t>
        </r>
        <r>
          <rPr>
            <sz val="14"/>
            <color rgb="FF000000"/>
            <rFont val="Calibri"/>
            <family val="34"/>
          </rPr>
          <t xml:space="preserve">
</t>
        </r>
        <r>
          <rPr>
            <sz val="14"/>
            <color rgb="FF000000"/>
            <rFont val="Times New Roman"/>
            <family val="18"/>
          </rPr>
          <t xml:space="preserve">31/08/1810 </t>
        </r>
        <r>
          <rPr>
            <i/>
            <sz val="14"/>
            <color rgb="FF000000"/>
            <rFont val="Times New Roman"/>
            <family val="18"/>
          </rPr>
          <t>In Folge hoher General Commando Verordnung ddt. Brünn am 16. Mai 810 Nr. 4492 als aus abgetrennten Provinzen gebürtig mit Abschied entlassen</t>
        </r>
        <r>
          <rPr>
            <sz val="14"/>
            <color rgb="FF000000"/>
            <rFont val="Times New Roman"/>
            <family val="18"/>
          </rPr>
          <t xml:space="preserve"> [ST Aug 1810] </t>
        </r>
        <r>
          <rPr>
            <sz val="14"/>
            <color rgb="FF000000"/>
            <rFont val="Calibri"/>
            <family val="34"/>
          </rPr>
          <t xml:space="preserve">
</t>
        </r>
      </text>
    </comment>
    <comment ref="BG671" authorId="0" shapeId="0" xr:uid="{BA227A16-CFC5-714A-8DE7-B1F90116A0B7}">
      <text>
        <r>
          <rPr>
            <sz val="14"/>
            <color rgb="FF000000"/>
            <rFont val="Times New Roman"/>
            <family val="18"/>
          </rPr>
          <t>ML 29 IR 1 (1803) – Haupt Hardy Komp. Nr. 119 (Karthaus nächst Brünn 13/09/1803)</t>
        </r>
        <r>
          <rPr>
            <sz val="14"/>
            <color rgb="FF000000"/>
            <rFont val="Calibri"/>
            <family val="34"/>
          </rPr>
          <t xml:space="preserve">
</t>
        </r>
        <r>
          <rPr>
            <sz val="14"/>
            <color rgb="FF000000"/>
            <rFont val="Times New Roman"/>
            <family val="18"/>
          </rPr>
          <t>ML 30 IR 1 (1804) – Haupt Hardy Komp. Nr. 113 (Karthaus nächst Brünn 20/08/1804)</t>
        </r>
        <r>
          <rPr>
            <sz val="14"/>
            <color rgb="FF000000"/>
            <rFont val="Calibri"/>
            <family val="34"/>
          </rPr>
          <t xml:space="preserve">
</t>
        </r>
        <r>
          <rPr>
            <sz val="14"/>
            <color rgb="FF000000"/>
            <rFont val="Times New Roman"/>
            <family val="18"/>
          </rPr>
          <t>ML 31/2 IR 1 (1806) – Haupt Hardy Komp. Nr. 66 (Brünn 15/12/1806)</t>
        </r>
        <r>
          <rPr>
            <sz val="14"/>
            <color rgb="FF000000"/>
            <rFont val="Calibri"/>
            <family val="34"/>
          </rPr>
          <t xml:space="preserve">
</t>
        </r>
        <r>
          <rPr>
            <sz val="14"/>
            <color rgb="FF000000"/>
            <rFont val="Times New Roman"/>
            <family val="18"/>
          </rPr>
          <t>ML 75 IR 1 (1800) – AL Nr. 42 (Zamosc 29/04/1800)</t>
        </r>
        <r>
          <rPr>
            <sz val="14"/>
            <color rgb="FF000000"/>
            <rFont val="Calibri"/>
            <family val="34"/>
          </rPr>
          <t xml:space="preserve">
</t>
        </r>
        <r>
          <rPr>
            <sz val="14"/>
            <color rgb="FF000000"/>
            <rFont val="Times New Roman"/>
            <family val="18"/>
          </rPr>
          <t>ML 91 IR 1 (1809) – ST Jan April (Proßnitz 26/07/1810), May (Proßnitz 09/1810)</t>
        </r>
        <r>
          <rPr>
            <sz val="14"/>
            <color rgb="FF000000"/>
            <rFont val="Calibri"/>
            <family val="34"/>
          </rPr>
          <t xml:space="preserve">
</t>
        </r>
        <r>
          <rPr>
            <sz val="14"/>
            <color rgb="FF000000"/>
            <rFont val="Times New Roman"/>
            <family val="18"/>
          </rPr>
          <t>ML 94 IR 1 (1810) – ST May (Brünn 20/03/1811), June (Brünn 20/03/1811), Sept (Brünn 17/04/1811)</t>
        </r>
        <r>
          <rPr>
            <sz val="14"/>
            <color rgb="FF000000"/>
            <rFont val="Calibri"/>
            <family val="34"/>
          </rPr>
          <t xml:space="preserve">
</t>
        </r>
      </text>
    </comment>
    <comment ref="BH671" authorId="0" shapeId="0" xr:uid="{AD9651DF-C2D4-F04F-8233-8DFF624D3005}">
      <text>
        <r>
          <rPr>
            <sz val="14"/>
            <color rgb="FF000000"/>
            <rFont val="Calibri"/>
            <family val="34"/>
          </rPr>
          <t>IR 1 (1800-1810)</t>
        </r>
      </text>
    </comment>
    <comment ref="BF672" authorId="0" shapeId="0" xr:uid="{989BF2E4-B1A3-F744-A2FA-23C230B13C6E}">
      <text>
        <r>
          <rPr>
            <sz val="14"/>
            <color rgb="FF000000"/>
            <rFont val="Times New Roman"/>
            <family val="18"/>
          </rPr>
          <t xml:space="preserve">02/04/1800 </t>
        </r>
        <r>
          <rPr>
            <i/>
            <sz val="14"/>
            <color rgb="FF000000"/>
            <rFont val="Times New Roman"/>
            <family val="18"/>
          </rPr>
          <t>Zu Zolkiew gegen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Pappius Komp Nr. 98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Gegen 2 gestellt capitulierte Ausländer Rekruten mit Abschied entlassen</t>
        </r>
        <r>
          <rPr>
            <sz val="14"/>
            <color rgb="FF000000"/>
            <rFont val="Times New Roman"/>
            <family val="18"/>
          </rPr>
          <t xml:space="preserve"> [ML 1803]</t>
        </r>
        <r>
          <rPr>
            <sz val="14"/>
            <color rgb="FF000000"/>
            <rFont val="Calibri"/>
            <family val="2"/>
          </rPr>
          <t xml:space="preserve"> </t>
        </r>
      </text>
    </comment>
    <comment ref="BG672" authorId="0" shapeId="0" xr:uid="{3B50AFE0-7C20-B444-B529-AF0E2B592A99}">
      <text>
        <r>
          <rPr>
            <sz val="14"/>
            <color rgb="FF000000"/>
            <rFont val="Times New Roman"/>
            <family val="18"/>
          </rPr>
          <t>ML 10.124 IR 23 (1802) – Haupt Pappius Komp. Nr. 98 (Vienna 16/09/1802)</t>
        </r>
        <r>
          <rPr>
            <sz val="14"/>
            <color rgb="FF000000"/>
            <rFont val="Calibri"/>
            <family val="34"/>
          </rPr>
          <t xml:space="preserve">
</t>
        </r>
        <r>
          <rPr>
            <sz val="14"/>
            <color rgb="FF000000"/>
            <rFont val="Times New Roman"/>
            <family val="18"/>
          </rPr>
          <t>ML 10.125 IR 23 (1803) – Haupt Pappius Komp. Abgang (Vienna 13/09/1803)</t>
        </r>
        <r>
          <rPr>
            <sz val="14"/>
            <color rgb="FF000000"/>
            <rFont val="Calibri"/>
            <family val="34"/>
          </rPr>
          <t xml:space="preserve">
</t>
        </r>
        <r>
          <rPr>
            <sz val="14"/>
            <color rgb="FF000000"/>
            <rFont val="Times New Roman"/>
            <family val="18"/>
          </rPr>
          <t>ML 10.167 IR 23 (1800) AL/TL – AL Nr. 39 (Zolkiew 09/04/1800)</t>
        </r>
      </text>
    </comment>
    <comment ref="BH672" authorId="0" shapeId="0" xr:uid="{6F7BE69C-C7EC-D147-8046-821E3D306719}">
      <text>
        <r>
          <rPr>
            <sz val="14"/>
            <color rgb="FF000000"/>
            <rFont val="Calibri"/>
            <family val="34"/>
          </rPr>
          <t>IR 43 (1800-1803)</t>
        </r>
      </text>
    </comment>
    <comment ref="BF673" authorId="0" shapeId="0" xr:uid="{15E8E46E-03B1-7042-8521-C1D8797B5437}">
      <text>
        <r>
          <rPr>
            <sz val="14"/>
            <color rgb="FF000000"/>
            <rFont val="Times New Roman"/>
            <family val="18"/>
          </rPr>
          <t xml:space="preserve">02/04/1800 </t>
        </r>
        <r>
          <rPr>
            <i/>
            <sz val="14"/>
            <color rgb="FF000000"/>
            <rFont val="Times New Roman"/>
            <family val="18"/>
          </rPr>
          <t>in Galizien ausgehoben a 3Fl und zu Sandomierz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G673" authorId="0" shapeId="0" xr:uid="{0A7741B1-3773-D04F-8A7D-0689E845D8AD}">
      <text>
        <r>
          <rPr>
            <sz val="14"/>
            <color rgb="FF000000"/>
            <rFont val="Times New Roman"/>
            <family val="18"/>
          </rPr>
          <t xml:space="preserve">02/04/1800 </t>
        </r>
        <r>
          <rPr>
            <i/>
            <sz val="14"/>
            <color rgb="FF000000"/>
            <rFont val="Times New Roman"/>
            <family val="18"/>
          </rPr>
          <t>in Galizien ausgehoben a 3Fl und zu Sandomierz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H673" authorId="0" shapeId="0" xr:uid="{FD4ABE91-337F-DB49-B756-FCB1A0EDB8AE}">
      <text>
        <r>
          <rPr>
            <sz val="14"/>
            <color rgb="FF000000"/>
            <rFont val="Calibri"/>
            <family val="34"/>
          </rPr>
          <t>IR 43 (1800)</t>
        </r>
      </text>
    </comment>
    <comment ref="T674" authorId="0" shapeId="0" xr:uid="{B064439C-FF3C-CE42-B2C3-C50C7685C3F0}">
      <text>
        <r>
          <rPr>
            <sz val="14"/>
            <color rgb="FF000000"/>
            <rFont val="Calibri"/>
            <family val="34"/>
          </rPr>
          <t xml:space="preserve">5.2.1 [163.48 cm] [ML 1802]
</t>
        </r>
        <r>
          <rPr>
            <sz val="14"/>
            <color rgb="FF000000"/>
            <rFont val="Calibri"/>
            <family val="34"/>
          </rPr>
          <t>5.2.2 [163.7  [ML 1803-4]</t>
        </r>
      </text>
    </comment>
    <comment ref="BF674" authorId="0" shapeId="0" xr:uid="{6E1F8E63-34A8-3848-A5A3-165340460A60}">
      <text>
        <r>
          <rPr>
            <sz val="14"/>
            <color rgb="FFFF0000"/>
            <rFont val="Times New Roman"/>
            <family val="18"/>
          </rPr>
          <t xml:space="preserve">26/02/1799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02/04/1800 </t>
        </r>
        <r>
          <rPr>
            <i/>
            <sz val="14"/>
            <color rgb="FF000000"/>
            <rFont val="Times New Roman"/>
            <family val="18"/>
          </rPr>
          <t xml:space="preserve">in Galizien ausgehoben und zum IR 43 zum Sandomierz assentiert 3Fl, seitdem auf Anhero Marsch mit Friedensgebuhr </t>
        </r>
        <r>
          <rPr>
            <sz val="14"/>
            <color rgb="FF000000"/>
            <rFont val="Times New Roman"/>
            <family val="18"/>
          </rPr>
          <t>[ST Mai 1800]</t>
        </r>
        <r>
          <rPr>
            <sz val="14"/>
            <color rgb="FF000000"/>
            <rFont val="Calibri"/>
            <family val="34"/>
          </rPr>
          <t xml:space="preserve">
</t>
        </r>
        <r>
          <rPr>
            <sz val="14"/>
            <color rgb="FF000000"/>
            <rFont val="Times New Roman"/>
            <family val="18"/>
          </rPr>
          <t xml:space="preserve">01/02/1801 </t>
        </r>
        <r>
          <rPr>
            <i/>
            <sz val="14"/>
            <color rgb="FF000000"/>
            <rFont val="Times New Roman"/>
            <family val="18"/>
          </rPr>
          <t>Von Reserve Division in Haupt Kopf Comp.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28/08/1802 Muster: IR 43 Haupt Köpf Komp. Nr. 114</t>
        </r>
        <r>
          <rPr>
            <sz val="14"/>
            <color rgb="FF000000"/>
            <rFont val="Calibri"/>
            <family val="34"/>
          </rPr>
          <t xml:space="preserve">
</t>
        </r>
        <r>
          <rPr>
            <sz val="14"/>
            <color rgb="FF000000"/>
            <rFont val="Times New Roman"/>
            <family val="18"/>
          </rPr>
          <t>04/11/1803 Muster: Haupt Köpf Komp. Nr. 103 [</t>
        </r>
        <r>
          <rPr>
            <i/>
            <sz val="14"/>
            <color rgb="FF000000"/>
            <rFont val="Times New Roman"/>
            <family val="18"/>
          </rPr>
          <t>Auf Commando zu Verlica</t>
        </r>
        <r>
          <rPr>
            <sz val="14"/>
            <color rgb="FF000000"/>
            <rFont val="Times New Roman"/>
            <family val="18"/>
          </rPr>
          <t>]</t>
        </r>
        <r>
          <rPr>
            <sz val="14"/>
            <color rgb="FF000000"/>
            <rFont val="Calibri"/>
            <family val="34"/>
          </rPr>
          <t xml:space="preserve">
</t>
        </r>
        <r>
          <rPr>
            <sz val="14"/>
            <color rgb="FF000000"/>
            <rFont val="Times New Roman"/>
            <family val="18"/>
          </rPr>
          <t xml:space="preserve">01/12/1803 </t>
        </r>
        <r>
          <rPr>
            <i/>
            <sz val="14"/>
            <color rgb="FF000000"/>
            <rFont val="Times New Roman"/>
            <family val="18"/>
          </rPr>
          <t>Beurlaubt bis zur Einberufung</t>
        </r>
        <r>
          <rPr>
            <sz val="14"/>
            <color rgb="FF000000"/>
            <rFont val="Times New Roman"/>
            <family val="18"/>
          </rPr>
          <t xml:space="preserve"> [ST Dec 1803]</t>
        </r>
        <r>
          <rPr>
            <sz val="14"/>
            <color rgb="FF000000"/>
            <rFont val="Calibri"/>
            <family val="34"/>
          </rPr>
          <t xml:space="preserve">
</t>
        </r>
        <r>
          <rPr>
            <sz val="14"/>
            <color rgb="FF000000"/>
            <rFont val="Times New Roman"/>
            <family val="18"/>
          </rPr>
          <t>15/09/1804 Muster: Haupt Sassi Nr. 98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31/03/1805 </t>
        </r>
        <r>
          <rPr>
            <i/>
            <sz val="14"/>
            <color rgb="FF000000"/>
            <rFont val="Times New Roman"/>
            <family val="18"/>
          </rPr>
          <t>Gegen Stellung Anderen von unbestimmtem Urlaub entlassen mit Abschied entlassen</t>
        </r>
        <r>
          <rPr>
            <sz val="14"/>
            <color rgb="FF000000"/>
            <rFont val="Times New Roman"/>
            <family val="18"/>
          </rPr>
          <t xml:space="preserve"> [ST May 1805 &amp; ML 1805]</t>
        </r>
        <r>
          <rPr>
            <sz val="14"/>
            <color rgb="FF000000"/>
            <rFont val="Calibri"/>
            <family val="34"/>
          </rPr>
          <t xml:space="preserve">
</t>
        </r>
      </text>
    </comment>
    <comment ref="BG674" authorId="0" shapeId="0" xr:uid="{72C838D1-7CF6-934F-80BD-478F5274BFB7}">
      <text>
        <r>
          <rPr>
            <sz val="14"/>
            <color rgb="FF000000"/>
            <rFont val="Times New Roman"/>
            <family val="18"/>
          </rPr>
          <t>ML 10.272 IR 43 (1802) – Haupt Köpf Komp. Nr 114 (Cattaro 28/08/1802)</t>
        </r>
        <r>
          <rPr>
            <sz val="14"/>
            <color rgb="FF000000"/>
            <rFont val="Calibri"/>
            <family val="34"/>
          </rPr>
          <t xml:space="preserve">
</t>
        </r>
        <r>
          <rPr>
            <sz val="14"/>
            <color rgb="FF000000"/>
            <rFont val="Times New Roman"/>
            <family val="18"/>
          </rPr>
          <t>ML 10.273 IR 43 (1803) – Haupt Köpf Komp. Nr 103 (Knin 04/11/1803)</t>
        </r>
        <r>
          <rPr>
            <sz val="14"/>
            <color rgb="FF000000"/>
            <rFont val="Calibri"/>
            <family val="34"/>
          </rPr>
          <t xml:space="preserve">
</t>
        </r>
        <r>
          <rPr>
            <sz val="14"/>
            <color rgb="FF000000"/>
            <rFont val="Times New Roman"/>
            <family val="18"/>
          </rPr>
          <t>ML 10.274 IR 43 (1804) – Haupt Sassi Komp. Nr 98 (Zara 15/09/1804)</t>
        </r>
        <r>
          <rPr>
            <sz val="14"/>
            <color rgb="FF000000"/>
            <rFont val="Calibri"/>
            <family val="34"/>
          </rPr>
          <t xml:space="preserve">
</t>
        </r>
        <r>
          <rPr>
            <sz val="14"/>
            <color rgb="FF000000"/>
            <rFont val="Times New Roman"/>
            <family val="18"/>
          </rPr>
          <t>ML 10.275/6 IR 43 (1805) – 14. Fus Komp. Abgang (Zara 01/10/1805)</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10.313 IR 43 (1803) – ST Dec (15/01/1804)</t>
        </r>
        <r>
          <rPr>
            <sz val="14"/>
            <color rgb="FF000000"/>
            <rFont val="Calibri"/>
            <family val="34"/>
          </rPr>
          <t xml:space="preserve">
</t>
        </r>
        <r>
          <rPr>
            <sz val="14"/>
            <color rgb="FF000000"/>
            <rFont val="Times New Roman"/>
            <family val="18"/>
          </rPr>
          <t>ML 10.315 IR 43 (1805) – ST Mai (15/06/1805)</t>
        </r>
      </text>
    </comment>
    <comment ref="BH674" authorId="0" shapeId="0" xr:uid="{7F471A7C-B298-4249-9FF2-54AE83CD06F4}">
      <text>
        <r>
          <rPr>
            <sz val="14"/>
            <color rgb="FF000000"/>
            <rFont val="Calibri"/>
            <family val="34"/>
          </rPr>
          <t>IR 43 (1800-1805)</t>
        </r>
      </text>
    </comment>
    <comment ref="T675" authorId="0" shapeId="0" xr:uid="{9D677093-5054-D34C-8928-C3536098CD48}">
      <text>
        <r>
          <rPr>
            <sz val="14"/>
            <color rgb="FF000000"/>
            <rFont val="Calibri"/>
            <family val="34"/>
          </rPr>
          <t xml:space="preserve">5.0.2 [158.44 cm] [AL 1800]
</t>
        </r>
        <r>
          <rPr>
            <sz val="14"/>
            <color rgb="FF000000"/>
            <rFont val="Calibri"/>
            <family val="34"/>
          </rPr>
          <t>5.1 [160.63  [TL 1800]</t>
        </r>
      </text>
    </comment>
    <comment ref="BF675" authorId="0" shapeId="0" xr:uid="{DA0E707C-F84C-584E-81E3-5CBDB632B1D3}">
      <text>
        <r>
          <rPr>
            <sz val="14"/>
            <color rgb="FF000000"/>
            <rFont val="Times New Roman"/>
            <family val="18"/>
          </rPr>
          <t xml:space="preserve">04/04/1800 </t>
        </r>
        <r>
          <rPr>
            <i/>
            <sz val="14"/>
            <color rgb="FF000000"/>
            <rFont val="Times New Roman"/>
            <family val="18"/>
          </rPr>
          <t>Von Werbbezirk ausgehoben und a 3Fl Handgeld zum IR 1 ohne Capitulation assentiert und zum 4. Bataillon 1. Major Riboultet Komp. eingeteilt</t>
        </r>
        <r>
          <rPr>
            <sz val="14"/>
            <color rgb="FF000000"/>
            <rFont val="Times New Roman"/>
            <family val="18"/>
          </rPr>
          <t xml:space="preserve"> [AL April 1800]</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IR 1 4. Bataillon 1. Komp (Major von Riboulet) zum IR 7 transferiert</t>
        </r>
        <r>
          <rPr>
            <sz val="14"/>
            <color rgb="FF000000"/>
            <rFont val="Times New Roman"/>
            <family val="18"/>
          </rPr>
          <t xml:space="preserve"> [TL June 1800]</t>
        </r>
      </text>
    </comment>
    <comment ref="BG675" authorId="0" shapeId="0" xr:uid="{A3EFCA24-406E-D341-B84A-3FA50DE9C4B9}">
      <text>
        <r>
          <rPr>
            <sz val="14"/>
            <color rgb="FF000000"/>
            <rFont val="Times New Roman"/>
            <family val="18"/>
          </rPr>
          <t>ML 75 IR 1 (1800) – AL Nr. 4 (Olmütz 30/04/1800), TL IR 1-&gt; IR 7 Nr. 9 (Olmütz 19/06/1800)</t>
        </r>
        <r>
          <rPr>
            <sz val="14"/>
            <color rgb="FF000000"/>
            <rFont val="Calibri"/>
            <family val="34"/>
          </rPr>
          <t xml:space="preserve">
</t>
        </r>
      </text>
    </comment>
    <comment ref="BH675" authorId="0" shapeId="0" xr:uid="{0AF5DA72-38AC-FE4B-9ECC-E82EC70540DE}">
      <text>
        <r>
          <rPr>
            <sz val="14"/>
            <color rgb="FF000000"/>
            <rFont val="Calibri"/>
            <family val="34"/>
          </rPr>
          <t xml:space="preserve">IR 1 (1800)
</t>
        </r>
        <r>
          <rPr>
            <sz val="14"/>
            <color rgb="FF000000"/>
            <rFont val="Calibri"/>
            <family val="34"/>
          </rPr>
          <t>IR 7 (1800)</t>
        </r>
      </text>
    </comment>
    <comment ref="BI675" authorId="0" shapeId="0" xr:uid="{144B0ADA-A114-E04A-B1D8-F6F196802C82}">
      <text>
        <r>
          <rPr>
            <i/>
            <sz val="14"/>
            <color rgb="FF000000"/>
            <rFont val="Calibri"/>
            <family val="34"/>
          </rPr>
          <t>Gut</t>
        </r>
        <r>
          <rPr>
            <sz val="14"/>
            <color rgb="FF000000"/>
            <rFont val="Calibri"/>
            <family val="34"/>
          </rPr>
          <t xml:space="preserve"> [TL June 1800]</t>
        </r>
      </text>
    </comment>
    <comment ref="BF676" authorId="0" shapeId="0" xr:uid="{743CD3AC-B58A-5C41-9AD8-850E2E3850B4}">
      <text>
        <r>
          <rPr>
            <sz val="14"/>
            <color rgb="FF000000"/>
            <rFont val="Times New Roman"/>
            <family val="18"/>
          </rPr>
          <t xml:space="preserve">04/04/1800 </t>
        </r>
        <r>
          <rPr>
            <i/>
            <sz val="14"/>
            <color rgb="FF000000"/>
            <rFont val="Times New Roman"/>
            <family val="18"/>
          </rPr>
          <t>A 3 Fl Handgeld zu Zolkiew in Galizien assentiert</t>
        </r>
        <r>
          <rPr>
            <sz val="14"/>
            <color rgb="FF000000"/>
            <rFont val="Times New Roman"/>
            <family val="18"/>
          </rPr>
          <t xml:space="preserve"> [ML 1803]</t>
        </r>
        <r>
          <rPr>
            <sz val="14"/>
            <color rgb="FF000000"/>
            <rFont val="Aptos"/>
            <family val="34"/>
          </rPr>
          <t xml:space="preserve">
</t>
        </r>
        <r>
          <rPr>
            <sz val="14"/>
            <color rgb="FF000000"/>
            <rFont val="Times New Roman"/>
            <family val="18"/>
          </rPr>
          <t>14/09/1803 Muster: IR 4 1. Major Komp Komp. Nr. 74 [</t>
        </r>
        <r>
          <rPr>
            <i/>
            <sz val="14"/>
            <color rgb="FF000000"/>
            <rFont val="Times New Roman"/>
            <family val="18"/>
          </rPr>
          <t>Beurlaubt in seinem Geburtsort in Galizien</t>
        </r>
        <r>
          <rPr>
            <sz val="14"/>
            <color rgb="FF000000"/>
            <rFont val="Times New Roman"/>
            <family val="18"/>
          </rPr>
          <t>]</t>
        </r>
        <r>
          <rPr>
            <sz val="14"/>
            <color rgb="FF000000"/>
            <rFont val="Aptos"/>
            <family val="34"/>
          </rPr>
          <t xml:space="preserve">
</t>
        </r>
        <r>
          <rPr>
            <sz val="14"/>
            <color rgb="FF000000"/>
            <rFont val="Times New Roman"/>
            <family val="18"/>
          </rPr>
          <t xml:space="preserve">15/07/1804 </t>
        </r>
        <r>
          <rPr>
            <i/>
            <sz val="14"/>
            <color rgb="FF000000"/>
            <rFont val="Times New Roman"/>
            <family val="18"/>
          </rPr>
          <t>Gegen Stellung beyder Ausländer Capitulanten Wasil Jedarczin Wasil Andruch und Erlag des doppelten Montours Geld Vermog Verordnung ddeto 5 Juli 1803 von unbestimte Urlaub mit Abschied entlassen</t>
        </r>
        <r>
          <rPr>
            <sz val="14"/>
            <color rgb="FF000000"/>
            <rFont val="Times New Roman"/>
            <family val="18"/>
          </rPr>
          <t xml:space="preserve"> [ST July 1804]
</t>
        </r>
      </text>
    </comment>
    <comment ref="BG676" authorId="0" shapeId="0" xr:uid="{78FDC2B5-054D-E24F-A57A-34DAFB85838A}">
      <text>
        <r>
          <rPr>
            <sz val="14"/>
            <color rgb="FF000000"/>
            <rFont val="Times New Roman"/>
            <family val="18"/>
          </rPr>
          <t>ML 348 IR 4 (1803) – 1. Major Komp. Nr. 74 (Vienna 14/09/1803)</t>
        </r>
        <r>
          <rPr>
            <sz val="14"/>
            <color rgb="FF000000"/>
            <rFont val="Aptos"/>
            <family val="34"/>
          </rPr>
          <t xml:space="preserve">
</t>
        </r>
        <r>
          <rPr>
            <sz val="14"/>
            <color rgb="FF000000"/>
            <rFont val="Times New Roman"/>
            <family val="18"/>
          </rPr>
          <t>ML 383 IR 4 (1804) – ST July (Vienna 18/08/1804)</t>
        </r>
        <r>
          <rPr>
            <sz val="14"/>
            <color rgb="FF000000"/>
            <rFont val="Aptos"/>
            <family val="34"/>
          </rPr>
          <t xml:space="preserve">
</t>
        </r>
      </text>
    </comment>
    <comment ref="BH676" authorId="0" shapeId="0" xr:uid="{8D4BD0F2-E741-4345-AD03-E76965F7A141}">
      <text>
        <r>
          <rPr>
            <sz val="14"/>
            <color rgb="FF000000"/>
            <rFont val="Calibri"/>
            <family val="34"/>
          </rPr>
          <t>IR 4 (1800-1804)</t>
        </r>
      </text>
    </comment>
    <comment ref="I677" authorId="0" shapeId="0" xr:uid="{EE9D22BC-AB36-974E-8CC1-9431439C5091}">
      <text>
        <r>
          <rPr>
            <sz val="14"/>
            <color rgb="FF000000"/>
            <rFont val="Calibri"/>
            <family val="34"/>
          </rPr>
          <t xml:space="preserve">1764  [38 (ML 1802)
</t>
        </r>
        <r>
          <rPr>
            <sz val="14"/>
            <color rgb="FF000000"/>
            <rFont val="Calibri"/>
            <family val="34"/>
          </rPr>
          <t xml:space="preserve">OR
</t>
        </r>
        <r>
          <rPr>
            <sz val="14"/>
            <color rgb="FF000000"/>
            <rFont val="Calibri"/>
            <family val="34"/>
          </rPr>
          <t xml:space="preserve">1769 [47 (AL 1816)]
</t>
        </r>
        <r>
          <rPr>
            <sz val="14"/>
            <color rgb="FF000000"/>
            <rFont val="Calibri"/>
            <family val="34"/>
          </rPr>
          <t xml:space="preserve">OR
</t>
        </r>
        <r>
          <rPr>
            <sz val="14"/>
            <color rgb="FF000000"/>
            <rFont val="Calibri"/>
            <family val="34"/>
          </rPr>
          <t xml:space="preserve">1775 [36 (ML 1811)
</t>
        </r>
        <r>
          <rPr>
            <sz val="14"/>
            <color rgb="FF000000"/>
            <rFont val="Calibri"/>
            <family val="34"/>
          </rPr>
          <t xml:space="preserve">OR
</t>
        </r>
        <r>
          <rPr>
            <b/>
            <sz val="14"/>
            <color rgb="FF000000"/>
            <rFont val="Calibri"/>
            <family val="34"/>
          </rPr>
          <t xml:space="preserve">1776 [24 (TL 1800)
</t>
        </r>
      </text>
    </comment>
    <comment ref="T677" authorId="0" shapeId="0" xr:uid="{E3A40ACE-C25E-FE48-B3FD-CA458CAB215E}">
      <text>
        <r>
          <rPr>
            <sz val="14"/>
            <color rgb="FF000000"/>
            <rFont val="Calibri"/>
            <family val="34"/>
          </rPr>
          <t xml:space="preserve">5.1.3 [161.29 (TL 1813)]
</t>
        </r>
        <r>
          <rPr>
            <b/>
            <sz val="14"/>
            <color rgb="FF000000"/>
            <rFont val="Calibri"/>
            <family val="34"/>
          </rPr>
          <t xml:space="preserve">5.2.2 [163.7 cm (ML 1811)]
</t>
        </r>
        <r>
          <rPr>
            <sz val="14"/>
            <color rgb="FF000000"/>
            <rFont val="Calibri"/>
            <family val="34"/>
          </rPr>
          <t xml:space="preserve">5.2.3 [163.92 cm (ML 1802/4]
</t>
        </r>
        <r>
          <rPr>
            <sz val="14"/>
            <color rgb="FF000000"/>
            <rFont val="Calibri"/>
            <family val="34"/>
          </rPr>
          <t>5.6 [168.52 (TL 1800)]</t>
        </r>
      </text>
    </comment>
    <comment ref="BF677" authorId="0" shapeId="0" xr:uid="{5F365412-E020-FE40-8564-815A44CAE730}">
      <text>
        <r>
          <rPr>
            <sz val="14"/>
            <color rgb="FF000000"/>
            <rFont val="Times New Roman"/>
            <family val="18"/>
          </rPr>
          <t xml:space="preserve">05/04/1800 </t>
        </r>
        <r>
          <rPr>
            <i/>
            <sz val="14"/>
            <color rgb="FF000000"/>
            <rFont val="Times New Roman"/>
            <family val="18"/>
          </rPr>
          <t xml:space="preserve">Als landständischer Rekrut a 3 Fl Handgeld assentiert </t>
        </r>
        <r>
          <rPr>
            <sz val="14"/>
            <color rgb="FF000000"/>
            <rFont val="Times New Roman"/>
            <family val="18"/>
          </rPr>
          <t>[ML 1804 &amp; TL Feb 1813]</t>
        </r>
        <r>
          <rPr>
            <sz val="14"/>
            <color rgb="FF000000"/>
            <rFont val="Calibri"/>
            <family val="34"/>
          </rPr>
          <t xml:space="preserve">
</t>
        </r>
        <r>
          <rPr>
            <sz val="14"/>
            <color rgb="FF000000"/>
            <rFont val="Times New Roman"/>
            <family val="18"/>
          </rPr>
          <t xml:space="preserve">16/09/1800 </t>
        </r>
        <r>
          <rPr>
            <i/>
            <sz val="14"/>
            <color rgb="FF000000"/>
            <rFont val="Times New Roman"/>
            <family val="18"/>
          </rPr>
          <t>Von IR 21 Haupt Stiller zum IR 3 Haupt Stark Komp transferiert</t>
        </r>
        <r>
          <rPr>
            <sz val="14"/>
            <color rgb="FF000000"/>
            <rFont val="Times New Roman"/>
            <family val="18"/>
          </rPr>
          <t xml:space="preserve"> [TL Sept 1800]</t>
        </r>
        <r>
          <rPr>
            <sz val="14"/>
            <color rgb="FF000000"/>
            <rFont val="Calibri"/>
            <family val="34"/>
          </rPr>
          <t xml:space="preserve">
</t>
        </r>
        <r>
          <rPr>
            <sz val="14"/>
            <color rgb="FF000000"/>
            <rFont val="Times New Roman"/>
            <family val="18"/>
          </rPr>
          <t>15/09/1802 Muster: IR 3 Haupt Lichtenberg Komp. Nr. 93 [</t>
        </r>
        <r>
          <rPr>
            <i/>
            <sz val="14"/>
            <color rgb="FF000000"/>
            <rFont val="Times New Roman"/>
            <family val="18"/>
          </rPr>
          <t>Auf Kanalbau</t>
        </r>
        <r>
          <rPr>
            <sz val="14"/>
            <color rgb="FF000000"/>
            <rFont val="Times New Roman"/>
            <family val="18"/>
          </rPr>
          <t>]</t>
        </r>
        <r>
          <rPr>
            <sz val="14"/>
            <color rgb="FF000000"/>
            <rFont val="Calibri"/>
            <family val="34"/>
          </rPr>
          <t xml:space="preserve">
</t>
        </r>
        <r>
          <rPr>
            <sz val="14"/>
            <color rgb="FF000000"/>
            <rFont val="Times New Roman"/>
            <family val="18"/>
          </rPr>
          <t>03/09/1803 Muster: IR 3 Haupt Lichtenberg Komp. Nr. 80</t>
        </r>
        <r>
          <rPr>
            <sz val="14"/>
            <color rgb="FF000000"/>
            <rFont val="Calibri"/>
            <family val="34"/>
          </rPr>
          <t xml:space="preserve">
</t>
        </r>
        <r>
          <rPr>
            <sz val="14"/>
            <color rgb="FF000000"/>
            <rFont val="Times New Roman"/>
            <family val="18"/>
          </rPr>
          <t>05/09/1804 Muster: IR 3 Haupt Lichtenberg Nr. 78</t>
        </r>
        <r>
          <rPr>
            <sz val="14"/>
            <color rgb="FF000000"/>
            <rFont val="Calibri"/>
            <family val="34"/>
          </rPr>
          <t xml:space="preserve">
</t>
        </r>
        <r>
          <rPr>
            <sz val="14"/>
            <color rgb="FF000000"/>
            <rFont val="Times New Roman"/>
            <family val="18"/>
          </rPr>
          <t xml:space="preserve">30/04/1806 </t>
        </r>
        <r>
          <rPr>
            <i/>
            <sz val="14"/>
            <color rgb="FF000000"/>
            <rFont val="Times New Roman"/>
            <family val="18"/>
          </rPr>
          <t>Von 5. Zum 2. Fus. Komp. transferiert</t>
        </r>
        <r>
          <rPr>
            <sz val="14"/>
            <color rgb="FF000000"/>
            <rFont val="Times New Roman"/>
            <family val="18"/>
          </rPr>
          <t xml:space="preserve"> [ST May 1806]</t>
        </r>
        <r>
          <rPr>
            <sz val="14"/>
            <color rgb="FF000000"/>
            <rFont val="Calibri"/>
            <family val="34"/>
          </rPr>
          <t xml:space="preserve">
</t>
        </r>
        <r>
          <rPr>
            <sz val="14"/>
            <color rgb="FF000000"/>
            <rFont val="Times New Roman"/>
            <family val="18"/>
          </rPr>
          <t xml:space="preserve">01/08/1806 </t>
        </r>
        <r>
          <rPr>
            <i/>
            <sz val="14"/>
            <color rgb="FF000000"/>
            <rFont val="Times New Roman"/>
            <family val="18"/>
          </rPr>
          <t>Als Privat Diener von 2. Zum 12. Fus transferiert</t>
        </r>
        <r>
          <rPr>
            <sz val="14"/>
            <color rgb="FF000000"/>
            <rFont val="Times New Roman"/>
            <family val="18"/>
          </rPr>
          <t xml:space="preserve"> [ST Aug 1806]</t>
        </r>
        <r>
          <rPr>
            <sz val="14"/>
            <color rgb="FF000000"/>
            <rFont val="Calibri"/>
            <family val="34"/>
          </rPr>
          <t xml:space="preserve">
</t>
        </r>
        <r>
          <rPr>
            <sz val="14"/>
            <color rgb="FF000000"/>
            <rFont val="Times New Roman"/>
            <family val="18"/>
          </rPr>
          <t xml:space="preserve">01/03/1808 </t>
        </r>
        <r>
          <rPr>
            <i/>
            <sz val="14"/>
            <color rgb="FF000000"/>
            <rFont val="Times New Roman"/>
            <family val="18"/>
          </rPr>
          <t>Von 12. zum 8. Fus. Komp. transferiert</t>
        </r>
        <r>
          <rPr>
            <sz val="14"/>
            <color rgb="FF000000"/>
            <rFont val="Times New Roman"/>
            <family val="18"/>
          </rPr>
          <t xml:space="preserve"> [ST March 1808]</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8. zum 4. Fus. Komp. transferiert und zum Fourieschütz mutiert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4. zum 10.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16/09/1811 Muster: IR 3 10. Fus. Komp. Nr. 135 [</t>
        </r>
        <r>
          <rPr>
            <i/>
            <sz val="14"/>
            <color rgb="FF000000"/>
            <rFont val="Times New Roman"/>
            <family val="18"/>
          </rPr>
          <t>Auf Magazin Wache zu Gaunersdorf</t>
        </r>
        <r>
          <rPr>
            <sz val="14"/>
            <color rgb="FF000000"/>
            <rFont val="Times New Roman"/>
            <family val="18"/>
          </rPr>
          <t>]</t>
        </r>
        <r>
          <rPr>
            <sz val="14"/>
            <color rgb="FF000000"/>
            <rFont val="Calibri"/>
            <family val="34"/>
          </rPr>
          <t xml:space="preserve">
</t>
        </r>
        <r>
          <rPr>
            <sz val="14"/>
            <color rgb="FF000000"/>
            <rFont val="Times New Roman"/>
            <family val="18"/>
          </rPr>
          <t xml:space="preserve">21/04/1812 </t>
        </r>
        <r>
          <rPr>
            <i/>
            <sz val="14"/>
            <color rgb="FF000000"/>
            <rFont val="Times New Roman"/>
            <family val="18"/>
          </rPr>
          <t>kommandiert beim Garnisons Spital</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31/01/1813 </t>
        </r>
        <r>
          <rPr>
            <i/>
            <sz val="14"/>
            <color rgb="FF000000"/>
            <rFont val="Times New Roman"/>
            <family val="18"/>
          </rPr>
          <t>Zu Folge hoher N.O. General Kommando Verordnung ddto Wien am 28. dicti R 979 Von IR 3 10. Fus. Komp. zu Bellegarde Infs Regt Nr. 44 transferiert</t>
        </r>
        <r>
          <rPr>
            <sz val="14"/>
            <color rgb="FF000000"/>
            <rFont val="Times New Roman"/>
            <family val="18"/>
          </rPr>
          <t xml:space="preserve"> [TL Feb 1813 &amp; ST Feb 1813]</t>
        </r>
        <r>
          <rPr>
            <sz val="14"/>
            <color rgb="FF000000"/>
            <rFont val="Calibri"/>
            <family val="34"/>
          </rPr>
          <t xml:space="preserve">
</t>
        </r>
        <r>
          <rPr>
            <sz val="14"/>
            <color rgb="FF000000"/>
            <rFont val="Times New Roman"/>
            <family val="18"/>
          </rPr>
          <t xml:space="preserve">11/04/1813 </t>
        </r>
        <r>
          <rPr>
            <i/>
            <sz val="14"/>
            <color rgb="FF000000"/>
            <rFont val="Times New Roman"/>
            <family val="18"/>
          </rPr>
          <t>Ohne Zuwachs Dokumenten ist in IR 44 eingekommen und wurde zum 10. Fus. Komp. eingeteilt</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01/06/1814 </t>
        </r>
        <r>
          <rPr>
            <i/>
            <sz val="14"/>
            <color rgb="FF000000"/>
            <rFont val="Times New Roman"/>
            <family val="18"/>
          </rPr>
          <t>Als Gefreyter von 10. zum 5. Aktive Reserve Komp. transferiert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09/01/1816 </t>
        </r>
        <r>
          <rPr>
            <i/>
            <sz val="14"/>
            <color rgb="FF000000"/>
            <rFont val="Times New Roman"/>
            <family val="18"/>
          </rPr>
          <t>Von dissolvierte 23. Fus. Komp. zum 12 Fus. Komp. transferiert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20/06/1816 </t>
        </r>
        <r>
          <rPr>
            <i/>
            <sz val="14"/>
            <color rgb="FF000000"/>
            <rFont val="Times New Roman"/>
            <family val="18"/>
          </rPr>
          <t>In Folge hoher General Commando Verordnung ddto Lemberg am 2. May 816 ^. 4484 als ausgedienter Inländer Capitulant mit Abschied entlassen</t>
        </r>
        <r>
          <rPr>
            <sz val="14"/>
            <color rgb="FF000000"/>
            <rFont val="Times New Roman"/>
            <family val="18"/>
          </rPr>
          <t xml:space="preserve"> [ST June 1816]</t>
        </r>
        <r>
          <rPr>
            <sz val="14"/>
            <color rgb="FF000000"/>
            <rFont val="Calibri"/>
            <family val="34"/>
          </rPr>
          <t xml:space="preserve">
</t>
        </r>
        <r>
          <rPr>
            <sz val="14"/>
            <color rgb="FF000000"/>
            <rFont val="Times New Roman"/>
            <family val="18"/>
          </rPr>
          <t xml:space="preserve">21/06/1816 </t>
        </r>
        <r>
          <rPr>
            <i/>
            <sz val="14"/>
            <color rgb="FF000000"/>
            <rFont val="Times New Roman"/>
            <family val="18"/>
          </rPr>
          <t>Auf Abgang des Completten Standes neu als unobligater Fourierschütz neu angenommen und zu Sambor assentiert</t>
        </r>
        <r>
          <rPr>
            <sz val="14"/>
            <color rgb="FF000000"/>
            <rFont val="Times New Roman"/>
            <family val="18"/>
          </rPr>
          <t xml:space="preserve"> [AL June 1816 &amp; ST June 1816]</t>
        </r>
        <r>
          <rPr>
            <sz val="14"/>
            <color rgb="FF000000"/>
            <rFont val="Calibri"/>
            <family val="34"/>
          </rPr>
          <t xml:space="preserve">
</t>
        </r>
        <r>
          <rPr>
            <sz val="14"/>
            <color rgb="FF000000"/>
            <rFont val="Times New Roman"/>
            <family val="18"/>
          </rPr>
          <t xml:space="preserve">15/07/1817 </t>
        </r>
        <r>
          <rPr>
            <i/>
            <sz val="14"/>
            <color rgb="FF000000"/>
            <rFont val="Times New Roman"/>
            <family val="18"/>
          </rPr>
          <t>Als Unobligat Mit Abschied entlassen</t>
        </r>
        <r>
          <rPr>
            <sz val="14"/>
            <color rgb="FF000000"/>
            <rFont val="Times New Roman"/>
            <family val="18"/>
          </rPr>
          <t xml:space="preserve"> [ML 1818] </t>
        </r>
      </text>
    </comment>
    <comment ref="BG677" authorId="0" shapeId="0" xr:uid="{41AB7284-0E32-844A-842B-D45775530C45}">
      <text>
        <r>
          <rPr>
            <sz val="14"/>
            <color rgb="FF000000"/>
            <rFont val="Times New Roman"/>
            <family val="18"/>
          </rPr>
          <t>ML 234-6 IR 3 (1802) – Haupt Lichtenberg Komp. Nr. 93 (Vienna 15/09/1802)</t>
        </r>
        <r>
          <rPr>
            <sz val="14"/>
            <color rgb="FF000000"/>
            <rFont val="Calibri"/>
            <family val="34"/>
          </rPr>
          <t xml:space="preserve">
</t>
        </r>
        <r>
          <rPr>
            <sz val="14"/>
            <color rgb="FF000000"/>
            <rFont val="Times New Roman"/>
            <family val="18"/>
          </rPr>
          <t>ML 237/8 IR 3 (1803) – Haupt Lichtenberg Komp. Nr. 80 (Vienna 03/09/1803)</t>
        </r>
        <r>
          <rPr>
            <sz val="14"/>
            <color rgb="FF000000"/>
            <rFont val="Calibri"/>
            <family val="34"/>
          </rPr>
          <t xml:space="preserve">
</t>
        </r>
        <r>
          <rPr>
            <sz val="14"/>
            <color rgb="FF000000"/>
            <rFont val="Times New Roman"/>
            <family val="18"/>
          </rPr>
          <t>ML 239 IR 3 (1804) – Haupt Lichtenberg Komp. Nr. 78 (Vienna 05/09/1804)</t>
        </r>
        <r>
          <rPr>
            <sz val="14"/>
            <color rgb="FF000000"/>
            <rFont val="Calibri"/>
            <family val="34"/>
          </rPr>
          <t xml:space="preserve">
</t>
        </r>
        <r>
          <rPr>
            <sz val="14"/>
            <color rgb="FF000000"/>
            <rFont val="Times New Roman"/>
            <family val="18"/>
          </rPr>
          <t>ML 240 IR 3 (1811) – 10. Fus. Komp. Nr. 135 (Krems 16/09/1811)</t>
        </r>
        <r>
          <rPr>
            <sz val="14"/>
            <color rgb="FF000000"/>
            <rFont val="Calibri"/>
            <family val="34"/>
          </rPr>
          <t xml:space="preserve">
</t>
        </r>
        <r>
          <rPr>
            <sz val="14"/>
            <color rgb="FF000000"/>
            <rFont val="Times New Roman"/>
            <family val="18"/>
          </rPr>
          <t>ML 274 IR 3(1800) – TL IR 21-&gt;IR 3 Nr. 124 (Laager beim Amfing 25/09/1800)</t>
        </r>
        <r>
          <rPr>
            <sz val="14"/>
            <color rgb="FF000000"/>
            <rFont val="Calibri"/>
            <family val="34"/>
          </rPr>
          <t xml:space="preserve">
</t>
        </r>
        <r>
          <rPr>
            <sz val="14"/>
            <color rgb="FF000000"/>
            <rFont val="Times New Roman"/>
            <family val="18"/>
          </rPr>
          <t>ML 285 IR 3 (1806) – ST May (Krems 12/02/1807), Aug (Krems 18/03/1807)</t>
        </r>
        <r>
          <rPr>
            <sz val="14"/>
            <color rgb="FF000000"/>
            <rFont val="Calibri"/>
            <family val="34"/>
          </rPr>
          <t xml:space="preserve">
</t>
        </r>
        <r>
          <rPr>
            <sz val="14"/>
            <color rgb="FF000000"/>
            <rFont val="Times New Roman"/>
            <family val="18"/>
          </rPr>
          <t>ML 291 IR 3 (1808) – ST March (Krems 04/1808)</t>
        </r>
        <r>
          <rPr>
            <sz val="14"/>
            <color rgb="FF000000"/>
            <rFont val="Calibri"/>
            <family val="34"/>
          </rPr>
          <t xml:space="preserve">
</t>
        </r>
        <r>
          <rPr>
            <sz val="14"/>
            <color rgb="FF000000"/>
            <rFont val="Times New Roman"/>
            <family val="18"/>
          </rPr>
          <t xml:space="preserve">ML 293 IR 3 (1809) I-VI – ST Feb </t>
        </r>
        <r>
          <rPr>
            <sz val="14"/>
            <color rgb="FF000000"/>
            <rFont val="Calibri"/>
            <family val="34"/>
          </rPr>
          <t xml:space="preserve">
</t>
        </r>
        <r>
          <rPr>
            <sz val="14"/>
            <color rgb="FF000000"/>
            <rFont val="Times New Roman"/>
            <family val="18"/>
          </rPr>
          <t>ML 294 IR 3 (1809) VII-XII – ST Sept (St Pölten 15/11/1811)</t>
        </r>
        <r>
          <rPr>
            <sz val="14"/>
            <color rgb="FF000000"/>
            <rFont val="Calibri"/>
            <family val="34"/>
          </rPr>
          <t xml:space="preserve">
</t>
        </r>
        <r>
          <rPr>
            <sz val="14"/>
            <color rgb="FF000000"/>
            <rFont val="Times New Roman"/>
            <family val="18"/>
          </rPr>
          <t>ML 301 IR 3 (1812) – ST April (09/06/1812)</t>
        </r>
        <r>
          <rPr>
            <sz val="14"/>
            <color rgb="FF000000"/>
            <rFont val="Calibri"/>
            <family val="34"/>
          </rPr>
          <t xml:space="preserve">
</t>
        </r>
        <r>
          <rPr>
            <sz val="14"/>
            <color rgb="FF000000"/>
            <rFont val="Times New Roman"/>
            <family val="18"/>
          </rPr>
          <t>ML 303 IR 3 (1813) – ST Feb (Vienna 21/03/1813)</t>
        </r>
        <r>
          <rPr>
            <sz val="14"/>
            <color rgb="FF000000"/>
            <rFont val="Calibri"/>
            <family val="34"/>
          </rPr>
          <t xml:space="preserve">
</t>
        </r>
        <r>
          <rPr>
            <sz val="14"/>
            <color rgb="FF000000"/>
            <rFont val="Times New Roman"/>
            <family val="18"/>
          </rPr>
          <t>ML 304 IR 3 (1813) TL/TL I-VII – TL IR 3-&gt; IR 44 Nr. 92 (Vienna 25/02/1813)</t>
        </r>
        <r>
          <rPr>
            <sz val="14"/>
            <color rgb="FF000000"/>
            <rFont val="Calibri"/>
            <family val="34"/>
          </rPr>
          <t xml:space="preserve">
</t>
        </r>
        <r>
          <rPr>
            <sz val="14"/>
            <color rgb="FF000000"/>
            <rFont val="Times New Roman"/>
            <family val="18"/>
          </rPr>
          <t>ML 3915-7 IR 44 (1818) – 12. Fus. Komp. Abgang (Pavia 05/01/1817)</t>
        </r>
        <r>
          <rPr>
            <sz val="14"/>
            <color rgb="FF000000"/>
            <rFont val="Calibri"/>
            <family val="34"/>
          </rPr>
          <t xml:space="preserve">
</t>
        </r>
        <r>
          <rPr>
            <sz val="14"/>
            <color rgb="FF000000"/>
            <rFont val="Times New Roman"/>
            <family val="18"/>
          </rPr>
          <t>ML 3967 IR 44 (1813) – ST April (30/11/1813)</t>
        </r>
        <r>
          <rPr>
            <sz val="14"/>
            <color rgb="FF000000"/>
            <rFont val="Calibri"/>
            <family val="34"/>
          </rPr>
          <t xml:space="preserve">
</t>
        </r>
        <r>
          <rPr>
            <sz val="14"/>
            <color rgb="FF000000"/>
            <rFont val="Times New Roman"/>
            <family val="18"/>
          </rPr>
          <t>ML 3970 IR 44 (1814) – ST June (Tarnow 15/05/1815)</t>
        </r>
        <r>
          <rPr>
            <sz val="14"/>
            <color rgb="FF000000"/>
            <rFont val="Calibri"/>
            <family val="34"/>
          </rPr>
          <t xml:space="preserve">
</t>
        </r>
        <r>
          <rPr>
            <sz val="14"/>
            <color rgb="FF000000"/>
            <rFont val="Times New Roman"/>
            <family val="18"/>
          </rPr>
          <t xml:space="preserve">ML 3974 IR 44 (1816) – AL Nr. 1 (Sambor 21/06/1816); ST Feb (12/02/1817), June (30/04/1817)
</t>
        </r>
      </text>
    </comment>
    <comment ref="BH677" authorId="0" shapeId="0" xr:uid="{98AA5960-112F-F04F-9F3B-ABF9618CF6D3}">
      <text>
        <r>
          <rPr>
            <sz val="14"/>
            <color rgb="FF000000"/>
            <rFont val="Calibri"/>
            <family val="34"/>
          </rPr>
          <t xml:space="preserve">IR 21 (1800)
</t>
        </r>
        <r>
          <rPr>
            <sz val="14"/>
            <color rgb="FF000000"/>
            <rFont val="Calibri"/>
            <family val="34"/>
          </rPr>
          <t xml:space="preserve">IR 3 (1800-1813)
</t>
        </r>
        <r>
          <rPr>
            <sz val="14"/>
            <color rgb="FF000000"/>
            <rFont val="Calibri"/>
            <family val="34"/>
          </rPr>
          <t>IR 44 (1813-1817)</t>
        </r>
      </text>
    </comment>
    <comment ref="CR677" authorId="0" shapeId="0" xr:uid="{7FC5D4AC-C9B2-D644-B8BA-C87E0B08BEB4}">
      <text>
        <r>
          <rPr>
            <sz val="14"/>
            <color rgb="FF000000"/>
            <rFont val="Times New Roman"/>
            <family val="18"/>
          </rPr>
          <t>1802/4:</t>
        </r>
        <r>
          <rPr>
            <i/>
            <sz val="14"/>
            <color rgb="FF000000"/>
            <rFont val="Times New Roman"/>
            <family val="18"/>
          </rPr>
          <t xml:space="preserve"> Jüdisch
</t>
        </r>
        <r>
          <rPr>
            <sz val="14"/>
            <color rgb="FF000000"/>
            <rFont val="Times New Roman"/>
            <family val="18"/>
          </rPr>
          <t xml:space="preserve">1811/13: </t>
        </r>
        <r>
          <rPr>
            <i/>
            <sz val="14"/>
            <color rgb="FF000000"/>
            <rFont val="Times New Roman"/>
            <family val="18"/>
          </rPr>
          <t xml:space="preserve">Katolisch
</t>
        </r>
        <r>
          <rPr>
            <sz val="14"/>
            <color rgb="FF000000"/>
            <rFont val="Times New Roman"/>
            <family val="18"/>
          </rPr>
          <t xml:space="preserve">1816: </t>
        </r>
        <r>
          <rPr>
            <i/>
            <sz val="14"/>
            <color rgb="FF000000"/>
            <rFont val="Times New Roman"/>
            <family val="18"/>
          </rPr>
          <t>Keine Angaben</t>
        </r>
        <r>
          <rPr>
            <sz val="14"/>
            <color rgb="FF000000"/>
            <rFont val="Times New Roman"/>
            <family val="18"/>
          </rPr>
          <t xml:space="preserve"> </t>
        </r>
      </text>
    </comment>
    <comment ref="BF678" authorId="0" shapeId="0" xr:uid="{ED76BC07-58CC-3C40-889F-9CA589EB0C60}">
      <text>
        <r>
          <rPr>
            <sz val="14"/>
            <color rgb="FF000000"/>
            <rFont val="Times New Roman"/>
            <family val="18"/>
          </rPr>
          <t>07/04/1800</t>
        </r>
        <r>
          <rPr>
            <i/>
            <sz val="14"/>
            <color rgb="FF000000"/>
            <rFont val="Times New Roman"/>
            <family val="18"/>
          </rPr>
          <t xml:space="preserve"> Von Dominien a 4Fl zu Trentsin auf die Kriegsdauer gestellt und zum IR 60 Reserve Division assentiert</t>
        </r>
        <r>
          <rPr>
            <sz val="14"/>
            <color rgb="FF000000"/>
            <rFont val="Times New Roman"/>
            <family val="18"/>
          </rPr>
          <t xml:space="preserve"> [ML 1802]
</t>
        </r>
        <r>
          <rPr>
            <sz val="14"/>
            <color rgb="FF000000"/>
            <rFont val="Times New Roman"/>
            <family val="18"/>
          </rPr>
          <t xml:space="preserve">06/06/1800 </t>
        </r>
        <r>
          <rPr>
            <i/>
            <sz val="14"/>
            <color rgb="FF000000"/>
            <rFont val="Times New Roman"/>
            <family val="18"/>
          </rPr>
          <t>Von Reserve Division zum Obrist Komp. Transferiert</t>
        </r>
        <r>
          <rPr>
            <sz val="14"/>
            <color rgb="FF000000"/>
            <rFont val="Times New Roman"/>
            <family val="18"/>
          </rPr>
          <t xml:space="preserve"> [ML 1802]
</t>
        </r>
        <r>
          <rPr>
            <sz val="14"/>
            <color rgb="FF000000"/>
            <rFont val="Times New Roman"/>
            <family val="18"/>
          </rPr>
          <t xml:space="preserve">16/12/1800 </t>
        </r>
        <r>
          <rPr>
            <i/>
            <sz val="14"/>
            <color rgb="FF000000"/>
            <rFont val="Times New Roman"/>
            <family val="18"/>
          </rPr>
          <t>Während der Retirade in die Kriegsgefangenschaft geraten</t>
        </r>
        <r>
          <rPr>
            <sz val="14"/>
            <color rgb="FF000000"/>
            <rFont val="Times New Roman"/>
            <family val="18"/>
          </rPr>
          <t xml:space="preserve"> [ML 1802]
</t>
        </r>
      </text>
    </comment>
    <comment ref="BG678" authorId="0" shapeId="0" xr:uid="{631D29B5-EEF5-C84B-8B5A-60C1F6D662D0}">
      <text>
        <r>
          <rPr>
            <sz val="14"/>
            <color rgb="FF000000"/>
            <rFont val="Times"/>
            <family val="2"/>
          </rPr>
          <t>ML 5102-4 IR 60 (1802) –Heft von Obrist Komp Zuwachs (Tamesvar 15/09/1802), Reserve Division Zuwachs &amp; Abgang (Tamesvar 15/09/1802)</t>
        </r>
        <r>
          <rPr>
            <sz val="14"/>
            <color rgb="FF000000"/>
            <rFont val="Times"/>
            <family val="2"/>
          </rPr>
          <t xml:space="preserve">
</t>
        </r>
      </text>
    </comment>
    <comment ref="BH678" authorId="0" shapeId="0" xr:uid="{E05F0743-6541-0344-AB5A-05BE9755E431}">
      <text>
        <r>
          <rPr>
            <sz val="14"/>
            <color rgb="FF000000"/>
            <rFont val="Calibri"/>
            <family val="34"/>
          </rPr>
          <t>IR 60 (1800)</t>
        </r>
      </text>
    </comment>
    <comment ref="I679" authorId="0" shapeId="0" xr:uid="{2EFB7702-5FB3-964A-92F5-BE14976E2FF9}">
      <text>
        <r>
          <rPr>
            <sz val="14"/>
            <color rgb="FF000000"/>
            <rFont val="Calibri"/>
            <family val="34"/>
          </rPr>
          <t xml:space="preserve">1776 [28 (1804] 
</t>
        </r>
        <r>
          <rPr>
            <sz val="14"/>
            <color rgb="FF000000"/>
            <rFont val="Calibri"/>
            <family val="34"/>
          </rPr>
          <t xml:space="preserve">OR 
</t>
        </r>
        <r>
          <rPr>
            <sz val="14"/>
            <color rgb="FF000000"/>
            <rFont val="Calibri"/>
            <family val="34"/>
          </rPr>
          <t>1780 [22 (1802])</t>
        </r>
      </text>
    </comment>
    <comment ref="K679" authorId="0" shapeId="0" xr:uid="{71BCD724-1C96-A245-8B4E-3D6193F0E05B}">
      <text>
        <r>
          <rPr>
            <sz val="14"/>
            <color rgb="FF000000"/>
            <rFont val="Calibri"/>
            <family val="34"/>
          </rPr>
          <t xml:space="preserve">Ohne  (1802-1803)
</t>
        </r>
        <r>
          <rPr>
            <sz val="14"/>
            <color rgb="FF000000"/>
            <rFont val="Calibri"/>
            <family val="34"/>
          </rPr>
          <t>Schneider (1804)</t>
        </r>
      </text>
    </comment>
    <comment ref="BF679" authorId="0" shapeId="0" xr:uid="{47891E82-9561-9445-BFCF-E0D49997E34F}">
      <text>
        <r>
          <rPr>
            <sz val="14"/>
            <color rgb="FFFF0000"/>
            <rFont val="Times New Roman"/>
            <family val="18"/>
          </rPr>
          <t xml:space="preserve">10/03/1800 </t>
        </r>
        <r>
          <rPr>
            <i/>
            <sz val="14"/>
            <color rgb="FFFF0000"/>
            <rFont val="Times New Roman"/>
            <family val="18"/>
          </rPr>
          <t>Als ständischer Recrout</t>
        </r>
        <r>
          <rPr>
            <sz val="14"/>
            <color rgb="FFFF0000"/>
            <rFont val="Times New Roman"/>
            <family val="18"/>
          </rPr>
          <t xml:space="preserve"> [</t>
        </r>
        <r>
          <rPr>
            <i/>
            <sz val="14"/>
            <color rgb="FFFF0000"/>
            <rFont val="Times New Roman"/>
            <family val="18"/>
          </rPr>
          <t>assentiert</t>
        </r>
        <r>
          <rPr>
            <sz val="14"/>
            <color rgb="FFFF0000"/>
            <rFont val="Times New Roman"/>
            <family val="18"/>
          </rPr>
          <t>] [ML 1802/3]</t>
        </r>
        <r>
          <rPr>
            <sz val="14"/>
            <color rgb="FF000000"/>
            <rFont val="Calibri"/>
            <family val="34"/>
          </rPr>
          <t xml:space="preserve">
</t>
        </r>
        <r>
          <rPr>
            <sz val="14"/>
            <color rgb="FF000000"/>
            <rFont val="Times New Roman"/>
            <family val="18"/>
          </rPr>
          <t xml:space="preserve">14/04/1800 </t>
        </r>
        <r>
          <rPr>
            <i/>
            <sz val="14"/>
            <color rgb="FF000000"/>
            <rFont val="Times New Roman"/>
            <family val="18"/>
          </rPr>
          <t>in Galizien ausgehoben a 3Fl zu Tarnopol assentiert und seitdem auf Anhero Marsch</t>
        </r>
        <r>
          <rPr>
            <sz val="14"/>
            <color rgb="FF000000"/>
            <rFont val="Times New Roman"/>
            <family val="18"/>
          </rPr>
          <t xml:space="preserve"> [ST May 1800 &amp; ML 1804]</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Reserve Division ins Haupt Geistler Comp transferiert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28/08/1802 Muster: IR 43 Haupt Geistler Komp. Nr. 108</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Geistler Komp. Nr. 95 [</t>
        </r>
        <r>
          <rPr>
            <i/>
            <sz val="14"/>
            <color rgb="FF000000"/>
            <rFont val="Times New Roman"/>
            <family val="18"/>
          </rPr>
          <t>Auf Unbestimmte Urlaub zu Tarnopol</t>
        </r>
        <r>
          <rPr>
            <sz val="14"/>
            <color rgb="FF000000"/>
            <rFont val="Times New Roman"/>
            <family val="18"/>
          </rPr>
          <t>]</t>
        </r>
        <r>
          <rPr>
            <sz val="14"/>
            <color rgb="FF000000"/>
            <rFont val="Calibri"/>
            <family val="34"/>
          </rPr>
          <t xml:space="preserve">
</t>
        </r>
        <r>
          <rPr>
            <sz val="14"/>
            <color rgb="FF000000"/>
            <rFont val="Times New Roman"/>
            <family val="18"/>
          </rPr>
          <t>05/10/1804 Muster: IR 43 Haupt Geistler Komp Nr. 92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31/12/1804 </t>
        </r>
        <r>
          <rPr>
            <i/>
            <sz val="14"/>
            <color rgb="FF000000"/>
            <rFont val="Times New Roman"/>
            <family val="18"/>
          </rPr>
          <t>als Steuerbare Grundbesitzer ohneentgeliche Stellung des in Monat 9ber bei Hauptmann Prati Companie unter 16t 8ber d:a: in Zuwachs erscheinende Recrouten Maxim Woidynek von Unbesimmte Urlaub Abschied entlassen</t>
        </r>
        <r>
          <rPr>
            <sz val="14"/>
            <color rgb="FF000000"/>
            <rFont val="Times New Roman"/>
            <family val="18"/>
          </rPr>
          <t xml:space="preserve"> [ST Jan 1805 &amp; ML 1805]</t>
        </r>
        <r>
          <rPr>
            <sz val="14"/>
            <color rgb="FF000000"/>
            <rFont val="Calibri"/>
            <family val="34"/>
          </rPr>
          <t xml:space="preserve">
</t>
        </r>
      </text>
    </comment>
    <comment ref="BG679" authorId="0" shapeId="0" xr:uid="{E3C0BC59-5ABE-3844-874D-5A488AF91E13}">
      <text>
        <r>
          <rPr>
            <sz val="14"/>
            <color rgb="FF000000"/>
            <rFont val="Times New Roman"/>
            <family val="18"/>
          </rPr>
          <t>ML 10.272 IR 43 (1802) – Heft von Haupt Geistler Comp. Nr 46 (Cattaro 28/08/1802)</t>
        </r>
        <r>
          <rPr>
            <sz val="14"/>
            <color rgb="FF000000"/>
            <rFont val="Calibri"/>
            <family val="34"/>
          </rPr>
          <t xml:space="preserve">
</t>
        </r>
        <r>
          <rPr>
            <sz val="14"/>
            <color rgb="FF000000"/>
            <rFont val="Times New Roman"/>
            <family val="18"/>
          </rPr>
          <t>ML 10.273 IR 43 (1803) – Heft von Haupt Geistler Comp. Nr 40 (Cattaro 02/11/1803)</t>
        </r>
        <r>
          <rPr>
            <sz val="14"/>
            <color rgb="FF000000"/>
            <rFont val="Calibri"/>
            <family val="34"/>
          </rPr>
          <t xml:space="preserve">
</t>
        </r>
        <r>
          <rPr>
            <sz val="14"/>
            <color rgb="FF000000"/>
            <rFont val="Times New Roman"/>
            <family val="18"/>
          </rPr>
          <t>ML 10.274 IR 43 (1804) – Heft von Haupt Geistler Comp. Nr 40 (Theodo 05/10/1804)</t>
        </r>
        <r>
          <rPr>
            <sz val="14"/>
            <color rgb="FF000000"/>
            <rFont val="Calibri"/>
            <family val="34"/>
          </rPr>
          <t xml:space="preserve">
</t>
        </r>
        <r>
          <rPr>
            <sz val="14"/>
            <color rgb="FF000000"/>
            <rFont val="Times New Roman"/>
            <family val="18"/>
          </rPr>
          <t>ML 10.275/6 IR 43 (1805) – Heft von 10. Fus Comp. Abgang (Spalato 23/10/1805)</t>
        </r>
        <r>
          <rPr>
            <sz val="14"/>
            <color rgb="FF000000"/>
            <rFont val="Calibri"/>
            <family val="34"/>
          </rPr>
          <t xml:space="preserve">
</t>
        </r>
        <r>
          <rPr>
            <sz val="14"/>
            <color rgb="FF000000"/>
            <rFont val="Times New Roman"/>
            <family val="18"/>
          </rPr>
          <t>ML 10.309 IR 43 (1800) – ST Mai (??), Sept (31/01/1804), Nov (02/04/1804)</t>
        </r>
        <r>
          <rPr>
            <sz val="14"/>
            <color rgb="FF000000"/>
            <rFont val="Calibri"/>
            <family val="34"/>
          </rPr>
          <t xml:space="preserve">
</t>
        </r>
        <r>
          <rPr>
            <sz val="14"/>
            <color rgb="FF000000"/>
            <rFont val="Times New Roman"/>
            <family val="18"/>
          </rPr>
          <t>ML 10.311 IR 43 (1801) – ST Jan (23/08/1804)</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10.315 IR 43 (1805) – ST Jan (15/02/1805)</t>
        </r>
      </text>
    </comment>
    <comment ref="BH679" authorId="0" shapeId="0" xr:uid="{F4CA42B7-C5BC-F24A-9CF3-2CD48300BDB0}">
      <text>
        <r>
          <rPr>
            <sz val="14"/>
            <color rgb="FF000000"/>
            <rFont val="Calibri"/>
            <family val="34"/>
          </rPr>
          <t>IR 43 (1800-1804)</t>
        </r>
      </text>
    </comment>
    <comment ref="BF680" authorId="0" shapeId="0" xr:uid="{B5FB6D10-6CA4-834C-AAE6-22A4A668A5AA}">
      <text>
        <r>
          <rPr>
            <sz val="14"/>
            <color rgb="FF000000"/>
            <rFont val="Times New Roman"/>
            <family val="18"/>
          </rPr>
          <t xml:space="preserve">15/04/1800 </t>
        </r>
        <r>
          <rPr>
            <i/>
            <sz val="14"/>
            <color rgb="FF000000"/>
            <rFont val="Times New Roman"/>
            <family val="18"/>
          </rPr>
          <t>A 3Fl Handgeld Von Lande auf Dauer des Krieges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01/05/1803 </t>
        </r>
        <r>
          <rPr>
            <i/>
            <sz val="14"/>
            <color rgb="FF000000"/>
            <rFont val="Times New Roman"/>
            <family val="18"/>
          </rPr>
          <t>Auf Mappierung mit Geld und Service Gebühr auswärts, Brot in loco</t>
        </r>
        <r>
          <rPr>
            <sz val="14"/>
            <color rgb="FF000000"/>
            <rFont val="Times New Roman"/>
            <family val="18"/>
          </rPr>
          <t xml:space="preserve"> [ST May 1803]</t>
        </r>
        <r>
          <rPr>
            <sz val="14"/>
            <color rgb="FF000000"/>
            <rFont val="Calibri"/>
            <family val="34"/>
          </rPr>
          <t xml:space="preserve">
</t>
        </r>
        <r>
          <rPr>
            <sz val="14"/>
            <color rgb="FF000000"/>
            <rFont val="Times New Roman"/>
            <family val="18"/>
          </rPr>
          <t>09/09/1803 Muster: IR 39 Haupt Bakich Komp. Nr. 99 [</t>
        </r>
        <r>
          <rPr>
            <i/>
            <sz val="14"/>
            <color rgb="FF000000"/>
            <rFont val="Times New Roman"/>
            <family val="18"/>
          </rPr>
          <t>Auf Mappierung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11/02/1804 </t>
        </r>
        <r>
          <rPr>
            <i/>
            <sz val="14"/>
            <color rgb="FF000000"/>
            <rFont val="Times New Roman"/>
            <family val="18"/>
          </rPr>
          <t>Zurück in Kompanie</t>
        </r>
        <r>
          <rPr>
            <sz val="14"/>
            <color rgb="FF000000"/>
            <rFont val="Times New Roman"/>
            <family val="18"/>
          </rPr>
          <t xml:space="preserve"> [ST Feb 1804] </t>
        </r>
        <r>
          <rPr>
            <sz val="14"/>
            <color rgb="FF000000"/>
            <rFont val="Calibri"/>
            <family val="34"/>
          </rPr>
          <t xml:space="preserve">
</t>
        </r>
        <r>
          <rPr>
            <sz val="14"/>
            <color rgb="FF000000"/>
            <rFont val="Times New Roman"/>
            <family val="18"/>
          </rPr>
          <t xml:space="preserve">24/05/1804 Muster: IR 39 Haupt Bakich Komp. Nr. 92 </t>
        </r>
        <r>
          <rPr>
            <sz val="14"/>
            <color rgb="FF000000"/>
            <rFont val="Calibri"/>
            <family val="34"/>
          </rPr>
          <t xml:space="preserve">
</t>
        </r>
        <r>
          <rPr>
            <sz val="14"/>
            <color rgb="FF000000"/>
            <rFont val="Times New Roman"/>
            <family val="18"/>
          </rPr>
          <t>26/11/1804</t>
        </r>
        <r>
          <rPr>
            <i/>
            <sz val="14"/>
            <color rgb="FF000000"/>
            <rFont val="Times New Roman"/>
            <family val="18"/>
          </rPr>
          <t xml:space="preserve"> Bis zur Einberufung beurlaubt</t>
        </r>
        <r>
          <rPr>
            <sz val="14"/>
            <color rgb="FF000000"/>
            <rFont val="Times New Roman"/>
            <family val="18"/>
          </rPr>
          <t xml:space="preserve"> [ST Nov 1804]</t>
        </r>
        <r>
          <rPr>
            <sz val="14"/>
            <color rgb="FF000000"/>
            <rFont val="Calibri"/>
            <family val="34"/>
          </rPr>
          <t xml:space="preserve">
</t>
        </r>
        <r>
          <rPr>
            <sz val="14"/>
            <color rgb="FF000000"/>
            <rFont val="Times New Roman"/>
            <family val="18"/>
          </rPr>
          <t xml:space="preserve">05/06/1805 </t>
        </r>
        <r>
          <rPr>
            <i/>
            <sz val="14"/>
            <color rgb="FF000000"/>
            <rFont val="Times New Roman"/>
            <family val="18"/>
          </rPr>
          <t>Von unbestimmte Urlaub zurück und seitdem beim Abrichtungsdepot zugeteilt</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01/09/1805 </t>
        </r>
        <r>
          <rPr>
            <i/>
            <sz val="14"/>
            <color rgb="FF000000"/>
            <rFont val="Times New Roman"/>
            <family val="18"/>
          </rPr>
          <t>Auf bestimmte Zeit Beurlaubt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30/09/1805 </t>
        </r>
        <r>
          <rPr>
            <i/>
            <sz val="14"/>
            <color rgb="FF000000"/>
            <rFont val="Times New Roman"/>
            <family val="18"/>
          </rPr>
          <t>In Folge hoher Verordnung dd. Ofen am 9. Septemb: a:c: gegen Stellung eines anderen Mannes und Erlag des Monturgeldes mit Abschied entlassen</t>
        </r>
        <r>
          <rPr>
            <sz val="14"/>
            <color rgb="FF000000"/>
            <rFont val="Times New Roman"/>
            <family val="18"/>
          </rPr>
          <t xml:space="preserve"> [ST Okt 1805]</t>
        </r>
        <r>
          <rPr>
            <sz val="14"/>
            <color rgb="FF000000"/>
            <rFont val="Calibri"/>
            <family val="34"/>
          </rPr>
          <t xml:space="preserve">
</t>
        </r>
      </text>
    </comment>
    <comment ref="BG680" authorId="0" shapeId="0" xr:uid="{46068AC9-B27A-1F4F-AB13-2F8B9CDE20F3}">
      <text>
        <r>
          <rPr>
            <sz val="14"/>
            <color rgb="FF000000"/>
            <rFont val="Times New Roman"/>
            <family val="18"/>
          </rPr>
          <t>ML 3497 IR 39 (1803) – Haupt Bakich Komp. Nr. 97 (Venice 09/09/1803)</t>
        </r>
        <r>
          <rPr>
            <sz val="14"/>
            <color rgb="FF000000"/>
            <rFont val="Calibri"/>
            <family val="34"/>
          </rPr>
          <t xml:space="preserve">
</t>
        </r>
        <r>
          <rPr>
            <sz val="14"/>
            <color rgb="FF000000"/>
            <rFont val="Times New Roman"/>
            <family val="18"/>
          </rPr>
          <t>ML 3498 IR 39 (1804) – Haupt Bakich Komp. Nr. 90 (Lido 24/05/1804)</t>
        </r>
        <r>
          <rPr>
            <sz val="14"/>
            <color rgb="FF000000"/>
            <rFont val="Calibri"/>
            <family val="34"/>
          </rPr>
          <t xml:space="preserve">
</t>
        </r>
        <r>
          <rPr>
            <sz val="14"/>
            <color rgb="FF000000"/>
            <rFont val="Times New Roman"/>
            <family val="18"/>
          </rPr>
          <t>ML 3499 IR 39 (1805) – 4. Fus. Komp. Abgang (Leutschau 23/01/1807)</t>
        </r>
        <r>
          <rPr>
            <sz val="14"/>
            <color rgb="FF000000"/>
            <rFont val="Calibri"/>
            <family val="34"/>
          </rPr>
          <t xml:space="preserve">
</t>
        </r>
        <r>
          <rPr>
            <sz val="14"/>
            <color rgb="FF000000"/>
            <rFont val="Times New Roman"/>
            <family val="18"/>
          </rPr>
          <t>ML 3544 IR 39 (1803) – ST Mai (??)</t>
        </r>
        <r>
          <rPr>
            <sz val="14"/>
            <color rgb="FF000000"/>
            <rFont val="Calibri"/>
            <family val="34"/>
          </rPr>
          <t xml:space="preserve">
</t>
        </r>
        <r>
          <rPr>
            <sz val="14"/>
            <color rgb="FF000000"/>
            <rFont val="Times New Roman"/>
            <family val="18"/>
          </rPr>
          <t>ML 3545 IR 39 (1804) – ST Feb (Venice 14/03/1804), ST Nov (Venice 12/12/1804)</t>
        </r>
        <r>
          <rPr>
            <sz val="14"/>
            <color rgb="FF000000"/>
            <rFont val="Calibri"/>
            <family val="34"/>
          </rPr>
          <t xml:space="preserve">
</t>
        </r>
        <r>
          <rPr>
            <sz val="14"/>
            <color rgb="FF000000"/>
            <rFont val="Times New Roman"/>
            <family val="18"/>
          </rPr>
          <t>ML 3546 IR 39 (1805) – ST Juli (Pergine 28/08/1805), ST September (Stuhlweißenburg 15/07/1806), ST Okt (31/07/1806)</t>
        </r>
        <r>
          <rPr>
            <sz val="14"/>
            <color rgb="FF000000"/>
            <rFont val="Calibri"/>
            <family val="34"/>
          </rPr>
          <t xml:space="preserve">
</t>
        </r>
      </text>
    </comment>
    <comment ref="BH680" authorId="0" shapeId="0" xr:uid="{7ACC2FBF-0971-CE4C-B002-8F8E938D34EF}">
      <text>
        <r>
          <rPr>
            <sz val="14"/>
            <color rgb="FF000000"/>
            <rFont val="Calibri"/>
            <family val="34"/>
          </rPr>
          <t>IR 39 (1800-1805)</t>
        </r>
      </text>
    </comment>
    <comment ref="BF681" authorId="0" shapeId="0" xr:uid="{D1B2B0A5-912A-1A40-8F09-B4D7E59E591E}">
      <text>
        <r>
          <rPr>
            <sz val="14"/>
            <color rgb="FF000000"/>
            <rFont val="Times New Roman"/>
            <family val="18"/>
          </rPr>
          <t xml:space="preserve">17/04/1800 </t>
        </r>
        <r>
          <rPr>
            <i/>
            <sz val="14"/>
            <color rgb="FF000000"/>
            <rFont val="Times New Roman"/>
            <family val="18"/>
          </rPr>
          <t>A 4Fl Handgeld auf Kriegsdauer angeworben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11/03/1803 </t>
        </r>
        <r>
          <rPr>
            <i/>
            <sz val="14"/>
            <color rgb="FF000000"/>
            <rFont val="Times New Roman"/>
            <family val="18"/>
          </rPr>
          <t>Im Marsch auf Urlaub mit deutschen Loco Gebühr ohne Service</t>
        </r>
        <r>
          <rPr>
            <sz val="14"/>
            <color rgb="FF000000"/>
            <rFont val="Times New Roman"/>
            <family val="18"/>
          </rPr>
          <t xml:space="preserve"> [ST März 1803]</t>
        </r>
        <r>
          <rPr>
            <sz val="14"/>
            <color rgb="FF000000"/>
            <rFont val="Calibri"/>
            <family val="34"/>
          </rPr>
          <t xml:space="preserve">
</t>
        </r>
        <r>
          <rPr>
            <sz val="14"/>
            <color rgb="FF000000"/>
            <rFont val="Times New Roman"/>
            <family val="18"/>
          </rPr>
          <t xml:space="preserve">04/04/1803 </t>
        </r>
        <r>
          <rPr>
            <i/>
            <sz val="14"/>
            <color rgb="FF000000"/>
            <rFont val="Times New Roman"/>
            <family val="18"/>
          </rPr>
          <t>Im Marsch auf Urlaub mit ungarischer Gebühr</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Auf unbestimmte Urlaub</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09/09/1803 Muster: IR 39 1. Major. Komp. Nr. 93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24/05/1804 Muster: IR 39 1. Major Komp. Nr. 85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[RL 1807]</t>
        </r>
        <r>
          <rPr>
            <sz val="14"/>
            <color rgb="FF000000"/>
            <rFont val="Calibri"/>
            <family val="34"/>
          </rPr>
          <t xml:space="preserve">
</t>
        </r>
      </text>
    </comment>
    <comment ref="BG681" authorId="0" shapeId="0" xr:uid="{FF480A98-2B95-E84D-9F76-6FFCFEAD80C7}">
      <text>
        <r>
          <rPr>
            <sz val="14"/>
            <color rgb="FF000000"/>
            <rFont val="Times New Roman"/>
            <family val="18"/>
          </rPr>
          <t>ML 3497 IR 39 (1803) – Haupt Bakich Komp. Nr. 97 (Venice 09/09/1803)</t>
        </r>
        <r>
          <rPr>
            <sz val="14"/>
            <color rgb="FF000000"/>
            <rFont val="Calibri"/>
            <family val="34"/>
          </rPr>
          <t xml:space="preserve">
</t>
        </r>
        <r>
          <rPr>
            <sz val="14"/>
            <color rgb="FF000000"/>
            <rFont val="Times New Roman"/>
            <family val="18"/>
          </rPr>
          <t>ML 3498 IR 39 (1804) – Haupt Bakich Komp. Nr. 90 (Lido 24/05/1804)</t>
        </r>
        <r>
          <rPr>
            <sz val="14"/>
            <color rgb="FF000000"/>
            <rFont val="Calibri"/>
            <family val="34"/>
          </rPr>
          <t xml:space="preserve">
</t>
        </r>
        <r>
          <rPr>
            <sz val="14"/>
            <color rgb="FF000000"/>
            <rFont val="Times New Roman"/>
            <family val="18"/>
          </rPr>
          <t>ML 3499 IR 39 (1807) – 4. Fus. Komp. Abgang (Letschau 23/01/807)</t>
        </r>
        <r>
          <rPr>
            <sz val="14"/>
            <color rgb="FF000000"/>
            <rFont val="Calibri"/>
            <family val="34"/>
          </rPr>
          <t xml:space="preserve">
</t>
        </r>
        <r>
          <rPr>
            <sz val="14"/>
            <color rgb="FF000000"/>
            <rFont val="Times New Roman"/>
            <family val="18"/>
          </rPr>
          <t>ML 3544 IR 39 (1803) – ST März (20/04/1803), ST April (Venice 15/05/1803); ST Mai (??)</t>
        </r>
        <r>
          <rPr>
            <sz val="14"/>
            <color rgb="FF000000"/>
            <rFont val="Calibri"/>
            <family val="34"/>
          </rPr>
          <t xml:space="preserve">
</t>
        </r>
      </text>
    </comment>
    <comment ref="BH681" authorId="0" shapeId="0" xr:uid="{BE4B0A33-9DB4-2549-B824-1F54BC615FE8}">
      <text>
        <r>
          <rPr>
            <sz val="14"/>
            <color rgb="FF000000"/>
            <rFont val="Calibri"/>
            <family val="34"/>
          </rPr>
          <t>IR 39 (1800-1806)</t>
        </r>
      </text>
    </comment>
    <comment ref="BF682" authorId="0" shapeId="0" xr:uid="{03A22E76-A105-1E4A-AAF5-944F22462A7E}">
      <text>
        <r>
          <rPr>
            <sz val="14"/>
            <color rgb="FF000000"/>
            <rFont val="Times New Roman"/>
            <family val="18"/>
          </rPr>
          <t xml:space="preserve">17/04/1800 </t>
        </r>
        <r>
          <rPr>
            <i/>
            <sz val="14"/>
            <color rgb="FF000000"/>
            <rFont val="Times New Roman"/>
            <family val="18"/>
          </rPr>
          <t>A 3Fl Handgeld Von Lande auf Dauer des Krieges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11/03/1803 </t>
        </r>
        <r>
          <rPr>
            <i/>
            <sz val="14"/>
            <color rgb="FF000000"/>
            <rFont val="Times New Roman"/>
            <family val="18"/>
          </rPr>
          <t>Im Marsch auf Urlaub mit deutschen Loco Gebühr, ohne Teuerungsbeitrag und ohne Service</t>
        </r>
        <r>
          <rPr>
            <sz val="14"/>
            <color rgb="FF000000"/>
            <rFont val="Times New Roman"/>
            <family val="18"/>
          </rPr>
          <t xml:space="preserve"> [ST März 1803]</t>
        </r>
        <r>
          <rPr>
            <sz val="14"/>
            <color rgb="FF000000"/>
            <rFont val="Calibri"/>
            <family val="34"/>
          </rPr>
          <t xml:space="preserve">
</t>
        </r>
        <r>
          <rPr>
            <sz val="14"/>
            <color rgb="FF000000"/>
            <rFont val="Times New Roman"/>
            <family val="18"/>
          </rPr>
          <t xml:space="preserve">04/04/1803 </t>
        </r>
        <r>
          <rPr>
            <i/>
            <sz val="14"/>
            <color rgb="FF000000"/>
            <rFont val="Times New Roman"/>
            <family val="18"/>
          </rPr>
          <t>Im Marsch auf Urlaub mit ungarischer Gebühr</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 xml:space="preserve">01/05/1803 </t>
        </r>
        <r>
          <rPr>
            <i/>
            <sz val="14"/>
            <color rgb="FF000000"/>
            <rFont val="Times New Roman"/>
            <family val="18"/>
          </rPr>
          <t>Auf unbestimmte Urlaub</t>
        </r>
        <r>
          <rPr>
            <sz val="14"/>
            <color rgb="FF000000"/>
            <rFont val="Times New Roman"/>
            <family val="18"/>
          </rPr>
          <t xml:space="preserve"> [ST Mai 1803]</t>
        </r>
        <r>
          <rPr>
            <sz val="14"/>
            <color rgb="FF000000"/>
            <rFont val="Calibri"/>
            <family val="34"/>
          </rPr>
          <t xml:space="preserve">
</t>
        </r>
        <r>
          <rPr>
            <sz val="14"/>
            <color rgb="FF000000"/>
            <rFont val="Times New Roman"/>
            <family val="18"/>
          </rPr>
          <t>09/09/1803 Muster: IR 39 Haupt Bakich Komp. Nr. 97 [</t>
        </r>
        <r>
          <rPr>
            <i/>
            <sz val="14"/>
            <color rgb="FF000000"/>
            <rFont val="Times New Roman"/>
            <family val="18"/>
          </rPr>
          <t>Beurlaubt in seinem Geburtsort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24/05/1804 Muster: IR 39 Haupt Bakich Komp. Nr. 90 [</t>
        </r>
        <r>
          <rPr>
            <i/>
            <sz val="14"/>
            <color rgb="FF000000"/>
            <rFont val="Times New Roman"/>
            <family val="18"/>
          </rPr>
          <t>In dessen Geburtsort</t>
        </r>
        <r>
          <rPr>
            <sz val="14"/>
            <color rgb="FF000000"/>
            <rFont val="Times New Roman"/>
            <family val="18"/>
          </rPr>
          <t xml:space="preserve">] </t>
        </r>
        <r>
          <rPr>
            <sz val="14"/>
            <color rgb="FF000000"/>
            <rFont val="Calibri"/>
            <family val="34"/>
          </rPr>
          <t xml:space="preserve">
</t>
        </r>
        <r>
          <rPr>
            <sz val="14"/>
            <color rgb="FF000000"/>
            <rFont val="Times New Roman"/>
            <family val="18"/>
          </rPr>
          <t>Nie Desertiert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[RL 1807]</t>
        </r>
        <r>
          <rPr>
            <sz val="14"/>
            <color rgb="FF000000"/>
            <rFont val="Calibri"/>
            <family val="34"/>
          </rPr>
          <t xml:space="preserve">
</t>
        </r>
      </text>
    </comment>
    <comment ref="BG682" authorId="0" shapeId="0" xr:uid="{56562DE3-1082-1049-B82A-59E79A03CB5E}">
      <text>
        <r>
          <rPr>
            <sz val="14"/>
            <color rgb="FF000000"/>
            <rFont val="Times New Roman"/>
            <family val="18"/>
          </rPr>
          <t xml:space="preserve">ML 3497 IR 39 (1803) – 1. Major Komp. Nr. 93 (Venice 09/09/1803)
</t>
        </r>
        <r>
          <rPr>
            <sz val="14"/>
            <color rgb="FF000000"/>
            <rFont val="Times New Roman"/>
            <family val="18"/>
          </rPr>
          <t xml:space="preserve">ML 3498 IR 39 (1804) – 1. Major Komp. Nr. 85 (Lido 24/05/1804)
</t>
        </r>
        <r>
          <rPr>
            <sz val="14"/>
            <color rgb="FF000000"/>
            <rFont val="Times New Roman"/>
            <family val="18"/>
          </rPr>
          <t xml:space="preserve">ML 3499 IR 39 (1807) – 13. Fus. Komp. Abgang (Letschau 23/01/1807)
</t>
        </r>
        <r>
          <rPr>
            <sz val="14"/>
            <color rgb="FF000000"/>
            <rFont val="Times New Roman"/>
            <family val="18"/>
          </rPr>
          <t xml:space="preserve">ML 3544 IR 39 (1803) – ST März (20/04/1803), ST April (Venice 15/05/1803)
</t>
        </r>
      </text>
    </comment>
    <comment ref="BH682" authorId="0" shapeId="0" xr:uid="{3E22A9D5-5470-904A-9B84-56DD88BF95A8}">
      <text>
        <r>
          <rPr>
            <sz val="14"/>
            <color rgb="FF000000"/>
            <rFont val="Calibri"/>
            <family val="34"/>
          </rPr>
          <t>IR 39 (1800-1806)</t>
        </r>
      </text>
    </comment>
    <comment ref="BF683" authorId="0" shapeId="0" xr:uid="{1B5E7473-E967-5E49-BBB4-63410E981D52}">
      <text>
        <r>
          <rPr>
            <sz val="14"/>
            <color rgb="FF000000"/>
            <rFont val="Times New Roman"/>
            <family val="18"/>
          </rPr>
          <t xml:space="preserve">22/04/1800 </t>
        </r>
        <r>
          <rPr>
            <i/>
            <sz val="14"/>
            <color rgb="FF000000"/>
            <rFont val="Times New Roman"/>
            <family val="18"/>
          </rPr>
          <t xml:space="preserve">Von Land gestellt und zum IR 1 a 3Fl 4. Batallion 4. Vacante [Dietlinger] Komp als Inländer assentiert </t>
        </r>
        <r>
          <rPr>
            <sz val="14"/>
            <color rgb="FF000000"/>
            <rFont val="Times New Roman"/>
            <family val="18"/>
          </rPr>
          <t>[AL April1800]</t>
        </r>
        <r>
          <rPr>
            <sz val="14"/>
            <color rgb="FF000000"/>
            <rFont val="Calibri"/>
            <family val="34"/>
          </rPr>
          <t xml:space="preserve">
</t>
        </r>
        <r>
          <rPr>
            <sz val="14"/>
            <color rgb="FF000000"/>
            <rFont val="Times New Roman"/>
            <family val="18"/>
          </rPr>
          <t xml:space="preserve">02/1802 </t>
        </r>
        <r>
          <rPr>
            <i/>
            <sz val="14"/>
            <color rgb="FF000000"/>
            <rFont val="Times New Roman"/>
            <family val="18"/>
          </rPr>
          <t>Beurlaubt in Galizien</t>
        </r>
        <r>
          <rPr>
            <sz val="14"/>
            <color rgb="FF000000"/>
            <rFont val="Times New Roman"/>
            <family val="18"/>
          </rPr>
          <t xml:space="preserve"> [TL Nov 1802]</t>
        </r>
        <r>
          <rPr>
            <sz val="14"/>
            <color rgb="FF000000"/>
            <rFont val="Calibri"/>
            <family val="34"/>
          </rPr>
          <t xml:space="preserve">
</t>
        </r>
        <r>
          <rPr>
            <sz val="14"/>
            <color rgb="FF000000"/>
            <rFont val="Times New Roman"/>
            <family val="18"/>
          </rPr>
          <t xml:space="preserve">10/08/1802 </t>
        </r>
        <r>
          <rPr>
            <i/>
            <sz val="14"/>
            <color rgb="FF000000"/>
            <rFont val="Times New Roman"/>
            <family val="18"/>
          </rPr>
          <t>Von IR 1 ObristLt Komp. zum IR 57 transferiert</t>
        </r>
        <r>
          <rPr>
            <sz val="14"/>
            <color rgb="FF000000"/>
            <rFont val="Times New Roman"/>
            <family val="18"/>
          </rPr>
          <t xml:space="preserve"> [TL Nov 1802]</t>
        </r>
      </text>
    </comment>
    <comment ref="BG683" authorId="0" shapeId="0" xr:uid="{C16D3B2F-8800-4245-B343-4C25ACB6399D}">
      <text>
        <r>
          <rPr>
            <sz val="14"/>
            <color rgb="FF000000"/>
            <rFont val="Times New Roman"/>
            <family val="18"/>
          </rPr>
          <t>ML 75 IR 1 (1800) – AL Nr. 51 (Zamosc 29/04/1800)</t>
        </r>
        <r>
          <rPr>
            <sz val="14"/>
            <color rgb="FF000000"/>
            <rFont val="Calibri"/>
            <family val="34"/>
          </rPr>
          <t xml:space="preserve">
</t>
        </r>
        <r>
          <rPr>
            <sz val="14"/>
            <color rgb="FF000000"/>
            <rFont val="Times New Roman"/>
            <family val="18"/>
          </rPr>
          <t>ML 79 IR 1 (1802) AL/TL – TL IR 1-&gt;IR 57 Nr. 597 (Prossnitz 09/11/1802)</t>
        </r>
        <r>
          <rPr>
            <sz val="14"/>
            <color rgb="FF000000"/>
            <rFont val="Calibri"/>
            <family val="34"/>
          </rPr>
          <t xml:space="preserve">
</t>
        </r>
      </text>
    </comment>
    <comment ref="BH683" authorId="0" shapeId="0" xr:uid="{DF29A10A-0C2A-CD42-94D2-25D3D1FE4D52}">
      <text>
        <r>
          <rPr>
            <sz val="14"/>
            <color rgb="FF000000"/>
            <rFont val="Calibri"/>
            <family val="34"/>
          </rPr>
          <t xml:space="preserve">IR 1 (1800-1802)
</t>
        </r>
        <r>
          <rPr>
            <sz val="14"/>
            <color rgb="FF000000"/>
            <rFont val="Calibri"/>
            <family val="34"/>
          </rPr>
          <t>IR 57 (1802)</t>
        </r>
      </text>
    </comment>
    <comment ref="BI683" authorId="0" shapeId="0" xr:uid="{FFAFFBB8-998C-3742-A0F2-5A3D72590054}">
      <text>
        <r>
          <rPr>
            <sz val="14"/>
            <color rgb="FF000000"/>
            <rFont val="Calibri"/>
            <family val="34"/>
          </rPr>
          <t xml:space="preserve">Gut [TL Nov 1802] </t>
        </r>
      </text>
    </comment>
    <comment ref="BF684" authorId="0" shapeId="0" xr:uid="{5A754F7F-211A-2B45-906A-32E2832F0F49}">
      <text>
        <r>
          <rPr>
            <sz val="14"/>
            <color rgb="FF000000"/>
            <rFont val="Times New Roman"/>
            <family val="18"/>
          </rPr>
          <t xml:space="preserve">22/04/1800 </t>
        </r>
        <r>
          <rPr>
            <i/>
            <sz val="14"/>
            <color rgb="FF000000"/>
            <rFont val="Times New Roman"/>
            <family val="18"/>
          </rPr>
          <t xml:space="preserve">Von Land ohne Capitulation gestellt und zum IR 1 a 3Fl 4. Batallion 4. Vacante [Dietlinger] Komp als Inländer assentiert </t>
        </r>
        <r>
          <rPr>
            <sz val="14"/>
            <color rgb="FF000000"/>
            <rFont val="Times New Roman"/>
            <family val="18"/>
          </rPr>
          <t>[AL April1800]</t>
        </r>
        <r>
          <rPr>
            <sz val="14"/>
            <color rgb="FF000000"/>
            <rFont val="Calibri"/>
            <family val="34"/>
          </rPr>
          <t xml:space="preserve">
</t>
        </r>
        <r>
          <rPr>
            <sz val="14"/>
            <color rgb="FF000000"/>
            <rFont val="Times New Roman"/>
            <family val="18"/>
          </rPr>
          <t xml:space="preserve">??/??/???? </t>
        </r>
        <r>
          <rPr>
            <i/>
            <sz val="14"/>
            <color rgb="FF000000"/>
            <rFont val="Times New Roman"/>
            <family val="18"/>
          </rPr>
          <t>Beurlaubt in Galizien</t>
        </r>
        <r>
          <rPr>
            <sz val="14"/>
            <color rgb="FF000000"/>
            <rFont val="Times New Roman"/>
            <family val="18"/>
          </rPr>
          <t xml:space="preserve"> [TL Sept 1802]</t>
        </r>
        <r>
          <rPr>
            <sz val="14"/>
            <color rgb="FF000000"/>
            <rFont val="Calibri"/>
            <family val="34"/>
          </rPr>
          <t xml:space="preserve">
</t>
        </r>
        <r>
          <rPr>
            <sz val="14"/>
            <color rgb="FF000000"/>
            <rFont val="Times New Roman"/>
            <family val="18"/>
          </rPr>
          <t xml:space="preserve">10/08/1802 </t>
        </r>
        <r>
          <rPr>
            <i/>
            <sz val="14"/>
            <color rgb="FF000000"/>
            <rFont val="Times New Roman"/>
            <family val="18"/>
          </rPr>
          <t>Von  IR 1 Haupt Janda Komp zum IR 8 transferiert</t>
        </r>
        <r>
          <rPr>
            <sz val="14"/>
            <color rgb="FF000000"/>
            <rFont val="Times New Roman"/>
            <family val="18"/>
          </rPr>
          <t xml:space="preserve"> [TL Sept 1802]</t>
        </r>
      </text>
    </comment>
    <comment ref="BG684" authorId="0" shapeId="0" xr:uid="{75BEE25D-86D7-2944-9823-7C4C0D73F0A2}">
      <text>
        <r>
          <rPr>
            <sz val="14"/>
            <color rgb="FF000000"/>
            <rFont val="Times New Roman"/>
            <family val="18"/>
          </rPr>
          <t>ML 75 IR 1 (1800) AL/TL – AL Nr. 50 (Zamosc 29/04/1800)</t>
        </r>
        <r>
          <rPr>
            <sz val="14"/>
            <color rgb="FF000000"/>
            <rFont val="Calibri"/>
            <family val="34"/>
          </rPr>
          <t xml:space="preserve">
</t>
        </r>
        <r>
          <rPr>
            <sz val="14"/>
            <color rgb="FF000000"/>
            <rFont val="Times New Roman"/>
            <family val="18"/>
          </rPr>
          <t>ML 79 IR 1 (1802) AL/TL – TL IR 1-&gt;IR 8 Nr. 39 (Lager bei Tauras 05/09/1802)</t>
        </r>
        <r>
          <rPr>
            <sz val="14"/>
            <color rgb="FF000000"/>
            <rFont val="Calibri"/>
            <family val="34"/>
          </rPr>
          <t xml:space="preserve">
</t>
        </r>
      </text>
    </comment>
    <comment ref="BH684" authorId="0" shapeId="0" xr:uid="{2BA721A0-4DB3-7A4E-BB44-A66EE9372D29}">
      <text>
        <r>
          <rPr>
            <sz val="14"/>
            <color rgb="FF000000"/>
            <rFont val="Calibri"/>
            <family val="34"/>
          </rPr>
          <t xml:space="preserve">IR 1 (1800-1802)
</t>
        </r>
        <r>
          <rPr>
            <sz val="14"/>
            <color rgb="FF000000"/>
            <rFont val="Calibri"/>
            <family val="34"/>
          </rPr>
          <t>IR 8 (1802)</t>
        </r>
      </text>
    </comment>
    <comment ref="BF685" authorId="0" shapeId="0" xr:uid="{C7F3DB77-6AAD-064F-96B7-491C1308CE63}">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85" authorId="0" shapeId="0" xr:uid="{CC629852-CDA0-104A-8A63-92A322CDFF8F}">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H685" authorId="0" shapeId="0" xr:uid="{DC404BFD-7B01-4C41-91B0-F0EBCB499020}">
      <text>
        <r>
          <rPr>
            <sz val="14"/>
            <color rgb="FF000000"/>
            <rFont val="Calibri"/>
            <family val="34"/>
          </rPr>
          <t>IR 43 (1800-1801)</t>
        </r>
      </text>
    </comment>
    <comment ref="BF686" authorId="0" shapeId="0" xr:uid="{D81E1B57-4CEF-8047-89F7-34B78310B887}">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Mai 1800]</t>
        </r>
        <r>
          <rPr>
            <sz val="14"/>
            <color rgb="FF000000"/>
            <rFont val="Calibri"/>
            <family val="34"/>
          </rPr>
          <t xml:space="preserve">
</t>
        </r>
        <r>
          <rPr>
            <sz val="14"/>
            <color rgb="FF000000"/>
            <rFont val="Times New Roman"/>
            <family val="18"/>
          </rPr>
          <t>16/02/1801</t>
        </r>
        <r>
          <rPr>
            <i/>
            <sz val="14"/>
            <color rgb="FF000000"/>
            <rFont val="Times New Roman"/>
            <family val="18"/>
          </rPr>
          <t xml:space="preserve"> In die Reserve Division eingerückt </t>
        </r>
        <r>
          <rPr>
            <sz val="14"/>
            <color rgb="FF000000"/>
            <rFont val="Times New Roman"/>
            <family val="18"/>
          </rPr>
          <t>[ST Feb 1801]</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 nicht mehr in die Quellen</t>
        </r>
        <r>
          <rPr>
            <sz val="14"/>
            <color rgb="FF000000"/>
            <rFont val="Calibri"/>
            <family val="34"/>
          </rPr>
          <t xml:space="preserve">
</t>
        </r>
      </text>
    </comment>
    <comment ref="BG686" authorId="0" shapeId="0" xr:uid="{3268CBB7-CB68-3940-8683-A8BBCAF4D303}">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text>
    </comment>
    <comment ref="BH686" authorId="0" shapeId="0" xr:uid="{76F2731B-62D1-8F48-BEAD-3EA0D71AEA6C}">
      <text>
        <r>
          <rPr>
            <sz val="14"/>
            <color rgb="FF000000"/>
            <rFont val="Calibri"/>
            <family val="34"/>
          </rPr>
          <t>IR 43 (1800-1801)</t>
        </r>
      </text>
    </comment>
    <comment ref="BF687" authorId="0" shapeId="0" xr:uid="{A3D9D248-158A-924B-93FA-BF5F6E1FEEA1}">
      <text>
        <r>
          <rPr>
            <sz val="14"/>
            <color rgb="FF000000"/>
            <rFont val="Times New Roman"/>
            <family val="18"/>
          </rPr>
          <t xml:space="preserve">02/05/1800 </t>
        </r>
        <r>
          <rPr>
            <i/>
            <sz val="14"/>
            <color rgb="FF000000"/>
            <rFont val="Times New Roman"/>
            <family val="18"/>
          </rPr>
          <t>in Galizien ausgehoben a 3Fl und zu Biala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07/05/1800 </t>
        </r>
        <r>
          <rPr>
            <i/>
            <sz val="14"/>
            <color rgb="FF000000"/>
            <rFont val="Times New Roman"/>
            <family val="18"/>
          </rPr>
          <t>Zu Krakau gestorben</t>
        </r>
        <r>
          <rPr>
            <sz val="14"/>
            <color rgb="FF000000"/>
            <rFont val="Times New Roman"/>
            <family val="18"/>
          </rPr>
          <t xml:space="preserve"> [ST July 1800]</t>
        </r>
        <r>
          <rPr>
            <sz val="14"/>
            <color rgb="FF000000"/>
            <rFont val="Calibri"/>
            <family val="34"/>
          </rPr>
          <t xml:space="preserve">
</t>
        </r>
      </text>
    </comment>
    <comment ref="BG687" authorId="0" shapeId="0" xr:uid="{FF887A58-BE40-0542-86AB-C1737360A77A}">
      <text>
        <r>
          <rPr>
            <sz val="14"/>
            <color rgb="FF000000"/>
            <rFont val="Times New Roman"/>
            <family val="18"/>
          </rPr>
          <t>ML 10.309 IR 43 (1800) – ST May (????), July (24/10/1803)</t>
        </r>
        <r>
          <rPr>
            <sz val="14"/>
            <color rgb="FF000000"/>
            <rFont val="Calibri"/>
            <family val="34"/>
          </rPr>
          <t xml:space="preserve">
</t>
        </r>
      </text>
    </comment>
    <comment ref="BH687" authorId="0" shapeId="0" xr:uid="{9797307E-CD17-AB46-8C11-0C68F60920C9}">
      <text>
        <r>
          <rPr>
            <sz val="14"/>
            <color rgb="FF000000"/>
            <rFont val="Calibri"/>
            <family val="34"/>
          </rPr>
          <t>IR 43 (1800)</t>
        </r>
      </text>
    </comment>
    <comment ref="BF688" authorId="0" shapeId="0" xr:uid="{0C60F77E-58FA-C643-85DE-40DBF28FF64B}">
      <text>
        <r>
          <rPr>
            <sz val="14"/>
            <color rgb="FF000000"/>
            <rFont val="Times New Roman"/>
            <family val="18"/>
          </rPr>
          <t xml:space="preserve">02/05/1800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88" authorId="0" shapeId="0" xr:uid="{C303DF90-6978-0B43-8208-2C87A29F80DC}">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88" authorId="0" shapeId="0" xr:uid="{489EBC29-A933-CD44-A203-F08DE9DF31DC}">
      <text>
        <r>
          <rPr>
            <sz val="14"/>
            <color rgb="FF000000"/>
            <rFont val="Calibri"/>
            <family val="34"/>
          </rPr>
          <t>IR 43 (1800-1801)</t>
        </r>
      </text>
    </comment>
    <comment ref="BF689" authorId="0" shapeId="0" xr:uid="{089823D7-EB83-234F-81D2-573A64105BE0}">
      <text>
        <r>
          <rPr>
            <sz val="14"/>
            <color rgb="FF000000"/>
            <rFont val="Times New Roman"/>
            <family val="18"/>
          </rPr>
          <t xml:space="preserve">03/05/1800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89" authorId="0" shapeId="0" xr:uid="{4EAF742F-4FBA-574D-A4FB-F96885DA5312}">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89" authorId="0" shapeId="0" xr:uid="{AB107D10-0E61-F441-A174-E9BBF6660557}">
      <text>
        <r>
          <rPr>
            <sz val="14"/>
            <color rgb="FF000000"/>
            <rFont val="Calibri"/>
            <family val="34"/>
          </rPr>
          <t>IR 43 (1800-1801)</t>
        </r>
      </text>
    </comment>
    <comment ref="BF690" authorId="0" shapeId="0" xr:uid="{7B314F99-4781-094F-BE9D-624B5FD67530}">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0" authorId="0" shapeId="0" xr:uid="{57822EF9-F5F3-0945-B40E-7A61EDBC868C}">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0" authorId="0" shapeId="0" xr:uid="{E8A2984B-FC8D-D04E-8BC1-B64A1257AA00}">
      <text>
        <r>
          <rPr>
            <sz val="14"/>
            <color rgb="FF000000"/>
            <rFont val="Calibri"/>
            <family val="34"/>
          </rPr>
          <t>IR 43 (1800-1801)</t>
        </r>
      </text>
    </comment>
    <comment ref="BF691" authorId="0" shapeId="0" xr:uid="{19A89A14-E43A-824F-8F72-EDE0D52DD306}">
      <text>
        <r>
          <rPr>
            <sz val="14"/>
            <color rgb="FF000000"/>
            <rFont val="Times New Roman"/>
            <family val="18"/>
          </rPr>
          <t xml:space="preserve">04/05/1800 </t>
        </r>
        <r>
          <rPr>
            <i/>
            <sz val="14"/>
            <color rgb="FF000000"/>
            <rFont val="Times New Roman"/>
            <family val="18"/>
          </rPr>
          <t>in Galizien ausgehoben a 3Fl und zu Biala assentiert und seitdem auf Anhero Marsch</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26/08/1800 </t>
        </r>
        <r>
          <rPr>
            <i/>
            <sz val="14"/>
            <color rgb="FF000000"/>
            <rFont val="Times New Roman"/>
            <family val="18"/>
          </rPr>
          <t>Von Reserve Division ins 2. Major Comp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16/10/1800 </t>
        </r>
        <r>
          <rPr>
            <i/>
            <sz val="14"/>
            <color rgb="FF000000"/>
            <rFont val="Times New Roman"/>
            <family val="18"/>
          </rPr>
          <t>Krank auswärts mit Kriegsgebühr</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31/03/1801 </t>
        </r>
        <r>
          <rPr>
            <i/>
            <sz val="14"/>
            <color rgb="FF000000"/>
            <rFont val="Times New Roman"/>
            <family val="18"/>
          </rPr>
          <t>In auswärtiger Feldspitaller als uber ½ Jahr auswärts und dessen Existenz gänzlich unbewusst als Unwissend verloren in Abgang gebracht</t>
        </r>
        <r>
          <rPr>
            <sz val="14"/>
            <color rgb="FF000000"/>
            <rFont val="Times New Roman"/>
            <family val="18"/>
          </rPr>
          <t xml:space="preserve"> [ST April 1801]</t>
        </r>
        <r>
          <rPr>
            <sz val="14"/>
            <color rgb="FF000000"/>
            <rFont val="Calibri"/>
            <family val="34"/>
          </rPr>
          <t xml:space="preserve">
</t>
        </r>
      </text>
    </comment>
    <comment ref="BG691" authorId="0" shapeId="0" xr:uid="{CBF564EA-9700-4547-999A-CDF8A3BD6763}">
      <text>
        <r>
          <rPr>
            <sz val="14"/>
            <color rgb="FF000000"/>
            <rFont val="Times New Roman"/>
            <family val="18"/>
          </rPr>
          <t>ML 10.309 IR 43 (1800) – ST Mai (???), Juni (27/08/1803), Sept (31/01/1804), Oct (22/03/1804)</t>
        </r>
        <r>
          <rPr>
            <sz val="14"/>
            <color rgb="FF000000"/>
            <rFont val="Calibri"/>
            <family val="34"/>
          </rPr>
          <t xml:space="preserve">
</t>
        </r>
        <r>
          <rPr>
            <sz val="14"/>
            <color rgb="FF000000"/>
            <rFont val="Times New Roman"/>
            <family val="18"/>
          </rPr>
          <t>ML 10.311 IR 43 (1801) – April (13/10/1804)</t>
        </r>
        <r>
          <rPr>
            <sz val="14"/>
            <color rgb="FF000000"/>
            <rFont val="Calibri"/>
            <family val="34"/>
          </rPr>
          <t xml:space="preserve">
</t>
        </r>
      </text>
    </comment>
    <comment ref="BH691" authorId="0" shapeId="0" xr:uid="{24D68820-C090-FC4B-A7C7-C598E7A9B2B4}">
      <text>
        <r>
          <rPr>
            <sz val="14"/>
            <color rgb="FF000000"/>
            <rFont val="Calibri"/>
            <family val="34"/>
          </rPr>
          <t>IR 43 (1800-1801)</t>
        </r>
      </text>
    </comment>
    <comment ref="BF692" authorId="0" shapeId="0" xr:uid="{C2B3745C-105D-5C4A-A31A-8E287865F246}">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2" authorId="0" shapeId="0" xr:uid="{D15C232F-F2C5-CD49-8694-EC48DADDF29C}">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2" authorId="0" shapeId="0" xr:uid="{0BC63FD9-F480-684B-AF32-596503C54BF7}">
      <text>
        <r>
          <rPr>
            <sz val="14"/>
            <color rgb="FF000000"/>
            <rFont val="Calibri"/>
            <family val="34"/>
          </rPr>
          <t>IR 43 (1800-1801)</t>
        </r>
      </text>
    </comment>
    <comment ref="BF693" authorId="0" shapeId="0" xr:uid="{88EF9229-7B33-E44E-B440-1FCC3EE0A01D}">
      <text>
        <r>
          <rPr>
            <sz val="14"/>
            <color rgb="FF000000"/>
            <rFont val="Times New Roman"/>
            <family val="18"/>
          </rPr>
          <t xml:space="preserve">04/05/1800 </t>
        </r>
        <r>
          <rPr>
            <i/>
            <sz val="14"/>
            <color rgb="FF000000"/>
            <rFont val="Times New Roman"/>
            <family val="18"/>
          </rPr>
          <t>In Galizien ausgehoben a 3Fl und zu Biala assentiert und seitdem auf Anhero Marsch</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31/07/1801 UNBEKANNT: </t>
        </r>
        <r>
          <rPr>
            <i/>
            <sz val="14"/>
            <color rgb="FF000000"/>
            <rFont val="Times New Roman"/>
            <family val="18"/>
          </rPr>
          <t>Ohne Weite zugaben in Abgang gebracht</t>
        </r>
        <r>
          <rPr>
            <sz val="14"/>
            <color rgb="FF000000"/>
            <rFont val="Times New Roman"/>
            <family val="18"/>
          </rPr>
          <t xml:space="preserve"> [ST Juli 1801]</t>
        </r>
        <r>
          <rPr>
            <sz val="14"/>
            <color rgb="FF000000"/>
            <rFont val="Calibri"/>
            <family val="34"/>
          </rPr>
          <t xml:space="preserve">
</t>
        </r>
      </text>
    </comment>
    <comment ref="BG693" authorId="0" shapeId="0" xr:uid="{AE89A629-A42E-7148-B6FE-D66C07BEFE8C}">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Juli (08/07/1805)</t>
        </r>
        <r>
          <rPr>
            <sz val="14"/>
            <color rgb="FF000000"/>
            <rFont val="Calibri"/>
            <family val="34"/>
          </rPr>
          <t xml:space="preserve">
</t>
        </r>
      </text>
    </comment>
    <comment ref="BH693" authorId="0" shapeId="0" xr:uid="{736F2EA0-2F2D-824B-A223-F1B632E8EF8D}">
      <text>
        <r>
          <rPr>
            <sz val="14"/>
            <color rgb="FF000000"/>
            <rFont val="Calibri"/>
            <family val="34"/>
          </rPr>
          <t>IR 43 (1800-1801)</t>
        </r>
      </text>
    </comment>
    <comment ref="BF694" authorId="0" shapeId="0" xr:uid="{9A60F73D-76AA-E148-83AF-C8466ABB2E48}">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4" authorId="0" shapeId="0" xr:uid="{BFE04149-797B-6949-94A0-1FDA815E4C3F}">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4" authorId="0" shapeId="0" xr:uid="{FAE71941-F70E-A744-AB23-D0D5046C96E6}">
      <text>
        <r>
          <rPr>
            <sz val="14"/>
            <color rgb="FF000000"/>
            <rFont val="Calibri"/>
            <family val="34"/>
          </rPr>
          <t>IR 43 (1800-1801)</t>
        </r>
      </text>
    </comment>
    <comment ref="BF695" authorId="0" shapeId="0" xr:uid="{4F559503-2AA7-6C42-BD9B-C9F2E11657E2}">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5" authorId="0" shapeId="0" xr:uid="{B38D34B1-8273-F842-B962-FB050E4296A2}">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5" authorId="0" shapeId="0" xr:uid="{82E059D6-C633-0440-A834-2FE4C35EBEA9}">
      <text>
        <r>
          <rPr>
            <sz val="14"/>
            <color rgb="FF000000"/>
            <rFont val="Calibri"/>
            <family val="34"/>
          </rPr>
          <t>IR 43 (1800-1801)</t>
        </r>
      </text>
    </comment>
    <comment ref="BF696" authorId="0" shapeId="0" xr:uid="{5F86DF68-E2BA-9B46-81B8-ECD41E9860DF}">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6" authorId="0" shapeId="0" xr:uid="{7C32525C-4E53-E842-BD27-BC85F2D7E924}">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6" authorId="0" shapeId="0" xr:uid="{7B39A508-7184-EE40-99E2-ABB48A19737E}">
      <text>
        <r>
          <rPr>
            <sz val="14"/>
            <color rgb="FF000000"/>
            <rFont val="Calibri"/>
            <family val="34"/>
          </rPr>
          <t>IR 43 (1800-1801)</t>
        </r>
      </text>
    </comment>
    <comment ref="BF697" authorId="0" shapeId="0" xr:uid="{26C65034-8B65-9540-AACD-A720DB0E8741}">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697" authorId="0" shapeId="0" xr:uid="{CD6F0429-402F-4C4E-BA1B-F329C147FFA8}">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697" authorId="0" shapeId="0" xr:uid="{DAC567E8-816E-7F4C-9A41-0C0E899FBC0E}">
      <text>
        <r>
          <rPr>
            <sz val="14"/>
            <color rgb="FF000000"/>
            <rFont val="Calibri"/>
            <family val="34"/>
          </rPr>
          <t>IR 43 (1800-1801)</t>
        </r>
      </text>
    </comment>
    <comment ref="I698" authorId="0" shapeId="0" xr:uid="{524A423F-964F-0E47-8840-2F91C8A14098}">
      <text>
        <r>
          <rPr>
            <b/>
            <sz val="14"/>
            <color rgb="FF000000"/>
            <rFont val="Calibri"/>
            <family val="34"/>
          </rPr>
          <t xml:space="preserve">1776 [42 (ML 1818)
</t>
        </r>
        <r>
          <rPr>
            <sz val="14"/>
            <color rgb="FF000000"/>
            <rFont val="Calibri"/>
            <family val="34"/>
          </rPr>
          <t xml:space="preserve">OR
</t>
        </r>
        <r>
          <rPr>
            <sz val="14"/>
            <color rgb="FF000000"/>
            <rFont val="Calibri"/>
            <family val="34"/>
          </rPr>
          <t xml:space="preserve">1782 [18 (AL 1800)
</t>
        </r>
      </text>
    </comment>
    <comment ref="T698" authorId="0" shapeId="0" xr:uid="{22FF827C-97BA-E44C-B1D2-2357D06EF2E5}">
      <text>
        <r>
          <rPr>
            <b/>
            <sz val="14"/>
            <color rgb="FF000000"/>
            <rFont val="Calibri"/>
            <family val="34"/>
          </rPr>
          <t xml:space="preserve">5.2.1 [163.48 cm (AL 1800)]
</t>
        </r>
        <r>
          <rPr>
            <sz val="14"/>
            <color rgb="FF000000"/>
            <rFont val="Calibri"/>
            <family val="34"/>
          </rPr>
          <t>5.3.1 [166.11 cm (ML 1818]</t>
        </r>
      </text>
    </comment>
    <comment ref="BF698" authorId="0" shapeId="0" xr:uid="{B4C91D9D-2D31-1547-900D-41DC9DBAE8AE}">
      <text>
        <r>
          <rPr>
            <sz val="14"/>
            <color rgb="FFFF0000"/>
            <rFont val="Times New Roman"/>
            <family val="18"/>
          </rPr>
          <t xml:space="preserve">07/09/1798 </t>
        </r>
        <r>
          <rPr>
            <i/>
            <sz val="14"/>
            <color rgb="FFFF0000"/>
            <rFont val="Times New Roman"/>
            <family val="18"/>
          </rPr>
          <t>Dient seit</t>
        </r>
        <r>
          <rPr>
            <sz val="14"/>
            <color rgb="FFFF0000"/>
            <rFont val="Times New Roman"/>
            <family val="18"/>
          </rPr>
          <t xml:space="preserve"> [ML 1817]</t>
        </r>
        <r>
          <rPr>
            <sz val="14"/>
            <color rgb="FF000000"/>
            <rFont val="Calibri"/>
            <family val="34"/>
          </rPr>
          <t xml:space="preserve">
</t>
        </r>
        <r>
          <rPr>
            <sz val="14"/>
            <color rgb="FFFF0000"/>
            <rFont val="Times New Roman"/>
            <family val="18"/>
          </rPr>
          <t xml:space="preserve">1800 </t>
        </r>
        <r>
          <rPr>
            <i/>
            <sz val="14"/>
            <color rgb="FFFF0000"/>
            <rFont val="Times New Roman"/>
            <family val="18"/>
          </rPr>
          <t>Mit unbewusste dato desertiert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13/05/1800 </t>
        </r>
        <r>
          <rPr>
            <i/>
            <sz val="14"/>
            <color rgb="FF000000"/>
            <rFont val="Times New Roman"/>
            <family val="18"/>
          </rPr>
          <t xml:space="preserve">Von dem k. Brünner Kreisamt zum IR 1 a 3Fl Handgeld gestellt </t>
        </r>
        <r>
          <rPr>
            <sz val="14"/>
            <color rgb="FF000000"/>
            <rFont val="Times New Roman"/>
            <family val="18"/>
          </rPr>
          <t>[AL May 1800]</t>
        </r>
        <r>
          <rPr>
            <sz val="14"/>
            <color rgb="FF000000"/>
            <rFont val="Calibri"/>
            <family val="34"/>
          </rPr>
          <t xml:space="preserve">
</t>
        </r>
        <r>
          <rPr>
            <sz val="14"/>
            <color rgb="FF000000"/>
            <rFont val="Times New Roman"/>
            <family val="18"/>
          </rPr>
          <t xml:space="preserve">31/07/1800 [Als angehöriger von 4. Bat 4. Haupt Hallas Komp.] </t>
        </r>
        <r>
          <rPr>
            <i/>
            <sz val="14"/>
            <color rgb="FF000000"/>
            <rFont val="Times New Roman"/>
            <family val="18"/>
          </rPr>
          <t xml:space="preserve">Aus der Marsch Station Wirgell </t>
        </r>
        <r>
          <rPr>
            <b/>
            <sz val="14"/>
            <color rgb="FF000000"/>
            <rFont val="Times New Roman"/>
            <family val="18"/>
          </rPr>
          <t>[</t>
        </r>
        <r>
          <rPr>
            <b/>
            <u/>
            <sz val="14"/>
            <color rgb="FF0563C1"/>
            <rFont val="Times New Roman"/>
            <family val="18"/>
          </rPr>
          <t>Wörgl, Tirol</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[ST July 1800]</t>
        </r>
        <r>
          <rPr>
            <sz val="14"/>
            <color rgb="FF000000"/>
            <rFont val="Calibri"/>
            <family val="34"/>
          </rPr>
          <t xml:space="preserve">
</t>
        </r>
        <r>
          <rPr>
            <sz val="14"/>
            <color rgb="FF000000"/>
            <rFont val="Times New Roman"/>
            <family val="18"/>
          </rPr>
          <t xml:space="preserve">05/08/1800 </t>
        </r>
        <r>
          <rPr>
            <i/>
            <sz val="14"/>
            <color rgb="FF000000"/>
            <rFont val="Times New Roman"/>
            <family val="18"/>
          </rPr>
          <t>Zum Thauer</t>
        </r>
        <r>
          <rPr>
            <sz val="14"/>
            <color rgb="FF000000"/>
            <rFont val="Times New Roman"/>
            <family val="18"/>
          </rPr>
          <t xml:space="preserve"> </t>
        </r>
        <r>
          <rPr>
            <b/>
            <sz val="14"/>
            <color rgb="FF000000"/>
            <rFont val="Times New Roman"/>
            <family val="18"/>
          </rPr>
          <t>[</t>
        </r>
        <r>
          <rPr>
            <b/>
            <u/>
            <sz val="14"/>
            <color rgb="FF0563C1"/>
            <rFont val="Times New Roman"/>
            <family val="18"/>
          </rPr>
          <t>Thaur, Tirol</t>
        </r>
        <r>
          <rPr>
            <b/>
            <sz val="14"/>
            <color rgb="FF000000"/>
            <rFont val="Times New Roman"/>
            <family val="18"/>
          </rPr>
          <t>]</t>
        </r>
        <r>
          <rPr>
            <sz val="14"/>
            <color rgb="FF000000"/>
            <rFont val="Times New Roman"/>
            <family val="18"/>
          </rPr>
          <t xml:space="preserve"> </t>
        </r>
        <r>
          <rPr>
            <i/>
            <sz val="14"/>
            <color rgb="FF000000"/>
            <rFont val="Times New Roman"/>
            <family val="18"/>
          </rPr>
          <t>präsentiert und seitdem als Arrestant anhero Marsch</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16/08/1800 </t>
        </r>
        <r>
          <rPr>
            <i/>
            <sz val="14"/>
            <color rgb="FF000000"/>
            <rFont val="Times New Roman"/>
            <family val="18"/>
          </rPr>
          <t>In die Kompanie eingerückt und von Arrest befreit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22/07/1801 </t>
        </r>
        <r>
          <rPr>
            <i/>
            <sz val="14"/>
            <color rgb="FF000000"/>
            <rFont val="Times New Roman"/>
            <family val="18"/>
          </rPr>
          <t>Aus der Cantonierungs station Dreschkowitz desertiert</t>
        </r>
        <r>
          <rPr>
            <sz val="14"/>
            <color rgb="FF000000"/>
            <rFont val="Times New Roman"/>
            <family val="18"/>
          </rPr>
          <t xml:space="preserve"> [ST July 1801]</t>
        </r>
        <r>
          <rPr>
            <sz val="14"/>
            <color rgb="FF000000"/>
            <rFont val="Calibri"/>
            <family val="34"/>
          </rPr>
          <t xml:space="preserve">
</t>
        </r>
        <r>
          <rPr>
            <sz val="14"/>
            <color rgb="FF000000"/>
            <rFont val="Times New Roman"/>
            <family val="18"/>
          </rPr>
          <t xml:space="preserve">21/11/1816 </t>
        </r>
        <r>
          <rPr>
            <i/>
            <sz val="14"/>
            <color rgb="FF000000"/>
            <rFont val="Times New Roman"/>
            <family val="18"/>
          </rPr>
          <t>Als selbst gemeldeter Desertuer zu Klattau</t>
        </r>
        <r>
          <rPr>
            <sz val="14"/>
            <color rgb="FF000000"/>
            <rFont val="Times New Roman"/>
            <family val="18"/>
          </rPr>
          <t xml:space="preserve"> </t>
        </r>
        <r>
          <rPr>
            <b/>
            <sz val="14"/>
            <color rgb="FF000000"/>
            <rFont val="Times New Roman"/>
            <family val="18"/>
          </rPr>
          <t>[</t>
        </r>
        <r>
          <rPr>
            <b/>
            <u/>
            <sz val="14"/>
            <color rgb="FF0563C1"/>
            <rFont val="Times New Roman"/>
            <family val="18"/>
          </rPr>
          <t>Klatovy, Czech Republic</t>
        </r>
        <r>
          <rPr>
            <b/>
            <sz val="14"/>
            <color rgb="FF000000"/>
            <rFont val="Times New Roman"/>
            <family val="18"/>
          </rPr>
          <t>]</t>
        </r>
        <r>
          <rPr>
            <sz val="14"/>
            <color rgb="FF000000"/>
            <rFont val="Times New Roman"/>
            <family val="18"/>
          </rPr>
          <t xml:space="preserve"> </t>
        </r>
        <r>
          <rPr>
            <i/>
            <sz val="14"/>
            <color rgb="FF000000"/>
            <rFont val="Times New Roman"/>
            <family val="18"/>
          </rPr>
          <t>präsentiert</t>
        </r>
        <r>
          <rPr>
            <sz val="14"/>
            <color rgb="FF000000"/>
            <rFont val="Times New Roman"/>
            <family val="18"/>
          </rPr>
          <t xml:space="preserve"> [ST Jan 1817]</t>
        </r>
        <r>
          <rPr>
            <sz val="14"/>
            <color rgb="FF000000"/>
            <rFont val="Calibri"/>
            <family val="34"/>
          </rPr>
          <t xml:space="preserve">
</t>
        </r>
        <r>
          <rPr>
            <sz val="14"/>
            <color rgb="FF000000"/>
            <rFont val="Times New Roman"/>
            <family val="18"/>
          </rPr>
          <t xml:space="preserve">14/01/1817 </t>
        </r>
        <r>
          <rPr>
            <i/>
            <sz val="14"/>
            <color rgb="FF000000"/>
            <rFont val="Times New Roman"/>
            <family val="18"/>
          </rPr>
          <t xml:space="preserve">In Regiment eingekommen und zum 6. Fus. Komp eingeteilt seitdem in Arrest </t>
        </r>
        <r>
          <rPr>
            <sz val="14"/>
            <color rgb="FF000000"/>
            <rFont val="Times New Roman"/>
            <family val="18"/>
          </rPr>
          <t>[ST Jan 1817]</t>
        </r>
        <r>
          <rPr>
            <sz val="14"/>
            <color rgb="FF000000"/>
            <rFont val="Calibri"/>
            <family val="34"/>
          </rPr>
          <t xml:space="preserve">
</t>
        </r>
        <r>
          <rPr>
            <sz val="14"/>
            <color rgb="FF000000"/>
            <rFont val="Times New Roman"/>
            <family val="18"/>
          </rPr>
          <t xml:space="preserve">05/02/1817 </t>
        </r>
        <r>
          <rPr>
            <i/>
            <sz val="14"/>
            <color rgb="FF000000"/>
            <rFont val="Times New Roman"/>
            <family val="18"/>
          </rPr>
          <t>Von Arrest Befreit</t>
        </r>
        <r>
          <rPr>
            <sz val="14"/>
            <color rgb="FF000000"/>
            <rFont val="Times New Roman"/>
            <family val="18"/>
          </rPr>
          <t xml:space="preserve"> [St Feb 1817]</t>
        </r>
        <r>
          <rPr>
            <sz val="14"/>
            <color rgb="FF000000"/>
            <rFont val="Calibri"/>
            <family val="34"/>
          </rPr>
          <t xml:space="preserve">
</t>
        </r>
        <r>
          <rPr>
            <sz val="14"/>
            <color rgb="FFFF0000"/>
            <rFont val="Times New Roman"/>
            <family val="18"/>
          </rPr>
          <t xml:space="preserve">17/02/1817 </t>
        </r>
        <r>
          <rPr>
            <i/>
            <sz val="14"/>
            <color rgb="FFFF0000"/>
            <rFont val="Times New Roman"/>
            <family val="18"/>
          </rPr>
          <t xml:space="preserve">Sich selbst gemeldet, </t>
        </r>
        <r>
          <rPr>
            <i/>
            <sz val="14"/>
            <color rgb="FF000000"/>
            <rFont val="Times New Roman"/>
            <family val="18"/>
          </rPr>
          <t>Hat vermog Kriegsrechtichen Sentenz von 24. Januar die Halbe Inländer Capitulaiton nachzudienen</t>
        </r>
        <r>
          <rPr>
            <sz val="14"/>
            <color rgb="FF000000"/>
            <rFont val="Times New Roman"/>
            <family val="18"/>
          </rPr>
          <t xml:space="preserve"> [ML 1817]</t>
        </r>
        <r>
          <rPr>
            <sz val="14"/>
            <color rgb="FF000000"/>
            <rFont val="Calibri"/>
            <family val="34"/>
          </rPr>
          <t xml:space="preserve">
</t>
        </r>
        <r>
          <rPr>
            <sz val="14"/>
            <color rgb="FF000000"/>
            <rFont val="Times New Roman"/>
            <family val="18"/>
          </rPr>
          <t>19/09/1817 Muster: IR 1 6. Fus. Komp. Nr. 56</t>
        </r>
        <r>
          <rPr>
            <sz val="14"/>
            <color rgb="FF000000"/>
            <rFont val="Calibri"/>
            <family val="34"/>
          </rPr>
          <t xml:space="preserve">
</t>
        </r>
        <r>
          <rPr>
            <sz val="14"/>
            <color rgb="FF000000"/>
            <rFont val="Times New Roman"/>
            <family val="18"/>
          </rPr>
          <t>19/09/1818 Muster: IR 1 6. Fus. Komp. Nr. 44</t>
        </r>
        <r>
          <rPr>
            <sz val="14"/>
            <color rgb="FF000000"/>
            <rFont val="Calibri"/>
            <family val="34"/>
          </rPr>
          <t xml:space="preserve">
</t>
        </r>
        <r>
          <rPr>
            <sz val="14"/>
            <color rgb="FF000000"/>
            <rFont val="Times New Roman"/>
            <family val="18"/>
          </rPr>
          <t>14/09/1819 Muster: IR 1 6. Fus. Komp. Nr. 35 [</t>
        </r>
        <r>
          <rPr>
            <i/>
            <sz val="14"/>
            <color rgb="FF000000"/>
            <rFont val="Times New Roman"/>
            <family val="18"/>
          </rPr>
          <t>Auf Garnisons Wacht in Cremsier</t>
        </r>
        <r>
          <rPr>
            <sz val="14"/>
            <color rgb="FF000000"/>
            <rFont val="Times New Roman"/>
            <family val="18"/>
          </rPr>
          <t>]</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6. Fus Komp</t>
        </r>
        <r>
          <rPr>
            <sz val="14"/>
            <color rgb="FF000000"/>
            <rFont val="Times New Roman"/>
            <family val="18"/>
          </rPr>
          <t xml:space="preserve"> [ST Oct 1820]</t>
        </r>
        <r>
          <rPr>
            <sz val="14"/>
            <color rgb="FF000000"/>
            <rFont val="Calibri"/>
            <family val="34"/>
          </rPr>
          <t xml:space="preserve">
</t>
        </r>
      </text>
    </comment>
    <comment ref="BG698" authorId="0" shapeId="0" xr:uid="{D12B1765-CD57-224C-9ECD-1A2C73BBA7E3}">
      <text>
        <r>
          <rPr>
            <sz val="14"/>
            <color rgb="FF000000"/>
            <rFont val="Times New Roman"/>
            <family val="18"/>
          </rPr>
          <t>ML 34/5 IR 1 (1817) – IR 1 6. Fus. Komp. 56 (Brünn 19/09/1817)</t>
        </r>
        <r>
          <rPr>
            <sz val="14"/>
            <color rgb="FF000000"/>
            <rFont val="Calibri"/>
            <family val="34"/>
          </rPr>
          <t xml:space="preserve">
</t>
        </r>
        <r>
          <rPr>
            <sz val="14"/>
            <color rgb="FF000000"/>
            <rFont val="Times New Roman"/>
            <family val="18"/>
          </rPr>
          <t>ML 36/7 IR 1 (1818) – IR 1 6. Fus. Komp. 44 (Brünn 19/09/1818)</t>
        </r>
        <r>
          <rPr>
            <sz val="14"/>
            <color rgb="FF000000"/>
            <rFont val="Calibri"/>
            <family val="34"/>
          </rPr>
          <t xml:space="preserve">
</t>
        </r>
        <r>
          <rPr>
            <sz val="14"/>
            <color rgb="FF000000"/>
            <rFont val="Times New Roman"/>
            <family val="18"/>
          </rPr>
          <t>ML 38/9 IR 1 (1819) – IR 1 6. Fus. Komp. 35 (Olmütz 14/09/1819)</t>
        </r>
        <r>
          <rPr>
            <sz val="14"/>
            <color rgb="FF000000"/>
            <rFont val="Calibri"/>
            <family val="34"/>
          </rPr>
          <t xml:space="preserve">
</t>
        </r>
        <r>
          <rPr>
            <sz val="14"/>
            <color rgb="FF000000"/>
            <rFont val="Times New Roman"/>
            <family val="18"/>
          </rPr>
          <t>ML 74 IR 1 (1800) – ST July (Olmütz 16/10/1800), ST Aug (Olmütz 28/11/1800)</t>
        </r>
        <r>
          <rPr>
            <sz val="14"/>
            <color rgb="FF000000"/>
            <rFont val="Calibri"/>
            <family val="34"/>
          </rPr>
          <t xml:space="preserve">
</t>
        </r>
        <r>
          <rPr>
            <sz val="14"/>
            <color rgb="FF000000"/>
            <rFont val="Times New Roman"/>
            <family val="18"/>
          </rPr>
          <t>ML 75 IR 1 (1800) – AL Nr. 1 (Olmütz 13/05/1800)</t>
        </r>
        <r>
          <rPr>
            <sz val="14"/>
            <color rgb="FF000000"/>
            <rFont val="Calibri"/>
            <family val="34"/>
          </rPr>
          <t xml:space="preserve">
</t>
        </r>
        <r>
          <rPr>
            <sz val="14"/>
            <color rgb="FF000000"/>
            <rFont val="Times New Roman"/>
            <family val="18"/>
          </rPr>
          <t>ML 76 IR 1 (1801) – ST July (Olmütz 22/09/1801)</t>
        </r>
        <r>
          <rPr>
            <sz val="14"/>
            <color rgb="FF000000"/>
            <rFont val="Calibri"/>
            <family val="34"/>
          </rPr>
          <t xml:space="preserve">
</t>
        </r>
        <r>
          <rPr>
            <sz val="14"/>
            <color rgb="FF000000"/>
            <rFont val="Times New Roman"/>
            <family val="18"/>
          </rPr>
          <t>ML 109 IR 1 (1817) – ST Jan (Brünn 05/03/1817), Feb (Brünn 01/04/1817)</t>
        </r>
        <r>
          <rPr>
            <sz val="14"/>
            <color rgb="FF000000"/>
            <rFont val="Calibri"/>
            <family val="34"/>
          </rPr>
          <t xml:space="preserve">
</t>
        </r>
        <r>
          <rPr>
            <sz val="14"/>
            <color rgb="FF000000"/>
            <rFont val="Times New Roman"/>
            <family val="18"/>
          </rPr>
          <t>ML 115 IR 1 (1820) – ST Oct (15/01/1820)</t>
        </r>
        <r>
          <rPr>
            <sz val="14"/>
            <color rgb="FF000000"/>
            <rFont val="Calibri"/>
            <family val="34"/>
          </rPr>
          <t xml:space="preserve">
</t>
        </r>
      </text>
    </comment>
    <comment ref="BH698" authorId="0" shapeId="0" xr:uid="{20BB0175-6339-CB44-BF8F-828802DC6165}">
      <text>
        <r>
          <rPr>
            <sz val="14"/>
            <color rgb="FF000000"/>
            <rFont val="Calibri"/>
            <family val="34"/>
          </rPr>
          <t>IR 1 (1800-1820)</t>
        </r>
      </text>
    </comment>
    <comment ref="BF699" authorId="0" shapeId="0" xr:uid="{932F96F6-29D4-FC43-B3A6-82304E06E938}">
      <text>
        <r>
          <rPr>
            <sz val="14"/>
            <color rgb="FFFF0000"/>
            <rFont val="Times New Roman"/>
            <family val="18"/>
          </rPr>
          <t xml:space="preserve">10/07/1799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13/05/1800</t>
        </r>
        <r>
          <rPr>
            <i/>
            <sz val="14"/>
            <color rgb="FF000000"/>
            <rFont val="Times New Roman"/>
            <family val="18"/>
          </rPr>
          <t xml:space="preserve"> von Ständen gestellt</t>
        </r>
        <r>
          <rPr>
            <sz val="14"/>
            <color rgb="FF000000"/>
            <rFont val="Times New Roman"/>
            <family val="18"/>
          </rPr>
          <t xml:space="preserve"> [ML 1803-6]</t>
        </r>
        <r>
          <rPr>
            <sz val="14"/>
            <color rgb="FF000000"/>
            <rFont val="Calibri"/>
            <family val="34"/>
          </rPr>
          <t xml:space="preserve">
</t>
        </r>
        <r>
          <rPr>
            <sz val="14"/>
            <color rgb="FFFF0000"/>
            <rFont val="Times New Roman"/>
            <family val="18"/>
          </rPr>
          <t xml:space="preserve">23/02/1801 </t>
        </r>
        <r>
          <rPr>
            <i/>
            <sz val="14"/>
            <color rgb="FFFF0000"/>
            <rFont val="Times New Roman"/>
            <family val="18"/>
          </rPr>
          <t>von Ständen gestellt</t>
        </r>
        <r>
          <rPr>
            <sz val="14"/>
            <color rgb="FFFF0000"/>
            <rFont val="Times New Roman"/>
            <family val="18"/>
          </rPr>
          <t xml:space="preserve"> [ST Feb 1801]</t>
        </r>
        <r>
          <rPr>
            <sz val="14"/>
            <color rgb="FF000000"/>
            <rFont val="Calibri"/>
            <family val="34"/>
          </rPr>
          <t xml:space="preserve">
</t>
        </r>
        <r>
          <rPr>
            <sz val="14"/>
            <color rgb="FF000000"/>
            <rFont val="Times New Roman"/>
            <family val="18"/>
          </rPr>
          <t xml:space="preserve">15/02/1801 </t>
        </r>
        <r>
          <rPr>
            <i/>
            <sz val="14"/>
            <color rgb="FF000000"/>
            <rFont val="Times New Roman"/>
            <family val="18"/>
          </rPr>
          <t>von Reserve Division in Haupt Oberburg Comp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28/08/1802 Musterung: IR 43 Haupt Frinstlos Comp. Nr. 102</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Frintlos Comp. Nr. 95 [</t>
        </r>
        <r>
          <rPr>
            <i/>
            <sz val="14"/>
            <color rgb="FF000000"/>
            <rFont val="Times New Roman"/>
            <family val="18"/>
          </rPr>
          <t>Mit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Haupt Frintlos Comp Nr. 89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At Muster 23/10/1805 15. Fus Comp Nr. 77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10. Fus Comp als unwissend Verloren in Abgang</t>
        </r>
        <r>
          <rPr>
            <sz val="14"/>
            <color rgb="FF000000"/>
            <rFont val="Times New Roman"/>
            <family val="18"/>
          </rPr>
          <t xml:space="preserve"> [ST Oct 1806 &amp;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wurde in den Monats Tabelle per 8ber 806 nit ultimo unrecht als unwissend verloren in Abgang gebracht; weil selbe auf Urlaub als Untauglich entlausen Wird</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zu Folge hoher General Commando Verordnung Nr. 7200 als untauglich gegen Renuncierung con Militar Beneficien mit Abschied entlassen</t>
        </r>
        <r>
          <rPr>
            <sz val="14"/>
            <color rgb="FF000000"/>
            <rFont val="Times New Roman"/>
            <family val="18"/>
          </rPr>
          <t xml:space="preserve"> [ST Nov 1806 &amp; ML 1806]</t>
        </r>
        <r>
          <rPr>
            <sz val="14"/>
            <color rgb="FF000000"/>
            <rFont val="Calibri"/>
            <family val="34"/>
          </rPr>
          <t xml:space="preserve">
</t>
        </r>
      </text>
    </comment>
    <comment ref="BG699" authorId="0" shapeId="0" xr:uid="{FA440EB4-9536-824F-BEB4-1295E533E2CF}">
      <text>
        <r>
          <rPr>
            <sz val="14"/>
            <color rgb="FF000000"/>
            <rFont val="Calibri"/>
            <family val="34"/>
          </rPr>
          <t xml:space="preserve">ML 10.272 IR 43 (1802) – Heft von Haupt Frintlos Comp Nr. 102 (Cattaro 28/08/1802)
</t>
        </r>
        <r>
          <rPr>
            <sz val="14"/>
            <color rgb="FF000000"/>
            <rFont val="Calibri"/>
            <family val="34"/>
          </rPr>
          <t xml:space="preserve">ML 10.273 IR 43 (1803) – Heft von Haupt Frintlos Comp Nr. 95 (Cattaro 02/11/1803)
</t>
        </r>
        <r>
          <rPr>
            <sz val="14"/>
            <color rgb="FF000000"/>
            <rFont val="Calibri"/>
            <family val="34"/>
          </rPr>
          <t xml:space="preserve">ML 10.274 IR 43 (1804) – Heft von Haupt Frintlos Comp Nr. 89 (Theodo 05/10/1804)
</t>
        </r>
        <r>
          <rPr>
            <sz val="14"/>
            <color rgb="FF000000"/>
            <rFont val="Calibri"/>
            <family val="34"/>
          </rPr>
          <t xml:space="preserve">ML 10.275/6 IR 43 (1805) – Heft von 15. Fus. Comp. Nr. 77 (Spalato 23/10/1805)
</t>
        </r>
        <r>
          <rPr>
            <sz val="14"/>
            <color rgb="FF000000"/>
            <rFont val="Calibri"/>
            <family val="34"/>
          </rPr>
          <t xml:space="preserve">ML 10.277/8 IR 43 (1806) – Heft von 10. Fus. Comp. – Abgang (Neustadt (05/12/1806)
</t>
        </r>
        <r>
          <rPr>
            <sz val="14"/>
            <color rgb="FF000000"/>
            <rFont val="Calibri"/>
            <family val="34"/>
          </rPr>
          <t xml:space="preserve">ML 10.312 IR 43 (1801) – ST Feb (28/09/1804)
</t>
        </r>
        <r>
          <rPr>
            <sz val="14"/>
            <color rgb="FF000000"/>
            <rFont val="Calibri"/>
            <family val="34"/>
          </rPr>
          <t xml:space="preserve">ML 10.313 IR 43 (1803) – ST Jänner (15/02/1803) und März (15/04/1803)
</t>
        </r>
        <r>
          <rPr>
            <sz val="14"/>
            <color rgb="FF000000"/>
            <rFont val="Calibri"/>
            <family val="34"/>
          </rPr>
          <t xml:space="preserve">ML 10.315 IR 43 (1805) – ST Sept (15/11/1805)
</t>
        </r>
        <r>
          <rPr>
            <sz val="14"/>
            <color rgb="FF000000"/>
            <rFont val="Calibri"/>
            <family val="34"/>
          </rPr>
          <t xml:space="preserve">ML 10.317 IR 43 (1806) – ST Oktober (27/11/1806) und November (15/12/1806)
</t>
        </r>
      </text>
    </comment>
    <comment ref="BH699" authorId="0" shapeId="0" xr:uid="{AD6713B0-61DE-D445-B508-21CB4B68F8CC}">
      <text>
        <r>
          <rPr>
            <sz val="14"/>
            <color rgb="FF000000"/>
            <rFont val="Calibri"/>
            <family val="34"/>
          </rPr>
          <t>IR 43 (1800-1806)</t>
        </r>
      </text>
    </comment>
    <comment ref="BF700" authorId="0" shapeId="0" xr:uid="{8FE0CF29-ED50-8342-8549-AA9D8965B480}">
      <text>
        <r>
          <rPr>
            <sz val="14"/>
            <color rgb="FF000000"/>
            <rFont val="Times New Roman"/>
            <family val="18"/>
          </rPr>
          <t xml:space="preserve">13/05/1800 </t>
        </r>
        <r>
          <rPr>
            <i/>
            <sz val="14"/>
            <color rgb="FF000000"/>
            <rFont val="Times New Roman"/>
            <family val="18"/>
          </rPr>
          <t>von Dominien ausgehoben und a 3Fl Handgeld zum Sondomierz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04/12/1800 </t>
        </r>
        <r>
          <rPr>
            <i/>
            <sz val="14"/>
            <color rgb="FF000000"/>
            <rFont val="Times New Roman"/>
            <family val="18"/>
          </rPr>
          <t>In die Reserve Division eingerückt, seitdem Krank</t>
        </r>
        <r>
          <rPr>
            <sz val="14"/>
            <color rgb="FF000000"/>
            <rFont val="Times New Roman"/>
            <family val="18"/>
          </rPr>
          <t xml:space="preserve"> auswärts [ST Dec 1800] </t>
        </r>
        <r>
          <rPr>
            <sz val="14"/>
            <color rgb="FF000000"/>
            <rFont val="Calibri"/>
            <family val="34"/>
          </rPr>
          <t xml:space="preserve">
</t>
        </r>
        <r>
          <rPr>
            <sz val="14"/>
            <color rgb="FF000000"/>
            <rFont val="Times New Roman"/>
            <family val="18"/>
          </rPr>
          <t xml:space="preserve">01/01/1801 </t>
        </r>
        <r>
          <rPr>
            <i/>
            <sz val="14"/>
            <color rgb="FF000000"/>
            <rFont val="Times New Roman"/>
            <family val="18"/>
          </rPr>
          <t>Rekonvalesziert und auf Marsch zum Regiment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31/01/1801 </t>
        </r>
        <r>
          <rPr>
            <i/>
            <sz val="14"/>
            <color rgb="FF000000"/>
            <rFont val="Times New Roman"/>
            <family val="18"/>
          </rPr>
          <t xml:space="preserve">von Reserve Division in Haupt Schoerr Komp. transferiert </t>
        </r>
        <r>
          <rPr>
            <sz val="14"/>
            <color rgb="FF000000"/>
            <rFont val="Times New Roman"/>
            <family val="18"/>
          </rPr>
          <t>[Feb 1801]</t>
        </r>
        <r>
          <rPr>
            <sz val="14"/>
            <color rgb="FF000000"/>
            <rFont val="Calibri"/>
            <family val="34"/>
          </rPr>
          <t xml:space="preserve">
</t>
        </r>
        <r>
          <rPr>
            <sz val="14"/>
            <color rgb="FF000000"/>
            <rFont val="Times New Roman"/>
            <family val="18"/>
          </rPr>
          <t>11/09/1802 Muster: IR 43 Haupt Schoer Komp. Nr. 127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Haupt Schoer Komp. Nr. 113 [</t>
        </r>
        <r>
          <rPr>
            <i/>
            <sz val="14"/>
            <color rgb="FF000000"/>
            <rFont val="Times New Roman"/>
            <family val="18"/>
          </rPr>
          <t>Bis zur Einberufung zu Bilgorai in Galizien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Haupt Schoer Komp. Nr. 105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01/10/1805 Muster: IR 43 6. Fus Komp. Nr. 79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8.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700" authorId="0" shapeId="0" xr:uid="{5C5BB316-7B96-944C-8871-339A009CCFCE}">
      <text>
        <r>
          <rPr>
            <sz val="14"/>
            <color rgb="FF000000"/>
            <rFont val="Times New Roman"/>
            <family val="18"/>
          </rPr>
          <t>ML 10.272 IR 43 (1802) –Haupt Schoer Komp. Nr. 127 (Zara 11/09/1802)</t>
        </r>
        <r>
          <rPr>
            <sz val="14"/>
            <color rgb="FF000000"/>
            <rFont val="Calibri"/>
            <family val="34"/>
          </rPr>
          <t xml:space="preserve">
</t>
        </r>
        <r>
          <rPr>
            <sz val="14"/>
            <color rgb="FF000000"/>
            <rFont val="Times New Roman"/>
            <family val="18"/>
          </rPr>
          <t>ML 10.273 IR 43 (1803) –Haupt Schoer Komp. Nr. 113 (Zara 28/09/1803)</t>
        </r>
        <r>
          <rPr>
            <sz val="14"/>
            <color rgb="FF000000"/>
            <rFont val="Calibri"/>
            <family val="34"/>
          </rPr>
          <t xml:space="preserve">
</t>
        </r>
        <r>
          <rPr>
            <sz val="14"/>
            <color rgb="FF000000"/>
            <rFont val="Times New Roman"/>
            <family val="18"/>
          </rPr>
          <t>ML 10.274 IR 43 (1804) –Haupt Schoer Komp. Nr. 105 (Cattaro 07/10/1804)</t>
        </r>
        <r>
          <rPr>
            <sz val="14"/>
            <color rgb="FF000000"/>
            <rFont val="Calibri"/>
            <family val="34"/>
          </rPr>
          <t xml:space="preserve">
</t>
        </r>
        <r>
          <rPr>
            <sz val="14"/>
            <color rgb="FF000000"/>
            <rFont val="Times New Roman"/>
            <family val="18"/>
          </rPr>
          <t>ML 10.275/6 IR 43 (1805) –6. Fus Komp. Nr. 79 (Zara 01/10/1805)</t>
        </r>
        <r>
          <rPr>
            <sz val="14"/>
            <color rgb="FF000000"/>
            <rFont val="Calibri"/>
            <family val="34"/>
          </rPr>
          <t xml:space="preserve">
</t>
        </r>
        <r>
          <rPr>
            <sz val="14"/>
            <color rgb="FF000000"/>
            <rFont val="Times New Roman"/>
            <family val="18"/>
          </rPr>
          <t>ML 10/277/8 IR 43 (1806) – 7. Fus Komp. Abgang (Neustadt (05/12/1806)</t>
        </r>
        <r>
          <rPr>
            <sz val="14"/>
            <color rgb="FF000000"/>
            <rFont val="Calibri"/>
            <family val="34"/>
          </rPr>
          <t xml:space="preserve">
</t>
        </r>
        <r>
          <rPr>
            <sz val="14"/>
            <color rgb="FF000000"/>
            <rFont val="Times New Roman"/>
            <family val="18"/>
          </rPr>
          <t>ML 10.309 IR 43 (1800) – ST Juni (27/08/1803), Dez (18/08/1804)</t>
        </r>
        <r>
          <rPr>
            <sz val="14"/>
            <color rgb="FF000000"/>
            <rFont val="Calibri"/>
            <family val="34"/>
          </rPr>
          <t xml:space="preserve">
</t>
        </r>
        <r>
          <rPr>
            <sz val="14"/>
            <color rgb="FF000000"/>
            <rFont val="Times New Roman"/>
            <family val="18"/>
          </rPr>
          <t>ML 10.311 IR 43 (1801) – ST Jan (23/08/1804), Feb (28/09/1804)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700" authorId="0" shapeId="0" xr:uid="{709FA72B-A2A9-0343-B7D2-E4AF4D015C4E}">
      <text>
        <r>
          <rPr>
            <sz val="14"/>
            <color rgb="FF000000"/>
            <rFont val="Calibri"/>
            <family val="34"/>
          </rPr>
          <t>IR 43 (1800-1806)</t>
        </r>
      </text>
    </comment>
    <comment ref="BF701" authorId="0" shapeId="0" xr:uid="{475FF447-46A0-6043-991C-2CEA0844784F}">
      <text>
        <r>
          <rPr>
            <sz val="14"/>
            <color rgb="FF000000"/>
            <rFont val="Times New Roman"/>
            <family val="18"/>
          </rPr>
          <t xml:space="preserve">16/05/1800 </t>
        </r>
        <r>
          <rPr>
            <i/>
            <sz val="14"/>
            <color rgb="FF000000"/>
            <rFont val="Times New Roman"/>
            <family val="18"/>
          </rPr>
          <t>von Domenien Ausgehoben und a 3Fl Handgeld zum Sondomierz assentiert und seitdem auf Anhero Marsch mit Friedensgebühr</t>
        </r>
        <r>
          <rPr>
            <sz val="14"/>
            <color rgb="FF000000"/>
            <rFont val="Times New Roman"/>
            <family val="18"/>
          </rPr>
          <t xml:space="preserve"> [ST June 1800]
</t>
        </r>
        <r>
          <rPr>
            <sz val="14"/>
            <color rgb="FF000000"/>
            <rFont val="Times New Roman"/>
            <family val="18"/>
          </rPr>
          <t xml:space="preserve">20/08/1800 </t>
        </r>
        <r>
          <rPr>
            <i/>
            <sz val="14"/>
            <color rgb="FF000000"/>
            <rFont val="Times New Roman"/>
            <family val="18"/>
          </rPr>
          <t>In die Reserve Division eingeruckt</t>
        </r>
        <r>
          <rPr>
            <sz val="14"/>
            <color rgb="FF000000"/>
            <rFont val="Times New Roman"/>
            <family val="18"/>
          </rPr>
          <t xml:space="preserve"> [ST Aug 1800]
</t>
        </r>
        <r>
          <rPr>
            <sz val="14"/>
            <color rgb="FF000000"/>
            <rFont val="Times New Roman"/>
            <family val="18"/>
          </rPr>
          <t xml:space="preserve">16/09/1800 </t>
        </r>
        <r>
          <rPr>
            <i/>
            <sz val="14"/>
            <color rgb="FF000000"/>
            <rFont val="Times New Roman"/>
            <family val="18"/>
          </rPr>
          <t>Von IR 43 Reserve Division zur Haupt Basta Komp.</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Oct 1800]
</t>
        </r>
        <r>
          <rPr>
            <sz val="14"/>
            <color rgb="FFFF0000"/>
            <rFont val="Times New Roman"/>
            <family val="18"/>
          </rPr>
          <t xml:space="preserve">12/10/1800 </t>
        </r>
        <r>
          <rPr>
            <i/>
            <sz val="14"/>
            <color rgb="FFFF0000"/>
            <rFont val="Times New Roman"/>
            <family val="18"/>
          </rPr>
          <t>Als gallizische ständische Rekrut a 3Fl handgeld assentiert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07/07/1802 </t>
        </r>
        <r>
          <rPr>
            <i/>
            <sz val="14"/>
            <color rgb="FF000000"/>
            <rFont val="Times New Roman"/>
            <family val="18"/>
          </rPr>
          <t xml:space="preserve">Mit Deutscher Gebuhr und Threnungsbeitrag bis 11. und mit Ungarischen Gebuhr ohne Trenungs beitrag bis inclusive 13. verpfelgt und dato </t>
        </r>
        <r>
          <rPr>
            <sz val="14"/>
            <color rgb="FF000000"/>
            <rFont val="Times New Roman"/>
            <family val="18"/>
          </rPr>
          <t xml:space="preserve">[ST Juli 1802]
</t>
        </r>
        <r>
          <rPr>
            <sz val="14"/>
            <color rgb="FF000000"/>
            <rFont val="Times New Roman"/>
            <family val="18"/>
          </rPr>
          <t>21/08/1802 Muster: IR 43 Haupt Basta Komp. Nr. 103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??03/1803 </t>
        </r>
        <r>
          <rPr>
            <i/>
            <sz val="14"/>
            <color rgb="FF000000"/>
            <rFont val="Times New Roman"/>
            <family val="18"/>
          </rPr>
          <t>Von bestimmt zum Unbestiment Urlaub übersetzt</t>
        </r>
        <r>
          <rPr>
            <sz val="14"/>
            <color rgb="FF000000"/>
            <rFont val="Times New Roman"/>
            <family val="18"/>
          </rPr>
          <t xml:space="preserve"> [ST March 1803]
</t>
        </r>
        <r>
          <rPr>
            <sz val="14"/>
            <color rgb="FF000000"/>
            <rFont val="Times New Roman"/>
            <family val="18"/>
          </rPr>
          <t>08/11/1803 Muster: Haupt Ellison Nr. 90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15/09/1804 Muser: Haupt Lichtenberg Nr. 82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
</t>
        </r>
        <r>
          <rPr>
            <sz val="14"/>
            <color rgb="FF000000"/>
            <rFont val="Times New Roman"/>
            <family val="18"/>
          </rPr>
          <t>30/09/1805 Muster: 2. Fus. Komp. Nr. 67 [</t>
        </r>
        <r>
          <rPr>
            <i/>
            <sz val="14"/>
            <color rgb="FF000000"/>
            <rFont val="Times New Roman"/>
            <family val="18"/>
          </rPr>
          <t>Beim Depot in Laibach</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 xml:space="preserve">Als auf Urlaub verbliebene von 2. Fus comp als unwissend Verlohren in Abgang </t>
        </r>
        <r>
          <rPr>
            <sz val="14"/>
            <color rgb="FF000000"/>
            <rFont val="Times New Roman"/>
            <family val="18"/>
          </rPr>
          <t xml:space="preserve">[ST Oct 1806 &amp; ML 1806]
</t>
        </r>
      </text>
    </comment>
    <comment ref="BG701" authorId="0" shapeId="0" xr:uid="{9656FDA8-6ABC-E646-AF97-C3D1B4D5FE72}">
      <text>
        <r>
          <rPr>
            <sz val="14"/>
            <color rgb="FF000000"/>
            <rFont val="Times New Roman"/>
            <family val="18"/>
          </rPr>
          <t>ML 10.272 IR 43 (1802) – Heft von Haupt Basta Comp. Nr. 103 (Risano 21/08/1802)</t>
        </r>
        <r>
          <rPr>
            <sz val="14"/>
            <color rgb="FF000000"/>
            <rFont val="Calibri"/>
            <family val="34"/>
          </rPr>
          <t xml:space="preserve">
</t>
        </r>
        <r>
          <rPr>
            <sz val="14"/>
            <color rgb="FF000000"/>
            <rFont val="Times New Roman"/>
            <family val="18"/>
          </rPr>
          <t>ML 10.273 IR 43 (1803) – Heft von Haupt von Niedles Nr. 90 (Sign 08/11/1803)</t>
        </r>
        <r>
          <rPr>
            <sz val="14"/>
            <color rgb="FF000000"/>
            <rFont val="Calibri"/>
            <family val="34"/>
          </rPr>
          <t xml:space="preserve">
</t>
        </r>
        <r>
          <rPr>
            <sz val="14"/>
            <color rgb="FF000000"/>
            <rFont val="Times New Roman"/>
            <family val="18"/>
          </rPr>
          <t>ML 10.274 IR 43 (1804) – Heft von Haupt Lichtenberg Comp. Nr. 82 (Zara 15/09/1804)</t>
        </r>
        <r>
          <rPr>
            <sz val="14"/>
            <color rgb="FF000000"/>
            <rFont val="Calibri"/>
            <family val="34"/>
          </rPr>
          <t xml:space="preserve">
</t>
        </r>
        <r>
          <rPr>
            <sz val="14"/>
            <color rgb="FF000000"/>
            <rFont val="Times New Roman"/>
            <family val="18"/>
          </rPr>
          <t>ML 10.275/6 IR 43 (1805) – Heft von 2. Fus Comp. Nr. 67 (Cattaro 30/09/1805)</t>
        </r>
        <r>
          <rPr>
            <sz val="14"/>
            <color rgb="FF000000"/>
            <rFont val="Calibri"/>
            <family val="34"/>
          </rPr>
          <t xml:space="preserve">
</t>
        </r>
        <r>
          <rPr>
            <sz val="14"/>
            <color rgb="FF000000"/>
            <rFont val="Times New Roman"/>
            <family val="18"/>
          </rPr>
          <t>ML 10/277/8 (1806) – Heft von 2. Fus Comp. Abgang (Laibach 01/12/1806)</t>
        </r>
        <r>
          <rPr>
            <sz val="14"/>
            <color rgb="FF000000"/>
            <rFont val="Calibri"/>
            <family val="34"/>
          </rPr>
          <t xml:space="preserve">
</t>
        </r>
        <r>
          <rPr>
            <sz val="14"/>
            <color rgb="FF000000"/>
            <rFont val="Times New Roman"/>
            <family val="18"/>
          </rPr>
          <t>ML 10.309 IR 43 (1800) – ST Juni (27/08/1803), Aug (27/12/1803), Okt (22/03/1804)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Aug (15/09/1805)</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701" authorId="0" shapeId="0" xr:uid="{E456B591-AB65-C34D-A8F5-1670214F7312}">
      <text>
        <r>
          <rPr>
            <sz val="14"/>
            <color rgb="FF000000"/>
            <rFont val="Calibri"/>
            <family val="34"/>
          </rPr>
          <t>IR 43 (1800-1806)</t>
        </r>
      </text>
    </comment>
    <comment ref="BF702" authorId="0" shapeId="0" xr:uid="{70719061-1B56-6440-8F72-8F16ACBA1CE8}">
      <text>
        <r>
          <rPr>
            <sz val="14"/>
            <color rgb="FF000000"/>
            <rFont val="Times New Roman"/>
            <family val="18"/>
          </rPr>
          <t xml:space="preserve">20/05/1800 </t>
        </r>
        <r>
          <rPr>
            <i/>
            <sz val="14"/>
            <color rgb="FF000000"/>
            <rFont val="Times New Roman"/>
            <family val="18"/>
          </rPr>
          <t>in Galizien ausgehoben a 3Fl und zu Josephow assentiert statt dem als Untauglich entlassenen Josel JANKEL seitdem auf Anhero Marsch und seitdem auf Anhero Marsch mit Friedensgebühr</t>
        </r>
        <r>
          <rPr>
            <sz val="14"/>
            <color rgb="FF000000"/>
            <rFont val="Times New Roman"/>
            <family val="18"/>
          </rPr>
          <t xml:space="preserve"> [ST Mai 1800]
</t>
        </r>
        <r>
          <rPr>
            <sz val="14"/>
            <color rgb="FFFF0000"/>
            <rFont val="Times New Roman"/>
            <family val="18"/>
          </rPr>
          <t xml:space="preserve">21/06/1800 </t>
        </r>
        <r>
          <rPr>
            <i/>
            <sz val="14"/>
            <color rgb="FFFF0000"/>
            <rFont val="Times New Roman"/>
            <family val="18"/>
          </rPr>
          <t>Von Ständen gestellt</t>
        </r>
        <r>
          <rPr>
            <sz val="14"/>
            <color rgb="FFFF0000"/>
            <rFont val="Times New Roman"/>
            <family val="18"/>
          </rPr>
          <t xml:space="preserve"> [ML 1802-4]</t>
        </r>
        <r>
          <rPr>
            <sz val="14"/>
            <color rgb="FF000000"/>
            <rFont val="Times New Roman"/>
            <family val="18"/>
          </rPr>
          <t xml:space="preserve">
</t>
        </r>
        <r>
          <rPr>
            <sz val="14"/>
            <color rgb="FFFF0000"/>
            <rFont val="Times New Roman"/>
            <family val="18"/>
          </rPr>
          <t xml:space="preserve">27/06/1800 </t>
        </r>
        <r>
          <rPr>
            <i/>
            <sz val="14"/>
            <color rgb="FFFF0000"/>
            <rFont val="Times New Roman"/>
            <family val="18"/>
          </rPr>
          <t>Von Ständen gestellt</t>
        </r>
        <r>
          <rPr>
            <sz val="14"/>
            <color rgb="FFFF0000"/>
            <rFont val="Times New Roman"/>
            <family val="18"/>
          </rPr>
          <t xml:space="preserve"> [ML 1805]</t>
        </r>
        <r>
          <rPr>
            <sz val="14"/>
            <color rgb="FF000000"/>
            <rFont val="Times New Roman"/>
            <family val="18"/>
          </rPr>
          <t xml:space="preserve">
</t>
        </r>
        <r>
          <rPr>
            <sz val="14"/>
            <color rgb="FF000000"/>
            <rFont val="Times New Roman"/>
            <family val="18"/>
          </rPr>
          <t xml:space="preserve">20/08/1810 </t>
        </r>
        <r>
          <rPr>
            <i/>
            <sz val="14"/>
            <color rgb="FF000000"/>
            <rFont val="Times New Roman"/>
            <family val="18"/>
          </rPr>
          <t>in die Reserve Division eingerückt</t>
        </r>
        <r>
          <rPr>
            <sz val="14"/>
            <color rgb="FF000000"/>
            <rFont val="Times New Roman"/>
            <family val="18"/>
          </rPr>
          <t xml:space="preserve"> [ST Aug 1800] 
</t>
        </r>
        <r>
          <rPr>
            <sz val="14"/>
            <color rgb="FF000000"/>
            <rFont val="Times New Roman"/>
            <family val="18"/>
          </rPr>
          <t xml:space="preserve">16/09/1800 </t>
        </r>
        <r>
          <rPr>
            <i/>
            <sz val="14"/>
            <color rgb="FF000000"/>
            <rFont val="Times New Roman"/>
            <family val="18"/>
          </rPr>
          <t>von Reserve Division in s Haupt Schmoll Companie eingerückt</t>
        </r>
        <r>
          <rPr>
            <sz val="14"/>
            <color rgb="FF000000"/>
            <rFont val="Times New Roman"/>
            <family val="18"/>
          </rPr>
          <t xml:space="preserve"> [ST Oct 1800]
</t>
        </r>
        <r>
          <rPr>
            <sz val="14"/>
            <color rgb="FF000000"/>
            <rFont val="Times New Roman"/>
            <family val="18"/>
          </rPr>
          <t xml:space="preserve">11/09/1802 Musterung: IR 43 Haupt Wittgens Comp. Nr. 94]
</t>
        </r>
        <r>
          <rPr>
            <sz val="14"/>
            <color rgb="FF000000"/>
            <rFont val="Times New Roman"/>
            <family val="18"/>
          </rPr>
          <t xml:space="preserve">08/11/1802 </t>
        </r>
        <r>
          <rPr>
            <i/>
            <sz val="14"/>
            <color rgb="FF000000"/>
            <rFont val="Times New Roman"/>
            <family val="18"/>
          </rPr>
          <t>Auf Marsch mit Urlaub und Auswärtiger Verpflegung</t>
        </r>
        <r>
          <rPr>
            <sz val="14"/>
            <color rgb="FF000000"/>
            <rFont val="Times New Roman"/>
            <family val="18"/>
          </rPr>
          <t xml:space="preserve"> [ST Nov 1802]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28/09/1803 Musterung: IR 43 Haupt Wittgens Ohne Nummer [</t>
        </r>
        <r>
          <rPr>
            <i/>
            <sz val="14"/>
            <color rgb="FF000000"/>
            <rFont val="Times New Roman"/>
            <family val="18"/>
          </rPr>
          <t>Beurlaubt in Coray in Galizien</t>
        </r>
        <r>
          <rPr>
            <sz val="14"/>
            <color rgb="FF000000"/>
            <rFont val="Times New Roman"/>
            <family val="18"/>
          </rPr>
          <t xml:space="preserve">]
</t>
        </r>
        <r>
          <rPr>
            <sz val="14"/>
            <color rgb="FF000000"/>
            <rFont val="Times New Roman"/>
            <family val="18"/>
          </rPr>
          <t xml:space="preserve">09/10/1804 Musterung: IR 43 Haupt Wittgens Comp Nr. 75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At Muster 01/10/1805 7. Fus Comp Nr. 56 [</t>
        </r>
        <r>
          <rPr>
            <i/>
            <sz val="14"/>
            <color rgb="FF000000"/>
            <rFont val="Times New Roman"/>
            <family val="18"/>
          </rPr>
          <t>Beurlaubt bis zur Einberufung</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11. Fus Comp als unwissend verloren in Abgang</t>
        </r>
        <r>
          <rPr>
            <sz val="14"/>
            <color rgb="FF000000"/>
            <rFont val="Times New Roman"/>
            <family val="18"/>
          </rPr>
          <t xml:space="preserve"> [ST Oct 1806 &amp; ML 1806]
</t>
        </r>
      </text>
    </comment>
    <comment ref="BG702" authorId="0" shapeId="0" xr:uid="{D7B26A5D-72CA-3146-897F-18F19F952FCC}">
      <text>
        <r>
          <rPr>
            <sz val="14"/>
            <color rgb="FF000000"/>
            <rFont val="Times New Roman"/>
            <family val="18"/>
          </rPr>
          <t xml:space="preserve">ML 10.272 IR 43 (1802) – Heft von Haupt Wittgens Comp. Nr. 94 (Zara 11/09/1802)
</t>
        </r>
        <r>
          <rPr>
            <sz val="14"/>
            <color rgb="FF000000"/>
            <rFont val="Times New Roman"/>
            <family val="18"/>
          </rPr>
          <t xml:space="preserve">ML 10.273 IR 43 (1803) – Heft von Haupt Wittgens Comp. Ohne Nummer (Zara 28/09/1803)
</t>
        </r>
        <r>
          <rPr>
            <sz val="14"/>
            <color rgb="FF000000"/>
            <rFont val="Times New Roman"/>
            <family val="18"/>
          </rPr>
          <t xml:space="preserve">ML 10.274 IR 43 (1804) – Heft von Haupt Wittgens Comp. Nr. 75 (Risano 09/10/1804)
</t>
        </r>
        <r>
          <rPr>
            <sz val="14"/>
            <color rgb="FF000000"/>
            <rFont val="Times New Roman"/>
            <family val="18"/>
          </rPr>
          <t xml:space="preserve">ML 10.275/6 IR 43 (1805) – Heft von 7. Fus Comp. Nr. 56 (Zara (01/10/1805)
</t>
        </r>
        <r>
          <rPr>
            <sz val="14"/>
            <color rgb="FF000000"/>
            <rFont val="Times New Roman"/>
            <family val="18"/>
          </rPr>
          <t xml:space="preserve">ML 10/277/8 IR 43 (1806) – Heft von 11. Fus Comp. Abgang (Neustadt 05/12/1806)
</t>
        </r>
        <r>
          <rPr>
            <sz val="14"/>
            <color rgb="FF000000"/>
            <rFont val="Times New Roman"/>
            <family val="18"/>
          </rPr>
          <t xml:space="preserve">ML 10.309 IR 43 (1800) – ST Mai (??), August (27/12/1803) und Oktober (31/01/1804)
</t>
        </r>
        <r>
          <rPr>
            <sz val="14"/>
            <color rgb="FF000000"/>
            <rFont val="Times New Roman"/>
            <family val="18"/>
          </rPr>
          <t xml:space="preserve">ML 10.312 IR 43 (1802) – ST Nov (15/12/1802)
</t>
        </r>
        <r>
          <rPr>
            <sz val="14"/>
            <color rgb="FF000000"/>
            <rFont val="Times New Roman"/>
            <family val="18"/>
          </rPr>
          <t xml:space="preserve">ML 10.313 IR 43 (1803) – ST März (15/04/1803) 
</t>
        </r>
        <r>
          <rPr>
            <sz val="14"/>
            <color rgb="FF000000"/>
            <rFont val="Times New Roman"/>
            <family val="18"/>
          </rPr>
          <t xml:space="preserve">ML 10.317 IR 43 (1806) – ST Oktober (27/11/1806) 
</t>
        </r>
      </text>
    </comment>
    <comment ref="BH702" authorId="0" shapeId="0" xr:uid="{F9B455F6-3A6E-A249-A54C-7251DDB555E5}">
      <text>
        <r>
          <rPr>
            <sz val="14"/>
            <color rgb="FF000000"/>
            <rFont val="Calibri"/>
            <family val="34"/>
          </rPr>
          <t>IR 43 (1800-1806)</t>
        </r>
      </text>
    </comment>
    <comment ref="BF703" authorId="0" shapeId="0" xr:uid="{33DA9C60-98D4-4749-8F0E-9B81CB1D27E0}">
      <text>
        <r>
          <rPr>
            <sz val="14"/>
            <color rgb="FFFF0000"/>
            <rFont val="Times New Roman"/>
            <family val="18"/>
          </rPr>
          <t xml:space="preserve">12/05/1800 </t>
        </r>
        <r>
          <rPr>
            <i/>
            <sz val="14"/>
            <color rgb="FFFF0000"/>
            <rFont val="Times New Roman"/>
            <family val="18"/>
          </rPr>
          <t>Von Ständen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23/05/1800 </t>
        </r>
        <r>
          <rPr>
            <i/>
            <sz val="14"/>
            <color rgb="FF000000"/>
            <rFont val="Times New Roman"/>
            <family val="18"/>
          </rPr>
          <t>statt dem wegen Untauglichkeit entlassenen Schmull ISRAEL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20/01/1801 </t>
        </r>
        <r>
          <rPr>
            <i/>
            <sz val="14"/>
            <color rgb="FF000000"/>
            <rFont val="Times New Roman"/>
            <family val="18"/>
          </rPr>
          <t>in die Reserve Division eingerückt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Schoerr Comp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20/05/1802 </t>
        </r>
        <r>
          <rPr>
            <i/>
            <sz val="14"/>
            <color rgb="FF000000"/>
            <rFont val="Times New Roman"/>
            <family val="18"/>
          </rPr>
          <t>auf bestimmte Zeit beurlaubt; ist mit Verpflegung bis seine Heimat mit taglich zu machen 3 Meilen nach Ost Gallizien auf bestimmte Urlaub abgegangen und bis in die Licoa auf unterstehende Art Verpflegt</t>
        </r>
        <r>
          <rPr>
            <sz val="14"/>
            <color rgb="FF000000"/>
            <rFont val="Times New Roman"/>
            <family val="18"/>
          </rPr>
          <t xml:space="preserve"> [ST May 1802]</t>
        </r>
        <r>
          <rPr>
            <sz val="14"/>
            <color rgb="FF000000"/>
            <rFont val="Calibri"/>
            <family val="34"/>
          </rPr>
          <t xml:space="preserve">
</t>
        </r>
        <r>
          <rPr>
            <sz val="14"/>
            <color rgb="FF000000"/>
            <rFont val="Times New Roman"/>
            <family val="18"/>
          </rPr>
          <t xml:space="preserve">25/05/1802 bis 27/05/1802 </t>
        </r>
        <r>
          <rPr>
            <i/>
            <sz val="14"/>
            <color rgb="FF000000"/>
            <rFont val="Times New Roman"/>
            <family val="18"/>
          </rPr>
          <t>mit Ungarische Gebühr Verpflegt</t>
        </r>
        <r>
          <rPr>
            <sz val="14"/>
            <color rgb="FF000000"/>
            <rFont val="Times New Roman"/>
            <family val="18"/>
          </rPr>
          <t xml:space="preserve"> [ST May 1802]</t>
        </r>
        <r>
          <rPr>
            <sz val="14"/>
            <color rgb="FF000000"/>
            <rFont val="Calibri"/>
            <family val="34"/>
          </rPr>
          <t xml:space="preserve">
</t>
        </r>
        <r>
          <rPr>
            <sz val="14"/>
            <color rgb="FF000000"/>
            <rFont val="Times New Roman"/>
            <family val="18"/>
          </rPr>
          <t>11/09/1802 Musterung: IR 43 Haupt Schoerr Comp Nr. 103 [</t>
        </r>
        <r>
          <rPr>
            <i/>
            <sz val="14"/>
            <color rgb="FF000000"/>
            <rFont val="Times New Roman"/>
            <family val="18"/>
          </rPr>
          <t>Beurlaubt in Galizien]</t>
        </r>
        <r>
          <rPr>
            <sz val="14"/>
            <color rgb="FF000000"/>
            <rFont val="Calibri"/>
            <family val="34"/>
          </rPr>
          <t xml:space="preserve">
</t>
        </r>
        <r>
          <rPr>
            <sz val="14"/>
            <color rgb="FF000000"/>
            <rFont val="Times New Roman"/>
            <family val="18"/>
          </rPr>
          <t xml:space="preserve">??/11/1802 </t>
        </r>
        <r>
          <rPr>
            <i/>
            <sz val="14"/>
            <color rgb="FF000000"/>
            <rFont val="Times New Roman"/>
            <family val="18"/>
          </rPr>
          <t xml:space="preserve">Von bestimmte zum Unbestimmten Urlaub übersetzt </t>
        </r>
        <r>
          <rPr>
            <sz val="14"/>
            <color rgb="FF000000"/>
            <rFont val="Times New Roman"/>
            <family val="18"/>
          </rPr>
          <t>[ST Nov 1802]</t>
        </r>
        <r>
          <rPr>
            <sz val="14"/>
            <color rgb="FF000000"/>
            <rFont val="Calibri"/>
            <family val="34"/>
          </rPr>
          <t xml:space="preserve">
</t>
        </r>
        <r>
          <rPr>
            <sz val="14"/>
            <color rgb="FF000000"/>
            <rFont val="Times New Roman"/>
            <family val="18"/>
          </rPr>
          <t>28/09/1803 Musterung: IR 43 Haupt Schoer Comp Nr. 92 [</t>
        </r>
        <r>
          <rPr>
            <i/>
            <sz val="14"/>
            <color rgb="FF000000"/>
            <rFont val="Times New Roman"/>
            <family val="18"/>
          </rPr>
          <t>Bis zur Einberufung zu Jozefov in Gallizien Beurlaubt</t>
        </r>
        <r>
          <rPr>
            <sz val="14"/>
            <color rgb="FF000000"/>
            <rFont val="Times New Roman"/>
            <family val="18"/>
          </rPr>
          <t>]</t>
        </r>
        <r>
          <rPr>
            <sz val="14"/>
            <color rgb="FF000000"/>
            <rFont val="Calibri"/>
            <family val="34"/>
          </rPr>
          <t xml:space="preserve">
</t>
        </r>
        <r>
          <rPr>
            <sz val="14"/>
            <color rgb="FF000000"/>
            <rFont val="Times New Roman"/>
            <family val="18"/>
          </rPr>
          <t>07/10/1804 Musterung: IR 43 Haupt Schoer Comp Nr. 88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01/10/1805 Musterung: 6. Fus Comp Nr. 71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8. Fus Comp als unwissend verloren in Abgang</t>
        </r>
        <r>
          <rPr>
            <sz val="14"/>
            <color rgb="FF000000"/>
            <rFont val="Times New Roman"/>
            <family val="18"/>
          </rPr>
          <t xml:space="preserve"> [ST Oct 1806 &amp;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wurde in den Monats Tabelle per 8ber 806 nit ultimo unrecht als unwissend verloren in Abgang gebracht; weil selbe auf Urlaub als Untauglich zu entlassen Wird</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zu Folge hoher General Commando Verordnung Nr. 7200 als untauglich gegen Renuncierung con Militar Beneficien mit Abschied entlassen</t>
        </r>
        <r>
          <rPr>
            <sz val="14"/>
            <color rgb="FF000000"/>
            <rFont val="Times New Roman"/>
            <family val="18"/>
          </rPr>
          <t xml:space="preserve"> [ST Nov 1806 &amp; ML 1806]</t>
        </r>
        <r>
          <rPr>
            <sz val="14"/>
            <color rgb="FF000000"/>
            <rFont val="Calibri"/>
            <family val="34"/>
          </rPr>
          <t xml:space="preserve">
</t>
        </r>
      </text>
    </comment>
    <comment ref="BG703" authorId="0" shapeId="0" xr:uid="{EC8880F4-92B8-7A4B-B85C-66DC8A682C90}">
      <text>
        <r>
          <rPr>
            <sz val="14"/>
            <color rgb="FF000000"/>
            <rFont val="Calibri"/>
            <family val="34"/>
          </rPr>
          <t xml:space="preserve">ML 10.272 IR 43 (1802) – Heft von Haupt Schoer Comp Nr. 103 (Zara 11/09/1802)
</t>
        </r>
        <r>
          <rPr>
            <sz val="14"/>
            <color rgb="FF000000"/>
            <rFont val="Calibri"/>
            <family val="34"/>
          </rPr>
          <t xml:space="preserve">ML 10.273 IR 43 (1803) – Heft von Haupt Schoer  Comp Nr. 92 (Cattaro 28/09/1803)
</t>
        </r>
        <r>
          <rPr>
            <sz val="14"/>
            <color rgb="FF000000"/>
            <rFont val="Calibri"/>
            <family val="34"/>
          </rPr>
          <t xml:space="preserve">ML 10.274 IR 43 (1804) – Heft von Haupt Schoer Comp Nr. 88 (Cattaro 07/10/1804)
</t>
        </r>
        <r>
          <rPr>
            <sz val="14"/>
            <color rgb="FF000000"/>
            <rFont val="Calibri"/>
            <family val="34"/>
          </rPr>
          <t xml:space="preserve">ML 10.275/6 IR 43 (1805) – Heft von 6. Fus. Comp. Nr. 71 (Zara 01/10/1805)
</t>
        </r>
        <r>
          <rPr>
            <sz val="14"/>
            <color rgb="FF000000"/>
            <rFont val="Calibri"/>
            <family val="34"/>
          </rPr>
          <t xml:space="preserve">ML 10.277/8 IR 43 (1806) – Heft von 8. Fus. Comp. – Abgang (Neustadt (05/12/1806)
</t>
        </r>
        <r>
          <rPr>
            <sz val="14"/>
            <color rgb="FF000000"/>
            <rFont val="Calibri"/>
            <family val="34"/>
          </rPr>
          <t xml:space="preserve">ML 10.309 IR 43 (1800) – ST June (27/08/1803)
</t>
        </r>
        <r>
          <rPr>
            <sz val="14"/>
            <color rgb="FF000000"/>
            <rFont val="Calibri"/>
            <family val="34"/>
          </rPr>
          <t xml:space="preserve">ML 10.311 IR 43 (1801) – ST Jänner (23/08/1804)
</t>
        </r>
        <r>
          <rPr>
            <sz val="14"/>
            <color rgb="FF000000"/>
            <rFont val="Calibri"/>
            <family val="34"/>
          </rPr>
          <t xml:space="preserve">ML 10.312 IR 43 (1802) – ST Mai (15/06/1802) und November (15/12/1802)
</t>
        </r>
        <r>
          <rPr>
            <sz val="14"/>
            <color rgb="FF000000"/>
            <rFont val="Calibri"/>
            <family val="34"/>
          </rPr>
          <t xml:space="preserve">ML 10.317 IR 43 (1806) – ST Oktober (27/11/1806) und November (15/12/1806)
</t>
        </r>
      </text>
    </comment>
    <comment ref="BH703" authorId="0" shapeId="0" xr:uid="{A292A366-C66E-F04C-9296-1C79FA580D23}">
      <text>
        <r>
          <rPr>
            <sz val="14"/>
            <color rgb="FF000000"/>
            <rFont val="Calibri"/>
            <family val="34"/>
          </rPr>
          <t>IR 43 (1800-1806)</t>
        </r>
      </text>
    </comment>
    <comment ref="BF704" authorId="0" shapeId="0" xr:uid="{81B3E423-C714-544C-B4F0-4A7CDE76D134}">
      <text>
        <r>
          <rPr>
            <sz val="14"/>
            <color rgb="FFFF0000"/>
            <rFont val="Times New Roman"/>
            <family val="18"/>
          </rPr>
          <t xml:space="preserve">24/05/1799 </t>
        </r>
        <r>
          <rPr>
            <i/>
            <sz val="14"/>
            <color rgb="FFFF0000"/>
            <rFont val="Times New Roman"/>
            <family val="18"/>
          </rPr>
          <t>A 3Fl Auf Beständig gestellt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24/05/1800 </t>
        </r>
        <r>
          <rPr>
            <i/>
            <sz val="14"/>
            <color rgb="FF000000"/>
            <rFont val="Times New Roman"/>
            <family val="18"/>
          </rPr>
          <t>Von Dominien ausgehoben und a 3Fl Handgeld zum Zloczow assentiert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26/10/1800 </t>
        </r>
        <r>
          <rPr>
            <i/>
            <sz val="14"/>
            <color rgb="FF000000"/>
            <rFont val="Times New Roman"/>
            <family val="18"/>
          </rPr>
          <t>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Kocken Kompk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01/07/1802 </t>
        </r>
        <r>
          <rPr>
            <i/>
            <sz val="14"/>
            <color rgb="FF000000"/>
            <rFont val="Times New Roman"/>
            <family val="18"/>
          </rPr>
          <t>Von Haupt Kocken zum Haupt Schoerr Komp. transferiert</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[IR 43]</t>
        </r>
        <r>
          <rPr>
            <sz val="14"/>
            <color rgb="FF000000"/>
            <rFont val="Times New Roman"/>
            <family val="18"/>
          </rPr>
          <t xml:space="preserve"> </t>
        </r>
        <r>
          <rPr>
            <i/>
            <sz val="14"/>
            <color rgb="FF000000"/>
            <rFont val="Times New Roman"/>
            <family val="18"/>
          </rPr>
          <t>Haupt Dietrich Komp zum IR 44 transferiert und zur Haupt Avignonesi Komp. eingeteilt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 xml:space="preserve">12/11/1802 </t>
        </r>
        <r>
          <rPr>
            <i/>
            <sz val="14"/>
            <color rgb="FF000000"/>
            <rFont val="Times New Roman"/>
            <family val="18"/>
          </rPr>
          <t>In Regiments Spital zu Vendig Gestorben</t>
        </r>
        <r>
          <rPr>
            <sz val="14"/>
            <color rgb="FF000000"/>
            <rFont val="Times New Roman"/>
            <family val="18"/>
          </rPr>
          <t xml:space="preserve"> [ML 1803]</t>
        </r>
        <r>
          <rPr>
            <sz val="14"/>
            <color rgb="FF000000"/>
            <rFont val="Calibri"/>
            <family val="34"/>
          </rPr>
          <t xml:space="preserve">
</t>
        </r>
      </text>
    </comment>
    <comment ref="BG704" authorId="0" shapeId="0" xr:uid="{A0952B72-FA3F-AE49-8A09-E4A5E13E53B6}">
      <text>
        <r>
          <rPr>
            <sz val="14"/>
            <color rgb="FF000000"/>
            <rFont val="Times New Roman"/>
            <family val="18"/>
          </rPr>
          <t>ML 10.309 IR 43 (1800) – ST Juni (27/08/1803), Okt (22/03/1804),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Abgang (Venice 19/09/1803)</t>
        </r>
        <r>
          <rPr>
            <sz val="14"/>
            <color rgb="FF000000"/>
            <rFont val="Calibri"/>
            <family val="34"/>
          </rPr>
          <t xml:space="preserve">
</t>
        </r>
        <r>
          <rPr>
            <sz val="14"/>
            <color rgb="FF000000"/>
            <rFont val="Times New Roman"/>
            <family val="18"/>
          </rPr>
          <t>ML 3946 IR 44 (1802) – AL IR 43-&gt; IR 43 Nr. 81 (Zara 27/07/1802)</t>
        </r>
        <r>
          <rPr>
            <sz val="14"/>
            <color rgb="FF000000"/>
            <rFont val="Calibri"/>
            <family val="34"/>
          </rPr>
          <t xml:space="preserve">
</t>
        </r>
      </text>
    </comment>
    <comment ref="BH704" authorId="0" shapeId="0" xr:uid="{836352E2-349D-CB43-B607-89482A41919B}">
      <text>
        <r>
          <rPr>
            <sz val="14"/>
            <color rgb="FF000000"/>
            <rFont val="Calibri"/>
            <family val="34"/>
          </rPr>
          <t xml:space="preserve">IR 43 (1800-1802)
</t>
        </r>
        <r>
          <rPr>
            <sz val="14"/>
            <color rgb="FF000000"/>
            <rFont val="Calibri"/>
            <family val="34"/>
          </rPr>
          <t>IR 44 (1802)</t>
        </r>
      </text>
    </comment>
    <comment ref="BI704" authorId="0" shapeId="0" xr:uid="{DF77DC12-BCF3-1240-95A4-ADE45000AA8B}">
      <text>
        <r>
          <rPr>
            <sz val="14"/>
            <color rgb="FF000000"/>
            <rFont val="Calibri"/>
            <family val="34"/>
          </rPr>
          <t>Gut [TL Juli 1802]</t>
        </r>
      </text>
    </comment>
    <comment ref="BF705" authorId="0" shapeId="0" xr:uid="{23A11998-B82A-5743-BE5D-D4A1F0C11DA5}">
      <text>
        <r>
          <rPr>
            <sz val="14"/>
            <color rgb="FF000000"/>
            <rFont val="Times New Roman"/>
            <family val="18"/>
          </rPr>
          <t xml:space="preserve">24/05/1800 </t>
        </r>
        <r>
          <rPr>
            <i/>
            <sz val="14"/>
            <color rgb="FF000000"/>
            <rFont val="Times New Roman"/>
            <family val="18"/>
          </rPr>
          <t>statt dem wegen Untauglichkeit entlassenen Israel WOLF a 3Fl Handgeld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FF0000"/>
            <rFont val="Times New Roman"/>
            <family val="18"/>
          </rPr>
          <t xml:space="preserve">24/06/1800 </t>
        </r>
        <r>
          <rPr>
            <i/>
            <sz val="14"/>
            <color rgb="FFFF0000"/>
            <rFont val="Times New Roman"/>
            <family val="18"/>
          </rPr>
          <t>Als Galizier a 3Fl von Ständen gestellt</t>
        </r>
        <r>
          <rPr>
            <sz val="14"/>
            <color rgb="FFFF0000"/>
            <rFont val="Times New Roman"/>
            <family val="18"/>
          </rPr>
          <t xml:space="preserve"> [ML 1802/3]</t>
        </r>
        <r>
          <rPr>
            <sz val="14"/>
            <color rgb="FF000000"/>
            <rFont val="Calibri"/>
            <family val="34"/>
          </rPr>
          <t xml:space="preserve">
</t>
        </r>
        <r>
          <rPr>
            <sz val="14"/>
            <color rgb="FF000000"/>
            <rFont val="Times New Roman"/>
            <family val="18"/>
          </rPr>
          <t xml:space="preserve">26/10/1800 </t>
        </r>
        <r>
          <rPr>
            <i/>
            <sz val="14"/>
            <color rgb="FF000000"/>
            <rFont val="Times New Roman"/>
            <family val="18"/>
          </rPr>
          <t>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in die 2. Major Companie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07/07/1802 </t>
        </r>
        <r>
          <rPr>
            <i/>
            <sz val="14"/>
            <color rgb="FF000000"/>
            <rFont val="Times New Roman"/>
            <family val="18"/>
          </rPr>
          <t>Auf bestimmte Zeit Beurlaubt; den 7. mit Deutschen Gebühr und Teuerungsbeitrag, 11. bis 13 mit Ungarischen Gebühr Ohne Teuerungsbeitrag</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11/09/1802 Muster: IR 43 2. Major Komp. Nr. 82 [</t>
        </r>
        <r>
          <rPr>
            <i/>
            <sz val="14"/>
            <color rgb="FF000000"/>
            <rFont val="Times New Roman"/>
            <family val="18"/>
          </rPr>
          <t>Auf Urlaub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28/09/1803 Musterung: IR 43 2. Major Komp. Nr. 139 [</t>
        </r>
        <r>
          <rPr>
            <i/>
            <sz val="14"/>
            <color rgb="FF000000"/>
            <rFont val="Times New Roman"/>
            <family val="18"/>
          </rPr>
          <t>Bis Einberufung zu Opolle in East Gallizien beurlaubt</t>
        </r>
        <r>
          <rPr>
            <sz val="14"/>
            <color rgb="FF000000"/>
            <rFont val="Times New Roman"/>
            <family val="18"/>
          </rPr>
          <t>]</t>
        </r>
        <r>
          <rPr>
            <sz val="14"/>
            <color rgb="FF000000"/>
            <rFont val="Calibri"/>
            <family val="34"/>
          </rPr>
          <t xml:space="preserve">
</t>
        </r>
        <r>
          <rPr>
            <sz val="14"/>
            <color rgb="FF000000"/>
            <rFont val="Times New Roman"/>
            <family val="18"/>
          </rPr>
          <t xml:space="preserve">20/07/1804 </t>
        </r>
        <r>
          <rPr>
            <i/>
            <sz val="14"/>
            <color rgb="FF000000"/>
            <rFont val="Times New Roman"/>
            <family val="18"/>
          </rPr>
          <t>Gegen Stellung der Ausländer mit der 15 Jan. zu Furst Reusee Infanterie und anton Kursky unten 3. Juni zu Neugebauer Infanterie assentierte Recrouten und Erlaag des Doppelten Montur Geldes von unbestimmte Urlaub mit Abschied entlassen</t>
        </r>
        <r>
          <rPr>
            <sz val="14"/>
            <color rgb="FF000000"/>
            <rFont val="Times New Roman"/>
            <family val="18"/>
          </rPr>
          <t xml:space="preserve"> [ST Juli 1804 &amp; ML 1804] </t>
        </r>
        <r>
          <rPr>
            <sz val="14"/>
            <color rgb="FF000000"/>
            <rFont val="Calibri"/>
            <family val="34"/>
          </rPr>
          <t xml:space="preserve">
</t>
        </r>
      </text>
    </comment>
    <comment ref="BG705" authorId="0" shapeId="0" xr:uid="{4AC41373-75BC-0645-836D-AA86BD5A9019}">
      <text>
        <r>
          <rPr>
            <sz val="14"/>
            <color rgb="FF000000"/>
            <rFont val="Times New Roman"/>
            <family val="18"/>
          </rPr>
          <t>ML 10.272 IR 43 (1802) – Heft von 2. Major Comp. Nr. 163 (Zara 11/09/1802)</t>
        </r>
        <r>
          <rPr>
            <sz val="14"/>
            <color rgb="FF000000"/>
            <rFont val="Calibri"/>
            <family val="34"/>
          </rPr>
          <t xml:space="preserve">
</t>
        </r>
        <r>
          <rPr>
            <sz val="14"/>
            <color rgb="FF000000"/>
            <rFont val="Times New Roman"/>
            <family val="18"/>
          </rPr>
          <t>ML 10.273 IR 43 (1803) – Heft von 2. Major Comp. Nr. 139 (Zara 28/09/1803)</t>
        </r>
        <r>
          <rPr>
            <sz val="14"/>
            <color rgb="FF000000"/>
            <rFont val="Calibri"/>
            <family val="34"/>
          </rPr>
          <t xml:space="preserve">
</t>
        </r>
        <r>
          <rPr>
            <sz val="14"/>
            <color rgb="FF000000"/>
            <rFont val="Times New Roman"/>
            <family val="18"/>
          </rPr>
          <t>ML 10.274 IR 43 (1804) – Heft von 2. Major Comp. Abgang (Cattaro 07/10/1804)</t>
        </r>
        <r>
          <rPr>
            <sz val="14"/>
            <color rgb="FF000000"/>
            <rFont val="Calibri"/>
            <family val="34"/>
          </rPr>
          <t xml:space="preserve">
</t>
        </r>
        <r>
          <rPr>
            <sz val="14"/>
            <color rgb="FF000000"/>
            <rFont val="Times New Roman"/>
            <family val="18"/>
          </rPr>
          <t>ML 10.309 IR 43 (1800) – ST Juni (27/08/1803), Okt (22/03/1804),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Juli (15/08/1802), Nov (13/12/1802)</t>
        </r>
        <r>
          <rPr>
            <sz val="14"/>
            <color rgb="FF000000"/>
            <rFont val="Calibri"/>
            <family val="34"/>
          </rPr>
          <t xml:space="preserve">
</t>
        </r>
        <r>
          <rPr>
            <sz val="14"/>
            <color rgb="FF000000"/>
            <rFont val="Times New Roman"/>
            <family val="18"/>
          </rPr>
          <t>ML 10.314 IR 43 (1804) – ST Juli (15/08/1804)</t>
        </r>
        <r>
          <rPr>
            <sz val="14"/>
            <color rgb="FF000000"/>
            <rFont val="Calibri"/>
            <family val="34"/>
          </rPr>
          <t xml:space="preserve">
</t>
        </r>
      </text>
    </comment>
    <comment ref="BH705" authorId="0" shapeId="0" xr:uid="{9229A9FF-A0C9-2945-9C3F-032E3801FAC9}">
      <text>
        <r>
          <rPr>
            <sz val="14"/>
            <color rgb="FF000000"/>
            <rFont val="Calibri"/>
            <family val="34"/>
          </rPr>
          <t>IR 43 (1800-1804)</t>
        </r>
      </text>
    </comment>
    <comment ref="I706" authorId="0" shapeId="0" xr:uid="{86164AB4-162A-554D-8FE8-8BF70B967076}">
      <text>
        <r>
          <rPr>
            <sz val="14"/>
            <color rgb="FF000000"/>
            <rFont val="Calibri"/>
            <family val="34"/>
          </rPr>
          <t xml:space="preserve">1758 [44 (1802)]
</t>
        </r>
        <r>
          <rPr>
            <sz val="14"/>
            <color rgb="FF000000"/>
            <rFont val="Calibri"/>
            <family val="34"/>
          </rPr>
          <t xml:space="preserve">OR
</t>
        </r>
        <r>
          <rPr>
            <sz val="14"/>
            <color rgb="FF000000"/>
            <rFont val="Calibri"/>
            <family val="34"/>
          </rPr>
          <t xml:space="preserve">1762 [38 (1800)]  </t>
        </r>
      </text>
    </comment>
    <comment ref="K706" authorId="0" shapeId="0" xr:uid="{0534E35B-2CBC-5649-BDB2-AB2F46ACC611}">
      <text>
        <r>
          <rPr>
            <sz val="14"/>
            <color rgb="FF000000"/>
            <rFont val="Calibri"/>
            <family val="34"/>
          </rPr>
          <t xml:space="preserve">Bäcker  (1800)
</t>
        </r>
        <r>
          <rPr>
            <sz val="14"/>
            <color rgb="FF000000"/>
            <rFont val="Calibri"/>
            <family val="34"/>
          </rPr>
          <t>Ohne (1802)</t>
        </r>
      </text>
    </comment>
    <comment ref="BF706" authorId="0" shapeId="0" xr:uid="{EA787674-212B-364D-9D08-F8E53CA11516}">
      <text>
        <r>
          <rPr>
            <sz val="14"/>
            <color rgb="FF000000"/>
            <rFont val="Times New Roman"/>
            <family val="18"/>
          </rPr>
          <t xml:space="preserve">26/05/1800 </t>
        </r>
        <r>
          <rPr>
            <i/>
            <sz val="14"/>
            <color rgb="FF000000"/>
            <rFont val="Times New Roman"/>
            <family val="18"/>
          </rPr>
          <t xml:space="preserve">Zu Krakau als Landständischer Recrout a 3Fl Handgeld auf Beständig zum IR 23 gestellt </t>
        </r>
        <r>
          <rPr>
            <sz val="14"/>
            <color rgb="FF000000"/>
            <rFont val="Times New Roman"/>
            <family val="18"/>
          </rPr>
          <t>[ML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der disolvierte Reserve Division zum Haupt Böhm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09/09/1802 Muster: IR 23 Haupt Böhm Nr. 126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 xml:space="preserve">30/06/1803 </t>
        </r>
        <r>
          <rPr>
            <i/>
            <sz val="14"/>
            <color rgb="FF000000"/>
            <rFont val="Times New Roman"/>
            <family val="18"/>
          </rPr>
          <t xml:space="preserve">Wegen Unentbehrlichkeit zu Hause und gegen den Gestellt: Rek. Salomon Jacob mit abschied entlassen </t>
        </r>
        <r>
          <rPr>
            <sz val="14"/>
            <color rgb="FF000000"/>
            <rFont val="Times New Roman"/>
            <family val="18"/>
          </rPr>
          <t>[ML 1803]</t>
        </r>
        <r>
          <rPr>
            <sz val="14"/>
            <color rgb="FF000000"/>
            <rFont val="Calibri"/>
            <family val="2"/>
          </rPr>
          <t xml:space="preserve"> </t>
        </r>
      </text>
    </comment>
    <comment ref="BG706" authorId="0" shapeId="0" xr:uid="{6153EEC0-20F2-DC4A-B382-C0B0C91250AA}">
      <text>
        <r>
          <rPr>
            <sz val="14"/>
            <color rgb="FF000000"/>
            <rFont val="Times New Roman"/>
            <family val="18"/>
          </rPr>
          <t>ML 10.124 IR 23 (1802) – Haupt Böhm Komp. Nr.126 (Krems 09/09/1802)</t>
        </r>
        <r>
          <rPr>
            <sz val="14"/>
            <color rgb="FF000000"/>
            <rFont val="Calibri"/>
            <family val="34"/>
          </rPr>
          <t xml:space="preserve">
</t>
        </r>
        <r>
          <rPr>
            <sz val="14"/>
            <color rgb="FF000000"/>
            <rFont val="Times New Roman"/>
            <family val="18"/>
          </rPr>
          <t>ML 10.125 IR 23 (1803) – Haupt Böhm Komp. Nr.126 (Execierlager bei St Pölten 07/09/1803)</t>
        </r>
        <r>
          <rPr>
            <sz val="14"/>
            <color rgb="FF000000"/>
            <rFont val="Calibri"/>
            <family val="34"/>
          </rPr>
          <t xml:space="preserve">
</t>
        </r>
        <r>
          <rPr>
            <sz val="14"/>
            <color rgb="FF000000"/>
            <rFont val="Times New Roman"/>
            <family val="18"/>
          </rPr>
          <t>ML 10.166 IR 23 (1800) – Al. Nr. 1 (Krakow 31/05/1800)</t>
        </r>
        <r>
          <rPr>
            <sz val="14"/>
            <color rgb="FF000000"/>
            <rFont val="Calibri"/>
            <family val="34"/>
          </rPr>
          <t xml:space="preserve">
</t>
        </r>
      </text>
    </comment>
    <comment ref="BH706" authorId="0" shapeId="0" xr:uid="{4B1639E4-31DA-4E44-BA74-A83B19991F78}">
      <text>
        <r>
          <rPr>
            <sz val="14"/>
            <color rgb="FF000000"/>
            <rFont val="Calibri"/>
            <family val="34"/>
          </rPr>
          <t>IR 43 (1800-1803)</t>
        </r>
      </text>
    </comment>
    <comment ref="BF707" authorId="0" shapeId="0" xr:uid="{C45D3CF8-274B-ED43-BAE1-921521FABF11}">
      <text>
        <r>
          <rPr>
            <sz val="14"/>
            <color rgb="FF000000"/>
            <rFont val="Times New Roman"/>
            <family val="18"/>
          </rPr>
          <t xml:space="preserve">09/06/1800 </t>
        </r>
        <r>
          <rPr>
            <i/>
            <sz val="14"/>
            <color rgb="FF000000"/>
            <rFont val="Times New Roman"/>
            <family val="18"/>
          </rPr>
          <t>Zu Lublin gegen 3Fl Handgeld auf Beständig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18/09/1802 Muster: IR 13 Haupt Majus Komp. Nr. 67 [</t>
        </r>
        <r>
          <rPr>
            <i/>
            <sz val="14"/>
            <color rgb="FF000000"/>
            <rFont val="Times New Roman"/>
            <family val="18"/>
          </rPr>
          <t>Krank in Rovigno</t>
        </r>
        <r>
          <rPr>
            <sz val="14"/>
            <color rgb="FF000000"/>
            <rFont val="Times New Roman"/>
            <family val="18"/>
          </rPr>
          <t>]</t>
        </r>
        <r>
          <rPr>
            <sz val="14"/>
            <color rgb="FF000000"/>
            <rFont val="Times New Roman"/>
            <family val="18"/>
          </rPr>
          <t xml:space="preserve">
</t>
        </r>
        <r>
          <rPr>
            <sz val="14"/>
            <color rgb="FF000000"/>
            <rFont val="Times New Roman"/>
            <family val="18"/>
          </rPr>
          <t xml:space="preserve">22/10/1802 </t>
        </r>
        <r>
          <rPr>
            <i/>
            <sz val="14"/>
            <color rgb="FF000000"/>
            <rFont val="Times New Roman"/>
            <family val="18"/>
          </rPr>
          <t>In Spital zu Rovingo gestorben</t>
        </r>
        <r>
          <rPr>
            <sz val="14"/>
            <color rgb="FF000000"/>
            <rFont val="Times New Roman"/>
            <family val="18"/>
          </rPr>
          <t xml:space="preserve"> [ML 1803] </t>
        </r>
      </text>
    </comment>
    <comment ref="BG707" authorId="0" shapeId="0" xr:uid="{B32C2A25-4AC8-C940-997A-B38EE355620D}">
      <text>
        <r>
          <rPr>
            <sz val="14"/>
            <color rgb="FF000000"/>
            <rFont val="Times New Roman"/>
            <family val="18"/>
          </rPr>
          <t>ML 10.045/6 IR 13 (1802) – Haupt Majus Komp. Nr. 67 (Capo D‘Istria 18/09/1802)</t>
        </r>
        <r>
          <rPr>
            <sz val="14"/>
            <color rgb="FF000000"/>
            <rFont val="Times New Roman"/>
            <family val="18"/>
          </rPr>
          <t xml:space="preserve">
</t>
        </r>
        <r>
          <rPr>
            <sz val="14"/>
            <color rgb="FF000000"/>
            <rFont val="Times New Roman"/>
            <family val="18"/>
          </rPr>
          <t>ML 10.047/8 IR 13 (1803) – Haupt Majus Komp. Abgang (Capo D‘Istria 24/09/1803)</t>
        </r>
        <r>
          <rPr>
            <sz val="14"/>
            <color rgb="FF000000"/>
            <rFont val="Times New Roman"/>
            <family val="18"/>
          </rPr>
          <t xml:space="preserve">
</t>
        </r>
      </text>
    </comment>
    <comment ref="BH707" authorId="0" shapeId="0" xr:uid="{D44A08D8-151F-5A4D-A33D-36FA18802353}">
      <text>
        <r>
          <rPr>
            <sz val="14"/>
            <color rgb="FF000000"/>
            <rFont val="Calibri"/>
            <family val="34"/>
          </rPr>
          <t>IR 13 (1800-1802)</t>
        </r>
      </text>
    </comment>
    <comment ref="T708" authorId="0" shapeId="0" xr:uid="{30BF7123-9943-394A-8548-04D2AA2D836F}">
      <text>
        <r>
          <rPr>
            <sz val="14"/>
            <color rgb="FF000000"/>
            <rFont val="Calibri"/>
            <family val="34"/>
          </rPr>
          <t xml:space="preserve">5.4.1 [168.74 cm] (1800)
</t>
        </r>
        <r>
          <rPr>
            <sz val="14"/>
            <color rgb="FF000000"/>
            <rFont val="Calibri"/>
            <family val="34"/>
          </rPr>
          <t>5.3.2 [166.33 cm] (1802]</t>
        </r>
      </text>
    </comment>
    <comment ref="BF708" authorId="0" shapeId="0" xr:uid="{B91331DF-1135-8C41-898D-085748ECD6C0}">
      <text>
        <r>
          <rPr>
            <sz val="14"/>
            <color rgb="FF000000"/>
            <rFont val="Times New Roman"/>
            <family val="18"/>
          </rPr>
          <t xml:space="preserve">18/06/1800 </t>
        </r>
        <r>
          <rPr>
            <i/>
            <sz val="14"/>
            <color rgb="FF000000"/>
            <rFont val="Times New Roman"/>
            <family val="18"/>
          </rPr>
          <t>Zum Ersatz statt der unter 29/12/1798 als Untauglich mit Laufpaß entlassenen Isak Stenig von der Stadt Zolkiew gestellt und a 3Fl auf beständig assentiert</t>
        </r>
        <r>
          <rPr>
            <sz val="14"/>
            <color rgb="FF000000"/>
            <rFont val="Times New Roman"/>
            <family val="18"/>
          </rPr>
          <t xml:space="preserve"> [AL June 1800 &amp; ML 1802]</t>
        </r>
        <r>
          <rPr>
            <sz val="14"/>
            <color rgb="FF000000"/>
            <rFont val="Calibri"/>
            <family val="34"/>
          </rPr>
          <t xml:space="preserve">
</t>
        </r>
        <r>
          <rPr>
            <sz val="14"/>
            <color rgb="FF000000"/>
            <rFont val="Times New Roman"/>
            <family val="18"/>
          </rPr>
          <t>09/09/1802 Muster: IR 23 ObristLt Komp. Nr. 101 [</t>
        </r>
        <r>
          <rPr>
            <i/>
            <sz val="14"/>
            <color rgb="FF000000"/>
            <rFont val="Times New Roman"/>
            <family val="18"/>
          </rPr>
          <t>Commandiert zu Wien Garnisons Spital</t>
        </r>
        <r>
          <rPr>
            <sz val="14"/>
            <color rgb="FF000000"/>
            <rFont val="Times New Roman"/>
            <family val="18"/>
          </rPr>
          <t>]</t>
        </r>
        <r>
          <rPr>
            <sz val="14"/>
            <color rgb="FF000000"/>
            <rFont val="Calibri"/>
            <family val="34"/>
          </rPr>
          <t xml:space="preserve">
</t>
        </r>
        <r>
          <rPr>
            <sz val="14"/>
            <color rgb="FF000000"/>
            <rFont val="Times New Roman"/>
            <family val="18"/>
          </rPr>
          <t>13/09/1803 Muster: IR 23 ObristLt. Komp. Nr. 77</t>
        </r>
        <r>
          <rPr>
            <sz val="14"/>
            <color rgb="FF000000"/>
            <rFont val="Calibri"/>
            <family val="34"/>
          </rPr>
          <t xml:space="preserve">
</t>
        </r>
        <r>
          <rPr>
            <sz val="14"/>
            <color rgb="FF000000"/>
            <rFont val="Times New Roman"/>
            <family val="18"/>
          </rPr>
          <t>06/09/1804 Muster: IR 23 ObristLt. Komp. Nr. 76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text>
    </comment>
    <comment ref="BG708" authorId="0" shapeId="0" xr:uid="{7F0FD8F7-A90B-6345-9B4D-DD09285F12A2}">
      <text>
        <r>
          <rPr>
            <sz val="14"/>
            <color rgb="FF000000"/>
            <rFont val="Times New Roman"/>
            <family val="18"/>
          </rPr>
          <t>ML 10.124 IR 23 (1802) – ObristLt Komp. Nr. 101 (Vienna 16/09/1802)</t>
        </r>
        <r>
          <rPr>
            <sz val="14"/>
            <color rgb="FF000000"/>
            <rFont val="Calibri"/>
            <family val="34"/>
          </rPr>
          <t xml:space="preserve">
</t>
        </r>
        <r>
          <rPr>
            <sz val="14"/>
            <color rgb="FF000000"/>
            <rFont val="Times New Roman"/>
            <family val="18"/>
          </rPr>
          <t>ML 10.125 IR 23 (1803) – ObristLt Komp. Nr. 77 (Vienna 13/09/1803)</t>
        </r>
        <r>
          <rPr>
            <sz val="14"/>
            <color rgb="FF000000"/>
            <rFont val="Calibri"/>
            <family val="34"/>
          </rPr>
          <t xml:space="preserve">
</t>
        </r>
        <r>
          <rPr>
            <sz val="14"/>
            <color rgb="FF000000"/>
            <rFont val="Times New Roman"/>
            <family val="18"/>
          </rPr>
          <t>ML 10.126 IR 23 (1804) – ObristLt Komp. Nr. 76 (Krens 06/09/1804)</t>
        </r>
        <r>
          <rPr>
            <sz val="14"/>
            <color rgb="FF000000"/>
            <rFont val="Calibri"/>
            <family val="34"/>
          </rPr>
          <t xml:space="preserve">
</t>
        </r>
        <r>
          <rPr>
            <sz val="14"/>
            <color rgb="FF000000"/>
            <rFont val="Times New Roman"/>
            <family val="18"/>
          </rPr>
          <t>ML 10.127/8 IR 23 (1807) – Haupt Jacoby Komp. Abgang (Poysdorf 26/01/1807)</t>
        </r>
        <r>
          <rPr>
            <sz val="14"/>
            <color rgb="FF000000"/>
            <rFont val="Calibri"/>
            <family val="34"/>
          </rPr>
          <t xml:space="preserve">
</t>
        </r>
        <r>
          <rPr>
            <sz val="14"/>
            <color rgb="FF000000"/>
            <rFont val="Times New Roman"/>
            <family val="18"/>
          </rPr>
          <t>ML 10.167 IR 23 (1800) AL/TL – AL Nr. 1 (Zolkiew 21/06/1800)</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708" authorId="0" shapeId="0" xr:uid="{5919CE12-02A7-6B45-AF2D-0C96200BEABC}">
      <text>
        <r>
          <rPr>
            <sz val="14"/>
            <color rgb="FF000000"/>
            <rFont val="Calibri"/>
            <family val="34"/>
          </rPr>
          <t>IR 43 (1800-1806)</t>
        </r>
      </text>
    </comment>
    <comment ref="T709" authorId="0" shapeId="0" xr:uid="{14AF430C-8DCA-8245-A56E-488B6F73F632}">
      <text>
        <r>
          <rPr>
            <sz val="14"/>
            <color rgb="FF000000"/>
            <rFont val="Calibri"/>
            <family val="34"/>
          </rPr>
          <t xml:space="preserve">5.4.3 [169.18] (1802-1804)
</t>
        </r>
        <r>
          <rPr>
            <sz val="14"/>
            <color rgb="FF000000"/>
            <rFont val="Calibri"/>
            <family val="34"/>
          </rPr>
          <t xml:space="preserve">5.5.3 [171.81] (1810]
</t>
        </r>
        <r>
          <rPr>
            <sz val="14"/>
            <color rgb="FF000000"/>
            <rFont val="Calibri"/>
            <family val="34"/>
          </rPr>
          <t xml:space="preserve">5.6.1 [174] (1811)
</t>
        </r>
        <r>
          <rPr>
            <sz val="14"/>
            <color rgb="FF000000"/>
            <rFont val="Calibri"/>
            <family val="34"/>
          </rPr>
          <t>5.2.1 [163.5] (1805)</t>
        </r>
      </text>
    </comment>
    <comment ref="BF709" authorId="0" shapeId="0" xr:uid="{2A5B175F-87CF-594A-8D8B-3F73E6B0313F}">
      <text>
        <r>
          <rPr>
            <sz val="14"/>
            <color rgb="FFFF0000"/>
            <rFont val="Times New Roman"/>
            <family val="18"/>
          </rPr>
          <t xml:space="preserve">13/05/1800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19/06/1800 </t>
        </r>
        <r>
          <rPr>
            <i/>
            <sz val="14"/>
            <color rgb="FF000000"/>
            <rFont val="Times New Roman"/>
            <family val="18"/>
          </rPr>
          <t>von Ständen gestellt und zu Zloczow Assentiert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Division ins Haupt Oberburg Komp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28/08/1802 Muster: IR 43: Haupt Frinstlos Komp. Nr. 101</t>
        </r>
        <r>
          <rPr>
            <sz val="14"/>
            <color rgb="FF000000"/>
            <rFont val="Calibri"/>
            <family val="34"/>
          </rPr>
          <t xml:space="preserve">
</t>
        </r>
        <r>
          <rPr>
            <sz val="14"/>
            <color rgb="FF000000"/>
            <rFont val="Times New Roman"/>
            <family val="18"/>
          </rPr>
          <t xml:space="preserve">01/01/1803 </t>
        </r>
        <r>
          <rPr>
            <i/>
            <sz val="14"/>
            <color rgb="FF000000"/>
            <rFont val="Times New Roman"/>
            <family val="18"/>
          </rPr>
          <t>Von Haupt Frintlost zum 2. Grenadier comp. transferiert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28/09/1803 Muster: IR 43: 2. Gren. Komp. Nr. 119</t>
        </r>
        <r>
          <rPr>
            <sz val="14"/>
            <color rgb="FF000000"/>
            <rFont val="Calibri"/>
            <family val="34"/>
          </rPr>
          <t xml:space="preserve">
</t>
        </r>
        <r>
          <rPr>
            <sz val="14"/>
            <color rgb="FF000000"/>
            <rFont val="Times New Roman"/>
            <family val="18"/>
          </rPr>
          <t>15/09/1804 Muster: IR 43 2. Gren. Komp. Nr. 108</t>
        </r>
        <r>
          <rPr>
            <sz val="14"/>
            <color rgb="FF000000"/>
            <rFont val="Calibri"/>
            <family val="34"/>
          </rPr>
          <t xml:space="preserve">
</t>
        </r>
        <r>
          <rPr>
            <sz val="14"/>
            <color rgb="FF000000"/>
            <rFont val="Times New Roman"/>
            <family val="18"/>
          </rPr>
          <t>30/09/1805 Muster: IR 43 2. Gren. Komp. Nr. 96</t>
        </r>
        <r>
          <rPr>
            <sz val="14"/>
            <color rgb="FF000000"/>
            <rFont val="Calibri"/>
            <family val="34"/>
          </rPr>
          <t xml:space="preserve">
</t>
        </r>
        <r>
          <rPr>
            <sz val="14"/>
            <color rgb="FF000000"/>
            <rFont val="Times New Roman"/>
            <family val="18"/>
          </rPr>
          <t>01/12/1806: Muster: IR 43 2. Gren Komp Nr. 86</t>
        </r>
        <r>
          <rPr>
            <sz val="14"/>
            <color rgb="FF000000"/>
            <rFont val="Calibri"/>
            <family val="34"/>
          </rPr>
          <t xml:space="preserve">
</t>
        </r>
        <r>
          <rPr>
            <sz val="14"/>
            <color rgb="FF000000"/>
            <rFont val="Times New Roman"/>
            <family val="18"/>
          </rPr>
          <t>06/09/1808 Revision: IR 43 2. Gren Komp Nr. 44</t>
        </r>
        <r>
          <rPr>
            <sz val="14"/>
            <color rgb="FF000000"/>
            <rFont val="Calibri"/>
            <family val="34"/>
          </rPr>
          <t xml:space="preserve">
</t>
        </r>
        <r>
          <rPr>
            <sz val="14"/>
            <color rgb="FF000000"/>
            <rFont val="Times New Roman"/>
            <family val="18"/>
          </rPr>
          <t xml:space="preserve">08/05/1809 </t>
        </r>
        <r>
          <rPr>
            <b/>
            <i/>
            <sz val="14"/>
            <color rgb="FF000000"/>
            <rFont val="Times New Roman"/>
            <family val="18"/>
          </rPr>
          <t>Bei Piave gefangen</t>
        </r>
        <r>
          <rPr>
            <b/>
            <sz val="14"/>
            <color rgb="FF000000"/>
            <rFont val="Times New Roman"/>
            <family val="18"/>
          </rPr>
          <t xml:space="preserve"> </t>
        </r>
        <r>
          <rPr>
            <sz val="14"/>
            <color rgb="FF000000"/>
            <rFont val="Times New Roman"/>
            <family val="18"/>
          </rPr>
          <t>[TL July 1810]</t>
        </r>
        <r>
          <rPr>
            <sz val="14"/>
            <color rgb="FF000000"/>
            <rFont val="Calibri"/>
            <family val="34"/>
          </rPr>
          <t xml:space="preserve">
</t>
        </r>
        <r>
          <rPr>
            <sz val="14"/>
            <color rgb="FF000000"/>
            <rFont val="Times New Roman"/>
            <family val="18"/>
          </rPr>
          <t xml:space="preserve">07/06/1809 </t>
        </r>
        <r>
          <rPr>
            <i/>
            <sz val="14"/>
            <color rgb="FF000000"/>
            <rFont val="Times New Roman"/>
            <family val="18"/>
          </rPr>
          <t>Sich selbst ranzioniert</t>
        </r>
        <r>
          <rPr>
            <sz val="14"/>
            <color rgb="FF000000"/>
            <rFont val="Times New Roman"/>
            <family val="18"/>
          </rPr>
          <t xml:space="preserve"> [TL July 1810]</t>
        </r>
        <r>
          <rPr>
            <sz val="14"/>
            <color rgb="FF000000"/>
            <rFont val="Calibri"/>
            <family val="34"/>
          </rPr>
          <t xml:space="preserve">
</t>
        </r>
        <r>
          <rPr>
            <sz val="14"/>
            <color rgb="FF000000"/>
            <rFont val="Times New Roman"/>
            <family val="18"/>
          </rPr>
          <t xml:space="preserve">26/05/1809 </t>
        </r>
        <r>
          <rPr>
            <i/>
            <sz val="14"/>
            <color rgb="FF000000"/>
            <rFont val="Times New Roman"/>
            <family val="18"/>
          </rPr>
          <t>Krank Auswärts</t>
        </r>
        <r>
          <rPr>
            <sz val="14"/>
            <color rgb="FF000000"/>
            <rFont val="Times New Roman"/>
            <family val="18"/>
          </rPr>
          <t xml:space="preserve"> </t>
        </r>
        <r>
          <rPr>
            <b/>
            <sz val="14"/>
            <color rgb="FF000000"/>
            <rFont val="Times New Roman"/>
            <family val="18"/>
          </rPr>
          <t>[Verletzt am Gefecht bei Sankt Michael?]</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29/05/1809 </t>
        </r>
        <r>
          <rPr>
            <i/>
            <sz val="14"/>
            <color rgb="FF000000"/>
            <rFont val="Times New Roman"/>
            <family val="18"/>
          </rPr>
          <t>Rekonvalesziert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25/02/1810 Dissolvierung: IR 43 2. Gren Comp Nr. 33 [</t>
        </r>
        <r>
          <rPr>
            <i/>
            <sz val="14"/>
            <color rgb="FF000000"/>
            <rFont val="Times New Roman"/>
            <family val="18"/>
          </rPr>
          <t>Zum IR 9 Czartoryski eingeteilt</t>
        </r>
        <r>
          <rPr>
            <sz val="14"/>
            <color rgb="FF000000"/>
            <rFont val="Times New Roman"/>
            <family val="18"/>
          </rPr>
          <t>]</t>
        </r>
        <r>
          <rPr>
            <sz val="14"/>
            <color rgb="FF000000"/>
            <rFont val="Calibri"/>
            <family val="34"/>
          </rPr>
          <t xml:space="preserve">
</t>
        </r>
        <r>
          <rPr>
            <sz val="14"/>
            <color rgb="FF000000"/>
            <rFont val="Times New Roman"/>
            <family val="18"/>
          </rPr>
          <t xml:space="preserve">07/03/1810 </t>
        </r>
        <r>
          <rPr>
            <i/>
            <sz val="14"/>
            <color rgb="FF000000"/>
            <rFont val="Times New Roman"/>
            <family val="18"/>
          </rPr>
          <t>Von Dissolvierte IR 43 zum IR 9 ‚Czartoryski‘ transferiert und zur 2. Grenadier Komp. eingeheilt, seitdem auf dem Marsche mit auswärtiger Gebühr</t>
        </r>
        <r>
          <rPr>
            <sz val="14"/>
            <color rgb="FF000000"/>
            <rFont val="Times New Roman"/>
            <family val="18"/>
          </rPr>
          <t xml:space="preserve"> [ST March 1810 &amp; ST May 1810]</t>
        </r>
        <r>
          <rPr>
            <sz val="14"/>
            <color rgb="FF000000"/>
            <rFont val="Calibri"/>
            <family val="34"/>
          </rPr>
          <t xml:space="preserve">
</t>
        </r>
        <r>
          <rPr>
            <sz val="14"/>
            <color rgb="FF000000"/>
            <rFont val="Times New Roman"/>
            <family val="18"/>
          </rPr>
          <t xml:space="preserve">10/05/1810 </t>
        </r>
        <r>
          <rPr>
            <i/>
            <sz val="14"/>
            <color rgb="FF000000"/>
            <rFont val="Times New Roman"/>
            <family val="18"/>
          </rPr>
          <t>Ankunft ins Regiment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20/09/1811 </t>
        </r>
        <r>
          <rPr>
            <i/>
            <sz val="14"/>
            <color rgb="FF000000"/>
            <rFont val="Times New Roman"/>
            <family val="18"/>
          </rPr>
          <t>Auf Marsch zum Regiments Staab</t>
        </r>
        <r>
          <rPr>
            <sz val="14"/>
            <color rgb="FF000000"/>
            <rFont val="Times New Roman"/>
            <family val="18"/>
          </rPr>
          <t xml:space="preserve"> [ST Aug 1811]</t>
        </r>
        <r>
          <rPr>
            <sz val="14"/>
            <color rgb="FF000000"/>
            <rFont val="Calibri"/>
            <family val="34"/>
          </rPr>
          <t xml:space="preserve">
</t>
        </r>
        <r>
          <rPr>
            <sz val="14"/>
            <color rgb="FF000000"/>
            <rFont val="Times New Roman"/>
            <family val="18"/>
          </rPr>
          <t>02/09/1811 Muster: IR 9 2. Gren Komp. Nr. 83 [</t>
        </r>
        <r>
          <rPr>
            <i/>
            <sz val="14"/>
            <color rgb="FF000000"/>
            <rFont val="Times New Roman"/>
            <family val="18"/>
          </rPr>
          <t>Auf Regiment am Marsch anhero</t>
        </r>
        <r>
          <rPr>
            <sz val="14"/>
            <color rgb="FF000000"/>
            <rFont val="Times New Roman"/>
            <family val="18"/>
          </rPr>
          <t>]</t>
        </r>
        <r>
          <rPr>
            <sz val="14"/>
            <color rgb="FF000000"/>
            <rFont val="Calibri"/>
            <family val="34"/>
          </rPr>
          <t xml:space="preserve">
</t>
        </r>
        <r>
          <rPr>
            <sz val="14"/>
            <color rgb="FF000000"/>
            <rFont val="Times New Roman"/>
            <family val="18"/>
          </rPr>
          <t xml:space="preserve">20/09/1811 </t>
        </r>
        <r>
          <rPr>
            <i/>
            <sz val="14"/>
            <color rgb="FF000000"/>
            <rFont val="Times New Roman"/>
            <family val="18"/>
          </rPr>
          <t>Ankunft Zurück an der Kompanie</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18/02/1813 </t>
        </r>
        <r>
          <rPr>
            <i/>
            <sz val="14"/>
            <color rgb="FF000000"/>
            <rFont val="Times New Roman"/>
            <family val="18"/>
          </rPr>
          <t>Vermog hoher General commando Verordnung ddt. Ofen am 18. Febr 813 Nr. 2096 R von Gemeiner zum Korporal avanciert</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01/07/1814 </t>
        </r>
        <r>
          <rPr>
            <i/>
            <sz val="14"/>
            <color rgb="FF000000"/>
            <rFont val="Times New Roman"/>
            <family val="18"/>
          </rPr>
          <t>Krank in auswärtiger Spital</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21/09/1814 </t>
        </r>
        <r>
          <rPr>
            <i/>
            <sz val="14"/>
            <color rgb="FF000000"/>
            <rFont val="Times New Roman"/>
            <family val="18"/>
          </rPr>
          <t>Rekonvalesziert</t>
        </r>
        <r>
          <rPr>
            <sz val="14"/>
            <color rgb="FF000000"/>
            <rFont val="Times New Roman"/>
            <family val="18"/>
          </rPr>
          <t xml:space="preserve"> [ST Sept 1814]</t>
        </r>
        <r>
          <rPr>
            <sz val="14"/>
            <color rgb="FF000000"/>
            <rFont val="Calibri"/>
            <family val="34"/>
          </rPr>
          <t xml:space="preserve">
</t>
        </r>
        <r>
          <rPr>
            <sz val="14"/>
            <color rgb="FF000000"/>
            <rFont val="Times New Roman"/>
            <family val="18"/>
          </rPr>
          <t xml:space="preserve">15/02/1816 </t>
        </r>
        <r>
          <rPr>
            <i/>
            <sz val="14"/>
            <color rgb="FF000000"/>
            <rFont val="Times New Roman"/>
            <family val="18"/>
          </rPr>
          <t xml:space="preserve">Krank zu Lemberg </t>
        </r>
        <r>
          <rPr>
            <sz val="14"/>
            <color rgb="FF000000"/>
            <rFont val="Times New Roman"/>
            <family val="18"/>
          </rPr>
          <t>[ST Feb 1816]</t>
        </r>
        <r>
          <rPr>
            <sz val="14"/>
            <color rgb="FF000000"/>
            <rFont val="Calibri"/>
            <family val="34"/>
          </rPr>
          <t xml:space="preserve">
</t>
        </r>
        <r>
          <rPr>
            <sz val="14"/>
            <color rgb="FF000000"/>
            <rFont val="Times New Roman"/>
            <family val="18"/>
          </rPr>
          <t xml:space="preserve">05/03/1816 </t>
        </r>
        <r>
          <rPr>
            <i/>
            <sz val="14"/>
            <color rgb="FF000000"/>
            <rFont val="Times New Roman"/>
            <family val="18"/>
          </rPr>
          <t>Rekonvalesziert</t>
        </r>
        <r>
          <rPr>
            <sz val="14"/>
            <color rgb="FF000000"/>
            <rFont val="Times New Roman"/>
            <family val="18"/>
          </rPr>
          <t xml:space="preserve"> [ST March 1816]</t>
        </r>
        <r>
          <rPr>
            <sz val="14"/>
            <color rgb="FF000000"/>
            <rFont val="Calibri"/>
            <family val="34"/>
          </rPr>
          <t xml:space="preserve">
</t>
        </r>
        <r>
          <rPr>
            <sz val="14"/>
            <color rgb="FF000000"/>
            <rFont val="Times New Roman"/>
            <family val="18"/>
          </rPr>
          <t xml:space="preserve">20/06/1816 </t>
        </r>
        <r>
          <rPr>
            <i/>
            <sz val="14"/>
            <color rgb="FF000000"/>
            <rFont val="Times New Roman"/>
            <family val="18"/>
          </rPr>
          <t>Vermog hoher hofkriegsratlichen Reskript ddt. Wien am 25. April 816 K 1992 mit Abschied entlassen</t>
        </r>
        <r>
          <rPr>
            <sz val="14"/>
            <color rgb="FF000000"/>
            <rFont val="Times New Roman"/>
            <family val="18"/>
          </rPr>
          <t xml:space="preserve"> [ST June 1816]</t>
        </r>
        <r>
          <rPr>
            <sz val="14"/>
            <color rgb="FF000000"/>
            <rFont val="Calibri"/>
            <family val="34"/>
          </rPr>
          <t xml:space="preserve">
</t>
        </r>
      </text>
    </comment>
    <comment ref="BG709" authorId="0" shapeId="0" xr:uid="{1A45A5A2-32C6-AE4A-A355-47047A5E836F}">
      <text>
        <r>
          <rPr>
            <sz val="14"/>
            <color rgb="FF000000"/>
            <rFont val="Times New Roman"/>
            <family val="18"/>
          </rPr>
          <t>ML 10.272 IR 43 (1802) –Haupt Frinstlos Comp. Nr. 101 (Cattaro 28/08/1802)</t>
        </r>
        <r>
          <rPr>
            <sz val="14"/>
            <color rgb="FF000000"/>
            <rFont val="Calibri"/>
            <family val="34"/>
          </rPr>
          <t xml:space="preserve">
</t>
        </r>
        <r>
          <rPr>
            <sz val="14"/>
            <color rgb="FF000000"/>
            <rFont val="Times New Roman"/>
            <family val="18"/>
          </rPr>
          <t>ML 10.273 IR 43 (1803) –2. Gren Comp Nr. 119 (Zara 29/09/1803)</t>
        </r>
        <r>
          <rPr>
            <sz val="14"/>
            <color rgb="FF000000"/>
            <rFont val="Calibri"/>
            <family val="34"/>
          </rPr>
          <t xml:space="preserve">
</t>
        </r>
        <r>
          <rPr>
            <sz val="14"/>
            <color rgb="FF000000"/>
            <rFont val="Times New Roman"/>
            <family val="18"/>
          </rPr>
          <t>ML 10.274 IR 43 (1804) –2. Gren Comp Nr. 108 (Zara 15/09/1804)</t>
        </r>
        <r>
          <rPr>
            <sz val="14"/>
            <color rgb="FF000000"/>
            <rFont val="Calibri"/>
            <family val="34"/>
          </rPr>
          <t xml:space="preserve">
</t>
        </r>
        <r>
          <rPr>
            <sz val="14"/>
            <color rgb="FF000000"/>
            <rFont val="Times New Roman"/>
            <family val="18"/>
          </rPr>
          <t>ML 10.275/6 IR 43 (1805) –2. Gren Comp Nr. 96 (Cattaro 30/09/1805)</t>
        </r>
        <r>
          <rPr>
            <sz val="14"/>
            <color rgb="FF000000"/>
            <rFont val="Calibri"/>
            <family val="34"/>
          </rPr>
          <t xml:space="preserve">
</t>
        </r>
        <r>
          <rPr>
            <sz val="14"/>
            <color rgb="FF000000"/>
            <rFont val="Times New Roman"/>
            <family val="18"/>
          </rPr>
          <t>ML 10.277/8 IR 43 (1806) –2. Gren Comp Nr. 86 (Laibach 01/12/1806)</t>
        </r>
        <r>
          <rPr>
            <sz val="14"/>
            <color rgb="FF000000"/>
            <rFont val="Calibri"/>
            <family val="34"/>
          </rPr>
          <t xml:space="preserve">
</t>
        </r>
        <r>
          <rPr>
            <sz val="14"/>
            <color rgb="FF000000"/>
            <rFont val="Times New Roman"/>
            <family val="18"/>
          </rPr>
          <t>ML 10.279 IR 43 (1808-10) – RL 2 Gren Comp. Nr. 44 (Laibach 06/09/1808) &amp; DL (Vordenberg 25/02/1810)</t>
        </r>
        <r>
          <rPr>
            <sz val="14"/>
            <color rgb="FF000000"/>
            <rFont val="Calibri"/>
            <family val="34"/>
          </rPr>
          <t xml:space="preserve">
</t>
        </r>
        <r>
          <rPr>
            <sz val="14"/>
            <color rgb="FF000000"/>
            <rFont val="Times New Roman"/>
            <family val="18"/>
          </rPr>
          <t>ML 10.313 IR 43 (1803) – ST Jänner (15/02/1803)</t>
        </r>
        <r>
          <rPr>
            <sz val="14"/>
            <color rgb="FF000000"/>
            <rFont val="Calibri"/>
            <family val="34"/>
          </rPr>
          <t xml:space="preserve">
</t>
        </r>
        <r>
          <rPr>
            <sz val="14"/>
            <color rgb="FF000000"/>
            <rFont val="Times New Roman"/>
            <family val="18"/>
          </rPr>
          <t>ML 10.323 IR 43 (1809) – ST Mai (02/11/1810)</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634 IR 9 (1811) – 2. Gren. Komp. Nr. 83 (Pest 02/09/1811)</t>
        </r>
        <r>
          <rPr>
            <sz val="14"/>
            <color rgb="FF000000"/>
            <rFont val="Calibri"/>
            <family val="34"/>
          </rPr>
          <t xml:space="preserve">
</t>
        </r>
        <r>
          <rPr>
            <sz val="14"/>
            <color rgb="FF000000"/>
            <rFont val="Times New Roman"/>
            <family val="18"/>
          </rPr>
          <t xml:space="preserve">ML 672 IR 9 (1810) – ST Mai (Caschau 04/03/1811) </t>
        </r>
        <r>
          <rPr>
            <sz val="14"/>
            <color rgb="FF000000"/>
            <rFont val="Calibri"/>
            <family val="34"/>
          </rPr>
          <t xml:space="preserve">
</t>
        </r>
        <r>
          <rPr>
            <sz val="14"/>
            <color rgb="FF000000"/>
            <rFont val="Times New Roman"/>
            <family val="18"/>
          </rPr>
          <t>ML 673 IR 9 (1810) – TL IR 43-&gt; IR 9 Nr. 17 (Klagenfurth 16/07/1810)</t>
        </r>
        <r>
          <rPr>
            <sz val="14"/>
            <color rgb="FF000000"/>
            <rFont val="Calibri"/>
            <family val="34"/>
          </rPr>
          <t xml:space="preserve">
</t>
        </r>
        <r>
          <rPr>
            <sz val="14"/>
            <color rgb="FF000000"/>
            <rFont val="Times New Roman"/>
            <family val="18"/>
          </rPr>
          <t>ML 674 IR 9 (1811) – ST Aug (03/10/1811), Sept (Caschau 20/10/1811)</t>
        </r>
        <r>
          <rPr>
            <sz val="14"/>
            <color rgb="FF000000"/>
            <rFont val="Calibri"/>
            <family val="34"/>
          </rPr>
          <t xml:space="preserve">
</t>
        </r>
        <r>
          <rPr>
            <sz val="14"/>
            <color rgb="FF000000"/>
            <rFont val="Times New Roman"/>
            <family val="18"/>
          </rPr>
          <t>ML 677 IR 9 (1813) – April (Jaroslau 28/07/1813)</t>
        </r>
        <r>
          <rPr>
            <sz val="14"/>
            <color rgb="FF000000"/>
            <rFont val="Calibri"/>
            <family val="34"/>
          </rPr>
          <t xml:space="preserve">
</t>
        </r>
        <r>
          <rPr>
            <sz val="14"/>
            <color rgb="FF000000"/>
            <rFont val="Times New Roman"/>
            <family val="18"/>
          </rPr>
          <t>ML 680 IR 9 (1814) – Juli (07/11/1815), Sept (Hermannstadt 01/07/1816)</t>
        </r>
        <r>
          <rPr>
            <sz val="14"/>
            <color rgb="FF000000"/>
            <rFont val="Calibri"/>
            <family val="34"/>
          </rPr>
          <t xml:space="preserve">
</t>
        </r>
        <r>
          <rPr>
            <sz val="14"/>
            <color rgb="FF000000"/>
            <rFont val="Times New Roman"/>
            <family val="18"/>
          </rPr>
          <t>ML 684 IR 9 (1816) – Feb (Hermannstadt 24/06/1817), M</t>
        </r>
        <r>
          <rPr>
            <sz val="12"/>
            <color theme="1"/>
            <rFont val="Calibri"/>
            <family val="2"/>
            <scheme val="minor"/>
          </rPr>
          <t>ä</t>
        </r>
        <r>
          <rPr>
            <sz val="14"/>
            <color rgb="FF000000"/>
            <rFont val="Times New Roman"/>
            <family val="18"/>
          </rPr>
          <t>rz (Hermannstadt 18/07/1817), Juni (Clausenburg 09/07/1817)</t>
        </r>
        <r>
          <rPr>
            <sz val="14"/>
            <color rgb="FF000000"/>
            <rFont val="Calibri"/>
            <family val="34"/>
          </rPr>
          <t xml:space="preserve">
</t>
        </r>
      </text>
    </comment>
    <comment ref="BH709" authorId="0" shapeId="0" xr:uid="{39200B96-E25B-2B4B-A152-34578D80DED2}">
      <text>
        <r>
          <rPr>
            <sz val="14"/>
            <color rgb="FF000000"/>
            <rFont val="Calibri"/>
            <family val="34"/>
          </rPr>
          <t xml:space="preserve">IR 43 (1800-1810)
</t>
        </r>
        <r>
          <rPr>
            <sz val="14"/>
            <color rgb="FF000000"/>
            <rFont val="Calibri"/>
            <family val="34"/>
          </rPr>
          <t>IR 9 (1810-1816)</t>
        </r>
      </text>
    </comment>
    <comment ref="BI709" authorId="0" shapeId="0" xr:uid="{78456F33-B604-9B4C-8983-34798708B27F}">
      <text>
        <r>
          <rPr>
            <sz val="14"/>
            <color rgb="FF000000"/>
            <rFont val="Calibri"/>
            <family val="34"/>
          </rPr>
          <t>Gut [TL Juli 1810]</t>
        </r>
      </text>
    </comment>
    <comment ref="CR709" authorId="0" shapeId="0" xr:uid="{44D19E3A-02B9-7242-9E77-63040660D585}">
      <text>
        <r>
          <rPr>
            <sz val="14"/>
            <color rgb="FF000000"/>
            <rFont val="Calibri"/>
            <family val="34"/>
          </rPr>
          <t>1802-6: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1810-11: Katolisch </t>
        </r>
      </text>
    </comment>
    <comment ref="I710" authorId="0" shapeId="0" xr:uid="{3548C9BB-6109-914E-8AC5-670224EEBC9D}">
      <text>
        <r>
          <rPr>
            <sz val="14"/>
            <color rgb="FF000000"/>
            <rFont val="Calibri"/>
            <family val="34"/>
          </rPr>
          <t xml:space="preserve">34 (1802)/  37(1805) 
</t>
        </r>
        <r>
          <rPr>
            <sz val="14"/>
            <color rgb="FF000000"/>
            <rFont val="Calibri"/>
            <family val="34"/>
          </rPr>
          <t xml:space="preserve">OR 
</t>
        </r>
        <r>
          <rPr>
            <sz val="14"/>
            <color rgb="FF000000"/>
            <rFont val="Calibri"/>
            <family val="34"/>
          </rPr>
          <t>26 (1804)</t>
        </r>
      </text>
    </comment>
    <comment ref="BF710" authorId="0" shapeId="0" xr:uid="{53490E9D-B2C3-CD4E-8449-99B27E768B10}">
      <text>
        <r>
          <rPr>
            <sz val="14"/>
            <color rgb="FF000000"/>
            <rFont val="Times New Roman"/>
            <family val="18"/>
          </rPr>
          <t xml:space="preserve">19/06/1800 </t>
        </r>
        <r>
          <rPr>
            <i/>
            <sz val="14"/>
            <color rgb="FF000000"/>
            <rFont val="Times New Roman"/>
            <family val="18"/>
          </rPr>
          <t>von Dominien ausgehoben und a 3Fl Handgeld zum Sondomierz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30/09/1800 </t>
        </r>
        <r>
          <rPr>
            <i/>
            <sz val="14"/>
            <color rgb="FF000000"/>
            <rFont val="Times New Roman"/>
            <family val="18"/>
          </rPr>
          <t>Ins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29/11/1800 </t>
        </r>
        <r>
          <rPr>
            <i/>
            <sz val="14"/>
            <color rgb="FF000000"/>
            <rFont val="Times New Roman"/>
            <family val="18"/>
          </rPr>
          <t>Krank auswärts</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Rekonvalesziert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Selmbach Komp.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24/08/1802 Muster: IR 43 Haupt Selmbach Nr. 118</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78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Selmbach Komp. Nr. 97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Muster: 13. Fus Komp. Nr. 78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Comp als unwissend Verloren in Abgang</t>
        </r>
        <r>
          <rPr>
            <sz val="14"/>
            <color rgb="FF000000"/>
            <rFont val="Times New Roman"/>
            <family val="18"/>
          </rPr>
          <t xml:space="preserve"> [ST Okt 1806 &amp; ML 1806]</t>
        </r>
        <r>
          <rPr>
            <sz val="14"/>
            <color rgb="FF000000"/>
            <rFont val="Calibri"/>
            <family val="34"/>
          </rPr>
          <t xml:space="preserve">
</t>
        </r>
      </text>
    </comment>
    <comment ref="BG710" authorId="0" shapeId="0" xr:uid="{8E130192-C17E-A848-AE6D-82A86E8B8A61}">
      <text>
        <r>
          <rPr>
            <sz val="14"/>
            <color rgb="FF000000"/>
            <rFont val="Times New Roman"/>
            <family val="18"/>
          </rPr>
          <t>ML 10.272 IR 43 (1802) – Heft von Haupt Selmbach Comp. Nr. 118 (Budua 24/08/1802)</t>
        </r>
        <r>
          <rPr>
            <sz val="14"/>
            <color rgb="FF000000"/>
            <rFont val="Calibri"/>
            <family val="34"/>
          </rPr>
          <t xml:space="preserve">
</t>
        </r>
        <r>
          <rPr>
            <sz val="14"/>
            <color rgb="FF000000"/>
            <rFont val="Times New Roman"/>
            <family val="18"/>
          </rPr>
          <t>ML 10.273 IR 43 (1803) – Heft von Haupt Selmbach Nr. 104 (Knin 04/11/1803)</t>
        </r>
        <r>
          <rPr>
            <sz val="14"/>
            <color rgb="FF000000"/>
            <rFont val="Calibri"/>
            <family val="34"/>
          </rPr>
          <t xml:space="preserve">
</t>
        </r>
        <r>
          <rPr>
            <sz val="14"/>
            <color rgb="FF000000"/>
            <rFont val="Times New Roman"/>
            <family val="18"/>
          </rPr>
          <t>ML 10.274 IR 43 (1804) – Heft von Haupt Selmbach Comp. Nr. 97 (Zara 15/09/1804)</t>
        </r>
        <r>
          <rPr>
            <sz val="14"/>
            <color rgb="FF000000"/>
            <rFont val="Calibri"/>
            <family val="34"/>
          </rPr>
          <t xml:space="preserve">
</t>
        </r>
        <r>
          <rPr>
            <sz val="14"/>
            <color rgb="FF000000"/>
            <rFont val="Times New Roman"/>
            <family val="18"/>
          </rPr>
          <t>ML 10.275/6 IR 43 (1805) – Heft von 13. Fus Comp. Nr. 78 (Zara 01/10/1805)</t>
        </r>
        <r>
          <rPr>
            <sz val="14"/>
            <color rgb="FF000000"/>
            <rFont val="Calibri"/>
            <family val="34"/>
          </rPr>
          <t xml:space="preserve">
</t>
        </r>
        <r>
          <rPr>
            <sz val="14"/>
            <color rgb="FF000000"/>
            <rFont val="Times New Roman"/>
            <family val="18"/>
          </rPr>
          <t>ML 10/277/8 (1806) – Heft von 3. Fus Comp. Abgang (Laibach 01/12/1806)</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710" authorId="0" shapeId="0" xr:uid="{FD8E962F-A9E1-534B-B00B-9C11F7FAE2C8}">
      <text>
        <r>
          <rPr>
            <sz val="14"/>
            <color rgb="FF000000"/>
            <rFont val="Calibri"/>
            <family val="34"/>
          </rPr>
          <t>IR 43 (1800-1806)</t>
        </r>
      </text>
    </comment>
    <comment ref="CR710" authorId="0" shapeId="0" xr:uid="{A5581120-3507-3443-A462-C65B5AF81431}">
      <text>
        <r>
          <rPr>
            <sz val="14"/>
            <color rgb="FF000000"/>
            <rFont val="Calibri"/>
            <family val="34"/>
          </rPr>
          <t>1802-3: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1804-5: Katolisch </t>
        </r>
      </text>
    </comment>
    <comment ref="BF711" authorId="0" shapeId="0" xr:uid="{6D94CB9F-184F-1A44-BB9F-64C7EB6EB477}">
      <text>
        <r>
          <rPr>
            <sz val="14"/>
            <color rgb="FF000000"/>
            <rFont val="Times New Roman"/>
            <family val="18"/>
          </rPr>
          <t xml:space="preserve">19/06/1800 </t>
        </r>
        <r>
          <rPr>
            <i/>
            <sz val="14"/>
            <color rgb="FF000000"/>
            <rFont val="Times New Roman"/>
            <family val="18"/>
          </rPr>
          <t>Von Gall. Stände gestellt und assentiert</t>
        </r>
        <r>
          <rPr>
            <sz val="14"/>
            <color rgb="FF000000"/>
            <rFont val="Times New Roman"/>
            <family val="18"/>
          </rPr>
          <t xml:space="preserve"> [AL Aug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Von Strassoldo Inf</t>
        </r>
        <r>
          <rPr>
            <sz val="14"/>
            <color rgb="FF000000"/>
            <rFont val="Times New Roman"/>
            <family val="18"/>
          </rPr>
          <t xml:space="preserve"> </t>
        </r>
        <r>
          <rPr>
            <b/>
            <sz val="14"/>
            <color rgb="FF000000"/>
            <rFont val="Times New Roman"/>
            <family val="18"/>
          </rPr>
          <t>[IR 27]</t>
        </r>
        <r>
          <rPr>
            <sz val="14"/>
            <color rgb="FF000000"/>
            <rFont val="Times New Roman"/>
            <family val="18"/>
          </rPr>
          <t xml:space="preserve"> </t>
        </r>
        <r>
          <rPr>
            <i/>
            <sz val="14"/>
            <color rgb="FF000000"/>
            <rFont val="Times New Roman"/>
            <family val="18"/>
          </rPr>
          <t xml:space="preserve">Wier Komp. zum IR 44 Haupt Albanico Komp. transferiert </t>
        </r>
        <r>
          <rPr>
            <sz val="14"/>
            <color rgb="FF000000"/>
            <rFont val="Times New Roman"/>
            <family val="18"/>
          </rPr>
          <t>[TL Aug 1802]</t>
        </r>
        <r>
          <rPr>
            <sz val="14"/>
            <color rgb="FF000000"/>
            <rFont val="Calibri"/>
            <family val="34"/>
          </rPr>
          <t xml:space="preserve">
</t>
        </r>
        <r>
          <rPr>
            <sz val="14"/>
            <color rgb="FF000000"/>
            <rFont val="Times New Roman"/>
            <family val="18"/>
          </rPr>
          <t>19/09/1803 Muster: IR 44 Vacant Komp. [Haupt Albanico] Nr. 110</t>
        </r>
        <r>
          <rPr>
            <sz val="14"/>
            <color rgb="FF000000"/>
            <rFont val="Calibri"/>
            <family val="34"/>
          </rPr>
          <t xml:space="preserve">
</t>
        </r>
        <r>
          <rPr>
            <sz val="14"/>
            <color rgb="FF000000"/>
            <rFont val="Times New Roman"/>
            <family val="18"/>
          </rPr>
          <t>12/05/1804 Muster: IR 44 Haupt Liebler Komp. Nr. 101 [</t>
        </r>
        <r>
          <rPr>
            <i/>
            <sz val="14"/>
            <color rgb="FF000000"/>
            <rFont val="Times New Roman"/>
            <family val="18"/>
          </rPr>
          <t>Baurlaubt zu Collomaza Stnislaer Kreis in Ost Gallizien bis kunftigen exercierszeit</t>
        </r>
        <r>
          <rPr>
            <sz val="14"/>
            <color rgb="FF000000"/>
            <rFont val="Times New Roman"/>
            <family val="18"/>
          </rPr>
          <t>]</t>
        </r>
        <r>
          <rPr>
            <sz val="14"/>
            <color rgb="FF000000"/>
            <rFont val="Calibri"/>
            <family val="34"/>
          </rPr>
          <t xml:space="preserve">
</t>
        </r>
        <r>
          <rPr>
            <sz val="14"/>
            <color rgb="FF000000"/>
            <rFont val="Times New Roman"/>
            <family val="18"/>
          </rPr>
          <t xml:space="preserve">30/09/1804 </t>
        </r>
        <r>
          <rPr>
            <i/>
            <sz val="14"/>
            <color rgb="FF000000"/>
            <rFont val="Times New Roman"/>
            <family val="18"/>
          </rPr>
          <t>Unter unbekannte Dato von Urlaub ohne Feuergeweht und Bajonett desertiert</t>
        </r>
        <r>
          <rPr>
            <sz val="14"/>
            <color rgb="FF000000"/>
            <rFont val="Times New Roman"/>
            <family val="18"/>
          </rPr>
          <t xml:space="preserve"> [ST Sept 1804]</t>
        </r>
        <r>
          <rPr>
            <sz val="14"/>
            <color rgb="FF000000"/>
            <rFont val="Calibri"/>
            <family val="34"/>
          </rPr>
          <t xml:space="preserve">
</t>
        </r>
      </text>
    </comment>
    <comment ref="BG711" authorId="0" shapeId="0" xr:uid="{B414B2E4-847A-BB4C-BEC1-A47FEB43B62E}">
      <text>
        <r>
          <rPr>
            <sz val="14"/>
            <color rgb="FF000000"/>
            <rFont val="Times New Roman"/>
            <family val="18"/>
          </rPr>
          <t>ML 3908 IR 44 (1803) – Vacant [Previousy Haupt Albanico] Komp Nr. 110 (Venice 19/09/1803)</t>
        </r>
        <r>
          <rPr>
            <sz val="14"/>
            <color rgb="FF000000"/>
            <rFont val="Calibri"/>
            <family val="34"/>
          </rPr>
          <t xml:space="preserve">
</t>
        </r>
        <r>
          <rPr>
            <sz val="14"/>
            <color rgb="FF000000"/>
            <rFont val="Times New Roman"/>
            <family val="18"/>
          </rPr>
          <t>ML 3946 IR 44 (1802) – AL IR 27-&gt; IR 44 Nr. 167 (Graz 10/08/1802)</t>
        </r>
        <r>
          <rPr>
            <sz val="14"/>
            <color rgb="FF000000"/>
            <rFont val="Calibri"/>
            <family val="34"/>
          </rPr>
          <t xml:space="preserve">
</t>
        </r>
        <r>
          <rPr>
            <sz val="14"/>
            <color rgb="FF000000"/>
            <rFont val="Times New Roman"/>
            <family val="18"/>
          </rPr>
          <t>ML 3909 IR 44 (1804) – Haupt Liebler Komp. Nr. 101 (Vicenza 12/05/1804)</t>
        </r>
        <r>
          <rPr>
            <sz val="14"/>
            <color rgb="FF000000"/>
            <rFont val="Calibri"/>
            <family val="34"/>
          </rPr>
          <t xml:space="preserve">
</t>
        </r>
        <r>
          <rPr>
            <sz val="14"/>
            <color rgb="FF000000"/>
            <rFont val="Times New Roman"/>
            <family val="18"/>
          </rPr>
          <t>ML 3949 IR 44 (1806) – ST Sept (Padua 10/10/1804)</t>
        </r>
        <r>
          <rPr>
            <sz val="14"/>
            <color rgb="FF000000"/>
            <rFont val="Calibri"/>
            <family val="34"/>
          </rPr>
          <t xml:space="preserve">
</t>
        </r>
      </text>
    </comment>
    <comment ref="BH711" authorId="0" shapeId="0" xr:uid="{9CB562BC-3BA2-0F49-8F87-6EA7585FFFAE}">
      <text>
        <r>
          <rPr>
            <sz val="14"/>
            <color rgb="FF000000"/>
            <rFont val="Calibri"/>
            <family val="34"/>
          </rPr>
          <t xml:space="preserve">IR 27 (1800-1802)
</t>
        </r>
        <r>
          <rPr>
            <sz val="14"/>
            <color rgb="FF000000"/>
            <rFont val="Calibri"/>
            <family val="34"/>
          </rPr>
          <t>IR 44 (1802-1804)</t>
        </r>
      </text>
    </comment>
    <comment ref="BI711" authorId="0" shapeId="0" xr:uid="{1E2BF969-0704-9743-A50A-EEC2AE54D141}">
      <text>
        <r>
          <rPr>
            <sz val="14"/>
            <color rgb="FF000000"/>
            <rFont val="Calibri"/>
            <family val="34"/>
          </rPr>
          <t>Gut [TL Juli 1802]</t>
        </r>
      </text>
    </comment>
    <comment ref="BF712" authorId="0" shapeId="0" xr:uid="{7DCE8BB8-C587-1E46-99B3-5864A4F57C13}">
      <text>
        <r>
          <rPr>
            <sz val="14"/>
            <color rgb="FF000000"/>
            <rFont val="Times New Roman"/>
            <family val="18"/>
          </rPr>
          <t xml:space="preserve">19/06/1800 </t>
        </r>
        <r>
          <rPr>
            <i/>
            <sz val="14"/>
            <color rgb="FF000000"/>
            <rFont val="Times New Roman"/>
            <family val="18"/>
          </rPr>
          <t>von Ständen gestellt und zu Lemberg a 3Fl Handgeld assentiert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14/07/1800 </t>
        </r>
        <r>
          <rPr>
            <i/>
            <sz val="14"/>
            <color rgb="FF000000"/>
            <rFont val="Times New Roman"/>
            <family val="18"/>
          </rPr>
          <t>Nach der Stellung von Ersatz rekrut Markus BOZANER mit Laufpaß entlassen</t>
        </r>
        <r>
          <rPr>
            <sz val="14"/>
            <color rgb="FF000000"/>
            <rFont val="Times New Roman"/>
            <family val="18"/>
          </rPr>
          <t xml:space="preserve"> [ST Juli 1800]</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über ½ Jahr auswärts und deren Existenz gänzlich Unbewusst als auf Marsch Unwissend Verlohren gegangen</t>
        </r>
        <r>
          <rPr>
            <sz val="14"/>
            <color rgb="FFFF0000"/>
            <rFont val="Times New Roman"/>
            <family val="18"/>
          </rPr>
          <t xml:space="preserve"> [ST Oct 1801] </t>
        </r>
        <r>
          <rPr>
            <sz val="14"/>
            <color rgb="FF000000"/>
            <rFont val="Calibri"/>
            <family val="34"/>
          </rPr>
          <t xml:space="preserve">
</t>
        </r>
      </text>
    </comment>
    <comment ref="BG712" authorId="0" shapeId="0" xr:uid="{E971BA80-CCD5-F244-85BF-5FF7000B2B7C}">
      <text>
        <r>
          <rPr>
            <sz val="14"/>
            <color rgb="FF000000"/>
            <rFont val="Times New Roman"/>
            <family val="18"/>
          </rPr>
          <t>ML 10.309 IR 43 (1800) – ST Mai (???), Juli (24/10/1803), Aug (27/12/1803)</t>
        </r>
        <r>
          <rPr>
            <sz val="14"/>
            <color rgb="FF000000"/>
            <rFont val="Calibri"/>
            <family val="34"/>
          </rPr>
          <t xml:space="preserve">
</t>
        </r>
        <r>
          <rPr>
            <sz val="14"/>
            <color rgb="FF000000"/>
            <rFont val="Times New Roman"/>
            <family val="18"/>
          </rPr>
          <t>ML 10.310 IR 43 (1800) – AL Nr. 15 (Lemberg 20/08/1800)</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712" authorId="0" shapeId="0" xr:uid="{BC2C1165-8145-6044-AD2E-733E8DF44282}">
      <text>
        <r>
          <rPr>
            <sz val="14"/>
            <color rgb="FF000000"/>
            <rFont val="Calibri"/>
            <family val="34"/>
          </rPr>
          <t>IR 43 (1800)</t>
        </r>
      </text>
    </comment>
    <comment ref="N713" authorId="0" shapeId="0" xr:uid="{8416670F-7F0A-CC47-ADCF-901568D6FEA6}">
      <text>
        <r>
          <rPr>
            <sz val="14"/>
            <color rgb="FF000000"/>
            <rFont val="Times New Roman"/>
            <family val="18"/>
          </rPr>
          <t>URSULA (1802)</t>
        </r>
      </text>
    </comment>
    <comment ref="O713" authorId="0" shapeId="0" xr:uid="{467FBEA7-9FC6-C547-B53F-1A2972570346}">
      <text>
        <r>
          <rPr>
            <sz val="14"/>
            <color rgb="FF000000"/>
            <rFont val="Times New Roman"/>
            <family val="18"/>
          </rPr>
          <t>Dachol (1796)</t>
        </r>
      </text>
    </comment>
    <comment ref="P713" authorId="0" shapeId="0" xr:uid="{EF528E75-49F3-0F42-A17D-B252AA4ADB40}">
      <text>
        <r>
          <rPr>
            <sz val="14"/>
            <color rgb="FF000000"/>
            <rFont val="Times New Roman"/>
            <family val="18"/>
          </rPr>
          <t>Hanna (1794)</t>
        </r>
      </text>
    </comment>
    <comment ref="T713" authorId="0" shapeId="0" xr:uid="{97D6C307-688F-E54A-823B-0D22932DE8D3}">
      <text>
        <r>
          <rPr>
            <sz val="14"/>
            <color rgb="FF000000"/>
            <rFont val="Calibri"/>
            <family val="34"/>
          </rPr>
          <t xml:space="preserve">5.1.2 [161.07] (1802)
</t>
        </r>
        <r>
          <rPr>
            <sz val="14"/>
            <color rgb="FF000000"/>
            <rFont val="Calibri"/>
            <family val="34"/>
          </rPr>
          <t>5.4 [168.52] (1808/2]</t>
        </r>
      </text>
    </comment>
    <comment ref="BF713" authorId="0" shapeId="0" xr:uid="{2D549D5D-959C-414B-97A9-46DA13BFB4E1}">
      <text>
        <r>
          <rPr>
            <sz val="14"/>
            <color rgb="FF000000"/>
            <rFont val="Times New Roman"/>
            <family val="18"/>
          </rPr>
          <t xml:space="preserve">19/06/1800 </t>
        </r>
        <r>
          <rPr>
            <i/>
            <sz val="14"/>
            <color rgb="FF000000"/>
            <rFont val="Times New Roman"/>
            <family val="18"/>
          </rPr>
          <t>von Galizischen Ständen gestellt und zum IR 27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Reserve Division ins Haupt Friedenwald Comp.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10/08/1802 Muster: IR 27 Haupt Friedenwald Komp. Nr. 139 [</t>
        </r>
        <r>
          <rPr>
            <i/>
            <sz val="14"/>
            <color rgb="FF000000"/>
            <rFont val="Times New Roman"/>
            <family val="18"/>
          </rPr>
          <t>Auf dem Marsch von Steiermark</t>
        </r>
        <r>
          <rPr>
            <sz val="14"/>
            <color rgb="FF000000"/>
            <rFont val="Times New Roman"/>
            <family val="18"/>
          </rPr>
          <t>] [ML 1802]</t>
        </r>
        <r>
          <rPr>
            <sz val="14"/>
            <color rgb="FF000000"/>
            <rFont val="Calibri"/>
            <family val="34"/>
          </rPr>
          <t xml:space="preserve">
</t>
        </r>
        <r>
          <rPr>
            <sz val="14"/>
            <color rgb="FF000000"/>
            <rFont val="Times New Roman"/>
            <family val="18"/>
          </rPr>
          <t xml:space="preserve">10/09/1805 </t>
        </r>
        <r>
          <rPr>
            <i/>
            <sz val="14"/>
            <color rgb="FF000000"/>
            <rFont val="Times New Roman"/>
            <family val="18"/>
          </rPr>
          <t>Zur Staabs Infanterie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1806 </t>
        </r>
        <r>
          <rPr>
            <i/>
            <sz val="14"/>
            <color rgb="FF000000"/>
            <rFont val="Times New Roman"/>
            <family val="18"/>
          </rPr>
          <t>Wieder zu Strassoldo Inf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21/05/1806 </t>
        </r>
        <r>
          <rPr>
            <i/>
            <sz val="14"/>
            <color rgb="FF000000"/>
            <rFont val="Times New Roman"/>
            <family val="18"/>
          </rPr>
          <t>Zu Reisky Infantrie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30/06/1808 </t>
        </r>
        <r>
          <rPr>
            <i/>
            <sz val="14"/>
            <color rgb="FF000000"/>
            <rFont val="Times New Roman"/>
            <family val="18"/>
          </rPr>
          <t>Von IR 13 ‚Reisky‘ Haupt Schönbornn Comp. zum Krainer-Kärntischer Grenz Cordon transferiert</t>
        </r>
        <r>
          <rPr>
            <sz val="14"/>
            <color rgb="FF000000"/>
            <rFont val="Times New Roman"/>
            <family val="18"/>
          </rPr>
          <t xml:space="preserve"> [TL 1808]</t>
        </r>
        <r>
          <rPr>
            <sz val="14"/>
            <color rgb="FF000000"/>
            <rFont val="Calibri"/>
            <family val="34"/>
          </rPr>
          <t xml:space="preserve">
</t>
        </r>
        <r>
          <rPr>
            <sz val="14"/>
            <color rgb="FF000000"/>
            <rFont val="Times New Roman"/>
            <family val="18"/>
          </rPr>
          <t xml:space="preserve">01/09/1809 </t>
        </r>
        <r>
          <rPr>
            <i/>
            <sz val="14"/>
            <color rgb="FF000000"/>
            <rFont val="Times New Roman"/>
            <family val="18"/>
          </rPr>
          <t>In Folge höhen hofkriegsratlichen Reskript von 7. August 1809 Litt. G. Nr. 3561 und Hohe Armée General Commando Verordnung deto Groß Kanischa den 31. August 1809 Lit. R Nr. 1357, 1360, 1361 und 1296 von bestehenden Krainer-Kärntischer Grenz Cordon</t>
        </r>
        <r>
          <rPr>
            <sz val="14"/>
            <color rgb="FF000000"/>
            <rFont val="Times New Roman"/>
            <family val="18"/>
          </rPr>
          <t xml:space="preserve"> </t>
        </r>
        <r>
          <rPr>
            <i/>
            <sz val="14"/>
            <color rgb="FF000000"/>
            <rFont val="Times New Roman"/>
            <family val="18"/>
          </rPr>
          <t>zum Inner-Österreichischen Grenz Cordon zum 4.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 1810 Revision: GK IÖ 4. Komp. Nr. 118 [</t>
        </r>
        <r>
          <rPr>
            <i/>
            <sz val="14"/>
            <color rgb="FF000000"/>
            <rFont val="Times New Roman"/>
            <family val="18"/>
          </rPr>
          <t>Präsent</t>
        </r>
        <r>
          <rPr>
            <sz val="14"/>
            <color rgb="FF000000"/>
            <rFont val="Times New Roman"/>
            <family val="18"/>
          </rPr>
          <t xml:space="preserve">] [RL 1810] </t>
        </r>
        <r>
          <rPr>
            <sz val="14"/>
            <color rgb="FF000000"/>
            <rFont val="Calibri"/>
            <family val="34"/>
          </rPr>
          <t xml:space="preserve">
</t>
        </r>
        <r>
          <rPr>
            <sz val="14"/>
            <color rgb="FF000000"/>
            <rFont val="Times New Roman"/>
            <family val="18"/>
          </rPr>
          <t>12/09/1811 Muster: GK IÖ 4. Komp. Nr. 95 [</t>
        </r>
        <r>
          <rPr>
            <i/>
            <sz val="14"/>
            <color rgb="FF000000"/>
            <rFont val="Times New Roman"/>
            <family val="18"/>
          </rPr>
          <t>Präsent</t>
        </r>
        <r>
          <rPr>
            <sz val="14"/>
            <color rgb="FF000000"/>
            <rFont val="Times New Roman"/>
            <family val="18"/>
          </rPr>
          <t>] [ML 1811]</t>
        </r>
        <r>
          <rPr>
            <sz val="14"/>
            <color rgb="FF000000"/>
            <rFont val="Calibri"/>
            <family val="34"/>
          </rPr>
          <t xml:space="preserve">
</t>
        </r>
        <r>
          <rPr>
            <sz val="14"/>
            <color rgb="FF000000"/>
            <rFont val="Times New Roman"/>
            <family val="18"/>
          </rPr>
          <t>13/09/1812 Revision: GK IÖ 4. Komp. Nr. 97 [</t>
        </r>
        <r>
          <rPr>
            <i/>
            <sz val="14"/>
            <color rgb="FF000000"/>
            <rFont val="Times New Roman"/>
            <family val="18"/>
          </rPr>
          <t>Präsent</t>
        </r>
        <r>
          <rPr>
            <sz val="14"/>
            <color rgb="FF000000"/>
            <rFont val="Times New Roman"/>
            <family val="18"/>
          </rPr>
          <t>] [RL 1812]</t>
        </r>
        <r>
          <rPr>
            <sz val="14"/>
            <color rgb="FF000000"/>
            <rFont val="Calibri"/>
            <family val="34"/>
          </rPr>
          <t xml:space="preserve">
</t>
        </r>
        <r>
          <rPr>
            <sz val="14"/>
            <color rgb="FF000000"/>
            <rFont val="Times New Roman"/>
            <family val="18"/>
          </rPr>
          <t xml:space="preserve">31/08/1817 </t>
        </r>
        <r>
          <rPr>
            <i/>
            <sz val="14"/>
            <color rgb="FF000000"/>
            <rFont val="Times New Roman"/>
            <family val="18"/>
          </rPr>
          <t>In Folge höhe Kriegsratlichen Reskript deto Wien unf 25/04/1816 litt nr. 1992 und hohe Illyrischen Inner-Österreichischen commando detto Mai 1816 Lit. K Nr. 3974 als Ausgedienter Inländischer Capitulanten mit Abschied entlassen</t>
        </r>
        <r>
          <rPr>
            <sz val="14"/>
            <color rgb="FF000000"/>
            <rFont val="Times New Roman"/>
            <family val="18"/>
          </rPr>
          <t xml:space="preserve"> [ML 1817]</t>
        </r>
        <r>
          <rPr>
            <sz val="14"/>
            <color rgb="FF000000"/>
            <rFont val="Calibri"/>
            <family val="34"/>
          </rPr>
          <t xml:space="preserve">
</t>
        </r>
      </text>
    </comment>
    <comment ref="BG713" authorId="0" shapeId="0" xr:uid="{AEE07367-D122-CF48-ACF0-B0EFE16E85A9}">
      <text>
        <r>
          <rPr>
            <sz val="14"/>
            <color rgb="FF000000"/>
            <rFont val="Times New Roman"/>
            <family val="18"/>
          </rPr>
          <t>ML 2258 IR 27 (1802) –Haupt von Friedenwald Komp. Nr. 139 &amp; Zuwachs (Zara 10/08/1802)</t>
        </r>
        <r>
          <rPr>
            <sz val="14"/>
            <color rgb="FF000000"/>
            <rFont val="Calibri"/>
            <family val="34"/>
          </rPr>
          <t xml:space="preserve">
</t>
        </r>
        <r>
          <rPr>
            <sz val="14"/>
            <color rgb="FF000000"/>
            <rFont val="Times New Roman"/>
            <family val="18"/>
          </rPr>
          <t>ML 10.095 ML IR 13 (1808) AL/TL – TL IR 13-&gt; GK Kär-Kr Nr. 9 (Triest 20/07/1808)</t>
        </r>
        <r>
          <rPr>
            <sz val="14"/>
            <color rgb="FF000000"/>
            <rFont val="Calibri"/>
            <family val="34"/>
          </rPr>
          <t xml:space="preserve">
</t>
        </r>
        <r>
          <rPr>
            <sz val="14"/>
            <color rgb="FF000000"/>
            <rFont val="Times New Roman"/>
            <family val="18"/>
          </rPr>
          <t>ML 8750 GK IÖ (1810-17) – RL Haupt. Heibel 4. Komp. Nr. 118 (Cilly 18/09/1810); ML Haupt. von Braunitzer 4. Komp. Nr. 95 &amp; Zuwachs (Cilly 12/09/1811); RL Haupt. von Braunitzer 4. Komp. Nr. 97 (Tiefern 13/09/1812); ML 8750 GK IÖ (1817) –   Haupt. Rang Abgang (Triest 17/10/1817)</t>
        </r>
        <r>
          <rPr>
            <sz val="14"/>
            <color rgb="FF000000"/>
            <rFont val="Calibri"/>
            <family val="34"/>
          </rPr>
          <t xml:space="preserve">
</t>
        </r>
      </text>
    </comment>
    <comment ref="BH713" authorId="0" shapeId="0" xr:uid="{76122F0E-A2AA-B54F-93FB-5BC930E1FD71}">
      <text>
        <r>
          <rPr>
            <sz val="14"/>
            <color rgb="FF000000"/>
            <rFont val="Calibri"/>
            <family val="34"/>
          </rPr>
          <t xml:space="preserve">IR 27 (1800-1805)
</t>
        </r>
        <r>
          <rPr>
            <sz val="14"/>
            <color rgb="FF000000"/>
            <rFont val="Calibri"/>
            <family val="34"/>
          </rPr>
          <t xml:space="preserve">SInf (1805-1806)
</t>
        </r>
        <r>
          <rPr>
            <sz val="14"/>
            <color rgb="FF000000"/>
            <rFont val="Calibri"/>
            <family val="34"/>
          </rPr>
          <t xml:space="preserve">IR 27 (1806)
</t>
        </r>
        <r>
          <rPr>
            <sz val="14"/>
            <color rgb="FF000000"/>
            <rFont val="Calibri"/>
            <family val="34"/>
          </rPr>
          <t xml:space="preserve">IR </t>
        </r>
        <r>
          <rPr>
            <sz val="14"/>
            <color rgb="FF000000"/>
            <rFont val="+mn-lt"/>
            <charset val="1"/>
          </rPr>
          <t xml:space="preserve">13 (1806-1808)
</t>
        </r>
        <r>
          <rPr>
            <sz val="14"/>
            <color rgb="FF000000"/>
            <rFont val="+mn-lt"/>
            <charset val="1"/>
          </rPr>
          <t>GK KR-K</t>
        </r>
        <r>
          <rPr>
            <sz val="14"/>
            <color rgb="FF000000"/>
            <rFont val="+mn-lt"/>
            <charset val="1"/>
          </rPr>
          <t>ä</t>
        </r>
        <r>
          <rPr>
            <sz val="14"/>
            <color rgb="FF000000"/>
            <rFont val="+mn-lt"/>
            <charset val="1"/>
          </rPr>
          <t>r</t>
        </r>
        <r>
          <rPr>
            <sz val="14"/>
            <color rgb="FF000000"/>
            <rFont val="+mn-lt"/>
            <charset val="1"/>
          </rPr>
          <t xml:space="preserve"> (1808-1809)</t>
        </r>
        <r>
          <rPr>
            <sz val="14"/>
            <color rgb="FF000000"/>
            <rFont val="+mn-lt"/>
            <charset val="1"/>
          </rPr>
          <t xml:space="preserve">
</t>
        </r>
        <r>
          <rPr>
            <sz val="14"/>
            <color rgb="FF000000"/>
            <rFont val="+mn-lt"/>
            <charset val="1"/>
          </rPr>
          <t>GK IÖ (1809-1817)</t>
        </r>
      </text>
    </comment>
    <comment ref="BI713" authorId="0" shapeId="0" xr:uid="{4E89BCDF-B639-A547-B729-12AAC4657232}">
      <text>
        <r>
          <rPr>
            <sz val="14"/>
            <color rgb="FF000000"/>
            <rFont val="Calibri"/>
            <family val="34"/>
          </rPr>
          <t>Gute [TL Juli 1808]</t>
        </r>
      </text>
    </comment>
    <comment ref="BF714" authorId="0" shapeId="0" xr:uid="{31853BAA-1F69-F345-8C7A-181FFE412B81}">
      <text>
        <r>
          <rPr>
            <sz val="14"/>
            <color rgb="FFFF0000"/>
            <rFont val="Times New Roman"/>
            <family val="18"/>
          </rPr>
          <t xml:space="preserve">??/05/1800 </t>
        </r>
        <r>
          <rPr>
            <i/>
            <sz val="14"/>
            <color rgb="FFFF0000"/>
            <rFont val="Times New Roman"/>
            <family val="18"/>
          </rPr>
          <t>Auf Beständig gestellt</t>
        </r>
        <r>
          <rPr>
            <sz val="14"/>
            <color rgb="FFFF0000"/>
            <rFont val="Times New Roman"/>
            <family val="18"/>
          </rPr>
          <t xml:space="preserve"> [TL Juli 1800]</t>
        </r>
        <r>
          <rPr>
            <sz val="14"/>
            <color rgb="FF000000"/>
            <rFont val="Calibri"/>
            <family val="34"/>
          </rPr>
          <t xml:space="preserve">
</t>
        </r>
        <r>
          <rPr>
            <sz val="14"/>
            <color rgb="FF000000"/>
            <rFont val="Times New Roman"/>
            <family val="18"/>
          </rPr>
          <t xml:space="preserve">20/06/1800 </t>
        </r>
        <r>
          <rPr>
            <i/>
            <sz val="14"/>
            <color rgb="FF000000"/>
            <rFont val="Times New Roman"/>
            <family val="18"/>
          </rPr>
          <t>von Dominien Ausgehoben und a 3Fl Handgeld zum Tarnopol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Basta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Basta Komp. zum IR 44 transferiert und zur Haupt Wicka Komp. eingeheilt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 xml:space="preserve">17/03/1803 </t>
        </r>
        <r>
          <rPr>
            <i/>
            <sz val="14"/>
            <color rgb="FF000000"/>
            <rFont val="Times New Roman"/>
            <family val="18"/>
          </rPr>
          <t>In Regiments Spital zu Veneding Gestorben</t>
        </r>
        <r>
          <rPr>
            <sz val="14"/>
            <color rgb="FF000000"/>
            <rFont val="Times New Roman"/>
            <family val="18"/>
          </rPr>
          <t xml:space="preserve"> [ML 1803]</t>
        </r>
        <r>
          <rPr>
            <sz val="14"/>
            <color rgb="FF000000"/>
            <rFont val="Calibri"/>
            <family val="34"/>
          </rPr>
          <t xml:space="preserve">
</t>
        </r>
      </text>
    </comment>
    <comment ref="BG714" authorId="0" shapeId="0" xr:uid="{A6A50DAA-4012-9C47-9272-E0A86CA69F49}">
      <text>
        <r>
          <rPr>
            <sz val="14"/>
            <color rgb="FF000000"/>
            <rFont val="Times New Roman"/>
            <family val="18"/>
          </rPr>
          <t>ML 10.309 IR 43 (1800) – ST Juni (27/08/1803), Sept (31/01/1804),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Wicka Komp. Abgang (Venice 19/09/1803)</t>
        </r>
        <r>
          <rPr>
            <sz val="14"/>
            <color rgb="FF000000"/>
            <rFont val="Calibri"/>
            <family val="34"/>
          </rPr>
          <t xml:space="preserve">
</t>
        </r>
        <r>
          <rPr>
            <sz val="14"/>
            <color rgb="FF000000"/>
            <rFont val="Times New Roman"/>
            <family val="18"/>
          </rPr>
          <t>ML 3946 IR 44 (1802) – AL IR 43-&gt; IR 43 Nr. 117 (Zara 27/07/1802)</t>
        </r>
        <r>
          <rPr>
            <sz val="14"/>
            <color rgb="FF000000"/>
            <rFont val="Calibri"/>
            <family val="34"/>
          </rPr>
          <t xml:space="preserve">
</t>
        </r>
      </text>
    </comment>
    <comment ref="BH714" authorId="0" shapeId="0" xr:uid="{2ED13C96-D4EB-DA4C-9778-0C6DB26892B9}">
      <text>
        <r>
          <rPr>
            <sz val="14"/>
            <color rgb="FF000000"/>
            <rFont val="Calibri"/>
            <family val="34"/>
          </rPr>
          <t xml:space="preserve">IR 43 (1800-1802)
</t>
        </r>
        <r>
          <rPr>
            <sz val="14"/>
            <color rgb="FF000000"/>
            <rFont val="Calibri"/>
            <family val="34"/>
          </rPr>
          <t>IR 44 (1802-1803)</t>
        </r>
      </text>
    </comment>
    <comment ref="BI714" authorId="0" shapeId="0" xr:uid="{F423FFAA-CD27-0F4E-831C-4BE21FCDDFE2}">
      <text>
        <r>
          <rPr>
            <sz val="14"/>
            <color rgb="FF000000"/>
            <rFont val="Calibri"/>
            <family val="34"/>
          </rPr>
          <t>Gut [TL Juli 1802]</t>
        </r>
      </text>
    </comment>
    <comment ref="T715" authorId="0" shapeId="0" xr:uid="{6B749E01-0856-0945-9342-F6847B1EF998}">
      <text>
        <r>
          <rPr>
            <sz val="14"/>
            <color rgb="FF000000"/>
            <rFont val="Calibri"/>
            <family val="34"/>
          </rPr>
          <t xml:space="preserve">5.1 [160.6] (1802-1804)
</t>
        </r>
        <r>
          <rPr>
            <sz val="14"/>
            <color rgb="FF000000"/>
            <rFont val="Calibri"/>
            <family val="34"/>
          </rPr>
          <t>5.2.1 [163.5] (1805)</t>
        </r>
      </text>
    </comment>
    <comment ref="BF715" authorId="0" shapeId="0" xr:uid="{8AC4D523-679E-F145-80D4-561A8FA4F52F}">
      <text>
        <r>
          <rPr>
            <sz val="14"/>
            <color rgb="FF000000"/>
            <rFont val="Times New Roman"/>
            <family val="18"/>
          </rPr>
          <t xml:space="preserve">20/06/1800 </t>
        </r>
        <r>
          <rPr>
            <i/>
            <sz val="14"/>
            <color rgb="FF000000"/>
            <rFont val="Times New Roman"/>
            <family val="18"/>
          </rPr>
          <t>von Dominien ausgehoben und a 3Fl Handgeld zum Brezazan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FF0000"/>
            <rFont val="Times New Roman"/>
            <family val="18"/>
          </rPr>
          <t xml:space="preserve">24/06/1800 </t>
        </r>
        <r>
          <rPr>
            <i/>
            <sz val="14"/>
            <color rgb="FFFF0000"/>
            <rFont val="Times New Roman"/>
            <family val="18"/>
          </rPr>
          <t>Als Galizischer Recrout a 3Fl 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21/09/1800 </t>
        </r>
        <r>
          <rPr>
            <i/>
            <sz val="14"/>
            <color rgb="FF000000"/>
            <rFont val="Times New Roman"/>
            <family val="18"/>
          </rPr>
          <t>Krank auswärts</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25/09/1800 </t>
        </r>
        <r>
          <rPr>
            <i/>
            <sz val="14"/>
            <color rgb="FF000000"/>
            <rFont val="Times New Roman"/>
            <family val="18"/>
          </rPr>
          <t>Rekonvalesziert und 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in die 2. Major Companie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11/09/1802 Muster: IR 43 2. Major Komp. Nr. 162</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2. Major Komp. Nr. 138 [</t>
        </r>
        <r>
          <rPr>
            <i/>
            <sz val="14"/>
            <color rgb="FF000000"/>
            <rFont val="Times New Roman"/>
            <family val="18"/>
          </rPr>
          <t>Bis Einberufung zu Bodhaiza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2. Major Komp. Nr. 125 [</t>
        </r>
        <r>
          <rPr>
            <i/>
            <sz val="14"/>
            <color rgb="FF000000"/>
            <rFont val="Times New Roman"/>
            <family val="18"/>
          </rPr>
          <t>Beurlaubt in seinem Geburtsort bis Einberufung</t>
        </r>
        <r>
          <rPr>
            <sz val="14"/>
            <color rgb="FF000000"/>
            <rFont val="Times New Roman"/>
            <family val="18"/>
          </rPr>
          <t>]</t>
        </r>
        <r>
          <rPr>
            <sz val="14"/>
            <color rgb="FF000000"/>
            <rFont val="Calibri"/>
            <family val="34"/>
          </rPr>
          <t xml:space="preserve">
</t>
        </r>
        <r>
          <rPr>
            <sz val="14"/>
            <color rgb="FF000000"/>
            <rFont val="Times New Roman"/>
            <family val="18"/>
          </rPr>
          <t>01/10/1805 Muster: IR 43 3. Fus Comp Nr. 98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Auf Steuerbare Wirtschaftbesitzer und als Halb, werde statt einer der in diesen Monat bei der 1. Reserve Division in Zuwachs gebrachte Recrout Semen Ivanczuk und gegen einfache Montur Erlag von unbestimmte Urlaub mit Abschied entlassen</t>
        </r>
        <r>
          <rPr>
            <sz val="14"/>
            <color rgb="FF000000"/>
            <rFont val="Times New Roman"/>
            <family val="18"/>
          </rPr>
          <t xml:space="preserve"> [ST Nov 1805 &amp; ML 1806]</t>
        </r>
        <r>
          <rPr>
            <sz val="14"/>
            <color rgb="FF000000"/>
            <rFont val="Calibri"/>
            <family val="34"/>
          </rPr>
          <t xml:space="preserve">
</t>
        </r>
      </text>
    </comment>
    <comment ref="BG715" authorId="0" shapeId="0" xr:uid="{50361845-DE87-8449-8C50-7F4906B36620}">
      <text>
        <r>
          <rPr>
            <sz val="14"/>
            <color rgb="FF000000"/>
            <rFont val="Times New Roman"/>
            <family val="18"/>
          </rPr>
          <t>ML 10.272 IR 43 (1802) – Heft von ., Major Comp. Nr. 162 (Zara 11/09/1802)</t>
        </r>
        <r>
          <rPr>
            <sz val="14"/>
            <color rgb="FF000000"/>
            <rFont val="Calibri"/>
            <family val="34"/>
          </rPr>
          <t xml:space="preserve">
</t>
        </r>
        <r>
          <rPr>
            <sz val="14"/>
            <color rgb="FF000000"/>
            <rFont val="Times New Roman"/>
            <family val="18"/>
          </rPr>
          <t>ML 10.273 IR 43 (1803) – Heft von 2. Major Comp. Nr. 138 (Zara 28/09/1803)</t>
        </r>
        <r>
          <rPr>
            <sz val="14"/>
            <color rgb="FF000000"/>
            <rFont val="Calibri"/>
            <family val="34"/>
          </rPr>
          <t xml:space="preserve">
</t>
        </r>
        <r>
          <rPr>
            <sz val="14"/>
            <color rgb="FF000000"/>
            <rFont val="Times New Roman"/>
            <family val="18"/>
          </rPr>
          <t>ML 10.274 IR 43 (1804) – Heft von Haupt Selmbach Comp. Nr. 125 (Cattaro 07/10/1804)</t>
        </r>
        <r>
          <rPr>
            <sz val="14"/>
            <color rgb="FF000000"/>
            <rFont val="Calibri"/>
            <family val="34"/>
          </rPr>
          <t xml:space="preserve">
</t>
        </r>
        <r>
          <rPr>
            <sz val="14"/>
            <color rgb="FF000000"/>
            <rFont val="Times New Roman"/>
            <family val="18"/>
          </rPr>
          <t>ML 10.275/6 IR 43 (1805) – Heft von 5. Fus Comp. Nr. 98 (Zara 01/10/1805)</t>
        </r>
        <r>
          <rPr>
            <sz val="14"/>
            <color rgb="FF000000"/>
            <rFont val="Calibri"/>
            <family val="34"/>
          </rPr>
          <t xml:space="preserve">
</t>
        </r>
        <r>
          <rPr>
            <sz val="14"/>
            <color rgb="FF000000"/>
            <rFont val="Times New Roman"/>
            <family val="18"/>
          </rPr>
          <t>ML 10/277/8 (1806) – Heft von 7. Fus Comp. Abgang (Laibach 01/12/1806)</t>
        </r>
        <r>
          <rPr>
            <sz val="14"/>
            <color rgb="FF000000"/>
            <rFont val="Calibri"/>
            <family val="34"/>
          </rPr>
          <t xml:space="preserve">
</t>
        </r>
        <r>
          <rPr>
            <sz val="14"/>
            <color rgb="FF000000"/>
            <rFont val="Times New Roman"/>
            <family val="18"/>
          </rPr>
          <t>ML 10.309 IR 43 (1800) – ST Juni (27/08/1803), Sept (31/01/1804), Okt (22/03/1804),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Nov (16/06/1806)</t>
        </r>
        <r>
          <rPr>
            <sz val="14"/>
            <color rgb="FF000000"/>
            <rFont val="Calibri"/>
            <family val="34"/>
          </rPr>
          <t xml:space="preserve">
</t>
        </r>
        <r>
          <rPr>
            <sz val="14"/>
            <color rgb="FF000000"/>
            <rFont val="Times New Roman"/>
            <family val="18"/>
          </rPr>
          <t>ML 10.316 (1805) AL/TL – AL von Simon Iwanczuk (ersatzman) (Brzezan 20/10/1805)</t>
        </r>
        <r>
          <rPr>
            <sz val="14"/>
            <color rgb="FF000000"/>
            <rFont val="Calibri"/>
            <family val="34"/>
          </rPr>
          <t xml:space="preserve">
</t>
        </r>
      </text>
    </comment>
    <comment ref="BH715" authorId="0" shapeId="0" xr:uid="{CC8CB8FC-FA95-B64B-9E36-061DAFDDF276}">
      <text>
        <r>
          <rPr>
            <sz val="14"/>
            <color rgb="FF000000"/>
            <rFont val="Calibri"/>
            <family val="34"/>
          </rPr>
          <t>IR 43 (1800-1805)</t>
        </r>
      </text>
    </comment>
    <comment ref="O716" authorId="0" shapeId="0" xr:uid="{22310393-2252-2946-9B9A-9E0638AE65D5}">
      <text>
        <r>
          <rPr>
            <sz val="14"/>
            <color rgb="FF000000"/>
            <rFont val="Times New Roman"/>
            <family val="18"/>
          </rPr>
          <t>Mothias (1798)</t>
        </r>
      </text>
    </comment>
    <comment ref="BF716" authorId="0" shapeId="0" xr:uid="{ED9C2209-DA5D-704D-A87F-B3335A126D8C}">
      <text>
        <r>
          <rPr>
            <sz val="14"/>
            <color rgb="FF000000"/>
            <rFont val="Times New Roman"/>
            <family val="18"/>
          </rPr>
          <t xml:space="preserve">20/06/1800 </t>
        </r>
        <r>
          <rPr>
            <i/>
            <sz val="14"/>
            <color rgb="FF000000"/>
            <rFont val="Times New Roman"/>
            <family val="18"/>
          </rPr>
          <t>Als landständischer Recrout a 3Fl Handgeld zu Pzemysl 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13 Haupt Braunitzer Komp. Nr. 46</t>
        </r>
        <r>
          <rPr>
            <sz val="14"/>
            <color rgb="FF000000"/>
            <rFont val="Times New Roman"/>
            <family val="18"/>
          </rPr>
          <t xml:space="preserve">
</t>
        </r>
        <r>
          <rPr>
            <sz val="14"/>
            <color rgb="FF000000"/>
            <rFont val="Times New Roman"/>
            <family val="18"/>
          </rPr>
          <t xml:space="preserve">12/07/1803 </t>
        </r>
        <r>
          <rPr>
            <i/>
            <sz val="14"/>
            <color rgb="FF000000"/>
            <rFont val="Times New Roman"/>
            <family val="18"/>
          </rPr>
          <t>Von Urlaub desertiert</t>
        </r>
        <r>
          <rPr>
            <sz val="14"/>
            <color rgb="FF000000"/>
            <rFont val="Times New Roman"/>
            <family val="18"/>
          </rPr>
          <t xml:space="preserve"> [ML 1803] </t>
        </r>
      </text>
    </comment>
    <comment ref="BG716" authorId="0" shapeId="0" xr:uid="{C18A9848-5E54-1A48-9785-6DD5557CE07B}">
      <text>
        <r>
          <rPr>
            <sz val="14"/>
            <color rgb="FF000000"/>
            <rFont val="Times New Roman"/>
            <family val="18"/>
          </rPr>
          <t>ML 10.045/6 IR 13 (1802) – Haupt Braunitzer Komp. Nr. 46 (Triest 16/09/1802)</t>
        </r>
        <r>
          <rPr>
            <sz val="14"/>
            <color rgb="FF000000"/>
            <rFont val="Times New Roman"/>
            <family val="18"/>
          </rPr>
          <t xml:space="preserve">
</t>
        </r>
        <r>
          <rPr>
            <sz val="14"/>
            <color rgb="FF000000"/>
            <rFont val="Times New Roman"/>
            <family val="18"/>
          </rPr>
          <t>ML 10.047/8 IR 13 (1803) – Haupt Braunitzer Komp. Abgang (Triest 21/09/1803)</t>
        </r>
        <r>
          <rPr>
            <sz val="14"/>
            <color rgb="FF000000"/>
            <rFont val="Times New Roman"/>
            <family val="18"/>
          </rPr>
          <t xml:space="preserve">
</t>
        </r>
      </text>
    </comment>
    <comment ref="BH716" authorId="0" shapeId="0" xr:uid="{E658A79F-DE21-194E-9697-C28D4A2C71B7}">
      <text>
        <r>
          <rPr>
            <sz val="14"/>
            <color rgb="FF000000"/>
            <rFont val="Calibri"/>
            <family val="34"/>
          </rPr>
          <t>IR 13 (1800-1803)</t>
        </r>
      </text>
    </comment>
    <comment ref="BF717" authorId="0" shapeId="0" xr:uid="{DDF703BB-EB7E-1C48-A2F2-AAAC4C10BB27}">
      <text>
        <r>
          <rPr>
            <sz val="14"/>
            <color rgb="FFFF0000"/>
            <rFont val="Times New Roman"/>
            <family val="18"/>
          </rPr>
          <t>21/05/1800</t>
        </r>
        <r>
          <rPr>
            <i/>
            <sz val="14"/>
            <color rgb="FFFF0000"/>
            <rFont val="Times New Roman"/>
            <family val="18"/>
          </rPr>
          <t xml:space="preserve"> Von die Ständen a 3Fl Handgeld gestellt [ML 1802]</t>
        </r>
        <r>
          <rPr>
            <sz val="14"/>
            <color rgb="FF000000"/>
            <rFont val="Calibri"/>
            <family val="34"/>
          </rPr>
          <t xml:space="preserve">
</t>
        </r>
        <r>
          <rPr>
            <sz val="14"/>
            <color rgb="FF000000"/>
            <rFont val="Times New Roman"/>
            <family val="18"/>
          </rPr>
          <t xml:space="preserve">20/06/1800 </t>
        </r>
        <r>
          <rPr>
            <i/>
            <sz val="14"/>
            <color rgb="FF000000"/>
            <rFont val="Times New Roman"/>
            <family val="18"/>
          </rPr>
          <t xml:space="preserve">von Dominien ausgehoben und a 3Fl Handgeld zum Tarnopol assentiert und setidem auf anhero Marsch mit Friedensgebühr </t>
        </r>
        <r>
          <rPr>
            <sz val="14"/>
            <color rgb="FF000000"/>
            <rFont val="Times New Roman"/>
            <family val="18"/>
          </rPr>
          <t>[ [ST June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ins Haupt Selmbach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15/06/1802 </t>
        </r>
        <r>
          <rPr>
            <i/>
            <sz val="14"/>
            <color rgb="FF000000"/>
            <rFont val="Times New Roman"/>
            <family val="18"/>
          </rPr>
          <t>Auf bestimmte Zeit Beurlaubt; 15 hujus mit Deutschen Gebuhr und Teuerungsbeitrag, bis 19 dann mit Ungarischen Gebühr ohne Teuerungsbeitrag Beitrag bis 21/ hujus Verpflegt</t>
        </r>
        <r>
          <rPr>
            <sz val="14"/>
            <color rgb="FF000000"/>
            <rFont val="Times New Roman"/>
            <family val="18"/>
          </rPr>
          <t xml:space="preserve"> [ST June 1802]</t>
        </r>
        <r>
          <rPr>
            <sz val="14"/>
            <color rgb="FF000000"/>
            <rFont val="Calibri"/>
            <family val="34"/>
          </rPr>
          <t xml:space="preserve">
</t>
        </r>
        <r>
          <rPr>
            <sz val="14"/>
            <color rgb="FF000000"/>
            <rFont val="Times New Roman"/>
            <family val="18"/>
          </rPr>
          <t>/08/1802 Muster: IR 43 Haupt Selmbach Komp. Nr. 104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31/01/1803 Hrinko Gambrukov statt der zur Provinzial Bewältigung zu entlassenen ubertragenen Gemeiner Mardcho Woltacg zu Tarnopol ohnetgeldich zum Haupt BArno Comp. assentiert [ST Feb 1802] [20/06/1803 arrived in Romer Comp; and transfered to Köpf comp; 01/01/1804 Transferred to Philip Raina Comp and 04/01/1804 dies in Zara Hospital]</t>
        </r>
        <r>
          <rPr>
            <sz val="14"/>
            <color rgb="FF000000"/>
            <rFont val="Calibri"/>
            <family val="34"/>
          </rPr>
          <t xml:space="preserve">
</t>
        </r>
        <r>
          <rPr>
            <sz val="14"/>
            <color rgb="FF000000"/>
            <rFont val="Times New Roman"/>
            <family val="18"/>
          </rPr>
          <t xml:space="preserve">31/03/1803 </t>
        </r>
        <r>
          <rPr>
            <i/>
            <sz val="14"/>
            <color rgb="FF000000"/>
            <rFont val="Times New Roman"/>
            <family val="18"/>
          </rPr>
          <t>Zur Provincial Beschäftigung  gegen Stellung das in voriger Monat bei Haupt Barbo Companie in Zuwachs gebrachte Recrout Hrinko Hamburkov von bestimmte Urlaub mit Abschied entlassen</t>
        </r>
        <r>
          <rPr>
            <sz val="14"/>
            <color rgb="FF000000"/>
            <rFont val="Times New Roman"/>
            <family val="18"/>
          </rPr>
          <t xml:space="preserve"> [ST March 1803 &amp; ML IR 43 1803]</t>
        </r>
        <r>
          <rPr>
            <sz val="14"/>
            <color rgb="FF000000"/>
            <rFont val="Calibri"/>
            <family val="34"/>
          </rPr>
          <t xml:space="preserve">
</t>
        </r>
      </text>
    </comment>
    <comment ref="BG717" authorId="0" shapeId="0" xr:uid="{0EDE581E-919E-BD42-9162-4AEC9A31BBBD}">
      <text>
        <r>
          <rPr>
            <sz val="14"/>
            <color rgb="FF000000"/>
            <rFont val="Times New Roman"/>
            <family val="18"/>
          </rPr>
          <t>ML 10.272 IR 43 (1802) – Haupt Selmbach Komp. Nr. 105 (Budua 24/08/1802)</t>
        </r>
        <r>
          <rPr>
            <sz val="14"/>
            <color rgb="FF000000"/>
            <rFont val="Calibri"/>
            <family val="34"/>
          </rPr>
          <t xml:space="preserve">
</t>
        </r>
        <r>
          <rPr>
            <sz val="14"/>
            <color rgb="FF000000"/>
            <rFont val="Times New Roman"/>
            <family val="18"/>
          </rPr>
          <t>ML 10.273 IR 43 (1803) – Haupt Selmbach Komp. Abgang (Knin 04/10/1803)</t>
        </r>
        <r>
          <rPr>
            <sz val="14"/>
            <color rgb="FF000000"/>
            <rFont val="Calibri"/>
            <family val="34"/>
          </rPr>
          <t xml:space="preserve">
</t>
        </r>
        <r>
          <rPr>
            <sz val="14"/>
            <color rgb="FF000000"/>
            <rFont val="Times New Roman"/>
            <family val="18"/>
          </rPr>
          <t>ML 10.309 IR 43 (1800) – ST June (27/08/1803), Sept (31/01/1804), Nov (02/04/1804), Dez (18/08/1804)</t>
        </r>
        <r>
          <rPr>
            <sz val="14"/>
            <color rgb="FF000000"/>
            <rFont val="Calibri"/>
            <family val="34"/>
          </rPr>
          <t xml:space="preserve">
</t>
        </r>
        <r>
          <rPr>
            <sz val="14"/>
            <color rgb="FF000000"/>
            <rFont val="Times New Roman"/>
            <family val="18"/>
          </rPr>
          <t xml:space="preserve">ML 10.312 IR 43 (1802) – ST Juni (15/071802) </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text>
    </comment>
    <comment ref="BH717" authorId="0" shapeId="0" xr:uid="{FBE3615F-0A90-0E4A-B4FE-43937A60E3F0}">
      <text>
        <r>
          <rPr>
            <sz val="14"/>
            <color rgb="FF000000"/>
            <rFont val="Calibri"/>
            <family val="34"/>
          </rPr>
          <t>IR 43 (1800-1803)</t>
        </r>
      </text>
    </comment>
    <comment ref="BF718" authorId="0" shapeId="0" xr:uid="{52F24F18-A72F-E540-946A-E9E9FCEE6F75}">
      <text>
        <r>
          <rPr>
            <sz val="14"/>
            <color rgb="FF000000"/>
            <rFont val="Times New Roman"/>
            <family val="18"/>
          </rPr>
          <t xml:space="preserve">21/06/1800 </t>
        </r>
        <r>
          <rPr>
            <i/>
            <sz val="14"/>
            <color rgb="FF000000"/>
            <rFont val="Times New Roman"/>
            <family val="18"/>
          </rPr>
          <t xml:space="preserve">Von Reserve Division zur 2. Major Komp.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19/02/1801 </t>
        </r>
        <r>
          <rPr>
            <i/>
            <sz val="14"/>
            <color rgb="FF000000"/>
            <rFont val="Times New Roman"/>
            <family val="18"/>
          </rPr>
          <t>Von Sonsten desertiert</t>
        </r>
        <r>
          <rPr>
            <sz val="14"/>
            <color rgb="FF000000"/>
            <rFont val="Times New Roman"/>
            <family val="18"/>
          </rPr>
          <t xml:space="preserve"> [ML 1802]</t>
        </r>
      </text>
    </comment>
    <comment ref="BG718" authorId="0" shapeId="0" xr:uid="{86DCA620-572A-3E41-B9BE-A2BDACF073F2}">
      <text>
        <r>
          <rPr>
            <sz val="14"/>
            <color rgb="FF000000"/>
            <rFont val="Times New Roman"/>
            <family val="18"/>
          </rPr>
          <t>ML 1937 IR 24 (1802) – 2. Major Komp. Nr. Abgang (Vienna 16/09/1802)</t>
        </r>
        <r>
          <rPr>
            <sz val="14"/>
            <color rgb="FF000000"/>
            <rFont val="Calibri"/>
            <family val="34"/>
          </rPr>
          <t xml:space="preserve">
</t>
        </r>
      </text>
    </comment>
    <comment ref="BH718" authorId="0" shapeId="0" xr:uid="{38870378-807A-364D-A1BF-636A26A09004}">
      <text>
        <r>
          <rPr>
            <sz val="14"/>
            <color rgb="FF000000"/>
            <rFont val="Calibri"/>
            <family val="34"/>
          </rPr>
          <t>IR 24 (1800-1801)</t>
        </r>
      </text>
    </comment>
    <comment ref="BF719" authorId="0" shapeId="0" xr:uid="{CBA864AC-C175-CC47-BBDF-545101D8EB28}">
      <text>
        <r>
          <rPr>
            <sz val="14"/>
            <color rgb="FF000000"/>
            <rFont val="Times New Roman"/>
            <family val="18"/>
          </rPr>
          <t xml:space="preserve">21/06/1800 </t>
        </r>
        <r>
          <rPr>
            <i/>
            <sz val="14"/>
            <color rgb="FF000000"/>
            <rFont val="Times New Roman"/>
            <family val="18"/>
          </rPr>
          <t>Von Der Reserve Division zur Haupt Chupay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01/02/1801 </t>
        </r>
        <r>
          <rPr>
            <i/>
            <sz val="14"/>
            <color rgb="FF000000"/>
            <rFont val="Times New Roman"/>
            <family val="18"/>
          </rPr>
          <t>In Triest gestorben</t>
        </r>
        <r>
          <rPr>
            <sz val="14"/>
            <color rgb="FF000000"/>
            <rFont val="Times New Roman"/>
            <family val="18"/>
          </rPr>
          <t xml:space="preserve"> [ML 1802]</t>
        </r>
      </text>
    </comment>
    <comment ref="BG719" authorId="0" shapeId="0" xr:uid="{8BA1693E-0310-B14D-81F2-4FAD595A8E16}">
      <text>
        <r>
          <rPr>
            <sz val="14"/>
            <color rgb="FF000000"/>
            <rFont val="Times New Roman"/>
            <family val="18"/>
          </rPr>
          <t>ML 1937 IR 24 (1802) – Haupt Chupay Abgang (Vienna 16/09/1802)</t>
        </r>
        <r>
          <rPr>
            <sz val="14"/>
            <color rgb="FF000000"/>
            <rFont val="Calibri"/>
            <family val="34"/>
          </rPr>
          <t xml:space="preserve">
</t>
        </r>
      </text>
    </comment>
    <comment ref="BH719" authorId="0" shapeId="0" xr:uid="{8FBE5F06-3012-7743-B2EF-6E9DF91A2DC6}">
      <text>
        <r>
          <rPr>
            <sz val="14"/>
            <color rgb="FF000000"/>
            <rFont val="Calibri"/>
            <family val="34"/>
          </rPr>
          <t>IR 24 (1800-1801)</t>
        </r>
      </text>
    </comment>
    <comment ref="BF720" authorId="0" shapeId="0" xr:uid="{6991B9E7-6DD4-FC44-AC22-BA7C8CBCE817}">
      <text>
        <r>
          <rPr>
            <sz val="14"/>
            <color rgb="FF000000"/>
            <rFont val="Times New Roman"/>
            <family val="18"/>
          </rPr>
          <t xml:space="preserve">21/06/1800 </t>
        </r>
        <r>
          <rPr>
            <i/>
            <sz val="14"/>
            <color rgb="FF000000"/>
            <rFont val="Times New Roman"/>
            <family val="18"/>
          </rPr>
          <t>Vermög hohe General Commando Verordnung deto Lemberg 01/02/1799 Nro 668 statt den untauglich entlassenen GH Toscanischen Rekruten Juda Halbern gestellt worden und a 3Fl Handgeld auf Beständig assentiert</t>
        </r>
        <r>
          <rPr>
            <sz val="14"/>
            <color rgb="FF000000"/>
            <rFont val="Times New Roman"/>
            <family val="18"/>
          </rPr>
          <t xml:space="preserve"> [ML 1802 &amp; AL June 1800]</t>
        </r>
        <r>
          <rPr>
            <sz val="14"/>
            <color rgb="FF000000"/>
            <rFont val="Calibri"/>
            <family val="34"/>
          </rPr>
          <t xml:space="preserve">
</t>
        </r>
        <r>
          <rPr>
            <sz val="14"/>
            <color rgb="FF000000"/>
            <rFont val="Times New Roman"/>
            <family val="18"/>
          </rPr>
          <t>09/09/1802 Muster: IR 23 Haupt Stark Komp Nr. 126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t>
        </r>
        <r>
          <rPr>
            <sz val="14"/>
            <color rgb="FF000000"/>
            <rFont val="Calibri"/>
            <family val="2"/>
          </rPr>
          <t xml:space="preserve"> </t>
        </r>
      </text>
    </comment>
    <comment ref="BG720" authorId="0" shapeId="0" xr:uid="{4AC6BF1A-7BE4-7343-AB42-824363EF5FAA}">
      <text>
        <r>
          <rPr>
            <sz val="14"/>
            <color rgb="FF000000"/>
            <rFont val="Times New Roman"/>
            <family val="18"/>
          </rPr>
          <t>ML 10.124 IR 23 (1802) – Haupt Starck Komp. Nr. 120 (Krems 09/09/1802)</t>
        </r>
        <r>
          <rPr>
            <sz val="14"/>
            <color rgb="FF000000"/>
            <rFont val="Calibri"/>
            <family val="34"/>
          </rPr>
          <t xml:space="preserve">
</t>
        </r>
        <r>
          <rPr>
            <sz val="14"/>
            <color rgb="FF000000"/>
            <rFont val="Times New Roman"/>
            <family val="18"/>
          </rPr>
          <t>ML 10.125 IR 23 (1803) – Haupt Starck Komp. Abgang (Execierlager bei St Pölten 07/09/1803)</t>
        </r>
        <r>
          <rPr>
            <sz val="14"/>
            <color rgb="FF000000"/>
            <rFont val="Calibri"/>
            <family val="34"/>
          </rPr>
          <t xml:space="preserve">
</t>
        </r>
        <r>
          <rPr>
            <sz val="14"/>
            <color rgb="FF000000"/>
            <rFont val="Times New Roman"/>
            <family val="18"/>
          </rPr>
          <t>ML 10.167 IR 23 (1800) AL/TL – Nr. 2 (Zolkiew 21/06/1800)</t>
        </r>
        <r>
          <rPr>
            <sz val="14"/>
            <color rgb="FF000000"/>
            <rFont val="Calibri"/>
            <family val="34"/>
          </rPr>
          <t xml:space="preserve">
</t>
        </r>
      </text>
    </comment>
    <comment ref="BH720" authorId="0" shapeId="0" xr:uid="{1F528871-E645-D84C-A81F-41A9B04D5CB2}">
      <text>
        <r>
          <rPr>
            <sz val="14"/>
            <color rgb="FF000000"/>
            <rFont val="Calibri"/>
            <family val="34"/>
          </rPr>
          <t>IR 24 (1800-1803)</t>
        </r>
      </text>
    </comment>
    <comment ref="J721" authorId="0" shapeId="0" xr:uid="{BCF1FEF4-A9F8-EF4C-B703-90F830E19B2D}">
      <text>
        <r>
          <rPr>
            <sz val="14"/>
            <color rgb="FF000000"/>
            <rFont val="Calibri"/>
            <family val="34"/>
          </rPr>
          <t xml:space="preserve">Ledig (1802-1803)
</t>
        </r>
        <r>
          <rPr>
            <sz val="14"/>
            <color rgb="FF000000"/>
            <rFont val="Calibri"/>
            <family val="34"/>
          </rPr>
          <t>Veheiratet (1806-1809)</t>
        </r>
      </text>
    </comment>
    <comment ref="K721" authorId="0" shapeId="0" xr:uid="{217491D7-9A50-CA4A-9423-7C86CC1C2188}">
      <text>
        <r>
          <rPr>
            <sz val="14"/>
            <color rgb="FF000000"/>
            <rFont val="Calibri"/>
            <family val="34"/>
          </rPr>
          <t xml:space="preserve">Ohne  (1802-1806)
</t>
        </r>
        <r>
          <rPr>
            <sz val="14"/>
            <color rgb="FF000000"/>
            <rFont val="Calibri"/>
            <family val="34"/>
          </rPr>
          <t>Bader (1806-1809)</t>
        </r>
      </text>
    </comment>
    <comment ref="T721" authorId="0" shapeId="0" xr:uid="{D75B4450-0ED3-1445-8ABB-A9F3896953DF}">
      <text>
        <r>
          <rPr>
            <sz val="14"/>
            <color rgb="FF000000"/>
            <rFont val="Calibri"/>
            <family val="34"/>
          </rPr>
          <t xml:space="preserve">5.2 []163.3] (1802-1805)
</t>
        </r>
        <r>
          <rPr>
            <sz val="14"/>
            <color rgb="FF000000"/>
            <rFont val="Calibri"/>
            <family val="34"/>
          </rPr>
          <t>5.2.1 [163.5] (1806-1809)</t>
        </r>
      </text>
    </comment>
    <comment ref="BF721" authorId="0" shapeId="0" xr:uid="{93D81385-76F6-BD42-9680-EC2A59127D47}">
      <text>
        <r>
          <rPr>
            <sz val="14"/>
            <color rgb="FFFF0000"/>
            <rFont val="Times New Roman"/>
            <family val="18"/>
          </rPr>
          <t xml:space="preserve">18/05/1800 </t>
        </r>
        <r>
          <rPr>
            <i/>
            <sz val="14"/>
            <color rgb="FFFF0000"/>
            <rFont val="Times New Roman"/>
            <family val="18"/>
          </rPr>
          <t>Als galizische landständische Recrout a 3Fl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23/06/1800 </t>
        </r>
        <r>
          <rPr>
            <i/>
            <sz val="14"/>
            <color rgb="FF000000"/>
            <rFont val="Times New Roman"/>
            <family val="18"/>
          </rPr>
          <t>von Domenien ausgehoben und a 3Fl Handgeld zum Tarnopol assentiert und seitdem auf anhero Marsch mit Friedensgebühr</t>
        </r>
        <r>
          <rPr>
            <sz val="14"/>
            <color rgb="FF000000"/>
            <rFont val="Times New Roman"/>
            <family val="18"/>
          </rPr>
          <t xml:space="preserve"> [ST June 1800]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
</t>
        </r>
        <r>
          <rPr>
            <sz val="14"/>
            <color rgb="FF000000"/>
            <rFont val="Times New Roman"/>
            <family val="18"/>
          </rPr>
          <t xml:space="preserve">01/11/1800 [seit] </t>
        </r>
        <r>
          <rPr>
            <i/>
            <sz val="14"/>
            <color rgb="FF000000"/>
            <rFont val="Times New Roman"/>
            <family val="18"/>
          </rPr>
          <t>Auf Marsch zum Regiment [</t>
        </r>
        <r>
          <rPr>
            <sz val="14"/>
            <color rgb="FF000000"/>
            <rFont val="Times New Roman"/>
            <family val="18"/>
          </rPr>
          <t xml:space="preserve">ST Nov 1800]
</t>
        </r>
        <r>
          <rPr>
            <sz val="14"/>
            <color rgb="FF000000"/>
            <rFont val="Times New Roman"/>
            <family val="18"/>
          </rPr>
          <t xml:space="preserve">21/12/1800 </t>
        </r>
        <r>
          <rPr>
            <i/>
            <sz val="14"/>
            <color rgb="FF000000"/>
            <rFont val="Times New Roman"/>
            <family val="18"/>
          </rPr>
          <t>von Reserve Division in Haupt Basta Comp transferiert</t>
        </r>
        <r>
          <rPr>
            <sz val="14"/>
            <color rgb="FF000000"/>
            <rFont val="Times New Roman"/>
            <family val="18"/>
          </rPr>
          <t xml:space="preserve"> [ST Dec 1800]
</t>
        </r>
        <r>
          <rPr>
            <sz val="14"/>
            <color rgb="FF000000"/>
            <rFont val="Times New Roman"/>
            <family val="18"/>
          </rPr>
          <t xml:space="preserve">21/08/1802 Muster: IR 43 Haupt Basta Komp. Nr. 111
</t>
        </r>
        <r>
          <rPr>
            <sz val="14"/>
            <color rgb="FF000000"/>
            <rFont val="Times New Roman"/>
            <family val="18"/>
          </rPr>
          <t xml:space="preserve">03/02/1803 </t>
        </r>
        <r>
          <rPr>
            <i/>
            <sz val="14"/>
            <color rgb="FF000000"/>
            <rFont val="Times New Roman"/>
            <family val="18"/>
          </rPr>
          <t>Auf Marsch mit bestimmtem Urlaub ins Galizien</t>
        </r>
        <r>
          <rPr>
            <sz val="14"/>
            <color rgb="FF000000"/>
            <rFont val="Times New Roman"/>
            <family val="18"/>
          </rPr>
          <t xml:space="preserve"> [ST Feb 1803]
</t>
        </r>
        <r>
          <rPr>
            <sz val="14"/>
            <color rgb="FF000000"/>
            <rFont val="Times New Roman"/>
            <family val="18"/>
          </rPr>
          <t xml:space="preserve">01/06/1803 </t>
        </r>
        <r>
          <rPr>
            <i/>
            <sz val="14"/>
            <color rgb="FF000000"/>
            <rFont val="Times New Roman"/>
            <family val="18"/>
          </rPr>
          <t>In Galizien eingerückt und auf unbestimmten Urlaub übersetzt</t>
        </r>
        <r>
          <rPr>
            <sz val="14"/>
            <color rgb="FF000000"/>
            <rFont val="Times New Roman"/>
            <family val="18"/>
          </rPr>
          <t xml:space="preserve"> [ST Juni 1803] 
</t>
        </r>
        <r>
          <rPr>
            <sz val="14"/>
            <color rgb="FF000000"/>
            <rFont val="Times New Roman"/>
            <family val="18"/>
          </rPr>
          <t>08/11/1803 Muster: IR 43 Haupt Ellison Komp. Nr. 98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15/09/1804 Muster: Haupt Lichtenberg Komp. Nr. 88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01/06/1805 </t>
        </r>
        <r>
          <rPr>
            <i/>
            <sz val="14"/>
            <color rgb="FF000000"/>
            <rFont val="Times New Roman"/>
            <family val="18"/>
          </rPr>
          <t xml:space="preserve">Von unbestimmte Urlaub Zurück und seitdem auf Anhero Marsch </t>
        </r>
        <r>
          <rPr>
            <sz val="14"/>
            <color rgb="FF000000"/>
            <rFont val="Times New Roman"/>
            <family val="18"/>
          </rPr>
          <t xml:space="preserve">[ST Sept 1805]
</t>
        </r>
        <r>
          <rPr>
            <sz val="14"/>
            <color rgb="FF000000"/>
            <rFont val="Times New Roman"/>
            <family val="18"/>
          </rPr>
          <t xml:space="preserve">02/09/1805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
</t>
        </r>
        <r>
          <rPr>
            <sz val="14"/>
            <color rgb="FF000000"/>
            <rFont val="Times New Roman"/>
            <family val="18"/>
          </rPr>
          <t>30/09/1805 Muster: IR 43 2. Fus Komp. Nr. 72 [</t>
        </r>
        <r>
          <rPr>
            <i/>
            <sz val="14"/>
            <color rgb="FF000000"/>
            <rFont val="Times New Roman"/>
            <family val="18"/>
          </rPr>
          <t>Beim Depot in Laibach passiert</t>
        </r>
        <r>
          <rPr>
            <sz val="14"/>
            <color rgb="FF000000"/>
            <rFont val="Times New Roman"/>
            <family val="18"/>
          </rPr>
          <t xml:space="preserve">]
</t>
        </r>
        <r>
          <rPr>
            <sz val="14"/>
            <color rgb="FF000000"/>
            <rFont val="Times New Roman"/>
            <family val="18"/>
          </rPr>
          <t xml:space="preserve">19/09/1806 </t>
        </r>
        <r>
          <rPr>
            <i/>
            <sz val="14"/>
            <color rgb="FF000000"/>
            <rFont val="Times New Roman"/>
            <family val="18"/>
          </rPr>
          <t>Ist zu Frist bey den Laubenfest den Juden und wird dessen Transferireungslista nachgetragend warden</t>
        </r>
        <r>
          <rPr>
            <sz val="14"/>
            <color rgb="FF000000"/>
            <rFont val="Times New Roman"/>
            <family val="18"/>
          </rPr>
          <t xml:space="preserve"> [TL Sept 1806]
</t>
        </r>
        <r>
          <rPr>
            <sz val="14"/>
            <color rgb="FF000000"/>
            <rFont val="Times New Roman"/>
            <family val="18"/>
          </rPr>
          <t xml:space="preserve">17/10/1806 </t>
        </r>
        <r>
          <rPr>
            <i/>
            <sz val="14"/>
            <color rgb="FF000000"/>
            <rFont val="Times New Roman"/>
            <family val="18"/>
          </rPr>
          <t>2. TL nach Pettau vorbereitet</t>
        </r>
        <r>
          <rPr>
            <sz val="14"/>
            <color rgb="FF000000"/>
            <rFont val="Times New Roman"/>
            <family val="18"/>
          </rPr>
          <t xml:space="preserve"> [TL Okt 1806]</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Von IR 43 2. Fus. Komp. als Reale Invalide zur Versorgung ins Pettauer Invaliden Haus transferiert und zum 2. Chambre eingeteilt</t>
        </r>
        <r>
          <rPr>
            <sz val="14"/>
            <color rgb="FF000000"/>
            <rFont val="Times New Roman"/>
            <family val="18"/>
          </rPr>
          <t xml:space="preserve"> [ML 1806 &amp; TL Okt 1806]
</t>
        </r>
        <r>
          <rPr>
            <sz val="14"/>
            <color rgb="FF000000"/>
            <rFont val="Times New Roman"/>
            <family val="18"/>
          </rPr>
          <t>05/02/1807 Muster: InvH Pettau 2. Chambre [</t>
        </r>
        <r>
          <rPr>
            <i/>
            <sz val="14"/>
            <color rgb="FF000000"/>
            <rFont val="Times New Roman"/>
            <family val="18"/>
          </rPr>
          <t>Beurlaubt zu Mogribin in Gallizien auf 3 Monat</t>
        </r>
        <r>
          <rPr>
            <sz val="14"/>
            <color rgb="FF000000"/>
            <rFont val="Times New Roman"/>
            <family val="18"/>
          </rPr>
          <t xml:space="preserve">] 
</t>
        </r>
        <r>
          <rPr>
            <sz val="14"/>
            <color rgb="FF000000"/>
            <rFont val="Times New Roman"/>
            <family val="18"/>
          </rPr>
          <t>17/12/1808 Muster: InvH Pettau 2. Chambre [</t>
        </r>
        <r>
          <rPr>
            <i/>
            <sz val="14"/>
            <color rgb="FF000000"/>
            <rFont val="Times New Roman"/>
            <family val="18"/>
          </rPr>
          <t>Beurlaubt zu Mogribin in Gallizien auf 3 Monat</t>
        </r>
        <r>
          <rPr>
            <sz val="14"/>
            <color rgb="FF000000"/>
            <rFont val="Times New Roman"/>
            <family val="18"/>
          </rPr>
          <t xml:space="preserve">]
</t>
        </r>
        <r>
          <rPr>
            <sz val="14"/>
            <color rgb="FF000000"/>
            <rFont val="Times New Roman"/>
            <family val="18"/>
          </rPr>
          <t xml:space="preserve">31/01/1809 </t>
        </r>
        <r>
          <rPr>
            <i/>
            <sz val="14"/>
            <color rgb="FF000000"/>
            <rFont val="Times New Roman"/>
            <family val="18"/>
          </rPr>
          <t xml:space="preserve">Als Emansor in Abgang </t>
        </r>
        <r>
          <rPr>
            <sz val="14"/>
            <color rgb="FF000000"/>
            <rFont val="Times New Roman"/>
            <family val="18"/>
          </rPr>
          <t>[ML 1810]</t>
        </r>
      </text>
    </comment>
    <comment ref="BG721" authorId="0" shapeId="0" xr:uid="{541D6B6D-7E0D-2641-8414-AB7C8BAD4BCD}">
      <text>
        <r>
          <rPr>
            <sz val="14"/>
            <color rgb="FF000000"/>
            <rFont val="Times New Roman"/>
            <family val="18"/>
          </rPr>
          <t>ML 10.272 IR 43 (1802) – Haupt Basta Komp. Nr. 111 (Risano 21/08/1802)</t>
        </r>
        <r>
          <rPr>
            <sz val="14"/>
            <color rgb="FF000000"/>
            <rFont val="Calibri"/>
            <family val="34"/>
          </rPr>
          <t xml:space="preserve">
</t>
        </r>
        <r>
          <rPr>
            <sz val="14"/>
            <color rgb="FF000000"/>
            <rFont val="Times New Roman"/>
            <family val="18"/>
          </rPr>
          <t>ML 10.273 IR 43 (1803) – Haupt von Niedles Komp. Nr. 98 (Sign 08/11/1803)</t>
        </r>
        <r>
          <rPr>
            <sz val="14"/>
            <color rgb="FF000000"/>
            <rFont val="Calibri"/>
            <family val="34"/>
          </rPr>
          <t xml:space="preserve">
</t>
        </r>
        <r>
          <rPr>
            <sz val="14"/>
            <color rgb="FF000000"/>
            <rFont val="Times New Roman"/>
            <family val="18"/>
          </rPr>
          <t>ML 10.274 IR 43 (1804) – Haupt Lichtenberg Komp. Nr. 88 (Zara 15/09/1804)</t>
        </r>
        <r>
          <rPr>
            <sz val="14"/>
            <color rgb="FF000000"/>
            <rFont val="Calibri"/>
            <family val="34"/>
          </rPr>
          <t xml:space="preserve">
</t>
        </r>
        <r>
          <rPr>
            <sz val="14"/>
            <color rgb="FF000000"/>
            <rFont val="Times New Roman"/>
            <family val="18"/>
          </rPr>
          <t>ML 10.275/6 IR 43 (1805) – 2. Fus Komp. Nr. 73 (Cattaro 30/09/1805)</t>
        </r>
        <r>
          <rPr>
            <sz val="14"/>
            <color rgb="FF000000"/>
            <rFont val="Calibri"/>
            <family val="34"/>
          </rPr>
          <t xml:space="preserve">
</t>
        </r>
        <r>
          <rPr>
            <sz val="14"/>
            <color rgb="FF000000"/>
            <rFont val="Times New Roman"/>
            <family val="18"/>
          </rPr>
          <t>ML 10/277/8 (1806) – 2. Fus Comp. - Abgang (Laibach 01/12/1806)</t>
        </r>
        <r>
          <rPr>
            <sz val="14"/>
            <color rgb="FF000000"/>
            <rFont val="Calibri"/>
            <family val="34"/>
          </rPr>
          <t xml:space="preserve">
</t>
        </r>
        <r>
          <rPr>
            <sz val="14"/>
            <color rgb="FF000000"/>
            <rFont val="Times New Roman"/>
            <family val="18"/>
          </rPr>
          <t>ML 10.318 (1806) – TL IR 43-&gt;InvH Pettau Nr. 1 (Laibach 19/09/1806) &amp;TL IR 43-&gt;InvH Pettau (Laibach 17/10/1806)</t>
        </r>
        <r>
          <rPr>
            <sz val="14"/>
            <color rgb="FF000000"/>
            <rFont val="Calibri"/>
            <family val="34"/>
          </rPr>
          <t xml:space="preserve">
</t>
        </r>
        <r>
          <rPr>
            <sz val="14"/>
            <color rgb="FF000000"/>
            <rFont val="Times New Roman"/>
            <family val="18"/>
          </rPr>
          <t>ML 10.309 IR 43 (1800) – ST Juni (27/08/1803), Sept (31/01/1804), Nov (02/04/1804), Dez (18/08/1804)</t>
        </r>
        <r>
          <rPr>
            <sz val="14"/>
            <color rgb="FF000000"/>
            <rFont val="Calibri"/>
            <family val="34"/>
          </rPr>
          <t xml:space="preserve">
</t>
        </r>
        <r>
          <rPr>
            <sz val="14"/>
            <color rgb="FF000000"/>
            <rFont val="Times New Roman"/>
            <family val="18"/>
          </rPr>
          <t>ML 10.313 IR 43 (1803) – ST Feb (15/03/1803), Juni (15/07/1803)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 xml:space="preserve">ML 10.318 IR 43 (1806) AL/TL – TL IR 43-&gt;InvH Pettau Nr. 1 (Laibach 19/09/1806), TL IR 43-&gt;InvH Pettau Nr. 1 (Laibach 17/10/1806) </t>
        </r>
        <r>
          <rPr>
            <sz val="14"/>
            <color rgb="FF000000"/>
            <rFont val="Calibri"/>
            <family val="34"/>
          </rPr>
          <t xml:space="preserve">
</t>
        </r>
        <r>
          <rPr>
            <sz val="14"/>
            <color rgb="FF000000"/>
            <rFont val="Times New Roman"/>
            <family val="18"/>
          </rPr>
          <t>ML 9864 InvH Pettau (1803-7) – ML 1807 2. Chambre Nr. 110 (Pettau 05/02/1808)</t>
        </r>
        <r>
          <rPr>
            <sz val="14"/>
            <color rgb="FF000000"/>
            <rFont val="Calibri"/>
            <family val="34"/>
          </rPr>
          <t xml:space="preserve">
</t>
        </r>
        <r>
          <rPr>
            <sz val="14"/>
            <color rgb="FF000000"/>
            <rFont val="Times New Roman"/>
            <family val="18"/>
          </rPr>
          <t>ML 9985 InvH Pettau (1808-11) – ML 1808 2. Chambre Nr. 91 (Pettau 17/12/1808); ML 1810 1810 2. Chambre – Abgang (Pettau 15/10/1810)</t>
        </r>
      </text>
    </comment>
    <comment ref="BH721" authorId="0" shapeId="0" xr:uid="{B306A9E7-A0F3-4D4B-83F1-F732B4139988}">
      <text>
        <r>
          <rPr>
            <sz val="14"/>
            <color rgb="FF000000"/>
            <rFont val="Calibri"/>
            <family val="34"/>
          </rPr>
          <t xml:space="preserve">IR 43 (1800-1806)
</t>
        </r>
        <r>
          <rPr>
            <sz val="14"/>
            <color rgb="FF000000"/>
            <rFont val="Calibri"/>
            <family val="34"/>
          </rPr>
          <t>InvH Pettau (1806-1809)</t>
        </r>
      </text>
    </comment>
    <comment ref="BI721" authorId="0" shapeId="0" xr:uid="{65CAFB81-570F-6A47-BB0B-77A46EAAA989}">
      <text>
        <r>
          <rPr>
            <sz val="14"/>
            <color rgb="FF000000"/>
            <rFont val="Calibri"/>
            <family val="34"/>
          </rPr>
          <t>Gut [TL Sept 1806]</t>
        </r>
      </text>
    </comment>
    <comment ref="BJ721" authorId="0" shapeId="0" xr:uid="{D5D998B1-CCBE-B947-ADFC-4CF63EF1F6A3}">
      <text>
        <r>
          <rPr>
            <i/>
            <sz val="14"/>
            <color rgb="FF000000"/>
            <rFont val="Times New Roman"/>
            <family val="18"/>
          </rPr>
          <t xml:space="preserve">Von dem Rechte Hand estrupiert </t>
        </r>
        <r>
          <rPr>
            <sz val="14"/>
            <color rgb="FF000000"/>
            <rFont val="Times New Roman"/>
            <family val="18"/>
          </rPr>
          <t>[TL Sept 1806)</t>
        </r>
      </text>
    </comment>
    <comment ref="O722" authorId="0" shapeId="0" xr:uid="{2684C3F0-A05C-DC44-B17A-A330056FD898}">
      <text>
        <r>
          <rPr>
            <sz val="14"/>
            <color rgb="FF000000"/>
            <rFont val="Times New Roman"/>
            <family val="18"/>
          </rPr>
          <t xml:space="preserve">Abel (1790)
</t>
        </r>
        <r>
          <rPr>
            <sz val="14"/>
            <color rgb="FF000000"/>
            <rFont val="Times New Roman"/>
            <family val="18"/>
          </rPr>
          <t>Isak (1798)</t>
        </r>
      </text>
    </comment>
    <comment ref="P722" authorId="0" shapeId="0" xr:uid="{CD3FF65C-7FDD-BD40-B1DB-9AC030E7125D}">
      <text>
        <r>
          <rPr>
            <sz val="14"/>
            <color rgb="FF000000"/>
            <rFont val="Times New Roman"/>
            <family val="18"/>
          </rPr>
          <t xml:space="preserve">Bella (1792)
</t>
        </r>
        <r>
          <rPr>
            <sz val="14"/>
            <color rgb="FF000000"/>
            <rFont val="Times New Roman"/>
            <family val="18"/>
          </rPr>
          <t>Gaba (1798)</t>
        </r>
      </text>
    </comment>
    <comment ref="BF722" authorId="0" shapeId="0" xr:uid="{733AB1F8-0B82-B240-A942-A2507E36CB55}">
      <text>
        <r>
          <rPr>
            <sz val="14"/>
            <color rgb="FFFF0000"/>
            <rFont val="Times New Roman"/>
            <family val="18"/>
          </rPr>
          <t xml:space="preserve">??/02/1798 </t>
        </r>
        <r>
          <rPr>
            <i/>
            <sz val="14"/>
            <color rgb="FFFF0000"/>
            <rFont val="Times New Roman"/>
            <family val="18"/>
          </rPr>
          <t>Gegen 3Fl auf Beständig assentiert</t>
        </r>
        <r>
          <rPr>
            <sz val="14"/>
            <color rgb="FFFF0000"/>
            <rFont val="Times New Roman"/>
            <family val="18"/>
          </rPr>
          <t xml:space="preserve"> [TL Aug 1802]</t>
        </r>
        <r>
          <rPr>
            <sz val="14"/>
            <color rgb="FF000000"/>
            <rFont val="Times New Roman"/>
            <family val="18"/>
          </rPr>
          <t xml:space="preserve">
</t>
        </r>
        <r>
          <rPr>
            <sz val="14"/>
            <color rgb="FF000000"/>
            <rFont val="Times New Roman"/>
            <family val="18"/>
          </rPr>
          <t xml:space="preserve">23/06/1800 </t>
        </r>
        <r>
          <rPr>
            <i/>
            <sz val="14"/>
            <color rgb="FF000000"/>
            <rFont val="Times New Roman"/>
            <family val="18"/>
          </rPr>
          <t>Von Ständen in Zloczow gestellt und zum IR 43 assentiert, seitdem auf anhero Marsch mit Friedens gebühr</t>
        </r>
        <r>
          <rPr>
            <sz val="14"/>
            <color rgb="FF000000"/>
            <rFont val="Times New Roman"/>
            <family val="18"/>
          </rPr>
          <t xml:space="preserve"> [ST Juni 1800]
</t>
        </r>
        <r>
          <rPr>
            <sz val="14"/>
            <color rgb="FF000000"/>
            <rFont val="Times New Roman"/>
            <family val="18"/>
          </rPr>
          <t xml:space="preserve">31/12/1800 </t>
        </r>
        <r>
          <rPr>
            <i/>
            <sz val="14"/>
            <color rgb="FF000000"/>
            <rFont val="Times New Roman"/>
            <family val="18"/>
          </rPr>
          <t xml:space="preserve">Auf Marsch zum Regiment </t>
        </r>
        <r>
          <rPr>
            <sz val="14"/>
            <color rgb="FF000000"/>
            <rFont val="Times New Roman"/>
            <family val="18"/>
          </rPr>
          <t xml:space="preserve">[ST Dec 1800]
</t>
        </r>
        <r>
          <rPr>
            <sz val="14"/>
            <color rgb="FF000000"/>
            <rFont val="Times New Roman"/>
            <family val="18"/>
          </rPr>
          <t xml:space="preserve">06/02 1801 </t>
        </r>
        <r>
          <rPr>
            <i/>
            <sz val="14"/>
            <color rgb="FF000000"/>
            <rFont val="Times New Roman"/>
            <family val="18"/>
          </rPr>
          <t>Von Reserve Division in Haupt Kopf Compa. transferiert</t>
        </r>
        <r>
          <rPr>
            <sz val="14"/>
            <color rgb="FF000000"/>
            <rFont val="Times New Roman"/>
            <family val="18"/>
          </rPr>
          <t xml:space="preserve"> [ST Feb 1801]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Köpf Komp. zum IR 44 transferiert und zur Haupt Albanico Komp. eingeheilt</t>
        </r>
        <r>
          <rPr>
            <sz val="14"/>
            <color rgb="FF000000"/>
            <rFont val="Times New Roman"/>
            <family val="18"/>
          </rPr>
          <t xml:space="preserve"> [TL Aug 1802]
</t>
        </r>
        <r>
          <rPr>
            <sz val="14"/>
            <color rgb="FF000000"/>
            <rFont val="Times New Roman"/>
            <family val="18"/>
          </rPr>
          <t xml:space="preserve">19/09/1803 Muster: IR 44 Vacant Komp. [Haupt Albanico] Nr. 105
</t>
        </r>
        <r>
          <rPr>
            <sz val="14"/>
            <color rgb="FF000000"/>
            <rFont val="Times New Roman"/>
            <family val="18"/>
          </rPr>
          <t>12/05/1804 Muster: IR 44 Haupt. Liebler Komp. Nr. 102 [</t>
        </r>
        <r>
          <rPr>
            <i/>
            <sz val="14"/>
            <color rgb="FF000000"/>
            <rFont val="Times New Roman"/>
            <family val="18"/>
          </rPr>
          <t>Beurlaubt zu Brody Zlocower Kreis in Ost Galizien bis künftigen Exerzierzeit</t>
        </r>
        <r>
          <rPr>
            <sz val="14"/>
            <color rgb="FF000000"/>
            <rFont val="Times New Roman"/>
            <family val="18"/>
          </rPr>
          <t xml:space="preserve">]
</t>
        </r>
        <r>
          <rPr>
            <sz val="14"/>
            <color rgb="FF000000"/>
            <rFont val="Times New Roman"/>
            <family val="18"/>
          </rPr>
          <t xml:space="preserve">30/09/1806 </t>
        </r>
        <r>
          <rPr>
            <i/>
            <sz val="14"/>
            <color rgb="FF000000"/>
            <rFont val="Times New Roman"/>
            <family val="18"/>
          </rPr>
          <t xml:space="preserve">Als unwissend verloren in Abgang </t>
        </r>
        <r>
          <rPr>
            <sz val="14"/>
            <color rgb="FF000000"/>
            <rFont val="Times New Roman"/>
            <family val="18"/>
          </rPr>
          <t xml:space="preserve">[ML 1806]
</t>
        </r>
      </text>
    </comment>
    <comment ref="BG722" authorId="0" shapeId="0" xr:uid="{7A69496A-255D-A34F-928C-D9F69075A5FD}">
      <text>
        <r>
          <rPr>
            <sz val="14"/>
            <color rgb="FF000000"/>
            <rFont val="Times New Roman"/>
            <family val="18"/>
          </rPr>
          <t>ML 10.309 IR 43 (1800) – ST Juni (27/08/1803),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Vacant [Previousy Haupt Albanico] Komp. Nr. 105 (Venice 19/09/1803)</t>
        </r>
        <r>
          <rPr>
            <sz val="14"/>
            <color rgb="FF000000"/>
            <rFont val="Calibri"/>
            <family val="34"/>
          </rPr>
          <t xml:space="preserve">
</t>
        </r>
        <r>
          <rPr>
            <sz val="14"/>
            <color rgb="FF000000"/>
            <rFont val="Times New Roman"/>
            <family val="18"/>
          </rPr>
          <t>ML 3909 IR 44 (1804) –Haupt Liebler Komp. Nr. 105 (Vicenza 12/05/1804)</t>
        </r>
        <r>
          <rPr>
            <sz val="14"/>
            <color rgb="FF000000"/>
            <rFont val="Calibri"/>
            <family val="34"/>
          </rPr>
          <t xml:space="preserve">
</t>
        </r>
        <r>
          <rPr>
            <sz val="14"/>
            <color rgb="FF000000"/>
            <rFont val="Times New Roman"/>
            <family val="18"/>
          </rPr>
          <t>ML 3946 IR 44 (1802) – AL IR 43-&gt; IR 44 Nr. 49 (Zara 04/08/1802)</t>
        </r>
        <r>
          <rPr>
            <sz val="14"/>
            <color rgb="FF000000"/>
            <rFont val="Calibri"/>
            <family val="34"/>
          </rPr>
          <t xml:space="preserve">
</t>
        </r>
        <r>
          <rPr>
            <sz val="14"/>
            <color rgb="FF000000"/>
            <rFont val="Times New Roman"/>
            <family val="18"/>
          </rPr>
          <t>ML 3910 IR 44 (1806) – Haupt Gilleta Komp. Abgang (Fiume 10/12/1806)</t>
        </r>
        <r>
          <rPr>
            <sz val="14"/>
            <color rgb="FF000000"/>
            <rFont val="Calibri"/>
            <family val="34"/>
          </rPr>
          <t xml:space="preserve">
</t>
        </r>
      </text>
    </comment>
    <comment ref="BH722" authorId="0" shapeId="0" xr:uid="{82A6860B-CACE-AB49-A2B8-96F9A0DAB249}">
      <text>
        <r>
          <rPr>
            <sz val="14"/>
            <color rgb="FF000000"/>
            <rFont val="Calibri"/>
            <family val="34"/>
          </rPr>
          <t xml:space="preserve">IR 43 (1800-1802)
</t>
        </r>
        <r>
          <rPr>
            <sz val="14"/>
            <color rgb="FF000000"/>
            <rFont val="Calibri"/>
            <family val="34"/>
          </rPr>
          <t>IR 44 (1802-1806)</t>
        </r>
      </text>
    </comment>
    <comment ref="BF723" authorId="0" shapeId="0" xr:uid="{E076F0A4-5694-A949-A483-CE281C6A5D30}">
      <text>
        <r>
          <rPr>
            <sz val="14"/>
            <color rgb="FF000000"/>
            <rFont val="Times New Roman"/>
            <family val="18"/>
          </rPr>
          <t xml:space="preserve">26/06/1800 </t>
        </r>
        <r>
          <rPr>
            <i/>
            <sz val="14"/>
            <color rgb="FF000000"/>
            <rFont val="Times New Roman"/>
            <family val="18"/>
          </rPr>
          <t>Auf den Dauer Des Kriegs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21/09/1801 Muster: IR 62 Haupt Wolff Komp. Nr. 145 [</t>
        </r>
        <r>
          <rPr>
            <i/>
            <sz val="14"/>
            <color rgb="FF000000"/>
            <rFont val="Times New Roman"/>
            <family val="18"/>
          </rPr>
          <t>Auf Werbung in Munkats</t>
        </r>
        <r>
          <rPr>
            <sz val="14"/>
            <color rgb="FF000000"/>
            <rFont val="Times New Roman"/>
            <family val="18"/>
          </rPr>
          <t>]</t>
        </r>
        <r>
          <rPr>
            <sz val="14"/>
            <color rgb="FF000000"/>
            <rFont val="Calibri"/>
            <family val="34"/>
          </rPr>
          <t xml:space="preserve">
</t>
        </r>
        <r>
          <rPr>
            <sz val="14"/>
            <color rgb="FF000000"/>
            <rFont val="Times New Roman"/>
            <family val="18"/>
          </rPr>
          <t xml:space="preserve">01/04/1803 </t>
        </r>
        <r>
          <rPr>
            <i/>
            <sz val="14"/>
            <color rgb="FF000000"/>
            <rFont val="Times New Roman"/>
            <family val="18"/>
          </rPr>
          <t>Auf unbestimmte Zeit beurlaubt</t>
        </r>
        <r>
          <rPr>
            <sz val="14"/>
            <color rgb="FF000000"/>
            <rFont val="Times New Roman"/>
            <family val="18"/>
          </rPr>
          <t xml:space="preserve"> [ML 1803]</t>
        </r>
        <r>
          <rPr>
            <sz val="14"/>
            <color rgb="FF000000"/>
            <rFont val="Calibri"/>
            <family val="34"/>
          </rPr>
          <t xml:space="preserve">
</t>
        </r>
        <r>
          <rPr>
            <sz val="14"/>
            <color rgb="FF000000"/>
            <rFont val="Times New Roman"/>
            <family val="18"/>
          </rPr>
          <t>06/08/1803 Muster: IR 62 Haupt Wolff Komp. Nr. 124 [</t>
        </r>
        <r>
          <rPr>
            <i/>
            <sz val="14"/>
            <color rgb="FF000000"/>
            <rFont val="Times New Roman"/>
            <family val="18"/>
          </rPr>
          <t>Auf unbestimmte Zeit Beurlaubt in Borsa, Marmaroser Comitat in Ungarn</t>
        </r>
        <r>
          <rPr>
            <sz val="14"/>
            <color rgb="FF000000"/>
            <rFont val="Times New Roman"/>
            <family val="18"/>
          </rPr>
          <t>]</t>
        </r>
        <r>
          <rPr>
            <sz val="14"/>
            <color rgb="FF000000"/>
            <rFont val="Calibri"/>
            <family val="34"/>
          </rPr>
          <t xml:space="preserve">
</t>
        </r>
        <r>
          <rPr>
            <sz val="14"/>
            <color rgb="FF000000"/>
            <rFont val="Times New Roman"/>
            <family val="18"/>
          </rPr>
          <t>10/09/1804 Muster: IR 62 Haupt Wolff Komp. Nr. 100 [</t>
        </r>
        <r>
          <rPr>
            <i/>
            <sz val="14"/>
            <color rgb="FF000000"/>
            <rFont val="Times New Roman"/>
            <family val="18"/>
          </rPr>
          <t>Unbestimmt Beurlaubt in Borsa, Marmaroser Comitat in Ungarn</t>
        </r>
        <r>
          <rPr>
            <sz val="14"/>
            <color rgb="FF000000"/>
            <rFont val="Times New Roman"/>
            <family val="18"/>
          </rPr>
          <t>]</t>
        </r>
        <r>
          <rPr>
            <sz val="14"/>
            <color rgb="FF000000"/>
            <rFont val="Calibri"/>
            <family val="34"/>
          </rPr>
          <t xml:space="preserve">
</t>
        </r>
      </text>
    </comment>
    <comment ref="BG723" authorId="0" shapeId="0" xr:uid="{2FD82B81-A3AF-0B43-BA8C-F1F628B86F18}">
      <text>
        <r>
          <rPr>
            <sz val="14"/>
            <color rgb="FF000000"/>
            <rFont val="Times New Roman"/>
            <family val="18"/>
          </rPr>
          <t>ML 5205 IR 62 (1802) – Haupt Wolff Komp. Nr. 145 (Staszow 21/09/1802)</t>
        </r>
        <r>
          <rPr>
            <sz val="14"/>
            <color rgb="FF000000"/>
            <rFont val="Calibri"/>
            <family val="34"/>
          </rPr>
          <t xml:space="preserve">
</t>
        </r>
        <r>
          <rPr>
            <sz val="14"/>
            <color rgb="FF000000"/>
            <rFont val="Times New Roman"/>
            <family val="18"/>
          </rPr>
          <t>ML 5206 IR 62 (1803) – Haupt Wolff Komp. Nr. 124 (Pinczow 06/08/1803)</t>
        </r>
        <r>
          <rPr>
            <sz val="14"/>
            <color rgb="FF000000"/>
            <rFont val="Calibri"/>
            <family val="34"/>
          </rPr>
          <t xml:space="preserve">
</t>
        </r>
        <r>
          <rPr>
            <sz val="14"/>
            <color rgb="FF000000"/>
            <rFont val="Times New Roman"/>
            <family val="18"/>
          </rPr>
          <t>ML 5207 IR 62 (1804) – Haupt Wolff Komp. Nr. 100 (Staszow 10/09/1804)</t>
        </r>
        <r>
          <rPr>
            <sz val="14"/>
            <color rgb="FF000000"/>
            <rFont val="Calibri"/>
            <family val="34"/>
          </rPr>
          <t xml:space="preserve">
</t>
        </r>
      </text>
    </comment>
    <comment ref="BH723" authorId="0" shapeId="0" xr:uid="{DDE10DFF-139B-FE4D-A67D-02CDA5CAA0EC}">
      <text>
        <r>
          <rPr>
            <sz val="14"/>
            <color rgb="FF000000"/>
            <rFont val="Calibri"/>
            <family val="34"/>
          </rPr>
          <t>IR 43 (1800-1804)</t>
        </r>
      </text>
    </comment>
    <comment ref="BF724" authorId="0" shapeId="0" xr:uid="{51A87F6E-79E3-884A-A70B-6221095CD99E}">
      <text>
        <r>
          <rPr>
            <sz val="14"/>
            <color rgb="FF000000"/>
            <rFont val="Times New Roman"/>
            <family val="18"/>
          </rPr>
          <t xml:space="preserve">14/07/1800 </t>
        </r>
        <r>
          <rPr>
            <i/>
            <sz val="14"/>
            <color rgb="FF000000"/>
            <rFont val="Times New Roman"/>
            <family val="18"/>
          </rPr>
          <t>Zu Lemberg statt dem mit Laufpaß entlassenen Leib RIFEZES a 3Fl gestellt mit Friedensgebühr</t>
        </r>
        <r>
          <rPr>
            <sz val="14"/>
            <color rgb="FF000000"/>
            <rFont val="Times New Roman"/>
            <family val="18"/>
          </rPr>
          <t xml:space="preserve"> [ST July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724" authorId="0" shapeId="0" xr:uid="{728D4846-1C1C-0549-AE13-0F2E24B025D5}">
      <text>
        <r>
          <rPr>
            <sz val="14"/>
            <color rgb="FF000000"/>
            <rFont val="Times New Roman"/>
            <family val="18"/>
          </rPr>
          <t>ML 10.309 IR 43 (1800) – ST Juli (24/10/1803)</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724" authorId="0" shapeId="0" xr:uid="{0B842FF3-C151-CC4F-AC6C-58E47440F55D}">
      <text>
        <r>
          <rPr>
            <sz val="14"/>
            <color rgb="FF000000"/>
            <rFont val="Calibri"/>
            <family val="34"/>
          </rPr>
          <t>IR 43 (1800-1801)</t>
        </r>
      </text>
    </comment>
    <comment ref="BF725" authorId="0" shapeId="0" xr:uid="{B898A4F3-E7D1-CF46-985E-B31AFC76FC2B}">
      <text>
        <r>
          <rPr>
            <sz val="14"/>
            <color rgb="FF000000"/>
            <rFont val="Times New Roman"/>
            <family val="18"/>
          </rPr>
          <t xml:space="preserve">14/07/1800 </t>
        </r>
        <r>
          <rPr>
            <i/>
            <sz val="14"/>
            <color rgb="FF000000"/>
            <rFont val="Times New Roman"/>
            <family val="18"/>
          </rPr>
          <t>Als landständischer Recrout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01/04/1802 Beurlabt in seinem Geburtsort [ML 1806]</t>
        </r>
        <r>
          <rPr>
            <sz val="14"/>
            <color rgb="FF000000"/>
            <rFont val="Calibri"/>
            <family val="34"/>
          </rPr>
          <t xml:space="preserve">
</t>
        </r>
        <r>
          <rPr>
            <sz val="14"/>
            <color rgb="FF000000"/>
            <rFont val="Times New Roman"/>
            <family val="18"/>
          </rPr>
          <t>29/08/1803 Muster: IR 59 Haupt Straka Komp. Nr. 56 [</t>
        </r>
        <r>
          <rPr>
            <i/>
            <sz val="14"/>
            <color rgb="FF000000"/>
            <rFont val="Times New Roman"/>
            <family val="18"/>
          </rPr>
          <t>Beurlaubt bis zur Exercoerzeit in seinem Geburtort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Straka Komp. Nr. 49 [</t>
        </r>
        <r>
          <rPr>
            <i/>
            <sz val="14"/>
            <color rgb="FF000000"/>
            <rFont val="Times New Roman"/>
            <family val="18"/>
          </rPr>
          <t>Beurlaubt bis zur Einberufung in seinem Geburtort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725" authorId="0" shapeId="0" xr:uid="{88E7F4CE-584F-844B-97C0-4822844329BA}">
      <text>
        <r>
          <rPr>
            <sz val="14"/>
            <color rgb="FF000000"/>
            <rFont val="Times New Roman"/>
            <family val="18"/>
          </rPr>
          <t>ML 5015 IR 59 (1803) – Haupt Strack Nr. 56 (Enns 29/08/1803)</t>
        </r>
        <r>
          <rPr>
            <sz val="14"/>
            <color rgb="FF000000"/>
            <rFont val="Calibri"/>
            <family val="34"/>
          </rPr>
          <t xml:space="preserve">
</t>
        </r>
        <r>
          <rPr>
            <sz val="14"/>
            <color rgb="FF000000"/>
            <rFont val="Times New Roman"/>
            <family val="18"/>
          </rPr>
          <t>ML 5016 IR 59 (1804) – Haupt Stracka Nr. 49 (Innsbruck 03/09/1804)</t>
        </r>
        <r>
          <rPr>
            <sz val="14"/>
            <color rgb="FF000000"/>
            <rFont val="Calibri"/>
            <family val="34"/>
          </rPr>
          <t xml:space="preserve">
</t>
        </r>
        <r>
          <rPr>
            <sz val="14"/>
            <color rgb="FF000000"/>
            <rFont val="Times New Roman"/>
            <family val="18"/>
          </rPr>
          <t>ML 5017/8 IR 59 (1806) – 10. Fus. Komp. Abgang, Unwissend verlohren‘ Nr. 183 (Linz 10/07/1807)</t>
        </r>
        <r>
          <rPr>
            <sz val="14"/>
            <color rgb="FF000000"/>
            <rFont val="Calibri"/>
            <family val="34"/>
          </rPr>
          <t xml:space="preserve">
</t>
        </r>
      </text>
    </comment>
    <comment ref="BH725" authorId="0" shapeId="0" xr:uid="{1EDCE9D8-D34B-D746-8B9E-24D1F6D35DE8}">
      <text>
        <r>
          <rPr>
            <sz val="14"/>
            <color rgb="FF000000"/>
            <rFont val="Calibri"/>
            <family val="34"/>
          </rPr>
          <t>IR 59 (1800-1806)</t>
        </r>
      </text>
    </comment>
    <comment ref="I726" authorId="0" shapeId="0" xr:uid="{1B50304E-4122-9941-9888-EB824446C905}">
      <text>
        <r>
          <rPr>
            <sz val="14"/>
            <color rgb="FF000000"/>
            <rFont val="Calibri"/>
            <family val="34"/>
          </rPr>
          <t xml:space="preserve">1768 [35 (ML 1803)]
</t>
        </r>
        <r>
          <rPr>
            <sz val="14"/>
            <color rgb="FF000000"/>
            <rFont val="Calibri"/>
            <family val="34"/>
          </rPr>
          <t xml:space="preserve">OR 
</t>
        </r>
        <r>
          <rPr>
            <sz val="14"/>
            <color rgb="FF000000"/>
            <rFont val="Calibri"/>
            <family val="34"/>
          </rPr>
          <t>1757 [48 (SUP 1805)]</t>
        </r>
      </text>
    </comment>
    <comment ref="BF726" authorId="0" shapeId="0" xr:uid="{73D3A3DB-BC90-1B4C-8B77-D6AACEEF67D0}">
      <text>
        <r>
          <rPr>
            <sz val="14"/>
            <color rgb="FF000000"/>
            <rFont val="Times New Roman"/>
            <family val="18"/>
          </rPr>
          <t xml:space="preserve">14/07/1800 </t>
        </r>
        <r>
          <rPr>
            <i/>
            <sz val="14"/>
            <color rgb="FF000000"/>
            <rFont val="Times New Roman"/>
            <family val="18"/>
          </rPr>
          <t>A 3Fl von Gallizischen von Ständen statt dem mit Laufpaß entlassnen Abraham Mortkowitz für Beständig gestellt</t>
        </r>
        <r>
          <rPr>
            <sz val="14"/>
            <color rgb="FF000000"/>
            <rFont val="Times New Roman"/>
            <family val="18"/>
          </rPr>
          <t xml:space="preserve"> [ML 1803]
</t>
        </r>
        <r>
          <rPr>
            <sz val="14"/>
            <color rgb="FF000000"/>
            <rFont val="Times New Roman"/>
            <family val="18"/>
          </rPr>
          <t>29/08/1803 Muster: IR 59 Haupt Starka Nr. 77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03/09/1804 Muster: IR 59 Haupt Starka Nr. 77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t auch k.k. Feldkriegs und Garisons diensten untauglich und zu entlassen</t>
        </r>
        <r>
          <rPr>
            <sz val="14"/>
            <color rgb="FF000000"/>
            <rFont val="Times New Roman"/>
            <family val="18"/>
          </rPr>
          <t xml:space="preserve"> [SUP June 1805]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
</t>
        </r>
      </text>
    </comment>
    <comment ref="BG726" authorId="0" shapeId="0" xr:uid="{5E56F4C9-AE23-484A-A3BD-E5FE20C6D005}">
      <text>
        <r>
          <rPr>
            <sz val="14"/>
            <color rgb="FF000000"/>
            <rFont val="Times New Roman"/>
            <family val="18"/>
          </rPr>
          <t xml:space="preserve">ML 5015 IR 59 (1803) –Haupt Straka Comp. Nr. 77 (Enns, 29/08/1803)
</t>
        </r>
        <r>
          <rPr>
            <sz val="14"/>
            <color rgb="FF000000"/>
            <rFont val="Times New Roman"/>
            <family val="18"/>
          </rPr>
          <t xml:space="preserve">ML 5016 IR 59 (1804) – Haupt Straka Comp. Nr. 37 (Innsbruck 03/09/1804)
</t>
        </r>
        <r>
          <rPr>
            <sz val="14"/>
            <color rgb="FF000000"/>
            <rFont val="Times New Roman"/>
            <family val="18"/>
          </rPr>
          <t xml:space="preserve">ML 5017/8 IR 59 (1806) – 11. Fus. Komp. Abgang (Florian 27/12/1806)
</t>
        </r>
        <r>
          <rPr>
            <sz val="14"/>
            <color rgb="FF000000"/>
            <rFont val="Times New Roman"/>
            <family val="18"/>
          </rPr>
          <t xml:space="preserve">ML 5067 IR 59 (1805) – SUP Nr. 2 (Kraków 14/06/1805)
</t>
        </r>
      </text>
    </comment>
    <comment ref="BH726" authorId="0" shapeId="0" xr:uid="{D0B17743-38D9-CE48-AF31-F5E62C841B88}">
      <text>
        <r>
          <rPr>
            <sz val="14"/>
            <color rgb="FF000000"/>
            <rFont val="Calibri"/>
            <family val="34"/>
          </rPr>
          <t>IR 59 (1800-1805)</t>
        </r>
      </text>
    </comment>
    <comment ref="BJ726" authorId="0" shapeId="0" xr:uid="{B6138B15-3BD3-F443-A5C4-0AA1BB6C340C}">
      <text>
        <r>
          <rPr>
            <i/>
            <sz val="14"/>
            <color rgb="FF000000"/>
            <rFont val="Times New Roman"/>
            <family val="18"/>
          </rPr>
          <t xml:space="preserve">mit einem Starr und entkraftig; Starke Anlage zur schwarzen Swar und gleichsen haltbluid, seiner kranklich entkraftig </t>
        </r>
        <r>
          <rPr>
            <sz val="14"/>
            <color rgb="FF000000"/>
            <rFont val="Times New Roman"/>
            <family val="18"/>
          </rPr>
          <t xml:space="preserve">(SUP June 1805) </t>
        </r>
      </text>
    </comment>
    <comment ref="BF727" authorId="0" shapeId="0" xr:uid="{D6C17D7D-0015-2442-848B-BA3136826C97}">
      <text>
        <r>
          <rPr>
            <sz val="14"/>
            <color rgb="FF000000"/>
            <rFont val="Times New Roman"/>
            <family val="18"/>
          </rPr>
          <t xml:space="preserve">15/07/1800 </t>
        </r>
        <r>
          <rPr>
            <i/>
            <sz val="14"/>
            <color rgb="FF000000"/>
            <rFont val="Times New Roman"/>
            <family val="18"/>
          </rPr>
          <t>von Ständen gestellt und zu Lemberg a 3Fl Handgeld Assentiert und seitdem auf Anhero Marsch mit Friedensgebühr</t>
        </r>
        <r>
          <rPr>
            <sz val="14"/>
            <color rgb="FF000000"/>
            <rFont val="Times New Roman"/>
            <family val="18"/>
          </rPr>
          <t xml:space="preserve"> [ST Aug 1800]
</t>
        </r>
        <r>
          <rPr>
            <sz val="14"/>
            <color rgb="FFFF0000"/>
            <rFont val="Times New Roman"/>
            <family val="18"/>
          </rPr>
          <t xml:space="preserve">05/08/1800 </t>
        </r>
        <r>
          <rPr>
            <i/>
            <sz val="14"/>
            <color rgb="FFFF0000"/>
            <rFont val="Times New Roman"/>
            <family val="18"/>
          </rPr>
          <t>von Ständen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13/10/1800 </t>
        </r>
        <r>
          <rPr>
            <i/>
            <sz val="14"/>
            <color rgb="FF000000"/>
            <rFont val="Times New Roman"/>
            <family val="18"/>
          </rPr>
          <t>In die Reserve Division eingerückt</t>
        </r>
        <r>
          <rPr>
            <sz val="14"/>
            <color rgb="FF000000"/>
            <rFont val="Times New Roman"/>
            <family val="18"/>
          </rPr>
          <t xml:space="preserve"> [ST Oct 1800]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
</t>
        </r>
        <r>
          <rPr>
            <sz val="14"/>
            <color rgb="FF000000"/>
            <rFont val="Times New Roman"/>
            <family val="18"/>
          </rPr>
          <t xml:space="preserve">06/02/1801 </t>
        </r>
        <r>
          <rPr>
            <i/>
            <sz val="14"/>
            <color rgb="FF000000"/>
            <rFont val="Times New Roman"/>
            <family val="18"/>
          </rPr>
          <t>Von Reserve Division in Haupt Oberburg Comp transferiert</t>
        </r>
        <r>
          <rPr>
            <sz val="14"/>
            <color rgb="FF000000"/>
            <rFont val="Times New Roman"/>
            <family val="18"/>
          </rPr>
          <t xml:space="preserve"> [ST Feb 1801]
</t>
        </r>
        <r>
          <rPr>
            <sz val="14"/>
            <color rgb="FF000000"/>
            <rFont val="Times New Roman"/>
            <family val="18"/>
          </rPr>
          <t xml:space="preserve">28/08/1802 Musterung: IR 43 Haupt Frinstlos Comp. Nr. 100
</t>
        </r>
        <r>
          <rPr>
            <sz val="14"/>
            <color rgb="FF000000"/>
            <rFont val="Times New Roman"/>
            <family val="18"/>
          </rPr>
          <t xml:space="preserve">03/02/1803 </t>
        </r>
        <r>
          <rPr>
            <i/>
            <sz val="14"/>
            <color rgb="FF000000"/>
            <rFont val="Times New Roman"/>
            <family val="18"/>
          </rPr>
          <t xml:space="preserve">Auf dem Marsch mit Urlaub ins Galizien </t>
        </r>
        <r>
          <rPr>
            <sz val="14"/>
            <color rgb="FF000000"/>
            <rFont val="Times New Roman"/>
            <family val="18"/>
          </rPr>
          <t xml:space="preserve">[ST Feb 1803]
</t>
        </r>
        <r>
          <rPr>
            <sz val="14"/>
            <color rgb="FF000000"/>
            <rFont val="Times New Roman"/>
            <family val="18"/>
          </rPr>
          <t xml:space="preserve">30/09/1803 </t>
        </r>
        <r>
          <rPr>
            <i/>
            <sz val="14"/>
            <color rgb="FF000000"/>
            <rFont val="Times New Roman"/>
            <family val="18"/>
          </rPr>
          <t>Als bis zur Einberufung Beurlaubt in Galizien eingerückt</t>
        </r>
        <r>
          <rPr>
            <sz val="14"/>
            <color rgb="FF000000"/>
            <rFont val="Times New Roman"/>
            <family val="18"/>
          </rPr>
          <t xml:space="preserve"> [ST Sept 1803]
</t>
        </r>
        <r>
          <rPr>
            <sz val="14"/>
            <color rgb="FF000000"/>
            <rFont val="Times New Roman"/>
            <family val="18"/>
          </rPr>
          <t>02/11/1803 Musterung: IR 43 Haupt Frintlos Comp. Nr. 94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88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23/10/1805 Musterung: IR 43 15. Fus Comp Nr. 76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10. Fus Comp als unwissend verloren in Abgang</t>
        </r>
        <r>
          <rPr>
            <sz val="14"/>
            <color rgb="FF000000"/>
            <rFont val="Times New Roman"/>
            <family val="18"/>
          </rPr>
          <t xml:space="preserve"> [ST Oct 1806 &amp; ML 1806]</t>
        </r>
      </text>
    </comment>
    <comment ref="BG727" authorId="0" shapeId="0" xr:uid="{25060F3B-26A9-C249-80B8-61E7AB7399D1}">
      <text>
        <r>
          <rPr>
            <sz val="14"/>
            <color rgb="FF000000"/>
            <rFont val="Times New Roman"/>
            <family val="18"/>
          </rPr>
          <t xml:space="preserve">ML 10.272 IR 43 (1802) – Heft von Haupt Frintos Hazza Comp. Nr. 100 (Cattaro 28/08/1802)
</t>
        </r>
        <r>
          <rPr>
            <sz val="14"/>
            <color rgb="FF000000"/>
            <rFont val="Times New Roman"/>
            <family val="18"/>
          </rPr>
          <t xml:space="preserve">ML 10.273 IR 43 (1803) – Heft von Haupt Frintos Hazza Comp. Nr. 94 (Cattaro 02/11/1803)
</t>
        </r>
        <r>
          <rPr>
            <sz val="14"/>
            <color rgb="FF000000"/>
            <rFont val="Times New Roman"/>
            <family val="18"/>
          </rPr>
          <t xml:space="preserve">ML 10.274 IR 43 (1804) – Heft von Haupt Frintos Hazza Comp. Nr. 88 (Theodo 05/10/1804)
</t>
        </r>
        <r>
          <rPr>
            <sz val="14"/>
            <color rgb="FF000000"/>
            <rFont val="Times New Roman"/>
            <family val="18"/>
          </rPr>
          <t xml:space="preserve">ML 10.275/6 IR 43 (1805) – Heft von 15. Fus Comp. Nr. 76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10.310 IR 43 (1800) – AL IR 43 Nr. 48 (Lemberg 20/08/1800)
</t>
        </r>
        <r>
          <rPr>
            <sz val="14"/>
            <color rgb="FF000000"/>
            <rFont val="Times New Roman"/>
            <family val="18"/>
          </rPr>
          <t xml:space="preserve">ML 10.309 IR 43 (1800) – ST August (27/12/1803) und Oktober (31/01/1804)
</t>
        </r>
        <r>
          <rPr>
            <sz val="14"/>
            <color rgb="FF000000"/>
            <rFont val="Times New Roman"/>
            <family val="18"/>
          </rPr>
          <t xml:space="preserve">ML 10.311 IR 43 (1801) – ST Feb (28/09/1804)
</t>
        </r>
        <r>
          <rPr>
            <sz val="14"/>
            <color rgb="FF000000"/>
            <rFont val="Times New Roman"/>
            <family val="18"/>
          </rPr>
          <t xml:space="preserve">ML 10.313 IR 43 (1803) – ST Feb (15/03/1803) und Sept (15/10/1803) 
</t>
        </r>
        <r>
          <rPr>
            <sz val="14"/>
            <color rgb="FF000000"/>
            <rFont val="Times New Roman"/>
            <family val="18"/>
          </rPr>
          <t xml:space="preserve">ML 10.317 IR 43 (1806) – ST Oktober (27/11/1806) 
</t>
        </r>
      </text>
    </comment>
    <comment ref="BH727" authorId="0" shapeId="0" xr:uid="{9D69DB1A-D86B-F846-B035-E7482AB8FA66}">
      <text>
        <r>
          <rPr>
            <sz val="14"/>
            <color rgb="FF000000"/>
            <rFont val="Calibri"/>
            <family val="34"/>
          </rPr>
          <t>IR 43 (1800-1806)</t>
        </r>
      </text>
    </comment>
    <comment ref="BF728" authorId="0" shapeId="0" xr:uid="{C5A94A40-BE5C-A747-8915-1E2F15718AE7}">
      <text>
        <r>
          <rPr>
            <sz val="14"/>
            <color rgb="FF000000"/>
            <rFont val="Times New Roman"/>
            <family val="18"/>
          </rPr>
          <t xml:space="preserve">15/07/1800 </t>
        </r>
        <r>
          <rPr>
            <i/>
            <sz val="14"/>
            <color rgb="FF000000"/>
            <rFont val="Times New Roman"/>
            <family val="18"/>
          </rPr>
          <t xml:space="preserve">A 3Fl zu IR 49 ‘Kerpen’ zu Złoczów assentiert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zum IR 59 ‘Jordis’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20/09/1802 Muster: IR 59 Haupt. Spiedel Komp.</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Haupt Spiedel zum Haupt Seitlinger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Komp. Nr. 141 [</t>
        </r>
        <r>
          <rPr>
            <i/>
            <sz val="14"/>
            <color rgb="FF000000"/>
            <rFont val="Times New Roman"/>
            <family val="18"/>
          </rPr>
          <t>Beurlaubt bis zur Einberufung in seinem Geburtsort in Gallizien</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Setlinger Komp. Nr. 129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 </t>
        </r>
        <r>
          <rPr>
            <sz val="14"/>
            <color rgb="FF000000"/>
            <rFont val="Calibri"/>
            <family val="34"/>
          </rPr>
          <t xml:space="preserve">
</t>
        </r>
        <r>
          <rPr>
            <sz val="14"/>
            <color rgb="FF000000"/>
            <rFont val="Times New Roman"/>
            <family val="18"/>
          </rPr>
          <t xml:space="preserve">01/09/1806 </t>
        </r>
        <r>
          <rPr>
            <i/>
            <sz val="14"/>
            <color rgb="FF000000"/>
            <rFont val="Times New Roman"/>
            <family val="18"/>
          </rPr>
          <t>Per Errorem in Abgang</t>
        </r>
        <r>
          <rPr>
            <sz val="14"/>
            <color rgb="FF000000"/>
            <rFont val="Times New Roman"/>
            <family val="18"/>
          </rPr>
          <t xml:space="preserve"> [ML 1808]</t>
        </r>
        <r>
          <rPr>
            <sz val="14"/>
            <color rgb="FF000000"/>
            <rFont val="Calibri"/>
            <family val="34"/>
          </rPr>
          <t xml:space="preserve">
</t>
        </r>
        <r>
          <rPr>
            <i/>
            <sz val="14"/>
            <color rgb="FF000000"/>
            <rFont val="Times New Roman"/>
            <family val="18"/>
          </rPr>
          <t>Unter Unbewussten Datum von Urlaub desertiert</t>
        </r>
        <r>
          <rPr>
            <sz val="14"/>
            <color rgb="FF000000"/>
            <rFont val="Times New Roman"/>
            <family val="18"/>
          </rPr>
          <t xml:space="preserve"> [ML 1808]</t>
        </r>
      </text>
    </comment>
    <comment ref="BG728" authorId="0" shapeId="0" xr:uid="{CC3DCBEB-9F77-DA4E-A1AE-3FD00F4AAC9E}">
      <text>
        <r>
          <rPr>
            <sz val="14"/>
            <color rgb="FF000000"/>
            <rFont val="Times New Roman"/>
            <family val="18"/>
          </rPr>
          <t>ML 5015 IR 59 (1803) –Haupt. Setlinger Komp. Nr. 141 (Enns 29/08/1803)</t>
        </r>
        <r>
          <rPr>
            <sz val="14"/>
            <color rgb="FF000000"/>
            <rFont val="Calibri"/>
            <family val="34"/>
          </rPr>
          <t xml:space="preserve">
</t>
        </r>
        <r>
          <rPr>
            <sz val="14"/>
            <color rgb="FF000000"/>
            <rFont val="Times New Roman"/>
            <family val="18"/>
          </rPr>
          <t>ML 5015 IR 59 (1804) –Haupt. Setlinger Komp. Nr. 129 (Innsbruck 03/09/1804)</t>
        </r>
        <r>
          <rPr>
            <sz val="14"/>
            <color rgb="FF000000"/>
            <rFont val="Calibri"/>
            <family val="34"/>
          </rPr>
          <t xml:space="preserve">
</t>
        </r>
        <r>
          <rPr>
            <sz val="14"/>
            <color rgb="FF000000"/>
            <rFont val="Times New Roman"/>
            <family val="18"/>
          </rPr>
          <t>ML 5017/8 IR 59 (1806) –5. Fus. Komp. Abgang (Linz 20/12/1806), Heft ‚Unwissend verlohren‘ Nr. 99 (Linz 10/07/1807)</t>
        </r>
        <r>
          <rPr>
            <sz val="14"/>
            <color rgb="FF000000"/>
            <rFont val="Calibri"/>
            <family val="34"/>
          </rPr>
          <t xml:space="preserve">
</t>
        </r>
        <r>
          <rPr>
            <sz val="14"/>
            <color rgb="FF000000"/>
            <rFont val="Times New Roman"/>
            <family val="18"/>
          </rPr>
          <t>ML 5019 IR 59 (1808-10) – RL 4. Fus. Komp. Abgang (Enns 05/09/1808)</t>
        </r>
        <r>
          <rPr>
            <sz val="14"/>
            <color rgb="FF000000"/>
            <rFont val="Calibri"/>
            <family val="34"/>
          </rPr>
          <t xml:space="preserve">
</t>
        </r>
        <r>
          <rPr>
            <sz val="14"/>
            <color rgb="FF000000"/>
            <rFont val="Times New Roman"/>
            <family val="18"/>
          </rPr>
          <t>ML 5072 IR 59 (1808) – ST July (Linz 15/08/1808)</t>
        </r>
        <r>
          <rPr>
            <sz val="14"/>
            <color rgb="FF000000"/>
            <rFont val="Calibri"/>
            <family val="34"/>
          </rPr>
          <t xml:space="preserve">
</t>
        </r>
      </text>
    </comment>
    <comment ref="BH728" authorId="0" shapeId="0" xr:uid="{6BE044C4-9005-4F48-8605-D0347B0F6534}">
      <text>
        <r>
          <rPr>
            <sz val="14"/>
            <color rgb="FF000000"/>
            <rFont val="Calibri"/>
            <family val="34"/>
          </rPr>
          <t xml:space="preserve">IR 49 (1800-1802)
</t>
        </r>
        <r>
          <rPr>
            <sz val="14"/>
            <color rgb="FF000000"/>
            <rFont val="Calibri"/>
            <family val="34"/>
          </rPr>
          <t>IR 59 (1802-1806)</t>
        </r>
      </text>
    </comment>
    <comment ref="BF729" authorId="0" shapeId="0" xr:uid="{4249267F-7CFB-2642-B14D-392C89A6446F}">
      <text>
        <r>
          <rPr>
            <sz val="14"/>
            <color rgb="FF000000"/>
            <rFont val="Times New Roman"/>
            <family val="18"/>
          </rPr>
          <t xml:space="preserve">15/07/1800 </t>
        </r>
        <r>
          <rPr>
            <i/>
            <sz val="14"/>
            <color rgb="FF000000"/>
            <rFont val="Times New Roman"/>
            <family val="18"/>
          </rPr>
          <t>von Ständen gestellt und zu Lemberg a 3Fl Handgeld Assentiert</t>
        </r>
        <r>
          <rPr>
            <sz val="14"/>
            <color rgb="FF000000"/>
            <rFont val="Times New Roman"/>
            <family val="18"/>
          </rPr>
          <t xml:space="preserve"> [AL Aug 1800]</t>
        </r>
        <r>
          <rPr>
            <sz val="14"/>
            <color rgb="FF000000"/>
            <rFont val="Calibri"/>
            <family val="34"/>
          </rPr>
          <t xml:space="preserve">
</t>
        </r>
        <r>
          <rPr>
            <sz val="14"/>
            <color rgb="FF000000"/>
            <rFont val="Times New Roman"/>
            <family val="18"/>
          </rPr>
          <t xml:space="preserve">05/12/1800 </t>
        </r>
        <r>
          <rPr>
            <i/>
            <sz val="14"/>
            <color rgb="FF000000"/>
            <rFont val="Times New Roman"/>
            <family val="18"/>
          </rPr>
          <t>In die Reserve Division eingerückt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 xml:space="preserve">Auf den Marsch zum Regiment </t>
        </r>
        <r>
          <rPr>
            <sz val="14"/>
            <color rgb="FF000000"/>
            <rFont val="Times New Roman"/>
            <family val="18"/>
          </rPr>
          <t>[ST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Division in Haupt Kopf Comp.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03/03/1802 </t>
        </r>
        <r>
          <rPr>
            <i/>
            <sz val="14"/>
            <color rgb="FF000000"/>
            <rFont val="Times New Roman"/>
            <family val="18"/>
          </rPr>
          <t>Desertiert</t>
        </r>
        <r>
          <rPr>
            <sz val="14"/>
            <color rgb="FF000000"/>
            <rFont val="Times New Roman"/>
            <family val="18"/>
          </rPr>
          <t xml:space="preserve"> [ST March 1802 &amp; ML 1802] </t>
        </r>
      </text>
    </comment>
    <comment ref="BG729" authorId="0" shapeId="0" xr:uid="{AC8C383C-D691-B242-A5F8-F4B849F609DA}">
      <text>
        <r>
          <rPr>
            <sz val="14"/>
            <color rgb="FF000000"/>
            <rFont val="Times New Roman"/>
            <family val="18"/>
          </rPr>
          <t>ML 10.272 IR 43 (1802) – Haupt Köpf Komp. Abgang (Cattaro 28/08/1802)</t>
        </r>
        <r>
          <rPr>
            <sz val="14"/>
            <color rgb="FF000000"/>
            <rFont val="Calibri"/>
            <family val="34"/>
          </rPr>
          <t xml:space="preserve">
</t>
        </r>
        <r>
          <rPr>
            <sz val="14"/>
            <color rgb="FF000000"/>
            <rFont val="Times New Roman"/>
            <family val="18"/>
          </rPr>
          <t>ML 10.309 IR 43 (1800) – ST Dez (02/04/1804)</t>
        </r>
        <r>
          <rPr>
            <sz val="14"/>
            <color rgb="FF000000"/>
            <rFont val="Calibri"/>
            <family val="34"/>
          </rPr>
          <t xml:space="preserve">
</t>
        </r>
        <r>
          <rPr>
            <sz val="14"/>
            <color rgb="FF000000"/>
            <rFont val="Times New Roman"/>
            <family val="18"/>
          </rPr>
          <t>ML 10.310 IR 43 (1800) – AL Nr. 47 (Lemberg 20/08/1800)</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März (15/04/1802)</t>
        </r>
        <r>
          <rPr>
            <sz val="14"/>
            <color rgb="FF000000"/>
            <rFont val="Calibri"/>
            <family val="34"/>
          </rPr>
          <t xml:space="preserve">
</t>
        </r>
      </text>
    </comment>
    <comment ref="BH729" authorId="0" shapeId="0" xr:uid="{E2068581-94B5-3C45-984B-B16DF5888612}">
      <text>
        <r>
          <rPr>
            <sz val="14"/>
            <color rgb="FF000000"/>
            <rFont val="Calibri"/>
            <family val="34"/>
          </rPr>
          <t>IR 43 (1800-1802)</t>
        </r>
      </text>
    </comment>
    <comment ref="BF730" authorId="0" shapeId="0" xr:uid="{41E773B8-9F21-AA42-BE75-25557DEF8B64}">
      <text>
        <r>
          <rPr>
            <sz val="14"/>
            <color rgb="FF000000"/>
            <rFont val="Times New Roman"/>
            <family val="18"/>
          </rPr>
          <t xml:space="preserve">16/07/1800 </t>
        </r>
        <r>
          <rPr>
            <i/>
            <sz val="14"/>
            <color rgb="FF000000"/>
            <rFont val="Times New Roman"/>
            <family val="18"/>
          </rPr>
          <t>von Ständen gestellt und zu Lemberg a 3Fl Handgeld assentiert und seitdem auf Anhero Marsch mit Friedensgebuhr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28/03/1801 </t>
        </r>
        <r>
          <rPr>
            <i/>
            <sz val="14"/>
            <color rgb="FF000000"/>
            <rFont val="Times New Roman"/>
            <family val="18"/>
          </rPr>
          <t>Desertiert</t>
        </r>
        <r>
          <rPr>
            <sz val="14"/>
            <color rgb="FF000000"/>
            <rFont val="Times New Roman"/>
            <family val="18"/>
          </rPr>
          <t xml:space="preserve"> [ST April 1801]</t>
        </r>
        <r>
          <rPr>
            <sz val="14"/>
            <color rgb="FF000000"/>
            <rFont val="Calibri"/>
            <family val="34"/>
          </rPr>
          <t xml:space="preserve">
</t>
        </r>
      </text>
    </comment>
    <comment ref="BG730" authorId="0" shapeId="0" xr:uid="{C9E902B5-987E-6F4F-B6F1-178F61A1A1AB}">
      <text>
        <r>
          <rPr>
            <sz val="14"/>
            <color rgb="FF000000"/>
            <rFont val="Times New Roman"/>
            <family val="18"/>
          </rPr>
          <t>ML 10.309 IR 43 (1800) – Aug (27/12/1803)</t>
        </r>
        <r>
          <rPr>
            <sz val="14"/>
            <color rgb="FF000000"/>
            <rFont val="Calibri"/>
            <family val="34"/>
          </rPr>
          <t xml:space="preserve">
</t>
        </r>
        <r>
          <rPr>
            <sz val="14"/>
            <color rgb="FF000000"/>
            <rFont val="Times New Roman"/>
            <family val="18"/>
          </rPr>
          <t>ML 10.310 IR 43 (1800) – AL Nr. 49 (Lemberg 20/08/1800)</t>
        </r>
        <r>
          <rPr>
            <sz val="14"/>
            <color rgb="FF000000"/>
            <rFont val="Calibri"/>
            <family val="34"/>
          </rPr>
          <t xml:space="preserve">
</t>
        </r>
        <r>
          <rPr>
            <sz val="14"/>
            <color rgb="FF000000"/>
            <rFont val="Times New Roman"/>
            <family val="18"/>
          </rPr>
          <t>ML 10.311 IR 43 (1801) – April (13/10/1804)</t>
        </r>
        <r>
          <rPr>
            <sz val="14"/>
            <color rgb="FF000000"/>
            <rFont val="Calibri"/>
            <family val="34"/>
          </rPr>
          <t xml:space="preserve">
</t>
        </r>
      </text>
    </comment>
    <comment ref="BH730" authorId="0" shapeId="0" xr:uid="{C3B969B8-FCB3-454B-A274-73161C9A9B8E}">
      <text>
        <r>
          <rPr>
            <sz val="14"/>
            <color rgb="FF000000"/>
            <rFont val="Calibri"/>
            <family val="34"/>
          </rPr>
          <t>IR 43 (1800-1801)</t>
        </r>
      </text>
    </comment>
    <comment ref="BF731" authorId="0" shapeId="0" xr:uid="{0B00FBFC-401F-5C4C-A8A0-E945C7A6152A}">
      <text>
        <r>
          <rPr>
            <sz val="14"/>
            <color rgb="FF000000"/>
            <rFont val="Times New Roman"/>
            <family val="18"/>
          </rPr>
          <t xml:space="preserve">16/07/1800 </t>
        </r>
        <r>
          <rPr>
            <i/>
            <sz val="14"/>
            <color rgb="FF000000"/>
            <rFont val="Times New Roman"/>
            <family val="18"/>
          </rPr>
          <t>von Ständen gestellt und zu Lemberg a 3Fl Handgeld Assentiert und seitdem auf anhero Marsch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731" authorId="0" shapeId="0" xr:uid="{2C1DB69D-6877-564D-8E96-277D57D5F78E}">
      <text>
        <r>
          <rPr>
            <sz val="14"/>
            <color rgb="FF000000"/>
            <rFont val="Times New Roman"/>
            <family val="18"/>
          </rPr>
          <t>ML 10.309 IR 43 (1800) – Aug (27/12/1803)</t>
        </r>
        <r>
          <rPr>
            <sz val="14"/>
            <color rgb="FF000000"/>
            <rFont val="Calibri"/>
            <family val="34"/>
          </rPr>
          <t xml:space="preserve">
</t>
        </r>
        <r>
          <rPr>
            <sz val="14"/>
            <color rgb="FF000000"/>
            <rFont val="Times New Roman"/>
            <family val="18"/>
          </rPr>
          <t>ML 10.310 IR 43 (1800) – AL Nr. 50 (Lemberg 20/08/1800)</t>
        </r>
        <r>
          <rPr>
            <sz val="14"/>
            <color rgb="FF000000"/>
            <rFont val="Calibri"/>
            <family val="34"/>
          </rPr>
          <t xml:space="preserve">
</t>
        </r>
        <r>
          <rPr>
            <sz val="14"/>
            <color rgb="FF000000"/>
            <rFont val="Times New Roman"/>
            <family val="18"/>
          </rPr>
          <t>ML 10.311 IR 43 (1801) – Okt (21/07/1805)</t>
        </r>
      </text>
    </comment>
    <comment ref="BH731" authorId="0" shapeId="0" xr:uid="{5A834829-91D4-B74A-91D3-1791869DF4EC}">
      <text>
        <r>
          <rPr>
            <sz val="14"/>
            <color rgb="FF000000"/>
            <rFont val="Calibri"/>
            <family val="34"/>
          </rPr>
          <t>IR 43 (1800-1801)</t>
        </r>
      </text>
    </comment>
    <comment ref="BF732" authorId="0" shapeId="0" xr:uid="{F600BB96-533E-684E-BC6A-00EB04204F63}">
      <text>
        <r>
          <rPr>
            <sz val="14"/>
            <color rgb="FF000000"/>
            <rFont val="Times New Roman"/>
            <family val="18"/>
          </rPr>
          <t xml:space="preserve">18/07/1800 </t>
        </r>
        <r>
          <rPr>
            <i/>
            <sz val="14"/>
            <color rgb="FF000000"/>
            <rFont val="Times New Roman"/>
            <family val="18"/>
          </rPr>
          <t>Von der Herrschaft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 xml:space="preserve">Von Kerpen Inf Regiment </t>
        </r>
        <r>
          <rPr>
            <sz val="14"/>
            <color rgb="FF000000"/>
            <rFont val="Times New Roman"/>
            <family val="18"/>
          </rPr>
          <t>[</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[IR 23]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149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30/06/1803 </t>
        </r>
        <r>
          <rPr>
            <i/>
            <sz val="14"/>
            <color rgb="FF000000"/>
            <rFont val="Times New Roman"/>
            <family val="18"/>
          </rPr>
          <t>Gegen Renunierung als Reale Invalid mit Abschied entlassen</t>
        </r>
        <r>
          <rPr>
            <sz val="14"/>
            <color rgb="FF000000"/>
            <rFont val="Times New Roman"/>
            <family val="18"/>
          </rPr>
          <t xml:space="preserve"> [ML 1803]</t>
        </r>
        <r>
          <rPr>
            <sz val="14"/>
            <color rgb="FF000000"/>
            <rFont val="Calibri"/>
            <family val="2"/>
          </rPr>
          <t xml:space="preserve"> </t>
        </r>
      </text>
    </comment>
    <comment ref="BG732" authorId="0" shapeId="0" xr:uid="{21146713-EEDB-7948-9EBB-D6E5B2087275}">
      <text>
        <r>
          <rPr>
            <sz val="14"/>
            <color rgb="FF000000"/>
            <rFont val="Times New Roman"/>
            <family val="18"/>
          </rPr>
          <t>ML 10.124 IR 23 (1802) – Haupt Hochegg Komp. Nr. 149 (Krems 09/09/1802)</t>
        </r>
        <r>
          <rPr>
            <sz val="14"/>
            <color rgb="FF000000"/>
            <rFont val="Calibri"/>
            <family val="34"/>
          </rPr>
          <t xml:space="preserve">
</t>
        </r>
        <r>
          <rPr>
            <sz val="14"/>
            <color rgb="FF000000"/>
            <rFont val="Times New Roman"/>
            <family val="18"/>
          </rPr>
          <t>ML 10.125 IR 23 (1803) – Haupt Hochegg Komp Abgang (Execierlager bei St Pölten 07/09/1803)</t>
        </r>
        <r>
          <rPr>
            <sz val="14"/>
            <color rgb="FF000000"/>
            <rFont val="Calibri"/>
            <family val="34"/>
          </rPr>
          <t xml:space="preserve">
</t>
        </r>
      </text>
    </comment>
    <comment ref="BH732" authorId="0" shapeId="0" xr:uid="{F08B5B1B-325F-1249-93CF-15AD76B7C9CF}">
      <text>
        <r>
          <rPr>
            <sz val="14"/>
            <color rgb="FF000000"/>
            <rFont val="Calibri"/>
            <family val="34"/>
          </rPr>
          <t>IR 43 (1800-1803)</t>
        </r>
      </text>
    </comment>
    <comment ref="T733" authorId="0" shapeId="0" xr:uid="{88EF245B-6B07-FB43-AC1E-1C3582490DAF}">
      <text>
        <r>
          <rPr>
            <b/>
            <sz val="14"/>
            <color rgb="FF000000"/>
            <rFont val="Calibri"/>
            <family val="34"/>
          </rPr>
          <t xml:space="preserve">5.4 [168.52 cm (ML 1802)]
</t>
        </r>
        <r>
          <rPr>
            <sz val="14"/>
            <color rgb="FF000000"/>
            <rFont val="Calibri"/>
            <family val="34"/>
          </rPr>
          <t>5.4.1 [168.74 cm (ML 1804]</t>
        </r>
      </text>
    </comment>
    <comment ref="BF733" authorId="0" shapeId="0" xr:uid="{5E22F22B-7107-6041-84AD-C8EE0FFC5BEC}">
      <text>
        <r>
          <rPr>
            <sz val="14"/>
            <color rgb="FF000000"/>
            <rFont val="Times New Roman"/>
            <family val="18"/>
          </rPr>
          <t xml:space="preserve">21/07/1800 </t>
        </r>
        <r>
          <rPr>
            <i/>
            <sz val="14"/>
            <color rgb="FF000000"/>
            <rFont val="Times New Roman"/>
            <family val="18"/>
          </rPr>
          <t>Dient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Sebnitz Komp. Nr. 88</t>
        </r>
        <r>
          <rPr>
            <sz val="14"/>
            <color rgb="FF000000"/>
            <rFont val="Times New Roman"/>
            <family val="18"/>
          </rPr>
          <t xml:space="preserve">
</t>
        </r>
        <r>
          <rPr>
            <sz val="14"/>
            <color rgb="FF000000"/>
            <rFont val="Times New Roman"/>
            <family val="18"/>
          </rPr>
          <t>25/08/1804 Muster: IR 11 Haupt Kraus Komp. Nr. 74</t>
        </r>
        <r>
          <rPr>
            <sz val="14"/>
            <color rgb="FF000000"/>
            <rFont val="Times New Roman"/>
            <family val="18"/>
          </rPr>
          <t xml:space="preserve">
</t>
        </r>
        <r>
          <rPr>
            <sz val="14"/>
            <color rgb="FF000000"/>
            <rFont val="Times New Roman"/>
            <family val="18"/>
          </rPr>
          <t xml:space="preserve">01/08/1805 </t>
        </r>
        <r>
          <rPr>
            <i/>
            <sz val="14"/>
            <color rgb="FF000000"/>
            <rFont val="Times New Roman"/>
            <family val="18"/>
          </rPr>
          <t>Von 2. Fus. Komp. zur 4. Gren.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30/05/1806 </t>
        </r>
        <r>
          <rPr>
            <i/>
            <sz val="14"/>
            <color rgb="FF000000"/>
            <rFont val="Times New Roman"/>
            <family val="18"/>
          </rPr>
          <t>Ranzioniert und zum 1. Gren. Komp. eingeteilt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15/09/1806 </t>
        </r>
        <r>
          <rPr>
            <i/>
            <sz val="14"/>
            <color rgb="FF000000"/>
            <rFont val="Times New Roman"/>
            <family val="18"/>
          </rPr>
          <t>Zu Folge hoher Superarbitreirung als Reale Invalid und Erlaag des Dienst gratiale mit Abschied entlassen</t>
        </r>
        <r>
          <rPr>
            <sz val="14"/>
            <color rgb="FF000000"/>
            <rFont val="Times New Roman"/>
            <family val="18"/>
          </rPr>
          <t xml:space="preserve"> [ML 1806] </t>
        </r>
      </text>
    </comment>
    <comment ref="BG733" authorId="0" shapeId="0" xr:uid="{44ABF75B-489F-6C43-885F-49104B95BD2B}">
      <text>
        <r>
          <rPr>
            <sz val="14"/>
            <color rgb="FF000000"/>
            <rFont val="Times New Roman"/>
            <family val="18"/>
          </rPr>
          <t>ML 804/5 IR 11 (1802) – Haupt Sebnitz Komp. Nr. 88 (Wisotczan 17/09/1802)</t>
        </r>
        <r>
          <rPr>
            <sz val="14"/>
            <color rgb="FF000000"/>
            <rFont val="Times New Roman"/>
            <family val="18"/>
          </rPr>
          <t xml:space="preserve">
</t>
        </r>
        <r>
          <rPr>
            <sz val="14"/>
            <color rgb="FF000000"/>
            <rFont val="Times New Roman"/>
            <family val="18"/>
          </rPr>
          <t>ML 806 IR 11 (1804) – Haupt Kraus Komp. Nr. 74 (Prague 25/08/1804)</t>
        </r>
        <r>
          <rPr>
            <sz val="14"/>
            <color rgb="FF000000"/>
            <rFont val="Times New Roman"/>
            <family val="18"/>
          </rPr>
          <t xml:space="preserve">
</t>
        </r>
        <r>
          <rPr>
            <sz val="14"/>
            <color rgb="FF000000"/>
            <rFont val="Times New Roman"/>
            <family val="18"/>
          </rPr>
          <t>ML 807/8 IR 11 (1806) – 1. Gren. Komp. (Prague 23/12/1806)</t>
        </r>
      </text>
    </comment>
    <comment ref="BH733" authorId="0" shapeId="0" xr:uid="{201C42B0-F138-ED4A-ACE9-377789BFA201}">
      <text>
        <r>
          <rPr>
            <sz val="14"/>
            <color rgb="FF000000"/>
            <rFont val="Calibri"/>
            <family val="34"/>
          </rPr>
          <t>IR 22 (1800-1806)</t>
        </r>
      </text>
    </comment>
    <comment ref="CR733" authorId="0" shapeId="0" xr:uid="{48AB16EB-29E3-7C4A-8B8F-05DE3A779BAB}">
      <text>
        <r>
          <rPr>
            <sz val="14"/>
            <color rgb="FF000000"/>
            <rFont val="Calibri"/>
            <family val="34"/>
          </rPr>
          <t xml:space="preserve">1802: Jüdisch
</t>
        </r>
        <r>
          <rPr>
            <sz val="14"/>
            <color rgb="FF000000"/>
            <rFont val="Calibri"/>
            <family val="34"/>
          </rPr>
          <t xml:space="preserve">1804: 'deto' [Katolisch] </t>
        </r>
      </text>
    </comment>
    <comment ref="BF734" authorId="0" shapeId="0" xr:uid="{4FE166FB-6BB3-524A-AA50-8567083CDF6A}">
      <text>
        <r>
          <rPr>
            <sz val="14"/>
            <color rgb="FF000000"/>
            <rFont val="Times New Roman"/>
            <family val="18"/>
          </rPr>
          <t xml:space="preserve">21/07/1800 </t>
        </r>
        <r>
          <rPr>
            <i/>
            <sz val="14"/>
            <color rgb="FF000000"/>
            <rFont val="Times New Roman"/>
            <family val="18"/>
          </rPr>
          <t>Von Ständen gestellt und zu Lemberg a 3Fl Handgeld assentiert und seitdem of anhero Marsch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15/12/1800 </t>
        </r>
        <r>
          <rPr>
            <i/>
            <sz val="14"/>
            <color rgb="FF000000"/>
            <rFont val="Times New Roman"/>
            <family val="18"/>
          </rPr>
          <t>zu der k.k. italienischer Fuhrwesens Reserve trasnferiert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
</t>
        </r>
      </text>
    </comment>
    <comment ref="BG734" authorId="0" shapeId="0" xr:uid="{45203D6B-0D4B-0A40-AE48-56E54E7D07A2}">
      <text>
        <r>
          <rPr>
            <sz val="14"/>
            <color rgb="FF000000"/>
            <rFont val="Times New Roman"/>
            <family val="18"/>
          </rPr>
          <t>ML 10.309 IR 43 (1800) – Aug (27/12/1803), Dez (18/08/1804)</t>
        </r>
        <r>
          <rPr>
            <sz val="14"/>
            <color rgb="FF000000"/>
            <rFont val="Calibri"/>
            <family val="34"/>
          </rPr>
          <t xml:space="preserve">
</t>
        </r>
        <r>
          <rPr>
            <sz val="14"/>
            <color rgb="FF000000"/>
            <rFont val="Times New Roman"/>
            <family val="18"/>
          </rPr>
          <t>ML 10.310 IR 43 (1800) – AL Nr. 51 (Lemberg 20/08/1800)</t>
        </r>
        <r>
          <rPr>
            <sz val="14"/>
            <color rgb="FF000000"/>
            <rFont val="Calibri"/>
            <family val="34"/>
          </rPr>
          <t xml:space="preserve">
</t>
        </r>
        <r>
          <rPr>
            <sz val="14"/>
            <color rgb="FF000000"/>
            <rFont val="Times New Roman"/>
            <family val="18"/>
          </rPr>
          <t xml:space="preserve">
</t>
        </r>
      </text>
    </comment>
    <comment ref="BH734" authorId="0" shapeId="0" xr:uid="{5BC1991D-7042-E34D-B29C-53200F032014}">
      <text>
        <r>
          <rPr>
            <sz val="14"/>
            <color rgb="FF000000"/>
            <rFont val="Calibri"/>
            <family val="34"/>
          </rPr>
          <t xml:space="preserve">IR 43 (1800)
</t>
        </r>
        <r>
          <rPr>
            <sz val="14"/>
            <color rgb="FF000000"/>
            <rFont val="Calibri"/>
            <family val="34"/>
          </rPr>
          <t>MFWK (1800)</t>
        </r>
      </text>
    </comment>
    <comment ref="T735" authorId="0" shapeId="0" xr:uid="{402C22E2-4998-514F-B0E8-31FB2702449A}">
      <text>
        <r>
          <rPr>
            <sz val="14"/>
            <color rgb="FF000000"/>
            <rFont val="Calibri"/>
            <family val="34"/>
          </rPr>
          <t xml:space="preserve">5.2.3 [163.92 cm(1803)]
</t>
        </r>
        <r>
          <rPr>
            <sz val="14"/>
            <color rgb="FF000000"/>
            <rFont val="Calibri"/>
            <family val="34"/>
          </rPr>
          <t>5.1.3. [161.29 cm (1804)]</t>
        </r>
      </text>
    </comment>
    <comment ref="BF735" authorId="0" shapeId="0" xr:uid="{4E48240B-3E10-D445-BFAA-33664BC9BB34}">
      <text>
        <r>
          <rPr>
            <sz val="14"/>
            <color rgb="FF000000"/>
            <rFont val="Times New Roman"/>
            <family val="18"/>
          </rPr>
          <t xml:space="preserve">24/07/1800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Drohn Komp. Nr. 55</t>
        </r>
        <r>
          <rPr>
            <sz val="14"/>
            <color rgb="FF000000"/>
            <rFont val="Calibri"/>
            <family val="34"/>
          </rPr>
          <t xml:space="preserve">
</t>
        </r>
        <r>
          <rPr>
            <sz val="14"/>
            <color rgb="FF000000"/>
            <rFont val="Times New Roman"/>
            <family val="18"/>
          </rPr>
          <t>05/09/1804 Muster: IR 59 Haupt Drohn Komp. Nr. 51</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NÖ Gen. Comdo Verordnung vom 7. Aug Lit R Nr 3178 als zu Feldkriegsdienst unfähig und gegen Renuncierug aud alle milit. Beneficien mit Abschied entlassen</t>
        </r>
        <r>
          <rPr>
            <sz val="14"/>
            <color rgb="FF000000"/>
            <rFont val="Times New Roman"/>
            <family val="18"/>
          </rPr>
          <t xml:space="preserve"> [ML 1806] </t>
        </r>
        <r>
          <rPr>
            <sz val="14"/>
            <color rgb="FF000000"/>
            <rFont val="Calibri"/>
            <family val="34"/>
          </rPr>
          <t xml:space="preserve">
</t>
        </r>
      </text>
    </comment>
    <comment ref="BG735" authorId="0" shapeId="0" xr:uid="{DD1941E2-290E-AC46-BABE-B7FA462512F1}">
      <text>
        <r>
          <rPr>
            <sz val="14"/>
            <color rgb="FF000000"/>
            <rFont val="Times New Roman"/>
            <family val="18"/>
          </rPr>
          <t>ML 5015 IR 59 (1803) – Haupt. Drohn Komp. Nr. 55 (Wells 30/08/1803)</t>
        </r>
        <r>
          <rPr>
            <sz val="14"/>
            <color rgb="FF000000"/>
            <rFont val="Calibri"/>
            <family val="34"/>
          </rPr>
          <t xml:space="preserve">
</t>
        </r>
        <r>
          <rPr>
            <sz val="14"/>
            <color rgb="FF000000"/>
            <rFont val="Times New Roman"/>
            <family val="18"/>
          </rPr>
          <t>ML 5016 IR 59 (1804) – Haupt. Drohn Komp. Nr. 51 (Wells 05/09/1804)</t>
        </r>
        <r>
          <rPr>
            <sz val="14"/>
            <color rgb="FF000000"/>
            <rFont val="Calibri"/>
            <family val="34"/>
          </rPr>
          <t xml:space="preserve">
</t>
        </r>
        <r>
          <rPr>
            <sz val="14"/>
            <color rgb="FF000000"/>
            <rFont val="Times New Roman"/>
            <family val="18"/>
          </rPr>
          <t>ML 5017/8 IR 59 (1806) – 16. Fus. Komp. Abgang (Freistadt 22/12/1816)</t>
        </r>
      </text>
    </comment>
    <comment ref="BH735" authorId="0" shapeId="0" xr:uid="{4408E925-3E12-D344-AA96-68E54E3626AA}">
      <text>
        <r>
          <rPr>
            <sz val="14"/>
            <color rgb="FF000000"/>
            <rFont val="Calibri"/>
            <family val="34"/>
          </rPr>
          <t>IR 43 (1800-1806)</t>
        </r>
      </text>
    </comment>
    <comment ref="BF736" authorId="0" shapeId="0" xr:uid="{B568D69B-DDAA-5147-B207-C56CBD1405ED}">
      <text>
        <r>
          <rPr>
            <sz val="14"/>
            <color rgb="FF000000"/>
            <rFont val="Times New Roman"/>
            <family val="18"/>
          </rPr>
          <t xml:space="preserve">24/07/1800 </t>
        </r>
        <r>
          <rPr>
            <i/>
            <sz val="14"/>
            <color rgb="FF000000"/>
            <rFont val="Times New Roman"/>
            <family val="18"/>
          </rPr>
          <t>Zu Kerpen Infantrie Regiment Nr. 49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Rauch Nr. 145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Rauch Nr. 118 [</t>
        </r>
        <r>
          <rPr>
            <i/>
            <sz val="14"/>
            <color rgb="FF000000"/>
            <rFont val="Times New Roman"/>
            <family val="18"/>
          </rPr>
          <t>Bestimmt beurlaubt in Polen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Rauch Nr. 105 [</t>
        </r>
        <r>
          <rPr>
            <i/>
            <sz val="14"/>
            <color rgb="FF000000"/>
            <rFont val="Times New Roman"/>
            <family val="18"/>
          </rPr>
          <t>Beurlaubt bis zur Exercierszeit in seinem Geburtsort in Polen</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Haupt Rauch zum Haupt Della Torre Komp.</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t>
        </r>
        <r>
          <rPr>
            <sz val="14"/>
            <color rgb="FF000000"/>
            <rFont val="Calibri"/>
            <family val="2"/>
          </rPr>
          <t xml:space="preserve"> </t>
        </r>
      </text>
    </comment>
    <comment ref="BG736" authorId="0" shapeId="0" xr:uid="{753444D1-8A57-4E4E-99FC-89E7A85DCAA1}">
      <text>
        <r>
          <rPr>
            <sz val="14"/>
            <color rgb="FF000000"/>
            <rFont val="Times New Roman"/>
            <family val="18"/>
          </rPr>
          <t>ML 10.124 IR 23 (1802) – Haupt Rauch Komp. Nr. 145 (Vienna 16/09/1802)</t>
        </r>
        <r>
          <rPr>
            <sz val="14"/>
            <color rgb="FF000000"/>
            <rFont val="Calibri"/>
            <family val="34"/>
          </rPr>
          <t xml:space="preserve">
</t>
        </r>
        <r>
          <rPr>
            <sz val="14"/>
            <color rgb="FF000000"/>
            <rFont val="Times New Roman"/>
            <family val="18"/>
          </rPr>
          <t>ML 10.125 IR 23 (1803) – Haupt Rauch Komp. Nr. 118 (Vienna 16/09/1803)</t>
        </r>
        <r>
          <rPr>
            <sz val="14"/>
            <color rgb="FF000000"/>
            <rFont val="Calibri"/>
            <family val="34"/>
          </rPr>
          <t xml:space="preserve">
</t>
        </r>
        <r>
          <rPr>
            <sz val="14"/>
            <color rgb="FF000000"/>
            <rFont val="Times New Roman"/>
            <family val="18"/>
          </rPr>
          <t>ML 10.126 IR 23 (1804) – Haupt Rauch Komp. Nr. 105 (Krems 06/09/1804)</t>
        </r>
        <r>
          <rPr>
            <sz val="14"/>
            <color rgb="FF000000"/>
            <rFont val="Calibri"/>
            <family val="34"/>
          </rPr>
          <t xml:space="preserve">
</t>
        </r>
        <r>
          <rPr>
            <sz val="14"/>
            <color rgb="FF000000"/>
            <rFont val="Times New Roman"/>
            <family val="18"/>
          </rPr>
          <t>ML 10.127/8 IR 23 (1807) – Haupt Della Torre Komp. Abgang (Korneuburg 24/01/1807)</t>
        </r>
        <r>
          <rPr>
            <sz val="14"/>
            <color rgb="FF000000"/>
            <rFont val="Calibri"/>
            <family val="34"/>
          </rPr>
          <t xml:space="preserve">
</t>
        </r>
        <r>
          <rPr>
            <sz val="14"/>
            <color rgb="FF000000"/>
            <rFont val="Times New Roman"/>
            <family val="18"/>
          </rPr>
          <t>ML 10.175 IR 23 (1806) – ST June (15/05/1807)</t>
        </r>
      </text>
    </comment>
    <comment ref="BH736" authorId="0" shapeId="0" xr:uid="{EE11B7A2-DFE3-5F4F-B1EC-E1E38F0F5CFC}">
      <text>
        <r>
          <rPr>
            <sz val="14"/>
            <color rgb="FF000000"/>
            <rFont val="Calibri"/>
            <family val="34"/>
          </rPr>
          <t xml:space="preserve">IR 49 (1800-1802)
</t>
        </r>
        <r>
          <rPr>
            <sz val="14"/>
            <color rgb="FF000000"/>
            <rFont val="Calibri"/>
            <family val="34"/>
          </rPr>
          <t>IR 23 (1802-1806)</t>
        </r>
      </text>
    </comment>
    <comment ref="BF737" authorId="0" shapeId="0" xr:uid="{81B395CA-3EDA-314A-84A1-3DB373608D4F}">
      <text>
        <r>
          <rPr>
            <sz val="14"/>
            <color rgb="FF000000"/>
            <rFont val="Times New Roman"/>
            <family val="18"/>
          </rPr>
          <t xml:space="preserve">25/07/1800 </t>
        </r>
        <r>
          <rPr>
            <i/>
            <sz val="14"/>
            <color rgb="FF000000"/>
            <rFont val="Times New Roman"/>
            <family val="18"/>
          </rPr>
          <t>Als landständischer Recrout auf Beständing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26/10/1802 Beurlaubt in seinem Geburtsort [ML 1806]</t>
        </r>
        <r>
          <rPr>
            <sz val="14"/>
            <color rgb="FF000000"/>
            <rFont val="Calibri"/>
            <family val="34"/>
          </rPr>
          <t xml:space="preserve">
</t>
        </r>
        <r>
          <rPr>
            <sz val="14"/>
            <color rgb="FF000000"/>
            <rFont val="Times New Roman"/>
            <family val="18"/>
          </rPr>
          <t>30/08/1803 Muster: Haupt Kappaun Komp. Nr. 55 [</t>
        </r>
        <r>
          <rPr>
            <i/>
            <sz val="14"/>
            <color rgb="FF000000"/>
            <rFont val="Times New Roman"/>
            <family val="18"/>
          </rPr>
          <t>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05/09/1804 Muster: Haupt Kappaun Komp. Nr. 52 [</t>
        </r>
        <r>
          <rPr>
            <i/>
            <sz val="14"/>
            <color rgb="FF000000"/>
            <rFont val="Times New Roman"/>
            <family val="18"/>
          </rPr>
          <t xml:space="preserve">Beurlaubt zu Sopial, Schelzer Kreis in W. </t>
        </r>
        <r>
          <rPr>
            <sz val="14"/>
            <color rgb="FF000000"/>
            <rFont val="Calibri"/>
            <family val="34"/>
          </rPr>
          <t xml:space="preserve">
</t>
        </r>
        <r>
          <rPr>
            <i/>
            <sz val="14"/>
            <color rgb="FF000000"/>
            <rFont val="Times New Roman"/>
            <family val="18"/>
          </rPr>
          <t>Gal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t>
        </r>
        <r>
          <rPr>
            <sz val="14"/>
            <color rgb="FF000000"/>
            <rFont val="Calibri"/>
            <family val="34"/>
          </rPr>
          <t xml:space="preserve">
</t>
        </r>
      </text>
    </comment>
    <comment ref="BG737" authorId="0" shapeId="0" xr:uid="{D8477198-C247-F442-9345-50529E3E77F1}">
      <text>
        <r>
          <rPr>
            <sz val="14"/>
            <color rgb="FF000000"/>
            <rFont val="Times New Roman"/>
            <family val="18"/>
          </rPr>
          <t>IR 59 5015 (1804) – Haupt Kappaun Komp. Nr. 55 (Wells 30/08/1804)</t>
        </r>
        <r>
          <rPr>
            <sz val="14"/>
            <color rgb="FF000000"/>
            <rFont val="Calibri"/>
            <family val="34"/>
          </rPr>
          <t xml:space="preserve">
</t>
        </r>
        <r>
          <rPr>
            <sz val="14"/>
            <color rgb="FF000000"/>
            <rFont val="Times New Roman"/>
            <family val="18"/>
          </rPr>
          <t>IR 59 5016 (1804) – Haupt Kappaun Komp. Nr. 52 (Mils bei Hall 05/09/1804)</t>
        </r>
        <r>
          <rPr>
            <sz val="14"/>
            <color rgb="FF000000"/>
            <rFont val="Calibri"/>
            <family val="34"/>
          </rPr>
          <t xml:space="preserve">
</t>
        </r>
        <r>
          <rPr>
            <sz val="14"/>
            <color rgb="FF000000"/>
            <rFont val="Times New Roman"/>
            <family val="18"/>
          </rPr>
          <t>ML 5017/8 IR 59 (1806) – 14. Fus. Komp. Abgang (Freistadt 22/12/1806) &amp; Cons. ‚Unwissend verlohren‘ Nr. 248 (Linz 10/07/1807)</t>
        </r>
      </text>
    </comment>
    <comment ref="BH737" authorId="0" shapeId="0" xr:uid="{ED641697-BA45-0043-806F-58D5A018E541}">
      <text>
        <r>
          <rPr>
            <sz val="14"/>
            <color rgb="FF000000"/>
            <rFont val="Calibri"/>
            <family val="34"/>
          </rPr>
          <t>IR 43 (1800-1806)</t>
        </r>
      </text>
    </comment>
    <comment ref="CR737" authorId="0" shapeId="0" xr:uid="{832AB51D-7F0C-CE4C-81F9-5D8BBCF4FD88}">
      <text>
        <r>
          <rPr>
            <sz val="14"/>
            <color rgb="FF000000"/>
            <rFont val="Calibri"/>
            <family val="34"/>
          </rPr>
          <t xml:space="preserve">1803/4: Katolisch
</t>
        </r>
        <r>
          <rPr>
            <sz val="14"/>
            <color rgb="FF000000"/>
            <rFont val="Calibri"/>
            <family val="34"/>
          </rPr>
          <t>1806: Jüdisch</t>
        </r>
      </text>
    </comment>
    <comment ref="BF738" authorId="0" shapeId="0" xr:uid="{F5554EB7-E415-DF4B-97D8-E9771B96813C}">
      <text>
        <r>
          <rPr>
            <sz val="14"/>
            <color rgb="FF000000"/>
            <rFont val="Times New Roman"/>
            <family val="18"/>
          </rPr>
          <t xml:space="preserve">25/07/1800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30/08/1803 Muster: IR 59 Haupt Drohn Komp. Nr. 106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97 [</t>
        </r>
        <r>
          <rPr>
            <i/>
            <sz val="14"/>
            <color rgb="FF000000"/>
            <rFont val="Times New Roman"/>
            <family val="18"/>
          </rPr>
          <t>Beurlaubt bis Einberufung in seinem Geburtort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text>
    </comment>
    <comment ref="BG738" authorId="0" shapeId="0" xr:uid="{4E585FBD-E93D-9941-9735-00DCB3AE8461}">
      <text>
        <r>
          <rPr>
            <sz val="14"/>
            <color rgb="FF000000"/>
            <rFont val="Times New Roman"/>
            <family val="18"/>
          </rPr>
          <t>ML 5015 IR 59 (1803) – Haupt. Drohn Komp. Nr. 106 (Wells 30/08/1803)</t>
        </r>
        <r>
          <rPr>
            <sz val="14"/>
            <color rgb="FF000000"/>
            <rFont val="Calibri"/>
            <family val="34"/>
          </rPr>
          <t xml:space="preserve">
</t>
        </r>
        <r>
          <rPr>
            <sz val="14"/>
            <color rgb="FF000000"/>
            <rFont val="Times New Roman"/>
            <family val="18"/>
          </rPr>
          <t>ML 5016 IR 59 (1804) – Haupt. Drohn Komp. Nr. 97 (Wells 05/09/1804)</t>
        </r>
        <r>
          <rPr>
            <sz val="14"/>
            <color rgb="FF000000"/>
            <rFont val="Calibri"/>
            <family val="34"/>
          </rPr>
          <t xml:space="preserve">
</t>
        </r>
        <r>
          <rPr>
            <sz val="14"/>
            <color rgb="FF000000"/>
            <rFont val="Times New Roman"/>
            <family val="18"/>
          </rPr>
          <t>ML 5017/8 IR 59 (1806) – 16. Fus. Komp. Abgang (Freistadt 22/12/1806), Consc. ‚Unwissend Verloren‘ Nr. 673 (Linz 10/07/1807)</t>
        </r>
        <r>
          <rPr>
            <sz val="14"/>
            <color rgb="FF000000"/>
            <rFont val="Calibri"/>
            <family val="34"/>
          </rPr>
          <t xml:space="preserve">
</t>
        </r>
      </text>
    </comment>
    <comment ref="BH738" authorId="0" shapeId="0" xr:uid="{A325649B-382C-4B41-B6EE-DDFF7611024B}">
      <text>
        <r>
          <rPr>
            <sz val="14"/>
            <color rgb="FF000000"/>
            <rFont val="Calibri"/>
            <family val="34"/>
          </rPr>
          <t>IR 43 (1800-1806)</t>
        </r>
      </text>
    </comment>
    <comment ref="BF739" authorId="0" shapeId="0" xr:uid="{CADB70CC-DA65-5F42-B7FF-355D9F7D0735}">
      <text>
        <r>
          <rPr>
            <sz val="14"/>
            <color rgb="FF000000"/>
            <rFont val="Times New Roman"/>
            <family val="18"/>
          </rPr>
          <t xml:space="preserve">27/07/1800 </t>
        </r>
        <r>
          <rPr>
            <i/>
            <sz val="14"/>
            <color rgb="FF000000"/>
            <rFont val="Times New Roman"/>
            <family val="18"/>
          </rPr>
          <t>Dient seit</t>
        </r>
        <r>
          <rPr>
            <sz val="14"/>
            <color rgb="FF000000"/>
            <rFont val="Times New Roman"/>
            <family val="18"/>
          </rPr>
          <t xml:space="preserve"> [ML 1802]
</t>
        </r>
        <r>
          <rPr>
            <sz val="14"/>
            <color rgb="FF000000"/>
            <rFont val="Times New Roman"/>
            <family val="18"/>
          </rPr>
          <t xml:space="preserve">17/09/1802 Muster: IR 11 Haupt Strauss Komp. Nr. 84
</t>
        </r>
        <r>
          <rPr>
            <sz val="14"/>
            <color rgb="FF000000"/>
            <rFont val="Times New Roman"/>
            <family val="18"/>
          </rPr>
          <t xml:space="preserve">25/08/1804 Muster: IR 11 Haupt Strauss Komp. Nr. 74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
</t>
        </r>
        <r>
          <rPr>
            <sz val="14"/>
            <color rgb="FF000000"/>
            <rFont val="Times New Roman"/>
            <family val="18"/>
          </rPr>
          <t xml:space="preserve">20/07/1806 </t>
        </r>
        <r>
          <rPr>
            <i/>
            <sz val="14"/>
            <color rgb="FF000000"/>
            <rFont val="Times New Roman"/>
            <family val="18"/>
          </rPr>
          <t>Sich selbst ranzioniert</t>
        </r>
        <r>
          <rPr>
            <sz val="14"/>
            <color rgb="FF000000"/>
            <rFont val="Times New Roman"/>
            <family val="18"/>
          </rPr>
          <t xml:space="preserve"> [ML 1806]
</t>
        </r>
        <r>
          <rPr>
            <sz val="14"/>
            <color rgb="FF000000"/>
            <rFont val="Times New Roman"/>
            <family val="18"/>
          </rPr>
          <t xml:space="preserve">10/08/1806 </t>
        </r>
        <r>
          <rPr>
            <i/>
            <sz val="14"/>
            <color rgb="FF000000"/>
            <rFont val="Times New Roman"/>
            <family val="18"/>
          </rPr>
          <t>In Prager Invaliden Haus zur Versorgung</t>
        </r>
        <r>
          <rPr>
            <sz val="14"/>
            <color rgb="FF000000"/>
            <rFont val="Times New Roman"/>
            <family val="18"/>
          </rPr>
          <t xml:space="preserve"> [ML 1806] 
</t>
        </r>
      </text>
    </comment>
    <comment ref="BG739" authorId="0" shapeId="0" xr:uid="{922BCE3A-7BE4-4E48-9544-ED6F8E78AFF9}">
      <text>
        <r>
          <rPr>
            <sz val="14"/>
            <color rgb="FF000000"/>
            <rFont val="Times New Roman"/>
            <family val="18"/>
          </rPr>
          <t>ML 804/5 IR 11 (1802) – Haupt Strauss Komp. Nr. 84 (Wisotczan 17/09/1802)</t>
        </r>
        <r>
          <rPr>
            <sz val="14"/>
            <color rgb="FF000000"/>
            <rFont val="Times New Roman"/>
            <family val="18"/>
          </rPr>
          <t xml:space="preserve">
</t>
        </r>
        <r>
          <rPr>
            <sz val="14"/>
            <color rgb="FF000000"/>
            <rFont val="Times New Roman"/>
            <family val="18"/>
          </rPr>
          <t>ML 806 IR 11 (1804) – Haupt Strauss Komp. Nr. 74 (Prague 25/08/1804)</t>
        </r>
        <r>
          <rPr>
            <sz val="14"/>
            <color rgb="FF000000"/>
            <rFont val="Times New Roman"/>
            <family val="18"/>
          </rPr>
          <t xml:space="preserve">
</t>
        </r>
        <r>
          <rPr>
            <sz val="14"/>
            <color rgb="FF000000"/>
            <rFont val="Times New Roman"/>
            <family val="18"/>
          </rPr>
          <t>ML 807/8 IR 11 (1806) – 5. Fus. Komp. Komp. Abgang (Prague 23/12/1806)</t>
        </r>
        <r>
          <rPr>
            <sz val="14"/>
            <color rgb="FF000000"/>
            <rFont val="Times New Roman"/>
            <family val="18"/>
          </rPr>
          <t xml:space="preserve">
</t>
        </r>
      </text>
    </comment>
    <comment ref="BH739" authorId="0" shapeId="0" xr:uid="{A1EC54DD-A648-7543-B7FD-ABE26B510CD9}">
      <text>
        <r>
          <rPr>
            <sz val="14"/>
            <color rgb="FF000000"/>
            <rFont val="Calibri"/>
            <family val="34"/>
          </rPr>
          <t xml:space="preserve">IR 11 (1800-1806)
</t>
        </r>
        <r>
          <rPr>
            <sz val="14"/>
            <color rgb="FF000000"/>
            <rFont val="Calibri"/>
            <family val="34"/>
          </rPr>
          <t>InvH Prag (1806)</t>
        </r>
      </text>
    </comment>
    <comment ref="BF740" authorId="0" shapeId="0" xr:uid="{1F1900F7-DB2A-1242-8FE7-CCCA5844F58B}">
      <text>
        <r>
          <rPr>
            <sz val="14"/>
            <color rgb="FF000000"/>
            <rFont val="Times New Roman"/>
            <family val="18"/>
          </rPr>
          <t xml:space="preserve">31/07/1800 </t>
        </r>
        <r>
          <rPr>
            <i/>
            <sz val="14"/>
            <color rgb="FF000000"/>
            <rFont val="Times New Roman"/>
            <family val="18"/>
          </rPr>
          <t>A 3Fl Handgled für beständig als landständischer Recrout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Ort und Herrschaft Wengrow in Siedlecer Kreis in Westgalliz</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Eiselberg Komp. Nr. 90 [</t>
        </r>
        <r>
          <rPr>
            <i/>
            <sz val="14"/>
            <color rgb="FF000000"/>
            <rFont val="Times New Roman"/>
            <family val="18"/>
          </rPr>
          <t>Unbestimt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Eiselberg Komp. Nr. 84</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1807]</t>
        </r>
        <r>
          <rPr>
            <sz val="14"/>
            <color rgb="FF000000"/>
            <rFont val="Calibri"/>
            <family val="34"/>
          </rPr>
          <t xml:space="preserve">
</t>
        </r>
      </text>
    </comment>
    <comment ref="BG740" authorId="0" shapeId="0" xr:uid="{4679E3D9-1BAF-0047-AEFC-08202FFB0848}">
      <text>
        <r>
          <rPr>
            <sz val="14"/>
            <color rgb="FF000000"/>
            <rFont val="Times New Roman"/>
            <family val="18"/>
          </rPr>
          <t>ML 5015 IR 59 ‘Jordis’ (1803) – Haupt. Eiselberg Komp. Nr. 90 (Enns 29/08/1803)</t>
        </r>
        <r>
          <rPr>
            <sz val="14"/>
            <color rgb="FF000000"/>
            <rFont val="Calibri"/>
            <family val="34"/>
          </rPr>
          <t xml:space="preserve">
</t>
        </r>
        <r>
          <rPr>
            <sz val="14"/>
            <color rgb="FF000000"/>
            <rFont val="Times New Roman"/>
            <family val="18"/>
          </rPr>
          <t>ML 5015 IR 59 (1804) –Haupt. Eiselberg Komp. Nr. 84 (Innsbruck 03/09/1804)</t>
        </r>
        <r>
          <rPr>
            <sz val="14"/>
            <color rgb="FF000000"/>
            <rFont val="Calibri"/>
            <family val="34"/>
          </rPr>
          <t xml:space="preserve">
</t>
        </r>
        <r>
          <rPr>
            <sz val="14"/>
            <color rgb="FF000000"/>
            <rFont val="Times New Roman"/>
            <family val="18"/>
          </rPr>
          <t>ML 5017/8 IR 59 (1806) – Cons. ‚Unwissend verlohren‘ Nr. 154 (Linz 10/07/1807)</t>
        </r>
        <r>
          <rPr>
            <sz val="14"/>
            <color rgb="FF000000"/>
            <rFont val="Calibri"/>
            <family val="34"/>
          </rPr>
          <t xml:space="preserve">
</t>
        </r>
      </text>
    </comment>
    <comment ref="BH740" authorId="0" shapeId="0" xr:uid="{4E66B461-6E1F-E54E-AFC0-609580B35606}">
      <text>
        <r>
          <rPr>
            <sz val="14"/>
            <color rgb="FF000000"/>
            <rFont val="Calibri"/>
            <family val="34"/>
          </rPr>
          <t>IR 43 (1800-1806)</t>
        </r>
      </text>
    </comment>
    <comment ref="BF741" authorId="0" shapeId="0" xr:uid="{D353967C-7943-894E-9A87-375B7EDBCD05}">
      <text>
        <r>
          <rPr>
            <sz val="14"/>
            <color rgb="FF000000"/>
            <rFont val="Times New Roman"/>
            <family val="18"/>
          </rPr>
          <t xml:space="preserve">06/08/1800 </t>
        </r>
        <r>
          <rPr>
            <i/>
            <sz val="14"/>
            <color rgb="FF000000"/>
            <rFont val="Times New Roman"/>
            <family val="18"/>
          </rPr>
          <t>Zum EH Rudolph Inf.</t>
        </r>
        <r>
          <rPr>
            <sz val="14"/>
            <color rgb="FF000000"/>
            <rFont val="Times New Roman"/>
            <family val="18"/>
          </rPr>
          <t xml:space="preserve"> </t>
        </r>
        <r>
          <rPr>
            <b/>
            <sz val="14"/>
            <color rgb="FF000000"/>
            <rFont val="Times New Roman"/>
            <family val="18"/>
          </rPr>
          <t>[IR 16]</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1810]</t>
        </r>
        <r>
          <rPr>
            <sz val="14"/>
            <color rgb="FF000000"/>
            <rFont val="Calibri"/>
            <family val="34"/>
          </rPr>
          <t xml:space="preserve">
</t>
        </r>
        <r>
          <rPr>
            <sz val="14"/>
            <color rgb="FF000000"/>
            <rFont val="Times New Roman"/>
            <family val="18"/>
          </rPr>
          <t>01/11/1802</t>
        </r>
        <r>
          <rPr>
            <i/>
            <sz val="14"/>
            <color rgb="FF000000"/>
            <rFont val="Times New Roman"/>
            <family val="18"/>
          </rPr>
          <t xml:space="preserve"> Zum Carlstädter GAD Kroatien transferiert </t>
        </r>
        <r>
          <rPr>
            <sz val="14"/>
            <color rgb="FF000000"/>
            <rFont val="Times New Roman"/>
            <family val="18"/>
          </rPr>
          <t>[ML 1810]</t>
        </r>
        <r>
          <rPr>
            <sz val="14"/>
            <color rgb="FF000000"/>
            <rFont val="Calibri"/>
            <family val="34"/>
          </rPr>
          <t xml:space="preserve">
</t>
        </r>
        <r>
          <rPr>
            <sz val="14"/>
            <color rgb="FF000000"/>
            <rFont val="Times New Roman"/>
            <family val="18"/>
          </rPr>
          <t xml:space="preserve">01/03/1810 </t>
        </r>
        <r>
          <rPr>
            <i/>
            <sz val="14"/>
            <color rgb="FF000000"/>
            <rFont val="Times New Roman"/>
            <family val="18"/>
          </rPr>
          <t>Von da anherro</t>
        </r>
        <r>
          <rPr>
            <sz val="14"/>
            <color rgb="FF000000"/>
            <rFont val="Times New Roman"/>
            <family val="18"/>
          </rPr>
          <t xml:space="preserve"> [GAD Slavonia] </t>
        </r>
        <r>
          <rPr>
            <i/>
            <sz val="14"/>
            <color rgb="FF000000"/>
            <rFont val="Times New Roman"/>
            <family val="18"/>
          </rPr>
          <t>transferiert</t>
        </r>
        <r>
          <rPr>
            <sz val="14"/>
            <color rgb="FF000000"/>
            <rFont val="Times New Roman"/>
            <family val="18"/>
          </rPr>
          <t xml:space="preserve"> [ML 1810]</t>
        </r>
        <r>
          <rPr>
            <sz val="14"/>
            <color rgb="FF000000"/>
            <rFont val="Calibri"/>
            <family val="34"/>
          </rPr>
          <t xml:space="preserve">
</t>
        </r>
        <r>
          <rPr>
            <sz val="14"/>
            <color rgb="FF000000"/>
            <rFont val="Times New Roman"/>
            <family val="18"/>
          </rPr>
          <t>18/06/1810 GAD 9 Slavonia Posto Esseg Zeug Personale Nr. 134</t>
        </r>
        <r>
          <rPr>
            <sz val="14"/>
            <color rgb="FF000000"/>
            <rFont val="Calibri"/>
            <family val="34"/>
          </rPr>
          <t xml:space="preserve">
</t>
        </r>
        <r>
          <rPr>
            <sz val="14"/>
            <color rgb="FF000000"/>
            <rFont val="Times New Roman"/>
            <family val="18"/>
          </rPr>
          <t>21/05/1811 GAD 9 Slavonia Posto Esseg Zeug Personale Nr. 91</t>
        </r>
        <r>
          <rPr>
            <sz val="14"/>
            <color rgb="FF000000"/>
            <rFont val="Calibri"/>
            <family val="34"/>
          </rPr>
          <t xml:space="preserve">
</t>
        </r>
        <r>
          <rPr>
            <sz val="14"/>
            <color rgb="FF000000"/>
            <rFont val="Times New Roman"/>
            <family val="18"/>
          </rPr>
          <t xml:space="preserve">15/03/1812 </t>
        </r>
        <r>
          <rPr>
            <i/>
            <sz val="14"/>
            <color rgb="FF000000"/>
            <rFont val="Times New Roman"/>
            <family val="18"/>
          </rPr>
          <t>Zum Lemberger District transferiert</t>
        </r>
        <r>
          <rPr>
            <sz val="14"/>
            <color rgb="FF000000"/>
            <rFont val="Times New Roman"/>
            <family val="18"/>
          </rPr>
          <t xml:space="preserve"> [ML 1812]</t>
        </r>
        <r>
          <rPr>
            <sz val="14"/>
            <color rgb="FF000000"/>
            <rFont val="Calibri"/>
            <family val="34"/>
          </rPr>
          <t xml:space="preserve">
</t>
        </r>
        <r>
          <rPr>
            <sz val="14"/>
            <color rgb="FF000000"/>
            <rFont val="Times New Roman"/>
            <family val="18"/>
          </rPr>
          <t xml:space="preserve">10/05/1817 </t>
        </r>
        <r>
          <rPr>
            <i/>
            <sz val="14"/>
            <color rgb="FF000000"/>
            <rFont val="Times New Roman"/>
            <family val="18"/>
          </rPr>
          <t>Als Westgalizier mit Abschied entlassen</t>
        </r>
        <r>
          <rPr>
            <sz val="14"/>
            <color rgb="FF000000"/>
            <rFont val="Times New Roman"/>
            <family val="18"/>
          </rPr>
          <t xml:space="preserve"> [ML 1817]</t>
        </r>
        <r>
          <rPr>
            <sz val="14"/>
            <color rgb="FF000000"/>
            <rFont val="Calibri"/>
            <family val="34"/>
          </rPr>
          <t xml:space="preserve">
</t>
        </r>
      </text>
    </comment>
    <comment ref="BG741" authorId="0" shapeId="0" xr:uid="{7FA0AAF8-B031-5F49-9A6A-49E971C25247}">
      <text>
        <r>
          <rPr>
            <sz val="14"/>
            <color rgb="FF000000"/>
            <rFont val="Times New Roman"/>
            <family val="18"/>
          </rPr>
          <t>ML 8384 GAD Slavonia (1810-15) – Posto Essegg Zeug Personale Nr. 134 (Peterwardein 18/06/1810); Posto Essegg Zeug Personale Nr. 91 (Peterwardein 21/05/1811); Posto Essegg Zeug Personale Abgang (Peterwardein 19/05/1812)</t>
        </r>
        <r>
          <rPr>
            <sz val="14"/>
            <color rgb="FF000000"/>
            <rFont val="Calibri"/>
            <family val="34"/>
          </rPr>
          <t xml:space="preserve">
</t>
        </r>
        <r>
          <rPr>
            <sz val="14"/>
            <color rgb="FF000000"/>
            <rFont val="Times New Roman"/>
            <family val="18"/>
          </rPr>
          <t>ML 8333 GAD Galizien (1810-17) – Post Lemberg, Zeug Personale Abgang (Lemberg 29/09/1817)</t>
        </r>
        <r>
          <rPr>
            <sz val="14"/>
            <color rgb="FF000000"/>
            <rFont val="Calibri"/>
            <family val="34"/>
          </rPr>
          <t xml:space="preserve">
</t>
        </r>
      </text>
    </comment>
    <comment ref="BH741" authorId="0" shapeId="0" xr:uid="{A307EB3F-B65A-1042-A210-0E1E35086B94}">
      <text>
        <r>
          <rPr>
            <sz val="14"/>
            <color rgb="FF000000"/>
            <rFont val="Calibri"/>
            <family val="34"/>
          </rPr>
          <t xml:space="preserve">IR 16 (1800-1802)
</t>
        </r>
        <r>
          <rPr>
            <sz val="14"/>
            <color rgb="FF000000"/>
            <rFont val="Calibri"/>
            <family val="34"/>
          </rPr>
          <t xml:space="preserve">GAD Kroat (1802-1810)
</t>
        </r>
        <r>
          <rPr>
            <sz val="14"/>
            <color rgb="FF000000"/>
            <rFont val="Calibri"/>
            <family val="34"/>
          </rPr>
          <t xml:space="preserve">GAD Slavon (1810-1812)
</t>
        </r>
        <r>
          <rPr>
            <sz val="14"/>
            <color rgb="FF000000"/>
            <rFont val="Calibri"/>
            <family val="34"/>
          </rPr>
          <t>GAD Galiz (1812-1817)</t>
        </r>
      </text>
    </comment>
    <comment ref="I742" authorId="0" shapeId="0" xr:uid="{53434CBD-3A29-5743-86AD-DED47F00CD93}">
      <text>
        <r>
          <rPr>
            <sz val="14"/>
            <color rgb="FF000000"/>
            <rFont val="Calibri"/>
            <family val="34"/>
          </rPr>
          <t xml:space="preserve">1788 [12 (AL 1800)]
</t>
        </r>
        <r>
          <rPr>
            <sz val="14"/>
            <color rgb="FF000000"/>
            <rFont val="Calibri"/>
            <family val="34"/>
          </rPr>
          <t xml:space="preserve">OR 
</t>
        </r>
        <r>
          <rPr>
            <sz val="14"/>
            <color rgb="FF000000"/>
            <rFont val="Calibri"/>
            <family val="34"/>
          </rPr>
          <t>1787 [15 (ML 1802)]</t>
        </r>
      </text>
    </comment>
    <comment ref="BF742" authorId="0" shapeId="0" xr:uid="{FE465B7C-DD8C-6345-AADB-418C6A359F41}">
      <text>
        <r>
          <rPr>
            <sz val="14"/>
            <color rgb="FF000000"/>
            <rFont val="Times New Roman"/>
            <family val="18"/>
          </rPr>
          <t xml:space="preserve">15/08/1800 </t>
        </r>
        <r>
          <rPr>
            <i/>
            <sz val="14"/>
            <color rgb="FF000000"/>
            <rFont val="Times New Roman"/>
            <family val="18"/>
          </rPr>
          <t xml:space="preserve">In loco Ancona ohne entgeld des k.k. Areray als Spillmann in der Obrist Komp. neu ersetzt </t>
        </r>
        <r>
          <rPr>
            <sz val="14"/>
            <color rgb="FF000000"/>
            <rFont val="Times New Roman"/>
            <family val="18"/>
          </rPr>
          <t>[AL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Rekonvalesziert und ins Verpflegung eingerückt</t>
        </r>
        <r>
          <rPr>
            <sz val="14"/>
            <color rgb="FF000000"/>
            <rFont val="Times New Roman"/>
            <family val="18"/>
          </rPr>
          <t xml:space="preserve"> [ST Aug 1801]</t>
        </r>
        <r>
          <rPr>
            <sz val="14"/>
            <color rgb="FF000000"/>
            <rFont val="Calibri"/>
            <family val="34"/>
          </rPr>
          <t xml:space="preserve">
</t>
        </r>
        <r>
          <rPr>
            <sz val="14"/>
            <color rgb="FF000000"/>
            <rFont val="Times New Roman"/>
            <family val="18"/>
          </rPr>
          <t>11/09/1802 Muster: IR 43 Obrist Komp Nr. 15 [</t>
        </r>
        <r>
          <rPr>
            <i/>
            <sz val="14"/>
            <color rgb="FF000000"/>
            <rFont val="Times New Roman"/>
            <family val="18"/>
          </rPr>
          <t>Real Invalid</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Als Reale Invalid gegen Renuncierung auf alle Militär Beneficien in folge hohe Militar Commando Verordnung det. Zara von 23. Okt 1802 mit Abschied entlassen</t>
        </r>
        <r>
          <rPr>
            <sz val="14"/>
            <color rgb="FF000000"/>
            <rFont val="Times New Roman"/>
            <family val="18"/>
          </rPr>
          <t xml:space="preserve"> [ST Oct 1802 &amp; ML 1803]</t>
        </r>
        <r>
          <rPr>
            <sz val="14"/>
            <color rgb="FF000000"/>
            <rFont val="Calibri"/>
            <family val="34"/>
          </rPr>
          <t xml:space="preserve">
</t>
        </r>
      </text>
    </comment>
    <comment ref="BG742" authorId="0" shapeId="0" xr:uid="{E5E76A93-05AF-DA4D-B3D8-BCE76815253B}">
      <text>
        <r>
          <rPr>
            <sz val="14"/>
            <color rgb="FF000000"/>
            <rFont val="Times New Roman"/>
            <family val="18"/>
          </rPr>
          <t>ML 10.272 IR 43 (1802) – Obrist Comp. Nr. 15 (Zara 11/09/1802)</t>
        </r>
        <r>
          <rPr>
            <sz val="14"/>
            <color rgb="FF000000"/>
            <rFont val="Calibri"/>
            <family val="34"/>
          </rPr>
          <t xml:space="preserve">
</t>
        </r>
        <r>
          <rPr>
            <sz val="14"/>
            <color rgb="FF000000"/>
            <rFont val="Times New Roman"/>
            <family val="18"/>
          </rPr>
          <t>ML 10.273 IR 43 (1803) – Obrist Comp. Abgang (Zara 28/09/1803)</t>
        </r>
        <r>
          <rPr>
            <sz val="14"/>
            <color rgb="FF000000"/>
            <rFont val="Calibri"/>
            <family val="34"/>
          </rPr>
          <t xml:space="preserve">
</t>
        </r>
        <r>
          <rPr>
            <sz val="14"/>
            <color rgb="FF000000"/>
            <rFont val="Times New Roman"/>
            <family val="18"/>
          </rPr>
          <t>ML 10.310 IR 43 (1800) – AL IR 43 Nr. 1 (Ancona 16/08/1800)</t>
        </r>
        <r>
          <rPr>
            <sz val="14"/>
            <color rgb="FF000000"/>
            <rFont val="Calibri"/>
            <family val="34"/>
          </rPr>
          <t xml:space="preserve">
</t>
        </r>
        <r>
          <rPr>
            <sz val="14"/>
            <color rgb="FF000000"/>
            <rFont val="Times New Roman"/>
            <family val="18"/>
          </rPr>
          <t>ML 10.311 IR 43 (1801) – ST Mai (10/03/1805), Aug (13/07/1805)</t>
        </r>
        <r>
          <rPr>
            <sz val="14"/>
            <color rgb="FF000000"/>
            <rFont val="Calibri"/>
            <family val="34"/>
          </rPr>
          <t xml:space="preserve">
</t>
        </r>
        <r>
          <rPr>
            <sz val="14"/>
            <color rgb="FF000000"/>
            <rFont val="Times New Roman"/>
            <family val="18"/>
          </rPr>
          <t>ML 10.312 IR 43 (1802) – ST Oct (15/11/1802)</t>
        </r>
        <r>
          <rPr>
            <sz val="14"/>
            <color rgb="FF000000"/>
            <rFont val="Calibri"/>
            <family val="34"/>
          </rPr>
          <t xml:space="preserve">
</t>
        </r>
      </text>
    </comment>
    <comment ref="BH742" authorId="0" shapeId="0" xr:uid="{BBD38334-B950-5A44-9F85-E87523A82A0B}">
      <text>
        <r>
          <rPr>
            <sz val="14"/>
            <color rgb="FF000000"/>
            <rFont val="Calibri"/>
            <family val="34"/>
          </rPr>
          <t>IR 43 (1800-1802)</t>
        </r>
      </text>
    </comment>
    <comment ref="BF743" authorId="0" shapeId="0" xr:uid="{B64EC7C3-CDA2-E54F-A4AC-95523F09633E}">
      <text>
        <r>
          <rPr>
            <sz val="14"/>
            <color rgb="FF000000"/>
            <rFont val="Times New Roman"/>
            <family val="18"/>
          </rPr>
          <t xml:space="preserve">29/08/1800 </t>
        </r>
        <r>
          <rPr>
            <i/>
            <sz val="14"/>
            <color rgb="FF000000"/>
            <rFont val="Times New Roman"/>
            <family val="18"/>
          </rPr>
          <t>Dienst Seit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16/09/1802 Muster: IR 11 ObristLt. Komp. Nr. 85 [</t>
        </r>
        <r>
          <rPr>
            <i/>
            <sz val="14"/>
            <color rgb="FF000000"/>
            <rFont val="Times New Roman"/>
            <family val="18"/>
          </rPr>
          <t>Auf Kommando zu Kolin</t>
        </r>
        <r>
          <rPr>
            <sz val="14"/>
            <color rgb="FF000000"/>
            <rFont val="Times New Roman"/>
            <family val="18"/>
          </rPr>
          <t>]</t>
        </r>
        <r>
          <rPr>
            <sz val="14"/>
            <color rgb="FF000000"/>
            <rFont val="Times New Roman"/>
            <family val="18"/>
          </rPr>
          <t xml:space="preserve">
</t>
        </r>
        <r>
          <rPr>
            <sz val="14"/>
            <color rgb="FF000000"/>
            <rFont val="Times New Roman"/>
            <family val="18"/>
          </rPr>
          <t>25/08/1804 Muster: IR 11 ObristLt. Komp. Nr. 74 [</t>
        </r>
        <r>
          <rPr>
            <i/>
            <sz val="14"/>
            <color rgb="FF000000"/>
            <rFont val="Times New Roman"/>
            <family val="18"/>
          </rPr>
          <t>Beurlaubt bis zur Einberufung in Geburtsort</t>
        </r>
        <r>
          <rPr>
            <sz val="14"/>
            <color rgb="FF000000"/>
            <rFont val="Times New Roman"/>
            <family val="18"/>
          </rPr>
          <t>]</t>
        </r>
        <r>
          <rPr>
            <sz val="14"/>
            <color rgb="FF000000"/>
            <rFont val="Times New Roman"/>
            <family val="18"/>
          </rPr>
          <t xml:space="preserve">
</t>
        </r>
        <r>
          <rPr>
            <sz val="14"/>
            <color rgb="FF000000"/>
            <rFont val="Times New Roman"/>
            <family val="18"/>
          </rPr>
          <t xml:space="preserve">01/10/1805 </t>
        </r>
        <r>
          <rPr>
            <i/>
            <sz val="14"/>
            <color rgb="FF000000"/>
            <rFont val="Times New Roman"/>
            <family val="18"/>
          </rPr>
          <t xml:space="preserve">Von 9. Fus. Komp. Zur 1. Reserve </t>
        </r>
        <r>
          <rPr>
            <sz val="14"/>
            <color rgb="FF000000"/>
            <rFont val="Times New Roman"/>
            <family val="18"/>
          </rPr>
          <t xml:space="preserve">[18. Komp.] </t>
        </r>
        <r>
          <rPr>
            <i/>
            <sz val="14"/>
            <color rgb="FF000000"/>
            <rFont val="Times New Roman"/>
            <family val="18"/>
          </rPr>
          <t>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01/11/1805 </t>
        </r>
        <r>
          <rPr>
            <i/>
            <sz val="14"/>
            <color rgb="FF000000"/>
            <rFont val="Times New Roman"/>
            <family val="18"/>
          </rPr>
          <t>Zum Gefreyter avanciert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11/11/1805 </t>
        </r>
        <r>
          <rPr>
            <i/>
            <sz val="14"/>
            <color rgb="FF000000"/>
            <rFont val="Times New Roman"/>
            <family val="18"/>
          </rPr>
          <t>Von 18. Fus. Komp zur 17. Fus..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21/11/1805 </t>
        </r>
        <r>
          <rPr>
            <i/>
            <sz val="14"/>
            <color rgb="FF000000"/>
            <rFont val="Times New Roman"/>
            <family val="18"/>
          </rPr>
          <t>Von 17. Fus. zur 12. Fus.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01/04/1806 </t>
        </r>
        <r>
          <rPr>
            <i/>
            <sz val="14"/>
            <color rgb="FF000000"/>
            <rFont val="Times New Roman"/>
            <family val="18"/>
          </rPr>
          <t>Von 16. Zum 15. Fus.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25/06/1806 </t>
        </r>
        <r>
          <rPr>
            <i/>
            <sz val="14"/>
            <color rgb="FF000000"/>
            <rFont val="Times New Roman"/>
            <family val="18"/>
          </rPr>
          <t>In Prager Invalidenhaus zur Versorgung transferiert</t>
        </r>
        <r>
          <rPr>
            <sz val="14"/>
            <color rgb="FF000000"/>
            <rFont val="Times New Roman"/>
            <family val="18"/>
          </rPr>
          <t xml:space="preserve"> [ML 1806] </t>
        </r>
        <r>
          <rPr>
            <sz val="14"/>
            <color rgb="FF000000"/>
            <rFont val="Times New Roman"/>
            <family val="18"/>
          </rPr>
          <t xml:space="preserve">
</t>
        </r>
      </text>
    </comment>
    <comment ref="BG743" authorId="0" shapeId="0" xr:uid="{F5CC7FA5-6D64-EC41-A636-F3F34B9E79BE}">
      <text>
        <r>
          <rPr>
            <sz val="14"/>
            <color rgb="FF000000"/>
            <rFont val="Times New Roman"/>
            <family val="18"/>
          </rPr>
          <t>ML 804/5 IR 11 (1802) – ObristLt. Komp. Nr. 85 (Prag 16/09/1802)</t>
        </r>
        <r>
          <rPr>
            <sz val="14"/>
            <color rgb="FF000000"/>
            <rFont val="Times New Roman"/>
            <family val="18"/>
          </rPr>
          <t xml:space="preserve">
</t>
        </r>
        <r>
          <rPr>
            <sz val="14"/>
            <color rgb="FF000000"/>
            <rFont val="Times New Roman"/>
            <family val="18"/>
          </rPr>
          <t>ML 806 IR 11 (1804) – ObristLt. Komp. Nr. 74 (Prag 25/08/1804)</t>
        </r>
        <r>
          <rPr>
            <sz val="14"/>
            <color rgb="FF000000"/>
            <rFont val="Times New Roman"/>
            <family val="18"/>
          </rPr>
          <t xml:space="preserve">
</t>
        </r>
        <r>
          <rPr>
            <sz val="14"/>
            <color rgb="FF000000"/>
            <rFont val="Times New Roman"/>
            <family val="18"/>
          </rPr>
          <t>ML 807/8 IR 11 (1806) – 15. Fus. Komp. Abgang (Königgrätz 19/12/1806)</t>
        </r>
        <r>
          <rPr>
            <sz val="14"/>
            <color rgb="FF000000"/>
            <rFont val="Times New Roman"/>
            <family val="18"/>
          </rPr>
          <t xml:space="preserve">
</t>
        </r>
      </text>
    </comment>
    <comment ref="BH743" authorId="0" shapeId="0" xr:uid="{A27405B6-563F-A241-BC71-AB7E59460354}">
      <text>
        <r>
          <rPr>
            <sz val="14"/>
            <color rgb="FF000000"/>
            <rFont val="Calibri"/>
            <family val="34"/>
          </rPr>
          <t xml:space="preserve">IR 11 (1800-1806)
</t>
        </r>
        <r>
          <rPr>
            <sz val="14"/>
            <color rgb="FF000000"/>
            <rFont val="Calibri"/>
            <family val="34"/>
          </rPr>
          <t>InvH Prag (1806)</t>
        </r>
      </text>
    </comment>
    <comment ref="BF744" authorId="0" shapeId="0" xr:uid="{0A104473-DC33-3C4A-8B38-B468A873967D}">
      <text>
        <r>
          <rPr>
            <sz val="14"/>
            <color rgb="FF000000"/>
            <rFont val="Times New Roman"/>
            <family val="18"/>
          </rPr>
          <t xml:space="preserve">09/09/1800 </t>
        </r>
        <r>
          <rPr>
            <i/>
            <sz val="14"/>
            <color rgb="FF000000"/>
            <rFont val="Times New Roman"/>
            <family val="18"/>
          </rPr>
          <t>auf Kriegsdauer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Haupt Seyn Comp. Nr. 37 [</t>
        </r>
        <r>
          <rPr>
            <i/>
            <sz val="14"/>
            <color rgb="FF000000"/>
            <rFont val="Times New Roman"/>
            <family val="18"/>
          </rPr>
          <t>Beurlaubt zu Dreynof in West Galizien &amp; Ausgedienter Capitulant</t>
        </r>
        <r>
          <rPr>
            <sz val="14"/>
            <color rgb="FF000000"/>
            <rFont val="Times New Roman"/>
            <family val="18"/>
          </rPr>
          <t>] [ML 1803]</t>
        </r>
        <r>
          <rPr>
            <sz val="14"/>
            <color rgb="FF000000"/>
            <rFont val="Calibri"/>
            <family val="34"/>
          </rPr>
          <t xml:space="preserve">
</t>
        </r>
        <r>
          <rPr>
            <sz val="14"/>
            <color rgb="FF000000"/>
            <rFont val="Times New Roman"/>
            <family val="18"/>
          </rPr>
          <t xml:space="preserve">??/11/1803 </t>
        </r>
        <r>
          <rPr>
            <i/>
            <sz val="14"/>
            <color rgb="FF000000"/>
            <rFont val="Times New Roman"/>
            <family val="18"/>
          </rPr>
          <t xml:space="preserve">Nach Aussegnung des Radzyner Wehrbezirk commando von Urlaub emigriert </t>
        </r>
        <r>
          <rPr>
            <sz val="14"/>
            <color rgb="FF000000"/>
            <rFont val="Times New Roman"/>
            <family val="18"/>
          </rPr>
          <t>[ML 1804]</t>
        </r>
        <r>
          <rPr>
            <sz val="14"/>
            <color rgb="FF000000"/>
            <rFont val="Calibri"/>
            <family val="34"/>
          </rPr>
          <t xml:space="preserve">
</t>
        </r>
      </text>
    </comment>
    <comment ref="BG744" authorId="0" shapeId="0" xr:uid="{7A554A84-8B65-514E-873F-766DF9131569}">
      <text>
        <r>
          <rPr>
            <sz val="14"/>
            <color rgb="FF000000"/>
            <rFont val="Times New Roman"/>
            <family val="18"/>
          </rPr>
          <t>ML 2630 IR 30 (1803) – Haupt Seyn Komp. Nr. 37 (Lemberg 12/08/1803)</t>
        </r>
        <r>
          <rPr>
            <sz val="14"/>
            <color rgb="FF000000"/>
            <rFont val="Calibri"/>
            <family val="34"/>
          </rPr>
          <t xml:space="preserve">
</t>
        </r>
        <r>
          <rPr>
            <sz val="14"/>
            <color rgb="FF000000"/>
            <rFont val="Times New Roman"/>
            <family val="18"/>
          </rPr>
          <t xml:space="preserve">ML 2631 IR 30 (1804) – Haupt Seyn Komp. Abgang (Lemberg 19/09/1804) </t>
        </r>
        <r>
          <rPr>
            <sz val="14"/>
            <color rgb="FF000000"/>
            <rFont val="Calibri"/>
            <family val="34"/>
          </rPr>
          <t xml:space="preserve">
</t>
        </r>
      </text>
    </comment>
    <comment ref="BH744" authorId="0" shapeId="0" xr:uid="{5D9AE8D4-B09F-BD43-8082-567342E11CEB}">
      <text>
        <r>
          <rPr>
            <sz val="14"/>
            <color rgb="FF000000"/>
            <rFont val="Calibri"/>
            <family val="34"/>
          </rPr>
          <t>IR 43 (1800-1803)</t>
        </r>
      </text>
    </comment>
    <comment ref="BF745" authorId="0" shapeId="0" xr:uid="{EE98E566-F8CB-984D-BB67-AAC196C61075}">
      <text>
        <r>
          <rPr>
            <sz val="14"/>
            <color rgb="FF000000"/>
            <rFont val="Times New Roman"/>
            <family val="18"/>
          </rPr>
          <t xml:space="preserve">10/09/1800 </t>
        </r>
        <r>
          <rPr>
            <i/>
            <sz val="14"/>
            <color rgb="FF000000"/>
            <rFont val="Times New Roman"/>
            <family val="18"/>
          </rPr>
          <t>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Haupt Raimonval Comp. Nr. 93 [</t>
        </r>
        <r>
          <rPr>
            <i/>
            <sz val="14"/>
            <color rgb="FF000000"/>
            <rFont val="Times New Roman"/>
            <family val="18"/>
          </rPr>
          <t>Beulraubt in Medzyrzuce</t>
        </r>
        <r>
          <rPr>
            <sz val="14"/>
            <color rgb="FF000000"/>
            <rFont val="Times New Roman"/>
            <family val="18"/>
          </rPr>
          <t>] [ML 1803]</t>
        </r>
        <r>
          <rPr>
            <sz val="14"/>
            <color rgb="FF000000"/>
            <rFont val="Calibri"/>
            <family val="34"/>
          </rPr>
          <t xml:space="preserve">
</t>
        </r>
        <r>
          <rPr>
            <sz val="14"/>
            <color rgb="FF000000"/>
            <rFont val="Times New Roman"/>
            <family val="18"/>
          </rPr>
          <t xml:space="preserve">??/04/1804 </t>
        </r>
        <r>
          <rPr>
            <i/>
            <sz val="14"/>
            <color rgb="FF000000"/>
            <rFont val="Times New Roman"/>
            <family val="18"/>
          </rPr>
          <t>von Urlaub emigriert</t>
        </r>
        <r>
          <rPr>
            <sz val="14"/>
            <color rgb="FF000000"/>
            <rFont val="Times New Roman"/>
            <family val="18"/>
          </rPr>
          <t xml:space="preserve"> [ML 1804]</t>
        </r>
        <r>
          <rPr>
            <sz val="14"/>
            <color rgb="FF000000"/>
            <rFont val="Calibri"/>
            <family val="34"/>
          </rPr>
          <t xml:space="preserve">
</t>
        </r>
      </text>
    </comment>
    <comment ref="BG745" authorId="0" shapeId="0" xr:uid="{F5A2763C-5370-E042-B8F8-13EC852BC579}">
      <text>
        <r>
          <rPr>
            <sz val="14"/>
            <color rgb="FF000000"/>
            <rFont val="Times New Roman"/>
            <family val="18"/>
          </rPr>
          <t xml:space="preserve">ML 2630 IR 30 (1803) – Haupt Raimonval Komp. Nr. 93 (Lemberg 12/08/1803)
</t>
        </r>
        <r>
          <rPr>
            <sz val="14"/>
            <color rgb="FF000000"/>
            <rFont val="Times New Roman"/>
            <family val="18"/>
          </rPr>
          <t xml:space="preserve">ML 2631 IR 30 (1804) – Haupt Raimonval Komp. Abgang (Lemberg 19/09/1804) 
</t>
        </r>
      </text>
    </comment>
    <comment ref="BH745" authorId="0" shapeId="0" xr:uid="{164DFD5B-99A3-5647-8DDC-32821859A198}">
      <text>
        <r>
          <rPr>
            <sz val="14"/>
            <color rgb="FF000000"/>
            <rFont val="Calibri"/>
            <family val="34"/>
          </rPr>
          <t>IR 43 (1800-1804)</t>
        </r>
      </text>
    </comment>
    <comment ref="BF746" authorId="0" shapeId="0" xr:uid="{E800407E-61CC-4A44-837C-FE2448A74721}">
      <text>
        <r>
          <rPr>
            <sz val="14"/>
            <color rgb="FF000000"/>
            <rFont val="Times New Roman"/>
            <family val="18"/>
          </rPr>
          <t xml:space="preserve">26/09/1800 </t>
        </r>
        <r>
          <rPr>
            <i/>
            <sz val="14"/>
            <color rgb="FF000000"/>
            <rFont val="Times New Roman"/>
            <family val="18"/>
          </rPr>
          <t>von Kreis Radom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Schmitt Komp. Nr. 99 [</t>
        </r>
        <r>
          <rPr>
            <i/>
            <sz val="14"/>
            <color rgb="FF000000"/>
            <rFont val="Times New Roman"/>
            <family val="18"/>
          </rPr>
          <t>Auf Urlaub zu Koszenitz in West Galizien</t>
        </r>
        <r>
          <rPr>
            <sz val="14"/>
            <color rgb="FF000000"/>
            <rFont val="Times New Roman"/>
            <family val="18"/>
          </rPr>
          <t>] [ML 1803]</t>
        </r>
        <r>
          <rPr>
            <sz val="14"/>
            <color rgb="FF000000"/>
            <rFont val="Calibri"/>
            <family val="34"/>
          </rPr>
          <t xml:space="preserve">
</t>
        </r>
        <r>
          <rPr>
            <sz val="14"/>
            <color rgb="FF000000"/>
            <rFont val="Times New Roman"/>
            <family val="18"/>
          </rPr>
          <t xml:space="preserve">30/08/1803 </t>
        </r>
        <r>
          <rPr>
            <i/>
            <sz val="14"/>
            <color rgb="FF000000"/>
            <rFont val="Times New Roman"/>
            <family val="18"/>
          </rPr>
          <t xml:space="preserve">Nach Ausserung des Radomer Werb bezierk von Urlaub emigriert </t>
        </r>
        <r>
          <rPr>
            <sz val="14"/>
            <color rgb="FF000000"/>
            <rFont val="Times New Roman"/>
            <family val="18"/>
          </rPr>
          <t>[ML 1804]</t>
        </r>
        <r>
          <rPr>
            <sz val="14"/>
            <color rgb="FF000000"/>
            <rFont val="Calibri"/>
            <family val="34"/>
          </rPr>
          <t xml:space="preserve">
</t>
        </r>
      </text>
    </comment>
    <comment ref="BG746" authorId="0" shapeId="0" xr:uid="{1B5E4E59-3DAF-F34E-9DC5-3038B3248097}">
      <text>
        <r>
          <rPr>
            <sz val="14"/>
            <color rgb="FF000000"/>
            <rFont val="Times New Roman"/>
            <family val="18"/>
          </rPr>
          <t>ML 2630 IR 30 (1803) –Haupt Schmitt Komp. Nr. 99 (Lemberg 12/08/1803)</t>
        </r>
        <r>
          <rPr>
            <sz val="14"/>
            <color rgb="FF000000"/>
            <rFont val="Calibri"/>
            <family val="34"/>
          </rPr>
          <t xml:space="preserve">
</t>
        </r>
        <r>
          <rPr>
            <sz val="14"/>
            <color rgb="FF000000"/>
            <rFont val="Times New Roman"/>
            <family val="18"/>
          </rPr>
          <t xml:space="preserve">ML 2631 IR 30 (1804) – Haupt Schmitt Komp.  – Abgang (Lemberg 19/09/1804) </t>
        </r>
        <r>
          <rPr>
            <sz val="14"/>
            <color rgb="FF000000"/>
            <rFont val="Calibri"/>
            <family val="34"/>
          </rPr>
          <t xml:space="preserve">
</t>
        </r>
      </text>
    </comment>
    <comment ref="BH746" authorId="0" shapeId="0" xr:uid="{DEDA3706-DF1A-F245-9A19-656B020996B2}">
      <text>
        <r>
          <rPr>
            <sz val="14"/>
            <color rgb="FF000000"/>
            <rFont val="Calibri"/>
            <family val="34"/>
          </rPr>
          <t>IR 43 (1800-1803)</t>
        </r>
      </text>
    </comment>
    <comment ref="BF747" authorId="0" shapeId="0" xr:uid="{A9AFB606-A87B-0347-8D0A-34B45FAAAC32}">
      <text>
        <r>
          <rPr>
            <sz val="14"/>
            <color rgb="FF000000"/>
            <rFont val="Times New Roman"/>
            <family val="18"/>
          </rPr>
          <t xml:space="preserve">29/09/1800 </t>
        </r>
        <r>
          <rPr>
            <i/>
            <sz val="14"/>
            <color rgb="FF000000"/>
            <rFont val="Times New Roman"/>
            <family val="18"/>
          </rPr>
          <t>Als Ersatz Mann fur Boruch JACUBOWICH Von Dominen Ausgehoben und a 3Fl zu Sandomierz Assentiert und seitdem auf Anhero Marsch mit Friedensgebühr</t>
        </r>
        <r>
          <rPr>
            <sz val="14"/>
            <color rgb="FF000000"/>
            <rFont val="Times New Roman"/>
            <family val="18"/>
          </rPr>
          <t xml:space="preserve"> [AL &amp; ST Sept 1800]</t>
        </r>
        <r>
          <rPr>
            <sz val="14"/>
            <color rgb="FF000000"/>
            <rFont val="Calibri"/>
            <family val="34"/>
          </rPr>
          <t xml:space="preserve">
</t>
        </r>
        <r>
          <rPr>
            <sz val="14"/>
            <color rgb="FF000000"/>
            <rFont val="Times New Roman"/>
            <family val="18"/>
          </rPr>
          <t xml:space="preserve">15/11/1800 </t>
        </r>
        <r>
          <rPr>
            <i/>
            <sz val="14"/>
            <color rgb="FF000000"/>
            <rFont val="Times New Roman"/>
            <family val="18"/>
          </rPr>
          <t xml:space="preserve">Gegen Stellung eines anderen Mannes untauglichkeitshalber mit Laufpaß entlassen </t>
        </r>
        <r>
          <rPr>
            <sz val="14"/>
            <color rgb="FF000000"/>
            <rFont val="Times New Roman"/>
            <family val="18"/>
          </rPr>
          <t>[ST Nov 1800]</t>
        </r>
        <r>
          <rPr>
            <sz val="14"/>
            <color rgb="FF000000"/>
            <rFont val="Calibri"/>
            <family val="34"/>
          </rPr>
          <t xml:space="preserve">
</t>
        </r>
      </text>
    </comment>
    <comment ref="BG747" authorId="0" shapeId="0" xr:uid="{2430D2B8-07FB-2447-812E-36B1DB6D90CD}">
      <text>
        <r>
          <rPr>
            <sz val="14"/>
            <color rgb="FF000000"/>
            <rFont val="Times New Roman"/>
            <family val="18"/>
          </rPr>
          <t>ML 10.309 IR 43 (1800) – ST Sept (21/01/1804), Nov (02/04/1804)</t>
        </r>
        <r>
          <rPr>
            <sz val="14"/>
            <color rgb="FF000000"/>
            <rFont val="Calibri"/>
            <family val="34"/>
          </rPr>
          <t xml:space="preserve">
</t>
        </r>
        <r>
          <rPr>
            <sz val="14"/>
            <color rgb="FF000000"/>
            <rFont val="Times New Roman"/>
            <family val="18"/>
          </rPr>
          <t>ML 10.310 IR 43 (1800) – AL Nr.1 (Sandomierz 30/09/1800)</t>
        </r>
        <r>
          <rPr>
            <sz val="14"/>
            <color rgb="FF000000"/>
            <rFont val="Calibri"/>
            <family val="34"/>
          </rPr>
          <t xml:space="preserve">
</t>
        </r>
        <r>
          <rPr>
            <sz val="14"/>
            <color rgb="FF000000"/>
            <rFont val="Times New Roman"/>
            <family val="18"/>
          </rPr>
          <t xml:space="preserve">
</t>
        </r>
      </text>
    </comment>
    <comment ref="BH747" authorId="0" shapeId="0" xr:uid="{47C5C4E6-66F0-3542-A64D-5508E12F685F}">
      <text>
        <r>
          <rPr>
            <sz val="14"/>
            <color rgb="FF000000"/>
            <rFont val="Calibri"/>
            <family val="34"/>
          </rPr>
          <t>IR 43 (1800)</t>
        </r>
      </text>
    </comment>
    <comment ref="BF748" authorId="0" shapeId="0" xr:uid="{75118421-D63B-524C-A29C-4D1BF7023A91}">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Ü</t>
        </r>
        <r>
          <rPr>
            <i/>
            <sz val="14"/>
            <color rgb="FF000000"/>
            <rFont val="Times New Roman"/>
            <family val="18"/>
          </rPr>
          <t>ber ein Jahr absent als in Spital verbliebene unwissend verloren in Abgang</t>
        </r>
        <r>
          <rPr>
            <sz val="14"/>
            <color rgb="FF000000"/>
            <rFont val="Times New Roman"/>
            <family val="18"/>
          </rPr>
          <t xml:space="preserve"> [ST Nov 1801]</t>
        </r>
        <r>
          <rPr>
            <sz val="14"/>
            <color rgb="FF000000"/>
            <rFont val="Times New Roman"/>
            <family val="18"/>
          </rPr>
          <t xml:space="preserve">
</t>
        </r>
      </text>
    </comment>
    <comment ref="BG748" authorId="0" shapeId="0" xr:uid="{D666BF0D-1B86-AF42-8C41-9A0793D42EF8}">
      <text>
        <r>
          <rPr>
            <sz val="14"/>
            <color rgb="FF000000"/>
            <rFont val="Times New Roman"/>
            <family val="18"/>
          </rPr>
          <t>ML 804/5 IR 11 (1802) – ObristLt. Komp. Abgang (Prag 16/09/1802)</t>
        </r>
        <r>
          <rPr>
            <sz val="14"/>
            <color rgb="FF000000"/>
            <rFont val="Times New Roman"/>
            <family val="18"/>
          </rPr>
          <t xml:space="preserve">
</t>
        </r>
        <r>
          <rPr>
            <sz val="14"/>
            <color rgb="FF000000"/>
            <rFont val="Times New Roman"/>
            <family val="18"/>
          </rPr>
          <t>ML 838 IR 11 (1801) – ST Nov (Kuttenberg 14/12/1801)</t>
        </r>
        <r>
          <rPr>
            <sz val="14"/>
            <color rgb="FF000000"/>
            <rFont val="Times New Roman"/>
            <family val="18"/>
          </rPr>
          <t xml:space="preserve">
</t>
        </r>
        <r>
          <rPr>
            <sz val="14"/>
            <color rgb="FF000000"/>
            <rFont val="Times New Roman"/>
            <family val="18"/>
          </rPr>
          <t xml:space="preserve">
</t>
        </r>
      </text>
    </comment>
    <comment ref="BH748" authorId="0" shapeId="0" xr:uid="{B7B2B37C-0A35-EC49-9ED8-D89FEA0AA211}">
      <text>
        <r>
          <rPr>
            <sz val="14"/>
            <color rgb="FF000000"/>
            <rFont val="Calibri"/>
            <family val="34"/>
          </rPr>
          <t>IR 11 (1800-1801)</t>
        </r>
      </text>
    </comment>
    <comment ref="BF749" authorId="0" shapeId="0" xr:uid="{3C9B72F4-CE46-6748-97FC-BB083F3CD2CE}">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[ML 1802]
</t>
        </r>
        <r>
          <rPr>
            <sz val="14"/>
            <color rgb="FF000000"/>
            <rFont val="Times New Roman"/>
            <family val="18"/>
          </rPr>
          <t xml:space="preserve">31/10/1801 </t>
        </r>
        <r>
          <rPr>
            <i/>
            <sz val="14"/>
            <color rgb="FF000000"/>
            <rFont val="Times New Roman"/>
            <family val="18"/>
          </rPr>
          <t>Über ein Jahr absent als in Spital verbliebene unwissend verloren in Abgang</t>
        </r>
        <r>
          <rPr>
            <sz val="14"/>
            <color rgb="FF000000"/>
            <rFont val="Times New Roman"/>
            <family val="18"/>
          </rPr>
          <t xml:space="preserve"> [ST Nov 1801]
</t>
        </r>
      </text>
    </comment>
    <comment ref="BG749" authorId="0" shapeId="0" xr:uid="{D2635CA2-DEA0-8243-9741-7C0CFF45AF83}">
      <text>
        <r>
          <rPr>
            <sz val="14"/>
            <color rgb="FF000000"/>
            <rFont val="Times New Roman"/>
            <family val="18"/>
          </rPr>
          <t>ML 804/5 IR 11 (1802) – Haupt Richter Komp. Abgang (Prague 16/09/1802)</t>
        </r>
        <r>
          <rPr>
            <sz val="14"/>
            <color rgb="FF000000"/>
            <rFont val="Times New Roman"/>
            <family val="18"/>
          </rPr>
          <t xml:space="preserve">
</t>
        </r>
        <r>
          <rPr>
            <sz val="14"/>
            <color rgb="FF000000"/>
            <rFont val="Times New Roman"/>
            <family val="18"/>
          </rPr>
          <t>ML 838 IR 11 (1801) – ST Nov (Kuttenberg 14/12/1801)</t>
        </r>
        <r>
          <rPr>
            <sz val="14"/>
            <color rgb="FF000000"/>
            <rFont val="Times New Roman"/>
            <family val="18"/>
          </rPr>
          <t xml:space="preserve">
</t>
        </r>
        <r>
          <rPr>
            <sz val="14"/>
            <color rgb="FF000000"/>
            <rFont val="Times New Roman"/>
            <family val="18"/>
          </rPr>
          <t xml:space="preserve">
</t>
        </r>
      </text>
    </comment>
    <comment ref="BH749" authorId="0" shapeId="0" xr:uid="{261C6D53-DC50-8A48-BD42-0FA5A6A7F572}">
      <text>
        <r>
          <rPr>
            <sz val="14"/>
            <color rgb="FF000000"/>
            <rFont val="Calibri"/>
            <family val="34"/>
          </rPr>
          <t>IR 11 (1800-1801)</t>
        </r>
      </text>
    </comment>
    <comment ref="BF750" authorId="0" shapeId="0" xr:uid="{A5089E4A-326B-D14D-AEF3-974574D7F060}">
      <text>
        <r>
          <rPr>
            <sz val="14"/>
            <color rgb="FF000000"/>
            <rFont val="Times New Roman"/>
            <family val="18"/>
          </rPr>
          <t xml:space="preserve">31/10/1800 </t>
        </r>
        <r>
          <rPr>
            <i/>
            <sz val="14"/>
            <color rgb="FF000000"/>
            <rFont val="Times New Roman"/>
            <family val="18"/>
          </rPr>
          <t>Dient seit mindestens</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Ü</t>
        </r>
        <r>
          <rPr>
            <i/>
            <sz val="14"/>
            <color rgb="FF000000"/>
            <rFont val="Times New Roman"/>
            <family val="18"/>
          </rPr>
          <t>ber ein Jahr absent als in Spital verbliebene unwissend verloren in Abgang</t>
        </r>
        <r>
          <rPr>
            <sz val="14"/>
            <color rgb="FF000000"/>
            <rFont val="Times New Roman"/>
            <family val="18"/>
          </rPr>
          <t xml:space="preserve"> [ST Nov 1801]</t>
        </r>
        <r>
          <rPr>
            <sz val="14"/>
            <color rgb="FF000000"/>
            <rFont val="Times New Roman"/>
            <family val="18"/>
          </rPr>
          <t xml:space="preserve">
</t>
        </r>
      </text>
    </comment>
    <comment ref="BG750" authorId="0" shapeId="0" xr:uid="{0A7497E3-9272-504B-A728-981683F1DC34}">
      <text>
        <r>
          <rPr>
            <sz val="14"/>
            <color rgb="FF000000"/>
            <rFont val="Times New Roman"/>
            <family val="18"/>
          </rPr>
          <t>ML 804/5 IR 11 (1802) – 1. Major Komp. Abgang (Wisotczan 17/09/1802)</t>
        </r>
        <r>
          <rPr>
            <sz val="14"/>
            <color rgb="FF000000"/>
            <rFont val="Times New Roman"/>
            <family val="18"/>
          </rPr>
          <t xml:space="preserve">
</t>
        </r>
        <r>
          <rPr>
            <sz val="14"/>
            <color rgb="FF000000"/>
            <rFont val="Times New Roman"/>
            <family val="18"/>
          </rPr>
          <t>ML 838 IR 11 (1801) – ST Nov (Kuttenberg 14/12/1801)</t>
        </r>
        <r>
          <rPr>
            <sz val="14"/>
            <color rgb="FF000000"/>
            <rFont val="Times New Roman"/>
            <family val="18"/>
          </rPr>
          <t xml:space="preserve">
</t>
        </r>
        <r>
          <rPr>
            <sz val="14"/>
            <color rgb="FF000000"/>
            <rFont val="Times New Roman"/>
            <family val="18"/>
          </rPr>
          <t xml:space="preserve">
</t>
        </r>
      </text>
    </comment>
    <comment ref="BH750" authorId="0" shapeId="0" xr:uid="{997329AB-A2C2-F84C-8E82-75D7E22D3787}">
      <text>
        <r>
          <rPr>
            <sz val="14"/>
            <color rgb="FF000000"/>
            <rFont val="Calibri"/>
            <family val="34"/>
          </rPr>
          <t>IR 11 (1800-1801)</t>
        </r>
      </text>
    </comment>
    <comment ref="BF751" authorId="0" shapeId="0" xr:uid="{07B4B991-4749-2844-AEF0-66B4F3E858E2}">
      <text>
        <r>
          <rPr>
            <sz val="14"/>
            <color rgb="FF000000"/>
            <rFont val="Times New Roman"/>
            <family val="18"/>
          </rPr>
          <t xml:space="preserve">10/11/1800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10/11/1800 [circa] </t>
        </r>
        <r>
          <rPr>
            <i/>
            <sz val="14"/>
            <color rgb="FF000000"/>
            <rFont val="Times New Roman"/>
            <family val="18"/>
          </rPr>
          <t>Gegen Stellung des Recroutes Hirsch SCHWARZENBERG entlassen</t>
        </r>
        <r>
          <rPr>
            <sz val="14"/>
            <color rgb="FF000000"/>
            <rFont val="Times New Roman"/>
            <family val="18"/>
          </rPr>
          <t xml:space="preserve"> [ML 1802]</t>
        </r>
        <r>
          <rPr>
            <sz val="14"/>
            <color rgb="FF000000"/>
            <rFont val="Calibri"/>
            <family val="34"/>
          </rPr>
          <t xml:space="preserve">
</t>
        </r>
      </text>
    </comment>
    <comment ref="BG751" authorId="0" shapeId="0" xr:uid="{D6217531-668B-C544-83FC-08183C9594DD}">
      <text>
        <r>
          <rPr>
            <sz val="14"/>
            <color rgb="FF000000"/>
            <rFont val="Times New Roman"/>
            <family val="18"/>
          </rPr>
          <t>ML 1937 IR 24 (1802) – Haupt Ebner Abgang (Vienna 16/09/1802)</t>
        </r>
        <r>
          <rPr>
            <sz val="14"/>
            <color rgb="FF000000"/>
            <rFont val="Calibri"/>
            <family val="34"/>
          </rPr>
          <t xml:space="preserve">
</t>
        </r>
      </text>
    </comment>
    <comment ref="BH751" authorId="0" shapeId="0" xr:uid="{201051AA-CCA5-3740-9A24-7CA6B9036A37}">
      <text>
        <r>
          <rPr>
            <sz val="14"/>
            <color rgb="FF000000"/>
            <rFont val="Calibri"/>
            <family val="34"/>
          </rPr>
          <t>IR 24 (1800)</t>
        </r>
      </text>
    </comment>
    <comment ref="BF752" authorId="0" shapeId="0" xr:uid="{4CB750D9-BC66-8747-92E6-5FEEF4F9210E}">
      <text>
        <r>
          <rPr>
            <sz val="14"/>
            <color rgb="FF000000"/>
            <rFont val="Times New Roman"/>
            <family val="18"/>
          </rPr>
          <t xml:space="preserve">16/11/1800 </t>
        </r>
        <r>
          <rPr>
            <i/>
            <sz val="14"/>
            <color rgb="FF000000"/>
            <rFont val="Times New Roman"/>
            <family val="18"/>
          </rPr>
          <t>Von der Reserve Division zur Haupt Gebhart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24/11/1800 </t>
        </r>
        <r>
          <rPr>
            <i/>
            <sz val="14"/>
            <color rgb="FF000000"/>
            <rFont val="Times New Roman"/>
            <family val="18"/>
          </rPr>
          <t>zu Verona gestorben</t>
        </r>
        <r>
          <rPr>
            <sz val="14"/>
            <color rgb="FF000000"/>
            <rFont val="Times New Roman"/>
            <family val="18"/>
          </rPr>
          <t xml:space="preserve"> [ML 1802]</t>
        </r>
      </text>
    </comment>
    <comment ref="BG752" authorId="0" shapeId="0" xr:uid="{E083DA68-4242-0C46-8E58-3CE2FB919A93}">
      <text>
        <r>
          <rPr>
            <sz val="14"/>
            <color rgb="FF000000"/>
            <rFont val="Times New Roman"/>
            <family val="18"/>
          </rPr>
          <t>ML 1937 IR 24 (1802) – Haupt Gebhard Komp. Nr. Abgang (Vienna 16/09/1802)</t>
        </r>
        <r>
          <rPr>
            <sz val="14"/>
            <color rgb="FF000000"/>
            <rFont val="Calibri"/>
            <family val="34"/>
          </rPr>
          <t xml:space="preserve">
</t>
        </r>
      </text>
    </comment>
    <comment ref="BH752" authorId="0" shapeId="0" xr:uid="{A4CB9AE1-D479-0547-87FF-54CE6146E3C8}">
      <text>
        <r>
          <rPr>
            <sz val="14"/>
            <color rgb="FF000000"/>
            <rFont val="Calibri"/>
            <family val="34"/>
          </rPr>
          <t>IR 24 (1800)</t>
        </r>
      </text>
    </comment>
    <comment ref="BF753" authorId="0" shapeId="0" xr:uid="{4E563CA3-E663-2241-9B92-C8CF519F1943}">
      <text>
        <r>
          <rPr>
            <sz val="14"/>
            <color rgb="FF000000"/>
            <rFont val="Times New Roman"/>
            <family val="18"/>
          </rPr>
          <t xml:space="preserve">28/11/1800 </t>
        </r>
        <r>
          <rPr>
            <i/>
            <sz val="14"/>
            <color rgb="FF000000"/>
            <rFont val="Times New Roman"/>
            <family val="18"/>
          </rPr>
          <t>A 3Fl von gallizischen Ständen gestellt</t>
        </r>
        <r>
          <rPr>
            <sz val="14"/>
            <color rgb="FF000000"/>
            <rFont val="Times New Roman"/>
            <family val="18"/>
          </rPr>
          <t xml:space="preserve"> [ML 1803]
</t>
        </r>
        <r>
          <rPr>
            <sz val="14"/>
            <color rgb="FF000000"/>
            <rFont val="Times New Roman"/>
            <family val="18"/>
          </rPr>
          <t xml:space="preserve">01/11/1802 </t>
        </r>
        <r>
          <rPr>
            <i/>
            <sz val="14"/>
            <color rgb="FF000000"/>
            <rFont val="Times New Roman"/>
            <family val="18"/>
          </rPr>
          <t>Von Haupt Spiedel zum Haupt Settinger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16/08/1803 </t>
        </r>
        <r>
          <rPr>
            <i/>
            <sz val="14"/>
            <color rgb="FF000000"/>
            <rFont val="Times New Roman"/>
            <family val="18"/>
          </rPr>
          <t xml:space="preserve">Von Haupt Settinger zum Haupt Drohn Komp. transferiert </t>
        </r>
        <r>
          <rPr>
            <sz val="14"/>
            <color rgb="FF000000"/>
            <rFont val="Times New Roman"/>
            <family val="18"/>
          </rPr>
          <t>[ML 1803]</t>
        </r>
        <r>
          <rPr>
            <sz val="14"/>
            <color rgb="FF000000"/>
            <rFont val="Calibri"/>
            <family val="34"/>
          </rPr>
          <t xml:space="preserve">
</t>
        </r>
        <r>
          <rPr>
            <sz val="14"/>
            <color rgb="FF000000"/>
            <rFont val="Times New Roman"/>
            <family val="18"/>
          </rPr>
          <t>30/08/1803 Muster: IR 59 Haupt Drohn Komp. Nr. 109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97 [</t>
        </r>
        <r>
          <rPr>
            <i/>
            <sz val="14"/>
            <color rgb="FF000000"/>
            <rFont val="Times New Roman"/>
            <family val="18"/>
          </rPr>
          <t>Beurlaubt in seinem Geburtort bis zur Exercierzeit</t>
        </r>
        <r>
          <rPr>
            <sz val="14"/>
            <color rgb="FF000000"/>
            <rFont val="Times New Roman"/>
            <family val="18"/>
          </rPr>
          <t>]</t>
        </r>
        <r>
          <rPr>
            <sz val="14"/>
            <color rgb="FF000000"/>
            <rFont val="Calibri"/>
            <family val="34"/>
          </rPr>
          <t xml:space="preserve">
</t>
        </r>
        <r>
          <rPr>
            <sz val="14"/>
            <color rgb="FF000000"/>
            <rFont val="Times New Roman"/>
            <family val="18"/>
          </rPr>
          <t xml:space="preserve">31/12/1805 </t>
        </r>
        <r>
          <rPr>
            <i/>
            <sz val="14"/>
            <color rgb="FF000000"/>
            <rFont val="Times New Roman"/>
            <family val="18"/>
          </rPr>
          <t xml:space="preserve">Als Real Invalid gegen Renuncuerung mit Abschied entlassen </t>
        </r>
        <r>
          <rPr>
            <sz val="14"/>
            <color rgb="FF000000"/>
            <rFont val="Times New Roman"/>
            <family val="18"/>
          </rPr>
          <t>[ML 1806]</t>
        </r>
        <r>
          <rPr>
            <sz val="14"/>
            <color rgb="FF000000"/>
            <rFont val="Calibri"/>
            <family val="34"/>
          </rPr>
          <t xml:space="preserve">
</t>
        </r>
      </text>
    </comment>
    <comment ref="BG753" authorId="0" shapeId="0" xr:uid="{2A79C62B-53B7-594F-81CB-A789401D5ABB}">
      <text>
        <r>
          <rPr>
            <sz val="14"/>
            <color rgb="FF000000"/>
            <rFont val="Times New Roman"/>
            <family val="18"/>
          </rPr>
          <t>ML 5015 IR 59 (1803) – Haupt. Drohn Komp. Nr. 109 (Wells 30/08/1803)</t>
        </r>
        <r>
          <rPr>
            <sz val="14"/>
            <color rgb="FF000000"/>
            <rFont val="Calibri"/>
            <family val="34"/>
          </rPr>
          <t xml:space="preserve">
</t>
        </r>
        <r>
          <rPr>
            <sz val="14"/>
            <color rgb="FF000000"/>
            <rFont val="Times New Roman"/>
            <family val="18"/>
          </rPr>
          <t>ML 5016 IR 59 (1804) – Haupt. Drohn Komp. Nr. 99 (Wells 05/09/1804)</t>
        </r>
        <r>
          <rPr>
            <sz val="14"/>
            <color rgb="FF000000"/>
            <rFont val="Calibri"/>
            <family val="34"/>
          </rPr>
          <t xml:space="preserve">
</t>
        </r>
        <r>
          <rPr>
            <sz val="14"/>
            <color rgb="FF000000"/>
            <rFont val="Times New Roman"/>
            <family val="18"/>
          </rPr>
          <t>ML 5017/8 IR 59 (1806) – 16. Fus. Komp. Abgang (Freistadt 22/12/1806)</t>
        </r>
        <r>
          <rPr>
            <sz val="14"/>
            <color rgb="FF000000"/>
            <rFont val="Calibri"/>
            <family val="34"/>
          </rPr>
          <t xml:space="preserve">
</t>
        </r>
      </text>
    </comment>
    <comment ref="BH753" authorId="0" shapeId="0" xr:uid="{78951E18-38A2-3649-B6E1-A6D2E5D556D8}">
      <text>
        <r>
          <rPr>
            <sz val="14"/>
            <color rgb="FF000000"/>
            <rFont val="Calibri"/>
            <family val="34"/>
          </rPr>
          <t>IR 59 (1800-1805)</t>
        </r>
      </text>
    </comment>
    <comment ref="BF754" authorId="0" shapeId="0" xr:uid="{A681F5DC-70BA-3F4F-BEF5-92CFC20D6D96}">
      <text>
        <r>
          <rPr>
            <sz val="14"/>
            <color rgb="FF000000"/>
            <rFont val="Times New Roman"/>
            <family val="18"/>
          </rPr>
          <t xml:space="preserve">23/12/1800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23/12/1800 [circa] </t>
        </r>
        <r>
          <rPr>
            <i/>
            <sz val="14"/>
            <color rgb="FF000000"/>
            <rFont val="Times New Roman"/>
            <family val="18"/>
          </rPr>
          <t>Gegen Stellung des Recroutes Jankel BARTA entlassen</t>
        </r>
        <r>
          <rPr>
            <sz val="14"/>
            <color rgb="FF000000"/>
            <rFont val="Times New Roman"/>
            <family val="18"/>
          </rPr>
          <t xml:space="preserve"> [ML 1802]</t>
        </r>
        <r>
          <rPr>
            <sz val="14"/>
            <color rgb="FF000000"/>
            <rFont val="Calibri"/>
            <family val="34"/>
          </rPr>
          <t xml:space="preserve">
</t>
        </r>
      </text>
    </comment>
    <comment ref="BG754" authorId="0" shapeId="0" xr:uid="{8FC295B0-AC89-D440-BCE0-5F8F5695718C}">
      <text>
        <r>
          <rPr>
            <sz val="14"/>
            <color rgb="FF000000"/>
            <rFont val="Times New Roman"/>
            <family val="18"/>
          </rPr>
          <t>ML 1937 IR 24 (1802) – Haupt Weisenwoelf Abgang (Vienna 16/09/1802)</t>
        </r>
        <r>
          <rPr>
            <sz val="14"/>
            <color rgb="FF000000"/>
            <rFont val="Calibri"/>
            <family val="34"/>
          </rPr>
          <t xml:space="preserve">
</t>
        </r>
      </text>
    </comment>
    <comment ref="BH754" authorId="0" shapeId="0" xr:uid="{A8394D12-5018-5F4C-B1F2-0550F0780A69}">
      <text>
        <r>
          <rPr>
            <sz val="14"/>
            <color rgb="FF000000"/>
            <rFont val="Calibri"/>
            <family val="34"/>
          </rPr>
          <t>IR 24 (1800)</t>
        </r>
      </text>
    </comment>
    <comment ref="BF755" authorId="0" shapeId="0" xr:uid="{D3003224-7ABD-F249-868C-C787F1708470}">
      <text>
        <r>
          <rPr>
            <sz val="14"/>
            <color rgb="FF000000"/>
            <rFont val="Times New Roman"/>
            <family val="18"/>
          </rPr>
          <t xml:space="preserve">29/12/1800 </t>
        </r>
        <r>
          <rPr>
            <i/>
            <sz val="14"/>
            <color rgb="FF000000"/>
            <rFont val="Times New Roman"/>
            <family val="18"/>
          </rPr>
          <t xml:space="preserve">Von Landständen gestellt und a 3Fl Handgeld auf Beständig zu Kerpen Infant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 xml:space="preserve">Von da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16/09/1802 Muster: IR 23 Haupt Pappius Komp Nr. 153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Auf Urlaub in Polen desertiert</t>
        </r>
        <r>
          <rPr>
            <sz val="14"/>
            <color rgb="FF000000"/>
            <rFont val="Times New Roman"/>
            <family val="18"/>
          </rPr>
          <t xml:space="preserve"> [ML 1802]</t>
        </r>
        <r>
          <rPr>
            <sz val="14"/>
            <color rgb="FF000000"/>
            <rFont val="Calibri"/>
            <family val="2"/>
          </rPr>
          <t xml:space="preserve"> </t>
        </r>
      </text>
    </comment>
    <comment ref="BG755" authorId="0" shapeId="0" xr:uid="{63A6C3DB-AC78-1840-9A28-729C5E1F6E73}">
      <text>
        <r>
          <rPr>
            <sz val="14"/>
            <color rgb="FF000000"/>
            <rFont val="Times New Roman"/>
            <family val="18"/>
          </rPr>
          <t>ML 10.124 IR 23 (1802) – Haupt Pappius Komp. Nr. 153 (Vienna 16/09/1802)</t>
        </r>
        <r>
          <rPr>
            <sz val="14"/>
            <color rgb="FF000000"/>
            <rFont val="Calibri"/>
            <family val="34"/>
          </rPr>
          <t xml:space="preserve">
</t>
        </r>
        <r>
          <rPr>
            <sz val="14"/>
            <color rgb="FF000000"/>
            <rFont val="Times New Roman"/>
            <family val="18"/>
          </rPr>
          <t>ML 10.125 IR 23 (1803) – Haupt Pappius Komp. Abgang (Vienna 13/09/1803)</t>
        </r>
        <r>
          <rPr>
            <sz val="14"/>
            <color rgb="FF000000"/>
            <rFont val="Calibri"/>
            <family val="34"/>
          </rPr>
          <t xml:space="preserve">
</t>
        </r>
      </text>
    </comment>
    <comment ref="BH755" authorId="0" shapeId="0" xr:uid="{DD32FE38-9D46-5948-A067-38A9BFD8CFEB}">
      <text>
        <r>
          <rPr>
            <sz val="14"/>
            <color rgb="FF000000"/>
            <rFont val="Calibri"/>
            <family val="34"/>
          </rPr>
          <t xml:space="preserve">IR 49 (1800-1802)
</t>
        </r>
        <r>
          <rPr>
            <sz val="14"/>
            <color rgb="FF000000"/>
            <rFont val="Calibri"/>
            <family val="34"/>
          </rPr>
          <t>IR 23 (1802)</t>
        </r>
      </text>
    </comment>
    <comment ref="B756" authorId="0" shapeId="0" xr:uid="{E9EAB145-1E0E-7A4F-8249-04F732467F42}">
      <text>
        <r>
          <rPr>
            <sz val="14"/>
            <color rgb="FF000000"/>
            <rFont val="Calibri"/>
            <family val="34"/>
          </rPr>
          <t xml:space="preserve">Ignatz MORAWSKY (1801-1809)
</t>
        </r>
        <r>
          <rPr>
            <sz val="14"/>
            <color rgb="FF000000"/>
            <rFont val="Calibri"/>
            <family val="34"/>
          </rPr>
          <t>Joseph MAZOVSKY (1810)</t>
        </r>
      </text>
    </comment>
    <comment ref="I756" authorId="0" shapeId="0" xr:uid="{7FE30003-AC4E-AF46-894F-335A78B91BFB}">
      <text>
        <r>
          <rPr>
            <sz val="14"/>
            <color rgb="FF000000"/>
            <rFont val="Calibri"/>
            <family val="34"/>
          </rPr>
          <t xml:space="preserve">1778 [38 (1816)]
</t>
        </r>
        <r>
          <rPr>
            <sz val="14"/>
            <color rgb="FF000000"/>
            <rFont val="Calibri"/>
            <family val="34"/>
          </rPr>
          <t xml:space="preserve">OR 
</t>
        </r>
        <r>
          <rPr>
            <sz val="14"/>
            <color rgb="FF000000"/>
            <rFont val="Calibri"/>
            <family val="34"/>
          </rPr>
          <t>1782 [22 (1804)]</t>
        </r>
      </text>
    </comment>
    <comment ref="J756" authorId="0" shapeId="0" xr:uid="{A7DBD18C-6945-8447-890D-C42E1CA46EAF}">
      <text>
        <r>
          <rPr>
            <sz val="14"/>
            <color rgb="FF000000"/>
            <rFont val="Calibri"/>
            <family val="34"/>
          </rPr>
          <t xml:space="preserve">Ledig (1802-3/1809-16)
</t>
        </r>
        <r>
          <rPr>
            <sz val="14"/>
            <color rgb="FF000000"/>
            <rFont val="Calibri"/>
            <family val="34"/>
          </rPr>
          <t>Veheiratet (1804-6)</t>
        </r>
      </text>
    </comment>
    <comment ref="T756" authorId="0" shapeId="0" xr:uid="{E6CBF233-26EA-4442-96A7-CB55BF4FF21D}">
      <text>
        <r>
          <rPr>
            <sz val="14"/>
            <color rgb="FF000000"/>
            <rFont val="Calibri"/>
            <family val="34"/>
          </rPr>
          <t xml:space="preserve">161.07 (1802-3)
</t>
        </r>
        <r>
          <rPr>
            <sz val="14"/>
            <color rgb="FF000000"/>
            <rFont val="Calibri"/>
            <family val="34"/>
          </rPr>
          <t xml:space="preserve">168.96 (1804-6)
</t>
        </r>
        <r>
          <rPr>
            <sz val="14"/>
            <color rgb="FF000000"/>
            <rFont val="Calibri"/>
            <family val="34"/>
          </rPr>
          <t>163.26 (1809)</t>
        </r>
      </text>
    </comment>
    <comment ref="BF756" authorId="0" shapeId="0" xr:uid="{8AE84A56-0DC5-5341-AC7B-32BE218C70BF}">
      <text>
        <r>
          <rPr>
            <sz val="14"/>
            <color rgb="FF000000"/>
            <rFont val="Times New Roman"/>
            <family val="18"/>
          </rPr>
          <t xml:space="preserve">06/01/1801 </t>
        </r>
        <r>
          <rPr>
            <i/>
            <sz val="14"/>
            <color rgb="FF000000"/>
            <rFont val="Times New Roman"/>
            <family val="18"/>
          </rPr>
          <t>Zu Tarnopol von Ständen gestellt und seitdem auf anhero Marsch</t>
        </r>
        <r>
          <rPr>
            <sz val="14"/>
            <color rgb="FF000000"/>
            <rFont val="Times New Roman"/>
            <family val="18"/>
          </rPr>
          <t xml:space="preserve"> [ST Jan 1801]</t>
        </r>
        <r>
          <rPr>
            <sz val="14"/>
            <color rgb="FF000000"/>
            <rFont val="Calibri"/>
            <family val="34"/>
          </rPr>
          <t xml:space="preserve">
</t>
        </r>
        <r>
          <rPr>
            <sz val="14"/>
            <color rgb="FF000000"/>
            <rFont val="Times New Roman"/>
            <family val="18"/>
          </rPr>
          <t>11/09/1802 Muster: IR 43 Haupt Barbo Komp. Nr. 129</t>
        </r>
        <r>
          <rPr>
            <sz val="14"/>
            <color rgb="FF000000"/>
            <rFont val="Calibri"/>
            <family val="34"/>
          </rPr>
          <t xml:space="preserve">
</t>
        </r>
        <r>
          <rPr>
            <sz val="14"/>
            <color rgb="FF000000"/>
            <rFont val="Times New Roman"/>
            <family val="18"/>
          </rPr>
          <t>28/09/1802 Muster: IR 43 Haupt Römer Komp. Nr. 117</t>
        </r>
        <r>
          <rPr>
            <sz val="14"/>
            <color rgb="FF000000"/>
            <rFont val="Calibri"/>
            <family val="34"/>
          </rPr>
          <t xml:space="preserve">
</t>
        </r>
        <r>
          <rPr>
            <sz val="14"/>
            <color rgb="FF000000"/>
            <rFont val="Times New Roman"/>
            <family val="18"/>
          </rPr>
          <t>06/10/1804 Muster: IR 43 Haupt Prati Komp. Nr. 111</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Prati zum 14. Fus Komp transferiert</t>
        </r>
        <r>
          <rPr>
            <sz val="14"/>
            <color rgb="FF000000"/>
            <rFont val="Times New Roman"/>
            <family val="18"/>
          </rPr>
          <t xml:space="preserve"> [ST Aug 1805]</t>
        </r>
        <r>
          <rPr>
            <sz val="14"/>
            <color rgb="FF000000"/>
            <rFont val="Calibri"/>
            <family val="34"/>
          </rPr>
          <t xml:space="preserve">
</t>
        </r>
        <r>
          <rPr>
            <sz val="14"/>
            <color rgb="FF000000"/>
            <rFont val="Times New Roman"/>
            <family val="18"/>
          </rPr>
          <t>01/10/1805 Muster: IR 43 14. Fus. Komp. Nr. 131</t>
        </r>
        <r>
          <rPr>
            <sz val="14"/>
            <color rgb="FF000000"/>
            <rFont val="Calibri"/>
            <family val="34"/>
          </rPr>
          <t xml:space="preserve">
</t>
        </r>
        <r>
          <rPr>
            <sz val="14"/>
            <color rgb="FF000000"/>
            <rFont val="Times New Roman"/>
            <family val="18"/>
          </rPr>
          <t>01/12/1806 Muster: IR 43 4. Fus. Komp. Nr. 85</t>
        </r>
        <r>
          <rPr>
            <sz val="14"/>
            <color rgb="FF000000"/>
            <rFont val="Calibri"/>
            <family val="34"/>
          </rPr>
          <t xml:space="preserve">
</t>
        </r>
        <r>
          <rPr>
            <sz val="14"/>
            <color rgb="FF000000"/>
            <rFont val="Times New Roman"/>
            <family val="18"/>
          </rPr>
          <t xml:space="preserve">21/06/1807 </t>
        </r>
        <r>
          <rPr>
            <i/>
            <sz val="14"/>
            <color rgb="FF000000"/>
            <rFont val="Times New Roman"/>
            <family val="18"/>
          </rPr>
          <t>Auf Ritt nach Triest</t>
        </r>
        <r>
          <rPr>
            <sz val="14"/>
            <color rgb="FF000000"/>
            <rFont val="Times New Roman"/>
            <family val="18"/>
          </rPr>
          <t xml:space="preserve"> [ST July 1807]</t>
        </r>
        <r>
          <rPr>
            <sz val="14"/>
            <color rgb="FF000000"/>
            <rFont val="Calibri"/>
            <family val="34"/>
          </rPr>
          <t xml:space="preserve">
</t>
        </r>
        <r>
          <rPr>
            <sz val="14"/>
            <color rgb="FF000000"/>
            <rFont val="Times New Roman"/>
            <family val="18"/>
          </rPr>
          <t xml:space="preserve">10/07/1807 </t>
        </r>
        <r>
          <rPr>
            <i/>
            <sz val="14"/>
            <color rgb="FF000000"/>
            <rFont val="Times New Roman"/>
            <family val="18"/>
          </rPr>
          <t>Wieder zurück in Companie</t>
        </r>
        <r>
          <rPr>
            <sz val="14"/>
            <color rgb="FF000000"/>
            <rFont val="Times New Roman"/>
            <family val="18"/>
          </rPr>
          <t xml:space="preserve"> [ST July 1807]</t>
        </r>
        <r>
          <rPr>
            <sz val="14"/>
            <color rgb="FF000000"/>
            <rFont val="Calibri"/>
            <family val="34"/>
          </rPr>
          <t xml:space="preserve">
</t>
        </r>
        <r>
          <rPr>
            <sz val="14"/>
            <color rgb="FF000000"/>
            <rFont val="Times New Roman"/>
            <family val="18"/>
          </rPr>
          <t>06/09/1808 Revision: 4. Fus. Komp. Nr. 71</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43 2. Fus. zum 9. Corps Staabs Inf Comp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Von Staabs Inf zum 12. Fus Comp ohne Zuwachs Dokument eingerückt</t>
        </r>
        <r>
          <rPr>
            <sz val="14"/>
            <color rgb="FF000000"/>
            <rFont val="Times New Roman"/>
            <family val="18"/>
          </rPr>
          <t xml:space="preserve"> [ST October 1809]</t>
        </r>
        <r>
          <rPr>
            <sz val="14"/>
            <color rgb="FF000000"/>
            <rFont val="Calibri"/>
            <family val="34"/>
          </rPr>
          <t xml:space="preserve">
</t>
        </r>
        <r>
          <rPr>
            <sz val="14"/>
            <color rgb="FF000000"/>
            <rFont val="Times New Roman"/>
            <family val="18"/>
          </rPr>
          <t xml:space="preserve">25/10/1810 Dissolvierung: IR 43 12. Fus. Komp. Nr. 126 </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12. Fus Komp des Dissolvierte IR 43 zum IR 9 Czartoryski transferiert</t>
        </r>
        <r>
          <rPr>
            <sz val="14"/>
            <color rgb="FF000000"/>
            <rFont val="Times New Roman"/>
            <family val="18"/>
          </rPr>
          <t xml:space="preserve"> [ST March 1810 &amp; TL 1810]</t>
        </r>
        <r>
          <rPr>
            <sz val="14"/>
            <color rgb="FF000000"/>
            <rFont val="Calibri"/>
            <family val="34"/>
          </rPr>
          <t xml:space="preserve">
</t>
        </r>
        <r>
          <rPr>
            <sz val="14"/>
            <color rgb="FF000000"/>
            <rFont val="Times New Roman"/>
            <family val="18"/>
          </rPr>
          <t xml:space="preserve">15/08/1811 </t>
        </r>
        <r>
          <rPr>
            <i/>
            <sz val="14"/>
            <color rgb="FF000000"/>
            <rFont val="Times New Roman"/>
            <family val="18"/>
          </rPr>
          <t>Von IR 9 1. Komp. zum 1. Garrsion Battalion 2.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05/10/1812 Revision GB 1 2. Komp. Nr. 165</t>
        </r>
        <r>
          <rPr>
            <sz val="14"/>
            <color rgb="FF000000"/>
            <rFont val="Calibri"/>
            <family val="34"/>
          </rPr>
          <t xml:space="preserve">
</t>
        </r>
        <r>
          <rPr>
            <sz val="14"/>
            <color rgb="FF000000"/>
            <rFont val="Times New Roman"/>
            <family val="18"/>
          </rPr>
          <t xml:space="preserve">16/02/1814 </t>
        </r>
        <r>
          <rPr>
            <i/>
            <sz val="14"/>
            <color rgb="FF000000"/>
            <rFont val="Times New Roman"/>
            <family val="18"/>
          </rPr>
          <t>Von GB 1 2, Komp. zur 2. Bucoviener FB mittels Einverständnis transferiert und zur 5. Komp. eingeheilt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01/03/1814 </t>
        </r>
        <r>
          <rPr>
            <i/>
            <sz val="14"/>
            <color rgb="FF000000"/>
            <rFont val="Times New Roman"/>
            <family val="18"/>
          </rPr>
          <t>Von Gemeiner zur Corporal avanciert</t>
        </r>
        <r>
          <rPr>
            <sz val="14"/>
            <color rgb="FF000000"/>
            <rFont val="Times New Roman"/>
            <family val="18"/>
          </rPr>
          <t xml:space="preserve"> [TL Jan 1816]</t>
        </r>
        <r>
          <rPr>
            <sz val="14"/>
            <color rgb="FF000000"/>
            <rFont val="Calibri"/>
            <family val="34"/>
          </rPr>
          <t xml:space="preserve">
</t>
        </r>
        <r>
          <rPr>
            <sz val="14"/>
            <color rgb="FF000000"/>
            <rFont val="Times New Roman"/>
            <family val="18"/>
          </rPr>
          <t xml:space="preserve">21/01/1816 </t>
        </r>
        <r>
          <rPr>
            <i/>
            <sz val="14"/>
            <color rgb="FF000000"/>
            <rFont val="Times New Roman"/>
            <family val="18"/>
          </rPr>
          <t>Von 2. Bucovianer FB 5. Komp. zum GB 1 transferiert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Ins Bataillon eingerückt zum zur 1. Komp eingeteilt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15/07/1816 </t>
        </r>
        <r>
          <rPr>
            <i/>
            <sz val="14"/>
            <color rgb="FF000000"/>
            <rFont val="Times New Roman"/>
            <family val="18"/>
          </rPr>
          <t>Zu Folge hoher Rescripts dt. 25. April a:c: K 1992 und galliz. General Commando Verordnung vom. 5 May R. 4424 mit Abschied entlassen</t>
        </r>
        <r>
          <rPr>
            <sz val="14"/>
            <color rgb="FF000000"/>
            <rFont val="Times New Roman"/>
            <family val="18"/>
          </rPr>
          <t xml:space="preserve"> [ST Juli 1816]</t>
        </r>
        <r>
          <rPr>
            <sz val="14"/>
            <color rgb="FF000000"/>
            <rFont val="Calibri"/>
            <family val="34"/>
          </rPr>
          <t xml:space="preserve">
</t>
        </r>
      </text>
    </comment>
    <comment ref="BG756" authorId="0" shapeId="0" xr:uid="{C2385D51-0ED0-1449-85FD-8632DDFB7905}">
      <text>
        <r>
          <rPr>
            <sz val="14"/>
            <color rgb="FF000000"/>
            <rFont val="Times New Roman"/>
            <family val="18"/>
          </rPr>
          <t>ML 10.272 IR 43 (1802) – Haupt Barbo Komp. Nr. 129 (Zara 11/09/1802)</t>
        </r>
        <r>
          <rPr>
            <sz val="14"/>
            <color rgb="FF000000"/>
            <rFont val="Calibri"/>
            <family val="34"/>
          </rPr>
          <t xml:space="preserve">
</t>
        </r>
        <r>
          <rPr>
            <sz val="14"/>
            <color rgb="FF000000"/>
            <rFont val="Times New Roman"/>
            <family val="18"/>
          </rPr>
          <t>ML 10.273 IR 43 (1803) – Haupt Römer Komp. Nr. 117 (Zara 28/09/1803)</t>
        </r>
        <r>
          <rPr>
            <sz val="14"/>
            <color rgb="FF000000"/>
            <rFont val="Calibri"/>
            <family val="34"/>
          </rPr>
          <t xml:space="preserve">
</t>
        </r>
        <r>
          <rPr>
            <sz val="14"/>
            <color rgb="FF000000"/>
            <rFont val="Times New Roman"/>
            <family val="18"/>
          </rPr>
          <t>ML 10.274 IR 43 (1804) – Haupt Prati Komp. Nr. 111 (Budua 06/10/1804)</t>
        </r>
        <r>
          <rPr>
            <sz val="14"/>
            <color rgb="FF000000"/>
            <rFont val="Calibri"/>
            <family val="34"/>
          </rPr>
          <t xml:space="preserve">
</t>
        </r>
        <r>
          <rPr>
            <sz val="14"/>
            <color rgb="FF000000"/>
            <rFont val="Times New Roman"/>
            <family val="18"/>
          </rPr>
          <t>ML 10.275/6 IR 43 (1805) – IR 43 14. Fus Komp. Nr. 131 (Zara 01/10/1805)</t>
        </r>
        <r>
          <rPr>
            <sz val="14"/>
            <color rgb="FF000000"/>
            <rFont val="Calibri"/>
            <family val="34"/>
          </rPr>
          <t xml:space="preserve">
</t>
        </r>
        <r>
          <rPr>
            <sz val="14"/>
            <color rgb="FF000000"/>
            <rFont val="Times New Roman"/>
            <family val="18"/>
          </rPr>
          <t>ML 10.277/8 IR 43 (1806) – IR 43 4. Fus Komp. Nr. 85 (Laibach 01/12/1806)</t>
        </r>
        <r>
          <rPr>
            <sz val="14"/>
            <color rgb="FF000000"/>
            <rFont val="Calibri"/>
            <family val="34"/>
          </rPr>
          <t xml:space="preserve">
</t>
        </r>
        <r>
          <rPr>
            <sz val="14"/>
            <color rgb="FF000000"/>
            <rFont val="Times New Roman"/>
            <family val="18"/>
          </rPr>
          <t>ML 10.279 IR 43 (1808-10) – RL 4. Fus Komp. Nr. 71 (Laibach 06/09/1808) &amp; DL (Vordenberg 25/02/1810)</t>
        </r>
        <r>
          <rPr>
            <sz val="14"/>
            <color rgb="FF000000"/>
            <rFont val="Calibri"/>
            <family val="34"/>
          </rPr>
          <t xml:space="preserve">
</t>
        </r>
        <r>
          <rPr>
            <sz val="14"/>
            <color rgb="FF000000"/>
            <rFont val="Times New Roman"/>
            <family val="18"/>
          </rPr>
          <t>ML 10.311 IR 43 (1801) – ST Jänner (23/08/1804)</t>
        </r>
        <r>
          <rPr>
            <sz val="14"/>
            <color rgb="FF000000"/>
            <rFont val="Calibri"/>
            <family val="34"/>
          </rPr>
          <t xml:space="preserve">
</t>
        </r>
        <r>
          <rPr>
            <sz val="14"/>
            <color rgb="FF000000"/>
            <rFont val="Times New Roman"/>
            <family val="18"/>
          </rPr>
          <t>ML 10.315 IR 43 (1805) – ST August (15/09/1805)</t>
        </r>
        <r>
          <rPr>
            <sz val="14"/>
            <color rgb="FF000000"/>
            <rFont val="Calibri"/>
            <family val="34"/>
          </rPr>
          <t xml:space="preserve">
</t>
        </r>
        <r>
          <rPr>
            <sz val="14"/>
            <color rgb="FF000000"/>
            <rFont val="Times New Roman"/>
            <family val="18"/>
          </rPr>
          <t>ML 10.319 IR 43 (1807) – ST Juli (13/08/1807)</t>
        </r>
        <r>
          <rPr>
            <sz val="14"/>
            <color rgb="FF000000"/>
            <rFont val="Calibri"/>
            <family val="34"/>
          </rPr>
          <t xml:space="preserve">
</t>
        </r>
        <r>
          <rPr>
            <sz val="14"/>
            <color rgb="FF000000"/>
            <rFont val="Times New Roman"/>
            <family val="18"/>
          </rPr>
          <t>ML 10.323 IR 43 (1809) – ST März (??/??/1810) und Oktober (02/01/1811)</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634 IR 9 (1811) – 1. Fus Komp. – Abgang (Eperies 09/09/1811)</t>
        </r>
        <r>
          <rPr>
            <sz val="14"/>
            <color rgb="FF000000"/>
            <rFont val="Calibri"/>
            <family val="34"/>
          </rPr>
          <t xml:space="preserve">
</t>
        </r>
        <r>
          <rPr>
            <sz val="14"/>
            <color rgb="FF000000"/>
            <rFont val="Times New Roman"/>
            <family val="18"/>
          </rPr>
          <t>ML 6335 GB 1 (1812) – 2. Komp. Nr. 163 (Goreblastie 5/10/1812)</t>
        </r>
        <r>
          <rPr>
            <sz val="14"/>
            <color rgb="FF000000"/>
            <rFont val="Calibri"/>
            <family val="34"/>
          </rPr>
          <t xml:space="preserve">
</t>
        </r>
        <r>
          <rPr>
            <sz val="14"/>
            <color rgb="FF000000"/>
            <rFont val="Times New Roman"/>
            <family val="18"/>
          </rPr>
          <t>ML 6336 GB 1 (1813-14) – ST Feb (Lemberg 19/03/1814)</t>
        </r>
        <r>
          <rPr>
            <sz val="14"/>
            <color rgb="FF000000"/>
            <rFont val="Calibri"/>
            <family val="34"/>
          </rPr>
          <t xml:space="preserve">
</t>
        </r>
        <r>
          <rPr>
            <sz val="14"/>
            <color rgb="FF000000"/>
            <rFont val="Times New Roman"/>
            <family val="18"/>
          </rPr>
          <t>ML 10.867 FK Bukivianer 2. Bat (1813-14) – ST Feb (Czernowitz 15/08/1814)</t>
        </r>
        <r>
          <rPr>
            <sz val="14"/>
            <color rgb="FF000000"/>
            <rFont val="Calibri"/>
            <family val="34"/>
          </rPr>
          <t xml:space="preserve">
</t>
        </r>
        <r>
          <rPr>
            <sz val="14"/>
            <color rgb="FF000000"/>
            <rFont val="Times New Roman"/>
            <family val="18"/>
          </rPr>
          <t>ML 10.868 FK Bukovianer 2. Bat. (1815-16) – TL FK 2. Bukovianer FB-&gt; GB 1 Nr. 4 (Czernowitz 31/01/1816); ST 1816 Jän (Czernowitz 31/03/1816)</t>
        </r>
        <r>
          <rPr>
            <sz val="14"/>
            <color rgb="FF000000"/>
            <rFont val="Calibri"/>
            <family val="34"/>
          </rPr>
          <t xml:space="preserve">
</t>
        </r>
        <r>
          <rPr>
            <sz val="14"/>
            <color rgb="FF000000"/>
            <rFont val="Times New Roman"/>
            <family val="18"/>
          </rPr>
          <t xml:space="preserve">ML 6338 GB 1 (1816) – ST Jän (Suczawa 28/02/1816), Juli (Suczawa 20/01/1817) </t>
        </r>
        <r>
          <rPr>
            <sz val="14"/>
            <color rgb="FF000000"/>
            <rFont val="Calibri"/>
            <family val="34"/>
          </rPr>
          <t xml:space="preserve">
</t>
        </r>
      </text>
    </comment>
    <comment ref="BH756" authorId="0" shapeId="0" xr:uid="{8EADD74F-A39E-AF41-9EFA-81B82D940F9F}">
      <text>
        <r>
          <rPr>
            <sz val="14"/>
            <color rgb="FF000000"/>
            <rFont val="Calibri"/>
            <family val="34"/>
          </rPr>
          <t xml:space="preserve">IR 43 (1801-1809)
</t>
        </r>
        <r>
          <rPr>
            <sz val="14"/>
            <color rgb="FF000000"/>
            <rFont val="Calibri"/>
            <family val="34"/>
          </rPr>
          <t xml:space="preserve">9. StaabsInf (1809)
</t>
        </r>
        <r>
          <rPr>
            <sz val="14"/>
            <color rgb="FF000000"/>
            <rFont val="Calibri"/>
            <family val="34"/>
          </rPr>
          <t xml:space="preserve">IR 43 (1809)
</t>
        </r>
        <r>
          <rPr>
            <sz val="14"/>
            <color rgb="FF000000"/>
            <rFont val="Calibri"/>
            <family val="34"/>
          </rPr>
          <t xml:space="preserve">IR 9 (1810-1811)
</t>
        </r>
        <r>
          <rPr>
            <sz val="14"/>
            <color rgb="FF000000"/>
            <rFont val="Calibri"/>
            <family val="34"/>
          </rPr>
          <t xml:space="preserve">GB 1 (1811-1814)
</t>
        </r>
        <r>
          <rPr>
            <sz val="14"/>
            <color rgb="FF000000"/>
            <rFont val="Calibri"/>
            <family val="34"/>
          </rPr>
          <t xml:space="preserve">Bukow. FK 2. Bat (1814-1816)
</t>
        </r>
        <r>
          <rPr>
            <sz val="14"/>
            <color rgb="FF000000"/>
            <rFont val="Calibri"/>
            <family val="34"/>
          </rPr>
          <t>GB 1 (1814-1816)</t>
        </r>
      </text>
    </comment>
    <comment ref="BI756" authorId="0" shapeId="0" xr:uid="{9A57CD39-EDD4-2940-A09F-E86C56A2A6D3}">
      <text>
        <r>
          <rPr>
            <i/>
            <sz val="14"/>
            <color rgb="FF000000"/>
            <rFont val="Times New Roman"/>
            <family val="18"/>
          </rPr>
          <t>Gut</t>
        </r>
        <r>
          <rPr>
            <sz val="14"/>
            <color rgb="FF000000"/>
            <rFont val="Times New Roman"/>
            <family val="18"/>
          </rPr>
          <t xml:space="preserve"> (TL March 1810)
</t>
        </r>
        <r>
          <rPr>
            <i/>
            <sz val="14"/>
            <color rgb="FF000000"/>
            <rFont val="Times New Roman"/>
            <family val="18"/>
          </rPr>
          <t>Der Trunk zuweilen ergeben</t>
        </r>
        <r>
          <rPr>
            <sz val="14"/>
            <color rgb="FF000000"/>
            <rFont val="Times New Roman"/>
            <family val="18"/>
          </rPr>
          <t xml:space="preserve"> (TL Jan 1816)</t>
        </r>
      </text>
    </comment>
    <comment ref="CR756" authorId="0" shapeId="0" xr:uid="{B4C80B9C-4A1C-E24E-8FF0-A0A5FAA78049}">
      <text>
        <r>
          <rPr>
            <sz val="14"/>
            <color rgb="FF000000"/>
            <rFont val="Calibri"/>
            <family val="34"/>
          </rPr>
          <t xml:space="preserve">1802-3/09/16: Altglaubisch
</t>
        </r>
        <r>
          <rPr>
            <sz val="14"/>
            <color rgb="FF000000"/>
            <rFont val="Calibri"/>
            <family val="34"/>
          </rPr>
          <t>1804-6: Jüdisch</t>
        </r>
      </text>
    </comment>
    <comment ref="BF757" authorId="0" shapeId="0" xr:uid="{85FABC50-7310-F848-A041-9AF5BFDF4673}">
      <text>
        <r>
          <rPr>
            <sz val="14"/>
            <color rgb="FF000000"/>
            <rFont val="Times New Roman"/>
            <family val="18"/>
          </rPr>
          <t xml:space="preserve">03/02/1801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18/03/1801 </t>
        </r>
        <r>
          <rPr>
            <i/>
            <sz val="14"/>
            <color rgb="FF000000"/>
            <rFont val="Times New Roman"/>
            <family val="18"/>
          </rPr>
          <t>In dem Feldspital zu Görz gestorben</t>
        </r>
        <r>
          <rPr>
            <sz val="14"/>
            <color rgb="FF000000"/>
            <rFont val="Times New Roman"/>
            <family val="18"/>
          </rPr>
          <t xml:space="preserve"> [ML 1802]</t>
        </r>
        <r>
          <rPr>
            <sz val="14"/>
            <color rgb="FF000000"/>
            <rFont val="Calibri"/>
            <family val="34"/>
          </rPr>
          <t xml:space="preserve">
</t>
        </r>
      </text>
    </comment>
    <comment ref="BG757" authorId="0" shapeId="0" xr:uid="{0CB1D698-D6FD-2040-B40C-8C68312722EB}">
      <text>
        <r>
          <rPr>
            <sz val="14"/>
            <color rgb="FF000000"/>
            <rFont val="Times New Roman"/>
            <family val="18"/>
          </rPr>
          <t>ML 10.124 IR 23 (1802) – Haupt Rauch Komp. Abgang (Vienna 16/09/1802)</t>
        </r>
        <r>
          <rPr>
            <sz val="14"/>
            <color rgb="FF000000"/>
            <rFont val="Calibri"/>
            <family val="34"/>
          </rPr>
          <t xml:space="preserve">
</t>
        </r>
      </text>
    </comment>
    <comment ref="BH757" authorId="0" shapeId="0" xr:uid="{FCF60C97-287E-3D42-A2B7-E601EAC79DB7}">
      <text>
        <r>
          <rPr>
            <sz val="14"/>
            <color rgb="FF000000"/>
            <rFont val="Calibri"/>
            <family val="34"/>
          </rPr>
          <t>IR 23 (1801)</t>
        </r>
      </text>
    </comment>
    <comment ref="BF758" authorId="0" shapeId="0" xr:uid="{71A09C9F-FB8D-6941-878C-BB40A5CA07FB}">
      <text>
        <r>
          <rPr>
            <sz val="14"/>
            <color rgb="FF000000"/>
            <rFont val="Times New Roman"/>
            <family val="18"/>
          </rPr>
          <t xml:space="preserve">09/02/1801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758" authorId="0" shapeId="0" xr:uid="{C7B04114-5277-0F43-B325-64F0FA10D1B4}">
      <text>
        <r>
          <rPr>
            <sz val="14"/>
            <color rgb="FF000000"/>
            <rFont val="Times New Roman"/>
            <family val="18"/>
          </rPr>
          <t>ML 10.311 IR 43 (1801) – ST Feb (28/09/1804), Oct (21/07/1805)</t>
        </r>
        <r>
          <rPr>
            <sz val="14"/>
            <color rgb="FF000000"/>
            <rFont val="Calibri"/>
            <family val="34"/>
          </rPr>
          <t xml:space="preserve">
</t>
        </r>
        <r>
          <rPr>
            <sz val="14"/>
            <color rgb="FF000000"/>
            <rFont val="Times New Roman"/>
            <family val="18"/>
          </rPr>
          <t xml:space="preserve">
</t>
        </r>
      </text>
    </comment>
    <comment ref="BH758" authorId="0" shapeId="0" xr:uid="{BE9EE758-1CB7-794C-819B-FD7CF60F30B8}">
      <text>
        <r>
          <rPr>
            <sz val="14"/>
            <color rgb="FF000000"/>
            <rFont val="Calibri"/>
            <family val="34"/>
          </rPr>
          <t>IR 43 (1801)</t>
        </r>
      </text>
    </comment>
    <comment ref="BF759" authorId="0" shapeId="0" xr:uid="{D123CF9C-D35B-9748-AB32-482DB93EE910}">
      <text>
        <r>
          <rPr>
            <sz val="14"/>
            <color rgb="FF000000"/>
            <rFont val="Times New Roman"/>
            <family val="18"/>
          </rPr>
          <t xml:space="preserve">09/02/1801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31/08/1801 </t>
        </r>
        <r>
          <rPr>
            <i/>
            <sz val="14"/>
            <color rgb="FF000000"/>
            <rFont val="Times New Roman"/>
            <family val="18"/>
          </rPr>
          <t>Mit Laufpass entlassen</t>
        </r>
        <r>
          <rPr>
            <sz val="14"/>
            <color rgb="FF000000"/>
            <rFont val="Times New Roman"/>
            <family val="18"/>
          </rPr>
          <t xml:space="preserve"> [ST Aug 1801]</t>
        </r>
        <r>
          <rPr>
            <sz val="14"/>
            <color rgb="FF000000"/>
            <rFont val="Calibri"/>
            <family val="34"/>
          </rPr>
          <t xml:space="preserve">
</t>
        </r>
      </text>
    </comment>
    <comment ref="BG759" authorId="0" shapeId="0" xr:uid="{3C5A5A93-69D6-A741-8D44-EE3F24ED9E83}">
      <text>
        <r>
          <rPr>
            <sz val="14"/>
            <color rgb="FF000000"/>
            <rFont val="Times New Roman"/>
            <family val="18"/>
          </rPr>
          <t>ML 10.311 IR 43 (1801) – ST Feb (28/09/1804), Juni (20/06/1805), Aug (27/12/1803)</t>
        </r>
        <r>
          <rPr>
            <sz val="14"/>
            <color rgb="FF000000"/>
            <rFont val="Calibri"/>
            <family val="34"/>
          </rPr>
          <t xml:space="preserve">
</t>
        </r>
      </text>
    </comment>
    <comment ref="BH759" authorId="0" shapeId="0" xr:uid="{957BC8AD-CC65-FA44-96C8-CE09AFF1EE47}">
      <text>
        <r>
          <rPr>
            <sz val="14"/>
            <color rgb="FF000000"/>
            <rFont val="Calibri"/>
            <family val="34"/>
          </rPr>
          <t>IR 43 (1801)</t>
        </r>
      </text>
    </comment>
    <comment ref="B760" authorId="0" shapeId="0" xr:uid="{38483612-713D-0748-96F5-CB0C06AF5A9E}">
      <text>
        <r>
          <rPr>
            <sz val="10"/>
            <color rgb="FF000000"/>
            <rFont val="Tahoma"/>
            <family val="2"/>
          </rPr>
          <t xml:space="preserve">Jankel LOWY (1801-4/9)
</t>
        </r>
        <r>
          <rPr>
            <sz val="10"/>
            <color rgb="FF000000"/>
            <rFont val="Tahoma"/>
            <family val="2"/>
          </rPr>
          <t>Moises ALBEI (1808): Flase identity as deserters?</t>
        </r>
      </text>
    </comment>
    <comment ref="BF760" authorId="0" shapeId="0" xr:uid="{843C1E13-BBB1-784A-975D-CF32280EA74F}">
      <text>
        <r>
          <rPr>
            <sz val="14"/>
            <color rgb="FF000000"/>
            <rFont val="Times New Roman"/>
            <family val="18"/>
          </rPr>
          <t xml:space="preserve">09/02/1801 </t>
        </r>
        <r>
          <rPr>
            <i/>
            <sz val="14"/>
            <color rgb="FF000000"/>
            <rFont val="Times New Roman"/>
            <family val="18"/>
          </rPr>
          <t xml:space="preserve">von Ständen gestellt und seitdem auf anhero Marsch </t>
        </r>
        <r>
          <rPr>
            <i/>
            <sz val="14"/>
            <color rgb="FF000000"/>
            <rFont val="Times New Roman"/>
            <family val="18"/>
          </rPr>
          <t>mit Friedensgebühr</t>
        </r>
        <r>
          <rPr>
            <sz val="14"/>
            <color rgb="FF000000"/>
            <rFont val="Times New Roman"/>
            <family val="18"/>
          </rPr>
          <t xml:space="preserve"> </t>
        </r>
        <r>
          <rPr>
            <sz val="14"/>
            <color rgb="FF000000"/>
            <rFont val="Times New Roman"/>
            <family val="18"/>
          </rPr>
          <t>[ST Feb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??/??/1801 </t>
        </r>
        <r>
          <rPr>
            <i/>
            <sz val="14"/>
            <color rgb="FF000000"/>
            <rFont val="Times New Roman"/>
            <family val="18"/>
          </rPr>
          <t>von Reserve Division ins Haupt Barbo companie Transferiert</t>
        </r>
        <r>
          <rPr>
            <sz val="14"/>
            <color rgb="FF000000"/>
            <rFont val="Times New Roman"/>
            <family val="18"/>
          </rPr>
          <t xml:space="preserve"> [?? 180] </t>
        </r>
        <r>
          <rPr>
            <sz val="14"/>
            <color rgb="FF000000"/>
            <rFont val="Calibri"/>
            <family val="34"/>
          </rPr>
          <t xml:space="preserve">
</t>
        </r>
        <r>
          <rPr>
            <sz val="14"/>
            <color rgb="FF000000"/>
            <rFont val="Times New Roman"/>
            <family val="18"/>
          </rPr>
          <t>11/09/1802 Musterung: IR 43 Haupt Barbo Comp Nr. 128</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Musterung: IR 43 Haupt Römer Comp Nr. 116 [</t>
        </r>
        <r>
          <rPr>
            <i/>
            <sz val="14"/>
            <color rgb="FF000000"/>
            <rFont val="Times New Roman"/>
            <family val="18"/>
          </rPr>
          <t>Mit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23/11/1803 </t>
        </r>
        <r>
          <rPr>
            <i/>
            <sz val="14"/>
            <color rgb="FF000000"/>
            <rFont val="Times New Roman"/>
            <family val="18"/>
          </rPr>
          <t>von Urlaub aus Galizien desertiert</t>
        </r>
        <r>
          <rPr>
            <sz val="14"/>
            <color rgb="FF000000"/>
            <rFont val="Times New Roman"/>
            <family val="18"/>
          </rPr>
          <t xml:space="preserve"> [ST Jan 1804 &amp; ML 1804]</t>
        </r>
        <r>
          <rPr>
            <sz val="14"/>
            <color rgb="FF000000"/>
            <rFont val="Calibri"/>
            <family val="34"/>
          </rPr>
          <t xml:space="preserve">
</t>
        </r>
        <r>
          <rPr>
            <sz val="14"/>
            <color rgb="FF000000"/>
            <rFont val="Times New Roman"/>
            <family val="18"/>
          </rPr>
          <t xml:space="preserve">21/12/1808 </t>
        </r>
        <r>
          <rPr>
            <i/>
            <sz val="14"/>
            <color rgb="FF000000"/>
            <rFont val="Times New Roman"/>
            <family val="18"/>
          </rPr>
          <t>zu Lemberg Ohne Taglia attrapiert und seitdem auf anhero Marsch</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11/04/1809 </t>
        </r>
        <r>
          <rPr>
            <i/>
            <sz val="14"/>
            <color rgb="FF000000"/>
            <rFont val="Times New Roman"/>
            <family val="18"/>
          </rPr>
          <t>Ins Regiment eingerückt, zum 2. Depot Companie Eingeheilt und in Arrest genommen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14/04/1809 </t>
        </r>
        <r>
          <rPr>
            <i/>
            <sz val="14"/>
            <color rgb="FF000000"/>
            <rFont val="Times New Roman"/>
            <family val="18"/>
          </rPr>
          <t>Befreit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21/05/1809 </t>
        </r>
        <r>
          <rPr>
            <i/>
            <sz val="14"/>
            <color rgb="FF000000"/>
            <rFont val="Times New Roman"/>
            <family val="18"/>
          </rPr>
          <t>von 2. Depot zum 8. Fusilier Komp. transferiert</t>
        </r>
        <r>
          <rPr>
            <sz val="14"/>
            <color rgb="FF000000"/>
            <rFont val="Times New Roman"/>
            <family val="18"/>
          </rPr>
          <t xml:space="preserve"> [ST Mai 1809]</t>
        </r>
        <r>
          <rPr>
            <sz val="14"/>
            <color rgb="FF000000"/>
            <rFont val="Calibri"/>
            <family val="34"/>
          </rPr>
          <t xml:space="preserve">
</t>
        </r>
        <r>
          <rPr>
            <sz val="14"/>
            <color rgb="FF000000"/>
            <rFont val="Times New Roman"/>
            <family val="18"/>
          </rPr>
          <t xml:space="preserve">17/05/1809 </t>
        </r>
        <r>
          <rPr>
            <i/>
            <sz val="14"/>
            <color rgb="FF000000"/>
            <rFont val="Times New Roman"/>
            <family val="18"/>
          </rPr>
          <t xml:space="preserve">Beim Affraire zum Podgary vermisst </t>
        </r>
        <r>
          <rPr>
            <sz val="14"/>
            <color rgb="FF000000"/>
            <rFont val="Times New Roman"/>
            <family val="18"/>
          </rPr>
          <t>[ST Mai 1809]</t>
        </r>
      </text>
    </comment>
    <comment ref="BG760" authorId="0" shapeId="0" xr:uid="{F85E0CC5-7326-9645-82CC-8402A2C6150B}">
      <text>
        <r>
          <rPr>
            <sz val="14"/>
            <color rgb="FF000000"/>
            <rFont val="Calibri"/>
            <family val="34"/>
          </rPr>
          <t xml:space="preserve">ML 10.272 IR 43 (1802) – Haupt Barbo Nr. 128 (Zara 11/09/1802)
</t>
        </r>
        <r>
          <rPr>
            <sz val="14"/>
            <color rgb="FF000000"/>
            <rFont val="Calibri"/>
            <family val="34"/>
          </rPr>
          <t xml:space="preserve">ML 10.273 IR 43 (1803) – Haupt Römer Comp Nr. 116 (Zara 28/09/1803)
</t>
        </r>
        <r>
          <rPr>
            <sz val="14"/>
            <color rgb="FF000000"/>
            <rFont val="Calibri"/>
            <family val="34"/>
          </rPr>
          <t xml:space="preserve">ML 10.274 IR 43 (1804) – Haupt Prati – abgang (Budua 06/10/1804)
</t>
        </r>
        <r>
          <rPr>
            <sz val="14"/>
            <color rgb="FF000000"/>
            <rFont val="Calibri"/>
            <family val="34"/>
          </rPr>
          <t xml:space="preserve">ML 10.311 IR 43 (1801) – ST Feb (??/28/09/1804), Juni (??/06/1805)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10.314 IR 43 (1804) – ST Jänner (15/02/1804)
</t>
        </r>
        <r>
          <rPr>
            <sz val="14"/>
            <color rgb="FF000000"/>
            <rFont val="Calibri"/>
            <family val="34"/>
          </rPr>
          <t xml:space="preserve">ML 10.323 IR 43 (1809) – ST April (11/10/1810) und Mai (02/11/1810)
</t>
        </r>
      </text>
    </comment>
    <comment ref="BH760" authorId="0" shapeId="0" xr:uid="{BB19D667-9258-8B48-8254-6E96A2A46489}">
      <text>
        <r>
          <rPr>
            <sz val="14"/>
            <color rgb="FF000000"/>
            <rFont val="Calibri"/>
            <family val="34"/>
          </rPr>
          <t>IR 43 (1801-1809)</t>
        </r>
      </text>
    </comment>
    <comment ref="BF761" authorId="0" shapeId="0" xr:uid="{AB7F2994-0F8E-4C42-9DB2-505AF49D7E02}">
      <text>
        <r>
          <rPr>
            <sz val="14"/>
            <color rgb="FF000000"/>
            <rFont val="Times New Roman"/>
            <family val="18"/>
          </rPr>
          <t xml:space="preserve">09/02/1801 </t>
        </r>
        <r>
          <rPr>
            <i/>
            <sz val="14"/>
            <color rgb="FF000000"/>
            <rFont val="Times New Roman"/>
            <family val="18"/>
          </rPr>
          <t>Dient seit ex concreto</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06/05/1801 </t>
        </r>
        <r>
          <rPr>
            <i/>
            <sz val="14"/>
            <color rgb="FF000000"/>
            <rFont val="Times New Roman"/>
            <family val="18"/>
          </rPr>
          <t>Von Dissolvierte Reserve Division 3. Abt. zur Haupt Friesch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Friesch Komp. Nr. 198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31/01/1803 </t>
        </r>
        <r>
          <rPr>
            <i/>
            <sz val="14"/>
            <color rgb="FF000000"/>
            <rFont val="Times New Roman"/>
            <family val="18"/>
          </rPr>
          <t>Von IR 3 Haupt Friesch Komp. zum IR 55 transferiert</t>
        </r>
        <r>
          <rPr>
            <sz val="14"/>
            <color rgb="FF000000"/>
            <rFont val="Times New Roman"/>
            <family val="18"/>
          </rPr>
          <t xml:space="preserve"> [ML 1803]</t>
        </r>
      </text>
    </comment>
    <comment ref="BG761" authorId="0" shapeId="0" xr:uid="{845CF5B9-4116-AA43-B536-1F83582A1571}">
      <text>
        <r>
          <rPr>
            <sz val="14"/>
            <color rgb="FF000000"/>
            <rFont val="Times New Roman"/>
            <family val="18"/>
          </rPr>
          <t>ML 234-6 IR 3 (1802) – Haupt Friesch Komp. Nr. 198 (Vienna 15/09/1802)</t>
        </r>
        <r>
          <rPr>
            <sz val="14"/>
            <color rgb="FF000000"/>
            <rFont val="Calibri"/>
            <family val="34"/>
          </rPr>
          <t xml:space="preserve">
</t>
        </r>
        <r>
          <rPr>
            <sz val="14"/>
            <color rgb="FF000000"/>
            <rFont val="Times New Roman"/>
            <family val="18"/>
          </rPr>
          <t>ML 237/8 IR 3 (1803) – Haupt Friesch Komp. Abgang (Vienna 03/09/1803)</t>
        </r>
        <r>
          <rPr>
            <sz val="14"/>
            <color rgb="FF000000"/>
            <rFont val="Calibri"/>
            <family val="34"/>
          </rPr>
          <t xml:space="preserve">
</t>
        </r>
      </text>
    </comment>
    <comment ref="BH761" authorId="0" shapeId="0" xr:uid="{B98EBFAE-941B-5549-A853-B9CB9E68B43A}">
      <text>
        <r>
          <rPr>
            <sz val="14"/>
            <color rgb="FF000000"/>
            <rFont val="Calibri"/>
            <family val="34"/>
          </rPr>
          <t xml:space="preserve">IR 3 (1801-1803)
</t>
        </r>
        <r>
          <rPr>
            <sz val="14"/>
            <color rgb="FF000000"/>
            <rFont val="Calibri"/>
            <family val="34"/>
          </rPr>
          <t>IR 55 (1803)</t>
        </r>
      </text>
    </comment>
    <comment ref="BF762" authorId="0" shapeId="0" xr:uid="{79B26F56-D784-334B-A4B8-427AFBE7B08B}">
      <text>
        <r>
          <rPr>
            <sz val="14"/>
            <color rgb="FF000000"/>
            <rFont val="Times New Roman"/>
            <family val="18"/>
          </rPr>
          <t xml:space="preserve">09/02/1801 </t>
        </r>
        <r>
          <rPr>
            <i/>
            <sz val="14"/>
            <color rgb="FF000000"/>
            <rFont val="Times New Roman"/>
            <family val="18"/>
          </rPr>
          <t xml:space="preserve">Landständisch gestellt </t>
        </r>
        <r>
          <rPr>
            <sz val="14"/>
            <color rgb="FF000000"/>
            <rFont val="Times New Roman"/>
            <family val="18"/>
          </rPr>
          <t>[ML 1802]</t>
        </r>
        <r>
          <rPr>
            <sz val="14"/>
            <color rgb="FF000000"/>
            <rFont val="Calibri"/>
            <family val="34"/>
          </rPr>
          <t xml:space="preserve">
</t>
        </r>
        <r>
          <rPr>
            <sz val="14"/>
            <color rgb="FF000000"/>
            <rFont val="Times New Roman"/>
            <family val="18"/>
          </rPr>
          <t xml:space="preserve">06/05/1801 </t>
        </r>
        <r>
          <rPr>
            <i/>
            <sz val="14"/>
            <color rgb="FF000000"/>
            <rFont val="Times New Roman"/>
            <family val="18"/>
          </rPr>
          <t>Von Dissolvierte Reserve Division 3. Abt. zur Haupt Baumgartner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Baumgartner Komp. Nr. 175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03/09/1803 Muster: IR 3 Haupt Baumgartner Komp. Nr. 151 [</t>
        </r>
        <r>
          <rPr>
            <i/>
            <sz val="14"/>
            <color rgb="FF000000"/>
            <rFont val="Times New Roman"/>
            <family val="18"/>
          </rPr>
          <t>Bis zur Einberufung beurlaubt nach Tarnow</t>
        </r>
        <r>
          <rPr>
            <sz val="14"/>
            <color rgb="FF000000"/>
            <rFont val="Times New Roman"/>
            <family val="18"/>
          </rPr>
          <t>]</t>
        </r>
        <r>
          <rPr>
            <sz val="14"/>
            <color rgb="FF000000"/>
            <rFont val="Calibri"/>
            <family val="34"/>
          </rPr>
          <t xml:space="preserve">
</t>
        </r>
        <r>
          <rPr>
            <sz val="14"/>
            <color rgb="FF000000"/>
            <rFont val="Times New Roman"/>
            <family val="18"/>
          </rPr>
          <t xml:space="preserve">10/02/1804 </t>
        </r>
        <r>
          <rPr>
            <i/>
            <sz val="14"/>
            <color rgb="FF000000"/>
            <rFont val="Times New Roman"/>
            <family val="18"/>
          </rPr>
          <t>Vom IR 3 Haupt. Baumgartner Komp. zum Modena Infanterie</t>
        </r>
        <r>
          <rPr>
            <sz val="14"/>
            <color rgb="FF000000"/>
            <rFont val="Times New Roman"/>
            <family val="18"/>
          </rPr>
          <t xml:space="preserve"> </t>
        </r>
        <r>
          <rPr>
            <b/>
            <sz val="14"/>
            <color rgb="FF000000"/>
            <rFont val="Times New Roman"/>
            <family val="18"/>
          </rPr>
          <t>[IR 35]</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1804]</t>
        </r>
      </text>
    </comment>
    <comment ref="BG762" authorId="0" shapeId="0" xr:uid="{7D09D7E1-7100-3D4C-9F41-BAF759F31F3A}">
      <text>
        <r>
          <rPr>
            <sz val="14"/>
            <color rgb="FF000000"/>
            <rFont val="Times New Roman"/>
            <family val="18"/>
          </rPr>
          <t>ML 234-6 IR 3 (1802) – Haupt Baumgartner Komp. Nr. 175 (Vienna 15/09/1802)</t>
        </r>
        <r>
          <rPr>
            <sz val="14"/>
            <color rgb="FF000000"/>
            <rFont val="Calibri"/>
            <family val="34"/>
          </rPr>
          <t xml:space="preserve">
</t>
        </r>
        <r>
          <rPr>
            <sz val="14"/>
            <color rgb="FF000000"/>
            <rFont val="Times New Roman"/>
            <family val="18"/>
          </rPr>
          <t>ML 237/8 IR 3 (1803) – Haupt Baumgartner Komp. Nr. 151 (Vienna 03/09/1803)</t>
        </r>
        <r>
          <rPr>
            <sz val="14"/>
            <color rgb="FF000000"/>
            <rFont val="Calibri"/>
            <family val="34"/>
          </rPr>
          <t xml:space="preserve">
</t>
        </r>
        <r>
          <rPr>
            <sz val="14"/>
            <color rgb="FF000000"/>
            <rFont val="Times New Roman"/>
            <family val="18"/>
          </rPr>
          <t>ML 239 IR 3 (1804) – Haupt Baumgartner Komp. Abgang (Vienna 05/09/1804)</t>
        </r>
        <r>
          <rPr>
            <sz val="14"/>
            <color rgb="FF000000"/>
            <rFont val="Calibri"/>
            <family val="34"/>
          </rPr>
          <t xml:space="preserve">
</t>
        </r>
      </text>
    </comment>
    <comment ref="BH762" authorId="0" shapeId="0" xr:uid="{BC877E13-98B4-5042-896B-E6E43377BAC3}">
      <text>
        <r>
          <rPr>
            <sz val="14"/>
            <color rgb="FF000000"/>
            <rFont val="Calibri"/>
            <family val="34"/>
          </rPr>
          <t xml:space="preserve">IR 3 (1801-1804)
</t>
        </r>
        <r>
          <rPr>
            <sz val="14"/>
            <color rgb="FF000000"/>
            <rFont val="Calibri"/>
            <family val="34"/>
          </rPr>
          <t>IR 35 (1804)</t>
        </r>
      </text>
    </comment>
    <comment ref="K763" authorId="0" shapeId="0" xr:uid="{593A5DB5-BD59-9945-B2D3-95DE666CE577}">
      <text>
        <r>
          <rPr>
            <sz val="14"/>
            <color rgb="FF000000"/>
            <rFont val="Calibri"/>
            <family val="34"/>
          </rPr>
          <t xml:space="preserve">Ohne  (1802)
</t>
        </r>
        <r>
          <rPr>
            <b/>
            <sz val="14"/>
            <color rgb="FF000000"/>
            <rFont val="Calibri"/>
            <family val="34"/>
          </rPr>
          <t>Schneider (1803)</t>
        </r>
      </text>
    </comment>
    <comment ref="BF763" authorId="0" shapeId="0" xr:uid="{47B04FF2-C386-E540-B649-FA3376BD9997}">
      <text>
        <r>
          <rPr>
            <sz val="14"/>
            <color rgb="FF000000"/>
            <rFont val="Times New Roman"/>
            <family val="18"/>
          </rPr>
          <t xml:space="preserve">10/02/1801 </t>
        </r>
        <r>
          <rPr>
            <i/>
            <sz val="14"/>
            <color rgb="FF000000"/>
            <rFont val="Times New Roman"/>
            <family val="18"/>
          </rPr>
          <t>Dient seit als landständischer Rekrut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06/05/1801 </t>
        </r>
        <r>
          <rPr>
            <i/>
            <sz val="14"/>
            <color rgb="FF000000"/>
            <rFont val="Times New Roman"/>
            <family val="18"/>
          </rPr>
          <t>Von Dissolvierte Reserve Division 3. Abt. zur Haupt Friesch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Halla Komp. Nr. 66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03/09/1803 Muster: IR 3 Haupt Halla Komp. Nr. 57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10/02/1804 </t>
        </r>
        <r>
          <rPr>
            <i/>
            <sz val="14"/>
            <color rgb="FF000000"/>
            <rFont val="Times New Roman"/>
            <family val="18"/>
          </rPr>
          <t>Von IR 3 Haupt Halla Komp. zum Loss Reuß</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t>
        </r>
        <r>
          <rPr>
            <i/>
            <sz val="14"/>
            <color rgb="FF000000"/>
            <rFont val="Times New Roman"/>
            <family val="18"/>
          </rPr>
          <t>als reklamierter Deserteur transferiert</t>
        </r>
        <r>
          <rPr>
            <sz val="14"/>
            <color rgb="FF000000"/>
            <rFont val="Times New Roman"/>
            <family val="18"/>
          </rPr>
          <t xml:space="preserve"> ML 1804]</t>
        </r>
      </text>
    </comment>
    <comment ref="BG763" authorId="0" shapeId="0" xr:uid="{25171E53-1DBD-2143-8220-84F329C89F31}">
      <text>
        <r>
          <rPr>
            <sz val="14"/>
            <color rgb="FF000000"/>
            <rFont val="Times New Roman"/>
            <family val="18"/>
          </rPr>
          <t>ML 234-6 IR 3 (1802) – Haupt Halla Komp. Nr. 66 (Vienna 15/09/1802)</t>
        </r>
        <r>
          <rPr>
            <sz val="14"/>
            <color rgb="FF000000"/>
            <rFont val="Calibri"/>
            <family val="34"/>
          </rPr>
          <t xml:space="preserve">
</t>
        </r>
        <r>
          <rPr>
            <sz val="14"/>
            <color rgb="FF000000"/>
            <rFont val="Times New Roman"/>
            <family val="18"/>
          </rPr>
          <t>ML 237/8 IR 3 (1803) – Haupt Halla Komp. Nr. 57 (Vienna 03/09/1803)</t>
        </r>
        <r>
          <rPr>
            <sz val="14"/>
            <color rgb="FF000000"/>
            <rFont val="Calibri"/>
            <family val="34"/>
          </rPr>
          <t xml:space="preserve">
</t>
        </r>
        <r>
          <rPr>
            <sz val="14"/>
            <color rgb="FF000000"/>
            <rFont val="Times New Roman"/>
            <family val="18"/>
          </rPr>
          <t>ML 239 IR 3 (1804) – Haupt Halla Komp. Abgang (Vienna 05/09/1804)</t>
        </r>
        <r>
          <rPr>
            <sz val="14"/>
            <color rgb="FF000000"/>
            <rFont val="Calibri"/>
            <family val="34"/>
          </rPr>
          <t xml:space="preserve">
</t>
        </r>
      </text>
    </comment>
    <comment ref="BH763" authorId="0" shapeId="0" xr:uid="{015F74B5-9EC5-DB4D-A200-28064113030E}">
      <text>
        <r>
          <rPr>
            <sz val="14"/>
            <color rgb="FF000000"/>
            <rFont val="Calibri"/>
            <family val="34"/>
          </rPr>
          <t xml:space="preserve">IR 17 (????)
</t>
        </r>
        <r>
          <rPr>
            <sz val="14"/>
            <color rgb="FF000000"/>
            <rFont val="Calibri"/>
            <family val="34"/>
          </rPr>
          <t xml:space="preserve">IR 3 (1801-1804)
</t>
        </r>
        <r>
          <rPr>
            <sz val="14"/>
            <color rgb="FF000000"/>
            <rFont val="Calibri"/>
            <family val="34"/>
          </rPr>
          <t>IR 17 (1804)</t>
        </r>
      </text>
    </comment>
    <comment ref="BF764" authorId="0" shapeId="0" xr:uid="{334489A2-9662-094C-8BA0-5668C0A98E89}">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10/08/1801 </t>
        </r>
        <r>
          <rPr>
            <i/>
            <sz val="14"/>
            <color rgb="FF000000"/>
            <rFont val="Times New Roman"/>
            <family val="18"/>
          </rPr>
          <t>Zu Prager Invaliden Haus zur Versorgung</t>
        </r>
        <r>
          <rPr>
            <sz val="14"/>
            <color rgb="FF000000"/>
            <rFont val="Times New Roman"/>
            <family val="18"/>
          </rPr>
          <t xml:space="preserve"> [ML 1802]</t>
        </r>
        <r>
          <rPr>
            <sz val="14"/>
            <color rgb="FF000000"/>
            <rFont val="Times New Roman"/>
            <family val="18"/>
          </rPr>
          <t xml:space="preserve">
</t>
        </r>
      </text>
    </comment>
    <comment ref="BG764" authorId="0" shapeId="0" xr:uid="{5C581121-1A63-994A-8068-3317A7D73BB6}">
      <text>
        <r>
          <rPr>
            <sz val="14"/>
            <color rgb="FF000000"/>
            <rFont val="Times New Roman"/>
            <family val="18"/>
          </rPr>
          <t>ML 804/5 IR 11 (1802) – Haupt Schloisingg Komp. Abgang (Prague 16/09/1802)</t>
        </r>
        <r>
          <rPr>
            <sz val="14"/>
            <color rgb="FF000000"/>
            <rFont val="Times New Roman"/>
            <family val="18"/>
          </rPr>
          <t xml:space="preserve">
</t>
        </r>
        <r>
          <rPr>
            <sz val="14"/>
            <color rgb="FF000000"/>
            <rFont val="Times New Roman"/>
            <family val="18"/>
          </rPr>
          <t xml:space="preserve">
</t>
        </r>
      </text>
    </comment>
    <comment ref="BH764" authorId="0" shapeId="0" xr:uid="{C804219A-37DF-2348-9A80-8E3194EABC66}">
      <text>
        <r>
          <rPr>
            <sz val="14"/>
            <color rgb="FF000000"/>
            <rFont val="Calibri"/>
            <family val="34"/>
          </rPr>
          <t xml:space="preserve">IR 11 (1801)
</t>
        </r>
        <r>
          <rPr>
            <sz val="14"/>
            <color rgb="FF000000"/>
            <rFont val="Calibri"/>
            <family val="34"/>
          </rPr>
          <t>InvH Prag (1801)</t>
        </r>
      </text>
    </comment>
    <comment ref="BF765" authorId="0" shapeId="0" xr:uid="{D7350AE2-6F9A-BF48-B9C7-26313E87538B}">
      <text>
        <r>
          <rPr>
            <sz val="14"/>
            <color rgb="FF000000"/>
            <rFont val="Times New Roman"/>
            <family val="18"/>
          </rPr>
          <t xml:space="preserve">11/02/1801 [Bevor] </t>
        </r>
        <r>
          <rPr>
            <i/>
            <sz val="14"/>
            <color rgb="FF000000"/>
            <rFont val="Times New Roman"/>
            <family val="18"/>
          </rPr>
          <t>Assentiert</t>
        </r>
        <r>
          <rPr>
            <sz val="14"/>
            <color rgb="FF000000"/>
            <rFont val="Times New Roman"/>
            <family val="18"/>
          </rPr>
          <t xml:space="preserve"> [ML 1802]
</t>
        </r>
        <r>
          <rPr>
            <sz val="14"/>
            <color rgb="FF000000"/>
            <rFont val="Times New Roman"/>
            <family val="18"/>
          </rPr>
          <t xml:space="preserve">11/02/1801 [Bevor] </t>
        </r>
        <r>
          <rPr>
            <i/>
            <sz val="14"/>
            <color rgb="FF000000"/>
            <rFont val="Times New Roman"/>
            <family val="18"/>
          </rPr>
          <t>Kriegsgefangen</t>
        </r>
        <r>
          <rPr>
            <sz val="14"/>
            <color rgb="FF000000"/>
            <rFont val="Times New Roman"/>
            <family val="18"/>
          </rPr>
          <t xml:space="preserve"> [ML 1802]
</t>
        </r>
        <r>
          <rPr>
            <sz val="14"/>
            <color rgb="FF000000"/>
            <rFont val="Times New Roman"/>
            <family val="18"/>
          </rPr>
          <t xml:space="preserve">21/12/1801 </t>
        </r>
        <r>
          <rPr>
            <i/>
            <sz val="14"/>
            <color rgb="FF000000"/>
            <rFont val="Times New Roman"/>
            <family val="18"/>
          </rPr>
          <t>Von Kriegsgefangenschaft ranzioniert</t>
        </r>
        <r>
          <rPr>
            <sz val="14"/>
            <color rgb="FF000000"/>
            <rFont val="Times New Roman"/>
            <family val="18"/>
          </rPr>
          <t xml:space="preserve"> [ML 1802]
</t>
        </r>
        <r>
          <rPr>
            <sz val="14"/>
            <color rgb="FF000000"/>
            <rFont val="Times New Roman"/>
            <family val="18"/>
          </rPr>
          <t xml:space="preserve">21/02/1802 </t>
        </r>
        <r>
          <rPr>
            <i/>
            <sz val="14"/>
            <color rgb="FF000000"/>
            <rFont val="Times New Roman"/>
            <family val="18"/>
          </rPr>
          <t>Von IR 11 Haupt Stampach Komp. zum Morzin Infanterie</t>
        </r>
        <r>
          <rPr>
            <sz val="14"/>
            <color rgb="FF000000"/>
            <rFont val="Times New Roman"/>
            <family val="18"/>
          </rPr>
          <t xml:space="preserve"> </t>
        </r>
        <r>
          <rPr>
            <b/>
            <sz val="14"/>
            <color rgb="FF000000"/>
            <rFont val="Times New Roman"/>
            <family val="18"/>
          </rPr>
          <t>[IR 54]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text>
    </comment>
    <comment ref="BG765" authorId="0" shapeId="0" xr:uid="{BFC2E0C6-22FD-C44E-9C84-CA423992F313}">
      <text>
        <r>
          <rPr>
            <sz val="14"/>
            <color rgb="FF000000"/>
            <rFont val="Times New Roman"/>
            <family val="18"/>
          </rPr>
          <t xml:space="preserve">ML 804/5 IR 11 (1802) – Haupt Stampach Komp. Abgang (Wisotczan 17/09/1802)
</t>
        </r>
      </text>
    </comment>
    <comment ref="BH765" authorId="0" shapeId="0" xr:uid="{1DAD5BB5-1558-3849-B9CE-E1F5D624CF7E}">
      <text>
        <r>
          <rPr>
            <sz val="14"/>
            <color rgb="FF000000"/>
            <rFont val="Calibri"/>
            <family val="34"/>
          </rPr>
          <t xml:space="preserve">IR 11 (1801-1802)
</t>
        </r>
        <r>
          <rPr>
            <sz val="14"/>
            <color rgb="FF000000"/>
            <rFont val="Calibri"/>
            <family val="34"/>
          </rPr>
          <t>IR 54 (1802)</t>
        </r>
      </text>
    </comment>
    <comment ref="BF766" authorId="0" shapeId="0" xr:uid="{E4BFFF08-6C8B-B141-9C7B-A5154016AA29}">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[1802]
</t>
        </r>
        <r>
          <rPr>
            <sz val="14"/>
            <color rgb="FF000000"/>
            <rFont val="Times New Roman"/>
            <family val="18"/>
          </rPr>
          <t xml:space="preserve">11/02/1801 [Vor] </t>
        </r>
        <r>
          <rPr>
            <i/>
            <sz val="14"/>
            <color rgb="FF000000"/>
            <rFont val="Times New Roman"/>
            <family val="18"/>
          </rPr>
          <t>Kriegsgefangen</t>
        </r>
        <r>
          <rPr>
            <sz val="14"/>
            <color rgb="FF000000"/>
            <rFont val="Times New Roman"/>
            <family val="18"/>
          </rPr>
          <t xml:space="preserve"> [ML 1802]
</t>
        </r>
        <r>
          <rPr>
            <sz val="14"/>
            <color rgb="FF000000"/>
            <rFont val="Times New Roman"/>
            <family val="18"/>
          </rPr>
          <t xml:space="preserve">18/05/1801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 xml:space="preserve">20/01/1802 </t>
        </r>
        <r>
          <rPr>
            <i/>
            <sz val="14"/>
            <color rgb="FF000000"/>
            <rFont val="Times New Roman"/>
            <family val="18"/>
          </rPr>
          <t>Zu Prager Invaliden Haus zur Versorgung</t>
        </r>
        <r>
          <rPr>
            <sz val="14"/>
            <color rgb="FF000000"/>
            <rFont val="Times New Roman"/>
            <family val="18"/>
          </rPr>
          <t xml:space="preserve"> [ML 1802]</t>
        </r>
      </text>
    </comment>
    <comment ref="BG766" authorId="0" shapeId="0" xr:uid="{09D803D5-DD62-E747-914D-A448793C026F}">
      <text>
        <r>
          <rPr>
            <sz val="14"/>
            <color rgb="FF000000"/>
            <rFont val="Times New Roman"/>
            <family val="18"/>
          </rPr>
          <t xml:space="preserve">ML 804/5 IR 11 (1802) – Haupt Baumgarten Komp. Abgang (Prague 16/09/1802)
</t>
        </r>
        <r>
          <rPr>
            <sz val="14"/>
            <color rgb="FF000000"/>
            <rFont val="Times New Roman"/>
            <family val="18"/>
          </rPr>
          <t xml:space="preserve">
</t>
        </r>
      </text>
    </comment>
    <comment ref="BH766" authorId="0" shapeId="0" xr:uid="{60A1119D-A0EB-7E49-869A-AC8D173B5BF0}">
      <text>
        <r>
          <rPr>
            <sz val="14"/>
            <color rgb="FF000000"/>
            <rFont val="Calibri"/>
            <family val="34"/>
          </rPr>
          <t xml:space="preserve">IR 11 (1801-1802)
</t>
        </r>
        <r>
          <rPr>
            <sz val="14"/>
            <color rgb="FF000000"/>
            <rFont val="Calibri"/>
            <family val="34"/>
          </rPr>
          <t>InvH Prag (1802)</t>
        </r>
      </text>
    </comment>
    <comment ref="BF767" authorId="0" shapeId="0" xr:uid="{48BBAED9-D38F-0144-B35C-45F6B34B7322}">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[1802]
</t>
        </r>
        <r>
          <rPr>
            <sz val="14"/>
            <color rgb="FF000000"/>
            <rFont val="Times New Roman"/>
            <family val="18"/>
          </rPr>
          <t xml:space="preserve">11/02/1801 [Vor] </t>
        </r>
        <r>
          <rPr>
            <i/>
            <sz val="14"/>
            <color rgb="FF000000"/>
            <rFont val="Times New Roman"/>
            <family val="18"/>
          </rPr>
          <t>Kriegsgefangen</t>
        </r>
        <r>
          <rPr>
            <sz val="14"/>
            <color rgb="FF000000"/>
            <rFont val="Times New Roman"/>
            <family val="18"/>
          </rPr>
          <t xml:space="preserve"> [ML 1802]
</t>
        </r>
        <r>
          <rPr>
            <sz val="14"/>
            <color rgb="FF000000"/>
            <rFont val="Times New Roman"/>
            <family val="18"/>
          </rPr>
          <t xml:space="preserve">08/07/1801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 xml:space="preserve">30/06/1802 </t>
        </r>
        <r>
          <rPr>
            <i/>
            <sz val="14"/>
            <color rgb="FF000000"/>
            <rFont val="Times New Roman"/>
            <family val="18"/>
          </rPr>
          <t>Von IR 11 Haupt Barbarini Komp. zum Wilhelm Schröder</t>
        </r>
        <r>
          <rPr>
            <sz val="14"/>
            <color rgb="FF000000"/>
            <rFont val="Times New Roman"/>
            <family val="18"/>
          </rPr>
          <t xml:space="preserve"> </t>
        </r>
        <r>
          <rPr>
            <b/>
            <sz val="14"/>
            <color rgb="FF000000"/>
            <rFont val="Times New Roman"/>
            <family val="18"/>
          </rPr>
          <t>[IR 26]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text>
    </comment>
    <comment ref="BG767" authorId="0" shapeId="0" xr:uid="{79DC208A-FE48-594E-ABBF-E3520EA664B1}">
      <text>
        <r>
          <rPr>
            <sz val="14"/>
            <color rgb="FF000000"/>
            <rFont val="Times New Roman"/>
            <family val="18"/>
          </rPr>
          <t xml:space="preserve">ML 804/5 IR 11 (1802) – Haupt Barbarini Komp. Abgang (Wisotczan 17/09/1802)
</t>
        </r>
      </text>
    </comment>
    <comment ref="BH767" authorId="0" shapeId="0" xr:uid="{2D565331-BB41-7148-920E-62A78B5850C2}">
      <text>
        <r>
          <rPr>
            <sz val="14"/>
            <color rgb="FF000000"/>
            <rFont val="Calibri"/>
            <family val="34"/>
          </rPr>
          <t xml:space="preserve">IR 11 (1801-1802)
</t>
        </r>
        <r>
          <rPr>
            <sz val="14"/>
            <color rgb="FF000000"/>
            <rFont val="Calibri"/>
            <family val="34"/>
          </rPr>
          <t>IR 26 (1802)</t>
        </r>
      </text>
    </comment>
    <comment ref="BF768" authorId="0" shapeId="0" xr:uid="{7AE5F3B2-378F-C647-B232-74C05BD45861}">
      <text>
        <r>
          <rPr>
            <sz val="14"/>
            <color rgb="FF000000"/>
            <rFont val="Times New Roman"/>
            <family val="18"/>
          </rPr>
          <t xml:space="preserve">11/02/1801 [Bevor] </t>
        </r>
        <r>
          <rPr>
            <i/>
            <sz val="14"/>
            <color rgb="FF000000"/>
            <rFont val="Times New Roman"/>
            <family val="18"/>
          </rPr>
          <t>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16/04/1801 </t>
        </r>
        <r>
          <rPr>
            <i/>
            <sz val="14"/>
            <color rgb="FF000000"/>
            <rFont val="Times New Roman"/>
            <family val="18"/>
          </rPr>
          <t>Von Artillerie handleger anhero</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30/06/1802 </t>
        </r>
        <r>
          <rPr>
            <i/>
            <sz val="14"/>
            <color rgb="FF000000"/>
            <rFont val="Times New Roman"/>
            <family val="18"/>
          </rPr>
          <t>Von IR 11 ObristLt Komp. zum Wilhelm Schr</t>
        </r>
        <r>
          <rPr>
            <i/>
            <sz val="14"/>
            <color rgb="FF000000"/>
            <rFont val="Times New Roman"/>
            <family val="18"/>
          </rPr>
          <t>ö</t>
        </r>
        <r>
          <rPr>
            <i/>
            <sz val="14"/>
            <color rgb="FF000000"/>
            <rFont val="Times New Roman"/>
            <family val="18"/>
          </rPr>
          <t xml:space="preserve">der Infanterie </t>
        </r>
        <r>
          <rPr>
            <b/>
            <sz val="14"/>
            <color rgb="FF000000"/>
            <rFont val="Times New Roman"/>
            <family val="18"/>
          </rPr>
          <t xml:space="preserve">[IR 26] </t>
        </r>
        <r>
          <rPr>
            <i/>
            <sz val="14"/>
            <color rgb="FF000000"/>
            <rFont val="Times New Roman"/>
            <family val="18"/>
          </rPr>
          <t>transferiert</t>
        </r>
        <r>
          <rPr>
            <sz val="14"/>
            <color rgb="FF000000"/>
            <rFont val="Times New Roman"/>
            <family val="18"/>
          </rPr>
          <t xml:space="preserve"> [ML 1802]</t>
        </r>
        <r>
          <rPr>
            <sz val="14"/>
            <color rgb="FF000000"/>
            <rFont val="Times New Roman"/>
            <family val="18"/>
          </rPr>
          <t xml:space="preserve">
</t>
        </r>
      </text>
    </comment>
    <comment ref="BG768" authorId="0" shapeId="0" xr:uid="{4C32C404-BE02-6F4F-9E4D-9A88B0F06976}">
      <text>
        <r>
          <rPr>
            <sz val="14"/>
            <color rgb="FF000000"/>
            <rFont val="Times New Roman"/>
            <family val="18"/>
          </rPr>
          <t>ML 804/5 IR 11 (1802) – ObristLt. Komp. Abgang (Prag 16/09/1802)</t>
        </r>
        <r>
          <rPr>
            <sz val="14"/>
            <color rgb="FF000000"/>
            <rFont val="Times New Roman"/>
            <family val="18"/>
          </rPr>
          <t xml:space="preserve">
</t>
        </r>
      </text>
    </comment>
    <comment ref="BH768" authorId="0" shapeId="0" xr:uid="{73695887-FD8A-D443-848F-5754AFBDC679}">
      <text>
        <r>
          <rPr>
            <sz val="14"/>
            <color rgb="FF000000"/>
            <rFont val="Calibri"/>
            <family val="34"/>
          </rPr>
          <t xml:space="preserve">IR 11 (1801-1802)
</t>
        </r>
        <r>
          <rPr>
            <sz val="14"/>
            <color rgb="FF000000"/>
            <rFont val="Calibri"/>
            <family val="34"/>
          </rPr>
          <t>IR 26 (1802)</t>
        </r>
      </text>
    </comment>
    <comment ref="BF769" authorId="0" shapeId="0" xr:uid="{56FE3213-4E94-9A49-9448-E71C35FB9CEF}">
      <text>
        <r>
          <rPr>
            <sz val="14"/>
            <color rgb="FF000000"/>
            <rFont val="Times New Roman"/>
            <family val="18"/>
          </rPr>
          <t xml:space="preserve">11/02/1802 [Bevor] </t>
        </r>
        <r>
          <rPr>
            <i/>
            <sz val="14"/>
            <color rgb="FF000000"/>
            <rFont val="Times New Roman"/>
            <family val="18"/>
          </rPr>
          <t>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06/05/1802 </t>
        </r>
        <r>
          <rPr>
            <i/>
            <sz val="14"/>
            <color rgb="FF000000"/>
            <rFont val="Times New Roman"/>
            <family val="18"/>
          </rPr>
          <t>Von Schloissing zur Haupt Strauss Komp.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30/06/1802 </t>
        </r>
        <r>
          <rPr>
            <i/>
            <sz val="14"/>
            <color rgb="FF000000"/>
            <rFont val="Times New Roman"/>
            <family val="18"/>
          </rPr>
          <t>Von IR 11 Haupt Strauss Komp. zum Wilhelm Schr</t>
        </r>
        <r>
          <rPr>
            <i/>
            <sz val="14"/>
            <color rgb="FF000000"/>
            <rFont val="Times New Roman"/>
            <family val="18"/>
          </rPr>
          <t>ö</t>
        </r>
        <r>
          <rPr>
            <i/>
            <sz val="14"/>
            <color rgb="FF000000"/>
            <rFont val="Times New Roman"/>
            <family val="18"/>
          </rPr>
          <t>der Regt</t>
        </r>
        <r>
          <rPr>
            <sz val="14"/>
            <color rgb="FF000000"/>
            <rFont val="Times New Roman"/>
            <family val="18"/>
          </rPr>
          <t xml:space="preserve"> </t>
        </r>
        <r>
          <rPr>
            <b/>
            <sz val="14"/>
            <color rgb="FF000000"/>
            <rFont val="Times New Roman"/>
            <family val="18"/>
          </rPr>
          <t>[IR 26]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Times New Roman"/>
            <family val="18"/>
          </rPr>
          <t xml:space="preserve">
</t>
        </r>
      </text>
    </comment>
    <comment ref="BG769" authorId="0" shapeId="0" xr:uid="{4C08164B-4B7E-DC4A-82F2-F16C3961BCE4}">
      <text>
        <r>
          <rPr>
            <sz val="14"/>
            <color rgb="FF000000"/>
            <rFont val="Times New Roman"/>
            <family val="18"/>
          </rPr>
          <t>ML 804/5 IR 11 (1802) – Haupt Strauss Komp. Abgang (Wisotczan 17/09/1802)</t>
        </r>
        <r>
          <rPr>
            <sz val="14"/>
            <color rgb="FF000000"/>
            <rFont val="Times New Roman"/>
            <family val="18"/>
          </rPr>
          <t xml:space="preserve">
</t>
        </r>
      </text>
    </comment>
    <comment ref="BH769" authorId="0" shapeId="0" xr:uid="{305126BB-554C-334F-B476-66461E2DB847}">
      <text>
        <r>
          <rPr>
            <sz val="14"/>
            <color rgb="FF000000"/>
            <rFont val="Calibri"/>
            <family val="34"/>
          </rPr>
          <t xml:space="preserve">IR 11 (1801-1802)
</t>
        </r>
        <r>
          <rPr>
            <sz val="14"/>
            <color rgb="FF000000"/>
            <rFont val="Calibri"/>
            <family val="34"/>
          </rPr>
          <t>IR 26 (1802)</t>
        </r>
      </text>
    </comment>
    <comment ref="BF770" authorId="0" shapeId="0" xr:uid="{75A8498B-8B46-0C4C-97FC-44D90B3C317B}">
      <text>
        <r>
          <rPr>
            <sz val="14"/>
            <color rgb="FF000000"/>
            <rFont val="Times New Roman"/>
            <family val="18"/>
          </rPr>
          <t xml:space="preserve">11/02/1801 [Bevor] </t>
        </r>
        <r>
          <rPr>
            <i/>
            <sz val="14"/>
            <color rgb="FF000000"/>
            <rFont val="Times New Roman"/>
            <family val="18"/>
          </rPr>
          <t>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30/06/1802 </t>
        </r>
        <r>
          <rPr>
            <i/>
            <sz val="14"/>
            <color rgb="FF000000"/>
            <rFont val="Times New Roman"/>
            <family val="18"/>
          </rPr>
          <t>Von IR 11 Haupt Stampach Komp. zum Wilhelm Schr</t>
        </r>
        <r>
          <rPr>
            <i/>
            <sz val="14"/>
            <color rgb="FF000000"/>
            <rFont val="Times New Roman"/>
            <family val="18"/>
          </rPr>
          <t>ö</t>
        </r>
        <r>
          <rPr>
            <i/>
            <sz val="14"/>
            <color rgb="FF000000"/>
            <rFont val="Times New Roman"/>
            <family val="18"/>
          </rPr>
          <t>der</t>
        </r>
        <r>
          <rPr>
            <sz val="14"/>
            <color rgb="FF000000"/>
            <rFont val="Times New Roman"/>
            <family val="18"/>
          </rPr>
          <t xml:space="preserve"> </t>
        </r>
        <r>
          <rPr>
            <b/>
            <sz val="14"/>
            <color rgb="FF000000"/>
            <rFont val="Times New Roman"/>
            <family val="18"/>
          </rPr>
          <t>[IR 26]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Times New Roman"/>
            <family val="18"/>
          </rPr>
          <t xml:space="preserve">
</t>
        </r>
      </text>
    </comment>
    <comment ref="BG770" authorId="0" shapeId="0" xr:uid="{7C283298-372B-7342-B5B4-0C8281EAD189}">
      <text>
        <r>
          <rPr>
            <sz val="14"/>
            <color rgb="FF000000"/>
            <rFont val="Times New Roman"/>
            <family val="18"/>
          </rPr>
          <t xml:space="preserve">ML 804/5 IR 11 (1802) – Haupt Stampach Komp. Abgang (Wisotczan 17/09/1802)
</t>
        </r>
      </text>
    </comment>
    <comment ref="BH770" authorId="0" shapeId="0" xr:uid="{F51DD450-DC86-BF4A-AD53-423DCC3BA7BA}">
      <text>
        <r>
          <rPr>
            <sz val="14"/>
            <color rgb="FF000000"/>
            <rFont val="Calibri"/>
            <family val="34"/>
          </rPr>
          <t xml:space="preserve">IR 11 (1801-1802)
</t>
        </r>
        <r>
          <rPr>
            <sz val="14"/>
            <color rgb="FF000000"/>
            <rFont val="Calibri"/>
            <family val="34"/>
          </rPr>
          <t>IR 26 (1802)</t>
        </r>
      </text>
    </comment>
    <comment ref="BF771" authorId="0" shapeId="0" xr:uid="{4989DA37-7A01-A849-A0C0-461C7E9AC7C5}">
      <text>
        <r>
          <rPr>
            <sz val="14"/>
            <color rgb="FF000000"/>
            <rFont val="Times New Roman"/>
            <family val="18"/>
          </rPr>
          <t xml:space="preserve">11/02/1801 [Bevor] </t>
        </r>
        <r>
          <rPr>
            <i/>
            <sz val="14"/>
            <color rgb="FF000000"/>
            <rFont val="Times New Roman"/>
            <family val="18"/>
          </rPr>
          <t>Assentiert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20/02/1802 </t>
        </r>
        <r>
          <rPr>
            <i/>
            <sz val="14"/>
            <color rgb="FF000000"/>
            <rFont val="Times New Roman"/>
            <family val="18"/>
          </rPr>
          <t>Als Auf Kriegsdauer gestellte mit Abschied entlassen</t>
        </r>
        <r>
          <rPr>
            <sz val="14"/>
            <color rgb="FF000000"/>
            <rFont val="Times New Roman"/>
            <family val="18"/>
          </rPr>
          <t xml:space="preserve"> [ML 1802]</t>
        </r>
        <r>
          <rPr>
            <sz val="14"/>
            <color rgb="FF000000"/>
            <rFont val="Times New Roman"/>
            <family val="18"/>
          </rPr>
          <t xml:space="preserve">
</t>
        </r>
      </text>
    </comment>
    <comment ref="BG771" authorId="0" shapeId="0" xr:uid="{5EEF1C0B-C1B7-DE43-B8A2-A5F1B58DF145}">
      <text>
        <r>
          <rPr>
            <sz val="14"/>
            <color rgb="FF000000"/>
            <rFont val="Times New Roman"/>
            <family val="18"/>
          </rPr>
          <t>ML 804/5 IR 11 (1802) – Haupt Stampach Komp. Abgang (Wisotczan 17/09/1802)</t>
        </r>
        <r>
          <rPr>
            <sz val="14"/>
            <color rgb="FF000000"/>
            <rFont val="Times New Roman"/>
            <family val="18"/>
          </rPr>
          <t xml:space="preserve">
</t>
        </r>
      </text>
    </comment>
    <comment ref="BH771" authorId="0" shapeId="0" xr:uid="{46205DCD-50D4-C343-B948-18C4F30D75E8}">
      <text>
        <r>
          <rPr>
            <sz val="14"/>
            <color rgb="FF000000"/>
            <rFont val="Calibri"/>
            <family val="34"/>
          </rPr>
          <t>IR 11 (1801-1802)</t>
        </r>
      </text>
    </comment>
    <comment ref="BF772" authorId="0" shapeId="0" xr:uid="{3553CF27-5E7A-A64A-A529-FDE03B78A05C}">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[1802]
</t>
        </r>
        <r>
          <rPr>
            <sz val="14"/>
            <color rgb="FF000000"/>
            <rFont val="Times New Roman"/>
            <family val="18"/>
          </rPr>
          <t xml:space="preserve">11/02/1801 </t>
        </r>
        <r>
          <rPr>
            <i/>
            <sz val="14"/>
            <color rgb="FF000000"/>
            <rFont val="Times New Roman"/>
            <family val="18"/>
          </rPr>
          <t>Kriegsgefangen</t>
        </r>
        <r>
          <rPr>
            <sz val="14"/>
            <color rgb="FF000000"/>
            <rFont val="Times New Roman"/>
            <family val="18"/>
          </rPr>
          <t xml:space="preserve"> [ML 1802]
</t>
        </r>
        <r>
          <rPr>
            <sz val="14"/>
            <color rgb="FF000000"/>
            <rFont val="Times New Roman"/>
            <family val="18"/>
          </rPr>
          <t xml:space="preserve">24/04/1801 </t>
        </r>
        <r>
          <rPr>
            <i/>
            <sz val="14"/>
            <color rgb="FF000000"/>
            <rFont val="Times New Roman"/>
            <family val="18"/>
          </rPr>
          <t>Ranzioniert</t>
        </r>
        <r>
          <rPr>
            <sz val="14"/>
            <color rgb="FF000000"/>
            <rFont val="Times New Roman"/>
            <family val="18"/>
          </rPr>
          <t xml:space="preserve"> [ML 1802]
</t>
        </r>
        <r>
          <rPr>
            <sz val="14"/>
            <color rgb="FF000000"/>
            <rFont val="Times New Roman"/>
            <family val="18"/>
          </rPr>
          <t xml:space="preserve">01/11/1801 </t>
        </r>
        <r>
          <rPr>
            <i/>
            <sz val="14"/>
            <color rgb="FF000000"/>
            <rFont val="Times New Roman"/>
            <family val="18"/>
          </rPr>
          <t>Von Haupt Richter zum Schloisungg Komp. transferiert</t>
        </r>
        <r>
          <rPr>
            <sz val="14"/>
            <color rgb="FF000000"/>
            <rFont val="Times New Roman"/>
            <family val="18"/>
          </rPr>
          <t xml:space="preserve"> [ML 1802]
</t>
        </r>
        <r>
          <rPr>
            <sz val="14"/>
            <color rgb="FF000000"/>
            <rFont val="Times New Roman"/>
            <family val="18"/>
          </rPr>
          <t xml:space="preserve">15/11/1801 </t>
        </r>
        <r>
          <rPr>
            <i/>
            <sz val="14"/>
            <color rgb="FF000000"/>
            <rFont val="Times New Roman"/>
            <family val="18"/>
          </rPr>
          <t>Zur Prager Invaliden Haus zur Versorgung</t>
        </r>
        <r>
          <rPr>
            <sz val="14"/>
            <color rgb="FF000000"/>
            <rFont val="Times New Roman"/>
            <family val="18"/>
          </rPr>
          <t xml:space="preserve"> [ML 1802]
</t>
        </r>
      </text>
    </comment>
    <comment ref="BG772" authorId="0" shapeId="0" xr:uid="{275D78F5-F6A0-6F42-9B57-3AA934953C57}">
      <text>
        <r>
          <rPr>
            <sz val="14"/>
            <color rgb="FF000000"/>
            <rFont val="Times New Roman"/>
            <family val="18"/>
          </rPr>
          <t>ML 804/5 IR 11 (1802) – Haupt Schloisingg Komp. Abgang (Prague 16/09/1802)</t>
        </r>
        <r>
          <rPr>
            <sz val="14"/>
            <color rgb="FF000000"/>
            <rFont val="Times New Roman"/>
            <family val="18"/>
          </rPr>
          <t xml:space="preserve">
</t>
        </r>
      </text>
    </comment>
    <comment ref="BH772" authorId="0" shapeId="0" xr:uid="{10C9D352-CBDF-1740-B500-D62004CE0533}">
      <text>
        <r>
          <rPr>
            <sz val="14"/>
            <color rgb="FF000000"/>
            <rFont val="Calibri"/>
            <family val="34"/>
          </rPr>
          <t xml:space="preserve">IR 11 (1801)
</t>
        </r>
        <r>
          <rPr>
            <sz val="14"/>
            <color rgb="FF000000"/>
            <rFont val="Calibri"/>
            <family val="34"/>
          </rPr>
          <t>InvH Prag (1801)</t>
        </r>
      </text>
    </comment>
    <comment ref="BF773" authorId="0" shapeId="0" xr:uid="{2FA35DF1-D22A-0C44-8367-40B86AB4ED9D}">
      <text>
        <r>
          <rPr>
            <sz val="14"/>
            <color rgb="FF000000"/>
            <rFont val="Times New Roman"/>
            <family val="18"/>
          </rPr>
          <t xml:space="preserve">11/02/1801 </t>
        </r>
        <r>
          <rPr>
            <i/>
            <sz val="14"/>
            <color rgb="FF000000"/>
            <rFont val="Times New Roman"/>
            <family val="18"/>
          </rPr>
          <t>Dient seit mindestens</t>
        </r>
        <r>
          <rPr>
            <sz val="14"/>
            <color rgb="FF000000"/>
            <rFont val="Times New Roman"/>
            <family val="18"/>
          </rPr>
          <t xml:space="preserve"> [ML 1802]
</t>
        </r>
        <r>
          <rPr>
            <sz val="14"/>
            <color rgb="FF000000"/>
            <rFont val="Times New Roman"/>
            <family val="18"/>
          </rPr>
          <t xml:space="preserve">30/04/1801 </t>
        </r>
        <r>
          <rPr>
            <i/>
            <sz val="14"/>
            <color rgb="FF000000"/>
            <rFont val="Times New Roman"/>
            <family val="18"/>
          </rPr>
          <t>Von Haupt Weigand zum Milbeck Komp. transferiert</t>
        </r>
        <r>
          <rPr>
            <sz val="14"/>
            <color rgb="FF000000"/>
            <rFont val="Times New Roman"/>
            <family val="18"/>
          </rPr>
          <t xml:space="preserve"> [ML 1802]
</t>
        </r>
        <r>
          <rPr>
            <sz val="14"/>
            <color rgb="FF000000"/>
            <rFont val="Times New Roman"/>
            <family val="18"/>
          </rPr>
          <t xml:space="preserve">31/12/1801 </t>
        </r>
        <r>
          <rPr>
            <i/>
            <sz val="14"/>
            <color rgb="FF000000"/>
            <rFont val="Times New Roman"/>
            <family val="18"/>
          </rPr>
          <t>Als Über ½ absent als Krank in Spital in Venedig als unwissend Verloren in Abgang</t>
        </r>
        <r>
          <rPr>
            <sz val="14"/>
            <color rgb="FF000000"/>
            <rFont val="Times New Roman"/>
            <family val="18"/>
          </rPr>
          <t xml:space="preserve"> [ML 1802]
</t>
        </r>
      </text>
    </comment>
    <comment ref="BG773" authorId="0" shapeId="0" xr:uid="{8799467F-4464-4F44-BE9D-1D707071E057}">
      <text>
        <r>
          <rPr>
            <sz val="14"/>
            <color rgb="FF000000"/>
            <rFont val="Times New Roman"/>
            <family val="18"/>
          </rPr>
          <t>ML 804/5 IR 11 (1802) – Haupt Milbeck Komp. Abgang (Prague 16/09/1802)</t>
        </r>
        <r>
          <rPr>
            <sz val="14"/>
            <color rgb="FF000000"/>
            <rFont val="Times New Roman"/>
            <family val="18"/>
          </rPr>
          <t xml:space="preserve">
</t>
        </r>
        <r>
          <rPr>
            <sz val="14"/>
            <color rgb="FF000000"/>
            <rFont val="Times New Roman"/>
            <family val="18"/>
          </rPr>
          <t>ML 839 IR 11 (1802) – ST Jan (Kolin 15/02/1802)</t>
        </r>
        <r>
          <rPr>
            <sz val="14"/>
            <color rgb="FF000000"/>
            <rFont val="Times New Roman"/>
            <family val="18"/>
          </rPr>
          <t xml:space="preserve">
</t>
        </r>
        <r>
          <rPr>
            <sz val="14"/>
            <color rgb="FF000000"/>
            <rFont val="Times New Roman"/>
            <family val="18"/>
          </rPr>
          <t xml:space="preserve">
</t>
        </r>
      </text>
    </comment>
    <comment ref="BH773" authorId="0" shapeId="0" xr:uid="{D0D74F1F-9DE1-934B-B93E-6690BD870C30}">
      <text>
        <r>
          <rPr>
            <sz val="14"/>
            <color rgb="FF000000"/>
            <rFont val="Calibri"/>
            <family val="34"/>
          </rPr>
          <t>IR 11 (1801)</t>
        </r>
      </text>
    </comment>
    <comment ref="BF774" authorId="0" shapeId="0" xr:uid="{C08E86FF-1FB9-2749-9DE7-DBA0A953D9D1}">
      <text>
        <r>
          <rPr>
            <sz val="14"/>
            <color rgb="FF000000"/>
            <rFont val="Times New Roman"/>
            <family val="18"/>
          </rPr>
          <t xml:space="preserve">11/02/1801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Schoerr Comp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11/08/1801 </t>
        </r>
        <r>
          <rPr>
            <i/>
            <sz val="14"/>
            <color rgb="FF000000"/>
            <rFont val="Times New Roman"/>
            <family val="18"/>
          </rPr>
          <t>In loco Zara gestorben</t>
        </r>
        <r>
          <rPr>
            <sz val="14"/>
            <color rgb="FF000000"/>
            <rFont val="Times New Roman"/>
            <family val="18"/>
          </rPr>
          <t xml:space="preserve"> [ST August 1801]</t>
        </r>
        <r>
          <rPr>
            <sz val="14"/>
            <color rgb="FF000000"/>
            <rFont val="Calibri"/>
            <family val="34"/>
          </rPr>
          <t xml:space="preserve">
</t>
        </r>
      </text>
    </comment>
    <comment ref="BG774" authorId="0" shapeId="0" xr:uid="{4C46DE29-A9D8-5F46-927B-DA8DB06450E0}">
      <text>
        <r>
          <rPr>
            <sz val="14"/>
            <color rgb="FF000000"/>
            <rFont val="Times New Roman"/>
            <family val="18"/>
          </rPr>
          <t>ML 10.311 IR 43 (1801) – Feb (28/09/1804), Juni (20/06/1805), Aug (13/07/1805)</t>
        </r>
        <r>
          <rPr>
            <sz val="14"/>
            <color rgb="FF000000"/>
            <rFont val="Calibri"/>
            <family val="34"/>
          </rPr>
          <t xml:space="preserve">
</t>
        </r>
        <r>
          <rPr>
            <sz val="14"/>
            <color rgb="FF000000"/>
            <rFont val="Times New Roman"/>
            <family val="18"/>
          </rPr>
          <t xml:space="preserve">
</t>
        </r>
      </text>
    </comment>
    <comment ref="BH774" authorId="0" shapeId="0" xr:uid="{F701CECC-3988-FA45-A104-7BF795B4F10D}">
      <text>
        <r>
          <rPr>
            <sz val="14"/>
            <color rgb="FF000000"/>
            <rFont val="Calibri"/>
            <family val="34"/>
          </rPr>
          <t>IR 43 (1801)</t>
        </r>
      </text>
    </comment>
    <comment ref="BF775" authorId="0" shapeId="0" xr:uid="{294FFA54-12F3-E746-8F7A-6310B916B78E}">
      <text>
        <r>
          <rPr>
            <sz val="14"/>
            <color rgb="FF000000"/>
            <rFont val="Times New Roman"/>
            <family val="18"/>
          </rPr>
          <t xml:space="preserve">11/02/1801 </t>
        </r>
        <r>
          <rPr>
            <i/>
            <sz val="14"/>
            <color rgb="FF000000"/>
            <rFont val="Times New Roman"/>
            <family val="18"/>
          </rPr>
          <t>Zum Reserve Division von Gallizischen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dissolvierte Reserve Division zur Ebertin Companie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Ebertin Nr. 121</t>
        </r>
        <r>
          <rPr>
            <sz val="14"/>
            <color rgb="FF000000"/>
            <rFont val="Calibri"/>
            <family val="34"/>
          </rPr>
          <t xml:space="preserve">
</t>
        </r>
        <r>
          <rPr>
            <sz val="14"/>
            <color rgb="FF000000"/>
            <rFont val="Times New Roman"/>
            <family val="18"/>
          </rPr>
          <t>07/09/1803 Muster: IR 23 Haupt Kleinschmidt Nr. 107 [</t>
        </r>
        <r>
          <rPr>
            <i/>
            <sz val="14"/>
            <color rgb="FF000000"/>
            <rFont val="Times New Roman"/>
            <family val="18"/>
          </rPr>
          <t>In sein Geburtsort auf bestimmte Zeit beurlaubt</t>
        </r>
        <r>
          <rPr>
            <sz val="14"/>
            <color rgb="FF000000"/>
            <rFont val="Times New Roman"/>
            <family val="18"/>
          </rPr>
          <t>]</t>
        </r>
        <r>
          <rPr>
            <sz val="14"/>
            <color rgb="FF000000"/>
            <rFont val="Calibri"/>
            <family val="34"/>
          </rPr>
          <t xml:space="preserve">
</t>
        </r>
        <r>
          <rPr>
            <sz val="14"/>
            <color rgb="FF000000"/>
            <rFont val="Times New Roman"/>
            <family val="18"/>
          </rPr>
          <t xml:space="preserve">12/09/1804 Muster: IR 23 Haupt Kleinschmidt Nr. 101 </t>
        </r>
        <r>
          <rPr>
            <sz val="14"/>
            <color rgb="FF000000"/>
            <rFont val="Calibri"/>
            <family val="34"/>
          </rPr>
          <t xml:space="preserve">
</t>
        </r>
        <r>
          <rPr>
            <sz val="14"/>
            <color rgb="FF000000"/>
            <rFont val="Times New Roman"/>
            <family val="18"/>
          </rPr>
          <t>26/01/1807 Muster: IR 23 Haupt Hautzinger Nr. 64</t>
        </r>
        <r>
          <rPr>
            <sz val="14"/>
            <color rgb="FF000000"/>
            <rFont val="Calibri"/>
            <family val="34"/>
          </rPr>
          <t xml:space="preserve">
</t>
        </r>
        <r>
          <rPr>
            <sz val="14"/>
            <color rgb="FF000000"/>
            <rFont val="Times New Roman"/>
            <family val="18"/>
          </rPr>
          <t>23/09/1808 Revision: IR 23 Haupt Hautzinger Nr. 38 [</t>
        </r>
        <r>
          <rPr>
            <i/>
            <sz val="14"/>
            <color rgb="FF000000"/>
            <rFont val="Times New Roman"/>
            <family val="18"/>
          </rPr>
          <t>Auf Kommando nach Brünn</t>
        </r>
        <r>
          <rPr>
            <sz val="14"/>
            <color rgb="FF000000"/>
            <rFont val="Times New Roman"/>
            <family val="18"/>
          </rPr>
          <t>]</t>
        </r>
        <r>
          <rPr>
            <sz val="14"/>
            <color rgb="FF000000"/>
            <rFont val="Calibri"/>
            <family val="34"/>
          </rPr>
          <t xml:space="preserve">
</t>
        </r>
        <r>
          <rPr>
            <sz val="14"/>
            <color rgb="FF000000"/>
            <rFont val="Times New Roman"/>
            <family val="18"/>
          </rPr>
          <t>01/08/1809 Von Dissolvierte 8. zum 3. Fus. Komp. transferiert [ST Aug 1809]</t>
        </r>
        <r>
          <rPr>
            <sz val="14"/>
            <color rgb="FF000000"/>
            <rFont val="Calibri"/>
            <family val="34"/>
          </rPr>
          <t xml:space="preserve">
</t>
        </r>
        <r>
          <rPr>
            <sz val="14"/>
            <color rgb="FF000000"/>
            <rFont val="Times New Roman"/>
            <family val="18"/>
          </rPr>
          <t xml:space="preserve">16/09/1809 </t>
        </r>
        <r>
          <rPr>
            <i/>
            <sz val="14"/>
            <color rgb="FF000000"/>
            <rFont val="Times New Roman"/>
            <family val="18"/>
          </rPr>
          <t>Von 3. Zum neu errichtete 8.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16/10/1809 </t>
        </r>
        <r>
          <rPr>
            <i/>
            <sz val="14"/>
            <color rgb="FF000000"/>
            <rFont val="Times New Roman"/>
            <family val="18"/>
          </rPr>
          <t>Von 8. Zum 1. Fus. Komp transferiert</t>
        </r>
        <r>
          <rPr>
            <sz val="14"/>
            <color rgb="FF000000"/>
            <rFont val="Times New Roman"/>
            <family val="18"/>
          </rPr>
          <t xml:space="preserve"> [ST Oct 1809] [As Johann BLECHER]</t>
        </r>
        <r>
          <rPr>
            <sz val="14"/>
            <color rgb="FF000000"/>
            <rFont val="Calibri"/>
            <family val="34"/>
          </rPr>
          <t xml:space="preserve">
</t>
        </r>
        <r>
          <rPr>
            <sz val="14"/>
            <color rgb="FF000000"/>
            <rFont val="Times New Roman"/>
            <family val="18"/>
          </rPr>
          <t xml:space="preserve">08/03/1810 </t>
        </r>
        <r>
          <rPr>
            <i/>
            <sz val="14"/>
            <color rgb="FF000000"/>
            <rFont val="Times New Roman"/>
            <family val="18"/>
          </rPr>
          <t>Von dissolvierte IR 23 1. Fus Komp. zum IR 30 De Ligne transferiert</t>
        </r>
        <r>
          <rPr>
            <sz val="14"/>
            <color rgb="FF000000"/>
            <rFont val="Times New Roman"/>
            <family val="18"/>
          </rPr>
          <t xml:space="preserve"> [ML March 1810]</t>
        </r>
        <r>
          <rPr>
            <sz val="14"/>
            <color rgb="FF000000"/>
            <rFont val="Calibri"/>
            <family val="34"/>
          </rPr>
          <t xml:space="preserve">
</t>
        </r>
        <r>
          <rPr>
            <sz val="14"/>
            <color rgb="FF000000"/>
            <rFont val="Times New Roman"/>
            <family val="18"/>
          </rPr>
          <t>24/11/1811 Muster: IR 30 5. Fus. Komp. Nr. 203 [</t>
        </r>
        <r>
          <rPr>
            <i/>
            <sz val="14"/>
            <color rgb="FF000000"/>
            <rFont val="Times New Roman"/>
            <family val="18"/>
          </rPr>
          <t>Auf Wacht in Kolomea; hat vermög Patent bis 04/05/1812 zu dienen</t>
        </r>
        <r>
          <rPr>
            <sz val="14"/>
            <color rgb="FF000000"/>
            <rFont val="Times New Roman"/>
            <family val="18"/>
          </rPr>
          <t>]</t>
        </r>
      </text>
    </comment>
    <comment ref="BG775" authorId="0" shapeId="0" xr:uid="{1A4C4206-B784-B042-B986-D56DA03F0374}">
      <text>
        <r>
          <rPr>
            <sz val="14"/>
            <color rgb="FF000000"/>
            <rFont val="Times New Roman"/>
            <family val="18"/>
          </rPr>
          <t>ML 10.124 IR 23 (1802) – Haupt Ebertin Komp. Nr. 121 (Krems 09/09/1802)</t>
        </r>
        <r>
          <rPr>
            <sz val="14"/>
            <color rgb="FF000000"/>
            <rFont val="Calibri"/>
            <family val="34"/>
          </rPr>
          <t xml:space="preserve">
</t>
        </r>
        <r>
          <rPr>
            <sz val="14"/>
            <color rgb="FF000000"/>
            <rFont val="Times New Roman"/>
            <family val="18"/>
          </rPr>
          <t>ML 10.125 IR 23 (1803) – Haupt Klrainschmidt Komp. Nr. 107 (Execierlager bei St Pölten 07/09/1803)</t>
        </r>
        <r>
          <rPr>
            <sz val="14"/>
            <color rgb="FF000000"/>
            <rFont val="Calibri"/>
            <family val="34"/>
          </rPr>
          <t xml:space="preserve">
</t>
        </r>
        <r>
          <rPr>
            <sz val="14"/>
            <color rgb="FF000000"/>
            <rFont val="Times New Roman"/>
            <family val="18"/>
          </rPr>
          <t>ML 10.126 IR 23 (1804) – Haupt Kleinschmidt Komp. Nr. 101 (Vienna 13/09/1804)</t>
        </r>
        <r>
          <rPr>
            <sz val="14"/>
            <color rgb="FF000000"/>
            <rFont val="Calibri"/>
            <family val="34"/>
          </rPr>
          <t xml:space="preserve">
</t>
        </r>
        <r>
          <rPr>
            <sz val="14"/>
            <color rgb="FF000000"/>
            <rFont val="Times New Roman"/>
            <family val="18"/>
          </rPr>
          <t>ML 10.127/8 IR 23 (1807) – Haupt Hautzinger Komp. Nr. 64 (Poysdorf 26/01/1807)</t>
        </r>
        <r>
          <rPr>
            <sz val="14"/>
            <color rgb="FF000000"/>
            <rFont val="Calibri"/>
            <family val="34"/>
          </rPr>
          <t xml:space="preserve">
</t>
        </r>
        <r>
          <rPr>
            <sz val="14"/>
            <color rgb="FF000000"/>
            <rFont val="Times New Roman"/>
            <family val="18"/>
          </rPr>
          <t>ML 10.129 IR 23 (1808) – Haupt Hautziger Komp. Nr. 38 (Olmütz 12/09/1808)</t>
        </r>
        <r>
          <rPr>
            <sz val="14"/>
            <color rgb="FF000000"/>
            <rFont val="Calibri"/>
            <family val="34"/>
          </rPr>
          <t xml:space="preserve">
</t>
        </r>
        <r>
          <rPr>
            <sz val="14"/>
            <color rgb="FF000000"/>
            <rFont val="Times New Roman"/>
            <family val="18"/>
          </rPr>
          <t>ML 10.181 IR 23 (1809) – ST Aug (01/04/1811), Sept (17/04/1811), Oct (30/04/1811)</t>
        </r>
        <r>
          <rPr>
            <sz val="14"/>
            <color rgb="FF000000"/>
            <rFont val="Calibri"/>
            <family val="34"/>
          </rPr>
          <t xml:space="preserve">
</t>
        </r>
        <r>
          <rPr>
            <sz val="14"/>
            <color rgb="FF000000"/>
            <rFont val="Times New Roman"/>
            <family val="18"/>
          </rPr>
          <t xml:space="preserve">ML 10.182 IR 23 (1810/11) – ST March (01/07/1811) </t>
        </r>
        <r>
          <rPr>
            <sz val="14"/>
            <color rgb="FF000000"/>
            <rFont val="Calibri"/>
            <family val="34"/>
          </rPr>
          <t xml:space="preserve">
</t>
        </r>
        <r>
          <rPr>
            <sz val="14"/>
            <color rgb="FF000000"/>
            <rFont val="Times New Roman"/>
            <family val="18"/>
          </rPr>
          <t>ML 2633 IR 30 (1811) – 5. Fus. Komp. Nr. 203 (Kutty 24/09/1811)</t>
        </r>
        <r>
          <rPr>
            <sz val="14"/>
            <color rgb="FF000000"/>
            <rFont val="Calibri"/>
            <family val="34"/>
          </rPr>
          <t xml:space="preserve">
</t>
        </r>
      </text>
    </comment>
    <comment ref="BH775" authorId="0" shapeId="0" xr:uid="{6944F3E5-768E-3A45-AA56-1AC7754AC616}">
      <text>
        <r>
          <rPr>
            <sz val="14"/>
            <color rgb="FF000000"/>
            <rFont val="Calibri"/>
            <family val="34"/>
          </rPr>
          <t xml:space="preserve">IR 23 (1809-1810)
</t>
        </r>
        <r>
          <rPr>
            <sz val="14"/>
            <color rgb="FF000000"/>
            <rFont val="Calibri"/>
            <family val="34"/>
          </rPr>
          <t>IR 30 (1810-1811)</t>
        </r>
      </text>
    </comment>
    <comment ref="BF776" authorId="0" shapeId="0" xr:uid="{E62E40A9-099C-7145-865E-8143FD1238AA}">
      <text>
        <r>
          <rPr>
            <sz val="14"/>
            <color rgb="FF000000"/>
            <rFont val="Times New Roman"/>
            <family val="18"/>
          </rPr>
          <t xml:space="preserve">11/02/1801 </t>
        </r>
        <r>
          <rPr>
            <i/>
            <sz val="14"/>
            <color rgb="FF000000"/>
            <rFont val="Times New Roman"/>
            <family val="18"/>
          </rPr>
          <t xml:space="preserve">Von Ständen gestellt und seitdem auf anhero Marsch mit Friedensgebühr </t>
        </r>
        <r>
          <rPr>
            <sz val="14"/>
            <color rgb="FF000000"/>
            <rFont val="Times New Roman"/>
            <family val="18"/>
          </rPr>
          <t xml:space="preserve">[ST Feb 1801]
</t>
        </r>
        <r>
          <rPr>
            <sz val="14"/>
            <color rgb="FF000000"/>
            <rFont val="Times New Roman"/>
            <family val="18"/>
          </rPr>
          <t xml:space="preserve">31/05/1801 </t>
        </r>
        <r>
          <rPr>
            <i/>
            <sz val="14"/>
            <color rgb="FF000000"/>
            <rFont val="Times New Roman"/>
            <family val="18"/>
          </rPr>
          <t xml:space="preserve">In die Reserve Division eingerückt </t>
        </r>
        <r>
          <rPr>
            <sz val="14"/>
            <color rgb="FF000000"/>
            <rFont val="Times New Roman"/>
            <family val="18"/>
          </rPr>
          <t xml:space="preserve">[ST Juni 1801]
</t>
        </r>
        <r>
          <rPr>
            <sz val="14"/>
            <color rgb="FF000000"/>
            <rFont val="Times New Roman"/>
            <family val="18"/>
          </rPr>
          <t xml:space="preserve">10/06/1801 </t>
        </r>
        <r>
          <rPr>
            <i/>
            <sz val="14"/>
            <color rgb="FF000000"/>
            <rFont val="Times New Roman"/>
            <family val="18"/>
          </rPr>
          <t xml:space="preserve">Krank auswärts </t>
        </r>
        <r>
          <rPr>
            <sz val="14"/>
            <color rgb="FF000000"/>
            <rFont val="Times New Roman"/>
            <family val="18"/>
          </rPr>
          <t xml:space="preserve">[ST Juni 1801]
</t>
        </r>
        <r>
          <rPr>
            <sz val="14"/>
            <color rgb="FF000000"/>
            <rFont val="Times New Roman"/>
            <family val="18"/>
          </rPr>
          <t xml:space="preserve">30/09/1801 </t>
        </r>
        <r>
          <rPr>
            <i/>
            <sz val="14"/>
            <color rgb="FF000000"/>
            <rFont val="Times New Roman"/>
            <family val="18"/>
          </rPr>
          <t xml:space="preserve">Als über ½ Jahr auswärts und deren Existenz gänzlich unbewusst als Unwissend Verlohren gegangen </t>
        </r>
        <r>
          <rPr>
            <sz val="14"/>
            <color rgb="FF000000"/>
            <rFont val="Times New Roman"/>
            <family val="18"/>
          </rPr>
          <t xml:space="preserve">[ST Oct 1801]
</t>
        </r>
      </text>
    </comment>
    <comment ref="BG776" authorId="0" shapeId="0" xr:uid="{109716E2-FEAC-4743-AC93-5F1C89AE437D}">
      <text>
        <r>
          <rPr>
            <sz val="14"/>
            <color rgb="FF000000"/>
            <rFont val="Times New Roman"/>
            <family val="18"/>
          </rPr>
          <t>ML 10.311 IR 43 (1801) – ST Feb (28/09/1804), Juni (20/06/1805), Oct (21/07/1805)</t>
        </r>
        <r>
          <rPr>
            <sz val="14"/>
            <color rgb="FF000000"/>
            <rFont val="Calibri"/>
            <family val="34"/>
          </rPr>
          <t xml:space="preserve">
</t>
        </r>
        <r>
          <rPr>
            <sz val="14"/>
            <color rgb="FF000000"/>
            <rFont val="Times New Roman"/>
            <family val="18"/>
          </rPr>
          <t xml:space="preserve">
</t>
        </r>
      </text>
    </comment>
    <comment ref="BH776" authorId="0" shapeId="0" xr:uid="{63FE4B77-02C0-074F-8E43-1754D045DB3F}">
      <text>
        <r>
          <rPr>
            <sz val="14"/>
            <color rgb="FF000000"/>
            <rFont val="Calibri"/>
            <family val="34"/>
          </rPr>
          <t>IR 43 (1801)</t>
        </r>
      </text>
    </comment>
    <comment ref="BF777" authorId="0" shapeId="0" xr:uid="{95E342C2-97BE-BE4C-9310-7D415C8D9E7E}">
      <text>
        <r>
          <rPr>
            <sz val="14"/>
            <color rgb="FF000000"/>
            <rFont val="Times New Roman"/>
            <family val="18"/>
          </rPr>
          <t xml:space="preserve">11/02/1801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[IR 49] </t>
        </r>
        <r>
          <rPr>
            <i/>
            <sz val="14"/>
            <color rgb="FF000000"/>
            <rFont val="Times New Roman"/>
            <family val="18"/>
          </rPr>
          <t>Anhero</t>
        </r>
        <r>
          <rPr>
            <sz val="14"/>
            <color rgb="FF000000"/>
            <rFont val="Times New Roman"/>
            <family val="18"/>
          </rPr>
          <t xml:space="preserve"> [IR 23]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Balbus Nr. 155 [</t>
        </r>
        <r>
          <rPr>
            <i/>
            <sz val="14"/>
            <color rgb="FF000000"/>
            <rFont val="Times New Roman"/>
            <family val="18"/>
          </rPr>
          <t>Beurlaubt in Gallizien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30/11/1802 </t>
        </r>
        <r>
          <rPr>
            <i/>
            <sz val="14"/>
            <color rgb="FF000000"/>
            <rFont val="Times New Roman"/>
            <family val="18"/>
          </rPr>
          <t>Von Urlaub in Polen desertiert</t>
        </r>
        <r>
          <rPr>
            <sz val="14"/>
            <color rgb="FF000000"/>
            <rFont val="Times New Roman"/>
            <family val="18"/>
          </rPr>
          <t xml:space="preserve"> [ML 1803] </t>
        </r>
      </text>
    </comment>
    <comment ref="BG777" authorId="0" shapeId="0" xr:uid="{8BB72575-1350-7F4A-A401-B34366B8A005}">
      <text>
        <r>
          <rPr>
            <sz val="14"/>
            <color rgb="FF000000"/>
            <rFont val="Times New Roman"/>
            <family val="18"/>
          </rPr>
          <t>ML 10.124 IR 23 (1802) – Haupt Balbus Komp. Nr. 155 (Vienna 16/09/1802)</t>
        </r>
        <r>
          <rPr>
            <sz val="14"/>
            <color rgb="FF000000"/>
            <rFont val="Calibri"/>
            <family val="34"/>
          </rPr>
          <t xml:space="preserve">
</t>
        </r>
        <r>
          <rPr>
            <sz val="14"/>
            <color rgb="FF000000"/>
            <rFont val="Times New Roman"/>
            <family val="18"/>
          </rPr>
          <t>ML 10.125 IR 23 (1803) – Haupt Balbus Komp. Abgang (Vienna 13/09/1803)</t>
        </r>
        <r>
          <rPr>
            <sz val="14"/>
            <color rgb="FF000000"/>
            <rFont val="Calibri"/>
            <family val="34"/>
          </rPr>
          <t xml:space="preserve">
</t>
        </r>
        <r>
          <rPr>
            <sz val="14"/>
            <color rgb="FF000000"/>
            <rFont val="Times New Roman"/>
            <family val="18"/>
          </rPr>
          <t xml:space="preserve">
</t>
        </r>
      </text>
    </comment>
    <comment ref="BH777" authorId="0" shapeId="0" xr:uid="{BC9DA655-E9C3-104F-8AA2-CE3F600F31FF}">
      <text>
        <r>
          <rPr>
            <sz val="14"/>
            <color rgb="FF000000"/>
            <rFont val="Calibri"/>
            <family val="34"/>
          </rPr>
          <t xml:space="preserve">IR 49 (1800-1802)
</t>
        </r>
        <r>
          <rPr>
            <sz val="14"/>
            <color rgb="FF000000"/>
            <rFont val="Calibri"/>
            <family val="34"/>
          </rPr>
          <t>IR 23 (1802)</t>
        </r>
      </text>
    </comment>
    <comment ref="BF778" authorId="0" shapeId="0" xr:uid="{4FE411BC-1630-7D4A-8D40-65B34684BF30}">
      <text>
        <r>
          <rPr>
            <sz val="14"/>
            <color rgb="FFFF0000"/>
            <rFont val="Times New Roman"/>
            <family val="18"/>
          </rPr>
          <t xml:space="preserve">01/02/1801 </t>
        </r>
        <r>
          <rPr>
            <i/>
            <sz val="14"/>
            <color rgb="FFFF0000"/>
            <rFont val="Times New Roman"/>
            <family val="18"/>
          </rPr>
          <t>von Ständen a 3Fl Handgeld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12/02/1801 </t>
        </r>
        <r>
          <rPr>
            <i/>
            <sz val="14"/>
            <color rgb="FF000000"/>
            <rFont val="Times New Roman"/>
            <family val="18"/>
          </rPr>
          <t>in Galizien ausgehoben a 3Fl und seitdem auf Anhero Marsch mit Friedensgebühr</t>
        </r>
        <r>
          <rPr>
            <sz val="14"/>
            <color rgb="FF000000"/>
            <rFont val="Times New Roman"/>
            <family val="18"/>
          </rPr>
          <t xml:space="preserve"> [ST Feb 1801]
</t>
        </r>
        <r>
          <rPr>
            <sz val="14"/>
            <color rgb="FF000000"/>
            <rFont val="Times New Roman"/>
            <family val="18"/>
          </rPr>
          <t xml:space="preserve">01/06/1801 </t>
        </r>
        <r>
          <rPr>
            <i/>
            <sz val="14"/>
            <color rgb="FF000000"/>
            <rFont val="Times New Roman"/>
            <family val="18"/>
          </rPr>
          <t>Von Reserve Division in Lieb Companie transferiert</t>
        </r>
        <r>
          <rPr>
            <sz val="14"/>
            <color rgb="FF000000"/>
            <rFont val="Times New Roman"/>
            <family val="18"/>
          </rPr>
          <t xml:space="preserve"> [ST June 1801]
</t>
        </r>
        <r>
          <rPr>
            <sz val="14"/>
            <color rgb="FFFF0000"/>
            <rFont val="Times New Roman"/>
            <family val="18"/>
          </rPr>
          <t xml:space="preserve">01/08/1801 </t>
        </r>
        <r>
          <rPr>
            <i/>
            <sz val="14"/>
            <color rgb="FFFF0000"/>
            <rFont val="Times New Roman"/>
            <family val="18"/>
          </rPr>
          <t xml:space="preserve">Von Reserve Division zum Lieb Komp transferiert </t>
        </r>
        <r>
          <rPr>
            <sz val="14"/>
            <color rgb="FFFF0000"/>
            <rFont val="Times New Roman"/>
            <family val="18"/>
          </rPr>
          <t>[ST Aug 1801]</t>
        </r>
        <r>
          <rPr>
            <sz val="14"/>
            <color rgb="FF000000"/>
            <rFont val="Times New Roman"/>
            <family val="18"/>
          </rPr>
          <t xml:space="preserve">
</t>
        </r>
        <r>
          <rPr>
            <sz val="14"/>
            <color rgb="FF000000"/>
            <rFont val="Times New Roman"/>
            <family val="18"/>
          </rPr>
          <t xml:space="preserve">28/08/1802 Muster: IR 43 Lieb Komp. Nr. 140
</t>
        </r>
        <r>
          <rPr>
            <sz val="14"/>
            <color rgb="FF000000"/>
            <rFont val="Times New Roman"/>
            <family val="18"/>
          </rPr>
          <t xml:space="preserve">06/09/1802 </t>
        </r>
        <r>
          <rPr>
            <i/>
            <sz val="14"/>
            <color rgb="FF000000"/>
            <rFont val="Times New Roman"/>
            <family val="18"/>
          </rPr>
          <t>Ex loco Cattaro desertiert</t>
        </r>
        <r>
          <rPr>
            <sz val="14"/>
            <color rgb="FF000000"/>
            <rFont val="Times New Roman"/>
            <family val="18"/>
          </rPr>
          <t xml:space="preserve"> [ML 1803]
</t>
        </r>
      </text>
    </comment>
    <comment ref="BG778" authorId="0" shapeId="0" xr:uid="{48557121-C6C5-D143-BCA7-03DFCEBC7FE4}">
      <text>
        <r>
          <rPr>
            <sz val="14"/>
            <color rgb="FF000000"/>
            <rFont val="Times New Roman"/>
            <family val="18"/>
          </rPr>
          <t>ML 10.272 IR 43 (1802) – Leib Comp. Nr. 140 (Cattaro 28/08/1802)</t>
        </r>
        <r>
          <rPr>
            <sz val="14"/>
            <color rgb="FF000000"/>
            <rFont val="Calibri"/>
            <family val="34"/>
          </rPr>
          <t xml:space="preserve">
</t>
        </r>
        <r>
          <rPr>
            <sz val="14"/>
            <color rgb="FF000000"/>
            <rFont val="Times New Roman"/>
            <family val="18"/>
          </rPr>
          <t>ML 10.273 IR 43 (1803) – Lieb Comp. Abgang (Scardona 30/09/1803)</t>
        </r>
        <r>
          <rPr>
            <sz val="14"/>
            <color rgb="FF000000"/>
            <rFont val="Calibri"/>
            <family val="34"/>
          </rPr>
          <t xml:space="preserve">
</t>
        </r>
        <r>
          <rPr>
            <sz val="14"/>
            <color rgb="FF000000"/>
            <rFont val="Times New Roman"/>
            <family val="18"/>
          </rPr>
          <t>ML 10.311 IR 43 (1801) – ST Feb (28/09/1804), Juni (20/06/1805)</t>
        </r>
        <r>
          <rPr>
            <sz val="14"/>
            <color rgb="FF000000"/>
            <rFont val="Calibri"/>
            <family val="34"/>
          </rPr>
          <t xml:space="preserve">
</t>
        </r>
      </text>
    </comment>
    <comment ref="BH778" authorId="0" shapeId="0" xr:uid="{8D683F94-5F4B-B244-84E1-878F4D0868D6}">
      <text>
        <r>
          <rPr>
            <sz val="14"/>
            <color rgb="FF000000"/>
            <rFont val="Calibri"/>
            <family val="34"/>
          </rPr>
          <t>IR 43 (1801-1802)</t>
        </r>
      </text>
    </comment>
    <comment ref="I779" authorId="0" shapeId="0" xr:uid="{F4210EC9-352A-9943-805A-7BBC887D3AA9}">
      <text>
        <r>
          <rPr>
            <sz val="14"/>
            <color rgb="FF000000"/>
            <rFont val="Calibri"/>
            <family val="34"/>
          </rPr>
          <t xml:space="preserve">1783 [23 (1806)]
</t>
        </r>
        <r>
          <rPr>
            <sz val="14"/>
            <color rgb="FF000000"/>
            <rFont val="Calibri"/>
            <family val="34"/>
          </rPr>
          <t xml:space="preserve">OR 
</t>
        </r>
        <r>
          <rPr>
            <sz val="14"/>
            <color rgb="FF000000"/>
            <rFont val="Calibri"/>
            <family val="34"/>
          </rPr>
          <t xml:space="preserve">1782 [20 (1802)]
</t>
        </r>
        <r>
          <rPr>
            <sz val="14"/>
            <color rgb="FF000000"/>
            <rFont val="Calibri"/>
            <family val="34"/>
          </rPr>
          <t xml:space="preserve">OR
</t>
        </r>
        <r>
          <rPr>
            <sz val="14"/>
            <color rgb="FF000000"/>
            <rFont val="Calibri"/>
            <family val="34"/>
          </rPr>
          <t>1781 [30 (1811)]</t>
        </r>
      </text>
    </comment>
    <comment ref="T779" authorId="0" shapeId="0" xr:uid="{726F802B-10E1-854C-8C16-8161032ADBFE}">
      <text>
        <r>
          <rPr>
            <sz val="14"/>
            <color rgb="FF000000"/>
            <rFont val="Calibri"/>
            <family val="34"/>
          </rPr>
          <t xml:space="preserve">165.89 (1802)
</t>
        </r>
        <r>
          <rPr>
            <sz val="14"/>
            <color rgb="FF000000"/>
            <rFont val="Calibri"/>
            <family val="34"/>
          </rPr>
          <t xml:space="preserve">166.33 (1803-6)
</t>
        </r>
        <r>
          <rPr>
            <sz val="14"/>
            <color rgb="FF000000"/>
            <rFont val="Calibri"/>
            <family val="34"/>
          </rPr>
          <t>163.7 (1811)</t>
        </r>
      </text>
    </comment>
    <comment ref="BF779" authorId="0" shapeId="0" xr:uid="{71B62C92-972B-BD44-803F-19A526EA9352}">
      <text>
        <r>
          <rPr>
            <sz val="14"/>
            <color rgb="FF000000"/>
            <rFont val="Times New Roman"/>
            <family val="18"/>
          </rPr>
          <t xml:space="preserve">12/02/1801 </t>
        </r>
        <r>
          <rPr>
            <i/>
            <sz val="14"/>
            <color rgb="FF000000"/>
            <rFont val="Times New Roman"/>
            <family val="18"/>
          </rPr>
          <t>von Ständen gestellt und seitdem auf anhero Marsch mit Friedensgebühr</t>
        </r>
        <r>
          <rPr>
            <sz val="14"/>
            <color rgb="FF000000"/>
            <rFont val="Times New Roman"/>
            <family val="18"/>
          </rPr>
          <t xml:space="preserve"> [ST Feb 1801
</t>
        </r>
        <r>
          <rPr>
            <sz val="14"/>
            <color rgb="FFFF0000"/>
            <rFont val="Times New Roman"/>
            <family val="18"/>
          </rPr>
          <t>15/03/1801</t>
        </r>
        <r>
          <rPr>
            <i/>
            <sz val="14"/>
            <color rgb="FFFF0000"/>
            <rFont val="Times New Roman"/>
            <family val="18"/>
          </rPr>
          <t xml:space="preserve"> von Ständen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
</t>
        </r>
        <r>
          <rPr>
            <sz val="14"/>
            <color rgb="FF000000"/>
            <rFont val="Times New Roman"/>
            <family val="18"/>
          </rPr>
          <t xml:space="preserve">01/06/1801 </t>
        </r>
        <r>
          <rPr>
            <i/>
            <sz val="14"/>
            <color rgb="FF000000"/>
            <rFont val="Times New Roman"/>
            <family val="18"/>
          </rPr>
          <t>Von Reserve Division ins Haupt Köpf Transferiert</t>
        </r>
        <r>
          <rPr>
            <sz val="14"/>
            <color rgb="FF000000"/>
            <rFont val="Times New Roman"/>
            <family val="18"/>
          </rPr>
          <t xml:space="preserve"> [ST Juni 1801]
</t>
        </r>
        <r>
          <rPr>
            <sz val="14"/>
            <color rgb="FF000000"/>
            <rFont val="Times New Roman"/>
            <family val="18"/>
          </rPr>
          <t xml:space="preserve">28/08/1802 Musterung:  IR 43 Haupt Köpf Nr. 123]
</t>
        </r>
        <r>
          <rPr>
            <sz val="14"/>
            <color rgb="FF000000"/>
            <rFont val="Times New Roman"/>
            <family val="18"/>
          </rPr>
          <t>04/11/1803 Musterung: IR 43 Haupt Köpf Nr. 111 [</t>
        </r>
        <r>
          <rPr>
            <i/>
            <sz val="14"/>
            <color rgb="FF000000"/>
            <rFont val="Times New Roman"/>
            <family val="18"/>
          </rPr>
          <t>auf Commando zu Ostrowiza</t>
        </r>
        <r>
          <rPr>
            <sz val="14"/>
            <color rgb="FF000000"/>
            <rFont val="Times New Roman"/>
            <family val="18"/>
          </rPr>
          <t xml:space="preserve">]
</t>
        </r>
        <r>
          <rPr>
            <sz val="14"/>
            <color rgb="FF000000"/>
            <rFont val="Times New Roman"/>
            <family val="18"/>
          </rPr>
          <t xml:space="preserve">15/09/1804 Musterung: IR 43 Haupt Sassi Nr. 104
</t>
        </r>
        <r>
          <rPr>
            <sz val="14"/>
            <color rgb="FF000000"/>
            <rFont val="Times New Roman"/>
            <family val="18"/>
          </rPr>
          <t xml:space="preserve">01/10/1805 Musterung: IR 43 14. Fus Comp Nr. 72
</t>
        </r>
        <r>
          <rPr>
            <sz val="14"/>
            <color rgb="FF000000"/>
            <rFont val="Times New Roman"/>
            <family val="18"/>
          </rPr>
          <t>01/12/1806 Musterung: 4. Fus Comp Nr. 53 [</t>
        </r>
        <r>
          <rPr>
            <i/>
            <sz val="14"/>
            <color rgb="FF000000"/>
            <rFont val="Times New Roman"/>
            <family val="18"/>
          </rPr>
          <t>Auf Exekution zu Flöding</t>
        </r>
        <r>
          <rPr>
            <sz val="14"/>
            <color rgb="FF000000"/>
            <rFont val="Times New Roman"/>
            <family val="18"/>
          </rPr>
          <t xml:space="preserve">]
</t>
        </r>
        <r>
          <rPr>
            <sz val="14"/>
            <color rgb="FF000000"/>
            <rFont val="Times New Roman"/>
            <family val="18"/>
          </rPr>
          <t xml:space="preserve">06/09/1808 Revision: 4. Fus Comp Nr. 50
</t>
        </r>
        <r>
          <rPr>
            <sz val="14"/>
            <color rgb="FF000000"/>
            <rFont val="Times New Roman"/>
            <family val="18"/>
          </rPr>
          <t xml:space="preserve">16/02/1809 </t>
        </r>
        <r>
          <rPr>
            <i/>
            <sz val="14"/>
            <color rgb="FF000000"/>
            <rFont val="Times New Roman"/>
            <family val="18"/>
          </rPr>
          <t>von Gemeiner zum Gefreyter Avanciert</t>
        </r>
        <r>
          <rPr>
            <sz val="14"/>
            <color rgb="FF000000"/>
            <rFont val="Times New Roman"/>
            <family val="18"/>
          </rPr>
          <t xml:space="preserve"> [ST Feb 1809]
</t>
        </r>
        <r>
          <rPr>
            <sz val="14"/>
            <color rgb="FF000000"/>
            <rFont val="Times New Roman"/>
            <family val="18"/>
          </rPr>
          <t xml:space="preserve">10/08/1809 </t>
        </r>
        <r>
          <rPr>
            <i/>
            <sz val="14"/>
            <color rgb="FF000000"/>
            <rFont val="Times New Roman"/>
            <family val="18"/>
          </rPr>
          <t>von 4. zum 10. Fus Comp transferiert</t>
        </r>
        <r>
          <rPr>
            <sz val="14"/>
            <color rgb="FF000000"/>
            <rFont val="Times New Roman"/>
            <family val="18"/>
          </rPr>
          <t xml:space="preserve"> [ST Aug 1809]
</t>
        </r>
        <r>
          <rPr>
            <sz val="14"/>
            <color rgb="FF000000"/>
            <rFont val="Times New Roman"/>
            <family val="18"/>
          </rPr>
          <t>25/02/1810 Dissolvierung: 10. Fus Comp Nr. 33 [</t>
        </r>
        <r>
          <rPr>
            <i/>
            <sz val="14"/>
            <color rgb="FF000000"/>
            <rFont val="Times New Roman"/>
            <family val="18"/>
          </rPr>
          <t>zu IR 24 Strauch eingeteilt</t>
        </r>
        <r>
          <rPr>
            <sz val="14"/>
            <color rgb="FF000000"/>
            <rFont val="Times New Roman"/>
            <family val="18"/>
          </rPr>
          <t xml:space="preserve">]
</t>
        </r>
        <r>
          <rPr>
            <sz val="14"/>
            <color rgb="FF000000"/>
            <rFont val="Times New Roman"/>
            <family val="18"/>
          </rPr>
          <t xml:space="preserve">06/03/1810 </t>
        </r>
        <r>
          <rPr>
            <i/>
            <sz val="14"/>
            <color rgb="FF000000"/>
            <rFont val="Times New Roman"/>
            <family val="18"/>
          </rPr>
          <t xml:space="preserve">Von dissolvierte IR 43 10. Fus Comp. zum IR 24 ‚Strauch transferiert, seitdem auf Anhero Marsch </t>
        </r>
        <r>
          <rPr>
            <sz val="14"/>
            <color rgb="FF000000"/>
            <rFont val="Times New Roman"/>
            <family val="18"/>
          </rPr>
          <t xml:space="preserve">[ST March 1810]
</t>
        </r>
        <r>
          <rPr>
            <sz val="14"/>
            <color rgb="FF000000"/>
            <rFont val="Times New Roman"/>
            <family val="18"/>
          </rPr>
          <t xml:space="preserve">10/04/1810 </t>
        </r>
        <r>
          <rPr>
            <i/>
            <sz val="14"/>
            <color rgb="FF000000"/>
            <rFont val="Times New Roman"/>
            <family val="18"/>
          </rPr>
          <t>Ins Regiment eingerückt und zur 4. Fus. Komp. eingeteilt</t>
        </r>
        <r>
          <rPr>
            <sz val="14"/>
            <color rgb="FF000000"/>
            <rFont val="Times New Roman"/>
            <family val="18"/>
          </rPr>
          <t xml:space="preserve"> [ST April 1810]
</t>
        </r>
        <r>
          <rPr>
            <sz val="14"/>
            <color rgb="FF000000"/>
            <rFont val="Times New Roman"/>
            <family val="18"/>
          </rPr>
          <t xml:space="preserve">??/05/1811 </t>
        </r>
        <r>
          <rPr>
            <i/>
            <sz val="14"/>
            <color rgb="FF000000"/>
            <rFont val="Times New Roman"/>
            <family val="18"/>
          </rPr>
          <t>Auf weitere 10 Jahr gegen 20Fl Handgeld reengagiert</t>
        </r>
        <r>
          <rPr>
            <sz val="14"/>
            <color rgb="FF000000"/>
            <rFont val="Times New Roman"/>
            <family val="18"/>
          </rPr>
          <t xml:space="preserve"> [ML 1811]
</t>
        </r>
        <r>
          <rPr>
            <sz val="14"/>
            <color rgb="FF000000"/>
            <rFont val="Times New Roman"/>
            <family val="18"/>
          </rPr>
          <t>23/09/1811 Muster: IR 24 4. Fus Komp. Nr. 38 [</t>
        </r>
        <r>
          <rPr>
            <i/>
            <sz val="14"/>
            <color rgb="FF000000"/>
            <rFont val="Times New Roman"/>
            <family val="18"/>
          </rPr>
          <t>Krank in Commorn</t>
        </r>
        <r>
          <rPr>
            <sz val="14"/>
            <color rgb="FF000000"/>
            <rFont val="Times New Roman"/>
            <family val="18"/>
          </rPr>
          <t xml:space="preserve">]
</t>
        </r>
        <r>
          <rPr>
            <sz val="14"/>
            <color rgb="FF000000"/>
            <rFont val="Times New Roman"/>
            <family val="18"/>
          </rPr>
          <t xml:space="preserve">17/09/1812 Revision: IR 24 4. Fus. Komp. Nr. 21
</t>
        </r>
        <r>
          <rPr>
            <sz val="14"/>
            <color rgb="FF000000"/>
            <rFont val="Times New Roman"/>
            <family val="18"/>
          </rPr>
          <t xml:space="preserve">01/03/1813 </t>
        </r>
        <r>
          <rPr>
            <i/>
            <sz val="14"/>
            <color rgb="FF000000"/>
            <rFont val="Times New Roman"/>
            <family val="18"/>
          </rPr>
          <t>Auf 3 Monat zum Gemeiner Degradiert</t>
        </r>
        <r>
          <rPr>
            <sz val="14"/>
            <color rgb="FF000000"/>
            <rFont val="Times New Roman"/>
            <family val="18"/>
          </rPr>
          <t xml:space="preserve"> [ML 1818]
</t>
        </r>
        <r>
          <rPr>
            <sz val="14"/>
            <color rgb="FF000000"/>
            <rFont val="Times New Roman"/>
            <family val="18"/>
          </rPr>
          <t xml:space="preserve">06/07/1813 </t>
        </r>
        <r>
          <rPr>
            <i/>
            <sz val="14"/>
            <color rgb="FF000000"/>
            <rFont val="Times New Roman"/>
            <family val="18"/>
          </rPr>
          <t>Von 4. Zur 13. Fus. Komp. transferiert</t>
        </r>
        <r>
          <rPr>
            <sz val="14"/>
            <color rgb="FF000000"/>
            <rFont val="Times New Roman"/>
            <family val="18"/>
          </rPr>
          <t xml:space="preserve"> [ST June 1813)
</t>
        </r>
        <r>
          <rPr>
            <sz val="14"/>
            <color rgb="FF000000"/>
            <rFont val="Times New Roman"/>
            <family val="18"/>
          </rPr>
          <t xml:space="preserve">21/07/1817 </t>
        </r>
        <r>
          <rPr>
            <i/>
            <sz val="14"/>
            <color rgb="FF000000"/>
            <rFont val="Times New Roman"/>
            <family val="18"/>
          </rPr>
          <t>Von 13. Zum 9. Fus. Komp.</t>
        </r>
        <r>
          <rPr>
            <sz val="14"/>
            <color rgb="FF000000"/>
            <rFont val="Times New Roman"/>
            <family val="18"/>
          </rPr>
          <t xml:space="preserve"> transferiert [ML 1817]
</t>
        </r>
        <r>
          <rPr>
            <sz val="14"/>
            <color rgb="FF000000"/>
            <rFont val="Times New Roman"/>
            <family val="18"/>
          </rPr>
          <t xml:space="preserve">15/09/1817 Revision: IR 24 9. Fus. Komp. Nr. 23
</t>
        </r>
        <r>
          <rPr>
            <sz val="14"/>
            <color rgb="FF000000"/>
            <rFont val="Times New Roman"/>
            <family val="18"/>
          </rPr>
          <t xml:space="preserve">14/09/1818 Muster: IR 24 9. Fus. Komp. Nr. 21
</t>
        </r>
        <r>
          <rPr>
            <sz val="14"/>
            <color rgb="FF000000"/>
            <rFont val="Times New Roman"/>
            <family val="18"/>
          </rPr>
          <t>28/09/1819 Muster: IR 24 9. Fus. Komp. Nr. 16 [</t>
        </r>
        <r>
          <rPr>
            <i/>
            <sz val="14"/>
            <color rgb="FF000000"/>
            <rFont val="Times New Roman"/>
            <family val="18"/>
          </rPr>
          <t>Halb Invalid</t>
        </r>
        <r>
          <rPr>
            <sz val="14"/>
            <color rgb="FF000000"/>
            <rFont val="Times New Roman"/>
            <family val="18"/>
          </rPr>
          <t xml:space="preserve">]
</t>
        </r>
        <r>
          <rPr>
            <sz val="14"/>
            <color rgb="FF000000"/>
            <rFont val="Times New Roman"/>
            <family val="18"/>
          </rPr>
          <t xml:space="preserve">21/12/1819 </t>
        </r>
        <r>
          <rPr>
            <i/>
            <sz val="14"/>
            <color rgb="FF000000"/>
            <rFont val="Times New Roman"/>
            <family val="18"/>
          </rPr>
          <t>Von IR 24 9 Fus. Komp. zum 2. GB transferiert und zum 6. Komp. zugeteilt</t>
        </r>
        <r>
          <rPr>
            <sz val="14"/>
            <color rgb="FF000000"/>
            <rFont val="Times New Roman"/>
            <family val="18"/>
          </rPr>
          <t xml:space="preserve"> [ML 1820]
</t>
        </r>
        <r>
          <rPr>
            <sz val="14"/>
            <color rgb="FF000000"/>
            <rFont val="Times New Roman"/>
            <family val="18"/>
          </rPr>
          <t>09/09/1820 Muster: GB 2 6. Komp Nr. 31</t>
        </r>
      </text>
    </comment>
    <comment ref="BG779" authorId="0" shapeId="0" xr:uid="{D8CD8C64-7DD3-1445-ADCE-8AE06A4AF986}">
      <text>
        <r>
          <rPr>
            <sz val="14"/>
            <color rgb="FF000000"/>
            <rFont val="Times New Roman"/>
            <family val="18"/>
          </rPr>
          <t>ML 10.272 IR 43 (1802) – ObristLt Comp Nr. 72 (28/08/1802)</t>
        </r>
        <r>
          <rPr>
            <sz val="14"/>
            <color rgb="FF000000"/>
            <rFont val="Calibri"/>
            <family val="34"/>
          </rPr>
          <t xml:space="preserve">
</t>
        </r>
        <r>
          <rPr>
            <sz val="14"/>
            <color rgb="FF000000"/>
            <rFont val="Times New Roman"/>
            <family val="18"/>
          </rPr>
          <t>ML 10.273 IR 43 (1803) – Haupt Köpf Nr. 111 (04/11/1803)</t>
        </r>
        <r>
          <rPr>
            <sz val="14"/>
            <color rgb="FF000000"/>
            <rFont val="Calibri"/>
            <family val="34"/>
          </rPr>
          <t xml:space="preserve">
</t>
        </r>
        <r>
          <rPr>
            <sz val="14"/>
            <color rgb="FF000000"/>
            <rFont val="Times New Roman"/>
            <family val="18"/>
          </rPr>
          <t>ML 10.274 IR 43 (1804) – Haupt Sassi Nr. 104 (15/09/1804)</t>
        </r>
        <r>
          <rPr>
            <sz val="14"/>
            <color rgb="FF000000"/>
            <rFont val="Calibri"/>
            <family val="34"/>
          </rPr>
          <t xml:space="preserve">
</t>
        </r>
        <r>
          <rPr>
            <sz val="14"/>
            <color rgb="FF000000"/>
            <rFont val="Times New Roman"/>
            <family val="18"/>
          </rPr>
          <t>ML 10.275/6 IR 43 (1805) – 14. Fus Comp Nr. 72 (01/10/1805)</t>
        </r>
        <r>
          <rPr>
            <sz val="14"/>
            <color rgb="FF000000"/>
            <rFont val="Calibri"/>
            <family val="34"/>
          </rPr>
          <t xml:space="preserve">
</t>
        </r>
        <r>
          <rPr>
            <sz val="14"/>
            <color rgb="FF000000"/>
            <rFont val="Times New Roman"/>
            <family val="18"/>
          </rPr>
          <t>ML 10.277/8 IR 43 (1806) – 4. Fus Comp Nr. 53 (Laibach 01/12/1806)</t>
        </r>
        <r>
          <rPr>
            <sz val="14"/>
            <color rgb="FF000000"/>
            <rFont val="Calibri"/>
            <family val="34"/>
          </rPr>
          <t xml:space="preserve">
</t>
        </r>
        <r>
          <rPr>
            <sz val="14"/>
            <color rgb="FF000000"/>
            <rFont val="Times New Roman"/>
            <family val="18"/>
          </rPr>
          <t>ML 10.279 IR 43 (1808-10) – RL 4. Fus Comp Nr. 50 (Laibach 06/09/1808) &amp; DL 10. Fus Comp Nr. 33 (Vordenberg 25/02/1810)</t>
        </r>
        <r>
          <rPr>
            <sz val="14"/>
            <color rgb="FF000000"/>
            <rFont val="Calibri"/>
            <family val="34"/>
          </rPr>
          <t xml:space="preserve">
</t>
        </r>
        <r>
          <rPr>
            <sz val="14"/>
            <color rgb="FF000000"/>
            <rFont val="Times New Roman"/>
            <family val="18"/>
          </rPr>
          <t>ML 10.311 IR 43 (1801) – ST Feb (??/09/1804) und Juni (??/??/1805)</t>
        </r>
        <r>
          <rPr>
            <sz val="14"/>
            <color rgb="FF000000"/>
            <rFont val="Calibri"/>
            <family val="34"/>
          </rPr>
          <t xml:space="preserve">
</t>
        </r>
        <r>
          <rPr>
            <sz val="14"/>
            <color rgb="FF000000"/>
            <rFont val="Times New Roman"/>
            <family val="18"/>
          </rPr>
          <t>ML 10.323 IR 43 (1809) – ST Feb (25/08/1810) und August (12/12/1810)</t>
        </r>
        <r>
          <rPr>
            <sz val="14"/>
            <color rgb="FF000000"/>
            <rFont val="Calibri"/>
            <family val="34"/>
          </rPr>
          <t xml:space="preserve">
</t>
        </r>
        <r>
          <rPr>
            <sz val="14"/>
            <color rgb="FF000000"/>
            <rFont val="Times New Roman"/>
            <family val="18"/>
          </rPr>
          <t xml:space="preserve">ML 10.325 IR 43 (1810) – ST März (11/03/1811) </t>
        </r>
        <r>
          <rPr>
            <sz val="14"/>
            <color rgb="FF000000"/>
            <rFont val="Calibri"/>
            <family val="34"/>
          </rPr>
          <t xml:space="preserve">
</t>
        </r>
        <r>
          <rPr>
            <sz val="14"/>
            <color rgb="FF000000"/>
            <rFont val="Times New Roman"/>
            <family val="18"/>
          </rPr>
          <t>ML 1942 IR 24 (1811) – 4. Fus. Komp. Nr. 38 (Mostan, 23/09/1811)</t>
        </r>
        <r>
          <rPr>
            <sz val="14"/>
            <color rgb="FF000000"/>
            <rFont val="Calibri"/>
            <family val="34"/>
          </rPr>
          <t xml:space="preserve">
</t>
        </r>
        <r>
          <rPr>
            <sz val="14"/>
            <color rgb="FF000000"/>
            <rFont val="Times New Roman"/>
            <family val="18"/>
          </rPr>
          <t>ML 1943 IR 24 (1812) – 4. Fus. Komp. Nr. 21 (Ofen 17/09/1812)</t>
        </r>
        <r>
          <rPr>
            <sz val="14"/>
            <color rgb="FF000000"/>
            <rFont val="Calibri"/>
            <family val="34"/>
          </rPr>
          <t xml:space="preserve">
</t>
        </r>
        <r>
          <rPr>
            <sz val="14"/>
            <color rgb="FF000000"/>
            <rFont val="Times New Roman"/>
            <family val="18"/>
          </rPr>
          <t xml:space="preserve">ML 1944 IR 24 (1816-7) – 9. Fus. Komp. Nr. 23 (Padua 15/09/1817) </t>
        </r>
        <r>
          <rPr>
            <sz val="14"/>
            <color rgb="FF000000"/>
            <rFont val="Calibri"/>
            <family val="34"/>
          </rPr>
          <t xml:space="preserve">
</t>
        </r>
        <r>
          <rPr>
            <sz val="14"/>
            <color rgb="FF000000"/>
            <rFont val="Times New Roman"/>
            <family val="18"/>
          </rPr>
          <t>ML 1945/6 IR 24 (1818) – 9. Fus. Komp. Nr. 21 (Großwardein 14/09/1818)</t>
        </r>
        <r>
          <rPr>
            <sz val="14"/>
            <color rgb="FF000000"/>
            <rFont val="Calibri"/>
            <family val="34"/>
          </rPr>
          <t xml:space="preserve">
</t>
        </r>
        <r>
          <rPr>
            <sz val="14"/>
            <color rgb="FF000000"/>
            <rFont val="Times New Roman"/>
            <family val="18"/>
          </rPr>
          <t>ML 1947/8 IR 24 (1819) – 9. Fus. Komp. Nr. 16 (Karlsburg 28/09/1819)</t>
        </r>
        <r>
          <rPr>
            <sz val="14"/>
            <color rgb="FF000000"/>
            <rFont val="Calibri"/>
            <family val="34"/>
          </rPr>
          <t xml:space="preserve">
</t>
        </r>
        <r>
          <rPr>
            <sz val="14"/>
            <color rgb="FF000000"/>
            <rFont val="Times New Roman"/>
            <family val="18"/>
          </rPr>
          <t>ML 1949/50 IR 24 (1820) – 9. Fus. Komp. Nr. 16 (Karlsburg 11/09/1820)</t>
        </r>
        <r>
          <rPr>
            <sz val="14"/>
            <color rgb="FF000000"/>
            <rFont val="Calibri"/>
            <family val="34"/>
          </rPr>
          <t xml:space="preserve">
</t>
        </r>
        <r>
          <rPr>
            <sz val="14"/>
            <color rgb="FF000000"/>
            <rFont val="Times New Roman"/>
            <family val="18"/>
          </rPr>
          <t>ML 2000 IR 24 (1810) – April (Raab 10/06/1812)</t>
        </r>
        <r>
          <rPr>
            <sz val="14"/>
            <color rgb="FF000000"/>
            <rFont val="Calibri"/>
            <family val="34"/>
          </rPr>
          <t xml:space="preserve">
</t>
        </r>
        <r>
          <rPr>
            <sz val="14"/>
            <color rgb="FF000000"/>
            <rFont val="Times New Roman"/>
            <family val="18"/>
          </rPr>
          <t>ML 2006 IR 24 (1813) I – Juli (Lemberg 05/08/1814)</t>
        </r>
        <r>
          <rPr>
            <sz val="14"/>
            <color rgb="FF000000"/>
            <rFont val="Calibri"/>
            <family val="34"/>
          </rPr>
          <t xml:space="preserve">
</t>
        </r>
        <r>
          <rPr>
            <sz val="14"/>
            <color rgb="FF000000"/>
            <rFont val="Times New Roman"/>
            <family val="18"/>
          </rPr>
          <t>ML 6347/8 GB 2 (1820) – 6. Komp. Nr. 31 (Brood 09/09/1820)</t>
        </r>
      </text>
    </comment>
    <comment ref="BH779" authorId="0" shapeId="0" xr:uid="{04EB8639-7C94-C649-93D3-0E7A9E747B5B}">
      <text>
        <r>
          <rPr>
            <sz val="14"/>
            <color rgb="FF000000"/>
            <rFont val="Calibri"/>
            <family val="34"/>
          </rPr>
          <t xml:space="preserve">IR 43 (1801-1810)
</t>
        </r>
        <r>
          <rPr>
            <sz val="14"/>
            <color rgb="FF000000"/>
            <rFont val="Calibri"/>
            <family val="34"/>
          </rPr>
          <t xml:space="preserve">IR 24 (1810-1819)
</t>
        </r>
        <r>
          <rPr>
            <sz val="14"/>
            <color rgb="FF000000"/>
            <rFont val="Calibri"/>
            <family val="34"/>
          </rPr>
          <t>GB 2 (1819-1820)</t>
        </r>
      </text>
    </comment>
    <comment ref="CR779" authorId="0" shapeId="0" xr:uid="{69EE9D51-71A8-3D40-A78A-AF00C1E2659F}">
      <text>
        <r>
          <rPr>
            <sz val="14"/>
            <color rgb="FF000000"/>
            <rFont val="Calibri"/>
            <family val="34"/>
          </rPr>
          <t xml:space="preserve">1802-5: Jüdisch
</t>
        </r>
        <r>
          <rPr>
            <sz val="14"/>
            <color rgb="FF000000"/>
            <rFont val="Calibri"/>
            <family val="34"/>
          </rPr>
          <t xml:space="preserve">1806: Katolisch
</t>
        </r>
        <r>
          <rPr>
            <sz val="14"/>
            <color rgb="FF000000"/>
            <rFont val="Calibri"/>
            <family val="34"/>
          </rPr>
          <t xml:space="preserve">1811: Altglaubisch </t>
        </r>
      </text>
    </comment>
    <comment ref="BF780" authorId="0" shapeId="0" xr:uid="{6E0D9F04-FE36-864C-B3E0-F161DD114DC8}">
      <text>
        <r>
          <rPr>
            <sz val="14"/>
            <color rgb="FFFF0000"/>
            <rFont val="Times New Roman"/>
            <family val="18"/>
          </rPr>
          <t xml:space="preserve">??/02/1801 </t>
        </r>
        <r>
          <rPr>
            <i/>
            <sz val="14"/>
            <color rgb="FFFF0000"/>
            <rFont val="Times New Roman"/>
            <family val="18"/>
          </rPr>
          <t>Gegen 3Fl auf Beständig assentiert</t>
        </r>
        <r>
          <rPr>
            <sz val="14"/>
            <color rgb="FFFF0000"/>
            <rFont val="Times New Roman"/>
            <family val="18"/>
          </rPr>
          <t xml:space="preserve"> [TL Aug 1802]</t>
        </r>
        <r>
          <rPr>
            <sz val="14"/>
            <color rgb="FF000000"/>
            <rFont val="Times New Roman"/>
            <family val="18"/>
          </rPr>
          <t xml:space="preserve">
</t>
        </r>
        <r>
          <rPr>
            <sz val="14"/>
            <color rgb="FF000000"/>
            <rFont val="Times New Roman"/>
            <family val="18"/>
          </rPr>
          <t xml:space="preserve">12/02/1801 </t>
        </r>
        <r>
          <rPr>
            <i/>
            <sz val="14"/>
            <color rgb="FF000000"/>
            <rFont val="Times New Roman"/>
            <family val="18"/>
          </rPr>
          <t>von Ständen gestellt und seitdem auf anhero</t>
        </r>
        <r>
          <rPr>
            <sz val="14"/>
            <color rgb="FF000000"/>
            <rFont val="Times New Roman"/>
            <family val="18"/>
          </rPr>
          <t xml:space="preserve"> Marsch [ST Feb 1801]
</t>
        </r>
        <r>
          <rPr>
            <sz val="14"/>
            <color rgb="FF000000"/>
            <rFont val="Times New Roman"/>
            <family val="18"/>
          </rPr>
          <t xml:space="preserve">10/06/1801 </t>
        </r>
        <r>
          <rPr>
            <i/>
            <sz val="14"/>
            <color rgb="FF000000"/>
            <rFont val="Times New Roman"/>
            <family val="18"/>
          </rPr>
          <t>In die Reserve Division eingerückt</t>
        </r>
        <r>
          <rPr>
            <sz val="14"/>
            <color rgb="FF000000"/>
            <rFont val="Times New Roman"/>
            <family val="18"/>
          </rPr>
          <t xml:space="preserve"> [ST Juni 1801]
</t>
        </r>
        <r>
          <rPr>
            <sz val="14"/>
            <color rgb="FF000000"/>
            <rFont val="Times New Roman"/>
            <family val="18"/>
          </rPr>
          <t xml:space="preserve">16/06/1801 [seit] Krank auswärts [ST Juni 1801]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Richter Komp. eingeheilt </t>
        </r>
        <r>
          <rPr>
            <sz val="14"/>
            <color rgb="FF000000"/>
            <rFont val="Times New Roman"/>
            <family val="18"/>
          </rPr>
          <t xml:space="preserve">[TL Aug 1802]
</t>
        </r>
        <r>
          <rPr>
            <sz val="14"/>
            <color rgb="FF000000"/>
            <rFont val="Times New Roman"/>
            <family val="18"/>
          </rPr>
          <t>19/09/1803 IR 44: Haupt Richter Nr. 105 [</t>
        </r>
        <r>
          <rPr>
            <i/>
            <sz val="14"/>
            <color rgb="FF000000"/>
            <rFont val="Times New Roman"/>
            <family val="18"/>
          </rPr>
          <t>Krank in Padua</t>
        </r>
        <r>
          <rPr>
            <sz val="14"/>
            <color rgb="FF000000"/>
            <rFont val="Times New Roman"/>
            <family val="18"/>
          </rPr>
          <t xml:space="preserve">]
</t>
        </r>
        <r>
          <rPr>
            <sz val="14"/>
            <color rgb="FF000000"/>
            <rFont val="Times New Roman"/>
            <family val="18"/>
          </rPr>
          <t>12/05/1804 IR 44: Haupt Richter Nr. 94 [</t>
        </r>
        <r>
          <rPr>
            <i/>
            <sz val="14"/>
            <color rgb="FF000000"/>
            <rFont val="Times New Roman"/>
            <family val="18"/>
          </rPr>
          <t>Beurlaubt in Gallizien zi Zaleszik</t>
        </r>
        <r>
          <rPr>
            <sz val="14"/>
            <color rgb="FF000000"/>
            <rFont val="Times New Roman"/>
            <family val="18"/>
          </rPr>
          <t xml:space="preserve"> </t>
        </r>
        <r>
          <rPr>
            <b/>
            <sz val="14"/>
            <color rgb="FF000000"/>
            <rFont val="Times New Roman"/>
            <family val="18"/>
          </rPr>
          <t>[</t>
        </r>
        <r>
          <rPr>
            <b/>
            <u/>
            <sz val="14"/>
            <color rgb="FF0563C1"/>
            <rFont val="Times New Roman"/>
            <family val="18"/>
          </rPr>
          <t>Zalishchyky, Ukraine</t>
        </r>
        <r>
          <rPr>
            <b/>
            <sz val="14"/>
            <color rgb="FF000000"/>
            <rFont val="Times New Roman"/>
            <family val="18"/>
          </rPr>
          <t>]</t>
        </r>
        <r>
          <rPr>
            <i/>
            <sz val="14"/>
            <color rgb="FF000000"/>
            <rFont val="Times New Roman"/>
            <family val="18"/>
          </rPr>
          <t xml:space="preserve"> Zlocower Kreis auf Bestimmte Zeit</t>
        </r>
        <r>
          <rPr>
            <sz val="14"/>
            <color rgb="FF000000"/>
            <rFont val="Times New Roman"/>
            <family val="18"/>
          </rPr>
          <t xml:space="preserve">]
</t>
        </r>
        <r>
          <rPr>
            <sz val="14"/>
            <color rgb="FF000000"/>
            <rFont val="Times New Roman"/>
            <family val="18"/>
          </rPr>
          <t xml:space="preserve">30/09/1806 </t>
        </r>
        <r>
          <rPr>
            <i/>
            <sz val="14"/>
            <color rgb="FF000000"/>
            <rFont val="Times New Roman"/>
            <family val="18"/>
          </rPr>
          <t>Als unwissend Verloren in Abgang</t>
        </r>
        <r>
          <rPr>
            <sz val="14"/>
            <color rgb="FF000000"/>
            <rFont val="Times New Roman"/>
            <family val="18"/>
          </rPr>
          <t xml:space="preserve"> [ML 1806]
</t>
        </r>
      </text>
    </comment>
    <comment ref="BG780" authorId="0" shapeId="0" xr:uid="{6DD49B99-B564-D94E-AAD7-EDFCA944D46B}">
      <text>
        <r>
          <rPr>
            <sz val="14"/>
            <color rgb="FF000000"/>
            <rFont val="Times New Roman"/>
            <family val="18"/>
          </rPr>
          <t xml:space="preserve">ML 10.311 IR 43 (1801) – ST Feb (28/09/1804), Juni (20/06/1805), </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Richter Komp. Nr. 105 (Venice 19/09/1803)</t>
        </r>
        <r>
          <rPr>
            <sz val="14"/>
            <color rgb="FF000000"/>
            <rFont val="Calibri"/>
            <family val="34"/>
          </rPr>
          <t xml:space="preserve">
</t>
        </r>
        <r>
          <rPr>
            <sz val="14"/>
            <color rgb="FF000000"/>
            <rFont val="Times New Roman"/>
            <family val="18"/>
          </rPr>
          <t>ML 3909 IR 44 (1804) – Haupt Richter Komp. Nr. 94 (Vincenza 12/05/1804)</t>
        </r>
        <r>
          <rPr>
            <sz val="14"/>
            <color rgb="FF000000"/>
            <rFont val="Calibri"/>
            <family val="34"/>
          </rPr>
          <t xml:space="preserve">
</t>
        </r>
        <r>
          <rPr>
            <sz val="14"/>
            <color rgb="FF000000"/>
            <rFont val="Times New Roman"/>
            <family val="18"/>
          </rPr>
          <t>ML 3910 IR 44 (1806) – CaptLt Schick Komp. Abgang (Fiume 10/12/1806)</t>
        </r>
        <r>
          <rPr>
            <sz val="14"/>
            <color rgb="FF000000"/>
            <rFont val="Calibri"/>
            <family val="34"/>
          </rPr>
          <t xml:space="preserve">
</t>
        </r>
        <r>
          <rPr>
            <sz val="14"/>
            <color rgb="FF000000"/>
            <rFont val="Times New Roman"/>
            <family val="18"/>
          </rPr>
          <t>ML 3946 IR 44 (1802) – AL IR 43-&gt; IR 43 Nr. 67 (Zara 14/08/1802)</t>
        </r>
      </text>
    </comment>
    <comment ref="BH780" authorId="0" shapeId="0" xr:uid="{ED4A226F-8DBC-1441-BF5A-0C148C5F28EF}">
      <text>
        <r>
          <rPr>
            <sz val="14"/>
            <color rgb="FF000000"/>
            <rFont val="Calibri"/>
            <family val="34"/>
          </rPr>
          <t xml:space="preserve">IR 43 (1801-1802)
</t>
        </r>
        <r>
          <rPr>
            <sz val="14"/>
            <color rgb="FF000000"/>
            <rFont val="Calibri"/>
            <family val="34"/>
          </rPr>
          <t>IR 44 (1802-1806)</t>
        </r>
      </text>
    </comment>
    <comment ref="BI780" authorId="0" shapeId="0" xr:uid="{BC080AF7-08FD-0B47-90A5-F582FF76D08B}">
      <text>
        <r>
          <rPr>
            <sz val="14"/>
            <color rgb="FF000000"/>
            <rFont val="Calibri"/>
            <family val="34"/>
          </rPr>
          <t>Gut [TL Aug 1802]</t>
        </r>
      </text>
    </comment>
    <comment ref="T781" authorId="0" shapeId="0" xr:uid="{835C6CDC-4F93-8843-8683-0BAFF5B8B6F4}">
      <text>
        <r>
          <rPr>
            <sz val="14"/>
            <color rgb="FF000000"/>
            <rFont val="Calibri"/>
            <family val="34"/>
          </rPr>
          <t xml:space="preserve">158.66 (1802-4)
</t>
        </r>
        <r>
          <rPr>
            <sz val="14"/>
            <color rgb="FF000000"/>
            <rFont val="Calibri"/>
            <family val="34"/>
          </rPr>
          <t>161.29 (1805)</t>
        </r>
      </text>
    </comment>
    <comment ref="BF781" authorId="0" shapeId="0" xr:uid="{F1C75957-E656-8649-A2AF-399A64949384}">
      <text>
        <r>
          <rPr>
            <sz val="14"/>
            <color rgb="FF000000"/>
            <rFont val="Times New Roman"/>
            <family val="18"/>
          </rPr>
          <t xml:space="preserve">12/02/1801 </t>
        </r>
        <r>
          <rPr>
            <i/>
            <sz val="14"/>
            <color rgb="FF000000"/>
            <rFont val="Times New Roman"/>
            <family val="18"/>
          </rPr>
          <t>von Ständen a 3Fl Handgeld gestellt und seitdem auf anhero Marsch</t>
        </r>
        <r>
          <rPr>
            <sz val="14"/>
            <color rgb="FF000000"/>
            <rFont val="Times New Roman"/>
            <family val="18"/>
          </rPr>
          <t xml:space="preserve"> [ST Feb 1801]
</t>
        </r>
        <r>
          <rPr>
            <sz val="14"/>
            <color rgb="FF000000"/>
            <rFont val="Times New Roman"/>
            <family val="18"/>
          </rPr>
          <t xml:space="preserve">15/06/1801 </t>
        </r>
        <r>
          <rPr>
            <i/>
            <sz val="14"/>
            <color rgb="FF000000"/>
            <rFont val="Times New Roman"/>
            <family val="18"/>
          </rPr>
          <t>in Reserve Division eingerückt</t>
        </r>
        <r>
          <rPr>
            <sz val="14"/>
            <color rgb="FF000000"/>
            <rFont val="Times New Roman"/>
            <family val="18"/>
          </rPr>
          <t xml:space="preserve"> [ST Juni 1801] 
</t>
        </r>
        <r>
          <rPr>
            <sz val="14"/>
            <color rgb="FF000000"/>
            <rFont val="Times New Roman"/>
            <family val="18"/>
          </rPr>
          <t xml:space="preserve">11/07/1801 </t>
        </r>
        <r>
          <rPr>
            <i/>
            <sz val="14"/>
            <color rgb="FF000000"/>
            <rFont val="Times New Roman"/>
            <family val="18"/>
          </rPr>
          <t>Von Reserve Division ins Haupt Oberburg Comp. Transferiert</t>
        </r>
        <r>
          <rPr>
            <sz val="14"/>
            <color rgb="FF000000"/>
            <rFont val="Times New Roman"/>
            <family val="18"/>
          </rPr>
          <t xml:space="preserve"> [ST Juli 1801]
</t>
        </r>
        <r>
          <rPr>
            <sz val="14"/>
            <color rgb="FF000000"/>
            <rFont val="Times New Roman"/>
            <family val="18"/>
          </rPr>
          <t xml:space="preserve">21/07/1801 </t>
        </r>
        <r>
          <rPr>
            <i/>
            <sz val="14"/>
            <color rgb="FF000000"/>
            <rFont val="Times New Roman"/>
            <family val="18"/>
          </rPr>
          <t>von Haupt Oberburg Comp zum Obrist Comp transferiert</t>
        </r>
        <r>
          <rPr>
            <sz val="14"/>
            <color rgb="FF000000"/>
            <rFont val="Times New Roman"/>
            <family val="18"/>
          </rPr>
          <t xml:space="preserve"> [ST Juli 1801]
</t>
        </r>
        <r>
          <rPr>
            <sz val="14"/>
            <color rgb="FF000000"/>
            <rFont val="Times New Roman"/>
            <family val="18"/>
          </rPr>
          <t xml:space="preserve">11/09/1802 Musterung: IR 43 Obrist Comp. Nr. 144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28/09/1803 Musterung: IR 43 Obrist Comp. Nr. 120 [</t>
        </r>
        <r>
          <rPr>
            <i/>
            <sz val="14"/>
            <color rgb="FF000000"/>
            <rFont val="Times New Roman"/>
            <family val="18"/>
          </rPr>
          <t>Beurlaubt in Zloczow in Galizien</t>
        </r>
        <r>
          <rPr>
            <sz val="14"/>
            <color rgb="FF000000"/>
            <rFont val="Times New Roman"/>
            <family val="18"/>
          </rPr>
          <t xml:space="preserve">]
</t>
        </r>
        <r>
          <rPr>
            <sz val="14"/>
            <color rgb="FF000000"/>
            <rFont val="Times New Roman"/>
            <family val="18"/>
          </rPr>
          <t>07/10/1804 Musterung: IR 43  Obrist Comp Nr. 108. [</t>
        </r>
        <r>
          <rPr>
            <i/>
            <sz val="14"/>
            <color rgb="FF000000"/>
            <rFont val="Times New Roman"/>
            <family val="18"/>
          </rPr>
          <t>Bis zur Einberufung Beurlaubt zu seinem Geburtsort</t>
        </r>
        <r>
          <rPr>
            <sz val="14"/>
            <color rgb="FF000000"/>
            <rFont val="Times New Roman"/>
            <family val="18"/>
          </rPr>
          <t xml:space="preserve">]
</t>
        </r>
        <r>
          <rPr>
            <sz val="14"/>
            <color rgb="FF000000"/>
            <rFont val="Times New Roman"/>
            <family val="18"/>
          </rPr>
          <t>01/10/1805 Musterung: IR 43 8. Fus Comp Nr. 83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12. Fus Comp als unwissend verloren in Abgang</t>
        </r>
        <r>
          <rPr>
            <sz val="14"/>
            <color rgb="FF000000"/>
            <rFont val="Times New Roman"/>
            <family val="18"/>
          </rPr>
          <t xml:space="preserve"> [ST Oct 1806 &amp; ML 1806]
</t>
        </r>
      </text>
    </comment>
    <comment ref="BG781" authorId="0" shapeId="0" xr:uid="{00D57A43-C338-0C4D-8037-9584980E9E1C}">
      <text>
        <r>
          <rPr>
            <sz val="14"/>
            <color rgb="FF000000"/>
            <rFont val="Calibri"/>
            <family val="34"/>
          </rPr>
          <t xml:space="preserve">ML 10.272 IR 43 (1802) – Heft von Obrist Comp. Nr. 144 (Zara 11/09/1802)
</t>
        </r>
        <r>
          <rPr>
            <sz val="14"/>
            <color rgb="FF000000"/>
            <rFont val="Calibri"/>
            <family val="34"/>
          </rPr>
          <t xml:space="preserve">ML 10.273 IR 43 (1803) – Heft von Obrist Comp. Nr. 120 (Zara 28/09/1803)
</t>
        </r>
        <r>
          <rPr>
            <sz val="14"/>
            <color rgb="FF000000"/>
            <rFont val="Calibri"/>
            <family val="34"/>
          </rPr>
          <t xml:space="preserve">ML 10.274 IR 43 (1804) – Heft von Obrist Comp. Nr. 108 (Cattaro 07/10/1804)
</t>
        </r>
        <r>
          <rPr>
            <sz val="14"/>
            <color rgb="FF000000"/>
            <rFont val="Calibri"/>
            <family val="34"/>
          </rPr>
          <t xml:space="preserve">ML 10.275/6 IR 43 (1805) – Heft von 8. Fus Comp. Nr. 83 (Zara (01/10/1805)
</t>
        </r>
        <r>
          <rPr>
            <sz val="14"/>
            <color rgb="FF000000"/>
            <rFont val="Calibri"/>
            <family val="34"/>
          </rPr>
          <t xml:space="preserve">ML 10/277/8 IR 43 (1806) – Heft von 12. Fus Comp. Abgang (Neustadt 05/12/1806)
</t>
        </r>
        <r>
          <rPr>
            <sz val="14"/>
            <color rgb="FF000000"/>
            <rFont val="Calibri"/>
            <family val="34"/>
          </rPr>
          <t xml:space="preserve">ML 10.311 IR 43 (1801) – ST Juni (20/06/1805) und Juli (08/07/1805)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10.317 IR 43 (1806) – ST Oktober (27/11/1806) </t>
        </r>
      </text>
    </comment>
    <comment ref="BH781" authorId="0" shapeId="0" xr:uid="{1132BC62-E58E-6E43-A5AC-A1D5F59840F4}">
      <text>
        <r>
          <rPr>
            <sz val="14"/>
            <color rgb="FF000000"/>
            <rFont val="Calibri"/>
            <family val="34"/>
          </rPr>
          <t>IR 43 (1801-1806)</t>
        </r>
      </text>
    </comment>
    <comment ref="CR781" authorId="0" shapeId="0" xr:uid="{7228D5A3-5BB4-BA41-86BA-58002DBB83BE}">
      <text>
        <r>
          <rPr>
            <sz val="14"/>
            <color rgb="FF000000"/>
            <rFont val="Calibri"/>
            <family val="34"/>
          </rPr>
          <t xml:space="preserve">1802: Hebreer
</t>
        </r>
        <r>
          <rPr>
            <sz val="14"/>
            <color rgb="FF000000"/>
            <rFont val="Calibri"/>
            <family val="34"/>
          </rPr>
          <t xml:space="preserve">1803-4: Griechisch
</t>
        </r>
        <r>
          <rPr>
            <sz val="14"/>
            <color rgb="FF000000"/>
            <rFont val="Calibri"/>
            <family val="34"/>
          </rPr>
          <t xml:space="preserve">1805: Jüdisch </t>
        </r>
      </text>
    </comment>
    <comment ref="BF782" authorId="0" shapeId="0" xr:uid="{E7496A1C-4CC5-D14F-9DA2-F0C4AF290FA4}">
      <text>
        <r>
          <rPr>
            <sz val="14"/>
            <color rgb="FF000000"/>
            <rFont val="Times New Roman"/>
            <family val="18"/>
          </rPr>
          <t xml:space="preserve">12/02/1801 </t>
        </r>
        <r>
          <rPr>
            <i/>
            <sz val="14"/>
            <color rgb="FF000000"/>
            <rFont val="Times New Roman"/>
            <family val="18"/>
          </rPr>
          <t>Von St</t>
        </r>
        <r>
          <rPr>
            <i/>
            <sz val="14"/>
            <color rgb="FF000000"/>
            <rFont val="Calibri"/>
            <family val="34"/>
          </rPr>
          <t>ä</t>
        </r>
        <r>
          <rPr>
            <i/>
            <sz val="14"/>
            <color rgb="FF000000"/>
            <rFont val="Times New Roman"/>
            <family val="18"/>
          </rPr>
          <t xml:space="preserve">nden gestellt und seitdem </t>
        </r>
        <r>
          <rPr>
            <i/>
            <sz val="14"/>
            <color rgb="FF000000"/>
            <rFont val="Times New Roman"/>
            <family val="18"/>
          </rPr>
          <t>Auf Anhero Marsch mit Friedensgebühr</t>
        </r>
        <r>
          <rPr>
            <sz val="14"/>
            <color rgb="FF000000"/>
            <rFont val="Times New Roman"/>
            <family val="18"/>
          </rPr>
          <t xml:space="preserve"> </t>
        </r>
        <r>
          <rPr>
            <sz val="14"/>
            <color rgb="FF000000"/>
            <rFont val="Times New Roman"/>
            <family val="18"/>
          </rPr>
          <t>[ML 1802 &amp; ST Feb 1801]</t>
        </r>
        <r>
          <rPr>
            <sz val="14"/>
            <color rgb="FF000000"/>
            <rFont val="Calibri"/>
            <family val="34"/>
          </rPr>
          <t xml:space="preserve">
</t>
        </r>
        <r>
          <rPr>
            <sz val="14"/>
            <color rgb="FFFF0000"/>
            <rFont val="Times New Roman"/>
            <family val="18"/>
          </rPr>
          <t xml:space="preserve">20/12/1801 </t>
        </r>
        <r>
          <rPr>
            <i/>
            <sz val="14"/>
            <color rgb="FFFF0000"/>
            <rFont val="Times New Roman"/>
            <family val="18"/>
          </rPr>
          <t>als st</t>
        </r>
        <r>
          <rPr>
            <i/>
            <sz val="14"/>
            <color rgb="FFFF0000"/>
            <rFont val="Calibri"/>
            <family val="34"/>
          </rPr>
          <t>ä</t>
        </r>
        <r>
          <rPr>
            <i/>
            <sz val="14"/>
            <color rgb="FFFF0000"/>
            <rFont val="Times New Roman"/>
            <family val="18"/>
          </rPr>
          <t xml:space="preserve">ndischer Recrout </t>
        </r>
        <r>
          <rPr>
            <sz val="14"/>
            <color rgb="FFFF0000"/>
            <rFont val="Times New Roman"/>
            <family val="18"/>
          </rPr>
          <t>[ML 1802-5]</t>
        </r>
        <r>
          <rPr>
            <sz val="14"/>
            <color rgb="FF000000"/>
            <rFont val="Calibri"/>
            <family val="34"/>
          </rPr>
          <t xml:space="preserve">
</t>
        </r>
        <r>
          <rPr>
            <sz val="14"/>
            <color rgb="FF000000"/>
            <rFont val="Times New Roman"/>
            <family val="18"/>
          </rPr>
          <t xml:space="preserve">30/06/1801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11/07/1802 </t>
        </r>
        <r>
          <rPr>
            <i/>
            <sz val="14"/>
            <color rgb="FF000000"/>
            <rFont val="Times New Roman"/>
            <family val="18"/>
          </rPr>
          <t>Von Reserve Division ins Haupt Geistler Comp transferiert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28/08/1802 Musterung: IR 43 Haupt Geistler Nr. 152</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Geistler Comp. Nr. 127 [</t>
        </r>
        <r>
          <rPr>
            <i/>
            <sz val="14"/>
            <color rgb="FF000000"/>
            <rFont val="Times New Roman"/>
            <family val="18"/>
          </rPr>
          <t>Auf Unbestimmte Urlaub zu Tischowitz</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Geistler Comp Nr. 123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23/10/1805 Musterung:  IR 43 10. Fus Comp Nr. 103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14.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782" authorId="0" shapeId="0" xr:uid="{66810369-0A02-2D46-8FB0-0F65AC1A7AA6}">
      <text>
        <r>
          <rPr>
            <sz val="14"/>
            <color rgb="FF000000"/>
            <rFont val="Calibri"/>
            <family val="34"/>
          </rPr>
          <t xml:space="preserve">ML 10.272 IR 43 (1802) – Heft von Haupt Geistler. Comp. Nr. 152 (Cattaro 28/08/1802)
</t>
        </r>
        <r>
          <rPr>
            <sz val="14"/>
            <color rgb="FF000000"/>
            <rFont val="Calibri"/>
            <family val="34"/>
          </rPr>
          <t xml:space="preserve">ML 10.273 IR 43 (1803) – Heft von Haupt Geistler Nr. 127 (Cattaro 02/11/1803)
</t>
        </r>
        <r>
          <rPr>
            <sz val="14"/>
            <color rgb="FF000000"/>
            <rFont val="Calibri"/>
            <family val="34"/>
          </rPr>
          <t xml:space="preserve">ML 10.274 IR 43 (1804) – Heft von Haupt Geistler Comp. Nr. 123 (Theodo 05/10/1804)
</t>
        </r>
        <r>
          <rPr>
            <sz val="14"/>
            <color rgb="FF000000"/>
            <rFont val="Calibri"/>
            <family val="34"/>
          </rPr>
          <t xml:space="preserve">ML 10.275/6 IR 43 (1805) – Heft von 10. Fus Comp. Nr. 103 (Spalato (23/10/1805)
</t>
        </r>
        <r>
          <rPr>
            <sz val="14"/>
            <color rgb="FF000000"/>
            <rFont val="Calibri"/>
            <family val="34"/>
          </rPr>
          <t xml:space="preserve">ML 10/277/8 IR 43 (1806) – Heft von 14. Fus Comp. Abgang (Laibach 01/12/1806)
</t>
        </r>
        <r>
          <rPr>
            <sz val="14"/>
            <color rgb="FF000000"/>
            <rFont val="Calibri"/>
            <family val="34"/>
          </rPr>
          <t xml:space="preserve">ML 10.311 IR 43 (1801) – ST Feb (28/09/1804) und Juni (20/06/1805)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t>
        </r>
      </text>
    </comment>
    <comment ref="BH782" authorId="0" shapeId="0" xr:uid="{92E87A6D-0D48-2B4A-817F-55FD9E83D0AA}">
      <text>
        <r>
          <rPr>
            <sz val="14"/>
            <color rgb="FF000000"/>
            <rFont val="Calibri"/>
            <family val="34"/>
          </rPr>
          <t>IR 43 (1801-1806)</t>
        </r>
      </text>
    </comment>
    <comment ref="BF783" authorId="0" shapeId="0" xr:uid="{D65EC29D-9F48-2148-A94A-EAFBEA4B0AF9}">
      <text>
        <r>
          <rPr>
            <sz val="14"/>
            <color rgb="FF000000"/>
            <rFont val="Times New Roman"/>
            <family val="18"/>
          </rPr>
          <t xml:space="preserve">12/02/1801 </t>
        </r>
        <r>
          <rPr>
            <i/>
            <sz val="14"/>
            <color rgb="FF000000"/>
            <rFont val="Times New Roman"/>
            <family val="18"/>
          </rPr>
          <t xml:space="preserve">A 3Fl Handgeld zu Tarnof in Galizien assentiert </t>
        </r>
        <r>
          <rPr>
            <sz val="14"/>
            <color rgb="FF000000"/>
            <rFont val="Times New Roman"/>
            <family val="18"/>
          </rPr>
          <t>[ML 1803]</t>
        </r>
        <r>
          <rPr>
            <sz val="14"/>
            <color rgb="FF000000"/>
            <rFont val="Calibri"/>
            <family val="34"/>
          </rPr>
          <t xml:space="preserve">
</t>
        </r>
        <r>
          <rPr>
            <sz val="14"/>
            <color rgb="FF000000"/>
            <rFont val="Times New Roman"/>
            <family val="18"/>
          </rPr>
          <t>14/09/1803 Muster: IR 4 Haupt Nies Komp. Nr. 84</t>
        </r>
        <r>
          <rPr>
            <sz val="14"/>
            <color rgb="FF000000"/>
            <rFont val="Calibri"/>
            <family val="34"/>
          </rPr>
          <t xml:space="preserve">
</t>
        </r>
        <r>
          <rPr>
            <sz val="14"/>
            <color rgb="FF000000"/>
            <rFont val="Times New Roman"/>
            <family val="18"/>
          </rPr>
          <t xml:space="preserve">21/07/1805 </t>
        </r>
        <r>
          <rPr>
            <i/>
            <sz val="14"/>
            <color rgb="FF000000"/>
            <rFont val="Times New Roman"/>
            <family val="18"/>
          </rPr>
          <t>Von 2. Grenadier zum Haupt Walleck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Urlaub desertiert</t>
        </r>
        <r>
          <rPr>
            <sz val="14"/>
            <color rgb="FF000000"/>
            <rFont val="Times New Roman"/>
            <family val="18"/>
          </rPr>
          <t xml:space="preserve"> [ML 1806]</t>
        </r>
        <r>
          <rPr>
            <sz val="14"/>
            <color rgb="FF000000"/>
            <rFont val="Calibri"/>
            <family val="34"/>
          </rPr>
          <t xml:space="preserve">
</t>
        </r>
        <r>
          <rPr>
            <sz val="14"/>
            <color rgb="FF000000"/>
            <rFont val="Calibri"/>
            <family val="34"/>
          </rPr>
          <t xml:space="preserve">
</t>
        </r>
      </text>
    </comment>
    <comment ref="BG783" authorId="0" shapeId="0" xr:uid="{3ED941EE-4BE4-194A-AAD4-81DE989653E3}">
      <text>
        <r>
          <rPr>
            <sz val="14"/>
            <color rgb="FF000000"/>
            <rFont val="Times New Roman"/>
            <family val="18"/>
          </rPr>
          <t>ML 348 IR 4 (1803) – Haupt Nies Nr. 84 (Vienna 14/09/1803)</t>
        </r>
        <r>
          <rPr>
            <sz val="14"/>
            <color rgb="FF000000"/>
            <rFont val="Calibri"/>
            <family val="34"/>
          </rPr>
          <t xml:space="preserve">
</t>
        </r>
        <r>
          <rPr>
            <sz val="14"/>
            <color rgb="FF000000"/>
            <rFont val="Times New Roman"/>
            <family val="18"/>
          </rPr>
          <t>ML 349/50 IR 4 (1806) – 11. Fus. Komp. Abgang (Baden 30/12/1806)</t>
        </r>
        <r>
          <rPr>
            <sz val="14"/>
            <color rgb="FF000000"/>
            <rFont val="Calibri"/>
            <family val="34"/>
          </rPr>
          <t xml:space="preserve">
</t>
        </r>
      </text>
    </comment>
    <comment ref="BH783" authorId="0" shapeId="0" xr:uid="{D874F3EE-939B-8846-843D-084C2BC2ECAE}">
      <text>
        <r>
          <rPr>
            <sz val="14"/>
            <color rgb="FF000000"/>
            <rFont val="Calibri"/>
            <family val="34"/>
          </rPr>
          <t>IR 4 (1801-1805)</t>
        </r>
      </text>
    </comment>
    <comment ref="BF784" authorId="0" shapeId="0" xr:uid="{94ED00F2-2725-9B4C-8FC7-5DA4DAD8CA0B}">
      <text>
        <r>
          <rPr>
            <sz val="14"/>
            <color rgb="FF000000"/>
            <rFont val="Times New Roman"/>
            <family val="18"/>
          </rPr>
          <t xml:space="preserve">13/02/1801 </t>
        </r>
        <r>
          <rPr>
            <i/>
            <sz val="14"/>
            <color rgb="FF000000"/>
            <rFont val="Times New Roman"/>
            <family val="18"/>
          </rPr>
          <t>A 3Fl zu Kerpen inf</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zum IR 59 Jordis Haupt Drohns Companie transferiert und seitdem unbestimmt beurlaubt in seinem Geburtort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Drohn Nr. 133 [</t>
        </r>
        <r>
          <rPr>
            <i/>
            <sz val="14"/>
            <color rgb="FF000000"/>
            <rFont val="Times New Roman"/>
            <family val="18"/>
          </rPr>
          <t>In seinem Geburtsort unbestimmt beurlaubt</t>
        </r>
        <r>
          <rPr>
            <sz val="14"/>
            <color rgb="FF000000"/>
            <rFont val="Times New Roman"/>
            <family val="18"/>
          </rPr>
          <t>]</t>
        </r>
        <r>
          <rPr>
            <sz val="14"/>
            <color rgb="FF000000"/>
            <rFont val="Calibri"/>
            <family val="34"/>
          </rPr>
          <t xml:space="preserve">
</t>
        </r>
        <r>
          <rPr>
            <sz val="14"/>
            <color rgb="FF000000"/>
            <rFont val="Times New Roman"/>
            <family val="18"/>
          </rPr>
          <t>03/09/1804 Muster: IR 59 Haupt Drohn [</t>
        </r>
        <r>
          <rPr>
            <i/>
            <sz val="14"/>
            <color rgb="FF000000"/>
            <rFont val="Times New Roman"/>
            <family val="18"/>
          </rPr>
          <t>Beurlaubt in seinem Geburtsort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
</t>
        </r>
        <r>
          <rPr>
            <sz val="14"/>
            <color rgb="FF000000"/>
            <rFont val="Times New Roman"/>
            <family val="18"/>
          </rPr>
          <t xml:space="preserve">01/09/1806 </t>
        </r>
        <r>
          <rPr>
            <i/>
            <sz val="14"/>
            <color rgb="FF000000"/>
            <rFont val="Times New Roman"/>
            <family val="18"/>
          </rPr>
          <t>Per Errorem in Abgang gebracht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von Urlaub desertiert</t>
        </r>
        <r>
          <rPr>
            <sz val="14"/>
            <color rgb="FF000000"/>
            <rFont val="Times New Roman"/>
            <family val="18"/>
          </rPr>
          <t xml:space="preserve"> [RL 1808]</t>
        </r>
        <r>
          <rPr>
            <sz val="14"/>
            <color rgb="FF000000"/>
            <rFont val="Calibri"/>
            <family val="34"/>
          </rPr>
          <t xml:space="preserve">
</t>
        </r>
        <r>
          <rPr>
            <sz val="14"/>
            <color rgb="FF000000"/>
            <rFont val="Calibri"/>
            <family val="34"/>
          </rPr>
          <t xml:space="preserve">
</t>
        </r>
      </text>
    </comment>
    <comment ref="BG784" authorId="0" shapeId="0" xr:uid="{E1A268A7-B2D5-DE40-8331-7D2C9CE1807F}">
      <text>
        <r>
          <rPr>
            <sz val="14"/>
            <color rgb="FF000000"/>
            <rFont val="Times New Roman"/>
            <family val="18"/>
          </rPr>
          <t>ML 5015 IR 59 (1803) – Heft von Haupt. Drohn Comp. nr. 133 (Enns 29/08/1803)</t>
        </r>
        <r>
          <rPr>
            <sz val="14"/>
            <color rgb="FF000000"/>
            <rFont val="Calibri"/>
            <family val="34"/>
          </rPr>
          <t xml:space="preserve">
</t>
        </r>
        <r>
          <rPr>
            <sz val="14"/>
            <color rgb="FF000000"/>
            <rFont val="Times New Roman"/>
            <family val="18"/>
          </rPr>
          <t>ML 5015 IR 59 (1804) – Heft von Haupt. Drohn Comp nr. 120 (Innsbruck 03/09/1804)</t>
        </r>
        <r>
          <rPr>
            <sz val="14"/>
            <color rgb="FF000000"/>
            <rFont val="Calibri"/>
            <family val="34"/>
          </rPr>
          <t xml:space="preserve">
</t>
        </r>
        <r>
          <rPr>
            <sz val="14"/>
            <color rgb="FF000000"/>
            <rFont val="Times New Roman"/>
            <family val="18"/>
          </rPr>
          <t xml:space="preserve">ML 5017/8 IR 59 (1806) – Heft ‚Unwissend verlohren‘ Nr. 677 (Linz 10/07/1807)
</t>
        </r>
        <r>
          <rPr>
            <sz val="14"/>
            <color rgb="FF000000"/>
            <rFont val="Times New Roman"/>
            <family val="18"/>
          </rPr>
          <t>ML 5019 IR 59 (1808-10) – RL 16. Fus. Komp. Abgang (Enns 05/09/1808)</t>
        </r>
        <r>
          <rPr>
            <sz val="14"/>
            <color rgb="FF000000"/>
            <rFont val="Calibri"/>
            <family val="34"/>
          </rPr>
          <t xml:space="preserve">
</t>
        </r>
        <r>
          <rPr>
            <sz val="14"/>
            <color rgb="FF000000"/>
            <rFont val="Calibri"/>
            <family val="34"/>
          </rPr>
          <t xml:space="preserve">
</t>
        </r>
      </text>
    </comment>
    <comment ref="BH784" authorId="0" shapeId="0" xr:uid="{5F9F9843-6B34-B145-B7DA-3FCFE1796911}">
      <text>
        <r>
          <rPr>
            <sz val="14"/>
            <color rgb="FF000000"/>
            <rFont val="Calibri"/>
            <family val="34"/>
          </rPr>
          <t xml:space="preserve">IR 49 (1801-1802)
</t>
        </r>
        <r>
          <rPr>
            <sz val="14"/>
            <color rgb="FF000000"/>
            <rFont val="Calibri"/>
            <family val="34"/>
          </rPr>
          <t>IR 59 (1802-1808)</t>
        </r>
      </text>
    </comment>
    <comment ref="BF785" authorId="0" shapeId="0" xr:uid="{D2430C52-9079-8045-BEC3-1B17A68FE83E}">
      <text>
        <r>
          <rPr>
            <sz val="14"/>
            <color rgb="FFFF0000"/>
            <rFont val="Times New Roman"/>
            <family val="18"/>
          </rPr>
          <t xml:space="preserve">22/12/1800 </t>
        </r>
        <r>
          <rPr>
            <i/>
            <sz val="14"/>
            <color rgb="FFFF0000"/>
            <rFont val="Times New Roman"/>
            <family val="18"/>
          </rPr>
          <t xml:space="preserve">Als Gellizische ständischen Recrout a 3Fl Handgeld Gestellt </t>
        </r>
        <r>
          <rPr>
            <sz val="14"/>
            <color rgb="FFFF0000"/>
            <rFont val="Times New Roman"/>
            <family val="18"/>
          </rPr>
          <t>[ML 1802]</t>
        </r>
        <r>
          <rPr>
            <sz val="14"/>
            <color rgb="FF000000"/>
            <rFont val="Calibri"/>
            <family val="34"/>
          </rPr>
          <t xml:space="preserve">
</t>
        </r>
        <r>
          <rPr>
            <sz val="14"/>
            <color rgb="FF000000"/>
            <rFont val="Times New Roman"/>
            <family val="18"/>
          </rPr>
          <t xml:space="preserve">13/02/1801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11/07/1801 </t>
        </r>
        <r>
          <rPr>
            <i/>
            <sz val="14"/>
            <color rgb="FF000000"/>
            <rFont val="Times New Roman"/>
            <family val="18"/>
          </rPr>
          <t>Von Reserve Division ins Haupt Basta Comp transferiert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21/08/1802 Muster: IR 43 Haupt Basta Komp. Nr. 133</t>
        </r>
        <r>
          <rPr>
            <sz val="14"/>
            <color rgb="FF000000"/>
            <rFont val="Calibri"/>
            <family val="34"/>
          </rPr>
          <t xml:space="preserve">
</t>
        </r>
        <r>
          <rPr>
            <sz val="14"/>
            <color rgb="FF000000"/>
            <rFont val="Times New Roman"/>
            <family val="18"/>
          </rPr>
          <t xml:space="preserve">13/11/1802 </t>
        </r>
        <r>
          <rPr>
            <i/>
            <sz val="14"/>
            <color rgb="FF000000"/>
            <rFont val="Times New Roman"/>
            <family val="18"/>
          </rPr>
          <t xml:space="preserve">Desertiert </t>
        </r>
        <r>
          <rPr>
            <sz val="14"/>
            <color rgb="FF000000"/>
            <rFont val="Times New Roman"/>
            <family val="18"/>
          </rPr>
          <t>[ST Dec 1802]</t>
        </r>
        <r>
          <rPr>
            <sz val="14"/>
            <color rgb="FF000000"/>
            <rFont val="Calibri"/>
            <family val="34"/>
          </rPr>
          <t xml:space="preserve">
</t>
        </r>
        <r>
          <rPr>
            <sz val="14"/>
            <color rgb="FF000000"/>
            <rFont val="Times New Roman"/>
            <family val="18"/>
          </rPr>
          <t xml:space="preserve">13/11/1802 </t>
        </r>
        <r>
          <rPr>
            <i/>
            <sz val="14"/>
            <color rgb="FF000000"/>
            <rFont val="Times New Roman"/>
            <family val="18"/>
          </rPr>
          <t>Von Landmann attrappiert und gegen 24Fl Taglia zu Zara Präsentiert; seitdem in Arrest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30/11/1802 </t>
        </r>
        <r>
          <rPr>
            <i/>
            <sz val="14"/>
            <color rgb="FF000000"/>
            <rFont val="Times New Roman"/>
            <family val="18"/>
          </rPr>
          <t>Befreit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08/11/1803 Muster: IR 43 Haupt Ellison Nr. 150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Lichtenberg Nr. 128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30/09/1805 Muster IR 43 2. Fus Komp. Nr. 97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unbestimmte Urlaub desertiert</t>
        </r>
        <r>
          <rPr>
            <sz val="14"/>
            <color rgb="FF000000"/>
            <rFont val="Times New Roman"/>
            <family val="18"/>
          </rPr>
          <t xml:space="preserve"> [ST Dec 1805 &amp; ML 1806]</t>
        </r>
        <r>
          <rPr>
            <sz val="14"/>
            <color rgb="FF000000"/>
            <rFont val="Calibri"/>
            <family val="34"/>
          </rPr>
          <t xml:space="preserve">
</t>
        </r>
      </text>
    </comment>
    <comment ref="BG785" authorId="0" shapeId="0" xr:uid="{9AD47270-BFB6-6443-92BC-AEC3BFF8D8FA}">
      <text>
        <r>
          <rPr>
            <sz val="14"/>
            <color rgb="FF000000"/>
            <rFont val="Times New Roman"/>
            <family val="18"/>
          </rPr>
          <t>ML 10.272 IR 43 (1802) – Heft von Haupt Baste Comp. Nr. 133 (Risano 21/08/1802)</t>
        </r>
        <r>
          <rPr>
            <sz val="14"/>
            <color rgb="FF000000"/>
            <rFont val="Calibri"/>
            <family val="34"/>
          </rPr>
          <t xml:space="preserve">
</t>
        </r>
        <r>
          <rPr>
            <sz val="14"/>
            <color rgb="FF000000"/>
            <rFont val="Times New Roman"/>
            <family val="18"/>
          </rPr>
          <t>ML 10.273 IR 43 (1803) – Heft von Haupt von Niedles Nr. 150 (Sign 08/11/1803)</t>
        </r>
        <r>
          <rPr>
            <sz val="14"/>
            <color rgb="FF000000"/>
            <rFont val="Calibri"/>
            <family val="34"/>
          </rPr>
          <t xml:space="preserve">
</t>
        </r>
        <r>
          <rPr>
            <sz val="14"/>
            <color rgb="FF000000"/>
            <rFont val="Times New Roman"/>
            <family val="18"/>
          </rPr>
          <t>ML 10.274 IR 43 (1804) – Heft von Haupt Lichtenberg Comp. Nr 128 (Zara 15/09/1804)</t>
        </r>
        <r>
          <rPr>
            <sz val="14"/>
            <color rgb="FF000000"/>
            <rFont val="Calibri"/>
            <family val="34"/>
          </rPr>
          <t xml:space="preserve">
</t>
        </r>
        <r>
          <rPr>
            <sz val="14"/>
            <color rgb="FF000000"/>
            <rFont val="Times New Roman"/>
            <family val="18"/>
          </rPr>
          <t>ML 10.275/6 IR 43 (1805) – Heft von 2. Fus Comp. Nr. 97 (Cattaro 30/09/1805)</t>
        </r>
        <r>
          <rPr>
            <sz val="14"/>
            <color rgb="FF000000"/>
            <rFont val="Calibri"/>
            <family val="34"/>
          </rPr>
          <t xml:space="preserve">
</t>
        </r>
        <r>
          <rPr>
            <sz val="14"/>
            <color rgb="FF000000"/>
            <rFont val="Times New Roman"/>
            <family val="18"/>
          </rPr>
          <t>ML 10/277/8 (1806) – Heft von 2. Fus Comp. Abgang (Laibach 01/12/1806)</t>
        </r>
        <r>
          <rPr>
            <sz val="14"/>
            <color rgb="FF000000"/>
            <rFont val="Calibri"/>
            <family val="34"/>
          </rPr>
          <t xml:space="preserve">
</t>
        </r>
        <r>
          <rPr>
            <sz val="14"/>
            <color rgb="FF000000"/>
            <rFont val="Times New Roman"/>
            <family val="18"/>
          </rPr>
          <t>ML 10.311 IR 43 (1801) – ST März (10/10/1804); Juli (08/07/1805)</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ML 10.313 IR 43 (1803) – ST Feb (15/03/1803) April (15/05/1803)</t>
        </r>
        <r>
          <rPr>
            <sz val="14"/>
            <color rgb="FF000000"/>
            <rFont val="Calibri"/>
            <family val="34"/>
          </rPr>
          <t xml:space="preserve">
</t>
        </r>
        <r>
          <rPr>
            <sz val="14"/>
            <color rgb="FF000000"/>
            <rFont val="Times New Roman"/>
            <family val="18"/>
          </rPr>
          <t>ML 10.315 IR 43 (1805) – ST Dez (13/07/1806)</t>
        </r>
      </text>
    </comment>
    <comment ref="BH785" authorId="0" shapeId="0" xr:uid="{20E0324E-FB98-6940-B510-621FF8203259}">
      <text>
        <r>
          <rPr>
            <sz val="14"/>
            <color rgb="FF000000"/>
            <rFont val="Calibri"/>
            <family val="34"/>
          </rPr>
          <t>IR 43 (1801-1805)</t>
        </r>
      </text>
    </comment>
    <comment ref="BF786" authorId="0" shapeId="0" xr:uid="{4076DF63-AD77-6D40-8C69-CB4EAFB883E8}">
      <text>
        <r>
          <rPr>
            <sz val="14"/>
            <color rgb="FF000000"/>
            <rFont val="Times New Roman"/>
            <family val="18"/>
          </rPr>
          <t xml:space="preserve">13/02/1801 </t>
        </r>
        <r>
          <rPr>
            <i/>
            <sz val="14"/>
            <color rgb="FF000000"/>
            <rFont val="Times New Roman"/>
            <family val="18"/>
          </rPr>
          <t>A 3 Fl Handgeld zu Zolkiew in Galizien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1. Major Komp Komp. Nr. 68</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Urlaub desertiert</t>
        </r>
        <r>
          <rPr>
            <sz val="14"/>
            <color rgb="FF000000"/>
            <rFont val="Times New Roman"/>
            <family val="18"/>
          </rPr>
          <t xml:space="preserve"> [ML 1806] </t>
        </r>
      </text>
    </comment>
    <comment ref="BG786" authorId="0" shapeId="0" xr:uid="{AEA9C1B1-56D3-DD4A-9238-5B7000BC4C20}">
      <text>
        <r>
          <rPr>
            <sz val="14"/>
            <color rgb="FF000000"/>
            <rFont val="Times New Roman"/>
            <family val="18"/>
          </rPr>
          <t>ML 348 IR 4 (1803) – 1. Major Komp. Nr. 68 (Vienna 14/09/1803)</t>
        </r>
        <r>
          <rPr>
            <sz val="14"/>
            <color rgb="FF000000"/>
            <rFont val="Calibri"/>
            <family val="34"/>
          </rPr>
          <t xml:space="preserve">
</t>
        </r>
        <r>
          <rPr>
            <sz val="14"/>
            <color rgb="FF000000"/>
            <rFont val="Times New Roman"/>
            <family val="18"/>
          </rPr>
          <t>ML 349/50 IR 4 (1806) – 4. Fus. Komp. Abgang (Baden 30/12/1806)</t>
        </r>
        <r>
          <rPr>
            <sz val="14"/>
            <color rgb="FF000000"/>
            <rFont val="Calibri"/>
            <family val="34"/>
          </rPr>
          <t xml:space="preserve">
</t>
        </r>
      </text>
    </comment>
    <comment ref="BH786" authorId="0" shapeId="0" xr:uid="{14750D94-FDA0-B94C-B505-5A2F304197E9}">
      <text>
        <r>
          <rPr>
            <sz val="14"/>
            <color rgb="FF000000"/>
            <rFont val="Calibri"/>
            <family val="34"/>
          </rPr>
          <t>IR 4 (1801-1805)</t>
        </r>
      </text>
    </comment>
    <comment ref="I787" authorId="0" shapeId="0" xr:uid="{A4B7A0F5-27D9-ED40-9DB0-4D445341062D}">
      <text>
        <r>
          <rPr>
            <sz val="14"/>
            <color rgb="FF000000"/>
            <rFont val="Calibri"/>
            <family val="34"/>
          </rPr>
          <t xml:space="preserve">1780 [24 (1804)]
</t>
        </r>
        <r>
          <rPr>
            <sz val="14"/>
            <color rgb="FF000000"/>
            <rFont val="Calibri"/>
            <family val="34"/>
          </rPr>
          <t xml:space="preserve">OR 
</t>
        </r>
        <r>
          <rPr>
            <sz val="14"/>
            <color rgb="FF000000"/>
            <rFont val="Calibri"/>
            <family val="34"/>
          </rPr>
          <t>1783 [19 (1802)]</t>
        </r>
      </text>
    </comment>
    <comment ref="BF787" authorId="0" shapeId="0" xr:uid="{2301A7BC-789B-E742-B9D1-1BD9BEBAECEE}">
      <text>
        <r>
          <rPr>
            <sz val="14"/>
            <color rgb="FF000000"/>
            <rFont val="Times New Roman"/>
            <family val="18"/>
          </rPr>
          <t xml:space="preserve">13/02/1801 </t>
        </r>
        <r>
          <rPr>
            <i/>
            <sz val="14"/>
            <color rgb="FF000000"/>
            <rFont val="Times New Roman"/>
            <family val="18"/>
          </rPr>
          <t>von Ständen gestellt und seitdem auf anhero Marsch</t>
        </r>
        <r>
          <rPr>
            <sz val="14"/>
            <color rgb="FF000000"/>
            <rFont val="Times New Roman"/>
            <family val="18"/>
          </rPr>
          <t xml:space="preserve"> [ST Feb 1801]</t>
        </r>
        <r>
          <rPr>
            <sz val="14"/>
            <color rgb="FF000000"/>
            <rFont val="Calibri"/>
            <family val="34"/>
          </rPr>
          <t xml:space="preserve">
</t>
        </r>
        <r>
          <rPr>
            <sz val="14"/>
            <color rgb="FFFF0000"/>
            <rFont val="Times New Roman"/>
            <family val="18"/>
          </rPr>
          <t xml:space="preserve">31/05/1801 </t>
        </r>
        <r>
          <rPr>
            <i/>
            <sz val="14"/>
            <color rgb="FFFF0000"/>
            <rFont val="Times New Roman"/>
            <family val="18"/>
          </rPr>
          <t>Gestorben in Caschau</t>
        </r>
        <r>
          <rPr>
            <sz val="14"/>
            <color rgb="FFFF0000"/>
            <rFont val="Times New Roman"/>
            <family val="18"/>
          </rPr>
          <t xml:space="preserve"> </t>
        </r>
        <r>
          <rPr>
            <b/>
            <sz val="14"/>
            <color rgb="FFFF0000"/>
            <rFont val="Times New Roman"/>
            <family val="18"/>
          </rPr>
          <t xml:space="preserve">[Sic!] </t>
        </r>
        <r>
          <rPr>
            <sz val="14"/>
            <color rgb="FFFF0000"/>
            <rFont val="Times New Roman"/>
            <family val="18"/>
          </rPr>
          <t>[ST May 1801]</t>
        </r>
        <r>
          <rPr>
            <sz val="14"/>
            <color rgb="FF000000"/>
            <rFont val="Calibri"/>
            <family val="34"/>
          </rPr>
          <t xml:space="preserve">
</t>
        </r>
        <r>
          <rPr>
            <sz val="14"/>
            <color rgb="FFFF0000"/>
            <rFont val="Times New Roman"/>
            <family val="18"/>
          </rPr>
          <t xml:space="preserve">27/07/1801 </t>
        </r>
        <r>
          <rPr>
            <i/>
            <sz val="14"/>
            <color rgb="FFFF0000"/>
            <rFont val="Times New Roman"/>
            <family val="18"/>
          </rPr>
          <t>Von die Ständen a 3Fl Handgeld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24/08/1802 Muster: IR 43 Haupt Selmbach Komp. Nr. 146 [</t>
        </r>
        <r>
          <rPr>
            <i/>
            <sz val="14"/>
            <color rgb="FF000000"/>
            <rFont val="Times New Roman"/>
            <family val="18"/>
          </rPr>
          <t>Commanidert zu Bratza</t>
        </r>
        <r>
          <rPr>
            <sz val="14"/>
            <color rgb="FF000000"/>
            <rFont val="Times New Roman"/>
            <family val="18"/>
          </rPr>
          <t>]</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15/02/1803 </t>
        </r>
        <r>
          <rPr>
            <i/>
            <sz val="14"/>
            <color rgb="FF000000"/>
            <rFont val="Times New Roman"/>
            <family val="18"/>
          </rPr>
          <t>Krank in Spital in Wien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15/03/1803 </t>
        </r>
        <r>
          <rPr>
            <i/>
            <sz val="14"/>
            <color rgb="FF000000"/>
            <rFont val="Times New Roman"/>
            <family val="18"/>
          </rPr>
          <t>Rekonvalesziert und wieder auf dem Marsch mit Urlaub nach Galizien</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 xml:space="preserve">28/04/1803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04/11/1803 Muster: IR 43 Haupt. Selmbach Komp. Nr. 131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Selmbach Komp. Nr. 122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IR 43 13. Fus Komp. Nr. 98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Komp. als unwissend Verloren in Abgang</t>
        </r>
        <r>
          <rPr>
            <sz val="14"/>
            <color rgb="FF000000"/>
            <rFont val="Times New Roman"/>
            <family val="18"/>
          </rPr>
          <t xml:space="preserve"> [ST Oct 1806 &amp; ML 1806]</t>
        </r>
        <r>
          <rPr>
            <sz val="14"/>
            <color rgb="FF000000"/>
            <rFont val="Calibri"/>
            <family val="34"/>
          </rPr>
          <t xml:space="preserve">
</t>
        </r>
      </text>
    </comment>
    <comment ref="BG787" authorId="0" shapeId="0" xr:uid="{986FD177-A096-B24D-B467-3099D56F3785}">
      <text>
        <r>
          <rPr>
            <sz val="14"/>
            <color rgb="FF000000"/>
            <rFont val="Times New Roman"/>
            <family val="18"/>
          </rPr>
          <t>ML 10.272 IR 43 (1802) – Heft von Haupt Selmbach Comp. Nr. 145 (Budua 24/08/1802)</t>
        </r>
        <r>
          <rPr>
            <sz val="14"/>
            <color rgb="FF000000"/>
            <rFont val="Calibri"/>
            <family val="34"/>
          </rPr>
          <t xml:space="preserve">
</t>
        </r>
        <r>
          <rPr>
            <sz val="14"/>
            <color rgb="FF000000"/>
            <rFont val="Times New Roman"/>
            <family val="18"/>
          </rPr>
          <t>ML 10.273 IR 43 (1803) – Heft von Haupt Selmbach Nr. 131 (Knin 04/11/1803)</t>
        </r>
        <r>
          <rPr>
            <sz val="14"/>
            <color rgb="FF000000"/>
            <rFont val="Calibri"/>
            <family val="34"/>
          </rPr>
          <t xml:space="preserve">
</t>
        </r>
        <r>
          <rPr>
            <sz val="14"/>
            <color rgb="FF000000"/>
            <rFont val="Times New Roman"/>
            <family val="18"/>
          </rPr>
          <t>ML 10.274 IR 43 (1804) – Heft von Haupt Selmbach Comp. Nr. 122 (Zara 15/09/1804)</t>
        </r>
        <r>
          <rPr>
            <sz val="14"/>
            <color rgb="FF000000"/>
            <rFont val="Calibri"/>
            <family val="34"/>
          </rPr>
          <t xml:space="preserve">
</t>
        </r>
        <r>
          <rPr>
            <sz val="14"/>
            <color rgb="FF000000"/>
            <rFont val="Times New Roman"/>
            <family val="18"/>
          </rPr>
          <t>ML 10.275/6 IR 43 (1805) – Heft von 13. Fus Comp. Nr. 98 (Zara 01/10/1805)</t>
        </r>
        <r>
          <rPr>
            <sz val="14"/>
            <color rgb="FF000000"/>
            <rFont val="Calibri"/>
            <family val="34"/>
          </rPr>
          <t xml:space="preserve">
</t>
        </r>
        <r>
          <rPr>
            <sz val="14"/>
            <color rgb="FF000000"/>
            <rFont val="Times New Roman"/>
            <family val="18"/>
          </rPr>
          <t>ML 10/277/8 (1806) – Heft von 3. Fus Comp. Abgang (Laibach 01/12/1806)</t>
        </r>
        <r>
          <rPr>
            <sz val="14"/>
            <color rgb="FF000000"/>
            <rFont val="Calibri"/>
            <family val="34"/>
          </rPr>
          <t xml:space="preserve">
</t>
        </r>
        <r>
          <rPr>
            <sz val="14"/>
            <color rgb="FF000000"/>
            <rFont val="Times New Roman"/>
            <family val="18"/>
          </rPr>
          <t>ML 10.313 IR 43 (1803) – ST Jan (15/02/1803), Feb. (15/03/1803), März (15/04/1803), April (20/05/1803)</t>
        </r>
        <r>
          <rPr>
            <sz val="14"/>
            <color rgb="FF000000"/>
            <rFont val="Calibri"/>
            <family val="34"/>
          </rPr>
          <t xml:space="preserve">
</t>
        </r>
        <r>
          <rPr>
            <sz val="14"/>
            <color rgb="FF000000"/>
            <rFont val="Times New Roman"/>
            <family val="18"/>
          </rPr>
          <t>ML 10.317 IR 43 (1806) – ST Okt. (27/11/1806)</t>
        </r>
      </text>
    </comment>
    <comment ref="BH787" authorId="0" shapeId="0" xr:uid="{52414FA1-70B1-D249-B0E4-4685F569AE1D}">
      <text>
        <r>
          <rPr>
            <sz val="14"/>
            <color rgb="FF000000"/>
            <rFont val="Calibri"/>
            <family val="34"/>
          </rPr>
          <t>IR 43 (1801-1806)</t>
        </r>
      </text>
    </comment>
    <comment ref="CR787" authorId="0" shapeId="0" xr:uid="{08505425-9326-F644-BB4F-B34D27270A5D}">
      <text>
        <r>
          <rPr>
            <sz val="14"/>
            <color rgb="FF000000"/>
            <rFont val="Calibri"/>
            <family val="34"/>
          </rPr>
          <t>1802-3: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1804-5: Katolisch </t>
        </r>
      </text>
    </comment>
    <comment ref="T788" authorId="0" shapeId="0" xr:uid="{6D7E8C08-EC41-4048-8799-236CFD5C9773}">
      <text>
        <r>
          <rPr>
            <b/>
            <sz val="14"/>
            <color rgb="FF000000"/>
            <rFont val="Calibri"/>
            <family val="34"/>
          </rPr>
          <t xml:space="preserve">5.3.2 [144.33 cm (ML 1803)]
</t>
        </r>
        <r>
          <rPr>
            <sz val="14"/>
            <color rgb="FF000000"/>
            <rFont val="Calibri"/>
            <family val="34"/>
          </rPr>
          <t xml:space="preserve">5.7.1 [176.63 cm (ML 1806]
</t>
        </r>
        <r>
          <rPr>
            <sz val="14"/>
            <color rgb="FF000000"/>
            <rFont val="Calibri"/>
            <family val="34"/>
          </rPr>
          <t>5.7.2 [176.85 cm (ML 1811)]</t>
        </r>
      </text>
    </comment>
    <comment ref="BF788" authorId="0" shapeId="0" xr:uid="{A1543CD6-706A-2244-8F5F-7BDAEAFF9E55}">
      <text>
        <r>
          <rPr>
            <sz val="14"/>
            <color rgb="FF000000"/>
            <rFont val="Times New Roman"/>
            <family val="18"/>
          </rPr>
          <t xml:space="preserve">13/02/1801 </t>
        </r>
        <r>
          <rPr>
            <i/>
            <sz val="14"/>
            <color rgb="FF000000"/>
            <rFont val="Times New Roman"/>
            <family val="18"/>
          </rPr>
          <t>A 3Fl Handgeld zu Zamoc in Gallizien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14/09/1803 Muster: IR 4 Haupt Küffel Komp. Nr. 85</t>
        </r>
        <r>
          <rPr>
            <sz val="14"/>
            <color rgb="FF000000"/>
            <rFont val="Calibri"/>
            <family val="34"/>
          </rPr>
          <t xml:space="preserve">
</t>
        </r>
        <r>
          <rPr>
            <sz val="14"/>
            <color rgb="FF000000"/>
            <rFont val="Times New Roman"/>
            <family val="18"/>
          </rPr>
          <t xml:space="preserve">01/05/1804 </t>
        </r>
        <r>
          <rPr>
            <i/>
            <sz val="14"/>
            <color rgb="FF000000"/>
            <rFont val="Times New Roman"/>
            <family val="18"/>
          </rPr>
          <t xml:space="preserve">Von Haupt Küffel zum 1. Grenadier Komp. transferiert </t>
        </r>
        <r>
          <rPr>
            <sz val="14"/>
            <color rgb="FF000000"/>
            <rFont val="Times New Roman"/>
            <family val="18"/>
          </rPr>
          <t>[ML 1806]</t>
        </r>
        <r>
          <rPr>
            <sz val="14"/>
            <color rgb="FF000000"/>
            <rFont val="Calibri"/>
            <family val="34"/>
          </rPr>
          <t xml:space="preserve">
</t>
        </r>
        <r>
          <rPr>
            <i/>
            <sz val="14"/>
            <color rgb="FF000000"/>
            <rFont val="Times New Roman"/>
            <family val="18"/>
          </rPr>
          <t>Von Küssel Compl: anhero</t>
        </r>
        <r>
          <rPr>
            <sz val="14"/>
            <color rgb="FF000000"/>
            <rFont val="Times New Roman"/>
            <family val="18"/>
          </rPr>
          <t xml:space="preserve"> [transferiert]</t>
        </r>
        <r>
          <rPr>
            <sz val="14"/>
            <color rgb="FF000000"/>
            <rFont val="Calibri"/>
            <family val="34"/>
          </rPr>
          <t xml:space="preserve">
</t>
        </r>
        <r>
          <rPr>
            <sz val="14"/>
            <color rgb="FF000000"/>
            <rFont val="Times New Roman"/>
            <family val="18"/>
          </rPr>
          <t xml:space="preserve">08/11/1805 </t>
        </r>
        <r>
          <rPr>
            <i/>
            <sz val="14"/>
            <color rgb="FF000000"/>
            <rFont val="Times New Roman"/>
            <family val="18"/>
          </rPr>
          <t>Bei der Affaire bei Neuhaus</t>
        </r>
        <r>
          <rPr>
            <sz val="14"/>
            <color rgb="FF000000"/>
            <rFont val="Times New Roman"/>
            <family val="18"/>
          </rPr>
          <t xml:space="preserve"> </t>
        </r>
        <r>
          <rPr>
            <b/>
            <sz val="14"/>
            <color rgb="FF000000"/>
            <rFont val="Times New Roman"/>
            <family val="18"/>
          </rPr>
          <t>[Schlacht von Mariazell]</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01/02/1806 </t>
        </r>
        <r>
          <rPr>
            <i/>
            <sz val="14"/>
            <color rgb="FF000000"/>
            <rFont val="Times New Roman"/>
            <family val="18"/>
          </rPr>
          <t>Von der Kriegsgefangenschaft zurückgelegt</t>
        </r>
        <r>
          <rPr>
            <sz val="14"/>
            <color rgb="FF000000"/>
            <rFont val="Times New Roman"/>
            <family val="18"/>
          </rPr>
          <t xml:space="preserve"> [ML 1806]</t>
        </r>
        <r>
          <rPr>
            <sz val="14"/>
            <color rgb="FF000000"/>
            <rFont val="Calibri"/>
            <family val="34"/>
          </rPr>
          <t xml:space="preserve">
</t>
        </r>
        <r>
          <rPr>
            <sz val="14"/>
            <color rgb="FF000000"/>
            <rFont val="Times New Roman"/>
            <family val="18"/>
          </rPr>
          <t>31/12/1806 Muster: IR 4 1. Gren. Komp. Nr. 112</t>
        </r>
        <r>
          <rPr>
            <sz val="14"/>
            <color rgb="FF000000"/>
            <rFont val="Calibri"/>
            <family val="34"/>
          </rPr>
          <t xml:space="preserve">
</t>
        </r>
        <r>
          <rPr>
            <sz val="14"/>
            <color rgb="FF000000"/>
            <rFont val="Times New Roman"/>
            <family val="18"/>
          </rPr>
          <t>17/09/1811 Muster: IR 4 1. Gren Komp. Nr. 61 [</t>
        </r>
        <r>
          <rPr>
            <i/>
            <sz val="14"/>
            <color rgb="FF000000"/>
            <rFont val="Times New Roman"/>
            <family val="18"/>
          </rPr>
          <t>In Wien VUWW beurlaubt bis zur Exercierzeit</t>
        </r>
        <r>
          <rPr>
            <sz val="14"/>
            <color rgb="FF000000"/>
            <rFont val="Times New Roman"/>
            <family val="18"/>
          </rPr>
          <t>]</t>
        </r>
        <r>
          <rPr>
            <sz val="14"/>
            <color rgb="FF000000"/>
            <rFont val="Calibri"/>
            <family val="34"/>
          </rPr>
          <t xml:space="preserve">
</t>
        </r>
      </text>
    </comment>
    <comment ref="BG788" authorId="0" shapeId="0" xr:uid="{586A4548-1754-7246-AE6C-E526CB249E51}">
      <text>
        <r>
          <rPr>
            <sz val="14"/>
            <color rgb="FF000000"/>
            <rFont val="Times New Roman"/>
            <family val="18"/>
          </rPr>
          <t>ML 348 IR 4 (1803) – Haupt Küffel Komp. Nr. 85 (</t>
        </r>
        <r>
          <rPr>
            <sz val="14"/>
            <color rgb="FF000000"/>
            <rFont val="Times New Roman"/>
            <family val="18"/>
          </rPr>
          <t>Vienna 14/</t>
        </r>
        <r>
          <rPr>
            <sz val="14"/>
            <color rgb="FF000000"/>
            <rFont val="Times New Roman"/>
            <family val="18"/>
          </rPr>
          <t>09/1803</t>
        </r>
        <r>
          <rPr>
            <sz val="14"/>
            <color rgb="FF000000"/>
            <rFont val="Calibri"/>
            <family val="34"/>
          </rPr>
          <t xml:space="preserve">
</t>
        </r>
        <r>
          <rPr>
            <sz val="14"/>
            <color rgb="FF000000"/>
            <rFont val="Times New Roman"/>
            <family val="18"/>
          </rPr>
          <t>ML 349/50 IR 4 (1806) – 1. Gren Komp. Nr. 112 (Wiener Neustadt 31/12/1806)</t>
        </r>
        <r>
          <rPr>
            <sz val="14"/>
            <color rgb="FF000000"/>
            <rFont val="Calibri"/>
            <family val="34"/>
          </rPr>
          <t xml:space="preserve">
</t>
        </r>
        <r>
          <rPr>
            <sz val="14"/>
            <color rgb="FF000000"/>
            <rFont val="Times New Roman"/>
            <family val="18"/>
          </rPr>
          <t>ML 351/2 IR 4 (1811) – 1. Gren Komp. Nr. 61 (Vienna 17/09/1811)</t>
        </r>
        <r>
          <rPr>
            <sz val="14"/>
            <color rgb="FF000000"/>
            <rFont val="Calibri"/>
            <family val="34"/>
          </rPr>
          <t xml:space="preserve">
</t>
        </r>
        <r>
          <rPr>
            <sz val="14"/>
            <color rgb="FF000000"/>
            <rFont val="Times New Roman"/>
            <family val="18"/>
          </rPr>
          <t>ML 383 IR 4 (1804) – ST May (Vienna 15/06/1804)</t>
        </r>
        <r>
          <rPr>
            <sz val="14"/>
            <color rgb="FF000000"/>
            <rFont val="Calibri"/>
            <family val="34"/>
          </rPr>
          <t xml:space="preserve">
</t>
        </r>
      </text>
    </comment>
    <comment ref="BH788" authorId="0" shapeId="0" xr:uid="{BEE6FC9A-979F-3D43-AC78-38ED35593BC1}">
      <text>
        <r>
          <rPr>
            <sz val="14"/>
            <color rgb="FF000000"/>
            <rFont val="Calibri"/>
            <family val="34"/>
          </rPr>
          <t>IR 4 (1801-1811)</t>
        </r>
      </text>
    </comment>
    <comment ref="BF789" authorId="0" shapeId="0" xr:uid="{3D1A9293-C225-A840-B07F-E40578C4C79D}">
      <text>
        <r>
          <rPr>
            <sz val="14"/>
            <color rgb="FF000000"/>
            <rFont val="Times New Roman"/>
            <family val="18"/>
          </rPr>
          <t xml:space="preserve">13/02/1801 </t>
        </r>
        <r>
          <rPr>
            <i/>
            <sz val="14"/>
            <color rgb="FF000000"/>
            <rFont val="Times New Roman"/>
            <family val="18"/>
          </rPr>
          <t>Von Galizischen Ständen gestellt und a 3Fl Handgeld auf Beständig assentiert</t>
        </r>
        <r>
          <rPr>
            <sz val="14"/>
            <color rgb="FF000000"/>
            <rFont val="Times New Roman"/>
            <family val="18"/>
          </rPr>
          <t xml:space="preserve">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 xml:space="preserve">[IR 23] </t>
        </r>
        <r>
          <rPr>
            <i/>
            <sz val="14"/>
            <color rgb="FF000000"/>
            <rFont val="Times New Roman"/>
            <family val="18"/>
          </rPr>
          <t>transferiert und zur Haupt Wenger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Wenger Nr. 100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Wenger Nr. 120 [</t>
        </r>
        <r>
          <rPr>
            <i/>
            <sz val="14"/>
            <color rgb="FF000000"/>
            <rFont val="Times New Roman"/>
            <family val="18"/>
          </rPr>
          <t>Bestimmt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Wenger Nr. 113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 </t>
        </r>
        <r>
          <rPr>
            <sz val="14"/>
            <color rgb="FF000000"/>
            <rFont val="Calibri"/>
            <family val="34"/>
          </rPr>
          <t xml:space="preserve">
</t>
        </r>
      </text>
    </comment>
    <comment ref="BG789" authorId="0" shapeId="0" xr:uid="{0DBC2E84-0953-DC47-A804-59ECD385FE2F}">
      <text>
        <r>
          <rPr>
            <sz val="14"/>
            <color rgb="FF000000"/>
            <rFont val="Times New Roman"/>
            <family val="18"/>
          </rPr>
          <t>ML 10.124 IR 23 (1802) – Haupt Wenger Komp. Nr. 150 (Vienna 16/09/1802)</t>
        </r>
        <r>
          <rPr>
            <sz val="14"/>
            <color rgb="FF000000"/>
            <rFont val="Calibri"/>
            <family val="34"/>
          </rPr>
          <t xml:space="preserve">
</t>
        </r>
        <r>
          <rPr>
            <sz val="14"/>
            <color rgb="FF000000"/>
            <rFont val="Times New Roman"/>
            <family val="18"/>
          </rPr>
          <t>ML 10.125 IR 23 (1803) – Haupt Wenger Komp. Nr. 120 (Vienna 16/09/1802)</t>
        </r>
        <r>
          <rPr>
            <sz val="14"/>
            <color rgb="FF000000"/>
            <rFont val="Calibri"/>
            <family val="34"/>
          </rPr>
          <t xml:space="preserve">
</t>
        </r>
        <r>
          <rPr>
            <sz val="14"/>
            <color rgb="FF000000"/>
            <rFont val="Times New Roman"/>
            <family val="18"/>
          </rPr>
          <t>ML 10.126 IR 23 (1804) – Haupt Wenger Komp. Nr. 113 (Krems 06/09/1804)</t>
        </r>
        <r>
          <rPr>
            <sz val="14"/>
            <color rgb="FF000000"/>
            <rFont val="Calibri"/>
            <family val="34"/>
          </rPr>
          <t xml:space="preserve">
</t>
        </r>
        <r>
          <rPr>
            <sz val="14"/>
            <color rgb="FF000000"/>
            <rFont val="Times New Roman"/>
            <family val="18"/>
          </rPr>
          <t>ML 10.127/8 IR 23 (1807) – Haupt Wührl Komp. Abgang (Poysdorf 26/01/1807)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789" authorId="0" shapeId="0" xr:uid="{77A641AB-2D32-644E-89B6-5CDF0B4CF973}">
      <text>
        <r>
          <rPr>
            <sz val="14"/>
            <color rgb="FF000000"/>
            <rFont val="Calibri"/>
            <family val="34"/>
          </rPr>
          <t xml:space="preserve">IR 49 (1801-1802)
</t>
        </r>
        <r>
          <rPr>
            <sz val="14"/>
            <color rgb="FF000000"/>
            <rFont val="Calibri"/>
            <family val="34"/>
          </rPr>
          <t>IR 23 (1802=1806)</t>
        </r>
      </text>
    </comment>
    <comment ref="BF790" authorId="0" shapeId="0" xr:uid="{CEB81CAD-D71F-A045-9BC6-D49C7C037004}">
      <text>
        <r>
          <rPr>
            <sz val="14"/>
            <color rgb="FF000000"/>
            <rFont val="Times New Roman"/>
            <family val="18"/>
          </rPr>
          <t xml:space="preserve">13/02/1801 </t>
        </r>
        <r>
          <rPr>
            <i/>
            <sz val="14"/>
            <color rgb="FF000000"/>
            <rFont val="Times New Roman"/>
            <family val="18"/>
          </rPr>
          <t xml:space="preserve">von Ständen gestellt und seitdem auf anhero Marsch mit Friedensgebühr </t>
        </r>
        <r>
          <rPr>
            <sz val="14"/>
            <color rgb="FF000000"/>
            <rFont val="Times New Roman"/>
            <family val="18"/>
          </rPr>
          <t>[ST Feb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Schoerr Comp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11/09/1802 Muster: IR 43 Haupt Schoerr Komp. Nr. 47]</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Haupt Schoer Komp. Nr. 44 [</t>
        </r>
        <r>
          <rPr>
            <i/>
            <sz val="14"/>
            <color rgb="FF000000"/>
            <rFont val="Times New Roman"/>
            <family val="18"/>
          </rPr>
          <t>bis zur Einberufung zu Kalusch in Gallizien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Haupt Schoer Komp. Nr. 45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10/08/1805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09/09/1805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01/10/1805 Muster: IR 43 6. Fus Komp. Nr. 45 [</t>
        </r>
        <r>
          <rPr>
            <i/>
            <sz val="14"/>
            <color rgb="FF000000"/>
            <rFont val="Times New Roman"/>
            <family val="18"/>
          </rPr>
          <t>Zu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25/09/1805 </t>
        </r>
        <r>
          <rPr>
            <i/>
            <sz val="14"/>
            <color rgb="FF000000"/>
            <rFont val="Times New Roman"/>
            <family val="18"/>
          </rPr>
          <t>In Folge General Commando Veordnung Det Graz 20 May 805 Lit X: Nr. 779 nach vorher gehaltenen Superarbietrierung als untaglich mit Abschied entlassen</t>
        </r>
        <r>
          <rPr>
            <sz val="14"/>
            <color rgb="FF000000"/>
            <rFont val="Times New Roman"/>
            <family val="18"/>
          </rPr>
          <t xml:space="preserve"> [ST Oct 1805 &amp; ML 1806 </t>
        </r>
        <r>
          <rPr>
            <sz val="14"/>
            <color rgb="FF000000"/>
            <rFont val="Calibri"/>
            <family val="34"/>
          </rPr>
          <t xml:space="preserve">
</t>
        </r>
        <r>
          <rPr>
            <sz val="14"/>
            <color rgb="FF000000"/>
            <rFont val="Times New Roman"/>
            <family val="18"/>
          </rPr>
          <t xml:space="preserve">02/10/1805 [bis] </t>
        </r>
        <r>
          <rPr>
            <i/>
            <sz val="14"/>
            <color rgb="FF000000"/>
            <rFont val="Times New Roman"/>
            <family val="18"/>
          </rPr>
          <t>von den Löbl KriegsComissariat zu Laibach mit tgl. 5 Xr Lohnung und 2Xr Brotgeld Verpflegt</t>
        </r>
        <r>
          <rPr>
            <sz val="14"/>
            <color rgb="FF000000"/>
            <rFont val="Times New Roman"/>
            <family val="18"/>
          </rPr>
          <t xml:space="preserve"> [ST Oct 1805]</t>
        </r>
        <r>
          <rPr>
            <sz val="14"/>
            <color rgb="FF000000"/>
            <rFont val="Calibri"/>
            <family val="34"/>
          </rPr>
          <t xml:space="preserve">
</t>
        </r>
      </text>
    </comment>
    <comment ref="BG790" authorId="0" shapeId="0" xr:uid="{287F7FEE-34A6-DD43-BD14-DA35808887CA}">
      <text>
        <r>
          <rPr>
            <sz val="14"/>
            <color rgb="FF000000"/>
            <rFont val="Times New Roman"/>
            <family val="18"/>
          </rPr>
          <t>ML 10.272 IR 43 (1802) – Haupt Schoer. Komp. Nr. 47 (Zara 11/09/1802)</t>
        </r>
        <r>
          <rPr>
            <sz val="14"/>
            <color rgb="FF000000"/>
            <rFont val="Calibri"/>
            <family val="34"/>
          </rPr>
          <t xml:space="preserve">
</t>
        </r>
        <r>
          <rPr>
            <sz val="14"/>
            <color rgb="FF000000"/>
            <rFont val="Times New Roman"/>
            <family val="18"/>
          </rPr>
          <t>ML 10.273 IR 43 (1803) –Haupt Schoer Komp. Nr. 44 (Zara 28/09/1803)</t>
        </r>
        <r>
          <rPr>
            <sz val="14"/>
            <color rgb="FF000000"/>
            <rFont val="Calibri"/>
            <family val="34"/>
          </rPr>
          <t xml:space="preserve">
</t>
        </r>
        <r>
          <rPr>
            <sz val="14"/>
            <color rgb="FF000000"/>
            <rFont val="Times New Roman"/>
            <family val="18"/>
          </rPr>
          <t>ML 10.274 IR 43 (1804) –Haupt Schoer Komp. Nr. 45 (Cattaro 07/10/1804)</t>
        </r>
        <r>
          <rPr>
            <sz val="14"/>
            <color rgb="FF000000"/>
            <rFont val="Calibri"/>
            <family val="34"/>
          </rPr>
          <t xml:space="preserve">
</t>
        </r>
        <r>
          <rPr>
            <sz val="14"/>
            <color rgb="FF000000"/>
            <rFont val="Times New Roman"/>
            <family val="18"/>
          </rPr>
          <t>ML 10.275/6 IR 43 (1805) –6. Fus Komp. Nr. 45 (Zara 01/10/1805)</t>
        </r>
        <r>
          <rPr>
            <sz val="14"/>
            <color rgb="FF000000"/>
            <rFont val="Calibri"/>
            <family val="34"/>
          </rPr>
          <t xml:space="preserve">
</t>
        </r>
        <r>
          <rPr>
            <sz val="14"/>
            <color rgb="FF000000"/>
            <rFont val="Times New Roman"/>
            <family val="18"/>
          </rPr>
          <t>ML 10/277/8 IR 43 (1806) – 7. Fus. Komp. Abgang (Neustadt (05/12/1806)</t>
        </r>
        <r>
          <rPr>
            <sz val="14"/>
            <color rgb="FF000000"/>
            <rFont val="Calibri"/>
            <family val="34"/>
          </rPr>
          <t xml:space="preserve">
</t>
        </r>
        <r>
          <rPr>
            <sz val="14"/>
            <color rgb="FF000000"/>
            <rFont val="Times New Roman"/>
            <family val="18"/>
          </rPr>
          <t>ML 10.311 IR 43 (1801) – ST Feb (28/09/1804), Juni (20/06/1805)</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Sept (15/11/1805), Okt (22/05/1806)</t>
        </r>
      </text>
    </comment>
    <comment ref="BH790" authorId="0" shapeId="0" xr:uid="{E4949D3B-6935-4643-A7EC-FB46F97D7C98}">
      <text>
        <r>
          <rPr>
            <sz val="14"/>
            <color rgb="FF000000"/>
            <rFont val="Calibri"/>
            <family val="34"/>
          </rPr>
          <t>IR 43 (1801-1805)</t>
        </r>
      </text>
    </comment>
    <comment ref="BF791" authorId="0" shapeId="0" xr:uid="{D0802A5B-620A-2442-BAB8-3DB1A72C3C11}">
      <text>
        <r>
          <rPr>
            <sz val="14"/>
            <color rgb="FFFF0000"/>
            <rFont val="Times New Roman"/>
            <family val="18"/>
          </rPr>
          <t xml:space="preserve">??/01/1801 </t>
        </r>
        <r>
          <rPr>
            <i/>
            <sz val="14"/>
            <color rgb="FFFF0000"/>
            <rFont val="Times New Roman"/>
            <family val="18"/>
          </rPr>
          <t>gegen 3Fl Handgeld auf Beständig zu Thurn Inf</t>
        </r>
        <r>
          <rPr>
            <sz val="14"/>
            <color rgb="FFFF0000"/>
            <rFont val="Times New Roman"/>
            <family val="18"/>
          </rPr>
          <t xml:space="preserve"> </t>
        </r>
        <r>
          <rPr>
            <b/>
            <sz val="14"/>
            <color rgb="FFFF0000"/>
            <rFont val="Times New Roman"/>
            <family val="18"/>
          </rPr>
          <t>[IR 43]</t>
        </r>
        <r>
          <rPr>
            <sz val="14"/>
            <color rgb="FFFF0000"/>
            <rFont val="Times New Roman"/>
            <family val="18"/>
          </rPr>
          <t xml:space="preserve"> </t>
        </r>
        <r>
          <rPr>
            <i/>
            <sz val="14"/>
            <color rgb="FFFF0000"/>
            <rFont val="Times New Roman"/>
            <family val="18"/>
          </rPr>
          <t>assentiert</t>
        </r>
        <r>
          <rPr>
            <sz val="14"/>
            <color rgb="FFFF0000"/>
            <rFont val="Times New Roman"/>
            <family val="18"/>
          </rPr>
          <t xml:space="preserve"> [TL Aug 1802]</t>
        </r>
        <r>
          <rPr>
            <sz val="14"/>
            <color rgb="FF000000"/>
            <rFont val="Times New Roman"/>
            <family val="18"/>
          </rPr>
          <t xml:space="preserve">
</t>
        </r>
        <r>
          <rPr>
            <sz val="14"/>
            <color rgb="FF000000"/>
            <rFont val="Times New Roman"/>
            <family val="18"/>
          </rPr>
          <t xml:space="preserve">13/02/1801 </t>
        </r>
        <r>
          <rPr>
            <i/>
            <sz val="14"/>
            <color rgb="FF000000"/>
            <rFont val="Times New Roman"/>
            <family val="18"/>
          </rPr>
          <t>von Ständen gestellt und seitdem auf anhero Marsch mit Friedensgebühr</t>
        </r>
        <r>
          <rPr>
            <sz val="14"/>
            <color rgb="FF000000"/>
            <rFont val="Times New Roman"/>
            <family val="18"/>
          </rPr>
          <t xml:space="preserve"> [ST Feb 1801]
</t>
        </r>
        <r>
          <rPr>
            <sz val="14"/>
            <color rgb="FF000000"/>
            <rFont val="Times New Roman"/>
            <family val="18"/>
          </rPr>
          <t xml:space="preserve">10/06/1801 </t>
        </r>
        <r>
          <rPr>
            <i/>
            <sz val="14"/>
            <color rgb="FF000000"/>
            <rFont val="Times New Roman"/>
            <family val="18"/>
          </rPr>
          <t>In the Reserve Division eingerückt</t>
        </r>
        <r>
          <rPr>
            <sz val="14"/>
            <color rgb="FF000000"/>
            <rFont val="Times New Roman"/>
            <family val="18"/>
          </rPr>
          <t xml:space="preserve"> [ST Juni 1801]
</t>
        </r>
        <r>
          <rPr>
            <sz val="14"/>
            <color rgb="FF000000"/>
            <rFont val="Times New Roman"/>
            <family val="18"/>
          </rPr>
          <t xml:space="preserve">11/07/1801 </t>
        </r>
        <r>
          <rPr>
            <i/>
            <sz val="14"/>
            <color rgb="FF000000"/>
            <rFont val="Times New Roman"/>
            <family val="18"/>
          </rPr>
          <t>Von Reserve Division ins Haupt Oberburg Komp transferiert</t>
        </r>
        <r>
          <rPr>
            <sz val="14"/>
            <color rgb="FF000000"/>
            <rFont val="Times New Roman"/>
            <family val="18"/>
          </rPr>
          <t xml:space="preserve"> [ST Juli 1801]
</t>
        </r>
        <r>
          <rPr>
            <sz val="14"/>
            <color rgb="FF000000"/>
            <rFont val="Times New Roman"/>
            <family val="18"/>
          </rPr>
          <t xml:space="preserve">15/08/1802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Frintlos Komp zum IR 44 transferiert und zur Vassy Komp. eingeheilt </t>
        </r>
        <r>
          <rPr>
            <sz val="14"/>
            <color rgb="FF000000"/>
            <rFont val="Times New Roman"/>
            <family val="18"/>
          </rPr>
          <t xml:space="preserve">[TL Aug 1802]
</t>
        </r>
        <r>
          <rPr>
            <sz val="14"/>
            <color rgb="FF000000"/>
            <rFont val="Times New Roman"/>
            <family val="18"/>
          </rPr>
          <t>19/09/1803 Muster: IR 44 Haupt Gilleta Nr. 104 [</t>
        </r>
        <r>
          <rPr>
            <i/>
            <sz val="14"/>
            <color rgb="FF000000"/>
            <rFont val="Times New Roman"/>
            <family val="18"/>
          </rPr>
          <t>Auf unbestimmte Urlaub zu Lemberg in Galizien</t>
        </r>
        <r>
          <rPr>
            <sz val="14"/>
            <color rgb="FF000000"/>
            <rFont val="Times New Roman"/>
            <family val="18"/>
          </rPr>
          <t xml:space="preserve">]
</t>
        </r>
        <r>
          <rPr>
            <sz val="14"/>
            <color rgb="FF000000"/>
            <rFont val="Times New Roman"/>
            <family val="18"/>
          </rPr>
          <t>12/05/1804 Muster: IR 44 Haupt Gilleta Nr. 92 [</t>
        </r>
        <r>
          <rPr>
            <i/>
            <sz val="14"/>
            <color rgb="FF000000"/>
            <rFont val="Times New Roman"/>
            <family val="18"/>
          </rPr>
          <t>Beurlaubt in Rastan in Ost Galizien bis zur Einberufung</t>
        </r>
        <r>
          <rPr>
            <sz val="14"/>
            <color rgb="FF000000"/>
            <rFont val="Times New Roman"/>
            <family val="18"/>
          </rPr>
          <t xml:space="preserve">]
</t>
        </r>
        <r>
          <rPr>
            <sz val="14"/>
            <color rgb="FF000000"/>
            <rFont val="Times New Roman"/>
            <family val="18"/>
          </rPr>
          <t xml:space="preserve">30/09/1806 </t>
        </r>
        <r>
          <rPr>
            <i/>
            <sz val="14"/>
            <color rgb="FF000000"/>
            <rFont val="Times New Roman"/>
            <family val="18"/>
          </rPr>
          <t>Als unwissend Verloren in abgang</t>
        </r>
        <r>
          <rPr>
            <sz val="14"/>
            <color rgb="FF000000"/>
            <rFont val="Times New Roman"/>
            <family val="18"/>
          </rPr>
          <t xml:space="preserve"> [ML 1806]
</t>
        </r>
      </text>
    </comment>
    <comment ref="BG791" authorId="0" shapeId="0" xr:uid="{E23F44B5-B7F4-6D4B-AA79-A35A01B25731}">
      <text>
        <r>
          <rPr>
            <sz val="14"/>
            <color rgb="FF000000"/>
            <rFont val="Times New Roman"/>
            <family val="18"/>
          </rPr>
          <t xml:space="preserve">ML 10.311 IR 43 (1801) – ST Feb (28/09/1804), Juni (20/06/1805), Juli (08/07/1805)
</t>
        </r>
        <r>
          <rPr>
            <sz val="14"/>
            <color rgb="FF000000"/>
            <rFont val="Times New Roman"/>
            <family val="18"/>
          </rPr>
          <t xml:space="preserve">ML 10.312 IR 43 (1802) – ST Aug (15/09/1802)
</t>
        </r>
        <r>
          <rPr>
            <sz val="14"/>
            <color rgb="FF000000"/>
            <rFont val="Times New Roman"/>
            <family val="18"/>
          </rPr>
          <t xml:space="preserve">ML 3908 IR 44 (1803) – Haupt Gilleta Komp. Nr. 104 (Venice 19/09/1803)
</t>
        </r>
        <r>
          <rPr>
            <sz val="14"/>
            <color rgb="FF000000"/>
            <rFont val="Times New Roman"/>
            <family val="18"/>
          </rPr>
          <t xml:space="preserve">ML 3909 IR 44 (1804) – Haupt Gilleta Komp. Nr. 92 (Vicenza 12/05/1804)
</t>
        </r>
        <r>
          <rPr>
            <sz val="14"/>
            <color rgb="FF000000"/>
            <rFont val="Times New Roman"/>
            <family val="18"/>
          </rPr>
          <t xml:space="preserve">ML 3910 IR 44 (1806) – CaptLt. Czwich Abgang (Fiume 10/12/1806)
</t>
        </r>
        <r>
          <rPr>
            <sz val="14"/>
            <color rgb="FF000000"/>
            <rFont val="Times New Roman"/>
            <family val="18"/>
          </rPr>
          <t>ML 3946 IR 44 (1802) – AL IR 43-&gt; IR 43 Nr. 56 (Zara 14/08/1802)</t>
        </r>
      </text>
    </comment>
    <comment ref="BH791" authorId="0" shapeId="0" xr:uid="{DD4DFA81-E35C-4242-9EB3-D953EDC33245}">
      <text>
        <r>
          <rPr>
            <sz val="14"/>
            <color rgb="FF000000"/>
            <rFont val="Calibri"/>
            <family val="34"/>
          </rPr>
          <t xml:space="preserve">IR 43 (1801-1802)
</t>
        </r>
        <r>
          <rPr>
            <sz val="14"/>
            <color rgb="FF000000"/>
            <rFont val="Calibri"/>
            <family val="34"/>
          </rPr>
          <t>IR 44 (1802-1806)</t>
        </r>
      </text>
    </comment>
    <comment ref="BI791" authorId="0" shapeId="0" xr:uid="{3564E9A9-0004-7D49-AC99-2AA140BDCFAE}">
      <text>
        <r>
          <rPr>
            <sz val="14"/>
            <color rgb="FF000000"/>
            <rFont val="Calibri"/>
            <family val="34"/>
          </rPr>
          <t>Gut [TL Aug 1802]</t>
        </r>
      </text>
    </comment>
    <comment ref="BF792" authorId="0" shapeId="0" xr:uid="{7ECCDD8D-DEE0-1040-8A95-157D4F24A1A5}">
      <text>
        <r>
          <rPr>
            <sz val="14"/>
            <color rgb="FF000000"/>
            <rFont val="Times New Roman"/>
            <family val="18"/>
          </rPr>
          <t xml:space="preserve">14/02/1801 </t>
        </r>
        <r>
          <rPr>
            <i/>
            <sz val="14"/>
            <color rgb="FF000000"/>
            <rFont val="Times New Roman"/>
            <family val="18"/>
          </rPr>
          <t>In die IR 43 assentiert ohne Capitulation</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18/05/1801 </t>
        </r>
        <r>
          <rPr>
            <i/>
            <sz val="14"/>
            <color rgb="FF000000"/>
            <rFont val="Times New Roman"/>
            <family val="18"/>
          </rPr>
          <t xml:space="preserve">Von IR 43 ‚Reserve Division‘ ins IR 45 Lattermann transferiert </t>
        </r>
        <r>
          <rPr>
            <sz val="14"/>
            <color rgb="FF000000"/>
            <rFont val="Times New Roman"/>
            <family val="18"/>
          </rPr>
          <t>[ST May 1801]</t>
        </r>
        <r>
          <rPr>
            <sz val="14"/>
            <color rgb="FF000000"/>
            <rFont val="Calibri"/>
            <family val="34"/>
          </rPr>
          <t xml:space="preserve">
</t>
        </r>
        <r>
          <rPr>
            <sz val="14"/>
            <color rgb="FF000000"/>
            <rFont val="Times New Roman"/>
            <family val="18"/>
          </rPr>
          <t>16/08/1802 Musterung: IR 45 Haupt Fischer Nr. 108 [</t>
        </r>
        <r>
          <rPr>
            <i/>
            <sz val="14"/>
            <color rgb="FF000000"/>
            <rFont val="Times New Roman"/>
            <family val="18"/>
          </rPr>
          <t>Auf Anhero Marsch aus Neumarkt</t>
        </r>
        <r>
          <rPr>
            <sz val="14"/>
            <color rgb="FF000000"/>
            <rFont val="Times New Roman"/>
            <family val="18"/>
          </rPr>
          <t>]</t>
        </r>
        <r>
          <rPr>
            <sz val="14"/>
            <color rgb="FF000000"/>
            <rFont val="Calibri"/>
            <family val="34"/>
          </rPr>
          <t xml:space="preserve">
</t>
        </r>
        <r>
          <rPr>
            <sz val="14"/>
            <color rgb="FF000000"/>
            <rFont val="Times New Roman"/>
            <family val="18"/>
          </rPr>
          <t>23/09/1804 Musterung: IR 45 Haupt Fischer Nr. 81 [</t>
        </r>
        <r>
          <rPr>
            <i/>
            <sz val="14"/>
            <color rgb="FF000000"/>
            <rFont val="Times New Roman"/>
            <family val="18"/>
          </rPr>
          <t>Beurlaubt bis Zur Einberufung nach Olesko Zloczower Kreis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30/11/1804 </t>
        </r>
        <r>
          <rPr>
            <i/>
            <sz val="14"/>
            <color rgb="FF000000"/>
            <rFont val="Times New Roman"/>
            <family val="18"/>
          </rPr>
          <t>Von Urlaub ohne Feuergewehr von Unbestimmte Urlaub desertiert, und hat selber vermög Schreibens des Coburgischen Werb Commando keine Vermögen zurück gelassen</t>
        </r>
        <r>
          <rPr>
            <sz val="14"/>
            <color rgb="FF000000"/>
            <rFont val="Times New Roman"/>
            <family val="18"/>
          </rPr>
          <t xml:space="preserve"> [ST Jan 1805 &amp; ML 1806] </t>
        </r>
      </text>
    </comment>
    <comment ref="BG792" authorId="0" shapeId="0" xr:uid="{C6455C6C-3551-9D4E-9BF2-724D48EC4491}">
      <text>
        <r>
          <rPr>
            <sz val="14"/>
            <color rgb="FF000000"/>
            <rFont val="Times New Roman"/>
            <family val="18"/>
          </rPr>
          <t>ML 10.311 IR 43 (1801) – ST Mai (10/03/1805)</t>
        </r>
        <r>
          <rPr>
            <sz val="14"/>
            <color rgb="FF000000"/>
            <rFont val="Calibri"/>
            <family val="34"/>
          </rPr>
          <t xml:space="preserve">
</t>
        </r>
        <r>
          <rPr>
            <sz val="14"/>
            <color rgb="FF000000"/>
            <rFont val="Times New Roman"/>
            <family val="18"/>
          </rPr>
          <t>ML 10.344 IR 45 (1802) – Haupt Fischer Nr. 108 (Zara 16/08/1802)</t>
        </r>
        <r>
          <rPr>
            <sz val="14"/>
            <color rgb="FF000000"/>
            <rFont val="Calibri"/>
            <family val="34"/>
          </rPr>
          <t xml:space="preserve">
</t>
        </r>
        <r>
          <rPr>
            <sz val="14"/>
            <color rgb="FF000000"/>
            <rFont val="Times New Roman"/>
            <family val="18"/>
          </rPr>
          <t>ML 10.345 IR 45 (1804) – Haupt Fischer Nr. 81 (Macarska 23/09/1804)</t>
        </r>
        <r>
          <rPr>
            <sz val="14"/>
            <color rgb="FF000000"/>
            <rFont val="Calibri"/>
            <family val="34"/>
          </rPr>
          <t xml:space="preserve">
</t>
        </r>
        <r>
          <rPr>
            <sz val="14"/>
            <color rgb="FF000000"/>
            <rFont val="Times New Roman"/>
            <family val="18"/>
          </rPr>
          <t>ML 10.346/7 IR 45 (1806) – Dissolvierte Haupt Fischer Komp. Abgang (Leoben 18/12/1806)</t>
        </r>
        <r>
          <rPr>
            <sz val="14"/>
            <color rgb="FF000000"/>
            <rFont val="Calibri"/>
            <family val="34"/>
          </rPr>
          <t xml:space="preserve">
</t>
        </r>
        <r>
          <rPr>
            <sz val="14"/>
            <color rgb="FF000000"/>
            <rFont val="Times New Roman"/>
            <family val="18"/>
          </rPr>
          <t>ML 10.372 IR 45 (1805) – ST Jän (Graz 29/03/1805)</t>
        </r>
        <r>
          <rPr>
            <sz val="14"/>
            <color rgb="FF000000"/>
            <rFont val="Calibri"/>
            <family val="34"/>
          </rPr>
          <t xml:space="preserve">
</t>
        </r>
      </text>
    </comment>
    <comment ref="BH792" authorId="0" shapeId="0" xr:uid="{B2BA0819-67F2-324F-9BFA-24F3EA1BF618}">
      <text>
        <r>
          <rPr>
            <sz val="14"/>
            <color rgb="FF000000"/>
            <rFont val="Calibri"/>
            <family val="34"/>
          </rPr>
          <t xml:space="preserve">IR 43 (1801)
</t>
        </r>
        <r>
          <rPr>
            <sz val="14"/>
            <color rgb="FF000000"/>
            <rFont val="Calibri"/>
            <family val="34"/>
          </rPr>
          <t>IR 44 (1802-1804)</t>
        </r>
      </text>
    </comment>
    <comment ref="BF793" authorId="0" shapeId="0" xr:uid="{B384A5DD-4497-6142-A3D7-59E229712AE6}">
      <text>
        <r>
          <rPr>
            <sz val="14"/>
            <color rgb="FF000000"/>
            <rFont val="Times New Roman"/>
            <family val="18"/>
          </rPr>
          <t xml:space="preserve">15/02/1801 </t>
        </r>
        <r>
          <rPr>
            <i/>
            <sz val="14"/>
            <color rgb="FF000000"/>
            <rFont val="Times New Roman"/>
            <family val="18"/>
          </rPr>
          <t>Zu Sanok a 3Fl für beständig zu Kerpen</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Auf unbestimmte Urlaub</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Kerpen zum IR 59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Lebzelten Nr. 129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59 Haupt Lebzelten Nr. 116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793" authorId="0" shapeId="0" xr:uid="{98BB510E-7954-C94C-8C37-A10B5115DEE8}">
      <text>
        <r>
          <rPr>
            <sz val="14"/>
            <color rgb="FF000000"/>
            <rFont val="Times New Roman"/>
            <family val="18"/>
          </rPr>
          <t>ML 5015 IR 59 (1803) – Haupt. Lebzelten Komp. Nr. 129 (Wells 30/08/1803)</t>
        </r>
        <r>
          <rPr>
            <sz val="14"/>
            <color rgb="FF000000"/>
            <rFont val="Calibri"/>
            <family val="34"/>
          </rPr>
          <t xml:space="preserve">
</t>
        </r>
        <r>
          <rPr>
            <sz val="14"/>
            <color rgb="FF000000"/>
            <rFont val="Times New Roman"/>
            <family val="18"/>
          </rPr>
          <t>ML 5015 IR 59 (1804) – Haupt. Lebzelten Komp. Nr. 116 (Mills bei Hall 05/09/1804)</t>
        </r>
        <r>
          <rPr>
            <sz val="14"/>
            <color rgb="FF000000"/>
            <rFont val="Calibri"/>
            <family val="34"/>
          </rPr>
          <t xml:space="preserve">
</t>
        </r>
        <r>
          <rPr>
            <sz val="14"/>
            <color rgb="FF000000"/>
            <rFont val="Times New Roman"/>
            <family val="18"/>
          </rPr>
          <t>ML 5017/8 IR 59 (1806) – 15. Fus. Komp. (Freistadt 22/12/1806), Cons.Unwissend verlohren Nr. 338 (Linz 10/07/1807)</t>
        </r>
        <r>
          <rPr>
            <sz val="14"/>
            <color rgb="FF000000"/>
            <rFont val="Calibri"/>
            <family val="34"/>
          </rPr>
          <t xml:space="preserve">
</t>
        </r>
      </text>
    </comment>
    <comment ref="BH793" authorId="0" shapeId="0" xr:uid="{6C58021F-9993-554F-A028-14A80988A79F}">
      <text>
        <r>
          <rPr>
            <sz val="14"/>
            <color rgb="FF000000"/>
            <rFont val="Calibri"/>
            <family val="34"/>
          </rPr>
          <t xml:space="preserve">IR 49 (1801-1802)
</t>
        </r>
        <r>
          <rPr>
            <sz val="14"/>
            <color rgb="FF000000"/>
            <rFont val="Calibri"/>
            <family val="34"/>
          </rPr>
          <t>IR 59 (1802-1806)</t>
        </r>
      </text>
    </comment>
    <comment ref="BF794" authorId="0" shapeId="0" xr:uid="{83012678-140F-E343-9378-F1E5B47B59EA}">
      <text>
        <r>
          <rPr>
            <sz val="14"/>
            <color rgb="FF000000"/>
            <rFont val="Times New Roman"/>
            <family val="18"/>
          </rPr>
          <t xml:space="preserve">18/02/1801 </t>
        </r>
        <r>
          <rPr>
            <i/>
            <sz val="14"/>
            <color rgb="FF000000"/>
            <rFont val="Times New Roman"/>
            <family val="18"/>
          </rPr>
          <t>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bestimmte Urlaub desertiert</t>
        </r>
        <r>
          <rPr>
            <sz val="14"/>
            <color rgb="FF000000"/>
            <rFont val="Times New Roman"/>
            <family val="18"/>
          </rPr>
          <t xml:space="preserve"> [ML 1803] </t>
        </r>
      </text>
    </comment>
    <comment ref="BG794" authorId="0" shapeId="0" xr:uid="{48A5D5DF-B70A-DC4D-BD13-0976C7B7AAB8}">
      <text>
        <r>
          <rPr>
            <sz val="14"/>
            <color rgb="FF000000"/>
            <rFont val="Times New Roman"/>
            <family val="18"/>
          </rPr>
          <t>30/08/1803 Muster: IR 59 Haupt Lebzelten Komp. Abgang (Wells, 30/08/1803)</t>
        </r>
        <r>
          <rPr>
            <sz val="14"/>
            <color rgb="FF000000"/>
            <rFont val="Calibri"/>
            <family val="34"/>
          </rPr>
          <t xml:space="preserve">
</t>
        </r>
      </text>
    </comment>
    <comment ref="BH794" authorId="0" shapeId="0" xr:uid="{5998AE6F-02A7-884D-9AB5-E62A25B0352E}">
      <text>
        <r>
          <rPr>
            <sz val="14"/>
            <color rgb="FF000000"/>
            <rFont val="Calibri"/>
            <family val="34"/>
          </rPr>
          <t>IR 59 (1801-1803)</t>
        </r>
      </text>
    </comment>
    <comment ref="T795" authorId="0" shapeId="0" xr:uid="{FC5523A1-65E0-6C4C-B8A7-722E36B5BD63}">
      <text>
        <r>
          <rPr>
            <b/>
            <sz val="14"/>
            <color rgb="FF000000"/>
            <rFont val="Calibri"/>
            <family val="34"/>
          </rPr>
          <t xml:space="preserve">5.6.1 [174 cm (AL 1804)]
</t>
        </r>
        <r>
          <rPr>
            <sz val="14"/>
            <color rgb="FF000000"/>
            <rFont val="Calibri"/>
            <family val="34"/>
          </rPr>
          <t>5.7 [176.41 cm (ML 1803]</t>
        </r>
      </text>
    </comment>
    <comment ref="BF795" authorId="0" shapeId="0" xr:uid="{92C5B1EB-0413-EE49-921E-695D07285704}">
      <text>
        <r>
          <rPr>
            <sz val="14"/>
            <color rgb="FF000000"/>
            <rFont val="Times New Roman"/>
            <family val="18"/>
          </rPr>
          <t xml:space="preserve">19/02/1801 [dienst seit] </t>
        </r>
        <r>
          <rPr>
            <i/>
            <sz val="14"/>
            <color rgb="FF000000"/>
            <rFont val="Times New Roman"/>
            <family val="18"/>
          </rPr>
          <t xml:space="preserve">als Landständische Recrout </t>
        </r>
        <r>
          <rPr>
            <sz val="14"/>
            <color rgb="FF000000"/>
            <rFont val="Times New Roman"/>
            <family val="18"/>
          </rPr>
          <t>[ML 1802]</t>
        </r>
        <r>
          <rPr>
            <sz val="14"/>
            <color rgb="FF000000"/>
            <rFont val="Calibri"/>
            <family val="34"/>
          </rPr>
          <t xml:space="preserve">
</t>
        </r>
        <r>
          <rPr>
            <sz val="14"/>
            <color rgb="FF000000"/>
            <rFont val="Times New Roman"/>
            <family val="18"/>
          </rPr>
          <t xml:space="preserve">06/05/1801 </t>
        </r>
        <r>
          <rPr>
            <i/>
            <sz val="14"/>
            <color rgb="FF000000"/>
            <rFont val="Times New Roman"/>
            <family val="18"/>
          </rPr>
          <t>Von Reserve Division 1. Abt zum Lieb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Lieb Komp. Nr. 111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03/09/1803 Muster: IR 3 Leib Komp. Nr. 91 [</t>
        </r>
        <r>
          <rPr>
            <i/>
            <sz val="14"/>
            <color rgb="FF000000"/>
            <rFont val="Times New Roman"/>
            <family val="18"/>
          </rPr>
          <t>Bestimmt beurlaubt in Tirawa in Ost Galizien</t>
        </r>
        <r>
          <rPr>
            <sz val="14"/>
            <color rgb="FF000000"/>
            <rFont val="Times New Roman"/>
            <family val="18"/>
          </rPr>
          <t>]</t>
        </r>
        <r>
          <rPr>
            <sz val="14"/>
            <color rgb="FF000000"/>
            <rFont val="Calibri"/>
            <family val="34"/>
          </rPr>
          <t xml:space="preserve">
</t>
        </r>
        <r>
          <rPr>
            <sz val="14"/>
            <color rgb="FF000000"/>
            <rFont val="Times New Roman"/>
            <family val="18"/>
          </rPr>
          <t>05/09/1804 Muster: IR 3 Leib Komp. Nr. 71 [</t>
        </r>
        <r>
          <rPr>
            <i/>
            <sz val="14"/>
            <color rgb="FF000000"/>
            <rFont val="Times New Roman"/>
            <family val="18"/>
          </rPr>
          <t>Beurlaubt bis Exercierzeit in seiner Heimat</t>
        </r>
        <r>
          <rPr>
            <sz val="14"/>
            <color rgb="FF000000"/>
            <rFont val="Times New Roman"/>
            <family val="18"/>
          </rPr>
          <t>]</t>
        </r>
        <r>
          <rPr>
            <sz val="14"/>
            <color rgb="FF000000"/>
            <rFont val="Calibri"/>
            <family val="34"/>
          </rPr>
          <t xml:space="preserve">
</t>
        </r>
        <r>
          <rPr>
            <sz val="14"/>
            <color rgb="FF000000"/>
            <rFont val="Times New Roman"/>
            <family val="18"/>
          </rPr>
          <t xml:space="preserve">25/07/1805 </t>
        </r>
        <r>
          <rPr>
            <i/>
            <sz val="14"/>
            <color rgb="FF000000"/>
            <rFont val="Times New Roman"/>
            <family val="18"/>
          </rPr>
          <t>Von 1. Fus. zum 3. Gren Komp. transferiert und seitdem auf anhero Marsch</t>
        </r>
        <r>
          <rPr>
            <sz val="14"/>
            <color rgb="FF000000"/>
            <rFont val="Times New Roman"/>
            <family val="18"/>
          </rPr>
          <t xml:space="preserve"> [ST July 1805]</t>
        </r>
        <r>
          <rPr>
            <sz val="14"/>
            <color rgb="FF000000"/>
            <rFont val="Calibri"/>
            <family val="34"/>
          </rPr>
          <t xml:space="preserve">
</t>
        </r>
        <r>
          <rPr>
            <sz val="14"/>
            <color rgb="FF000000"/>
            <rFont val="Times New Roman"/>
            <family val="18"/>
          </rPr>
          <t xml:space="preserve">31/08/1805 </t>
        </r>
        <r>
          <rPr>
            <i/>
            <sz val="14"/>
            <color rgb="FF000000"/>
            <rFont val="Times New Roman"/>
            <family val="18"/>
          </rPr>
          <t>In Regiment eingerückt und von 3. Gren zum 1. Fus. Komp transferiert</t>
        </r>
        <r>
          <rPr>
            <sz val="14"/>
            <color rgb="FF000000"/>
            <rFont val="Times New Roman"/>
            <family val="18"/>
          </rPr>
          <t xml:space="preserve"> [ST Sept 1805]</t>
        </r>
        <r>
          <rPr>
            <sz val="14"/>
            <color rgb="FF000000"/>
            <rFont val="Calibri"/>
            <family val="34"/>
          </rPr>
          <t xml:space="preserve">
</t>
        </r>
        <r>
          <rPr>
            <b/>
            <sz val="14"/>
            <color rgb="FF000000"/>
            <rFont val="Times New Roman"/>
            <family val="18"/>
          </rPr>
          <t>UNBEKANNT</t>
        </r>
        <r>
          <rPr>
            <sz val="14"/>
            <color rgb="FF000000"/>
            <rFont val="Times New Roman"/>
            <family val="18"/>
          </rPr>
          <t xml:space="preserve"> Der Soldat erscheint nicht mehr in den Quellen
</t>
        </r>
      </text>
    </comment>
    <comment ref="BG795" authorId="0" shapeId="0" xr:uid="{304572BC-22FA-ED42-A6DD-E3AA04A89074}">
      <text>
        <r>
          <rPr>
            <sz val="14"/>
            <color rgb="FF000000"/>
            <rFont val="Times New Roman"/>
            <family val="18"/>
          </rPr>
          <t>ML 234-6 IR 3 (1802) – Lieb Komp. Nr. 111 (Vienna 15/09/1802)</t>
        </r>
        <r>
          <rPr>
            <sz val="14"/>
            <color rgb="FF000000"/>
            <rFont val="Calibri"/>
            <family val="34"/>
          </rPr>
          <t xml:space="preserve">
</t>
        </r>
        <r>
          <rPr>
            <sz val="14"/>
            <color rgb="FF000000"/>
            <rFont val="Times New Roman"/>
            <family val="18"/>
          </rPr>
          <t>ML 237/8 IR 3 (1803) – Lieb Komp. Nr. 91 (Vienna 15/09/1802)</t>
        </r>
        <r>
          <rPr>
            <sz val="14"/>
            <color rgb="FF000000"/>
            <rFont val="Calibri"/>
            <family val="34"/>
          </rPr>
          <t xml:space="preserve">
</t>
        </r>
        <r>
          <rPr>
            <sz val="14"/>
            <color rgb="FF000000"/>
            <rFont val="Times New Roman"/>
            <family val="18"/>
          </rPr>
          <t>ML 239 IR 3 (1804) – Lieb Komp. Nr. 71 (Vienna 05/09/1804)</t>
        </r>
        <r>
          <rPr>
            <sz val="14"/>
            <color rgb="FF000000"/>
            <rFont val="Calibri"/>
            <family val="34"/>
          </rPr>
          <t xml:space="preserve">
</t>
        </r>
        <r>
          <rPr>
            <sz val="14"/>
            <color rgb="FF000000"/>
            <rFont val="Times New Roman"/>
            <family val="18"/>
          </rPr>
          <t>ML 282 IR 3 (1805) – ST July (Vienna 17/09/1805), Sept (Krems 07/06/1806)</t>
        </r>
        <r>
          <rPr>
            <sz val="14"/>
            <color rgb="FF000000"/>
            <rFont val="Calibri"/>
            <family val="34"/>
          </rPr>
          <t xml:space="preserve">
</t>
        </r>
      </text>
    </comment>
    <comment ref="BH795" authorId="0" shapeId="0" xr:uid="{72C60F4D-BDBB-7D4C-8D6F-28901E48B63B}">
      <text>
        <r>
          <rPr>
            <sz val="14"/>
            <color rgb="FF000000"/>
            <rFont val="Calibri"/>
            <family val="34"/>
          </rPr>
          <t>IR 1 (1801-1805)</t>
        </r>
      </text>
    </comment>
    <comment ref="BF796" authorId="0" shapeId="0" xr:uid="{02DF83F7-E974-754D-84E1-A4D18ED97F15}">
      <text>
        <r>
          <rPr>
            <sz val="14"/>
            <color rgb="FF000000"/>
            <rFont val="Times New Roman"/>
            <family val="18"/>
          </rPr>
          <t xml:space="preserve">20/02/1801 </t>
        </r>
        <r>
          <rPr>
            <i/>
            <sz val="14"/>
            <color rgb="FF000000"/>
            <rFont val="Times New Roman"/>
            <family val="18"/>
          </rPr>
          <t>Ex concreto als landständischer Rekrut gestellt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 IR 3 Haupt Friesch Komp. Nr. 234 [</t>
        </r>
        <r>
          <rPr>
            <i/>
            <sz val="14"/>
            <color rgb="FF000000"/>
            <rFont val="Times New Roman"/>
            <family val="18"/>
          </rPr>
          <t>Commandiert in Baaden</t>
        </r>
        <r>
          <rPr>
            <sz val="14"/>
            <color rgb="FF000000"/>
            <rFont val="Times New Roman"/>
            <family val="18"/>
          </rPr>
          <t>]</t>
        </r>
        <r>
          <rPr>
            <sz val="14"/>
            <color rgb="FF000000"/>
            <rFont val="Calibri"/>
            <family val="34"/>
          </rPr>
          <t xml:space="preserve">
</t>
        </r>
        <r>
          <rPr>
            <sz val="14"/>
            <color rgb="FF000000"/>
            <rFont val="Times New Roman"/>
            <family val="18"/>
          </rPr>
          <t>03/09/1803 Muster: IR 3 Haupt Friesch Komp. Nr. 168 [</t>
        </r>
        <r>
          <rPr>
            <i/>
            <sz val="14"/>
            <color rgb="FF000000"/>
            <rFont val="Times New Roman"/>
            <family val="18"/>
          </rPr>
          <t>Auf Wache zu Stockerau</t>
        </r>
        <r>
          <rPr>
            <sz val="14"/>
            <color rgb="FF000000"/>
            <rFont val="Times New Roman"/>
            <family val="18"/>
          </rPr>
          <t>]</t>
        </r>
        <r>
          <rPr>
            <sz val="14"/>
            <color rgb="FF000000"/>
            <rFont val="Calibri"/>
            <family val="34"/>
          </rPr>
          <t xml:space="preserve">
</t>
        </r>
        <r>
          <rPr>
            <sz val="14"/>
            <color rgb="FF000000"/>
            <rFont val="Times New Roman"/>
            <family val="18"/>
          </rPr>
          <t>05/09/1804 Muster: IR 3 Haupt Friesch Komp. Nr. 139 [</t>
        </r>
        <r>
          <rPr>
            <i/>
            <sz val="14"/>
            <color rgb="FF000000"/>
            <rFont val="Times New Roman"/>
            <family val="18"/>
          </rPr>
          <t>Beurlaubt bis zur Eiberufung in seinem Geburtsort</t>
        </r>
        <r>
          <rPr>
            <sz val="14"/>
            <color rgb="FF000000"/>
            <rFont val="Times New Roman"/>
            <family val="18"/>
          </rPr>
          <t>]</t>
        </r>
        <r>
          <rPr>
            <sz val="14"/>
            <color rgb="FF000000"/>
            <rFont val="Calibri"/>
            <family val="34"/>
          </rPr>
          <t xml:space="preserve">
</t>
        </r>
        <r>
          <rPr>
            <sz val="14"/>
            <color rgb="FF000000"/>
            <rFont val="Times New Roman"/>
            <family val="18"/>
          </rPr>
          <t>31/10/1806 [Als angehöriger von 9. Fus. Komp.]</t>
        </r>
        <r>
          <rPr>
            <i/>
            <sz val="14"/>
            <color rgb="FF000000"/>
            <rFont val="Times New Roman"/>
            <family val="18"/>
          </rPr>
          <t xml:space="preserve"> Vermog Verordnung von 2. September als auf Urlaub ausgebliebene als Deserteur in Abgang</t>
        </r>
        <r>
          <rPr>
            <sz val="14"/>
            <color rgb="FF000000"/>
            <rFont val="Times New Roman"/>
            <family val="18"/>
          </rPr>
          <t xml:space="preserve"> [ST Dec 1806]</t>
        </r>
      </text>
    </comment>
    <comment ref="BG796" authorId="0" shapeId="0" xr:uid="{F0FFBA12-291F-FD4E-8D72-28E95020703D}">
      <text>
        <r>
          <rPr>
            <sz val="14"/>
            <color rgb="FF000000"/>
            <rFont val="Times New Roman"/>
            <family val="18"/>
          </rPr>
          <t>ML 234-6 IR 3 (1802) – Haupt Friesch Komp. Nr. 234 (Vienna 15/09/1802)</t>
        </r>
        <r>
          <rPr>
            <sz val="14"/>
            <color rgb="FF000000"/>
            <rFont val="Calibri"/>
            <family val="34"/>
          </rPr>
          <t xml:space="preserve">
</t>
        </r>
        <r>
          <rPr>
            <sz val="14"/>
            <color rgb="FF000000"/>
            <rFont val="Times New Roman"/>
            <family val="18"/>
          </rPr>
          <t>ML 237/8 IR 3 (1803) – Haupt Friesch Komp. Nr. 168 (Vienna 03/09/1803)</t>
        </r>
        <r>
          <rPr>
            <sz val="14"/>
            <color rgb="FF000000"/>
            <rFont val="Calibri"/>
            <family val="34"/>
          </rPr>
          <t xml:space="preserve">
</t>
        </r>
        <r>
          <rPr>
            <sz val="14"/>
            <color rgb="FF000000"/>
            <rFont val="Times New Roman"/>
            <family val="18"/>
          </rPr>
          <t>ML 239 IR 3 (1804) – Haupt Friesch Komp. Nr. 139 (Vienna 05/09/1804)</t>
        </r>
        <r>
          <rPr>
            <sz val="14"/>
            <color rgb="FF000000"/>
            <rFont val="Calibri"/>
            <family val="34"/>
          </rPr>
          <t xml:space="preserve">
</t>
        </r>
        <r>
          <rPr>
            <sz val="14"/>
            <color rgb="FF000000"/>
            <rFont val="Times New Roman"/>
            <family val="18"/>
          </rPr>
          <t>ML 285 IR 3 (1806) – ST Dec (Krems 24/07/1807)</t>
        </r>
        <r>
          <rPr>
            <sz val="14"/>
            <color rgb="FF000000"/>
            <rFont val="Calibri"/>
            <family val="34"/>
          </rPr>
          <t xml:space="preserve">
</t>
        </r>
      </text>
    </comment>
    <comment ref="BH796" authorId="0" shapeId="0" xr:uid="{7741866E-906F-6740-AE75-B54C676D2E04}">
      <text>
        <r>
          <rPr>
            <sz val="14"/>
            <color rgb="FF000000"/>
            <rFont val="Calibri"/>
            <family val="34"/>
          </rPr>
          <t>IR 3 (1801-1806)</t>
        </r>
      </text>
    </comment>
    <comment ref="B797" authorId="0" shapeId="0" xr:uid="{D951E451-5995-414F-A9D1-A2158424C1ED}">
      <text>
        <r>
          <rPr>
            <sz val="14"/>
            <color rgb="FF000000"/>
            <rFont val="+mn-lt"/>
            <charset val="1"/>
          </rPr>
          <t xml:space="preserve">Pinkas/Primu/ Binko SICHER/STÖHR/STEHER </t>
        </r>
      </text>
    </comment>
    <comment ref="T797" authorId="0" shapeId="0" xr:uid="{722D24A1-7BA4-0748-83F5-0662E0CB373E}">
      <text>
        <r>
          <rPr>
            <sz val="14"/>
            <color rgb="FF000000"/>
            <rFont val="Calibri"/>
            <family val="34"/>
          </rPr>
          <t xml:space="preserve">166.33 (1802)
</t>
        </r>
        <r>
          <rPr>
            <sz val="14"/>
            <color rgb="FF000000"/>
            <rFont val="Calibri"/>
            <family val="34"/>
          </rPr>
          <t>166.5 (1803-17)</t>
        </r>
      </text>
    </comment>
    <comment ref="BF797" authorId="0" shapeId="0" xr:uid="{03D3A1CA-458B-7D48-80FA-38A3CC721328}">
      <text>
        <r>
          <rPr>
            <sz val="14"/>
            <color rgb="FFFF0000"/>
            <rFont val="Times New Roman"/>
            <family val="18"/>
          </rPr>
          <t xml:space="preserve">11/02/1801 </t>
        </r>
        <r>
          <rPr>
            <i/>
            <sz val="14"/>
            <color rgb="FFFF0000"/>
            <rFont val="Times New Roman"/>
            <family val="18"/>
          </rPr>
          <t>Von Ständen a 3Fl Handgeld gestellt</t>
        </r>
        <r>
          <rPr>
            <sz val="14"/>
            <color rgb="FFFF0000"/>
            <rFont val="Times New Roman"/>
            <family val="18"/>
          </rPr>
          <t xml:space="preserve"> [ML 1802-6]</t>
        </r>
        <r>
          <rPr>
            <sz val="14"/>
            <color rgb="FF000000"/>
            <rFont val="Calibri"/>
            <family val="34"/>
          </rPr>
          <t xml:space="preserve">
</t>
        </r>
        <r>
          <rPr>
            <sz val="14"/>
            <color rgb="FF000000"/>
            <rFont val="Times New Roman"/>
            <family val="18"/>
          </rPr>
          <t xml:space="preserve">21/02/1801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Reserve Division in Haupt Basta Comp. Transferiert</t>
        </r>
        <r>
          <rPr>
            <sz val="14"/>
            <color rgb="FF000000"/>
            <rFont val="Times New Roman"/>
            <family val="18"/>
          </rPr>
          <t xml:space="preserve"> [ST Oct 1801]</t>
        </r>
        <r>
          <rPr>
            <sz val="14"/>
            <color rgb="FF000000"/>
            <rFont val="Calibri"/>
            <family val="34"/>
          </rPr>
          <t xml:space="preserve">
</t>
        </r>
        <r>
          <rPr>
            <sz val="14"/>
            <color rgb="FF000000"/>
            <rFont val="Times New Roman"/>
            <family val="18"/>
          </rPr>
          <t>21/08/1802 Muster: IR 43 Haupt Basta Nr. 163</t>
        </r>
        <r>
          <rPr>
            <sz val="14"/>
            <color rgb="FF000000"/>
            <rFont val="Calibri"/>
            <family val="34"/>
          </rPr>
          <t xml:space="preserve">
</t>
        </r>
        <r>
          <rPr>
            <sz val="14"/>
            <color rgb="FF000000"/>
            <rFont val="Times New Roman"/>
            <family val="18"/>
          </rPr>
          <t>08/11/1803 Muster: IR 43 Haupt Ellison Nr. 141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 xml:space="preserve">31/10/1803 </t>
        </r>
        <r>
          <rPr>
            <i/>
            <sz val="14"/>
            <color rgb="FF000000"/>
            <rFont val="Times New Roman"/>
            <family val="18"/>
          </rPr>
          <t>Von Haupt Ellison zum Haupt Rugieri Comp transferiert</t>
        </r>
        <r>
          <rPr>
            <sz val="14"/>
            <color rgb="FF000000"/>
            <rFont val="Times New Roman"/>
            <family val="18"/>
          </rPr>
          <t xml:space="preserve"> [ST Nov 1803]</t>
        </r>
        <r>
          <rPr>
            <sz val="14"/>
            <color rgb="FF000000"/>
            <rFont val="Calibri"/>
            <family val="34"/>
          </rPr>
          <t xml:space="preserve">
</t>
        </r>
        <r>
          <rPr>
            <sz val="14"/>
            <color rgb="FF000000"/>
            <rFont val="Times New Roman"/>
            <family val="18"/>
          </rPr>
          <t>05/10/1804 Muster: IR 43 Haupt Raina Comp Nr. 156 [</t>
        </r>
        <r>
          <rPr>
            <i/>
            <sz val="14"/>
            <color rgb="FF000000"/>
            <rFont val="Times New Roman"/>
            <family val="18"/>
          </rPr>
          <t>Zu Cattaro Passiert</t>
        </r>
        <r>
          <rPr>
            <sz val="14"/>
            <color rgb="FF000000"/>
            <rFont val="Times New Roman"/>
            <family val="18"/>
          </rPr>
          <t>]</t>
        </r>
        <r>
          <rPr>
            <sz val="14"/>
            <color rgb="FF000000"/>
            <rFont val="Calibri"/>
            <family val="34"/>
          </rPr>
          <t xml:space="preserve">
</t>
        </r>
        <r>
          <rPr>
            <sz val="14"/>
            <color rgb="FF000000"/>
            <rFont val="Times New Roman"/>
            <family val="18"/>
          </rPr>
          <t>25/10/1805 Muster: IR 43 11. Fus Comp Nr. 143</t>
        </r>
        <r>
          <rPr>
            <sz val="14"/>
            <color rgb="FF000000"/>
            <rFont val="Calibri"/>
            <family val="34"/>
          </rPr>
          <t xml:space="preserve">
</t>
        </r>
        <r>
          <rPr>
            <sz val="14"/>
            <color rgb="FF000000"/>
            <rFont val="Times New Roman"/>
            <family val="18"/>
          </rPr>
          <t>01/12/1806 Musterung: IR 43 15. Fus Comp Nr. 95</t>
        </r>
        <r>
          <rPr>
            <sz val="14"/>
            <color rgb="FF000000"/>
            <rFont val="Calibri"/>
            <family val="34"/>
          </rPr>
          <t xml:space="preserve">
</t>
        </r>
        <r>
          <rPr>
            <sz val="14"/>
            <color rgb="FF000000"/>
            <rFont val="Times New Roman"/>
            <family val="18"/>
          </rPr>
          <t xml:space="preserve">06/08/1807 </t>
        </r>
        <r>
          <rPr>
            <i/>
            <sz val="14"/>
            <color rgb="FF000000"/>
            <rFont val="Times New Roman"/>
            <family val="18"/>
          </rPr>
          <t>Auf Ritt Nach Graz</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15/08/1807 </t>
        </r>
        <r>
          <rPr>
            <i/>
            <sz val="14"/>
            <color rgb="FF000000"/>
            <rFont val="Times New Roman"/>
            <family val="18"/>
          </rPr>
          <t>Wieder Zurück</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31/01/1808 </t>
        </r>
        <r>
          <rPr>
            <i/>
            <sz val="14"/>
            <color rgb="FF000000"/>
            <rFont val="Times New Roman"/>
            <family val="18"/>
          </rPr>
          <t xml:space="preserve">Transferiert von IR 43 zum Krain-kärntische Grenzcordon </t>
        </r>
        <r>
          <rPr>
            <sz val="14"/>
            <color rgb="FF000000"/>
            <rFont val="Times New Roman"/>
            <family val="18"/>
          </rPr>
          <t>[ST Feb 1808 &amp; ML 1808]</t>
        </r>
        <r>
          <rPr>
            <sz val="14"/>
            <color rgb="FF000000"/>
            <rFont val="Calibri"/>
            <family val="34"/>
          </rPr>
          <t xml:space="preserve">
</t>
        </r>
        <r>
          <rPr>
            <sz val="14"/>
            <color rgb="FF000000"/>
            <rFont val="Times New Roman"/>
            <family val="18"/>
          </rPr>
          <t xml:space="preserve">21/05/1809 </t>
        </r>
        <r>
          <rPr>
            <i/>
            <sz val="14"/>
            <color rgb="FF000000"/>
            <rFont val="Times New Roman"/>
            <family val="18"/>
          </rPr>
          <t>In die Feindliche Kriegsgefangenschaft gefallen</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26/10/1814 </t>
        </r>
        <r>
          <rPr>
            <i/>
            <sz val="14"/>
            <color rgb="FF000000"/>
            <rFont val="Times New Roman"/>
            <family val="18"/>
          </rPr>
          <t>Aus der Kriegsgefangenschaft zurückgelegt in Zuwachs genommen und zum Innerösterreichische Militär Grenz Kordon zugeteilt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01/07/1816 </t>
        </r>
        <r>
          <rPr>
            <i/>
            <sz val="14"/>
            <color rgb="FF000000"/>
            <rFont val="Times New Roman"/>
            <family val="18"/>
          </rPr>
          <t>Ohne entgeltlich des allerhöchstens Arary auf Beständig reengagiert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13/09/1817 Muster: GK IÖ 6. Comp Nr. 90</t>
        </r>
        <r>
          <rPr>
            <sz val="14"/>
            <color rgb="FF000000"/>
            <rFont val="Calibri"/>
            <family val="34"/>
          </rPr>
          <t xml:space="preserve">
</t>
        </r>
        <r>
          <rPr>
            <sz val="14"/>
            <color rgb="FF000000"/>
            <rFont val="Times New Roman"/>
            <family val="18"/>
          </rPr>
          <t>22/09/1818 Muster: GK IÖ 6. Comp Nr. 79</t>
        </r>
        <r>
          <rPr>
            <sz val="14"/>
            <color rgb="FF000000"/>
            <rFont val="Calibri"/>
            <family val="34"/>
          </rPr>
          <t xml:space="preserve">
</t>
        </r>
        <r>
          <rPr>
            <sz val="14"/>
            <color rgb="FF000000"/>
            <rFont val="Times New Roman"/>
            <family val="18"/>
          </rPr>
          <t>18/10/1819 Muster: GK IÖ 6. Comp Nr. 75</t>
        </r>
        <r>
          <rPr>
            <sz val="14"/>
            <color rgb="FF000000"/>
            <rFont val="Calibri"/>
            <family val="34"/>
          </rPr>
          <t xml:space="preserve">
</t>
        </r>
        <r>
          <rPr>
            <sz val="14"/>
            <color rgb="FF000000"/>
            <rFont val="Times New Roman"/>
            <family val="18"/>
          </rPr>
          <t>21/07/1820 Muster: GK IÖ 6. Comp Nr. 59</t>
        </r>
        <r>
          <rPr>
            <sz val="14"/>
            <color rgb="FF000000"/>
            <rFont val="Calibri"/>
            <family val="34"/>
          </rPr>
          <t xml:space="preserve">
</t>
        </r>
      </text>
    </comment>
    <comment ref="BG797" authorId="0" shapeId="0" xr:uid="{92552B82-48C3-7943-8582-13AC93A904F1}">
      <text>
        <r>
          <rPr>
            <sz val="14"/>
            <color rgb="FF000000"/>
            <rFont val="Times New Roman"/>
            <family val="18"/>
          </rPr>
          <t>ML 10.272 IR 43 (1802) – Haupt Basta Nr. 162 (Risano 21/08/1802)</t>
        </r>
        <r>
          <rPr>
            <sz val="14"/>
            <color rgb="FF000000"/>
            <rFont val="Calibri"/>
            <family val="34"/>
          </rPr>
          <t xml:space="preserve">
</t>
        </r>
        <r>
          <rPr>
            <sz val="14"/>
            <color rgb="FF000000"/>
            <rFont val="Times New Roman"/>
            <family val="18"/>
          </rPr>
          <t>ML 10.273 IR 43 (1803) – Haupt Ellison Nr. 141 (Sign 08/11/1803)</t>
        </r>
        <r>
          <rPr>
            <sz val="14"/>
            <color rgb="FF000000"/>
            <rFont val="Calibri"/>
            <family val="34"/>
          </rPr>
          <t xml:space="preserve">
</t>
        </r>
        <r>
          <rPr>
            <sz val="14"/>
            <color rgb="FF000000"/>
            <rFont val="Times New Roman"/>
            <family val="18"/>
          </rPr>
          <t>ML 10.274 IR 43 (1804) – Haupt Raina Comp Nr. 156 (Theodo 05/10/1804)</t>
        </r>
        <r>
          <rPr>
            <sz val="14"/>
            <color rgb="FF000000"/>
            <rFont val="Calibri"/>
            <family val="34"/>
          </rPr>
          <t xml:space="preserve">
</t>
        </r>
        <r>
          <rPr>
            <sz val="14"/>
            <color rgb="FF000000"/>
            <rFont val="Times New Roman"/>
            <family val="18"/>
          </rPr>
          <t>ML 10.275/6 IR 43 (1805) – 11. Fus Comp Nr. 143 (Lesina 25/10/1805)</t>
        </r>
        <r>
          <rPr>
            <sz val="14"/>
            <color rgb="FF000000"/>
            <rFont val="Calibri"/>
            <family val="34"/>
          </rPr>
          <t xml:space="preserve">
</t>
        </r>
        <r>
          <rPr>
            <sz val="14"/>
            <color rgb="FF000000"/>
            <rFont val="Times New Roman"/>
            <family val="18"/>
          </rPr>
          <t>ML 10.277/8 IR 43 (1806) – 15. Fus Comp Nr. 95 (Laibach 01/12/1806)</t>
        </r>
        <r>
          <rPr>
            <sz val="14"/>
            <color rgb="FF000000"/>
            <rFont val="Calibri"/>
            <family val="34"/>
          </rPr>
          <t xml:space="preserve">
</t>
        </r>
        <r>
          <rPr>
            <sz val="14"/>
            <color rgb="FF000000"/>
            <rFont val="Times New Roman"/>
            <family val="18"/>
          </rPr>
          <t>ML 10.279 IR 43 (1808-10) – RL 15. Fus Comp – Abgang (Laibach 06/09/1808)</t>
        </r>
        <r>
          <rPr>
            <sz val="14"/>
            <color rgb="FF000000"/>
            <rFont val="Calibri"/>
            <family val="34"/>
          </rPr>
          <t xml:space="preserve">
</t>
        </r>
        <r>
          <rPr>
            <sz val="14"/>
            <color rgb="FF000000"/>
            <rFont val="Times New Roman"/>
            <family val="18"/>
          </rPr>
          <t>ML 10.311 IR 43 (1801) – ST März (10/10/1804) und Oktober (21/07/1805)</t>
        </r>
        <r>
          <rPr>
            <sz val="14"/>
            <color rgb="FF000000"/>
            <rFont val="Calibri"/>
            <family val="34"/>
          </rPr>
          <t xml:space="preserve">
</t>
        </r>
        <r>
          <rPr>
            <sz val="14"/>
            <color rgb="FF000000"/>
            <rFont val="Times New Roman"/>
            <family val="18"/>
          </rPr>
          <t>ML 10.313 IR 43 (1803) – ST November (15/12/1803)</t>
        </r>
        <r>
          <rPr>
            <sz val="14"/>
            <color rgb="FF000000"/>
            <rFont val="Calibri"/>
            <family val="34"/>
          </rPr>
          <t xml:space="preserve">
</t>
        </r>
        <r>
          <rPr>
            <sz val="14"/>
            <color rgb="FF000000"/>
            <rFont val="Times New Roman"/>
            <family val="18"/>
          </rPr>
          <t>ML 10.319 IR 43 (1807) – ST August (12/09/1897)</t>
        </r>
        <r>
          <rPr>
            <sz val="14"/>
            <color rgb="FF000000"/>
            <rFont val="Calibri"/>
            <family val="34"/>
          </rPr>
          <t xml:space="preserve">
</t>
        </r>
        <r>
          <rPr>
            <sz val="14"/>
            <color rgb="FF000000"/>
            <rFont val="Times New Roman"/>
            <family val="18"/>
          </rPr>
          <t>ML 10.321 IR 43 (1808) – ST Februar (11/03/1808)</t>
        </r>
        <r>
          <rPr>
            <sz val="14"/>
            <color rgb="FF000000"/>
            <rFont val="Calibri"/>
            <family val="34"/>
          </rPr>
          <t xml:space="preserve">
</t>
        </r>
        <r>
          <rPr>
            <sz val="14"/>
            <color rgb="FF000000"/>
            <rFont val="Times New Roman"/>
            <family val="18"/>
          </rPr>
          <t>ML 8784 GK IÖ (1817) – 6. Comp. Nr. 90 (Pettau 13/09/1817)</t>
        </r>
        <r>
          <rPr>
            <sz val="14"/>
            <color rgb="FF000000"/>
            <rFont val="Calibri"/>
            <family val="34"/>
          </rPr>
          <t xml:space="preserve">
</t>
        </r>
        <r>
          <rPr>
            <sz val="14"/>
            <color rgb="FF000000"/>
            <rFont val="Times New Roman"/>
            <family val="18"/>
          </rPr>
          <t>ML 8785 GK IÖ (1818) – 6. Comp. Nr. 79 (Cilly 22/09/1818)</t>
        </r>
        <r>
          <rPr>
            <sz val="14"/>
            <color rgb="FF000000"/>
            <rFont val="Calibri"/>
            <family val="34"/>
          </rPr>
          <t xml:space="preserve">
</t>
        </r>
        <r>
          <rPr>
            <sz val="14"/>
            <color rgb="FF000000"/>
            <rFont val="Times New Roman"/>
            <family val="18"/>
          </rPr>
          <t>ML 8785 GK IÖ (1819) – 6. Comp. Nr. 75 (Cilly 18/10/1819)</t>
        </r>
        <r>
          <rPr>
            <sz val="14"/>
            <color rgb="FF000000"/>
            <rFont val="Calibri"/>
            <family val="34"/>
          </rPr>
          <t xml:space="preserve">
</t>
        </r>
        <r>
          <rPr>
            <sz val="14"/>
            <color rgb="FF000000"/>
            <rFont val="Times New Roman"/>
            <family val="18"/>
          </rPr>
          <t>ML 8785 GK IÖ (1820) – 6. Comp. Nr. 59 (Cilly 21/07/1820)</t>
        </r>
        <r>
          <rPr>
            <sz val="14"/>
            <color rgb="FF000000"/>
            <rFont val="Calibri"/>
            <family val="34"/>
          </rPr>
          <t xml:space="preserve">
</t>
        </r>
      </text>
    </comment>
    <comment ref="BH797" authorId="0" shapeId="0" xr:uid="{7DF3B2DF-51C4-8544-8CB3-83491EF8F017}">
      <text>
        <r>
          <rPr>
            <sz val="14"/>
            <color rgb="FF000000"/>
            <rFont val="Calibri"/>
            <family val="34"/>
          </rPr>
          <t xml:space="preserve">IR 43 (1801-1808)
</t>
        </r>
        <r>
          <rPr>
            <sz val="14"/>
            <color rgb="FF000000"/>
            <rFont val="Calibri"/>
            <family val="34"/>
          </rPr>
          <t xml:space="preserve">GK KrKär (1808-9)
</t>
        </r>
        <r>
          <rPr>
            <sz val="14"/>
            <color rgb="FF000000"/>
            <rFont val="Calibri"/>
            <family val="34"/>
          </rPr>
          <t>GK IÖ (1814-20)</t>
        </r>
      </text>
    </comment>
    <comment ref="CR797" authorId="0" shapeId="0" xr:uid="{406F1336-3CD9-464D-AE1F-6816E31A95B6}">
      <text>
        <r>
          <rPr>
            <sz val="14"/>
            <color rgb="FF000000"/>
            <rFont val="Calibri"/>
            <family val="34"/>
          </rPr>
          <t>1801-17: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1818-20: Katolisch [Mit Namens Anderung] </t>
        </r>
      </text>
    </comment>
    <comment ref="BF798" authorId="0" shapeId="0" xr:uid="{87D62341-DB2B-1B43-AD53-32F52C6AF533}">
      <text>
        <r>
          <rPr>
            <sz val="14"/>
            <color rgb="FF000000"/>
            <rFont val="Times New Roman"/>
            <family val="18"/>
          </rPr>
          <t xml:space="preserve">26/02/1801 </t>
        </r>
        <r>
          <rPr>
            <i/>
            <sz val="14"/>
            <color rgb="FF000000"/>
            <rFont val="Times New Roman"/>
            <family val="18"/>
          </rPr>
          <t>Zu Zaleszik</t>
        </r>
        <r>
          <rPr>
            <sz val="14"/>
            <color rgb="FF000000"/>
            <rFont val="Times New Roman"/>
            <family val="18"/>
          </rPr>
          <t xml:space="preserve"> </t>
        </r>
        <r>
          <rPr>
            <b/>
            <sz val="14"/>
            <color rgb="FF000000"/>
            <rFont val="Times New Roman"/>
            <family val="18"/>
          </rPr>
          <t>[</t>
        </r>
        <r>
          <rPr>
            <b/>
            <u/>
            <sz val="14"/>
            <color rgb="FF0563C1"/>
            <rFont val="Times New Roman"/>
            <family val="18"/>
          </rPr>
          <t>Zaleszczyki, Ukraine</t>
        </r>
        <r>
          <rPr>
            <b/>
            <sz val="14"/>
            <color rgb="FF000000"/>
            <rFont val="Times New Roman"/>
            <family val="18"/>
          </rPr>
          <t>]</t>
        </r>
        <r>
          <rPr>
            <sz val="14"/>
            <color rgb="FF000000"/>
            <rFont val="Times New Roman"/>
            <family val="18"/>
          </rPr>
          <t xml:space="preserve"> </t>
        </r>
        <r>
          <rPr>
            <i/>
            <sz val="14"/>
            <color rgb="FF000000"/>
            <rFont val="Times New Roman"/>
            <family val="18"/>
          </rPr>
          <t>gegen 3Fl auf Beständig assentiert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 xml:space="preserve">21/07/1802 </t>
        </r>
        <r>
          <rPr>
            <i/>
            <sz val="14"/>
            <color rgb="FF000000"/>
            <rFont val="Times New Roman"/>
            <family val="18"/>
          </rPr>
          <t>Von Strassoldo</t>
        </r>
        <r>
          <rPr>
            <sz val="14"/>
            <color rgb="FF000000"/>
            <rFont val="Times New Roman"/>
            <family val="18"/>
          </rPr>
          <t xml:space="preserve"> </t>
        </r>
        <r>
          <rPr>
            <b/>
            <sz val="14"/>
            <color rgb="FF000000"/>
            <rFont val="Times New Roman"/>
            <family val="18"/>
          </rPr>
          <t>[IR 27]</t>
        </r>
        <r>
          <rPr>
            <sz val="14"/>
            <color rgb="FF000000"/>
            <rFont val="Times New Roman"/>
            <family val="18"/>
          </rPr>
          <t xml:space="preserve"> </t>
        </r>
        <r>
          <rPr>
            <i/>
            <sz val="14"/>
            <color rgb="FF000000"/>
            <rFont val="Times New Roman"/>
            <family val="18"/>
          </rPr>
          <t>1. Major Komp. zum IR 44 Leib Komp. transferiert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Lieb Komp. Nr. 98 [</t>
        </r>
        <r>
          <rPr>
            <i/>
            <sz val="14"/>
            <color rgb="FF000000"/>
            <rFont val="Times New Roman"/>
            <family val="18"/>
          </rPr>
          <t>Auf unbestimmte Urlaub zu Brody in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Lieb Komp. Nr. 77 [</t>
        </r>
        <r>
          <rPr>
            <i/>
            <sz val="14"/>
            <color rgb="FF000000"/>
            <rFont val="Times New Roman"/>
            <family val="18"/>
          </rPr>
          <t>Beurlaubt bis zur Einberufung zu Brodi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In Folge hoher Verordnung als unwissend Verloren</t>
        </r>
        <r>
          <rPr>
            <sz val="14"/>
            <color rgb="FF000000"/>
            <rFont val="Times New Roman"/>
            <family val="18"/>
          </rPr>
          <t xml:space="preserve"> [ML 1806]</t>
        </r>
        <r>
          <rPr>
            <sz val="14"/>
            <color rgb="FF000000"/>
            <rFont val="Calibri"/>
            <family val="34"/>
          </rPr>
          <t xml:space="preserve">
</t>
        </r>
      </text>
    </comment>
    <comment ref="BG798" authorId="0" shapeId="0" xr:uid="{C326BD17-6CA2-3844-AE9D-19E1F7BC7CAB}">
      <text>
        <r>
          <rPr>
            <sz val="14"/>
            <color rgb="FF000000"/>
            <rFont val="Times New Roman"/>
            <family val="18"/>
          </rPr>
          <t>ML 3908 IR 44 (1803) – Lieb Komp. Nr. 98 (Venice 19/09/1803)</t>
        </r>
        <r>
          <rPr>
            <sz val="14"/>
            <color rgb="FF000000"/>
            <rFont val="Calibri"/>
            <family val="34"/>
          </rPr>
          <t xml:space="preserve">
</t>
        </r>
        <r>
          <rPr>
            <sz val="14"/>
            <color rgb="FF000000"/>
            <rFont val="Times New Roman"/>
            <family val="18"/>
          </rPr>
          <t>ML 3909 IR 44 (1804) – Lieb Komp. Nr. 77 (Vicenza 12/05/1804)</t>
        </r>
        <r>
          <rPr>
            <sz val="14"/>
            <color rgb="FF000000"/>
            <rFont val="Calibri"/>
            <family val="34"/>
          </rPr>
          <t xml:space="preserve">
</t>
        </r>
        <r>
          <rPr>
            <sz val="14"/>
            <color rgb="FF000000"/>
            <rFont val="Times New Roman"/>
            <family val="18"/>
          </rPr>
          <t>ML 3910 IR 44 (1806) – Mayer Komp. Abgang (Fiume 10/12/1806)</t>
        </r>
        <r>
          <rPr>
            <sz val="14"/>
            <color rgb="FF000000"/>
            <rFont val="Calibri"/>
            <family val="34"/>
          </rPr>
          <t xml:space="preserve">
</t>
        </r>
        <r>
          <rPr>
            <sz val="14"/>
            <color rgb="FF000000"/>
            <rFont val="Times New Roman"/>
            <family val="18"/>
          </rPr>
          <t>ML 3946 IR 44 (1802) – AL IR 27-&gt; IR 44 Nr. 47 (Graz 10/08/1802)</t>
        </r>
        <r>
          <rPr>
            <sz val="14"/>
            <color rgb="FF000000"/>
            <rFont val="Calibri"/>
            <family val="34"/>
          </rPr>
          <t xml:space="preserve">
</t>
        </r>
      </text>
    </comment>
    <comment ref="BH798" authorId="0" shapeId="0" xr:uid="{D4A6B6F1-BF3D-8E43-8257-A870290EBF36}">
      <text>
        <r>
          <rPr>
            <sz val="14"/>
            <color rgb="FF000000"/>
            <rFont val="Calibri"/>
            <family val="34"/>
          </rPr>
          <t xml:space="preserve">IR 27 (1801-1802)
</t>
        </r>
        <r>
          <rPr>
            <sz val="14"/>
            <color rgb="FF000000"/>
            <rFont val="Calibri"/>
            <family val="34"/>
          </rPr>
          <t>IR 44 (1802-1806</t>
        </r>
      </text>
    </comment>
    <comment ref="B799" authorId="0" shapeId="0" xr:uid="{DA4D378B-05D7-8A4B-A782-7FB28758B518}">
      <text>
        <r>
          <rPr>
            <sz val="14"/>
            <color rgb="FF000000"/>
            <rFont val="+mn-lt"/>
            <charset val="1"/>
          </rPr>
          <t xml:space="preserve">Joska BRINDEL/HRINDEL/BRÜNDEL 
</t>
        </r>
        <r>
          <rPr>
            <sz val="14"/>
            <color rgb="FF000000"/>
            <rFont val="+mn-lt"/>
            <charset val="1"/>
          </rPr>
          <t xml:space="preserve">Joseph GRINDEL/ 
</t>
        </r>
        <r>
          <rPr>
            <sz val="14"/>
            <color rgb="FF000000"/>
            <rFont val="+mn-lt"/>
            <charset val="1"/>
          </rPr>
          <t xml:space="preserve">Johann BRIMSLER
</t>
        </r>
      </text>
    </comment>
    <comment ref="T799" authorId="0" shapeId="0" xr:uid="{5A906EB1-9856-C54B-BF43-E30C6BD42F36}">
      <text>
        <r>
          <rPr>
            <sz val="14"/>
            <color rgb="FF000000"/>
            <rFont val="Calibri"/>
            <family val="34"/>
          </rPr>
          <t xml:space="preserve">166.33 (1802-6)
</t>
        </r>
        <r>
          <rPr>
            <sz val="14"/>
            <color rgb="FF000000"/>
            <rFont val="Calibri"/>
            <family val="34"/>
          </rPr>
          <t>169.18 (1810)</t>
        </r>
      </text>
    </comment>
    <comment ref="BF799" authorId="0" shapeId="0" xr:uid="{2B640412-4008-754A-80F0-A8CBD442575E}">
      <text>
        <r>
          <rPr>
            <sz val="14"/>
            <color rgb="FFFF0000"/>
            <rFont val="Times New Roman"/>
            <family val="18"/>
          </rPr>
          <t xml:space="preserve">14/02/1801 </t>
        </r>
        <r>
          <rPr>
            <i/>
            <sz val="14"/>
            <color rgb="FFFF0000"/>
            <rFont val="Times New Roman"/>
            <family val="18"/>
          </rPr>
          <t>Von Ständen gestellt</t>
        </r>
        <r>
          <rPr>
            <sz val="14"/>
            <color rgb="FFFF0000"/>
            <rFont val="Times New Roman"/>
            <family val="18"/>
          </rPr>
          <t xml:space="preserve"> [ML 1802-6]</t>
        </r>
        <r>
          <rPr>
            <sz val="14"/>
            <color rgb="FF000000"/>
            <rFont val="Calibri"/>
            <family val="34"/>
          </rPr>
          <t xml:space="preserve">
</t>
        </r>
        <r>
          <rPr>
            <sz val="14"/>
            <color rgb="FF000000"/>
            <rFont val="Times New Roman"/>
            <family val="18"/>
          </rPr>
          <t xml:space="preserve">01/03/1801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Reserve Division in Haupt Basta Komp. transferiert</t>
        </r>
        <r>
          <rPr>
            <sz val="14"/>
            <color rgb="FF000000"/>
            <rFont val="Times New Roman"/>
            <family val="18"/>
          </rPr>
          <t xml:space="preserve"> [ST Oct 1801]</t>
        </r>
        <r>
          <rPr>
            <sz val="14"/>
            <color rgb="FF000000"/>
            <rFont val="Calibri"/>
            <family val="34"/>
          </rPr>
          <t xml:space="preserve">
</t>
        </r>
        <r>
          <rPr>
            <sz val="14"/>
            <color rgb="FF000000"/>
            <rFont val="Times New Roman"/>
            <family val="18"/>
          </rPr>
          <t>21/08/1802 Muster: IR 43 Haupt Basta Komp. Nr. 161</t>
        </r>
        <r>
          <rPr>
            <sz val="14"/>
            <color rgb="FF000000"/>
            <rFont val="Calibri"/>
            <family val="34"/>
          </rPr>
          <t xml:space="preserve">
</t>
        </r>
        <r>
          <rPr>
            <sz val="14"/>
            <color rgb="FF000000"/>
            <rFont val="Times New Roman"/>
            <family val="18"/>
          </rPr>
          <t>08/11/1803 Muster: IR 43 Haupt Ellison Komp. Nr. 140 [Krank in Loco Spital]</t>
        </r>
        <r>
          <rPr>
            <sz val="14"/>
            <color rgb="FF000000"/>
            <rFont val="Calibri"/>
            <family val="34"/>
          </rPr>
          <t xml:space="preserve">
</t>
        </r>
        <r>
          <rPr>
            <sz val="14"/>
            <color rgb="FF000000"/>
            <rFont val="Times New Roman"/>
            <family val="18"/>
          </rPr>
          <t>15/09/1804 Muster: IR 43 Haupt Lichtenberg Komp. Nr. 123</t>
        </r>
        <r>
          <rPr>
            <sz val="14"/>
            <color rgb="FF000000"/>
            <rFont val="Calibri"/>
            <family val="34"/>
          </rPr>
          <t xml:space="preserve">
</t>
        </r>
        <r>
          <rPr>
            <sz val="14"/>
            <color rgb="FF000000"/>
            <rFont val="Times New Roman"/>
            <family val="18"/>
          </rPr>
          <t xml:space="preserve">15/07/1805 </t>
        </r>
        <r>
          <rPr>
            <i/>
            <sz val="14"/>
            <color rgb="FF000000"/>
            <rFont val="Times New Roman"/>
            <family val="18"/>
          </rPr>
          <t>Auf Fortifikation Arbeit mit Loco Service Gebühr</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20/07/1805 </t>
        </r>
        <r>
          <rPr>
            <i/>
            <sz val="14"/>
            <color rgb="FF000000"/>
            <rFont val="Times New Roman"/>
            <family val="18"/>
          </rPr>
          <t>Wieder in Kompanie</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30/09/1805 Muster: IR 43 2. Fus. Komp Nr. 96</t>
        </r>
        <r>
          <rPr>
            <sz val="14"/>
            <color rgb="FF000000"/>
            <rFont val="Calibri"/>
            <family val="34"/>
          </rPr>
          <t xml:space="preserve">
</t>
        </r>
        <r>
          <rPr>
            <sz val="14"/>
            <color rgb="FF000000"/>
            <rFont val="Times New Roman"/>
            <family val="18"/>
          </rPr>
          <t>01/12/1806 Muster: IR 43 2. Fus. Komp. Nr. 83</t>
        </r>
        <r>
          <rPr>
            <sz val="14"/>
            <color rgb="FF000000"/>
            <rFont val="Calibri"/>
            <family val="34"/>
          </rPr>
          <t xml:space="preserve">
</t>
        </r>
        <r>
          <rPr>
            <sz val="14"/>
            <color rgb="FF000000"/>
            <rFont val="Times New Roman"/>
            <family val="18"/>
          </rPr>
          <t>06/09/1808 Revision: 2. Fus. Komp. Nr. 62 [</t>
        </r>
        <r>
          <rPr>
            <i/>
            <sz val="14"/>
            <color rgb="FF000000"/>
            <rFont val="Times New Roman"/>
            <family val="18"/>
          </rPr>
          <t>Bei Arbeitung der Landwehr</t>
        </r>
        <r>
          <rPr>
            <sz val="14"/>
            <color rgb="FF000000"/>
            <rFont val="Times New Roman"/>
            <family val="18"/>
          </rPr>
          <t>]</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2. Fus zum Neue 16. Fus Komp. transferiert und von Gemeiner zum Gefreyter avanciert</t>
        </r>
        <r>
          <rPr>
            <sz val="14"/>
            <color rgb="FF000000"/>
            <rFont val="Times New Roman"/>
            <family val="18"/>
          </rPr>
          <t xml:space="preserve"> [ST Feb 1809 von 2. UND 16. Fus Komp. &amp; TL 1810]</t>
        </r>
        <r>
          <rPr>
            <sz val="14"/>
            <color rgb="FF000000"/>
            <rFont val="Calibri"/>
            <family val="34"/>
          </rPr>
          <t xml:space="preserve">
</t>
        </r>
        <r>
          <rPr>
            <sz val="14"/>
            <color rgb="FF000000"/>
            <rFont val="Times New Roman"/>
            <family val="18"/>
          </rPr>
          <t xml:space="preserve">21/09/1809 </t>
        </r>
        <r>
          <rPr>
            <i/>
            <sz val="14"/>
            <color rgb="FF000000"/>
            <rFont val="Times New Roman"/>
            <family val="18"/>
          </rPr>
          <t>Krank in Armee Spitälern</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20/12/1809 Rekonvalesziert [ST Dec 1809] </t>
        </r>
        <r>
          <rPr>
            <sz val="14"/>
            <color rgb="FF000000"/>
            <rFont val="Calibri"/>
            <family val="34"/>
          </rPr>
          <t xml:space="preserve">
</t>
        </r>
        <r>
          <rPr>
            <sz val="14"/>
            <color rgb="FF000000"/>
            <rFont val="Times New Roman"/>
            <family val="18"/>
          </rPr>
          <t>25/02/1810 Dissolvierung: 16. Fus Komp. Nr. 34 [</t>
        </r>
        <r>
          <rPr>
            <i/>
            <sz val="14"/>
            <color rgb="FF000000"/>
            <rFont val="Times New Roman"/>
            <family val="18"/>
          </rPr>
          <t>Zu Beullieu IR 58 eingeteilt</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16. Fus Komp. des Dissolvierte IR 43 zum IR 58 Beaullieu transferiert und zum 4. Fus. Komp. eingeheilt</t>
        </r>
        <r>
          <rPr>
            <sz val="14"/>
            <color rgb="FF000000"/>
            <rFont val="Times New Roman"/>
            <family val="18"/>
          </rPr>
          <t xml:space="preserve"> [ST March 1810 &amp; ST May 1810]</t>
        </r>
        <r>
          <rPr>
            <sz val="14"/>
            <color rgb="FF000000"/>
            <rFont val="Calibri"/>
            <family val="34"/>
          </rPr>
          <t xml:space="preserve">
</t>
        </r>
        <r>
          <rPr>
            <sz val="14"/>
            <color rgb="FF000000"/>
            <rFont val="Times New Roman"/>
            <family val="18"/>
          </rPr>
          <t xml:space="preserve">30/06/1811 </t>
        </r>
        <r>
          <rPr>
            <i/>
            <sz val="14"/>
            <color rgb="FF000000"/>
            <rFont val="Times New Roman"/>
            <family val="18"/>
          </rPr>
          <t>Von 4.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31/03/1812 </t>
        </r>
        <r>
          <rPr>
            <i/>
            <sz val="14"/>
            <color rgb="FF000000"/>
            <rFont val="Times New Roman"/>
            <family val="18"/>
          </rPr>
          <t>Von 14. Zum 4. Fus. Komp. transferiert</t>
        </r>
        <r>
          <rPr>
            <sz val="14"/>
            <color rgb="FF000000"/>
            <rFont val="Times New Roman"/>
            <family val="18"/>
          </rPr>
          <t xml:space="preserve"> [ML 1812]</t>
        </r>
        <r>
          <rPr>
            <sz val="14"/>
            <color rgb="FF000000"/>
            <rFont val="Calibri"/>
            <family val="34"/>
          </rPr>
          <t xml:space="preserve">
</t>
        </r>
        <r>
          <rPr>
            <sz val="14"/>
            <color rgb="FF000000"/>
            <rFont val="Times New Roman"/>
            <family val="18"/>
          </rPr>
          <t xml:space="preserve">28/11/1812 </t>
        </r>
        <r>
          <rPr>
            <i/>
            <sz val="14"/>
            <color rgb="FF000000"/>
            <rFont val="Times New Roman"/>
            <family val="18"/>
          </rPr>
          <t>Zum Kriegsgefangenschaft gefallen</t>
        </r>
        <r>
          <rPr>
            <sz val="14"/>
            <color rgb="FF000000"/>
            <rFont val="Times New Roman"/>
            <family val="18"/>
          </rPr>
          <t xml:space="preserve"> [ST Nov 1812]</t>
        </r>
      </text>
    </comment>
    <comment ref="BG799" authorId="0" shapeId="0" xr:uid="{9F89C476-B819-7647-B363-F029CF704652}">
      <text>
        <r>
          <rPr>
            <sz val="14"/>
            <color rgb="FF000000"/>
            <rFont val="Times New Roman"/>
            <family val="18"/>
          </rPr>
          <t>ML 10.272 IR 43 (1802) – Haupt Basta Nr. 161 (21/08/1802)</t>
        </r>
        <r>
          <rPr>
            <sz val="14"/>
            <color rgb="FF000000"/>
            <rFont val="Calibri"/>
            <family val="34"/>
          </rPr>
          <t xml:space="preserve">
</t>
        </r>
        <r>
          <rPr>
            <sz val="14"/>
            <color rgb="FF000000"/>
            <rFont val="Times New Roman"/>
            <family val="18"/>
          </rPr>
          <t>ML 10.273 IR 43 (1803) – Haupt Ellison Nr. 140 (08/11/1803)</t>
        </r>
        <r>
          <rPr>
            <sz val="14"/>
            <color rgb="FF000000"/>
            <rFont val="Calibri"/>
            <family val="34"/>
          </rPr>
          <t xml:space="preserve">
</t>
        </r>
        <r>
          <rPr>
            <sz val="14"/>
            <color rgb="FF000000"/>
            <rFont val="Times New Roman"/>
            <family val="18"/>
          </rPr>
          <t>ML 10.274 IR 43 (1804) – Haupt Lichtenberg Nr. 123 (15/09/1804)</t>
        </r>
        <r>
          <rPr>
            <sz val="14"/>
            <color rgb="FF000000"/>
            <rFont val="Calibri"/>
            <family val="34"/>
          </rPr>
          <t xml:space="preserve">
</t>
        </r>
        <r>
          <rPr>
            <sz val="14"/>
            <color rgb="FF000000"/>
            <rFont val="Times New Roman"/>
            <family val="18"/>
          </rPr>
          <t>ML 10.275/6 IR 43 (1805) – 2. Fus Comp Nr. 96 (30/09/1805)</t>
        </r>
        <r>
          <rPr>
            <sz val="14"/>
            <color rgb="FF000000"/>
            <rFont val="Calibri"/>
            <family val="34"/>
          </rPr>
          <t xml:space="preserve">
</t>
        </r>
        <r>
          <rPr>
            <sz val="14"/>
            <color rgb="FF000000"/>
            <rFont val="Times New Roman"/>
            <family val="18"/>
          </rPr>
          <t>ML 10.277/8 IR 43 (1806) – 2. Fus Comp. Nr. 83 (Laibach 01/12/1806)</t>
        </r>
        <r>
          <rPr>
            <sz val="14"/>
            <color rgb="FF000000"/>
            <rFont val="Calibri"/>
            <family val="34"/>
          </rPr>
          <t xml:space="preserve">
</t>
        </r>
        <r>
          <rPr>
            <sz val="14"/>
            <color rgb="FF000000"/>
            <rFont val="Times New Roman"/>
            <family val="18"/>
          </rPr>
          <t>ML 10.279 IR 43 (1808-10) – Revision: 2. Fus Comp Nr. 62 (Laibach 06/09/1808) &amp; Dissolvierung: 16. Fus Comp Nr. 34 (Vordenberg 25/02/1810)</t>
        </r>
        <r>
          <rPr>
            <sz val="14"/>
            <color rgb="FF000000"/>
            <rFont val="Calibri"/>
            <family val="34"/>
          </rPr>
          <t xml:space="preserve">
</t>
        </r>
        <r>
          <rPr>
            <sz val="14"/>
            <color rgb="FF000000"/>
            <rFont val="Times New Roman"/>
            <family val="18"/>
          </rPr>
          <t>ML 10.311 IR 43 (1801) – ST März (10/10/1804) und Oktober (21/07/1805)</t>
        </r>
        <r>
          <rPr>
            <sz val="14"/>
            <color rgb="FF000000"/>
            <rFont val="Calibri"/>
            <family val="34"/>
          </rPr>
          <t xml:space="preserve">
</t>
        </r>
        <r>
          <rPr>
            <sz val="14"/>
            <color rgb="FF000000"/>
            <rFont val="Times New Roman"/>
            <family val="18"/>
          </rPr>
          <t>ML 10.315 IR 43 (1805) – ST Juli (15/08/1805)</t>
        </r>
        <r>
          <rPr>
            <sz val="14"/>
            <color rgb="FF000000"/>
            <rFont val="Calibri"/>
            <family val="34"/>
          </rPr>
          <t xml:space="preserve">
</t>
        </r>
        <r>
          <rPr>
            <sz val="14"/>
            <color rgb="FF000000"/>
            <rFont val="Times New Roman"/>
            <family val="18"/>
          </rPr>
          <t>ML 10.323 IR 43 (1809) – ST Febuar (25/08/1810), September (25/12/1810), und Dezember (18/01/1811)</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10.326 IR 43 (1810) – AL/TL TL IR 43 -&gt; IR 58 (Klagenfurt 31/05/1810)</t>
        </r>
        <r>
          <rPr>
            <sz val="14"/>
            <color rgb="FF000000"/>
            <rFont val="Calibri"/>
            <family val="34"/>
          </rPr>
          <t xml:space="preserve">
</t>
        </r>
        <r>
          <rPr>
            <sz val="14"/>
            <color rgb="FF000000"/>
            <rFont val="Times New Roman"/>
            <family val="18"/>
          </rPr>
          <t>ML 4967/8 IR 58 (1810) – ST Mai (14/06/1811)</t>
        </r>
        <r>
          <rPr>
            <sz val="14"/>
            <color rgb="FF000000"/>
            <rFont val="Calibri"/>
            <family val="34"/>
          </rPr>
          <t xml:space="preserve">
</t>
        </r>
        <r>
          <rPr>
            <sz val="14"/>
            <color rgb="FF000000"/>
            <rFont val="Times New Roman"/>
            <family val="18"/>
          </rPr>
          <t>IR 58 4920/2(1811) – 14. Fus. Komp. Nr. 15 (Przemisl  28/09/1811)</t>
        </r>
        <r>
          <rPr>
            <sz val="14"/>
            <color rgb="FF000000"/>
            <rFont val="Calibri"/>
            <family val="34"/>
          </rPr>
          <t xml:space="preserve">
</t>
        </r>
        <r>
          <rPr>
            <sz val="14"/>
            <color rgb="FF000000"/>
            <rFont val="Times New Roman"/>
            <family val="18"/>
          </rPr>
          <t>IR 58 4923 (1812/16) – 14. Fus. Komp. Abgang (24/09/1812)</t>
        </r>
        <r>
          <rPr>
            <sz val="14"/>
            <color rgb="FF000000"/>
            <rFont val="Calibri"/>
            <family val="34"/>
          </rPr>
          <t xml:space="preserve">
</t>
        </r>
        <r>
          <rPr>
            <sz val="14"/>
            <color rgb="FF000000"/>
            <rFont val="Times New Roman"/>
            <family val="18"/>
          </rPr>
          <t>IR 58 4973 (1812) – ST April (Stanislau 16/08/1812), Nov (Stanislau 26/04/1812)</t>
        </r>
        <r>
          <rPr>
            <sz val="14"/>
            <color rgb="FF000000"/>
            <rFont val="Calibri"/>
            <family val="34"/>
          </rPr>
          <t xml:space="preserve">
</t>
        </r>
      </text>
    </comment>
    <comment ref="BH799" authorId="0" shapeId="0" xr:uid="{5523EFE8-A561-D145-A484-3B24AB978A81}">
      <text>
        <r>
          <rPr>
            <sz val="14"/>
            <color rgb="FF000000"/>
            <rFont val="Calibri"/>
            <family val="34"/>
          </rPr>
          <t xml:space="preserve">IR 43 (1801-1810)
</t>
        </r>
        <r>
          <rPr>
            <sz val="14"/>
            <color rgb="FF000000"/>
            <rFont val="Calibri"/>
            <family val="34"/>
          </rPr>
          <t>IR 58 (1810-1812)</t>
        </r>
      </text>
    </comment>
    <comment ref="BI799" authorId="0" shapeId="0" xr:uid="{762740F4-9527-A842-ADE8-C9F05E00CEB8}">
      <text>
        <r>
          <rPr>
            <sz val="14"/>
            <color rgb="FF000000"/>
            <rFont val="Calibri"/>
            <family val="34"/>
          </rPr>
          <t>1810: Gut</t>
        </r>
      </text>
    </comment>
    <comment ref="I800" authorId="0" shapeId="0" xr:uid="{E9369E11-F12E-2644-8FCC-BE69CCA92F31}">
      <text>
        <r>
          <rPr>
            <sz val="14"/>
            <color rgb="FF000000"/>
            <rFont val="Calibri"/>
            <family val="34"/>
          </rPr>
          <t xml:space="preserve">1754 [51 (1805)]
</t>
        </r>
        <r>
          <rPr>
            <sz val="14"/>
            <color rgb="FF000000"/>
            <rFont val="Calibri"/>
            <family val="34"/>
          </rPr>
          <t xml:space="preserve">OR
</t>
        </r>
        <r>
          <rPr>
            <sz val="14"/>
            <color rgb="FF000000"/>
            <rFont val="Calibri"/>
            <family val="34"/>
          </rPr>
          <t xml:space="preserve">1758 [45 (1804)]
</t>
        </r>
        <r>
          <rPr>
            <sz val="14"/>
            <color rgb="FF000000"/>
            <rFont val="Calibri"/>
            <family val="34"/>
          </rPr>
          <t xml:space="preserve">OR 
</t>
        </r>
        <r>
          <rPr>
            <sz val="14"/>
            <color rgb="FF000000"/>
            <rFont val="Calibri"/>
            <family val="34"/>
          </rPr>
          <t>1764 [41 (1802)]</t>
        </r>
      </text>
    </comment>
    <comment ref="K800" authorId="0" shapeId="0" xr:uid="{E3D34244-3209-4343-AD42-AD6D426A43B4}">
      <text>
        <r>
          <rPr>
            <sz val="14"/>
            <color rgb="FF000000"/>
            <rFont val="Calibri"/>
            <family val="34"/>
          </rPr>
          <t xml:space="preserve">Ohne  (1802)
</t>
        </r>
        <r>
          <rPr>
            <sz val="14"/>
            <color rgb="FF000000"/>
            <rFont val="Calibri"/>
            <family val="34"/>
          </rPr>
          <t>Kirschner (1803-1805)</t>
        </r>
      </text>
    </comment>
    <comment ref="T800" authorId="0" shapeId="0" xr:uid="{79A2EB6E-3807-7F41-9248-DC55464111AF}">
      <text>
        <r>
          <rPr>
            <sz val="14"/>
            <color rgb="FF000000"/>
            <rFont val="Calibri"/>
            <family val="34"/>
          </rPr>
          <t xml:space="preserve">166.33 [5.4 (1802)]
</t>
        </r>
        <r>
          <rPr>
            <sz val="14"/>
            <color rgb="FF000000"/>
            <rFont val="Calibri"/>
            <family val="34"/>
          </rPr>
          <t>169.2 [5.4.3 169.18 (1803-4)</t>
        </r>
      </text>
    </comment>
    <comment ref="BF800" authorId="0" shapeId="0" xr:uid="{5B7E5F97-9E3E-1547-B283-18E93C6CA4DD}">
      <text>
        <r>
          <rPr>
            <sz val="14"/>
            <color rgb="FF000000"/>
            <rFont val="Times New Roman"/>
            <family val="18"/>
          </rPr>
          <t xml:space="preserve">01/03/1801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Reserve Division in Haupt Barbo Comp. Transferiert</t>
        </r>
        <r>
          <rPr>
            <sz val="14"/>
            <color rgb="FF000000"/>
            <rFont val="Times New Roman"/>
            <family val="18"/>
          </rPr>
          <t xml:space="preserve"> [ST August 1801]</t>
        </r>
        <r>
          <rPr>
            <sz val="14"/>
            <color rgb="FF000000"/>
            <rFont val="Calibri"/>
            <family val="34"/>
          </rPr>
          <t xml:space="preserve">
</t>
        </r>
        <r>
          <rPr>
            <sz val="14"/>
            <color rgb="FF000000"/>
            <rFont val="Times New Roman"/>
            <family val="18"/>
          </rPr>
          <t xml:space="preserve">20/05/1802 </t>
        </r>
        <r>
          <rPr>
            <i/>
            <sz val="14"/>
            <color rgb="FF000000"/>
            <rFont val="Times New Roman"/>
            <family val="18"/>
          </rPr>
          <t>Auf bestimmte Zeit beurlaubt; ist mit Verpflegung bis seine Heimat mit taglich zu machen 3 Meilen nach Ost Gallizien auf bestimmte Urlaub abgegangen und bis in die Licoa auf unterstehende</t>
        </r>
        <r>
          <rPr>
            <sz val="14"/>
            <color rgb="FF000000"/>
            <rFont val="Times New Roman"/>
            <family val="18"/>
          </rPr>
          <t xml:space="preserve"> Art Verpflegt [ST May 1802]</t>
        </r>
        <r>
          <rPr>
            <sz val="14"/>
            <color rgb="FF000000"/>
            <rFont val="Calibri"/>
            <family val="34"/>
          </rPr>
          <t xml:space="preserve">
</t>
        </r>
        <r>
          <rPr>
            <sz val="14"/>
            <color rgb="FF000000"/>
            <rFont val="Times New Roman"/>
            <family val="18"/>
          </rPr>
          <t>11/09/1802 Muster: IR 43 Haupt Barbo Nr. 151 [</t>
        </r>
        <r>
          <rPr>
            <i/>
            <sz val="14"/>
            <color rgb="FF000000"/>
            <rFont val="Times New Roman"/>
            <family val="18"/>
          </rPr>
          <t>Auf Urlaub]</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unbestimmten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Haupt Barbo zum Haupt Civarini Comp. Transferiert</t>
        </r>
        <r>
          <rPr>
            <sz val="14"/>
            <color rgb="FF000000"/>
            <rFont val="Times New Roman"/>
            <family val="18"/>
          </rPr>
          <t xml:space="preserve"> [ST April 1803 &amp; ML 1803]</t>
        </r>
        <r>
          <rPr>
            <sz val="14"/>
            <color rgb="FF000000"/>
            <rFont val="Calibri"/>
            <family val="34"/>
          </rPr>
          <t xml:space="preserve">
</t>
        </r>
        <r>
          <rPr>
            <sz val="14"/>
            <color rgb="FF000000"/>
            <rFont val="Times New Roman"/>
            <family val="18"/>
          </rPr>
          <t>28/09/1803 Muster: IR 43 Haupt Civarini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06/10/1804 Muster: IR 43 Haupt Civarini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 xml:space="preserve">Von dissolvierte Civarini zum 15. Fusilier Comp transferiert </t>
        </r>
        <r>
          <rPr>
            <sz val="14"/>
            <color rgb="FF000000"/>
            <rFont val="Times New Roman"/>
            <family val="18"/>
          </rPr>
          <t>[ST Aug 1805]</t>
        </r>
        <r>
          <rPr>
            <sz val="14"/>
            <color rgb="FF000000"/>
            <rFont val="Calibri"/>
            <family val="34"/>
          </rPr>
          <t xml:space="preserve">
</t>
        </r>
        <r>
          <rPr>
            <sz val="14"/>
            <color rgb="FF000000"/>
            <rFont val="Times New Roman"/>
            <family val="18"/>
          </rPr>
          <t>10/11/1805 Muster: 15. Fus Comp Nr. 155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In Folge hoher Lemberger General Commando Verordnung von 25. dicti R. 8326 gegen Renuncierung alle Militar Beneficien wegen der Real Invaliditat sich machenden mit Abschied entlassen</t>
        </r>
        <r>
          <rPr>
            <sz val="14"/>
            <color rgb="FF000000"/>
            <rFont val="Times New Roman"/>
            <family val="18"/>
          </rPr>
          <t xml:space="preserve"> [ST Nov 1805 &amp; ML 1805]</t>
        </r>
        <r>
          <rPr>
            <sz val="14"/>
            <color rgb="FF000000"/>
            <rFont val="Calibri"/>
            <family val="34"/>
          </rPr>
          <t xml:space="preserve">
</t>
        </r>
      </text>
    </comment>
    <comment ref="BG800" authorId="0" shapeId="0" xr:uid="{88311D8B-2698-1242-89AA-58E720E5682D}">
      <text>
        <r>
          <rPr>
            <sz val="14"/>
            <color rgb="FF000000"/>
            <rFont val="Times New Roman"/>
            <family val="18"/>
          </rPr>
          <t>ML 10.272 IR 43 (1802) – Heft von Haupt Barbo Nr. 151 (Zara 11/09/1802)</t>
        </r>
        <r>
          <rPr>
            <sz val="14"/>
            <color rgb="FF000000"/>
            <rFont val="Calibri"/>
            <family val="34"/>
          </rPr>
          <t xml:space="preserve">
</t>
        </r>
        <r>
          <rPr>
            <sz val="14"/>
            <color rgb="FF000000"/>
            <rFont val="Times New Roman"/>
            <family val="18"/>
          </rPr>
          <t>ML 10.273 IR 43 (1803) – Heft von Haupt Cevarini Nr. 148 (Zara 28/09/1803)</t>
        </r>
        <r>
          <rPr>
            <sz val="14"/>
            <color rgb="FF000000"/>
            <rFont val="Calibri"/>
            <family val="34"/>
          </rPr>
          <t xml:space="preserve">
</t>
        </r>
        <r>
          <rPr>
            <sz val="14"/>
            <color rgb="FF000000"/>
            <rFont val="Times New Roman"/>
            <family val="18"/>
          </rPr>
          <t>ML 10.274 IR 43 (1804) – Heft von Haupt Cevarini Comp. Nr. 133 (Budua 05/10/1804)</t>
        </r>
        <r>
          <rPr>
            <sz val="14"/>
            <color rgb="FF000000"/>
            <rFont val="Calibri"/>
            <family val="34"/>
          </rPr>
          <t xml:space="preserve">
</t>
        </r>
        <r>
          <rPr>
            <sz val="14"/>
            <color rgb="FF000000"/>
            <rFont val="Times New Roman"/>
            <family val="18"/>
          </rPr>
          <t>ML 10.275/6 IR 43 (1805) – Heft von 15. Fus Comp. Nr. 155 (Macarsca (10/11/1805)</t>
        </r>
        <r>
          <rPr>
            <sz val="14"/>
            <color rgb="FF000000"/>
            <rFont val="Calibri"/>
            <family val="34"/>
          </rPr>
          <t xml:space="preserve">
</t>
        </r>
        <r>
          <rPr>
            <sz val="14"/>
            <color rgb="FF000000"/>
            <rFont val="Times New Roman"/>
            <family val="18"/>
          </rPr>
          <t>ML 10/277/8 IR 43 (1806) – Heft von 9. Fus Comp. Abgang (Neustadt 05/12/1806)</t>
        </r>
        <r>
          <rPr>
            <sz val="14"/>
            <color rgb="FF000000"/>
            <rFont val="Calibri"/>
            <family val="34"/>
          </rPr>
          <t xml:space="preserve">
</t>
        </r>
        <r>
          <rPr>
            <sz val="14"/>
            <color rgb="FF000000"/>
            <rFont val="Times New Roman"/>
            <family val="18"/>
          </rPr>
          <t>ML 10.311 IR 43 (1801) – ST März (10/10/1804), August (21/07/1805)</t>
        </r>
        <r>
          <rPr>
            <sz val="14"/>
            <color rgb="FF000000"/>
            <rFont val="Calibri"/>
            <family val="34"/>
          </rPr>
          <t xml:space="preserve">
</t>
        </r>
        <r>
          <rPr>
            <sz val="14"/>
            <color rgb="FF000000"/>
            <rFont val="Times New Roman"/>
            <family val="18"/>
          </rPr>
          <t>ML 10.312 IR 43 (1802) – ST Mai (15/06/1802), Nov (15/02/1802)</t>
        </r>
        <r>
          <rPr>
            <sz val="14"/>
            <color rgb="FF000000"/>
            <rFont val="Calibri"/>
            <family val="34"/>
          </rPr>
          <t xml:space="preserve">
</t>
        </r>
        <r>
          <rPr>
            <sz val="14"/>
            <color rgb="FF000000"/>
            <rFont val="Times New Roman"/>
            <family val="18"/>
          </rPr>
          <t>ML 10.313 IR 43 (1803) – ST April (15/05/1803)</t>
        </r>
        <r>
          <rPr>
            <sz val="14"/>
            <color rgb="FF000000"/>
            <rFont val="Calibri"/>
            <family val="34"/>
          </rPr>
          <t xml:space="preserve">
</t>
        </r>
        <r>
          <rPr>
            <sz val="14"/>
            <color rgb="FF000000"/>
            <rFont val="Times New Roman"/>
            <family val="18"/>
          </rPr>
          <t>ML 10.315 IR 43 (1805) – ST August (15/09/1805), November (16/06/1805)</t>
        </r>
        <r>
          <rPr>
            <sz val="14"/>
            <color rgb="FF000000"/>
            <rFont val="Calibri"/>
            <family val="34"/>
          </rPr>
          <t xml:space="preserve">
</t>
        </r>
      </text>
    </comment>
    <comment ref="BH800" authorId="0" shapeId="0" xr:uid="{7BC87E2B-C80B-D44A-9D0A-6CD5A0385502}">
      <text>
        <r>
          <rPr>
            <sz val="14"/>
            <color rgb="FF000000"/>
            <rFont val="Calibri"/>
            <family val="34"/>
          </rPr>
          <t>IR 43 (1801-1805)</t>
        </r>
      </text>
    </comment>
    <comment ref="CR800" authorId="0" shapeId="0" xr:uid="{D90F03AF-1D43-2F41-A564-7D88CF93F46B}">
      <text>
        <r>
          <rPr>
            <sz val="14"/>
            <color rgb="FF000000"/>
            <rFont val="Calibri"/>
            <family val="34"/>
          </rPr>
          <t>1802/5: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1803/4: Altglaubisch  </t>
        </r>
      </text>
    </comment>
    <comment ref="BF801" authorId="0" shapeId="0" xr:uid="{3D8253AA-D2F2-5241-9192-2186789F6A59}">
      <text>
        <r>
          <rPr>
            <sz val="14"/>
            <color rgb="FF000000"/>
            <rFont val="Times New Roman"/>
            <family val="18"/>
          </rPr>
          <t xml:space="preserve">16/03/1801 </t>
        </r>
        <r>
          <rPr>
            <i/>
            <sz val="14"/>
            <color rgb="FF000000"/>
            <rFont val="Times New Roman"/>
            <family val="18"/>
          </rPr>
          <t>Auf Beständig bei der Staabs Infanterie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Staabs Infanterie zum IR 30 Regiment transferiert</t>
        </r>
        <r>
          <rPr>
            <sz val="14"/>
            <color rgb="FF000000"/>
            <rFont val="Times New Roman"/>
            <family val="18"/>
          </rPr>
          <t xml:space="preserve"> [ML 1803] </t>
        </r>
        <r>
          <rPr>
            <sz val="14"/>
            <color rgb="FF000000"/>
            <rFont val="Calibri"/>
            <family val="34"/>
          </rPr>
          <t xml:space="preserve">
</t>
        </r>
        <r>
          <rPr>
            <sz val="14"/>
            <color rgb="FF000000"/>
            <rFont val="Times New Roman"/>
            <family val="18"/>
          </rPr>
          <t>12/08/1803 Muster: Obrist Comp. Nr. 70 [</t>
        </r>
        <r>
          <rPr>
            <i/>
            <sz val="14"/>
            <color rgb="FF000000"/>
            <rFont val="Times New Roman"/>
            <family val="18"/>
          </rPr>
          <t>Beurlaubt in loco</t>
        </r>
        <r>
          <rPr>
            <sz val="14"/>
            <color rgb="FF000000"/>
            <rFont val="Times New Roman"/>
            <family val="18"/>
          </rPr>
          <t>] [ML 1803]</t>
        </r>
        <r>
          <rPr>
            <sz val="14"/>
            <color rgb="FF000000"/>
            <rFont val="Calibri"/>
            <family val="34"/>
          </rPr>
          <t xml:space="preserve">
</t>
        </r>
        <r>
          <rPr>
            <sz val="14"/>
            <color rgb="FF000000"/>
            <rFont val="Times New Roman"/>
            <family val="18"/>
          </rPr>
          <t xml:space="preserve">04/06/1804 </t>
        </r>
        <r>
          <rPr>
            <i/>
            <sz val="14"/>
            <color rgb="FF000000"/>
            <rFont val="Times New Roman"/>
            <family val="18"/>
          </rPr>
          <t>von Urlaub emigriert</t>
        </r>
        <r>
          <rPr>
            <sz val="14"/>
            <color rgb="FF000000"/>
            <rFont val="Times New Roman"/>
            <family val="18"/>
          </rPr>
          <t xml:space="preserve"> [ML 1804]</t>
        </r>
      </text>
    </comment>
    <comment ref="BG801" authorId="0" shapeId="0" xr:uid="{C241DB12-6D06-DF43-B682-028B177C0B58}">
      <text>
        <r>
          <rPr>
            <sz val="14"/>
            <color rgb="FF000000"/>
            <rFont val="Times New Roman"/>
            <family val="18"/>
          </rPr>
          <t>ML 2630 IR 30 (1803) – Heft von Obrist Comp. Nr. 70 (Lemberg 12/08/1803)</t>
        </r>
        <r>
          <rPr>
            <sz val="14"/>
            <color rgb="FF000000"/>
            <rFont val="Calibri"/>
            <family val="34"/>
          </rPr>
          <t xml:space="preserve">
</t>
        </r>
        <r>
          <rPr>
            <sz val="14"/>
            <color rgb="FF000000"/>
            <rFont val="Times New Roman"/>
            <family val="18"/>
          </rPr>
          <t xml:space="preserve">ML 2631 IR 30 (1804) – Heft von Obrist Comp. – Abgang (Lemberg 19/09/1804) </t>
        </r>
        <r>
          <rPr>
            <sz val="14"/>
            <color rgb="FF000000"/>
            <rFont val="Calibri"/>
            <family val="34"/>
          </rPr>
          <t xml:space="preserve">
</t>
        </r>
      </text>
    </comment>
    <comment ref="BH801" authorId="0" shapeId="0" xr:uid="{15D33277-983F-A24B-A1F0-07F0F4052003}">
      <text>
        <r>
          <rPr>
            <sz val="14"/>
            <color rgb="FF000000"/>
            <rFont val="Calibri"/>
            <family val="34"/>
          </rPr>
          <t xml:space="preserve">SInf (1801)
</t>
        </r>
        <r>
          <rPr>
            <sz val="14"/>
            <color rgb="FF000000"/>
            <rFont val="Calibri"/>
            <family val="34"/>
          </rPr>
          <t>IR 30 (1801-1804)</t>
        </r>
      </text>
    </comment>
    <comment ref="BF802" authorId="0" shapeId="0" xr:uid="{777F0BC2-7844-8746-85A8-4948489F9DF7}">
      <text>
        <r>
          <rPr>
            <sz val="14"/>
            <color rgb="FF000000"/>
            <rFont val="Times New Roman"/>
            <family val="18"/>
          </rPr>
          <t xml:space="preserve">01/04/1801 </t>
        </r>
        <r>
          <rPr>
            <i/>
            <sz val="14"/>
            <color rgb="FF000000"/>
            <rFont val="Times New Roman"/>
            <family val="18"/>
          </rPr>
          <t>Von Land gestellt</t>
        </r>
        <r>
          <rPr>
            <sz val="14"/>
            <color rgb="FF000000"/>
            <rFont val="Times New Roman"/>
            <family val="18"/>
          </rPr>
          <t xml:space="preserve"> [die Tage des Engagements sind unbewusst]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Württemberg IR 38 zum IR 9 transferiert</t>
        </r>
        <r>
          <rPr>
            <sz val="14"/>
            <color rgb="FF000000"/>
            <rFont val="Times New Roman"/>
            <family val="18"/>
          </rPr>
          <t xml:space="preserve"> [1811]</t>
        </r>
        <r>
          <rPr>
            <sz val="14"/>
            <color rgb="FF000000"/>
            <rFont val="Calibri"/>
            <family val="34"/>
          </rPr>
          <t xml:space="preserve">
</t>
        </r>
        <r>
          <rPr>
            <sz val="14"/>
            <color rgb="FF000000"/>
            <rFont val="Times New Roman"/>
            <family val="18"/>
          </rPr>
          <t xml:space="preserve">20/08/1810 </t>
        </r>
        <r>
          <rPr>
            <i/>
            <sz val="14"/>
            <color rgb="FF000000"/>
            <rFont val="Times New Roman"/>
            <family val="18"/>
          </rPr>
          <t>A 15Fl aus weitere 6 Jahr reengagiert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14. Fus. Komp. Nr. 9</t>
        </r>
        <r>
          <rPr>
            <sz val="14"/>
            <color rgb="FF000000"/>
            <rFont val="Calibri"/>
            <family val="34"/>
          </rPr>
          <t xml:space="preserve">
</t>
        </r>
      </text>
    </comment>
    <comment ref="BG802" authorId="0" shapeId="0" xr:uid="{B27B3F80-B3C6-484F-B89E-3B65F85B9222}">
      <text>
        <r>
          <rPr>
            <sz val="14"/>
            <color rgb="FF000000"/>
            <rFont val="Times New Roman"/>
            <family val="18"/>
          </rPr>
          <t>ML 634 IR 9 (1811) – 14. Fus. Komp. Nr. 9 (Eperies, 09/09/1811)</t>
        </r>
      </text>
    </comment>
    <comment ref="BH802" authorId="0" shapeId="0" xr:uid="{43EFD955-E64D-604E-A0B3-9A78856A9AB6}">
      <text>
        <r>
          <rPr>
            <sz val="14"/>
            <color rgb="FF000000"/>
            <rFont val="Calibri"/>
            <family val="34"/>
          </rPr>
          <t xml:space="preserve">IR 38 (1801-1810)
</t>
        </r>
        <r>
          <rPr>
            <sz val="14"/>
            <color rgb="FF000000"/>
            <rFont val="Calibri"/>
            <family val="34"/>
          </rPr>
          <t>IR 9 (1810-1811)</t>
        </r>
      </text>
    </comment>
    <comment ref="BF803" authorId="0" shapeId="0" xr:uid="{0D9E0825-7D38-7B43-826D-7F6D94262969}">
      <text>
        <r>
          <rPr>
            <sz val="14"/>
            <color rgb="FF000000"/>
            <rFont val="Times New Roman"/>
            <family val="18"/>
          </rPr>
          <t xml:space="preserve">16/05/1801 </t>
        </r>
        <r>
          <rPr>
            <i/>
            <sz val="14"/>
            <color rgb="FF000000"/>
            <rFont val="Times New Roman"/>
            <family val="18"/>
          </rPr>
          <t>Von ausgeloster Reserve Division 1. Abt zur Haupt Wiessenstein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01/10/1801 </t>
        </r>
        <r>
          <rPr>
            <i/>
            <sz val="14"/>
            <color rgb="FF000000"/>
            <rFont val="Times New Roman"/>
            <family val="18"/>
          </rPr>
          <t>Laut besondere Verordnung entlassen</t>
        </r>
        <r>
          <rPr>
            <sz val="14"/>
            <color rgb="FF000000"/>
            <rFont val="Times New Roman"/>
            <family val="18"/>
          </rPr>
          <t xml:space="preserve"> [ML 1802]</t>
        </r>
        <r>
          <rPr>
            <sz val="14"/>
            <color rgb="FF000000"/>
            <rFont val="Calibri"/>
            <family val="34"/>
          </rPr>
          <t xml:space="preserve">
</t>
        </r>
      </text>
    </comment>
    <comment ref="BG803" authorId="0" shapeId="0" xr:uid="{29A96A95-D7DC-7949-9E3E-C0337ABCBAA9}">
      <text>
        <r>
          <rPr>
            <sz val="14"/>
            <color rgb="FF000000"/>
            <rFont val="Times New Roman"/>
            <family val="18"/>
          </rPr>
          <t>ML 1937 IR 24 (1802) – Haupt Weissenstein Abgang (Vienna 16/09/1802)</t>
        </r>
        <r>
          <rPr>
            <sz val="14"/>
            <color rgb="FF000000"/>
            <rFont val="Calibri"/>
            <family val="2"/>
          </rPr>
          <t xml:space="preserve"> </t>
        </r>
      </text>
    </comment>
    <comment ref="BH803" authorId="0" shapeId="0" xr:uid="{CAA5B1A6-F61E-B046-8E69-2CEE1168EBE0}">
      <text>
        <r>
          <rPr>
            <sz val="14"/>
            <color rgb="FF000000"/>
            <rFont val="Calibri"/>
            <family val="34"/>
          </rPr>
          <t>IR 24 (1801)</t>
        </r>
      </text>
    </comment>
    <comment ref="BF804" authorId="0" shapeId="0" xr:uid="{E5B1F784-A147-F045-9120-8561E45DDAAD}">
      <text>
        <r>
          <rPr>
            <sz val="14"/>
            <color rgb="FF000000"/>
            <rFont val="Times New Roman"/>
            <family val="18"/>
          </rPr>
          <t xml:space="preserve">10/06/1801 </t>
        </r>
        <r>
          <rPr>
            <i/>
            <sz val="14"/>
            <color rgb="FF000000"/>
            <rFont val="Times New Roman"/>
            <family val="18"/>
          </rPr>
          <t xml:space="preserve">Dient seit mindestens beim IR 13Reserve Division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Als auf Anhero Marsch von Galizien unwissend verloren</t>
        </r>
        <r>
          <rPr>
            <sz val="14"/>
            <color rgb="FF000000"/>
            <rFont val="Times New Roman"/>
            <family val="18"/>
          </rPr>
          <t xml:space="preserve"> [ST Oct 1801 &amp; ML 1802]</t>
        </r>
        <r>
          <rPr>
            <sz val="14"/>
            <color rgb="FF000000"/>
            <rFont val="Times New Roman"/>
            <family val="18"/>
          </rPr>
          <t xml:space="preserve">
</t>
        </r>
      </text>
    </comment>
    <comment ref="BG804" authorId="0" shapeId="0" xr:uid="{2CB3EB9E-7819-E74D-AA4C-7A6674445D96}">
      <text>
        <r>
          <rPr>
            <sz val="14"/>
            <color rgb="FF000000"/>
            <rFont val="Times New Roman"/>
            <family val="18"/>
          </rPr>
          <t xml:space="preserve">10/06/1801 </t>
        </r>
        <r>
          <rPr>
            <i/>
            <sz val="14"/>
            <color rgb="FF000000"/>
            <rFont val="Times New Roman"/>
            <family val="18"/>
          </rPr>
          <t xml:space="preserve">Dient seit mindestens beim IR 13Reserve Division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Als auf Anhero Marsch von Galizien unwissend verloren</t>
        </r>
        <r>
          <rPr>
            <sz val="14"/>
            <color rgb="FF000000"/>
            <rFont val="Times New Roman"/>
            <family val="18"/>
          </rPr>
          <t xml:space="preserve"> [ST Oct 1801 &amp; ML 1802]</t>
        </r>
      </text>
    </comment>
    <comment ref="BH804" authorId="0" shapeId="0" xr:uid="{03C3B73B-E0E1-6E47-9EB6-5FC401D5A2A0}">
      <text>
        <r>
          <rPr>
            <sz val="14"/>
            <color rgb="FF000000"/>
            <rFont val="Calibri"/>
            <family val="34"/>
          </rPr>
          <t>IR 13 (1801)</t>
        </r>
      </text>
    </comment>
    <comment ref="BF805" authorId="0" shapeId="0" xr:uid="{407B77E7-40D6-504C-9D08-C35511C85F0D}">
      <text>
        <r>
          <rPr>
            <sz val="14"/>
            <color rgb="FF000000"/>
            <rFont val="Times New Roman"/>
            <family val="18"/>
          </rPr>
          <t xml:space="preserve">10/06/1801 </t>
        </r>
        <r>
          <rPr>
            <i/>
            <sz val="14"/>
            <color rgb="FF000000"/>
            <rFont val="Times New Roman"/>
            <family val="18"/>
          </rPr>
          <t xml:space="preserve">Dient seit mindestens beim IR 13 Haupt Braunitzer Komp.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30/09/1801 </t>
        </r>
        <r>
          <rPr>
            <i/>
            <sz val="14"/>
            <color rgb="FF000000"/>
            <rFont val="Times New Roman"/>
            <family val="18"/>
          </rPr>
          <t>Zufolge hohe Verordnung des Inner- und Ober österreichische Militär Commando 16/09/1801 gegen Renuncierung alle Militär Benefizien als Reale Invalid mit Abschied entlassen</t>
        </r>
        <r>
          <rPr>
            <sz val="14"/>
            <color rgb="FF000000"/>
            <rFont val="Times New Roman"/>
            <family val="18"/>
          </rPr>
          <t xml:space="preserve"> [ML 1802]</t>
        </r>
        <r>
          <rPr>
            <sz val="14"/>
            <color rgb="FF000000"/>
            <rFont val="Times New Roman"/>
            <family val="18"/>
          </rPr>
          <t xml:space="preserve">
</t>
        </r>
      </text>
    </comment>
    <comment ref="BG805" authorId="0" shapeId="0" xr:uid="{D4917D29-0CE9-0C49-9968-1EA18012D969}">
      <text>
        <r>
          <rPr>
            <sz val="14"/>
            <color rgb="FF000000"/>
            <rFont val="Times New Roman"/>
            <family val="18"/>
          </rPr>
          <t>ML 10.045/6 IR 13 (1802) – Haupt Braunitzer Komp. Abgang (Triest 16/09/1802)</t>
        </r>
      </text>
    </comment>
    <comment ref="BH805" authorId="0" shapeId="0" xr:uid="{B0BED2D8-F364-B548-B516-55B993758C46}">
      <text>
        <r>
          <rPr>
            <sz val="14"/>
            <color rgb="FF000000"/>
            <rFont val="Calibri"/>
            <family val="34"/>
          </rPr>
          <t>IR 13 (1801)</t>
        </r>
      </text>
    </comment>
    <comment ref="BF806" authorId="0" shapeId="0" xr:uid="{8F5BD380-910D-FA48-9BCC-60577B746D07}">
      <text>
        <r>
          <rPr>
            <sz val="14"/>
            <color rgb="FF000000"/>
            <rFont val="Times New Roman"/>
            <family val="18"/>
          </rPr>
          <t xml:space="preserve">10/06/1801 </t>
        </r>
        <r>
          <rPr>
            <i/>
            <sz val="14"/>
            <color rgb="FF000000"/>
            <rFont val="Times New Roman"/>
            <family val="18"/>
          </rPr>
          <t>Dient seit mindestens bei IR 13 1. Major Komp.</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31/07/1801 </t>
        </r>
        <r>
          <rPr>
            <i/>
            <sz val="14"/>
            <color rgb="FF000000"/>
            <rFont val="Times New Roman"/>
            <family val="18"/>
          </rPr>
          <t>In Pettauer Invaliden Haus als Reale Invalid zur Versorgung</t>
        </r>
        <r>
          <rPr>
            <sz val="14"/>
            <color rgb="FF000000"/>
            <rFont val="Times New Roman"/>
            <family val="18"/>
          </rPr>
          <t xml:space="preserve"> [ML 1802]</t>
        </r>
        <r>
          <rPr>
            <sz val="14"/>
            <color rgb="FF000000"/>
            <rFont val="Times New Roman"/>
            <family val="18"/>
          </rPr>
          <t xml:space="preserve">
</t>
        </r>
      </text>
    </comment>
    <comment ref="BG806" authorId="0" shapeId="0" xr:uid="{C8D0DBAB-CFC1-1A41-BA73-8642221F305B}">
      <text>
        <r>
          <rPr>
            <sz val="14"/>
            <color rgb="FF000000"/>
            <rFont val="Times New Roman"/>
            <family val="18"/>
          </rPr>
          <t>ML 10.045/6 IR 13 (1802) – 1. Major Komp.  Komp. Abgang (Görz 22/09/1802)</t>
        </r>
      </text>
    </comment>
    <comment ref="BH806" authorId="0" shapeId="0" xr:uid="{141DF643-F21B-284D-9CC8-C9D3249376A8}">
      <text>
        <r>
          <rPr>
            <sz val="14"/>
            <color rgb="FF000000"/>
            <rFont val="Calibri"/>
            <family val="34"/>
          </rPr>
          <t xml:space="preserve">IR 13 (1801)
</t>
        </r>
        <r>
          <rPr>
            <sz val="14"/>
            <color rgb="FF000000"/>
            <rFont val="Calibri"/>
            <family val="34"/>
          </rPr>
          <t>InvH Pettau (1801)</t>
        </r>
      </text>
    </comment>
    <comment ref="BF807" authorId="0" shapeId="0" xr:uid="{029F2907-D800-8E49-8A4C-E55A0EAAAE13}">
      <text>
        <r>
          <rPr>
            <sz val="14"/>
            <color rgb="FF000000"/>
            <rFont val="Times New Roman"/>
            <family val="18"/>
          </rPr>
          <t xml:space="preserve">10/06/1801 </t>
        </r>
        <r>
          <rPr>
            <i/>
            <sz val="14"/>
            <color rgb="FF000000"/>
            <rFont val="Times New Roman"/>
            <family val="18"/>
          </rPr>
          <t xml:space="preserve">Dient seit mindestens beim IR 13 Haupt Dombasle Komp.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31/10/1801 </t>
        </r>
        <r>
          <rPr>
            <i/>
            <sz val="14"/>
            <color rgb="FF000000"/>
            <rFont val="Times New Roman"/>
            <family val="18"/>
          </rPr>
          <t>In auswärtigen Spitalern unwissend verloren</t>
        </r>
        <r>
          <rPr>
            <sz val="14"/>
            <color rgb="FF000000"/>
            <rFont val="Times New Roman"/>
            <family val="18"/>
          </rPr>
          <t xml:space="preserve"> [ML 1802]</t>
        </r>
        <r>
          <rPr>
            <sz val="14"/>
            <color rgb="FF000000"/>
            <rFont val="Times New Roman"/>
            <family val="18"/>
          </rPr>
          <t xml:space="preserve">
</t>
        </r>
      </text>
    </comment>
    <comment ref="BG807" authorId="0" shapeId="0" xr:uid="{A71D406C-C1A8-3445-A4D8-6BEC7AE91393}">
      <text>
        <r>
          <rPr>
            <sz val="14"/>
            <color rgb="FF000000"/>
            <rFont val="Times New Roman"/>
            <family val="18"/>
          </rPr>
          <t xml:space="preserve">ML 10.045/6 IR 13 (1802) </t>
        </r>
        <r>
          <rPr>
            <sz val="14"/>
            <color rgb="FF000000"/>
            <rFont val="Times New Roman"/>
            <family val="18"/>
          </rPr>
          <t>–</t>
        </r>
        <r>
          <rPr>
            <sz val="14"/>
            <color rgb="FF000000"/>
            <rFont val="Times New Roman"/>
            <family val="18"/>
          </rPr>
          <t xml:space="preserve"> ML Haupt Dombasle Abgang (Görz 22/09/1802)</t>
        </r>
      </text>
    </comment>
    <comment ref="BH807" authorId="0" shapeId="0" xr:uid="{EE5EDC7E-FAC1-8D44-AB19-19D2F5F179F7}">
      <text>
        <r>
          <rPr>
            <sz val="14"/>
            <color rgb="FF000000"/>
            <rFont val="Calibri"/>
            <family val="34"/>
          </rPr>
          <t>IR 13 (1801)</t>
        </r>
      </text>
    </comment>
    <comment ref="BF808" authorId="0" shapeId="0" xr:uid="{E2E48C71-B83A-064D-A317-491B812ED7BE}">
      <text>
        <r>
          <rPr>
            <sz val="14"/>
            <color rgb="FF000000"/>
            <rFont val="Times New Roman"/>
            <family val="18"/>
          </rPr>
          <t xml:space="preserve">10/06/1801 </t>
        </r>
        <r>
          <rPr>
            <i/>
            <sz val="14"/>
            <color rgb="FF000000"/>
            <rFont val="Times New Roman"/>
            <family val="18"/>
          </rPr>
          <t xml:space="preserve">Dient seit mindestens beim IR 13 Haupt Beck Komp.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30/09/1801 </t>
        </r>
        <r>
          <rPr>
            <i/>
            <sz val="14"/>
            <color rgb="FF000000"/>
            <rFont val="Times New Roman"/>
            <family val="18"/>
          </rPr>
          <t>Vermog Verordnung von 16. Dicti gegen Renoncieren alle Militär Benefizien als Reale Invalid mit Abschied entlassen</t>
        </r>
        <r>
          <rPr>
            <sz val="14"/>
            <color rgb="FF000000"/>
            <rFont val="Times New Roman"/>
            <family val="18"/>
          </rPr>
          <t xml:space="preserve"> [ML 1802]</t>
        </r>
        <r>
          <rPr>
            <sz val="14"/>
            <color rgb="FF000000"/>
            <rFont val="Times New Roman"/>
            <family val="18"/>
          </rPr>
          <t xml:space="preserve">
</t>
        </r>
      </text>
    </comment>
    <comment ref="BG808" authorId="0" shapeId="0" xr:uid="{AECA8407-D775-2B42-A556-BB6191829428}">
      <text>
        <r>
          <rPr>
            <sz val="14"/>
            <color rgb="FF000000"/>
            <rFont val="Times New Roman"/>
            <family val="18"/>
          </rPr>
          <t>ML 10.045/6 IR 13 (1802) – Haupt Beck Komp Abgang (Triest 16/09/1802)</t>
        </r>
      </text>
    </comment>
    <comment ref="BH808" authorId="0" shapeId="0" xr:uid="{5FA2DA6D-A1E3-CF4B-8CAA-36C2C49B3411}">
      <text>
        <r>
          <rPr>
            <sz val="14"/>
            <color rgb="FF000000"/>
            <rFont val="Calibri"/>
            <family val="34"/>
          </rPr>
          <t>IR 13 (1801)</t>
        </r>
      </text>
    </comment>
    <comment ref="BF809" authorId="0" shapeId="0" xr:uid="{A5403E05-D6EC-DB46-8442-C3E8B4754930}">
      <text>
        <r>
          <rPr>
            <sz val="14"/>
            <color rgb="FF000000"/>
            <rFont val="Times New Roman"/>
            <family val="18"/>
          </rPr>
          <t xml:space="preserve">10/06/1801 </t>
        </r>
        <r>
          <rPr>
            <i/>
            <sz val="14"/>
            <color rgb="FF000000"/>
            <rFont val="Times New Roman"/>
            <family val="18"/>
          </rPr>
          <t xml:space="preserve">Dient seit mindestens beim IR 13 Haupt Tuzzi Komp.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22/08/1802 </t>
        </r>
        <r>
          <rPr>
            <i/>
            <sz val="14"/>
            <color rgb="FF000000"/>
            <rFont val="Times New Roman"/>
            <family val="18"/>
          </rPr>
          <t xml:space="preserve">Statt der gestellten Wasil Subiki als Steuerbare Grundbesitzer mit Abschied entlassen </t>
        </r>
        <r>
          <rPr>
            <sz val="14"/>
            <color rgb="FF000000"/>
            <rFont val="Times New Roman"/>
            <family val="18"/>
          </rPr>
          <t>[ML 1802]</t>
        </r>
        <r>
          <rPr>
            <sz val="14"/>
            <color rgb="FF000000"/>
            <rFont val="Times New Roman"/>
            <family val="18"/>
          </rPr>
          <t xml:space="preserve">
</t>
        </r>
      </text>
    </comment>
    <comment ref="BG809" authorId="0" shapeId="0" xr:uid="{E38E857A-A491-4B4B-AB04-3582DB0BA21F}">
      <text>
        <r>
          <rPr>
            <sz val="14"/>
            <color rgb="FF000000"/>
            <rFont val="Times New Roman"/>
            <family val="18"/>
          </rPr>
          <t>10.045/6 IR 13 (1802) – Haupt Tuzzi Komp. Abgang (Görz 22/09/1802)</t>
        </r>
      </text>
    </comment>
    <comment ref="BH809" authorId="0" shapeId="0" xr:uid="{D178B205-6736-B349-AAF8-01E0F98E9121}">
      <text>
        <r>
          <rPr>
            <sz val="14"/>
            <color rgb="FF000000"/>
            <rFont val="Calibri"/>
            <family val="34"/>
          </rPr>
          <t>IR 13 (1801-1802)</t>
        </r>
      </text>
    </comment>
    <comment ref="BF810" authorId="0" shapeId="0" xr:uid="{A3AB38BD-210A-BF4D-A4FE-7C512C016A57}">
      <text>
        <r>
          <rPr>
            <sz val="14"/>
            <color rgb="FF000000"/>
            <rFont val="Times New Roman"/>
            <family val="18"/>
          </rPr>
          <t xml:space="preserve">12/06/1801 </t>
        </r>
        <r>
          <rPr>
            <i/>
            <sz val="14"/>
            <color rgb="FF000000"/>
            <rFont val="Times New Roman"/>
            <family val="18"/>
          </rPr>
          <t xml:space="preserve">Dient seit mindestens beim IR 13Reserve Division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31/07/1801 </t>
        </r>
        <r>
          <rPr>
            <i/>
            <sz val="14"/>
            <color rgb="FF000000"/>
            <rFont val="Times New Roman"/>
            <family val="18"/>
          </rPr>
          <t>Zu folge in und ober österreichische Militär Kommando 15/07 mit ende huji gegen Renuncierung aller Militär Benefizien mit Abschied entlassen</t>
        </r>
        <r>
          <rPr>
            <sz val="14"/>
            <color rgb="FF000000"/>
            <rFont val="Times New Roman"/>
            <family val="18"/>
          </rPr>
          <t xml:space="preserve"> [ML 1802]</t>
        </r>
        <r>
          <rPr>
            <sz val="14"/>
            <color rgb="FF000000"/>
            <rFont val="Times New Roman"/>
            <family val="18"/>
          </rPr>
          <t xml:space="preserve">
</t>
        </r>
      </text>
    </comment>
    <comment ref="BG810" authorId="0" shapeId="0" xr:uid="{24A08BC1-97C8-1542-AE8C-7C911C3E1315}">
      <text>
        <r>
          <rPr>
            <sz val="14"/>
            <color rgb="FF000000"/>
            <rFont val="Times New Roman"/>
            <family val="18"/>
          </rPr>
          <t xml:space="preserve">ML 10.045/6 IR 13 (1802) </t>
        </r>
        <r>
          <rPr>
            <sz val="14"/>
            <color rgb="FF000000"/>
            <rFont val="Times New Roman"/>
            <family val="18"/>
          </rPr>
          <t>–</t>
        </r>
        <r>
          <rPr>
            <sz val="14"/>
            <color rgb="FF000000"/>
            <rFont val="Times New Roman"/>
            <family val="18"/>
          </rPr>
          <t xml:space="preserve"> ML Haupt Niederreither Abgang (Capo D’Istria 19/09/1802)</t>
        </r>
        <r>
          <rPr>
            <sz val="14"/>
            <color rgb="FF000000"/>
            <rFont val="Times New Roman"/>
            <family val="18"/>
          </rPr>
          <t xml:space="preserve">
</t>
        </r>
      </text>
    </comment>
    <comment ref="BH810" authorId="0" shapeId="0" xr:uid="{919DBEC8-E093-7C42-9746-F9CAB36E7F6D}">
      <text>
        <r>
          <rPr>
            <sz val="14"/>
            <color rgb="FF000000"/>
            <rFont val="Calibri"/>
            <family val="34"/>
          </rPr>
          <t>IR 13 (1801)</t>
        </r>
      </text>
    </comment>
    <comment ref="BF811" authorId="0" shapeId="0" xr:uid="{5C101CFF-8F74-1C4A-9761-B148174675F6}">
      <text>
        <r>
          <rPr>
            <sz val="14"/>
            <color rgb="FF000000"/>
            <rFont val="Times New Roman"/>
            <family val="18"/>
          </rPr>
          <t xml:space="preserve">13/06/1801 </t>
        </r>
        <r>
          <rPr>
            <i/>
            <sz val="14"/>
            <color rgb="FF000000"/>
            <rFont val="Times New Roman"/>
            <family val="18"/>
          </rPr>
          <t xml:space="preserve">Dient seit mindestens beim IR 13 Haupt Ullmer Komp. </t>
        </r>
        <r>
          <rPr>
            <sz val="14"/>
            <color rgb="FF000000"/>
            <rFont val="Times New Roman"/>
            <family val="18"/>
          </rPr>
          <t>[ML 1802]</t>
        </r>
        <r>
          <rPr>
            <sz val="14"/>
            <color rgb="FF000000"/>
            <rFont val="Times New Roman"/>
            <family val="18"/>
          </rPr>
          <t xml:space="preserve">
</t>
        </r>
        <r>
          <rPr>
            <sz val="14"/>
            <color rgb="FF000000"/>
            <rFont val="Times New Roman"/>
            <family val="18"/>
          </rPr>
          <t xml:space="preserve">31/07/1801 </t>
        </r>
        <r>
          <rPr>
            <i/>
            <sz val="14"/>
            <color rgb="FF000000"/>
            <rFont val="Times New Roman"/>
            <family val="18"/>
          </rPr>
          <t>Zu folge hohen Inner- und Ober Osterreiche General Commando Verordnung det. Graz 01/07/1801 als Reale Invalid gegen Renucierung mit Abschied entlassen</t>
        </r>
        <r>
          <rPr>
            <sz val="14"/>
            <color rgb="FF000000"/>
            <rFont val="Times New Roman"/>
            <family val="18"/>
          </rPr>
          <t xml:space="preserve"> [ML 1802]</t>
        </r>
        <r>
          <rPr>
            <sz val="14"/>
            <color rgb="FF000000"/>
            <rFont val="Times New Roman"/>
            <family val="18"/>
          </rPr>
          <t xml:space="preserve">
</t>
        </r>
      </text>
    </comment>
    <comment ref="BG811" authorId="0" shapeId="0" xr:uid="{D916C61A-5285-F449-A936-C8F08EAA87BD}">
      <text>
        <r>
          <rPr>
            <sz val="14"/>
            <color rgb="FF000000"/>
            <rFont val="Times New Roman"/>
            <family val="18"/>
          </rPr>
          <t>ML 10.045/6 IR 13 (1802) – Haupt Ullmer Komp. Abgang (Capo D‘Istria 18/09/1802)</t>
        </r>
      </text>
    </comment>
    <comment ref="BH811" authorId="0" shapeId="0" xr:uid="{6613BD55-5669-DB45-B2E0-948817EB2720}">
      <text>
        <r>
          <rPr>
            <sz val="14"/>
            <color rgb="FF000000"/>
            <rFont val="Calibri"/>
            <family val="34"/>
          </rPr>
          <t>IR 13 (1801)</t>
        </r>
      </text>
    </comment>
    <comment ref="BF812" authorId="0" shapeId="0" xr:uid="{F4730109-B886-7947-8D19-B69A0724AEB0}">
      <text>
        <r>
          <rPr>
            <sz val="14"/>
            <color rgb="FF000000"/>
            <rFont val="Times New Roman"/>
            <family val="18"/>
          </rPr>
          <t xml:space="preserve">28/07/1801 </t>
        </r>
        <r>
          <rPr>
            <i/>
            <sz val="14"/>
            <color rgb="FF000000"/>
            <rFont val="Times New Roman"/>
            <family val="18"/>
          </rPr>
          <t>Zu Sandomierz von Ständen a 3Fl gestellt und seitdem auf anhero Marsch mit Friedensgebühr</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812" authorId="0" shapeId="0" xr:uid="{FDC6671C-9D3D-9549-A25D-8CB726D5DCAA}">
      <text>
        <r>
          <rPr>
            <sz val="14"/>
            <color rgb="FF000000"/>
            <rFont val="Times New Roman"/>
            <family val="18"/>
          </rPr>
          <t xml:space="preserve">ML 10.311 IR 43 (1801) – ST Juli (08/07/1805), Oct (21/07/1805)
</t>
        </r>
        <r>
          <rPr>
            <sz val="14"/>
            <color rgb="FF000000"/>
            <rFont val="Times New Roman"/>
            <family val="18"/>
          </rPr>
          <t xml:space="preserve">
</t>
        </r>
      </text>
    </comment>
    <comment ref="BH812" authorId="0" shapeId="0" xr:uid="{4D3D800C-AE84-5A4E-9C56-76FFA5EC30BF}">
      <text>
        <r>
          <rPr>
            <sz val="14"/>
            <color rgb="FF000000"/>
            <rFont val="Calibri"/>
            <family val="34"/>
          </rPr>
          <t>IR 43 (1801)</t>
        </r>
      </text>
    </comment>
    <comment ref="BF813" authorId="0" shapeId="0" xr:uid="{4B07BA6B-99A0-7143-8B3E-C4D9FA7EC86A}">
      <text>
        <r>
          <rPr>
            <sz val="14"/>
            <color rgb="FF000000"/>
            <rFont val="Times New Roman"/>
            <family val="18"/>
          </rPr>
          <t xml:space="preserve">06/09/1801 </t>
        </r>
        <r>
          <rPr>
            <i/>
            <sz val="14"/>
            <color rgb="FF000000"/>
            <rFont val="Times New Roman"/>
            <family val="18"/>
          </rPr>
          <t>Von Dominien gestellt und zur Kolin in Loco in IR 11 assentiert und zur Haupt Stecher Komp. eingeteilt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17/09/1802 Muster: IR 11 Haupt Kraus Komp. Nr. 158</t>
        </r>
        <r>
          <rPr>
            <sz val="14"/>
            <color rgb="FF000000"/>
            <rFont val="Times New Roman"/>
            <family val="18"/>
          </rPr>
          <t xml:space="preserve">
</t>
        </r>
        <r>
          <rPr>
            <sz val="14"/>
            <color rgb="FF000000"/>
            <rFont val="Times New Roman"/>
            <family val="18"/>
          </rPr>
          <t>25/08/1804 Muster: IR 11 Haupt Kraus Komp. Nr. 134</t>
        </r>
        <r>
          <rPr>
            <sz val="14"/>
            <color rgb="FF000000"/>
            <rFont val="Times New Roman"/>
            <family val="18"/>
          </rPr>
          <t xml:space="preserve">
</t>
        </r>
        <r>
          <rPr>
            <sz val="14"/>
            <color rgb="FF000000"/>
            <rFont val="Times New Roman"/>
            <family val="18"/>
          </rPr>
          <t xml:space="preserve">20/10/1804 </t>
        </r>
        <r>
          <rPr>
            <i/>
            <sz val="14"/>
            <color rgb="FF000000"/>
            <rFont val="Times New Roman"/>
            <family val="18"/>
          </rPr>
          <t>Gegen Stellung 2 Ausländer Capitulanten mit Abschied entlassen</t>
        </r>
        <r>
          <rPr>
            <sz val="14"/>
            <color rgb="FF000000"/>
            <rFont val="Times New Roman"/>
            <family val="18"/>
          </rPr>
          <t xml:space="preserve"> [ML 1806]</t>
        </r>
        <r>
          <rPr>
            <sz val="14"/>
            <color rgb="FF000000"/>
            <rFont val="Times New Roman"/>
            <family val="18"/>
          </rPr>
          <t xml:space="preserve">
</t>
        </r>
      </text>
    </comment>
    <comment ref="BG813" authorId="0" shapeId="0" xr:uid="{B18E5F57-6A31-1F40-A88B-371D3040E78E}">
      <text>
        <r>
          <rPr>
            <sz val="14"/>
            <color rgb="FF000000"/>
            <rFont val="Times New Roman"/>
            <family val="18"/>
          </rPr>
          <t>ML 804/5 IR 11 (1802) – Haupt Sebnitz Komp. Nr. 158 (Wisotczan 17/09/1802)</t>
        </r>
        <r>
          <rPr>
            <sz val="14"/>
            <color rgb="FF000000"/>
            <rFont val="Times New Roman"/>
            <family val="18"/>
          </rPr>
          <t xml:space="preserve">
</t>
        </r>
        <r>
          <rPr>
            <sz val="14"/>
            <color rgb="FF000000"/>
            <rFont val="Times New Roman"/>
            <family val="18"/>
          </rPr>
          <t>ML 806 IR 11 (1804) – Haupt Kraus Komp. Nr. 134 (Prague 25/08/1804</t>
        </r>
        <r>
          <rPr>
            <sz val="14"/>
            <color rgb="FF000000"/>
            <rFont val="Times New Roman"/>
            <family val="18"/>
          </rPr>
          <t xml:space="preserve">
</t>
        </r>
        <r>
          <rPr>
            <sz val="14"/>
            <color rgb="FF000000"/>
            <rFont val="Times New Roman"/>
            <family val="18"/>
          </rPr>
          <t>ML 807/8 IR 11 (1806) – 2. Fus. Komp. Komp. Abgang (Prague 23/12/1806)</t>
        </r>
        <r>
          <rPr>
            <sz val="14"/>
            <color rgb="FF000000"/>
            <rFont val="Times New Roman"/>
            <family val="18"/>
          </rPr>
          <t xml:space="preserve">
</t>
        </r>
        <r>
          <rPr>
            <sz val="14"/>
            <color rgb="FF000000"/>
            <rFont val="Times New Roman"/>
            <family val="18"/>
          </rPr>
          <t xml:space="preserve">
</t>
        </r>
      </text>
    </comment>
    <comment ref="BH813" authorId="0" shapeId="0" xr:uid="{D198BAF1-93D6-B742-965E-BDFAD0FFB20A}">
      <text>
        <r>
          <rPr>
            <sz val="14"/>
            <color rgb="FF000000"/>
            <rFont val="Calibri"/>
            <family val="34"/>
          </rPr>
          <t>IR 11 (1801-1804)</t>
        </r>
      </text>
    </comment>
    <comment ref="BF814" authorId="0" shapeId="0" xr:uid="{85B07FD8-92A3-0E4F-B44D-420253A6FDAD}">
      <text>
        <r>
          <rPr>
            <sz val="14"/>
            <color rgb="FF000000"/>
            <rFont val="Times New Roman"/>
            <family val="18"/>
          </rPr>
          <t xml:space="preserve">17/09/1801 </t>
        </r>
        <r>
          <rPr>
            <i/>
            <sz val="14"/>
            <color rgb="FF000000"/>
            <rFont val="Times New Roman"/>
            <family val="18"/>
          </rPr>
          <t>Von Vacant Olivier Wallis Nr. 29 Regt</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 xml:space="preserve">transferiert und zum Haupt Weigang Komp. engeteilt </t>
        </r>
        <r>
          <rPr>
            <sz val="14"/>
            <color rgb="FF000000"/>
            <rFont val="Times New Roman"/>
            <family val="18"/>
          </rPr>
          <t xml:space="preserve"> [ML 1802]
</t>
        </r>
        <r>
          <rPr>
            <sz val="14"/>
            <color rgb="FF000000"/>
            <rFont val="Times New Roman"/>
            <family val="18"/>
          </rPr>
          <t xml:space="preserve">25/11/1801 </t>
        </r>
        <r>
          <rPr>
            <i/>
            <sz val="14"/>
            <color rgb="FF000000"/>
            <rFont val="Times New Roman"/>
            <family val="18"/>
          </rPr>
          <t>Als Reale Invalide zum Prager Invalidenaus zu Versorgung</t>
        </r>
        <r>
          <rPr>
            <sz val="14"/>
            <color rgb="FF000000"/>
            <rFont val="Times New Roman"/>
            <family val="18"/>
          </rPr>
          <t xml:space="preserve"> [ML 1802]
</t>
        </r>
      </text>
    </comment>
    <comment ref="BG814" authorId="0" shapeId="0" xr:uid="{C87A474E-BD8E-BA4A-889A-A76683220925}">
      <text>
        <r>
          <rPr>
            <sz val="14"/>
            <color rgb="FF000000"/>
            <rFont val="Times New Roman"/>
            <family val="18"/>
          </rPr>
          <t>ML 804/5 IR 11 (1802) – Haupt Weigang Komp. Abgang (Prague 16/09/1802)</t>
        </r>
        <r>
          <rPr>
            <sz val="14"/>
            <color rgb="FF000000"/>
            <rFont val="Times New Roman"/>
            <family val="18"/>
          </rPr>
          <t xml:space="preserve">
</t>
        </r>
      </text>
    </comment>
    <comment ref="BH814" authorId="0" shapeId="0" xr:uid="{53D33C97-B61B-D84E-AD57-A0C0CB6EB48B}">
      <text>
        <r>
          <rPr>
            <sz val="14"/>
            <color rgb="FF000000"/>
            <rFont val="Calibri"/>
            <family val="34"/>
          </rPr>
          <t xml:space="preserve">IR 29  (1801)
</t>
        </r>
        <r>
          <rPr>
            <sz val="14"/>
            <color rgb="FF000000"/>
            <rFont val="Calibri"/>
            <family val="34"/>
          </rPr>
          <t xml:space="preserve">IR 11 (1801)
</t>
        </r>
        <r>
          <rPr>
            <sz val="14"/>
            <color rgb="FF000000"/>
            <rFont val="Calibri"/>
            <family val="34"/>
          </rPr>
          <t>InvH Prag (1801)</t>
        </r>
      </text>
    </comment>
    <comment ref="T815" authorId="0" shapeId="0" xr:uid="{64F2611E-1B50-FF46-9A1A-4FA6B45E8A57}">
      <text>
        <r>
          <rPr>
            <sz val="14"/>
            <color rgb="FF000000"/>
            <rFont val="Calibri"/>
            <family val="34"/>
          </rPr>
          <t xml:space="preserve">163.37 (1806/11)
</t>
        </r>
        <r>
          <rPr>
            <sz val="14"/>
            <color rgb="FF000000"/>
            <rFont val="Calibri"/>
            <family val="34"/>
          </rPr>
          <t>165.89 [5.3 (1818/20)]</t>
        </r>
      </text>
    </comment>
    <comment ref="BF815" authorId="0" shapeId="0" xr:uid="{37F2C9C7-0CAE-524E-909C-4F5436A7241C}">
      <text>
        <r>
          <rPr>
            <sz val="14"/>
            <color rgb="FF000000"/>
            <rFont val="Times New Roman"/>
            <family val="18"/>
          </rPr>
          <t xml:space="preserve">26/11/1801 </t>
        </r>
        <r>
          <rPr>
            <i/>
            <sz val="14"/>
            <color rgb="FF000000"/>
            <rFont val="Times New Roman"/>
            <family val="18"/>
          </rPr>
          <t>Zu Höxter auf 10 Jahr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21/07/1802 </t>
        </r>
        <r>
          <rPr>
            <i/>
            <sz val="14"/>
            <color rgb="FF000000"/>
            <rFont val="Times New Roman"/>
            <family val="18"/>
          </rPr>
          <t xml:space="preserve">Von Strassoldo Infantrie Nro 27 am IR 44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01/09/1805 </t>
        </r>
        <r>
          <rPr>
            <i/>
            <sz val="14"/>
            <color rgb="FF000000"/>
            <rFont val="Times New Roman"/>
            <family val="18"/>
          </rPr>
          <t xml:space="preserve">Von Gemeiner zum Corporal avanciert </t>
        </r>
        <r>
          <rPr>
            <sz val="14"/>
            <color rgb="FF000000"/>
            <rFont val="Times New Roman"/>
            <family val="18"/>
          </rPr>
          <t>[ML 1806]</t>
        </r>
        <r>
          <rPr>
            <sz val="14"/>
            <color rgb="FF000000"/>
            <rFont val="Calibri"/>
            <family val="34"/>
          </rPr>
          <t xml:space="preserve">
</t>
        </r>
        <r>
          <rPr>
            <sz val="14"/>
            <color rgb="FF000000"/>
            <rFont val="Times New Roman"/>
            <family val="18"/>
          </rPr>
          <t>10/12/1806 Muster: IR 44 Haupt Trivulzi Komp. Nr. 15</t>
        </r>
        <r>
          <rPr>
            <sz val="14"/>
            <color rgb="FF000000"/>
            <rFont val="Calibri"/>
            <family val="34"/>
          </rPr>
          <t xml:space="preserve">
</t>
        </r>
        <r>
          <rPr>
            <sz val="14"/>
            <color rgb="FF000000"/>
            <rFont val="Times New Roman"/>
            <family val="18"/>
          </rPr>
          <t>18/09/1811 Muster: IR 44 2, Fus. Komp. Nr. 18</t>
        </r>
        <r>
          <rPr>
            <sz val="14"/>
            <color rgb="FF000000"/>
            <rFont val="Calibri"/>
            <family val="34"/>
          </rPr>
          <t xml:space="preserve">
</t>
        </r>
        <r>
          <rPr>
            <sz val="14"/>
            <color rgb="FF000000"/>
            <rFont val="Times New Roman"/>
            <family val="18"/>
          </rPr>
          <t xml:space="preserve">08/04/1813 </t>
        </r>
        <r>
          <rPr>
            <i/>
            <sz val="14"/>
            <color rgb="FF000000"/>
            <rFont val="Times New Roman"/>
            <family val="18"/>
          </rPr>
          <t>Gegen 32 Fl auf fernere 6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20/11/1817 </t>
        </r>
        <r>
          <rPr>
            <i/>
            <sz val="14"/>
            <color rgb="FF000000"/>
            <rFont val="Times New Roman"/>
            <family val="18"/>
          </rPr>
          <t>Gegen 32 Fl auf Fernere 6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15. Fus. Komp. Nr. 7</t>
        </r>
        <r>
          <rPr>
            <sz val="14"/>
            <color rgb="FF000000"/>
            <rFont val="Calibri"/>
            <family val="34"/>
          </rPr>
          <t xml:space="preserve">
</t>
        </r>
        <r>
          <rPr>
            <sz val="14"/>
            <color rgb="FF000000"/>
            <rFont val="Times New Roman"/>
            <family val="18"/>
          </rPr>
          <t>24/10/1818 Muster: IR 44 15. Fus. Komp. Nr. 7</t>
        </r>
        <r>
          <rPr>
            <sz val="14"/>
            <color rgb="FF000000"/>
            <rFont val="Calibri"/>
            <family val="34"/>
          </rPr>
          <t xml:space="preserve">
</t>
        </r>
        <r>
          <rPr>
            <sz val="14"/>
            <color rgb="FF000000"/>
            <rFont val="Times New Roman"/>
            <family val="18"/>
          </rPr>
          <t>18/10/1819 Muster: IR 44 15. Fus. Komp. Nr. 6 [</t>
        </r>
        <r>
          <rPr>
            <i/>
            <sz val="14"/>
            <color rgb="FF000000"/>
            <rFont val="Times New Roman"/>
            <family val="18"/>
          </rPr>
          <t>Wache &amp; Halb Invalid</t>
        </r>
        <r>
          <rPr>
            <sz val="14"/>
            <color rgb="FF000000"/>
            <rFont val="Times New Roman"/>
            <family val="18"/>
          </rPr>
          <t>]</t>
        </r>
        <r>
          <rPr>
            <sz val="14"/>
            <color rgb="FF000000"/>
            <rFont val="Calibri"/>
            <family val="34"/>
          </rPr>
          <t xml:space="preserve">
</t>
        </r>
        <r>
          <rPr>
            <sz val="14"/>
            <color rgb="FF000000"/>
            <rFont val="Times New Roman"/>
            <family val="18"/>
          </rPr>
          <t>27/09/1820 Muster: IR 44 15. Fus. Komp. Nr. 6 [</t>
        </r>
        <r>
          <rPr>
            <i/>
            <sz val="14"/>
            <color rgb="FF000000"/>
            <rFont val="Times New Roman"/>
            <family val="18"/>
          </rPr>
          <t>Halb Invalid</t>
        </r>
        <r>
          <rPr>
            <sz val="14"/>
            <color rgb="FF000000"/>
            <rFont val="Times New Roman"/>
            <family val="18"/>
          </rPr>
          <t>]</t>
        </r>
        <r>
          <rPr>
            <sz val="14"/>
            <color rgb="FF000000"/>
            <rFont val="Calibri"/>
            <family val="34"/>
          </rPr>
          <t xml:space="preserve">
</t>
        </r>
      </text>
    </comment>
    <comment ref="BG815" authorId="0" shapeId="0" xr:uid="{BEA133FF-4C31-1D48-BE0B-6F053F4A280E}">
      <text>
        <r>
          <rPr>
            <sz val="14"/>
            <color rgb="FF000000"/>
            <rFont val="Times New Roman"/>
            <family val="18"/>
          </rPr>
          <t>ML 3910 IR 44 (1806) – Haupt Trivulzi Komp. Nr. 15 (Fiume 10/12/1806)</t>
        </r>
        <r>
          <rPr>
            <sz val="14"/>
            <color rgb="FF000000"/>
            <rFont val="Calibri"/>
            <family val="34"/>
          </rPr>
          <t xml:space="preserve">
</t>
        </r>
        <r>
          <rPr>
            <sz val="14"/>
            <color rgb="FF000000"/>
            <rFont val="Times New Roman"/>
            <family val="18"/>
          </rPr>
          <t>ML 3912/3 IR 44 (1811) – 2. Fus. Komp. Nr. 18 (Pappa 18/09/1811)</t>
        </r>
        <r>
          <rPr>
            <sz val="14"/>
            <color rgb="FF000000"/>
            <rFont val="Calibri"/>
            <family val="34"/>
          </rPr>
          <t xml:space="preserve">
</t>
        </r>
        <r>
          <rPr>
            <sz val="14"/>
            <color rgb="FF000000"/>
            <rFont val="Times New Roman"/>
            <family val="18"/>
          </rPr>
          <t>ML 3915/6 IR 44 (1818) – 15. Fus. Komp. Nr. 7 (Pavia 05/01/1818); 15. Fus. Komp. Nr. 7 (Pavia 24/10/1818)</t>
        </r>
        <r>
          <rPr>
            <sz val="14"/>
            <color rgb="FF000000"/>
            <rFont val="Calibri"/>
            <family val="34"/>
          </rPr>
          <t xml:space="preserve">
</t>
        </r>
        <r>
          <rPr>
            <sz val="14"/>
            <color rgb="FF000000"/>
            <rFont val="Times New Roman"/>
            <family val="18"/>
          </rPr>
          <t>ML 3918/9 IR 44 (1819) – 15. Fus. Komp. Nr. 6 (Pavia 18/10/1819)</t>
        </r>
        <r>
          <rPr>
            <sz val="14"/>
            <color rgb="FF000000"/>
            <rFont val="Calibri"/>
            <family val="34"/>
          </rPr>
          <t xml:space="preserve">
</t>
        </r>
        <r>
          <rPr>
            <sz val="14"/>
            <color rgb="FF000000"/>
            <rFont val="Times New Roman"/>
            <family val="18"/>
          </rPr>
          <t>ML 3920 IR 44 (1820) – 15. Fus. Komp. Nr. 6 (Como 27/09/1820)</t>
        </r>
        <r>
          <rPr>
            <sz val="14"/>
            <color rgb="FF000000"/>
            <rFont val="Calibri"/>
            <family val="34"/>
          </rPr>
          <t xml:space="preserve">
</t>
        </r>
      </text>
    </comment>
    <comment ref="BH815" authorId="0" shapeId="0" xr:uid="{44C5F9BA-B214-4749-B6FC-13DA682D21DA}">
      <text>
        <r>
          <rPr>
            <sz val="14"/>
            <color rgb="FF000000"/>
            <rFont val="Calibri"/>
            <family val="34"/>
          </rPr>
          <t xml:space="preserve">IR 27 (1801-1802)
</t>
        </r>
        <r>
          <rPr>
            <sz val="14"/>
            <color rgb="FF000000"/>
            <rFont val="Calibri"/>
            <family val="34"/>
          </rPr>
          <t>IR 44 (1802-1820)</t>
        </r>
      </text>
    </comment>
    <comment ref="CR815" authorId="0" shapeId="0" xr:uid="{FF123392-19DC-A343-A69D-BDBD7018BD49}">
      <text>
        <r>
          <rPr>
            <sz val="14"/>
            <color rgb="FF000000"/>
            <rFont val="Calibri"/>
            <family val="34"/>
          </rPr>
          <t xml:space="preserve">1806/11 Katolisch
</t>
        </r>
        <r>
          <rPr>
            <sz val="14"/>
            <color rgb="FF000000"/>
            <rFont val="Calibri"/>
            <family val="34"/>
          </rPr>
          <t>1818-20: Jüdisch</t>
        </r>
        <r>
          <rPr>
            <sz val="14"/>
            <color rgb="FF000000"/>
            <rFont val="Calibri"/>
            <family val="2"/>
          </rPr>
          <t xml:space="preserve"> </t>
        </r>
      </text>
    </comment>
    <comment ref="C816" authorId="0" shapeId="0" xr:uid="{0E2C49E7-7778-3D41-A31E-04512CAC3134}">
      <text>
        <r>
          <rPr>
            <b/>
            <u/>
            <sz val="14"/>
            <color rgb="FF0563C1"/>
            <rFont val="Times New Roman"/>
            <family val="18"/>
          </rPr>
          <t>Stare Davydkovo</t>
        </r>
        <r>
          <rPr>
            <sz val="14"/>
            <color rgb="FF000000"/>
            <rFont val="Times New Roman"/>
            <family val="18"/>
          </rPr>
          <t xml:space="preserve"> 
</t>
        </r>
        <r>
          <rPr>
            <b/>
            <sz val="14"/>
            <color rgb="FF000000"/>
            <rFont val="Times New Roman"/>
            <family val="18"/>
          </rPr>
          <t xml:space="preserve">or
</t>
        </r>
        <r>
          <rPr>
            <b/>
            <u/>
            <sz val="14"/>
            <color rgb="FF0563C1"/>
            <rFont val="Times New Roman"/>
            <family val="18"/>
          </rPr>
          <t>Nove Davydkovo</t>
        </r>
        <r>
          <rPr>
            <sz val="14"/>
            <color rgb="FF000000"/>
            <rFont val="Calibri"/>
            <family val="2"/>
          </rPr>
          <t xml:space="preserve"> </t>
        </r>
      </text>
    </comment>
    <comment ref="T816" authorId="0" shapeId="0" xr:uid="{FFB77CD5-F555-794D-A1C7-663CDAEB210C}">
      <text>
        <r>
          <rPr>
            <sz val="14"/>
            <color rgb="FF000000"/>
            <rFont val="Calibri"/>
            <family val="34"/>
          </rPr>
          <t xml:space="preserve">5.4.1 [168.74 (1803)]
</t>
        </r>
        <r>
          <rPr>
            <sz val="14"/>
            <color rgb="FF000000"/>
            <rFont val="Calibri"/>
            <family val="34"/>
          </rPr>
          <t>5.1.4 [161.51 (1804)]</t>
        </r>
      </text>
    </comment>
    <comment ref="BF816" authorId="0" shapeId="0" xr:uid="{908A7FF5-8089-5947-B704-7854E9EBBCFC}">
      <text>
        <r>
          <rPr>
            <sz val="14"/>
            <color rgb="FF000000"/>
            <rFont val="Times New Roman"/>
            <family val="18"/>
          </rPr>
          <t xml:space="preserve">06/12/1801 </t>
        </r>
        <r>
          <rPr>
            <i/>
            <sz val="14"/>
            <color rgb="FF000000"/>
            <rFont val="Times New Roman"/>
            <family val="18"/>
          </rPr>
          <t>Als Regiments Rekrut a 10Fl Werbgeld zu Munkats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21/05/1802 </t>
        </r>
        <r>
          <rPr>
            <i/>
            <sz val="14"/>
            <color rgb="FF000000"/>
            <rFont val="Times New Roman"/>
            <family val="18"/>
          </rPr>
          <t>Von Haupt Werklian zum Haupt Worben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21/09/1802 Muster: IR 62 Haupt Wöber Komp. Nr. 165</t>
        </r>
        <r>
          <rPr>
            <sz val="14"/>
            <color rgb="FF000000"/>
            <rFont val="Calibri"/>
            <family val="34"/>
          </rPr>
          <t xml:space="preserve">
</t>
        </r>
        <r>
          <rPr>
            <sz val="14"/>
            <color rgb="FF000000"/>
            <rFont val="Times New Roman"/>
            <family val="18"/>
          </rPr>
          <t>03/08/1803 Muster: IR 62 Haupt Wöber Komp. Nr. 151</t>
        </r>
        <r>
          <rPr>
            <sz val="14"/>
            <color rgb="FF000000"/>
            <rFont val="Calibri"/>
            <family val="34"/>
          </rPr>
          <t xml:space="preserve">
</t>
        </r>
        <r>
          <rPr>
            <sz val="14"/>
            <color rgb="FF000000"/>
            <rFont val="Times New Roman"/>
            <family val="18"/>
          </rPr>
          <t>10/09/1804 Muster: IR 62 Haupt Wöber Komp. Nr. 137</t>
        </r>
        <r>
          <rPr>
            <sz val="14"/>
            <color rgb="FF000000"/>
            <rFont val="Calibri"/>
            <family val="34"/>
          </rPr>
          <t xml:space="preserve">
</t>
        </r>
      </text>
    </comment>
    <comment ref="BG816" authorId="0" shapeId="0" xr:uid="{8B733155-7ADF-7849-9F1A-6E63E7BE5EAD}">
      <text>
        <r>
          <rPr>
            <sz val="14"/>
            <color rgb="FF000000"/>
            <rFont val="Times New Roman"/>
            <family val="18"/>
          </rPr>
          <t>ML 5205 IR 62 (1802) – Haupt Wöber Komp. Nr. 165 (Staszow 21/09/1802)</t>
        </r>
        <r>
          <rPr>
            <sz val="14"/>
            <color rgb="FF000000"/>
            <rFont val="Calibri"/>
            <family val="34"/>
          </rPr>
          <t xml:space="preserve">
</t>
        </r>
        <r>
          <rPr>
            <sz val="14"/>
            <color rgb="FF000000"/>
            <rFont val="Times New Roman"/>
            <family val="18"/>
          </rPr>
          <t>ML 5206 IR 62 (1803) – Haupt Wöber Komp. Nr. 151 (Staszow 03/08/1803)</t>
        </r>
        <r>
          <rPr>
            <sz val="14"/>
            <color rgb="FF000000"/>
            <rFont val="Calibri"/>
            <family val="34"/>
          </rPr>
          <t xml:space="preserve">
</t>
        </r>
        <r>
          <rPr>
            <sz val="14"/>
            <color rgb="FF000000"/>
            <rFont val="Times New Roman"/>
            <family val="18"/>
          </rPr>
          <t>ML 5207 IR 62 (1804) – Haupt Wöber Komp. Nr. 137 (Staszow 10/09/1804)</t>
        </r>
        <r>
          <rPr>
            <sz val="14"/>
            <color rgb="FF000000"/>
            <rFont val="Calibri"/>
            <family val="34"/>
          </rPr>
          <t xml:space="preserve">
</t>
        </r>
      </text>
    </comment>
    <comment ref="BH816" authorId="0" shapeId="0" xr:uid="{E2BAA709-5E75-9B4B-8105-8376713AEC64}">
      <text>
        <r>
          <rPr>
            <sz val="14"/>
            <color rgb="FF000000"/>
            <rFont val="Calibri"/>
            <family val="34"/>
          </rPr>
          <t>IR 62 (1801-1804)</t>
        </r>
      </text>
    </comment>
    <comment ref="T817" authorId="0" shapeId="0" xr:uid="{6EB37A45-F8B7-A042-9902-C90AEFA63911}">
      <text>
        <r>
          <rPr>
            <sz val="14"/>
            <color rgb="FF000000"/>
            <rFont val="Calibri"/>
            <family val="34"/>
          </rPr>
          <t xml:space="preserve">5.4 [168.52 (1802)]
</t>
        </r>
        <r>
          <rPr>
            <sz val="14"/>
            <color rgb="FF000000"/>
            <rFont val="Calibri"/>
            <family val="34"/>
          </rPr>
          <t>5.5.2 [171.59 (1803)]</t>
        </r>
      </text>
    </comment>
    <comment ref="BF817" authorId="0" shapeId="0" xr:uid="{2E9F08F1-1FD7-9645-9EE2-EC26AD0959ED}">
      <text>
        <r>
          <rPr>
            <sz val="14"/>
            <color rgb="FF000000"/>
            <rFont val="Times New Roman"/>
            <family val="18"/>
          </rPr>
          <t xml:space="preserve">09/01/1802 </t>
        </r>
        <r>
          <rPr>
            <i/>
            <sz val="14"/>
            <color rgb="FF000000"/>
            <rFont val="Times New Roman"/>
            <family val="18"/>
          </rPr>
          <t>Gegen 26Fl Handgeld und 6 Jährige Capitulation zu Günzburg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27/09/1802 Muster: IR 41 Haupt Tirou Komp. Nr. 150</t>
        </r>
        <r>
          <rPr>
            <sz val="14"/>
            <color rgb="FF000000"/>
            <rFont val="Calibri"/>
            <family val="34"/>
          </rPr>
          <t xml:space="preserve">
</t>
        </r>
        <r>
          <rPr>
            <sz val="14"/>
            <color rgb="FF000000"/>
            <rFont val="Times New Roman"/>
            <family val="18"/>
          </rPr>
          <t>20/09/1803 Muter: IR 41 Haupt Tirou Komp. Nr. 120</t>
        </r>
        <r>
          <rPr>
            <sz val="14"/>
            <color rgb="FF000000"/>
            <rFont val="Calibri"/>
            <family val="34"/>
          </rPr>
          <t xml:space="preserve">
</t>
        </r>
        <r>
          <rPr>
            <sz val="14"/>
            <color rgb="FF000000"/>
            <rFont val="Times New Roman"/>
            <family val="18"/>
          </rPr>
          <t xml:space="preserve">15/01/1804 </t>
        </r>
        <r>
          <rPr>
            <i/>
            <sz val="14"/>
            <color rgb="FF000000"/>
            <rFont val="Times New Roman"/>
            <family val="18"/>
          </rPr>
          <t>Ex loco desertiert</t>
        </r>
        <r>
          <rPr>
            <sz val="14"/>
            <color rgb="FF000000"/>
            <rFont val="Times New Roman"/>
            <family val="18"/>
          </rPr>
          <t xml:space="preserve"> [ML 1804]</t>
        </r>
        <r>
          <rPr>
            <sz val="14"/>
            <color rgb="FF000000"/>
            <rFont val="Calibri"/>
            <family val="34"/>
          </rPr>
          <t xml:space="preserve">
</t>
        </r>
      </text>
    </comment>
    <comment ref="BG817" authorId="0" shapeId="0" xr:uid="{CB2F4605-6292-8E4B-88C0-52DAF64A96E6}">
      <text>
        <r>
          <rPr>
            <sz val="14"/>
            <color rgb="FF000000"/>
            <rFont val="Times New Roman"/>
            <family val="18"/>
          </rPr>
          <t>ML 3677 IR 41 (1802) – Haupt Tirou Coy, Nr. 150 (Innsbruck 27/9/1802)</t>
        </r>
        <r>
          <rPr>
            <sz val="14"/>
            <color rgb="FF000000"/>
            <rFont val="Calibri"/>
            <family val="34"/>
          </rPr>
          <t xml:space="preserve">
</t>
        </r>
        <r>
          <rPr>
            <sz val="14"/>
            <color rgb="FF000000"/>
            <rFont val="Times New Roman"/>
            <family val="18"/>
          </rPr>
          <t>ML 3678 IR 41 (1803) – Haupt Tirou Coy. Nr. 120 (Harth 20/09/1803)</t>
        </r>
        <r>
          <rPr>
            <sz val="14"/>
            <color rgb="FF000000"/>
            <rFont val="Calibri"/>
            <family val="34"/>
          </rPr>
          <t xml:space="preserve">
</t>
        </r>
        <r>
          <rPr>
            <sz val="14"/>
            <color rgb="FF000000"/>
            <rFont val="Times New Roman"/>
            <family val="18"/>
          </rPr>
          <t>ML 3679 IR 41 (1804) – Haupt Tirou Coy Abgang 15/01/1804 (27/08/1804)</t>
        </r>
        <r>
          <rPr>
            <sz val="14"/>
            <color rgb="FF000000"/>
            <rFont val="Calibri"/>
            <family val="34"/>
          </rPr>
          <t xml:space="preserve">
</t>
        </r>
      </text>
    </comment>
    <comment ref="BH817" authorId="0" shapeId="0" xr:uid="{08FAEC23-195C-6843-AB68-6C921E10F63B}">
      <text>
        <r>
          <rPr>
            <sz val="14"/>
            <color rgb="FF000000"/>
            <rFont val="Calibri"/>
            <family val="34"/>
          </rPr>
          <t>IR 41 (1802-1804)</t>
        </r>
      </text>
    </comment>
    <comment ref="CR817" authorId="0" shapeId="0" xr:uid="{FEC3BCD1-B67B-944A-9352-B850180A6FAA}">
      <text>
        <r>
          <rPr>
            <sz val="14"/>
            <color rgb="FF000000"/>
            <rFont val="Calibri"/>
            <family val="34"/>
          </rPr>
          <t>1802: war Jüdisch ist Katolisch</t>
        </r>
        <r>
          <rPr>
            <sz val="14"/>
            <color rgb="FF000000"/>
            <rFont val="Calibri"/>
            <family val="2"/>
          </rPr>
          <t xml:space="preserve"> </t>
        </r>
        <r>
          <rPr>
            <sz val="14"/>
            <color rgb="FF000000"/>
            <rFont val="Calibri"/>
            <family val="34"/>
          </rPr>
          <t xml:space="preserve">
</t>
        </r>
        <r>
          <rPr>
            <sz val="14"/>
            <color rgb="FF000000"/>
            <rFont val="Calibri"/>
            <family val="34"/>
          </rPr>
          <t xml:space="preserve">1803: Katolisch  </t>
        </r>
      </text>
    </comment>
    <comment ref="BF818" authorId="0" shapeId="0" xr:uid="{FCE2068E-B81C-B244-A872-A9C36E1913FD}">
      <text>
        <r>
          <rPr>
            <sz val="14"/>
            <color rgb="FF000000"/>
            <rFont val="Times New Roman"/>
            <family val="18"/>
          </rPr>
          <t xml:space="preserve">30/05/1802 </t>
        </r>
        <r>
          <rPr>
            <i/>
            <sz val="14"/>
            <color rgb="FF000000"/>
            <rFont val="Times New Roman"/>
            <family val="18"/>
          </rPr>
          <t>Als Regiments Rekrut gegen 10Fl Werbgeld</t>
        </r>
        <r>
          <rPr>
            <sz val="14"/>
            <color rgb="FF000000"/>
            <rFont val="Times New Roman"/>
            <family val="18"/>
          </rPr>
          <t xml:space="preserve"> [Handgeld 3Fl; Anbringsgeld 2Fl; Unkosten 4Fl und Ersatz 1Fl] </t>
        </r>
        <r>
          <rPr>
            <i/>
            <sz val="14"/>
            <color rgb="FF000000"/>
            <rFont val="Times New Roman"/>
            <family val="18"/>
          </rPr>
          <t>auf Beständig zum IR 39 in</t>
        </r>
        <r>
          <rPr>
            <sz val="14"/>
            <color rgb="FF000000"/>
            <rFont val="Times New Roman"/>
            <family val="18"/>
          </rPr>
          <t xml:space="preserve"> </t>
        </r>
        <r>
          <rPr>
            <i/>
            <sz val="14"/>
            <color rgb="FF000000"/>
            <rFont val="Times New Roman"/>
            <family val="18"/>
          </rPr>
          <t>Bartfeld</t>
        </r>
        <r>
          <rPr>
            <sz val="14"/>
            <color rgb="FF000000"/>
            <rFont val="Times New Roman"/>
            <family val="18"/>
          </rPr>
          <t xml:space="preserve"> </t>
        </r>
        <r>
          <rPr>
            <b/>
            <sz val="14"/>
            <color rgb="FF000000"/>
            <rFont val="Times New Roman"/>
            <family val="18"/>
          </rPr>
          <t>[</t>
        </r>
        <r>
          <rPr>
            <b/>
            <u/>
            <sz val="14"/>
            <color rgb="FF0563C1"/>
            <rFont val="Times New Roman"/>
            <family val="18"/>
          </rPr>
          <t>Bardejov, Slovakia</t>
        </r>
        <r>
          <rPr>
            <b/>
            <sz val="14"/>
            <color rgb="FF000000"/>
            <rFont val="Times New Roman"/>
            <family val="18"/>
          </rPr>
          <t xml:space="preserve">] </t>
        </r>
        <r>
          <rPr>
            <i/>
            <sz val="14"/>
            <color rgb="FF000000"/>
            <rFont val="Times New Roman"/>
            <family val="18"/>
          </rPr>
          <t>freiwillig angeworben und seitdem bei Abrichtungsdepot mit ungarischen Loco Gebühr kommandiert [</t>
        </r>
        <r>
          <rPr>
            <sz val="14"/>
            <color rgb="FF000000"/>
            <rFont val="Times New Roman"/>
            <family val="18"/>
          </rPr>
          <t>AL Juni 1802 &amp; ST Juli 1802]</t>
        </r>
        <r>
          <rPr>
            <sz val="14"/>
            <color rgb="FF000000"/>
            <rFont val="Calibri"/>
            <family val="34"/>
          </rPr>
          <t xml:space="preserve">
</t>
        </r>
        <r>
          <rPr>
            <sz val="14"/>
            <color rgb="FF000000"/>
            <rFont val="Times New Roman"/>
            <family val="18"/>
          </rPr>
          <t xml:space="preserve">16/06/1802 </t>
        </r>
        <r>
          <rPr>
            <i/>
            <sz val="14"/>
            <color rgb="FF000000"/>
            <rFont val="Times New Roman"/>
            <family val="18"/>
          </rPr>
          <t>In Arrest a 3Xr</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05/10/1802 </t>
        </r>
        <r>
          <rPr>
            <i/>
            <sz val="14"/>
            <color rgb="FF000000"/>
            <rFont val="Times New Roman"/>
            <family val="18"/>
          </rPr>
          <t>Befreit und wieder in Ungarn mit loco Gebühr kommandiert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11/10/1802</t>
        </r>
        <r>
          <rPr>
            <i/>
            <sz val="14"/>
            <color rgb="FF000000"/>
            <rFont val="Times New Roman"/>
            <family val="18"/>
          </rPr>
          <t xml:space="preserve"> Auf Bestimmte Zeit beurlaubt </t>
        </r>
        <r>
          <rPr>
            <sz val="14"/>
            <color rgb="FF000000"/>
            <rFont val="Times New Roman"/>
            <family val="18"/>
          </rPr>
          <t>[ST Nov 1802]</t>
        </r>
        <r>
          <rPr>
            <sz val="14"/>
            <color rgb="FF000000"/>
            <rFont val="Calibri"/>
            <family val="34"/>
          </rPr>
          <t xml:space="preserve">
</t>
        </r>
        <r>
          <rPr>
            <sz val="14"/>
            <color rgb="FF000000"/>
            <rFont val="Times New Roman"/>
            <family val="18"/>
          </rPr>
          <t>09/09/1803 Muster: IR 39 ObristLt. Komp. Nr. 165 [</t>
        </r>
        <r>
          <rPr>
            <i/>
            <sz val="14"/>
            <color rgb="FF000000"/>
            <rFont val="Times New Roman"/>
            <family val="18"/>
          </rPr>
          <t>Im Anhero Marsche</t>
        </r>
        <r>
          <rPr>
            <sz val="14"/>
            <color rgb="FF000000"/>
            <rFont val="Times New Roman"/>
            <family val="18"/>
          </rPr>
          <t>]</t>
        </r>
        <r>
          <rPr>
            <sz val="14"/>
            <color rgb="FF000000"/>
            <rFont val="Calibri"/>
            <family val="34"/>
          </rPr>
          <t xml:space="preserve">
</t>
        </r>
        <r>
          <rPr>
            <sz val="14"/>
            <color rgb="FF000000"/>
            <rFont val="Times New Roman"/>
            <family val="18"/>
          </rPr>
          <t>24/05/1804 Muster: IR 39 ObristLt. Komp. Nr. 142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27/05/1805 </t>
        </r>
        <r>
          <rPr>
            <i/>
            <sz val="14"/>
            <color rgb="FF000000"/>
            <rFont val="Times New Roman"/>
            <family val="18"/>
          </rPr>
          <t>Von unbestimmte Urlaub selbst eingerückt und ab sofort in Arrest a 3Xr</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21/06/1805 </t>
        </r>
        <r>
          <rPr>
            <i/>
            <sz val="14"/>
            <color rgb="FF000000"/>
            <rFont val="Times New Roman"/>
            <family val="18"/>
          </rPr>
          <t>Zum Abrichtungsdepot abgegangen</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13/08/1805 </t>
        </r>
        <r>
          <rPr>
            <i/>
            <sz val="14"/>
            <color rgb="FF000000"/>
            <rFont val="Times New Roman"/>
            <family val="18"/>
          </rPr>
          <t>In Arrest in Caschau gestorben</t>
        </r>
        <r>
          <rPr>
            <sz val="14"/>
            <color rgb="FF000000"/>
            <rFont val="Times New Roman"/>
            <family val="18"/>
          </rPr>
          <t xml:space="preserve"> [ST Sept 1805]</t>
        </r>
        <r>
          <rPr>
            <sz val="14"/>
            <color rgb="FF000000"/>
            <rFont val="Calibri"/>
            <family val="34"/>
          </rPr>
          <t xml:space="preserve">
</t>
        </r>
      </text>
    </comment>
    <comment ref="BG818" authorId="0" shapeId="0" xr:uid="{EAEED8CC-3CCB-8F49-B687-F61C1E554C2F}">
      <text>
        <r>
          <rPr>
            <sz val="14"/>
            <color rgb="FF000000"/>
            <rFont val="Times New Roman"/>
            <family val="18"/>
          </rPr>
          <t>ML 3497 IR 39 (1803) – ObristLt Komp. Nr. 165 (Venice 09/09/1803)</t>
        </r>
        <r>
          <rPr>
            <sz val="14"/>
            <color rgb="FF000000"/>
            <rFont val="Calibri"/>
            <family val="34"/>
          </rPr>
          <t xml:space="preserve">
</t>
        </r>
        <r>
          <rPr>
            <sz val="14"/>
            <color rgb="FF000000"/>
            <rFont val="Times New Roman"/>
            <family val="18"/>
          </rPr>
          <t>ML 3498 IR 39 (1804) – ObristLt Komp. Nr. 142 (Lido 24/05/1804)</t>
        </r>
        <r>
          <rPr>
            <sz val="14"/>
            <color rgb="FF000000"/>
            <rFont val="Calibri"/>
            <family val="34"/>
          </rPr>
          <t xml:space="preserve">
</t>
        </r>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3543 IR 39 (1802) – AL Nr. 5 (Bartfeld 30/06/1802); ST Juli (16/08/1802); ST Aug (15/09/1802); ST Nov (15/12/1802)</t>
        </r>
        <r>
          <rPr>
            <sz val="14"/>
            <color rgb="FF000000"/>
            <rFont val="Calibri"/>
            <family val="34"/>
          </rPr>
          <t xml:space="preserve">
</t>
        </r>
        <r>
          <rPr>
            <sz val="14"/>
            <color rgb="FF000000"/>
            <rFont val="Times New Roman"/>
            <family val="18"/>
          </rPr>
          <t>ML 3546 IR 39 (1805) – ST Juli (Pergine 28/08/1805), ST Sept (Stuhlweißenburg 15/07/1806)</t>
        </r>
        <r>
          <rPr>
            <sz val="14"/>
            <color rgb="FF000000"/>
            <rFont val="Calibri"/>
            <family val="34"/>
          </rPr>
          <t xml:space="preserve">
</t>
        </r>
      </text>
    </comment>
    <comment ref="BH818" authorId="0" shapeId="0" xr:uid="{569E94CF-C696-364A-84F3-6B65ACF70FAC}">
      <text>
        <r>
          <rPr>
            <sz val="14"/>
            <color rgb="FF000000"/>
            <rFont val="Calibri"/>
            <family val="34"/>
          </rPr>
          <t>IR 39 (1802-1805)</t>
        </r>
      </text>
    </comment>
    <comment ref="BF819" authorId="0" shapeId="0" xr:uid="{9666B92E-10FB-8D40-A691-95274D3D4755}">
      <text>
        <r>
          <rPr>
            <sz val="14"/>
            <color rgb="FF000000"/>
            <rFont val="Times New Roman"/>
            <family val="18"/>
          </rPr>
          <t>30/05/1802 z</t>
        </r>
        <r>
          <rPr>
            <i/>
            <sz val="14"/>
            <color rgb="FF000000"/>
            <rFont val="Times New Roman"/>
            <family val="18"/>
          </rPr>
          <t xml:space="preserve">u IR 3 EH Carl mit 12-Jähriger Capitulation assentiert und zur 2. Major Komp zugeteilt </t>
        </r>
        <r>
          <rPr>
            <sz val="14"/>
            <color rgb="FF000000"/>
            <rFont val="Times New Roman"/>
            <family val="18"/>
          </rPr>
          <t xml:space="preserve">[ML 1802 &amp; ML 1804]
</t>
        </r>
        <r>
          <rPr>
            <sz val="14"/>
            <color rgb="FF000000"/>
            <rFont val="Times New Roman"/>
            <family val="18"/>
          </rPr>
          <t>15/09/1802 Muster: IR 3 2. Major Komp. Nr. 177</t>
        </r>
        <r>
          <rPr>
            <sz val="14"/>
            <color rgb="FF000000"/>
            <rFont val="Calibri"/>
            <family val="34"/>
          </rPr>
          <t xml:space="preserve">
</t>
        </r>
        <r>
          <rPr>
            <sz val="14"/>
            <color rgb="FF000000"/>
            <rFont val="Times New Roman"/>
            <family val="18"/>
          </rPr>
          <t>03/09/1803 Muster: IR 3 2. Major Komp. Nr. 151</t>
        </r>
        <r>
          <rPr>
            <sz val="14"/>
            <color rgb="FF000000"/>
            <rFont val="Calibri"/>
            <family val="34"/>
          </rPr>
          <t xml:space="preserve">
</t>
        </r>
        <r>
          <rPr>
            <sz val="14"/>
            <color rgb="FF000000"/>
            <rFont val="Times New Roman"/>
            <family val="18"/>
          </rPr>
          <t xml:space="preserve">21/10/1803 </t>
        </r>
        <r>
          <rPr>
            <i/>
            <sz val="14"/>
            <color rgb="FF000000"/>
            <rFont val="Times New Roman"/>
            <family val="18"/>
          </rPr>
          <t xml:space="preserve">von IR 3 EH Carl zum 2. Feld Artillerie Regiment 5. Ordinaire transferiert </t>
        </r>
        <r>
          <rPr>
            <sz val="14"/>
            <color rgb="FF000000"/>
            <rFont val="Times New Roman"/>
            <family val="18"/>
          </rPr>
          <t>[ML 1804]</t>
        </r>
        <r>
          <rPr>
            <sz val="14"/>
            <color rgb="FF000000"/>
            <rFont val="Calibri"/>
            <family val="34"/>
          </rPr>
          <t xml:space="preserve">
</t>
        </r>
        <r>
          <rPr>
            <sz val="14"/>
            <color rgb="FF000000"/>
            <rFont val="Times New Roman"/>
            <family val="18"/>
          </rPr>
          <t xml:space="preserve">01/06/1804 </t>
        </r>
        <r>
          <rPr>
            <i/>
            <sz val="14"/>
            <color rgb="FF000000"/>
            <rFont val="Times New Roman"/>
            <family val="18"/>
          </rPr>
          <t>von 5. zum 7. Ordinaire transferiert und zum Cannonier avanciert</t>
        </r>
        <r>
          <rPr>
            <sz val="14"/>
            <color rgb="FF000000"/>
            <rFont val="Times New Roman"/>
            <family val="18"/>
          </rPr>
          <t xml:space="preserve"> [ML 1804]</t>
        </r>
        <r>
          <rPr>
            <sz val="14"/>
            <color rgb="FF000000"/>
            <rFont val="Calibri"/>
            <family val="34"/>
          </rPr>
          <t xml:space="preserve">
</t>
        </r>
        <r>
          <rPr>
            <sz val="14"/>
            <color rgb="FF000000"/>
            <rFont val="Times New Roman"/>
            <family val="18"/>
          </rPr>
          <t>06/08/1804 Musterung: FAR 2 7. Ordinaire Nr. 110</t>
        </r>
        <r>
          <rPr>
            <sz val="14"/>
            <color rgb="FF000000"/>
            <rFont val="Calibri"/>
            <family val="34"/>
          </rPr>
          <t xml:space="preserve">
</t>
        </r>
        <r>
          <rPr>
            <sz val="14"/>
            <color rgb="FF000000"/>
            <rFont val="Times New Roman"/>
            <family val="18"/>
          </rPr>
          <t xml:space="preserve">11/05/1805 </t>
        </r>
        <r>
          <rPr>
            <i/>
            <sz val="14"/>
            <color rgb="FF000000"/>
            <rFont val="Times New Roman"/>
            <family val="18"/>
          </rPr>
          <t>Krank in Wien Garnison Spital Hier ohne Service</t>
        </r>
        <r>
          <rPr>
            <sz val="14"/>
            <color rgb="FF000000"/>
            <rFont val="Times New Roman"/>
            <family val="18"/>
          </rPr>
          <t xml:space="preserve"> [ST Mai 1805]</t>
        </r>
        <r>
          <rPr>
            <sz val="14"/>
            <color rgb="FF000000"/>
            <rFont val="Calibri"/>
            <family val="34"/>
          </rPr>
          <t xml:space="preserve">
</t>
        </r>
        <r>
          <rPr>
            <sz val="14"/>
            <color rgb="FF000000"/>
            <rFont val="Times New Roman"/>
            <family val="18"/>
          </rPr>
          <t xml:space="preserve">20/07/1805 </t>
        </r>
        <r>
          <rPr>
            <i/>
            <sz val="14"/>
            <color rgb="FF000000"/>
            <rFont val="Times New Roman"/>
            <family val="18"/>
          </rPr>
          <t>Reconvalesicert</t>
        </r>
        <r>
          <rPr>
            <sz val="14"/>
            <color rgb="FF000000"/>
            <rFont val="Times New Roman"/>
            <family val="18"/>
          </rPr>
          <t xml:space="preserve"> [ST July 1805]</t>
        </r>
        <r>
          <rPr>
            <sz val="14"/>
            <color rgb="FF000000"/>
            <rFont val="Calibri"/>
            <family val="34"/>
          </rPr>
          <t xml:space="preserve">
</t>
        </r>
        <r>
          <rPr>
            <sz val="14"/>
            <color rgb="FF000000"/>
            <rFont val="Times New Roman"/>
            <family val="18"/>
          </rPr>
          <t xml:space="preserve">07/08/1805 </t>
        </r>
        <r>
          <rPr>
            <i/>
            <sz val="14"/>
            <color rgb="FF000000"/>
            <rFont val="Times New Roman"/>
            <family val="18"/>
          </rPr>
          <t>Von 7. Zum 10 Ordinaire transferiert</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15/08/1805 </t>
        </r>
        <r>
          <rPr>
            <i/>
            <sz val="14"/>
            <color rgb="FF000000"/>
            <rFont val="Times New Roman"/>
            <family val="18"/>
          </rPr>
          <t>Vermog General Commando Verordnung det 10 dicti Gegen Erhaltung des Dienst Gratiale 5Fl 10Xr und Entlassung auf sonstige Beneficien</t>
        </r>
        <r>
          <rPr>
            <sz val="14"/>
            <color rgb="FF000000"/>
            <rFont val="Times New Roman"/>
            <family val="18"/>
          </rPr>
          <t xml:space="preserve"> [ST 1805] </t>
        </r>
      </text>
    </comment>
    <comment ref="BG819" authorId="0" shapeId="0" xr:uid="{518BF7B1-2B64-0646-89D9-F564811E898C}">
      <text>
        <r>
          <rPr>
            <sz val="14"/>
            <color rgb="FF000000"/>
            <rFont val="Times New Roman"/>
            <family val="18"/>
          </rPr>
          <t xml:space="preserve">ML 234/5 IR 3 (1802) – 2. Major Komp. Nr. 177 (Vienna 15/09/1802)
</t>
        </r>
        <r>
          <rPr>
            <sz val="14"/>
            <color rgb="FF000000"/>
            <rFont val="Times New Roman"/>
            <family val="18"/>
          </rPr>
          <t xml:space="preserve">ML 237/8 IR 3(1803) – 2. Major Komp. Nr. 151 (Vienna 03/09/1803)
</t>
        </r>
        <r>
          <rPr>
            <sz val="14"/>
            <color rgb="FF000000"/>
            <rFont val="Times New Roman"/>
            <family val="18"/>
          </rPr>
          <t xml:space="preserve">ML 239 IR 3 (1804) – 2. Major Komp. Abgang (Vienna 05/09/1804)
</t>
        </r>
        <r>
          <rPr>
            <sz val="14"/>
            <color rgb="FF000000"/>
            <rFont val="Times New Roman"/>
            <family val="18"/>
          </rPr>
          <t xml:space="preserve">ML 274 IR 3 (1801/2) AL/TL – AL Nr. 1 (Vienna 30/05/1802)
</t>
        </r>
        <r>
          <rPr>
            <sz val="14"/>
            <color rgb="FF000000"/>
            <rFont val="Times New Roman"/>
            <family val="18"/>
          </rPr>
          <t>ML 8056 FAR 2 (1804) – 5. Ord. Comp. – Zuwachs &amp; Abgang (Wien Rennweg 06/08/1804) und 7. Ord. Comp. Nr. 110 (Wien Rennweg 06/08/1804)</t>
        </r>
        <r>
          <rPr>
            <sz val="14"/>
            <color rgb="FF000000"/>
            <rFont val="Calibri"/>
            <family val="34"/>
          </rPr>
          <t xml:space="preserve">
</t>
        </r>
        <r>
          <rPr>
            <sz val="14"/>
            <color rgb="FF000000"/>
            <rFont val="Times New Roman"/>
            <family val="18"/>
          </rPr>
          <t>ML 8057 FAR (1806) – 7. Ord. Comp. – Abgang (Wien Rennweg 22/12/1806) &amp; 10. Ord. Comp. – Abgang</t>
        </r>
        <r>
          <rPr>
            <sz val="14"/>
            <color rgb="FF000000"/>
            <rFont val="Calibri"/>
            <family val="34"/>
          </rPr>
          <t xml:space="preserve">
</t>
        </r>
        <r>
          <rPr>
            <sz val="14"/>
            <color rgb="FF000000"/>
            <rFont val="Times New Roman"/>
            <family val="18"/>
          </rPr>
          <t>ML 8090 FAR 2 (1805) – ST Mai (15/06/1805), Juli (15/08/1805) und Aug (20/09/1805)</t>
        </r>
        <r>
          <rPr>
            <sz val="14"/>
            <color rgb="FF000000"/>
            <rFont val="Calibri"/>
            <family val="34"/>
          </rPr>
          <t xml:space="preserve">
</t>
        </r>
      </text>
    </comment>
    <comment ref="BH819" authorId="0" shapeId="0" xr:uid="{5F7B1D42-AC85-8B4C-A1D1-0D6E37550392}">
      <text>
        <r>
          <rPr>
            <sz val="14"/>
            <color rgb="FF000000"/>
            <rFont val="Calibri"/>
            <family val="34"/>
          </rPr>
          <t xml:space="preserve">IR 3 (1802-1803)
</t>
        </r>
        <r>
          <rPr>
            <sz val="14"/>
            <color rgb="FF000000"/>
            <rFont val="Calibri"/>
            <family val="34"/>
          </rPr>
          <t>FAR 2 (1803-1805)</t>
        </r>
      </text>
    </comment>
    <comment ref="BF820" authorId="0" shapeId="0" xr:uid="{7A478599-2CB4-CB48-A00B-9A9BAFC1440A}">
      <text>
        <r>
          <rPr>
            <sz val="14"/>
            <color rgb="FF000000"/>
            <rFont val="Times New Roman"/>
            <family val="18"/>
          </rPr>
          <t xml:space="preserve">22/09/1802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31/07/1803 </t>
        </r>
        <r>
          <rPr>
            <i/>
            <sz val="14"/>
            <color rgb="FF000000"/>
            <rFont val="Times New Roman"/>
            <family val="18"/>
          </rPr>
          <t>während der Urlaub desertiert</t>
        </r>
        <r>
          <rPr>
            <sz val="14"/>
            <color rgb="FF000000"/>
            <rFont val="Times New Roman"/>
            <family val="18"/>
          </rPr>
          <t xml:space="preserve"> [ML 1803]</t>
        </r>
        <r>
          <rPr>
            <sz val="14"/>
            <color rgb="FF000000"/>
            <rFont val="Calibri"/>
            <family val="34"/>
          </rPr>
          <t xml:space="preserve">
</t>
        </r>
      </text>
    </comment>
    <comment ref="BG820" authorId="0" shapeId="0" xr:uid="{31325D5F-4835-BF4B-AB74-7DED0188E522}">
      <text>
        <r>
          <rPr>
            <sz val="14"/>
            <color rgb="FF000000"/>
            <rFont val="Times New Roman"/>
            <family val="18"/>
          </rPr>
          <t>ML 5015 IR 59 (1803) – Haupt Richter Komp. Nr. 128 (Enns 29/08/1803)</t>
        </r>
        <r>
          <rPr>
            <sz val="14"/>
            <color rgb="FF000000"/>
            <rFont val="Calibri"/>
            <family val="34"/>
          </rPr>
          <t xml:space="preserve">
</t>
        </r>
        <r>
          <rPr>
            <sz val="14"/>
            <color rgb="FF000000"/>
            <rFont val="Times New Roman"/>
            <family val="18"/>
          </rPr>
          <t>ML 5016 IR 59 (1804) – Haupt Richter Komp. Abgang (Innsbruck 03/09/1804)</t>
        </r>
        <r>
          <rPr>
            <sz val="14"/>
            <color rgb="FF000000"/>
            <rFont val="Calibri"/>
            <family val="34"/>
          </rPr>
          <t xml:space="preserve">
</t>
        </r>
      </text>
    </comment>
    <comment ref="BH820" authorId="0" shapeId="0" xr:uid="{E641376A-FAE5-EE46-8B14-EB6F9C56A69E}">
      <text>
        <r>
          <rPr>
            <sz val="14"/>
            <color rgb="FF000000"/>
            <rFont val="Calibri"/>
            <family val="34"/>
          </rPr>
          <t xml:space="preserve">IR 49 (1802)
</t>
        </r>
        <r>
          <rPr>
            <sz val="14"/>
            <color rgb="FF000000"/>
            <rFont val="Calibri"/>
            <family val="34"/>
          </rPr>
          <t>IR 59 (1802-1803)</t>
        </r>
      </text>
    </comment>
    <comment ref="BF821" authorId="0" shapeId="0" xr:uid="{266CD8DD-D0F6-6943-87BA-800981F152AD}">
      <text>
        <r>
          <rPr>
            <sz val="14"/>
            <color rgb="FF000000"/>
            <rFont val="Times New Roman"/>
            <family val="18"/>
          </rPr>
          <t xml:space="preserve">03/09/1802 </t>
        </r>
        <r>
          <rPr>
            <i/>
            <sz val="14"/>
            <color rgb="FF000000"/>
            <rFont val="Times New Roman"/>
            <family val="18"/>
          </rPr>
          <t>Dient seit mindestens am IR 30 2. Grenadier Komp.</t>
        </r>
        <r>
          <rPr>
            <sz val="14"/>
            <color rgb="FF000000"/>
            <rFont val="Calibri"/>
            <family val="34"/>
          </rPr>
          <t xml:space="preserve">
</t>
        </r>
        <r>
          <rPr>
            <sz val="14"/>
            <color rgb="FF000000"/>
            <rFont val="Times New Roman"/>
            <family val="18"/>
          </rPr>
          <t xml:space="preserve">23/11/1802 </t>
        </r>
        <r>
          <rPr>
            <i/>
            <sz val="14"/>
            <color rgb="FF000000"/>
            <rFont val="Times New Roman"/>
            <family val="18"/>
          </rPr>
          <t>Ex loco einzig Ohne Feuergewehr desertiert</t>
        </r>
        <r>
          <rPr>
            <sz val="14"/>
            <color rgb="FF000000"/>
            <rFont val="Times New Roman"/>
            <family val="18"/>
          </rPr>
          <t xml:space="preserve"> [ML 1803]</t>
        </r>
        <r>
          <rPr>
            <sz val="14"/>
            <color rgb="FF000000"/>
            <rFont val="Calibri"/>
            <family val="34"/>
          </rPr>
          <t xml:space="preserve">
</t>
        </r>
      </text>
    </comment>
    <comment ref="BG821" authorId="0" shapeId="0" xr:uid="{9DD2C3A0-4C20-2541-BBAA-C09295253D2A}">
      <text>
        <r>
          <rPr>
            <sz val="14"/>
            <color rgb="FF000000"/>
            <rFont val="Times New Roman"/>
            <family val="18"/>
          </rPr>
          <t>ML 2630 IR 30 (1803) – 2. Major Komp. Abgang (Lemberg 12/08/1803)</t>
        </r>
        <r>
          <rPr>
            <sz val="14"/>
            <color rgb="FF000000"/>
            <rFont val="Calibri"/>
            <family val="34"/>
          </rPr>
          <t xml:space="preserve">
</t>
        </r>
      </text>
    </comment>
    <comment ref="BH821" authorId="0" shapeId="0" xr:uid="{473A1EE6-B601-D149-BCD3-246CA4C9243D}">
      <text>
        <r>
          <rPr>
            <sz val="14"/>
            <color rgb="FF000000"/>
            <rFont val="Calibri"/>
            <family val="34"/>
          </rPr>
          <t>IR 30 (1802)</t>
        </r>
      </text>
    </comment>
    <comment ref="BF822" authorId="0" shapeId="0" xr:uid="{9FF2A367-982F-954C-A7BA-CDC1FD4BFE46}">
      <text>
        <r>
          <rPr>
            <sz val="14"/>
            <color rgb="FF000000"/>
            <rFont val="Times New Roman"/>
            <family val="18"/>
          </rPr>
          <t xml:space="preserve">01/09/1802 </t>
        </r>
        <r>
          <rPr>
            <i/>
            <sz val="14"/>
            <color rgb="FF000000"/>
            <rFont val="Times New Roman"/>
            <family val="18"/>
          </rPr>
          <t>Ohne entgeld des k.k. Areraii und Erlaad des Montusgelds von 26Fl 17xr als Privat Cadet angeworben und kommt das Monturgeld beim Ersatz der monatlichen Verzahllungsgelder zum k.k. Universal Kriegszahlamt in Wien</t>
        </r>
        <r>
          <rPr>
            <sz val="14"/>
            <color rgb="FF000000"/>
            <rFont val="Times New Roman"/>
            <family val="18"/>
          </rPr>
          <t xml:space="preserve"> [AL Sept 1802 &amp; ST Sept &amp; ML 1802]</t>
        </r>
        <r>
          <rPr>
            <sz val="14"/>
            <color rgb="FF000000"/>
            <rFont val="Calibri"/>
            <family val="34"/>
          </rPr>
          <t xml:space="preserve">
</t>
        </r>
        <r>
          <rPr>
            <sz val="14"/>
            <color rgb="FF000000"/>
            <rFont val="Times New Roman"/>
            <family val="18"/>
          </rPr>
          <t xml:space="preserve">15/06/1803 </t>
        </r>
        <r>
          <rPr>
            <i/>
            <sz val="14"/>
            <color rgb="FF000000"/>
            <rFont val="Times New Roman"/>
            <family val="18"/>
          </rPr>
          <t>Als Unobligat mit Abschied entlassen</t>
        </r>
        <r>
          <rPr>
            <sz val="14"/>
            <color rgb="FF000000"/>
            <rFont val="Times New Roman"/>
            <family val="18"/>
          </rPr>
          <t xml:space="preserve"> [ST June 1803 &amp; ML 1803]</t>
        </r>
        <r>
          <rPr>
            <sz val="14"/>
            <color rgb="FF000000"/>
            <rFont val="Calibri"/>
            <family val="34"/>
          </rPr>
          <t xml:space="preserve">
</t>
        </r>
      </text>
    </comment>
    <comment ref="BG822" authorId="0" shapeId="0" xr:uid="{C841ECB2-9550-6A41-8EFA-E7028D42360A}">
      <text>
        <r>
          <rPr>
            <sz val="14"/>
            <color rgb="FF000000"/>
            <rFont val="Times New Roman"/>
            <family val="18"/>
          </rPr>
          <t>ML 234-6 IR 3 (1802) – Haupt Pissing Komp. Nr. 234 (Vienna 15/09/1802)</t>
        </r>
        <r>
          <rPr>
            <sz val="14"/>
            <color rgb="FF000000"/>
            <rFont val="Calibri"/>
            <family val="34"/>
          </rPr>
          <t xml:space="preserve">
</t>
        </r>
        <r>
          <rPr>
            <sz val="14"/>
            <color rgb="FF000000"/>
            <rFont val="Times New Roman"/>
            <family val="18"/>
          </rPr>
          <t>ML 237/8 IR 3 (1803) – Haupt Pissing Komp. Abgang (Vienna 03/09/1803)</t>
        </r>
        <r>
          <rPr>
            <sz val="14"/>
            <color rgb="FF000000"/>
            <rFont val="Calibri"/>
            <family val="34"/>
          </rPr>
          <t xml:space="preserve">
</t>
        </r>
        <r>
          <rPr>
            <sz val="14"/>
            <color rgb="FF000000"/>
            <rFont val="Times New Roman"/>
            <family val="18"/>
          </rPr>
          <t>ML 275 IR 3 (1801-2) – ST Sept (Vienna 15/10/1802)</t>
        </r>
        <r>
          <rPr>
            <sz val="14"/>
            <color rgb="FF000000"/>
            <rFont val="Calibri"/>
            <family val="34"/>
          </rPr>
          <t xml:space="preserve">
</t>
        </r>
        <r>
          <rPr>
            <sz val="14"/>
            <color rgb="FF000000"/>
            <rFont val="Times New Roman"/>
            <family val="18"/>
          </rPr>
          <t>ML 276 IR 3 (1801-2) AL/TL – AL Nr. 1 (Vienna 01/09/1802)</t>
        </r>
        <r>
          <rPr>
            <sz val="14"/>
            <color rgb="FF000000"/>
            <rFont val="Calibri"/>
            <family val="34"/>
          </rPr>
          <t xml:space="preserve">
</t>
        </r>
        <r>
          <rPr>
            <sz val="14"/>
            <color rgb="FF000000"/>
            <rFont val="Times New Roman"/>
            <family val="18"/>
          </rPr>
          <t>ML 277 IR 3 (1803) – ST June (15/06/1803)</t>
        </r>
        <r>
          <rPr>
            <sz val="14"/>
            <color rgb="FF000000"/>
            <rFont val="Calibri"/>
            <family val="34"/>
          </rPr>
          <t xml:space="preserve">
</t>
        </r>
      </text>
    </comment>
    <comment ref="BH822" authorId="0" shapeId="0" xr:uid="{73C2D495-F647-954D-86D0-5CB03C270652}">
      <text>
        <r>
          <rPr>
            <sz val="14"/>
            <color rgb="FF000000"/>
            <rFont val="Calibri"/>
            <family val="34"/>
          </rPr>
          <t>IR 3 (1802-1803)</t>
        </r>
      </text>
    </comment>
    <comment ref="CR822" authorId="0" shapeId="0" xr:uid="{4B4AFA83-BB23-FA42-8ADA-2B012E6364D0}">
      <text>
        <r>
          <rPr>
            <sz val="14"/>
            <color rgb="FF000000"/>
            <rFont val="Times New Roman"/>
            <family val="18"/>
          </rPr>
          <t xml:space="preserve">1802: </t>
        </r>
        <r>
          <rPr>
            <i/>
            <sz val="14"/>
            <color rgb="FF000000"/>
            <rFont val="Times New Roman"/>
            <family val="18"/>
          </rPr>
          <t>Jüdisch</t>
        </r>
        <r>
          <rPr>
            <sz val="14"/>
            <color rgb="FF000000"/>
            <rFont val="Times New Roman"/>
            <family val="18"/>
          </rPr>
          <t xml:space="preserve"> [AL Sept 1802] </t>
        </r>
        <r>
          <rPr>
            <i/>
            <sz val="14"/>
            <color rgb="FF000000"/>
            <rFont val="Times New Roman"/>
            <family val="18"/>
          </rPr>
          <t>weggestrichen und mit Katholisch ersezt</t>
        </r>
        <r>
          <rPr>
            <sz val="14"/>
            <color rgb="FF000000"/>
            <rFont val="Times New Roman"/>
            <family val="18"/>
          </rPr>
          <t xml:space="preserve">] 
</t>
        </r>
        <r>
          <rPr>
            <sz val="14"/>
            <color rgb="FF000000"/>
            <rFont val="Times New Roman"/>
            <family val="18"/>
          </rPr>
          <t xml:space="preserve">1802: </t>
        </r>
        <r>
          <rPr>
            <i/>
            <sz val="14"/>
            <color rgb="FF000000"/>
            <rFont val="Times New Roman"/>
            <family val="18"/>
          </rPr>
          <t>Katholisch</t>
        </r>
        <r>
          <rPr>
            <sz val="14"/>
            <color rgb="FF000000"/>
            <rFont val="Times New Roman"/>
            <family val="18"/>
          </rPr>
          <t xml:space="preserve"> [ML 1802]</t>
        </r>
        <r>
          <rPr>
            <sz val="14"/>
            <color rgb="FF000000"/>
            <rFont val="Calibri"/>
            <family val="2"/>
          </rPr>
          <t xml:space="preserve"> </t>
        </r>
      </text>
    </comment>
    <comment ref="BF823" authorId="0" shapeId="0" xr:uid="{BF2CBC9A-F4F8-E741-BFD0-A29D45BD1850}">
      <text>
        <r>
          <rPr>
            <sz val="14"/>
            <color rgb="FF000000"/>
            <rFont val="Times New Roman"/>
            <family val="18"/>
          </rPr>
          <t xml:space="preserve">03/09/1802 </t>
        </r>
        <r>
          <rPr>
            <i/>
            <sz val="14"/>
            <color rgb="FF000000"/>
            <rFont val="Times New Roman"/>
            <family val="18"/>
          </rPr>
          <t>Dient seit mindestens am IR 30 2. Major Komp.</t>
        </r>
        <r>
          <rPr>
            <sz val="14"/>
            <color rgb="FF000000"/>
            <rFont val="Calibri"/>
            <family val="34"/>
          </rPr>
          <t xml:space="preserve">
</t>
        </r>
        <r>
          <rPr>
            <sz val="14"/>
            <color rgb="FF000000"/>
            <rFont val="Times New Roman"/>
            <family val="18"/>
          </rPr>
          <t xml:space="preserve">30/08/1802 </t>
        </r>
        <r>
          <rPr>
            <i/>
            <sz val="14"/>
            <color rgb="FF000000"/>
            <rFont val="Times New Roman"/>
            <family val="18"/>
          </rPr>
          <t xml:space="preserve">Über Urlaub desertiert </t>
        </r>
        <r>
          <rPr>
            <sz val="14"/>
            <color rgb="FF000000"/>
            <rFont val="Times New Roman"/>
            <family val="18"/>
          </rPr>
          <t>[ML 1803]</t>
        </r>
        <r>
          <rPr>
            <sz val="14"/>
            <color rgb="FF000000"/>
            <rFont val="Calibri"/>
            <family val="34"/>
          </rPr>
          <t xml:space="preserve">
</t>
        </r>
      </text>
    </comment>
    <comment ref="BG823" authorId="0" shapeId="0" xr:uid="{65A899A1-D249-B245-8FD1-C8C408E83A00}">
      <text>
        <r>
          <rPr>
            <sz val="14"/>
            <color rgb="FF000000"/>
            <rFont val="Times New Roman"/>
            <family val="18"/>
          </rPr>
          <t>ML 2630 IR 30 (1803) – 2. Gren. Komp. Abgang (Lemberg 12/08/1803)</t>
        </r>
        <r>
          <rPr>
            <sz val="14"/>
            <color rgb="FF000000"/>
            <rFont val="Calibri"/>
            <family val="34"/>
          </rPr>
          <t xml:space="preserve">
</t>
        </r>
      </text>
    </comment>
    <comment ref="BH823" authorId="0" shapeId="0" xr:uid="{0BB4D78E-D42D-2549-96B1-A8318EBE0DBF}">
      <text>
        <r>
          <rPr>
            <sz val="14"/>
            <color rgb="FF000000"/>
            <rFont val="Calibri"/>
            <family val="34"/>
          </rPr>
          <t>IR 30 (1802)</t>
        </r>
      </text>
    </comment>
    <comment ref="BF824" authorId="0" shapeId="0" xr:uid="{E1F6725C-942B-054D-BC14-0D528BE09A55}">
      <text>
        <r>
          <rPr>
            <sz val="14"/>
            <color rgb="FF000000"/>
            <rFont val="Times New Roman"/>
            <family val="18"/>
          </rPr>
          <t xml:space="preserve">03/09/1802 </t>
        </r>
        <r>
          <rPr>
            <i/>
            <sz val="14"/>
            <color rgb="FF000000"/>
            <rFont val="Times New Roman"/>
            <family val="18"/>
          </rPr>
          <t>Dient seit mindestens am IR 30 Groenvink Komp.</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ausser dinest ohne Fueregewehr mit complette</t>
        </r>
        <r>
          <rPr>
            <sz val="14"/>
            <color rgb="FF000000"/>
            <rFont val="Times New Roman"/>
            <family val="18"/>
          </rPr>
          <t xml:space="preserve"> </t>
        </r>
        <r>
          <rPr>
            <b/>
            <sz val="14"/>
            <color rgb="FF000000"/>
            <rFont val="Times New Roman"/>
            <family val="18"/>
          </rPr>
          <t xml:space="preserve">[mit 4 andere]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824" authorId="0" shapeId="0" xr:uid="{7B934634-6036-7E44-910A-7A4AEFCD0EF5}">
      <text>
        <r>
          <rPr>
            <sz val="14"/>
            <color rgb="FF000000"/>
            <rFont val="Times New Roman"/>
            <family val="18"/>
          </rPr>
          <t>ML 2630 IR 30 (1803) – Haupt. Groenvink Komp. Abgang (Lemberg 12/08/1803)</t>
        </r>
        <r>
          <rPr>
            <sz val="14"/>
            <color rgb="FF000000"/>
            <rFont val="Calibri"/>
            <family val="34"/>
          </rPr>
          <t xml:space="preserve">
</t>
        </r>
      </text>
    </comment>
    <comment ref="BH824" authorId="0" shapeId="0" xr:uid="{BF461D2A-9455-DD4E-B0CB-7A29F8A4A5D0}">
      <text>
        <r>
          <rPr>
            <sz val="14"/>
            <color rgb="FF000000"/>
            <rFont val="Calibri"/>
            <family val="34"/>
          </rPr>
          <t>IR 30 (1802)</t>
        </r>
      </text>
    </comment>
    <comment ref="BF825" authorId="0" shapeId="0" xr:uid="{48A094F2-842E-7545-A37A-082D5BE4B647}">
      <text>
        <r>
          <rPr>
            <sz val="14"/>
            <color rgb="FF000000"/>
            <rFont val="Times New Roman"/>
            <family val="18"/>
          </rPr>
          <t xml:space="preserve">03/09/1802 </t>
        </r>
        <r>
          <rPr>
            <i/>
            <sz val="14"/>
            <color rgb="FF000000"/>
            <rFont val="Times New Roman"/>
            <family val="18"/>
          </rPr>
          <t>Dient seit mindestens am IR 30 Groenvink Komp.</t>
        </r>
        <r>
          <rPr>
            <sz val="14"/>
            <color rgb="FF000000"/>
            <rFont val="Calibri"/>
            <family val="34"/>
          </rPr>
          <t xml:space="preserve">
</t>
        </r>
        <r>
          <rPr>
            <sz val="14"/>
            <color rgb="FF000000"/>
            <rFont val="Times New Roman"/>
            <family val="18"/>
          </rPr>
          <t xml:space="preserve">22/09/1802 </t>
        </r>
        <r>
          <rPr>
            <i/>
            <sz val="14"/>
            <color rgb="FF000000"/>
            <rFont val="Times New Roman"/>
            <family val="18"/>
          </rPr>
          <t>Ex loco ausser dinest ohne Fueregewehr einsichtig</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825" authorId="0" shapeId="0" xr:uid="{6A2D265E-3457-1C4F-A913-2D2C3178EDA6}">
      <text>
        <r>
          <rPr>
            <sz val="14"/>
            <color rgb="FF000000"/>
            <rFont val="Times New Roman"/>
            <family val="18"/>
          </rPr>
          <t>ML 2630 IR 30 (1803) – Haupt. Groenvink Komp. Abgang (Lemberg 12/08/1803)</t>
        </r>
        <r>
          <rPr>
            <sz val="14"/>
            <color rgb="FF000000"/>
            <rFont val="Calibri"/>
            <family val="34"/>
          </rPr>
          <t xml:space="preserve">
</t>
        </r>
      </text>
    </comment>
    <comment ref="BH825" authorId="0" shapeId="0" xr:uid="{13742E05-D0F2-114F-BC17-EC57C3787102}">
      <text>
        <r>
          <rPr>
            <sz val="14"/>
            <color rgb="FF000000"/>
            <rFont val="Calibri"/>
            <family val="34"/>
          </rPr>
          <t>IR 30 (1802)</t>
        </r>
      </text>
    </comment>
    <comment ref="BF826" authorId="0" shapeId="0" xr:uid="{A3AD9B07-54A7-AD48-B7E8-115C61981BA4}">
      <text>
        <r>
          <rPr>
            <sz val="14"/>
            <color rgb="FF000000"/>
            <rFont val="Times New Roman"/>
            <family val="18"/>
          </rPr>
          <t xml:space="preserve">03/09/1802 </t>
        </r>
        <r>
          <rPr>
            <i/>
            <sz val="14"/>
            <color rgb="FF000000"/>
            <rFont val="Times New Roman"/>
            <family val="18"/>
          </rPr>
          <t>Dient seit mindestens am IR 30 La Fontaine Komp.</t>
        </r>
        <r>
          <rPr>
            <sz val="14"/>
            <color rgb="FF000000"/>
            <rFont val="Calibri"/>
            <family val="34"/>
          </rPr>
          <t xml:space="preserve">
</t>
        </r>
        <r>
          <rPr>
            <sz val="14"/>
            <color rgb="FF000000"/>
            <rFont val="Times New Roman"/>
            <family val="18"/>
          </rPr>
          <t xml:space="preserve">30/06/1803 </t>
        </r>
        <r>
          <rPr>
            <i/>
            <sz val="14"/>
            <color rgb="FF000000"/>
            <rFont val="Times New Roman"/>
            <family val="18"/>
          </rPr>
          <t xml:space="preserve">Statt zu W. Colloredo gestellte Recrout Ivan BIALOMOF &amp; Matwei Muchalowsky entlaassen </t>
        </r>
        <r>
          <rPr>
            <sz val="14"/>
            <color rgb="FF000000"/>
            <rFont val="Times New Roman"/>
            <family val="18"/>
          </rPr>
          <t>[ML 1803]</t>
        </r>
        <r>
          <rPr>
            <sz val="14"/>
            <color rgb="FF000000"/>
            <rFont val="Calibri"/>
            <family val="34"/>
          </rPr>
          <t xml:space="preserve">
</t>
        </r>
      </text>
    </comment>
    <comment ref="BG826" authorId="0" shapeId="0" xr:uid="{4E2CA3AC-B52D-794E-9F7B-04B131F1A414}">
      <text>
        <r>
          <rPr>
            <sz val="14"/>
            <color rgb="FF000000"/>
            <rFont val="Times New Roman"/>
            <family val="18"/>
          </rPr>
          <t>ML 2630 IR 30 (1803) – Haupt. La Fontaine Komp. Abgang (Lemberg 12/08/1803)</t>
        </r>
        <r>
          <rPr>
            <sz val="14"/>
            <color rgb="FF000000"/>
            <rFont val="Calibri"/>
            <family val="34"/>
          </rPr>
          <t xml:space="preserve">
</t>
        </r>
      </text>
    </comment>
    <comment ref="BH826" authorId="0" shapeId="0" xr:uid="{D44CC046-0223-264E-88AB-6AA06C1A4AAE}">
      <text>
        <r>
          <rPr>
            <sz val="14"/>
            <color rgb="FF000000"/>
            <rFont val="Calibri"/>
            <family val="34"/>
          </rPr>
          <t>IR 30 (1802-1803)</t>
        </r>
      </text>
    </comment>
    <comment ref="BF827" authorId="0" shapeId="0" xr:uid="{4A0AAF4B-B2BA-5D48-A0D7-5F3FD9AED3B4}">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827" authorId="0" shapeId="0" xr:uid="{81219481-4AE3-BE4B-81AD-52CF5E8ED30C}">
      <text>
        <r>
          <rPr>
            <sz val="14"/>
            <color rgb="FF000000"/>
            <rFont val="Times New Roman"/>
            <family val="18"/>
          </rPr>
          <t>ML 5015 IR 59 (1803) – Haupt Harnack Komp. Abgang (Enns 29/03/1803)</t>
        </r>
        <r>
          <rPr>
            <sz val="14"/>
            <color rgb="FF000000"/>
            <rFont val="Calibri"/>
            <family val="34"/>
          </rPr>
          <t xml:space="preserve">
</t>
        </r>
      </text>
    </comment>
    <comment ref="BH827" authorId="0" shapeId="0" xr:uid="{DCB3615F-166A-D343-8DEC-B8D31E79FC56}">
      <text>
        <r>
          <rPr>
            <sz val="14"/>
            <color rgb="FF000000"/>
            <rFont val="Calibri"/>
            <family val="34"/>
          </rPr>
          <t>IR 59 (1802-1803)</t>
        </r>
      </text>
    </comment>
    <comment ref="BF828" authorId="0" shapeId="0" xr:uid="{B25341A1-50A8-F140-BBCF-E93AA448573E}">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828" authorId="0" shapeId="0" xr:uid="{0C821666-2B5B-DF4E-8945-77BD92140742}">
      <text>
        <r>
          <rPr>
            <sz val="14"/>
            <color rgb="FF000000"/>
            <rFont val="Times New Roman"/>
            <family val="18"/>
          </rPr>
          <t>ML 5015 IR 59 (1803) – 2. Major Komp. Abgang (Enns 29/03/1803)</t>
        </r>
        <r>
          <rPr>
            <sz val="14"/>
            <color rgb="FF000000"/>
            <rFont val="Calibri"/>
            <family val="34"/>
          </rPr>
          <t xml:space="preserve">
</t>
        </r>
      </text>
    </comment>
    <comment ref="BH828" authorId="0" shapeId="0" xr:uid="{5C1F771F-FE32-9140-AE99-A8527665FE5B}">
      <text>
        <r>
          <rPr>
            <sz val="14"/>
            <color rgb="FF000000"/>
            <rFont val="Calibri"/>
            <family val="34"/>
          </rPr>
          <t>IR 59 (1802-1803)</t>
        </r>
      </text>
    </comment>
    <comment ref="BF829" authorId="0" shapeId="0" xr:uid="{73F72D4B-8A71-9846-A9E1-AFEAB1D01187}">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05/08/1803 </t>
        </r>
        <r>
          <rPr>
            <i/>
            <sz val="14"/>
            <color rgb="FF000000"/>
            <rFont val="Times New Roman"/>
            <family val="18"/>
          </rPr>
          <t>Vermog Concentrations Protokoll Erledigung gegen Stellung andere mit Abschied entlassen</t>
        </r>
        <r>
          <rPr>
            <sz val="14"/>
            <color rgb="FF000000"/>
            <rFont val="Times New Roman"/>
            <family val="18"/>
          </rPr>
          <t xml:space="preserve"> [ML 1803]</t>
        </r>
      </text>
    </comment>
    <comment ref="BG829" authorId="0" shapeId="0" xr:uid="{AA1097C6-046C-2542-A5EF-F34F027D9EB1}">
      <text>
        <r>
          <rPr>
            <sz val="14"/>
            <color rgb="FF000000"/>
            <rFont val="Times New Roman"/>
            <family val="18"/>
          </rPr>
          <t>ML 5015 IR 59 (1803) – Haupt Harnack Komp. Abgang (Enns 29/03/1803)</t>
        </r>
        <r>
          <rPr>
            <sz val="14"/>
            <color rgb="FF000000"/>
            <rFont val="Calibri"/>
            <family val="34"/>
          </rPr>
          <t xml:space="preserve">
</t>
        </r>
      </text>
    </comment>
    <comment ref="BH829" authorId="0" shapeId="0" xr:uid="{A224B295-6853-1743-8E3E-EB8E164C5CCB}">
      <text>
        <r>
          <rPr>
            <sz val="14"/>
            <color rgb="FF000000"/>
            <rFont val="Calibri"/>
            <family val="34"/>
          </rPr>
          <t>IR 59 (1802-1803)</t>
        </r>
      </text>
    </comment>
    <comment ref="BF830" authorId="0" shapeId="0" xr:uid="{B3F07C6A-A7EC-444E-93E6-D659778387F4}">
      <text>
        <r>
          <rPr>
            <sz val="14"/>
            <color rgb="FF000000"/>
            <rFont val="Times New Roman"/>
            <family val="18"/>
          </rPr>
          <t xml:space="preserve">20/09/1802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30/06/1803 </t>
        </r>
        <r>
          <rPr>
            <i/>
            <sz val="14"/>
            <color rgb="FF000000"/>
            <rFont val="Times New Roman"/>
            <family val="18"/>
          </rPr>
          <t>Vermog Concert Protocols Erledigung des Lubliner Kreisamtes als Kriegscapitulant von unbestimmte Urlaub mit Abschied entlassen</t>
        </r>
        <r>
          <rPr>
            <sz val="14"/>
            <color rgb="FF000000"/>
            <rFont val="Times New Roman"/>
            <family val="18"/>
          </rPr>
          <t xml:space="preserve"> [ML 1803 &amp; ST Juli 1803]</t>
        </r>
      </text>
    </comment>
    <comment ref="BG830" authorId="0" shapeId="0" xr:uid="{8B7AA9FB-A971-6D46-9D35-94C970DAD4F9}">
      <text>
        <r>
          <rPr>
            <sz val="14"/>
            <color rgb="FF000000"/>
            <rFont val="Times New Roman"/>
            <family val="18"/>
          </rPr>
          <t>ML 5015 IR 59 (1803) – Haupt. Gollner Komp. Abgang (Enns 29/08/1803)</t>
        </r>
        <r>
          <rPr>
            <sz val="14"/>
            <color rgb="FF000000"/>
            <rFont val="Calibri"/>
            <family val="34"/>
          </rPr>
          <t xml:space="preserve">
</t>
        </r>
        <r>
          <rPr>
            <sz val="14"/>
            <color rgb="FF000000"/>
            <rFont val="Times New Roman"/>
            <family val="18"/>
          </rPr>
          <t>ML 5062 IR 59 (1803) – ST Juli (18/08/1803)</t>
        </r>
        <r>
          <rPr>
            <sz val="14"/>
            <color rgb="FF000000"/>
            <rFont val="Calibri"/>
            <family val="34"/>
          </rPr>
          <t xml:space="preserve">
</t>
        </r>
      </text>
    </comment>
    <comment ref="BH830" authorId="0" shapeId="0" xr:uid="{BD92693E-8AA3-B249-AFD9-31AFB3F0C3AA}">
      <text>
        <r>
          <rPr>
            <sz val="14"/>
            <color rgb="FF000000"/>
            <rFont val="Calibri"/>
            <family val="34"/>
          </rPr>
          <t>IR 59 (1802-1803)</t>
        </r>
      </text>
    </comment>
    <comment ref="BF831" authorId="0" shapeId="0" xr:uid="{9499C127-D225-F546-AB7F-E519F6B44130}">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831" authorId="0" shapeId="0" xr:uid="{A266256C-6F3B-A244-A406-BBE19C58A8D3}">
      <text>
        <r>
          <rPr>
            <sz val="14"/>
            <color rgb="FF000000"/>
            <rFont val="Times New Roman"/>
            <family val="18"/>
          </rPr>
          <t>ML 5015 IR 59 (1803) – 1. Major Komp. Abgang (Enns 29/03/1803)</t>
        </r>
        <r>
          <rPr>
            <sz val="14"/>
            <color rgb="FF000000"/>
            <rFont val="Calibri"/>
            <family val="34"/>
          </rPr>
          <t xml:space="preserve">
</t>
        </r>
      </text>
    </comment>
    <comment ref="BH831" authorId="0" shapeId="0" xr:uid="{09F260DC-5CD0-734F-9A4B-B879F5897C66}">
      <text>
        <r>
          <rPr>
            <sz val="14"/>
            <color rgb="FF000000"/>
            <rFont val="Calibri"/>
            <family val="34"/>
          </rPr>
          <t>IR 59 (1802-1803)</t>
        </r>
      </text>
    </comment>
    <comment ref="BF832" authorId="0" shapeId="0" xr:uid="{01F770B4-CE94-5A4A-9547-E8DC59859CD2}">
      <text>
        <r>
          <rPr>
            <sz val="14"/>
            <color rgb="FF000000"/>
            <rFont val="Times New Roman"/>
            <family val="18"/>
          </rPr>
          <t xml:space="preserve">21/09/1803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05/08/1803 </t>
        </r>
        <r>
          <rPr>
            <i/>
            <sz val="14"/>
            <color rgb="FF000000"/>
            <rFont val="Times New Roman"/>
            <family val="18"/>
          </rPr>
          <t xml:space="preserve">Gegen Stellung anderer mit Abschied entlassen </t>
        </r>
        <r>
          <rPr>
            <sz val="14"/>
            <color rgb="FF000000"/>
            <rFont val="Times New Roman"/>
            <family val="18"/>
          </rPr>
          <t>[ML 1803]</t>
        </r>
      </text>
    </comment>
    <comment ref="BG832" authorId="0" shapeId="0" xr:uid="{0AD32E33-89BA-C346-A657-B5F9034566EC}">
      <text>
        <r>
          <rPr>
            <sz val="14"/>
            <color rgb="FF000000"/>
            <rFont val="Times New Roman"/>
            <family val="18"/>
          </rPr>
          <t xml:space="preserve">ML 5015 IR 59 (1803) – Haupt Straka Komp. Abgang (Enns 29/03/1803)
</t>
        </r>
      </text>
    </comment>
    <comment ref="BH832" authorId="0" shapeId="0" xr:uid="{ADEE5253-0981-3342-AAD6-6CC0CFA2C3E1}">
      <text>
        <r>
          <rPr>
            <sz val="14"/>
            <color rgb="FF000000"/>
            <rFont val="Calibri"/>
            <family val="34"/>
          </rPr>
          <t>IR 59 (1802-1803)</t>
        </r>
      </text>
    </comment>
    <comment ref="BF833" authorId="0" shapeId="0" xr:uid="{567DDA51-903B-AE4F-9B08-58EDB3807EB9}">
      <text>
        <r>
          <rPr>
            <sz val="14"/>
            <color rgb="FF000000"/>
            <rFont val="Times New Roman"/>
            <family val="18"/>
          </rPr>
          <t xml:space="preserve">21/09/1803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833" authorId="0" shapeId="0" xr:uid="{BF526718-3F59-A448-BACD-E355767394AC}">
      <text>
        <r>
          <rPr>
            <sz val="14"/>
            <color rgb="FF000000"/>
            <rFont val="Times New Roman"/>
            <family val="18"/>
          </rPr>
          <t xml:space="preserve">ML 5015 IR 59 (1803) – Haupt Straka Komp. Abgang (Enns 29/03/1803)
</t>
        </r>
      </text>
    </comment>
    <comment ref="BH833" authorId="0" shapeId="0" xr:uid="{A2C06085-81DB-1448-A7FB-92D0E39E9EAF}">
      <text>
        <r>
          <rPr>
            <sz val="14"/>
            <color rgb="FF000000"/>
            <rFont val="Calibri"/>
            <family val="34"/>
          </rPr>
          <t>IR 59 (1802-1803)</t>
        </r>
      </text>
    </comment>
    <comment ref="BF834" authorId="0" shapeId="0" xr:uid="{6899A54A-F52B-F04C-9633-27D363FE8E6A}">
      <text>
        <r>
          <rPr>
            <sz val="14"/>
            <color rgb="FF000000"/>
            <rFont val="Times New Roman"/>
            <family val="18"/>
          </rPr>
          <t xml:space="preserve">20/09/1802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30/06/1803 </t>
        </r>
        <r>
          <rPr>
            <i/>
            <sz val="14"/>
            <color rgb="FF000000"/>
            <rFont val="Times New Roman"/>
            <family val="18"/>
          </rPr>
          <t>Vermog Concert Protocols Erledigung des Lubliner Kreisamtes als Kriegscapitulant von unbestimmte Urlaub mit Abschied entlassen</t>
        </r>
        <r>
          <rPr>
            <sz val="14"/>
            <color rgb="FF000000"/>
            <rFont val="Times New Roman"/>
            <family val="18"/>
          </rPr>
          <t xml:space="preserve"> [ML 1803 &amp; ST Juli 1803]</t>
        </r>
      </text>
    </comment>
    <comment ref="BG834" authorId="0" shapeId="0" xr:uid="{CD22A60E-33BD-7547-97CC-1169E36DB0EC}">
      <text>
        <r>
          <rPr>
            <sz val="14"/>
            <color rgb="FF000000"/>
            <rFont val="Times New Roman"/>
            <family val="18"/>
          </rPr>
          <t>ML 5015 IR 59 ‘Jordis’ (1803) – Haupt. Kappaun Komp. Abgang (Wells 30/09/1803)</t>
        </r>
        <r>
          <rPr>
            <sz val="14"/>
            <color rgb="FF000000"/>
            <rFont val="Calibri"/>
            <family val="34"/>
          </rPr>
          <t xml:space="preserve">
</t>
        </r>
      </text>
    </comment>
    <comment ref="BH834" authorId="0" shapeId="0" xr:uid="{E8D3A138-4713-6645-98C6-30E7176C5AD6}">
      <text>
        <r>
          <rPr>
            <sz val="14"/>
            <color rgb="FF000000"/>
            <rFont val="Calibri"/>
            <family val="34"/>
          </rPr>
          <t>IR 39 (1802-1803)</t>
        </r>
      </text>
    </comment>
    <comment ref="BF835" authorId="0" shapeId="0" xr:uid="{79548608-2C96-0F49-921A-5EBE6458C04D}">
      <text>
        <r>
          <rPr>
            <sz val="14"/>
            <color rgb="FF000000"/>
            <rFont val="Times New Roman"/>
            <family val="18"/>
          </rPr>
          <t xml:space="preserve">23/09/1802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15/07/1803 </t>
        </r>
        <r>
          <rPr>
            <i/>
            <sz val="14"/>
            <color rgb="FF000000"/>
            <rFont val="Times New Roman"/>
            <family val="18"/>
          </rPr>
          <t>Als Ausgedienter Capitulant mit Abschied entlassen</t>
        </r>
        <r>
          <rPr>
            <sz val="14"/>
            <color rgb="FF000000"/>
            <rFont val="Times New Roman"/>
            <family val="18"/>
          </rPr>
          <t xml:space="preserve"> [ML 1803]</t>
        </r>
      </text>
    </comment>
    <comment ref="BG835" authorId="0" shapeId="0" xr:uid="{0B6D09F7-4273-1645-8532-920A9BF73F3E}">
      <text>
        <r>
          <rPr>
            <sz val="14"/>
            <color rgb="FF000000"/>
            <rFont val="Times New Roman"/>
            <family val="18"/>
          </rPr>
          <t>ML 5015 IR 59 ‘Jordis’ (1803) – Haupt. Lebzelten Komp. Abgang (Wells 30/09/1803)</t>
        </r>
        <r>
          <rPr>
            <sz val="14"/>
            <color rgb="FF000000"/>
            <rFont val="Calibri"/>
            <family val="34"/>
          </rPr>
          <t xml:space="preserve">
</t>
        </r>
      </text>
    </comment>
    <comment ref="BH835" authorId="0" shapeId="0" xr:uid="{56CC4E21-74B4-8A4E-BF91-5F0B8758D406}">
      <text>
        <r>
          <rPr>
            <sz val="14"/>
            <color rgb="FF000000"/>
            <rFont val="Calibri"/>
            <family val="34"/>
          </rPr>
          <t>IR 39 (1802-1803)</t>
        </r>
      </text>
    </comment>
    <comment ref="BF836" authorId="0" shapeId="0" xr:uid="{9710B265-9D3C-9344-922D-5C7733362AC4}">
      <text>
        <r>
          <rPr>
            <sz val="14"/>
            <color rgb="FF000000"/>
            <rFont val="Times New Roman"/>
            <family val="18"/>
          </rPr>
          <t xml:space="preserve">23/09/1802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01/11/1802 </t>
        </r>
        <r>
          <rPr>
            <i/>
            <sz val="14"/>
            <color rgb="FF000000"/>
            <rFont val="Times New Roman"/>
            <family val="18"/>
          </rPr>
          <t xml:space="preserve">Von Haupt Lebzelten zum Haupt Jordis Komp transferiert </t>
        </r>
        <r>
          <rPr>
            <sz val="14"/>
            <color rgb="FF000000"/>
            <rFont val="Times New Roman"/>
            <family val="18"/>
          </rPr>
          <t>[ML 1803]</t>
        </r>
        <r>
          <rPr>
            <sz val="14"/>
            <color rgb="FF000000"/>
            <rFont val="Calibri"/>
            <family val="34"/>
          </rPr>
          <t xml:space="preserve">
</t>
        </r>
        <r>
          <rPr>
            <sz val="14"/>
            <color rgb="FF000000"/>
            <rFont val="Times New Roman"/>
            <family val="18"/>
          </rPr>
          <t xml:space="preserve">31/07/1803 </t>
        </r>
        <r>
          <rPr>
            <i/>
            <sz val="14"/>
            <color rgb="FF000000"/>
            <rFont val="Times New Roman"/>
            <family val="18"/>
          </rPr>
          <t>Während des Urlaubs desertiert</t>
        </r>
        <r>
          <rPr>
            <sz val="14"/>
            <color rgb="FF000000"/>
            <rFont val="Times New Roman"/>
            <family val="18"/>
          </rPr>
          <t xml:space="preserve"> [ML 1803]</t>
        </r>
        <r>
          <rPr>
            <sz val="14"/>
            <color rgb="FF000000"/>
            <rFont val="Calibri"/>
            <family val="34"/>
          </rPr>
          <t xml:space="preserve">
</t>
        </r>
      </text>
    </comment>
    <comment ref="BG836" authorId="0" shapeId="0" xr:uid="{F38CF46C-432B-D04A-A8FC-EC6787219C62}">
      <text>
        <r>
          <rPr>
            <sz val="14"/>
            <color rgb="FF000000"/>
            <rFont val="Times New Roman"/>
            <family val="18"/>
          </rPr>
          <t>ML 5015 IR 59 ‘Jordis’ (1803) – Haupt. Jordis Komp. Abgang (Enns 29/09/1803)</t>
        </r>
        <r>
          <rPr>
            <sz val="14"/>
            <color rgb="FF000000"/>
            <rFont val="Calibri"/>
            <family val="34"/>
          </rPr>
          <t xml:space="preserve">
</t>
        </r>
      </text>
    </comment>
    <comment ref="BH836" authorId="0" shapeId="0" xr:uid="{E5B613D1-2B32-7A43-A1D3-483D0E41181F}">
      <text>
        <r>
          <rPr>
            <sz val="14"/>
            <color rgb="FF000000"/>
            <rFont val="Calibri"/>
            <family val="34"/>
          </rPr>
          <t>IR 39 (1802-1803)</t>
        </r>
      </text>
    </comment>
    <comment ref="BF837" authorId="0" shapeId="0" xr:uid="{C0459540-0A59-E743-9ABA-F39D2206D713}">
      <text>
        <r>
          <rPr>
            <sz val="14"/>
            <color rgb="FF000000"/>
            <rFont val="Times New Roman"/>
            <family val="18"/>
          </rPr>
          <t xml:space="preserve">26/01/1803 </t>
        </r>
        <r>
          <rPr>
            <i/>
            <sz val="14"/>
            <color rgb="FF000000"/>
            <rFont val="Times New Roman"/>
            <family val="18"/>
          </rPr>
          <t>Statt den bey Stuart</t>
        </r>
        <r>
          <rPr>
            <sz val="14"/>
            <color rgb="FF000000"/>
            <rFont val="Times New Roman"/>
            <family val="18"/>
          </rPr>
          <t xml:space="preserve"> </t>
        </r>
        <r>
          <rPr>
            <b/>
            <sz val="14"/>
            <color rgb="FF000000"/>
            <rFont val="Times New Roman"/>
            <family val="18"/>
          </rPr>
          <t>[IR 18]</t>
        </r>
        <r>
          <rPr>
            <sz val="14"/>
            <color rgb="FF000000"/>
            <rFont val="Times New Roman"/>
            <family val="18"/>
          </rPr>
          <t xml:space="preserve"> </t>
        </r>
        <r>
          <rPr>
            <i/>
            <sz val="14"/>
            <color rgb="FF000000"/>
            <rFont val="Times New Roman"/>
            <family val="18"/>
          </rPr>
          <t xml:space="preserve">entlassenen Gemeiner Giacomb di Mathia zu Vendig auf 6 Jahr assentiert </t>
        </r>
        <r>
          <rPr>
            <sz val="14"/>
            <color rgb="FF000000"/>
            <rFont val="Times New Roman"/>
            <family val="18"/>
          </rPr>
          <t>[ML 1803]</t>
        </r>
        <r>
          <rPr>
            <sz val="14"/>
            <color rgb="FF000000"/>
            <rFont val="Calibri"/>
            <family val="34"/>
          </rPr>
          <t xml:space="preserve">
</t>
        </r>
        <r>
          <rPr>
            <sz val="14"/>
            <color rgb="FF000000"/>
            <rFont val="Times New Roman"/>
            <family val="18"/>
          </rPr>
          <t>19/09/1803 Muster: IR 44 Haupt Trivulzi Nr. 118</t>
        </r>
        <r>
          <rPr>
            <sz val="14"/>
            <color rgb="FF000000"/>
            <rFont val="Calibri"/>
            <family val="34"/>
          </rPr>
          <t xml:space="preserve">
</t>
        </r>
        <r>
          <rPr>
            <sz val="14"/>
            <color rgb="FF000000"/>
            <rFont val="Times New Roman"/>
            <family val="18"/>
          </rPr>
          <t>12/05/1804 Muster: IR 44 Haupt Trivulzi Nr. 99</t>
        </r>
        <r>
          <rPr>
            <sz val="14"/>
            <color rgb="FF000000"/>
            <rFont val="Calibri"/>
            <family val="34"/>
          </rPr>
          <t xml:space="preserve">
</t>
        </r>
        <r>
          <rPr>
            <sz val="14"/>
            <color rgb="FF000000"/>
            <rFont val="Times New Roman"/>
            <family val="18"/>
          </rPr>
          <t xml:space="preserve">07/04/1806 </t>
        </r>
        <r>
          <rPr>
            <i/>
            <sz val="14"/>
            <color rgb="FF000000"/>
            <rFont val="Times New Roman"/>
            <family val="18"/>
          </rPr>
          <t>Gegen 18Fl auf 6 Jahr reengagiert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 IR 44 Haupt Trivulzi Komp. Nr. 65</t>
        </r>
        <r>
          <rPr>
            <sz val="14"/>
            <color rgb="FF000000"/>
            <rFont val="Calibri"/>
            <family val="34"/>
          </rPr>
          <t xml:space="preserve">
</t>
        </r>
        <r>
          <rPr>
            <sz val="14"/>
            <color rgb="FF000000"/>
            <rFont val="Times New Roman"/>
            <family val="18"/>
          </rPr>
          <t>19/09/1808 Muster: IR 44 Haupt Trivulzi Komp. Nr. 51</t>
        </r>
        <r>
          <rPr>
            <sz val="14"/>
            <color rgb="FF000000"/>
            <rFont val="Calibri"/>
            <family val="34"/>
          </rPr>
          <t xml:space="preserve">
</t>
        </r>
        <r>
          <rPr>
            <sz val="14"/>
            <color rgb="FF000000"/>
            <rFont val="Times New Roman"/>
            <family val="18"/>
          </rPr>
          <t xml:space="preserve">11/12/1808 </t>
        </r>
        <r>
          <rPr>
            <i/>
            <sz val="14"/>
            <color rgb="FF000000"/>
            <rFont val="Times New Roman"/>
            <family val="18"/>
          </rPr>
          <t>Krank in Afnahme Spital zu Komorn</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9. Zum 2.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26/09/1809 </t>
        </r>
        <r>
          <rPr>
            <i/>
            <sz val="14"/>
            <color rgb="FF000000"/>
            <rFont val="Times New Roman"/>
            <family val="18"/>
          </rPr>
          <t>Von 2.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ungehöriger von 2. Fus. Komp. als unwissend verloren in Abgang gebracht</t>
        </r>
        <r>
          <rPr>
            <sz val="14"/>
            <color rgb="FF000000"/>
            <rFont val="Times New Roman"/>
            <family val="18"/>
          </rPr>
          <t xml:space="preserve"> [ML 1811]</t>
        </r>
      </text>
    </comment>
    <comment ref="BG837" authorId="0" shapeId="0" xr:uid="{68F6918F-6DCA-8E40-8CA1-80366BD31138}">
      <text>
        <r>
          <rPr>
            <sz val="14"/>
            <color rgb="FF000000"/>
            <rFont val="Times New Roman"/>
            <family val="18"/>
          </rPr>
          <t>ML 3908 IR 44 (1803) – Haupt Trivulzi Komp. Nr. 118 (Venice 19/09/1803)</t>
        </r>
        <r>
          <rPr>
            <sz val="14"/>
            <color rgb="FF000000"/>
            <rFont val="Calibri"/>
            <family val="34"/>
          </rPr>
          <t xml:space="preserve">
</t>
        </r>
        <r>
          <rPr>
            <sz val="14"/>
            <color rgb="FF000000"/>
            <rFont val="Times New Roman"/>
            <family val="18"/>
          </rPr>
          <t>ML 3909 R 44 (1804) – Haupt Trivulzi Komp. Nr. 99 (Vicenza 12/05/1804)</t>
        </r>
        <r>
          <rPr>
            <sz val="14"/>
            <color rgb="FF000000"/>
            <rFont val="Calibri"/>
            <family val="34"/>
          </rPr>
          <t xml:space="preserve">
</t>
        </r>
        <r>
          <rPr>
            <sz val="14"/>
            <color rgb="FF000000"/>
            <rFont val="Times New Roman"/>
            <family val="18"/>
          </rPr>
          <t>ML 3910 IR 44 (1806) – Haupt Trivulzi Komp. Nr. 65 (Fiume 10/12/1806)</t>
        </r>
        <r>
          <rPr>
            <sz val="14"/>
            <color rgb="FF000000"/>
            <rFont val="Calibri"/>
            <family val="34"/>
          </rPr>
          <t xml:space="preserve">
</t>
        </r>
        <r>
          <rPr>
            <sz val="14"/>
            <color rgb="FF000000"/>
            <rFont val="Times New Roman"/>
            <family val="18"/>
          </rPr>
          <t>ML 3911 IR 44 (1808-10) – Haupt Trivulzi [9. Fus.] Komp. Nr. 51 (Comorn 19/09/1808)</t>
        </r>
        <r>
          <rPr>
            <sz val="14"/>
            <color rgb="FF000000"/>
            <rFont val="Calibri"/>
            <family val="34"/>
          </rPr>
          <t xml:space="preserve">
</t>
        </r>
        <r>
          <rPr>
            <sz val="14"/>
            <color rgb="FF000000"/>
            <rFont val="Times New Roman"/>
            <family val="18"/>
          </rPr>
          <t>ML 3912-3 IR 44 (1811) – 2. Fus. Komp. – Abgang (Pappa 18/09/1811)</t>
        </r>
        <r>
          <rPr>
            <sz val="14"/>
            <color rgb="FF000000"/>
            <rFont val="Calibri"/>
            <family val="34"/>
          </rPr>
          <t xml:space="preserve">
</t>
        </r>
        <r>
          <rPr>
            <sz val="14"/>
            <color rgb="FF000000"/>
            <rFont val="Times New Roman"/>
            <family val="18"/>
          </rPr>
          <t>ML 3958 IR 44 (1808) – Dez (28/03/1809)</t>
        </r>
        <r>
          <rPr>
            <sz val="14"/>
            <color rgb="FF000000"/>
            <rFont val="Calibri"/>
            <family val="34"/>
          </rPr>
          <t xml:space="preserve">
</t>
        </r>
      </text>
    </comment>
    <comment ref="BH837" authorId="0" shapeId="0" xr:uid="{B233CF60-66D3-6345-8626-9250365E264C}">
      <text>
        <r>
          <rPr>
            <sz val="14"/>
            <color rgb="FF000000"/>
            <rFont val="Calibri"/>
            <family val="34"/>
          </rPr>
          <t>IR 44 (1803-1810)</t>
        </r>
      </text>
    </comment>
    <comment ref="T838" authorId="0" shapeId="0" xr:uid="{5F9D6E27-9935-B14E-AB21-1CEA45BDEBCD}">
      <text>
        <r>
          <rPr>
            <sz val="14"/>
            <color rgb="FF000000"/>
            <rFont val="Calibri"/>
            <family val="34"/>
          </rPr>
          <t xml:space="preserve">166.11 [5.3.1 (ML 1803)]
</t>
        </r>
        <r>
          <rPr>
            <sz val="14"/>
            <color rgb="FF000000"/>
            <rFont val="Calibri"/>
            <family val="34"/>
          </rPr>
          <t>168.52 [5.4 (ML 1804)]</t>
        </r>
      </text>
    </comment>
    <comment ref="BF838" authorId="0" shapeId="0" xr:uid="{23DA0827-7072-D141-A18B-BDD996EC0861}">
      <text>
        <r>
          <rPr>
            <sz val="14"/>
            <color rgb="FF000000"/>
            <rFont val="Times New Roman"/>
            <family val="18"/>
          </rPr>
          <t xml:space="preserve">13/06/1803 </t>
        </r>
        <r>
          <rPr>
            <i/>
            <sz val="14"/>
            <color rgb="FF000000"/>
            <rFont val="Times New Roman"/>
            <family val="18"/>
          </rPr>
          <t>Statt des entlassenen Regiments Gemeiner Jonas SEELIG von galizischen Ständen gestellt und a 3Fl Handgeld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13/09/1803 Muster: IR 23 Haupt Rauch Nr. 118 [</t>
        </r>
        <r>
          <rPr>
            <i/>
            <sz val="14"/>
            <color rgb="FF000000"/>
            <rFont val="Times New Roman"/>
            <family val="18"/>
          </rPr>
          <t>Auf Kassen Wache</t>
        </r>
        <r>
          <rPr>
            <sz val="14"/>
            <color rgb="FF000000"/>
            <rFont val="Times New Roman"/>
            <family val="18"/>
          </rPr>
          <t>]</t>
        </r>
        <r>
          <rPr>
            <sz val="14"/>
            <color rgb="FF000000"/>
            <rFont val="Calibri"/>
            <family val="34"/>
          </rPr>
          <t xml:space="preserve">
</t>
        </r>
        <r>
          <rPr>
            <sz val="14"/>
            <color rgb="FF000000"/>
            <rFont val="Times New Roman"/>
            <family val="18"/>
          </rPr>
          <t>06/09/1804 Muster: IR 23 Haupt Rauch Nr. 136 [</t>
        </r>
        <r>
          <rPr>
            <i/>
            <sz val="14"/>
            <color rgb="FF000000"/>
            <rFont val="Times New Roman"/>
            <family val="18"/>
          </rPr>
          <t>Beurlaubt bis zur Exercierszeit in seinem Geburtsort in Polen</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Rauch zum Haupt Böhm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30/06/1806 </t>
        </r>
        <r>
          <rPr>
            <i/>
            <sz val="14"/>
            <color rgb="FF000000"/>
            <rFont val="Times New Roman"/>
            <family val="18"/>
          </rPr>
          <t>Gegen Stellung 2en Ausländer Rekruten auf Steuerbare Wirtschaft mit Abschied entlassen</t>
        </r>
        <r>
          <rPr>
            <sz val="14"/>
            <color rgb="FF000000"/>
            <rFont val="Times New Roman"/>
            <family val="18"/>
          </rPr>
          <t xml:space="preserve"> [ML 1807] </t>
        </r>
      </text>
    </comment>
    <comment ref="BG838" authorId="0" shapeId="0" xr:uid="{FDA8E449-022A-E44A-A04B-0FB1B032D636}">
      <text>
        <r>
          <rPr>
            <sz val="14"/>
            <color rgb="FF000000"/>
            <rFont val="Times New Roman"/>
            <family val="18"/>
          </rPr>
          <t>ML 10.125 IR 23 (1803) – Haupt Rauch Komp. Nr. 152 (Vienna 16/09/1803)</t>
        </r>
        <r>
          <rPr>
            <sz val="14"/>
            <color rgb="FF000000"/>
            <rFont val="Calibri"/>
            <family val="34"/>
          </rPr>
          <t xml:space="preserve">
</t>
        </r>
        <r>
          <rPr>
            <sz val="14"/>
            <color rgb="FF000000"/>
            <rFont val="Times New Roman"/>
            <family val="18"/>
          </rPr>
          <t>ML 10.126 IR 23 (1804) – Haupt Rauch Komp. Nr. 136 (Krems 06/09/1804)</t>
        </r>
        <r>
          <rPr>
            <sz val="14"/>
            <color rgb="FF000000"/>
            <rFont val="Calibri"/>
            <family val="34"/>
          </rPr>
          <t xml:space="preserve">
</t>
        </r>
        <r>
          <rPr>
            <sz val="14"/>
            <color rgb="FF000000"/>
            <rFont val="Times New Roman"/>
            <family val="18"/>
          </rPr>
          <t>ML 10.127/8 IR 23 (1807) – Haupt Böhm Abgang (Korneuburg 24/01/1807)</t>
        </r>
        <r>
          <rPr>
            <sz val="14"/>
            <color rgb="FF000000"/>
            <rFont val="Calibri"/>
            <family val="34"/>
          </rPr>
          <t xml:space="preserve">
</t>
        </r>
      </text>
    </comment>
    <comment ref="BH838" authorId="0" shapeId="0" xr:uid="{CFE6511E-8BE2-E444-8F7E-A350F7C026BF}">
      <text>
        <r>
          <rPr>
            <sz val="14"/>
            <color rgb="FF000000"/>
            <rFont val="Calibri"/>
            <family val="34"/>
          </rPr>
          <t>IR 23 (1803-1806)</t>
        </r>
      </text>
    </comment>
    <comment ref="BF839" authorId="0" shapeId="0" xr:uid="{BF96C912-04A7-CE4F-8256-0C57FD540915}">
      <text>
        <r>
          <rPr>
            <sz val="14"/>
            <color rgb="FF000000"/>
            <rFont val="Times New Roman"/>
            <family val="18"/>
          </rPr>
          <t>??/08/1803 [Diente in ‘Vogelsang’ Infanterie 6 Jahr und 7 Monat] [ML 1811]</t>
        </r>
        <r>
          <rPr>
            <sz val="14"/>
            <color rgb="FF000000"/>
            <rFont val="Calibri"/>
            <family val="34"/>
          </rPr>
          <t xml:space="preserve">
</t>
        </r>
        <r>
          <rPr>
            <sz val="14"/>
            <color rgb="FF000000"/>
            <rFont val="Times New Roman"/>
            <family val="18"/>
          </rPr>
          <t xml:space="preserve">15/03/1810 </t>
        </r>
        <r>
          <rPr>
            <i/>
            <sz val="14"/>
            <color rgb="FF000000"/>
            <rFont val="Times New Roman"/>
            <family val="18"/>
          </rPr>
          <t xml:space="preserve">Mit Rang von Corporal von regiment entlassen und zur InvH zur Versorgung übersetzt </t>
        </r>
        <r>
          <rPr>
            <sz val="14"/>
            <color rgb="FF000000"/>
            <rFont val="Times New Roman"/>
            <family val="18"/>
          </rPr>
          <t>[ML 1811</t>
        </r>
        <r>
          <rPr>
            <sz val="14"/>
            <color rgb="FF000000"/>
            <rFont val="Calibri"/>
            <family val="34"/>
          </rPr>
          <t xml:space="preserve">
</t>
        </r>
        <r>
          <rPr>
            <sz val="14"/>
            <color rgb="FF000000"/>
            <rFont val="Times New Roman"/>
            <family val="18"/>
          </rPr>
          <t>24/06/1811 Muster: InvH Prag 9. &amp; 10. Chambre Nr. 27 [</t>
        </r>
        <r>
          <rPr>
            <i/>
            <sz val="14"/>
            <color rgb="FF000000"/>
            <rFont val="Times New Roman"/>
            <family val="18"/>
          </rPr>
          <t>Commandiert in Prag</t>
        </r>
        <r>
          <rPr>
            <sz val="14"/>
            <color rgb="FF000000"/>
            <rFont val="Times New Roman"/>
            <family val="18"/>
          </rPr>
          <t>]</t>
        </r>
      </text>
    </comment>
    <comment ref="BG839" authorId="0" shapeId="0" xr:uid="{D96A9F1B-118A-4F4F-A780-F2B252AF8235}">
      <text>
        <r>
          <rPr>
            <sz val="14"/>
            <color rgb="FF000000"/>
            <rFont val="Times New Roman"/>
            <family val="18"/>
          </rPr>
          <t>ML 9664 InvH Prag (1811) – Heft von 9. &amp; 10. Chambre Nr. 27 (Prag 24/06/1811)</t>
        </r>
        <r>
          <rPr>
            <sz val="14"/>
            <color rgb="FF000000"/>
            <rFont val="Calibri"/>
            <family val="34"/>
          </rPr>
          <t xml:space="preserve">
</t>
        </r>
      </text>
    </comment>
    <comment ref="BH839" authorId="0" shapeId="0" xr:uid="{492F2BF6-19A4-8F4E-8107-9D015D3C572F}">
      <text>
        <r>
          <rPr>
            <sz val="14"/>
            <color rgb="FF000000"/>
            <rFont val="Calibri"/>
            <family val="34"/>
          </rPr>
          <t xml:space="preserve">IR 47 (1803-1810)
</t>
        </r>
        <r>
          <rPr>
            <sz val="14"/>
            <color rgb="FF000000"/>
            <rFont val="Calibri"/>
            <family val="34"/>
          </rPr>
          <t>InvH Prag (1810-1811)</t>
        </r>
      </text>
    </comment>
    <comment ref="BJ839" authorId="0" shapeId="0" xr:uid="{25DF30C0-85C1-B740-B1FC-829AF792E7DD}">
      <text>
        <r>
          <rPr>
            <i/>
            <sz val="14"/>
            <color rgb="FF000000"/>
            <rFont val="Times New Roman"/>
            <family val="18"/>
          </rPr>
          <t>Mangel von Oberschneid und Back Zahnen</t>
        </r>
        <r>
          <rPr>
            <sz val="14"/>
            <color rgb="FF000000"/>
            <rFont val="Times New Roman"/>
            <family val="18"/>
          </rPr>
          <t xml:space="preserve"> [ML 1811]</t>
        </r>
        <r>
          <rPr>
            <sz val="14"/>
            <color rgb="FF000000"/>
            <rFont val="Calibri"/>
            <family val="2"/>
          </rPr>
          <t xml:space="preserve"> </t>
        </r>
      </text>
    </comment>
    <comment ref="BF840" authorId="0" shapeId="0" xr:uid="{14D57568-6226-0D4F-8D45-A1AF8BBB7E09}">
      <text>
        <r>
          <rPr>
            <sz val="14"/>
            <color rgb="FF000000"/>
            <rFont val="Times New Roman"/>
            <family val="18"/>
          </rPr>
          <t xml:space="preserve">28/03/1804 </t>
        </r>
        <r>
          <rPr>
            <i/>
            <sz val="14"/>
            <color rgb="FF000000"/>
            <rFont val="Times New Roman"/>
            <family val="18"/>
          </rPr>
          <t xml:space="preserve">Gegen 3Fl Handgeld und zwölfjährigen Capitulation von Werbbzirk von EH Maximilian </t>
        </r>
        <r>
          <rPr>
            <sz val="14"/>
            <color rgb="FF000000"/>
            <rFont val="Times New Roman"/>
            <family val="18"/>
          </rPr>
          <t xml:space="preserve">[IR 35] </t>
        </r>
        <r>
          <rPr>
            <i/>
            <sz val="14"/>
            <color rgb="FF000000"/>
            <rFont val="Times New Roman"/>
            <family val="18"/>
          </rPr>
          <t>ausgehoben und zum CL 6 assentiert und zum Obrist 1.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20/08/1804 Muster: CL 6 Obrist 1. Esk Nr. 194 [2. Flugel]</t>
        </r>
        <r>
          <rPr>
            <sz val="14"/>
            <color rgb="FF000000"/>
            <rFont val="Calibri"/>
            <family val="34"/>
          </rPr>
          <t xml:space="preserve">
</t>
        </r>
        <r>
          <rPr>
            <sz val="14"/>
            <color rgb="FF000000"/>
            <rFont val="Times New Roman"/>
            <family val="18"/>
          </rPr>
          <t xml:space="preserve">30/06/1805 </t>
        </r>
        <r>
          <rPr>
            <i/>
            <sz val="14"/>
            <color rgb="FF000000"/>
            <rFont val="Times New Roman"/>
            <family val="18"/>
          </rPr>
          <t>Vermog hohen Hofkriegsratlicher Reskript ddeto Wien am 10 May a:c: als fur Kriegsdienste für untauglich anerkannte mit Abschied entlassen</t>
        </r>
        <r>
          <rPr>
            <sz val="14"/>
            <color rgb="FF000000"/>
            <rFont val="Times New Roman"/>
            <family val="18"/>
          </rPr>
          <t xml:space="preserve"> [ST July 1805] 
</t>
        </r>
      </text>
    </comment>
    <comment ref="BG840" authorId="0" shapeId="0" xr:uid="{6353B1F3-28B9-F047-B0BA-AD11CF55D98E}">
      <text>
        <r>
          <rPr>
            <sz val="14"/>
            <color rgb="FF000000"/>
            <rFont val="Times New Roman"/>
            <family val="18"/>
          </rPr>
          <t>ML 7247 CL 6 (1804) – Obrist 1. Esk Nr. 194 (Dobrzan 20/08/1804)</t>
        </r>
        <r>
          <rPr>
            <sz val="14"/>
            <color rgb="FF000000"/>
            <rFont val="Calibri"/>
            <family val="34"/>
          </rPr>
          <t xml:space="preserve">
</t>
        </r>
        <r>
          <rPr>
            <sz val="14"/>
            <color rgb="FF000000"/>
            <rFont val="Times New Roman"/>
            <family val="18"/>
          </rPr>
          <t>ML 7248 CL 6 (1806) – Obrist 1. Esk Abgang (Brandeis 17/12/1806)</t>
        </r>
        <r>
          <rPr>
            <sz val="14"/>
            <color rgb="FF000000"/>
            <rFont val="Calibri"/>
            <family val="34"/>
          </rPr>
          <t xml:space="preserve">
</t>
        </r>
        <r>
          <rPr>
            <sz val="14"/>
            <color rgb="FF000000"/>
            <rFont val="Times New Roman"/>
            <family val="18"/>
          </rPr>
          <t>ML 7261 CL 6 (1804) – AL Nr. 7 (Pilsen 28/04/1804)</t>
        </r>
        <r>
          <rPr>
            <sz val="14"/>
            <color rgb="FF000000"/>
            <rFont val="Calibri"/>
            <family val="34"/>
          </rPr>
          <t xml:space="preserve">
</t>
        </r>
        <r>
          <rPr>
            <sz val="14"/>
            <color rgb="FF000000"/>
            <rFont val="Times New Roman"/>
            <family val="18"/>
          </rPr>
          <t>ML 7262 CL 6 (1805) – ST July (Klettau 13/08/1805)</t>
        </r>
        <r>
          <rPr>
            <sz val="14"/>
            <color rgb="FF000000"/>
            <rFont val="Calibri"/>
            <family val="34"/>
          </rPr>
          <t xml:space="preserve">
</t>
        </r>
      </text>
    </comment>
    <comment ref="BH840" authorId="0" shapeId="0" xr:uid="{461927E9-0F79-E341-BDF1-2BC22CF0283C}">
      <text>
        <r>
          <rPr>
            <sz val="14"/>
            <color rgb="FF000000"/>
            <rFont val="Calibri"/>
            <family val="34"/>
          </rPr>
          <t>CL 6 (1804-1805)</t>
        </r>
      </text>
    </comment>
    <comment ref="I841" authorId="0" shapeId="0" xr:uid="{5761C660-0217-854F-9AB5-8D95434AF9A2}">
      <text>
        <r>
          <rPr>
            <b/>
            <sz val="14"/>
            <color rgb="FF000000"/>
            <rFont val="Calibri"/>
            <family val="34"/>
          </rPr>
          <t xml:space="preserve">1804 [20 (AL 1804)]
</t>
        </r>
        <r>
          <rPr>
            <sz val="14"/>
            <color rgb="FF000000"/>
            <rFont val="Calibri"/>
            <family val="34"/>
          </rPr>
          <t xml:space="preserve">OR
</t>
        </r>
        <r>
          <rPr>
            <sz val="14"/>
            <color rgb="FF000000"/>
            <rFont val="Calibri"/>
            <family val="34"/>
          </rPr>
          <t>1788 [21 (TL 1809)]</t>
        </r>
      </text>
    </comment>
    <comment ref="BF841" authorId="0" shapeId="0" xr:uid="{4B77D48B-77F8-EC4F-811D-01AD2691A79B}">
      <text>
        <r>
          <rPr>
            <sz val="14"/>
            <color rgb="FF000000"/>
            <rFont val="Times New Roman"/>
            <family val="18"/>
          </rPr>
          <t xml:space="preserve">28/03/1804 </t>
        </r>
        <r>
          <rPr>
            <i/>
            <sz val="14"/>
            <color rgb="FF000000"/>
            <rFont val="Times New Roman"/>
            <family val="18"/>
          </rPr>
          <t>Gegen 3Fl Handgeld und zwölf jährigen Capitulation als landständische Rekruten zum CL 5 gestellt und zum 1. Major 2.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CL 5 1. Major 2. Esk zum Stabs Dragoner Corps transferiert</t>
        </r>
        <r>
          <rPr>
            <sz val="14"/>
            <color rgb="FF000000"/>
            <rFont val="Times New Roman"/>
            <family val="18"/>
          </rPr>
          <t xml:space="preserve"> [TL July 1809]</t>
        </r>
        <r>
          <rPr>
            <sz val="14"/>
            <color rgb="FF000000"/>
            <rFont val="Calibri"/>
            <family val="34"/>
          </rPr>
          <t xml:space="preserve">
</t>
        </r>
      </text>
    </comment>
    <comment ref="BG841" authorId="0" shapeId="0" xr:uid="{886AEB88-77A3-0047-A40C-38D751EF2709}">
      <text>
        <r>
          <rPr>
            <sz val="14"/>
            <color rgb="FF000000"/>
            <rFont val="Times New Roman"/>
            <family val="18"/>
          </rPr>
          <t>ML 7229 CL 5 (1804) – AL Nr. 11 (Prague 21/04/1804)</t>
        </r>
        <r>
          <rPr>
            <sz val="14"/>
            <color rgb="FF000000"/>
            <rFont val="Calibri"/>
            <family val="34"/>
          </rPr>
          <t xml:space="preserve">
</t>
        </r>
        <r>
          <rPr>
            <sz val="14"/>
            <color rgb="FF000000"/>
            <rFont val="Times New Roman"/>
            <family val="18"/>
          </rPr>
          <t>ML 7234 CL 5 (1809) – TL CL 5-&gt;StabD Nr. 20 (Pardubitz 10/07/1809)</t>
        </r>
        <r>
          <rPr>
            <sz val="14"/>
            <color rgb="FF000000"/>
            <rFont val="Calibri"/>
            <family val="34"/>
          </rPr>
          <t xml:space="preserve">
</t>
        </r>
      </text>
    </comment>
    <comment ref="BH841" authorId="0" shapeId="0" xr:uid="{4B07FB80-AA6C-4E4A-AA9C-629EEE7288FF}">
      <text>
        <r>
          <rPr>
            <sz val="14"/>
            <color rgb="FF000000"/>
            <rFont val="Calibri"/>
            <family val="34"/>
          </rPr>
          <t xml:space="preserve">CL 5 (1804-1809)
</t>
        </r>
        <r>
          <rPr>
            <sz val="14"/>
            <color rgb="FF000000"/>
            <rFont val="Calibri"/>
            <family val="34"/>
          </rPr>
          <t>StabDr (1809)</t>
        </r>
      </text>
    </comment>
    <comment ref="BI841" authorId="0" shapeId="0" xr:uid="{A7FFA8E0-61FB-8941-8D30-5EF36399A371}">
      <text>
        <r>
          <rPr>
            <i/>
            <sz val="14"/>
            <color rgb="FF000000"/>
            <rFont val="Times New Roman"/>
            <family val="18"/>
          </rPr>
          <t>Gute</t>
        </r>
        <r>
          <rPr>
            <sz val="14"/>
            <color rgb="FF000000"/>
            <rFont val="Times New Roman"/>
            <family val="18"/>
          </rPr>
          <t xml:space="preserve"> [TL July 1809]</t>
        </r>
      </text>
    </comment>
    <comment ref="BF842" authorId="0" shapeId="0" xr:uid="{C6BAA426-EC86-E841-AFD9-3124814CD73B}">
      <text>
        <r>
          <rPr>
            <sz val="14"/>
            <color rgb="FF000000"/>
            <rFont val="Times New Roman"/>
            <family val="18"/>
          </rPr>
          <t xml:space="preserve">29/03/1804 </t>
        </r>
        <r>
          <rPr>
            <i/>
            <sz val="14"/>
            <color rgb="FF000000"/>
            <rFont val="Times New Roman"/>
            <family val="18"/>
          </rPr>
          <t xml:space="preserve">Gegen 3Fl Handgeld und zwölfjährigen Capitulation von Werbbzirk von EH Maximilian </t>
        </r>
        <r>
          <rPr>
            <sz val="14"/>
            <color rgb="FF000000"/>
            <rFont val="Times New Roman"/>
            <family val="18"/>
          </rPr>
          <t xml:space="preserve">[IR 35] </t>
        </r>
        <r>
          <rPr>
            <i/>
            <sz val="14"/>
            <color rgb="FF000000"/>
            <rFont val="Times New Roman"/>
            <family val="18"/>
          </rPr>
          <t>ausgehoben und zum CL 6 assentiert und zum Obrist 1.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20/08/1804 Muster: CL 6 Obrist 1. Esk Nr. 200 [2. Flugel]</t>
        </r>
        <r>
          <rPr>
            <sz val="14"/>
            <color rgb="FF000000"/>
            <rFont val="Calibri"/>
            <family val="34"/>
          </rPr>
          <t xml:space="preserve">
</t>
        </r>
        <r>
          <rPr>
            <sz val="14"/>
            <color rgb="FF000000"/>
            <rFont val="Times New Roman"/>
            <family val="18"/>
          </rPr>
          <t xml:space="preserve">25/10/1804 </t>
        </r>
        <r>
          <rPr>
            <i/>
            <sz val="14"/>
            <color rgb="FF000000"/>
            <rFont val="Times New Roman"/>
            <family val="18"/>
          </rPr>
          <t>Vermog hoher General Commando Verordnung ddeto Prag am 26. 9br 804 gegen Stellung eines Conscribirter Untertanen von dem betroffenen Dominio und Ersatz der auf Handgeld, Lohnung, und durch die abgenutzte Montur dem Arario verursachten Unkosten mit Abschied entlassen</t>
        </r>
        <r>
          <rPr>
            <sz val="14"/>
            <color rgb="FF000000"/>
            <rFont val="Times New Roman"/>
            <family val="18"/>
          </rPr>
          <t xml:space="preserve"> [ST Oct 1804 &amp; ML 1806] </t>
        </r>
      </text>
    </comment>
    <comment ref="BG842" authorId="0" shapeId="0" xr:uid="{1281259C-72A2-4544-A6BE-2A3118CC8000}">
      <text>
        <r>
          <rPr>
            <sz val="14"/>
            <color rgb="FF000000"/>
            <rFont val="Times New Roman"/>
            <family val="18"/>
          </rPr>
          <t>ML 7247 CL 6 (1804) – Obrist 1. Esk Nr. 200 (Dobrzan 20/08/1804)</t>
        </r>
        <r>
          <rPr>
            <sz val="14"/>
            <color rgb="FF000000"/>
            <rFont val="Calibri"/>
            <family val="34"/>
          </rPr>
          <t xml:space="preserve">
</t>
        </r>
        <r>
          <rPr>
            <sz val="14"/>
            <color rgb="FF000000"/>
            <rFont val="Times New Roman"/>
            <family val="18"/>
          </rPr>
          <t>ML 7248 CL 6 (1806) – Obrist 1. Esk Abgang (Brandeis 17/12/1806)</t>
        </r>
        <r>
          <rPr>
            <sz val="14"/>
            <color rgb="FF000000"/>
            <rFont val="Calibri"/>
            <family val="34"/>
          </rPr>
          <t xml:space="preserve">
</t>
        </r>
        <r>
          <rPr>
            <sz val="14"/>
            <color rgb="FF000000"/>
            <rFont val="Times New Roman"/>
            <family val="18"/>
          </rPr>
          <t>ML 7261 CL 6 (1804) – AL Nr. 9 (Pilsen 28/04/1804); ST Oct (Pilsen 14/11/1804)</t>
        </r>
        <r>
          <rPr>
            <sz val="14"/>
            <color rgb="FF000000"/>
            <rFont val="Calibri"/>
            <family val="34"/>
          </rPr>
          <t xml:space="preserve">
</t>
        </r>
      </text>
    </comment>
    <comment ref="BH842" authorId="0" shapeId="0" xr:uid="{170EFCC4-A34F-4F44-8FDE-6EE478F63873}">
      <text>
        <r>
          <rPr>
            <sz val="14"/>
            <color rgb="FF000000"/>
            <rFont val="Calibri"/>
            <family val="34"/>
          </rPr>
          <t>CL 6 (1804)</t>
        </r>
      </text>
    </comment>
    <comment ref="BF843" authorId="0" shapeId="0" xr:uid="{AAD80FAE-C773-6A4E-8524-20EF96C42787}">
      <text>
        <r>
          <rPr>
            <sz val="14"/>
            <color rgb="FF000000"/>
            <rFont val="Times New Roman"/>
            <family val="18"/>
          </rPr>
          <t xml:space="preserve">29/03/1804 </t>
        </r>
        <r>
          <rPr>
            <i/>
            <sz val="14"/>
            <color rgb="FF000000"/>
            <rFont val="Times New Roman"/>
            <family val="18"/>
          </rPr>
          <t xml:space="preserve">Gegen 3Fl Handgeld und zwölfjährigen Capitulation von Werbbzirk von EH Maximilian </t>
        </r>
        <r>
          <rPr>
            <sz val="14"/>
            <color rgb="FF000000"/>
            <rFont val="Times New Roman"/>
            <family val="18"/>
          </rPr>
          <t xml:space="preserve">[IR 35] </t>
        </r>
        <r>
          <rPr>
            <i/>
            <sz val="14"/>
            <color rgb="FF000000"/>
            <rFont val="Times New Roman"/>
            <family val="18"/>
          </rPr>
          <t>ausgehoben und zum CL 6 assentiert und zum Obrist 1.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20/08/1804 Muster: CL 6 Obrist 1. Esk Nr. 199 [2. Flugel]</t>
        </r>
        <r>
          <rPr>
            <sz val="14"/>
            <color rgb="FF000000"/>
            <rFont val="Calibri"/>
            <family val="34"/>
          </rPr>
          <t xml:space="preserve">
</t>
        </r>
        <r>
          <rPr>
            <sz val="14"/>
            <color rgb="FF000000"/>
            <rFont val="Times New Roman"/>
            <family val="18"/>
          </rPr>
          <t xml:space="preserve">10/11/1804 </t>
        </r>
        <r>
          <rPr>
            <i/>
            <sz val="14"/>
            <color rgb="FF000000"/>
            <rFont val="Times New Roman"/>
            <family val="18"/>
          </rPr>
          <t>Laut schreiben des EH Maximilian Linien Infant Regiment Nr 25 deto Pilsen am 2. 9mbr 804 gegen Stellung eines Conscribirter Unterthanes von dem betroffenen Dominio und Ersatz der auf Handgeld, Löhnung, und durch die abgenutzte Montur dem Arario verursachten Unkosten mit Abschied entlassen</t>
        </r>
        <r>
          <rPr>
            <sz val="14"/>
            <color rgb="FF000000"/>
            <rFont val="Times New Roman"/>
            <family val="18"/>
          </rPr>
          <t xml:space="preserve"> [ST Oct 1804 &amp; ML 1806] </t>
        </r>
      </text>
    </comment>
    <comment ref="BG843" authorId="0" shapeId="0" xr:uid="{831A1B8B-CD4B-E147-8420-D74DD34AF5A9}">
      <text>
        <r>
          <rPr>
            <sz val="14"/>
            <color rgb="FF000000"/>
            <rFont val="Times New Roman"/>
            <family val="18"/>
          </rPr>
          <t>ML 7247 CL 6 (1804) – Obrist 1. Esk Nr. 199 (Dobrzan 20/08/1804)</t>
        </r>
        <r>
          <rPr>
            <sz val="14"/>
            <color rgb="FF000000"/>
            <rFont val="Calibri"/>
            <family val="34"/>
          </rPr>
          <t xml:space="preserve">
</t>
        </r>
        <r>
          <rPr>
            <sz val="14"/>
            <color rgb="FF000000"/>
            <rFont val="Times New Roman"/>
            <family val="18"/>
          </rPr>
          <t>ML 7248 CL 6 (1806) – Obrist 1. Esk Abgang (Brandeis 17/12/1806)</t>
        </r>
        <r>
          <rPr>
            <sz val="14"/>
            <color rgb="FF000000"/>
            <rFont val="Calibri"/>
            <family val="34"/>
          </rPr>
          <t xml:space="preserve">
</t>
        </r>
        <r>
          <rPr>
            <sz val="14"/>
            <color rgb="FF000000"/>
            <rFont val="Times New Roman"/>
            <family val="18"/>
          </rPr>
          <t>ML 7261 CL 6 (1804) – AL Nr. 33 (Pilsen 28/04/1804); Nov Oct (Pilsen 14/12/1804)</t>
        </r>
        <r>
          <rPr>
            <sz val="14"/>
            <color rgb="FF000000"/>
            <rFont val="Calibri"/>
            <family val="34"/>
          </rPr>
          <t xml:space="preserve">
</t>
        </r>
      </text>
    </comment>
    <comment ref="BH843" authorId="0" shapeId="0" xr:uid="{52D8BD94-F9A6-7E43-A17D-F9942E98BB2C}">
      <text>
        <r>
          <rPr>
            <sz val="14"/>
            <color rgb="FF000000"/>
            <rFont val="Calibri"/>
            <family val="34"/>
          </rPr>
          <t>CL 6 (1804)</t>
        </r>
      </text>
    </comment>
    <comment ref="BF844" authorId="0" shapeId="0" xr:uid="{D1C26AB6-E1D6-FC49-A08C-DA1DBF6928A9}">
      <text>
        <r>
          <rPr>
            <sz val="14"/>
            <color rgb="FF000000"/>
            <rFont val="Times New Roman"/>
            <family val="18"/>
          </rPr>
          <t xml:space="preserve">30/03/1804 </t>
        </r>
        <r>
          <rPr>
            <i/>
            <sz val="14"/>
            <color rgb="FF000000"/>
            <rFont val="Times New Roman"/>
            <family val="18"/>
          </rPr>
          <t xml:space="preserve">Gegen 3Fl Handgeld und zwölfjährigen Capitulation von Werbbzirk von EH Maximilian </t>
        </r>
        <r>
          <rPr>
            <sz val="14"/>
            <color rgb="FF000000"/>
            <rFont val="Times New Roman"/>
            <family val="18"/>
          </rPr>
          <t xml:space="preserve">[IR 35] </t>
        </r>
        <r>
          <rPr>
            <i/>
            <sz val="14"/>
            <color rgb="FF000000"/>
            <rFont val="Times New Roman"/>
            <family val="18"/>
          </rPr>
          <t>ausgehoben und zum CL 6 assentiert und zum 1. Major 2.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20/08/1804 Muster: CL 6 1. Major 2. Esk Nr. 92 [1. Flugel]</t>
        </r>
        <r>
          <rPr>
            <sz val="14"/>
            <color rgb="FF000000"/>
            <rFont val="Calibri"/>
            <family val="34"/>
          </rPr>
          <t xml:space="preserve">
</t>
        </r>
        <r>
          <rPr>
            <sz val="14"/>
            <color rgb="FF000000"/>
            <rFont val="Times New Roman"/>
            <family val="18"/>
          </rPr>
          <t xml:space="preserve">01/02/1805 </t>
        </r>
        <r>
          <rPr>
            <i/>
            <sz val="14"/>
            <color rgb="FF000000"/>
            <rFont val="Times New Roman"/>
            <family val="18"/>
          </rPr>
          <t>Von 1. Major 2. Esk zum 1. Major 1. Esk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1. Major 1. Esk zum Reserve Esk.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Reserve Esk zum 1. Major 2. Esk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16/10/1806 </t>
        </r>
        <r>
          <rPr>
            <i/>
            <sz val="14"/>
            <color rgb="FF000000"/>
            <rFont val="Times New Roman"/>
            <family val="18"/>
          </rPr>
          <t xml:space="preserve">Mit Schreiben des 25. Linien Infanterie Regiments vacant Sporck als Steuerbare Grundbesitzer mit Abschied entlassen </t>
        </r>
        <r>
          <rPr>
            <sz val="14"/>
            <color rgb="FF000000"/>
            <rFont val="Times New Roman"/>
            <family val="18"/>
          </rPr>
          <t xml:space="preserve">[ST Oct 1806 &amp; ML 1806] </t>
        </r>
      </text>
    </comment>
    <comment ref="BG844" authorId="0" shapeId="0" xr:uid="{07FCF4DC-BC0A-2948-98C7-9992237158E3}">
      <text>
        <r>
          <rPr>
            <sz val="14"/>
            <color rgb="FF000000"/>
            <rFont val="Times New Roman"/>
            <family val="18"/>
          </rPr>
          <t>ML 7247 CL 6 (1804) – 1. Major 2. Esk Nr. 92 (Dobrzan 20/08/1804)</t>
        </r>
        <r>
          <rPr>
            <sz val="14"/>
            <color rgb="FF000000"/>
            <rFont val="Calibri"/>
            <family val="34"/>
          </rPr>
          <t xml:space="preserve">
</t>
        </r>
        <r>
          <rPr>
            <sz val="14"/>
            <color rgb="FF000000"/>
            <rFont val="Times New Roman"/>
            <family val="18"/>
          </rPr>
          <t>ML 7248 CL 6 (1806) – 1. Major 2. Esk Abgang (Brandeis 17/12/1806)</t>
        </r>
        <r>
          <rPr>
            <sz val="14"/>
            <color rgb="FF000000"/>
            <rFont val="Calibri"/>
            <family val="34"/>
          </rPr>
          <t xml:space="preserve">
</t>
        </r>
        <r>
          <rPr>
            <sz val="14"/>
            <color rgb="FF000000"/>
            <rFont val="Times New Roman"/>
            <family val="18"/>
          </rPr>
          <t>ML 7261 CL 6 (1804) – AL Nr. 41 (Pilsen 28/04/1804)</t>
        </r>
        <r>
          <rPr>
            <sz val="14"/>
            <color rgb="FF000000"/>
            <rFont val="Calibri"/>
            <family val="34"/>
          </rPr>
          <t xml:space="preserve">
</t>
        </r>
        <r>
          <rPr>
            <sz val="14"/>
            <color rgb="FF000000"/>
            <rFont val="Times New Roman"/>
            <family val="18"/>
          </rPr>
          <t>ML 7263 CL 6 (1806) – ST Oct (27/11/1806)</t>
        </r>
        <r>
          <rPr>
            <sz val="14"/>
            <color rgb="FF000000"/>
            <rFont val="Calibri"/>
            <family val="34"/>
          </rPr>
          <t xml:space="preserve">
</t>
        </r>
      </text>
    </comment>
    <comment ref="BH844" authorId="0" shapeId="0" xr:uid="{AFCCFBCE-3105-124F-A2C6-D2604AEB6882}">
      <text>
        <r>
          <rPr>
            <sz val="14"/>
            <color rgb="FF000000"/>
            <rFont val="Calibri"/>
            <family val="34"/>
          </rPr>
          <t>CL 6 (1804-1806)</t>
        </r>
      </text>
    </comment>
    <comment ref="BF845" authorId="0" shapeId="0" xr:uid="{4401D165-6EBE-1941-9E77-DAD785D67BAE}">
      <text>
        <r>
          <rPr>
            <sz val="14"/>
            <color rgb="FF000000"/>
            <rFont val="Times New Roman"/>
            <family val="18"/>
          </rPr>
          <t xml:space="preserve">30/03/1804 </t>
        </r>
        <r>
          <rPr>
            <i/>
            <sz val="14"/>
            <color rgb="FF000000"/>
            <rFont val="Times New Roman"/>
            <family val="18"/>
          </rPr>
          <t xml:space="preserve">Gegen 3Fl Handgeld und zwölfjährigen Capitulation von Werbbzirk von EH Maximilian </t>
        </r>
        <r>
          <rPr>
            <sz val="14"/>
            <color rgb="FF000000"/>
            <rFont val="Times New Roman"/>
            <family val="18"/>
          </rPr>
          <t xml:space="preserve">[IR 35] </t>
        </r>
        <r>
          <rPr>
            <i/>
            <sz val="14"/>
            <color rgb="FF000000"/>
            <rFont val="Times New Roman"/>
            <family val="18"/>
          </rPr>
          <t>ausgehoben und zum CL 6 assentiert und zum Obrist 1. Esk.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16/09/1811 Muster: CL 6 Obrist 1. Esk. Nr. 38 [</t>
        </r>
        <r>
          <rPr>
            <i/>
            <sz val="14"/>
            <color rgb="FF000000"/>
            <rFont val="Times New Roman"/>
            <family val="18"/>
          </rPr>
          <t>Beurlaubt zu Drosau Klattauer Kreis, in Böhmen</t>
        </r>
        <r>
          <rPr>
            <sz val="14"/>
            <color rgb="FF000000"/>
            <rFont val="Times New Roman"/>
            <family val="18"/>
          </rPr>
          <t>]</t>
        </r>
        <r>
          <rPr>
            <sz val="14"/>
            <color rgb="FF000000"/>
            <rFont val="Calibri"/>
            <family val="34"/>
          </rPr>
          <t xml:space="preserve">
</t>
        </r>
        <r>
          <rPr>
            <sz val="14"/>
            <color rgb="FF000000"/>
            <rFont val="Times New Roman"/>
            <family val="18"/>
          </rPr>
          <t xml:space="preserve">15/01/1812 </t>
        </r>
        <r>
          <rPr>
            <i/>
            <sz val="14"/>
            <color rgb="FF000000"/>
            <rFont val="Times New Roman"/>
            <family val="18"/>
          </rPr>
          <t>Zu Eger Invaliden Haus als Reale Invalid</t>
        </r>
        <r>
          <rPr>
            <sz val="14"/>
            <color rgb="FF000000"/>
            <rFont val="Times New Roman"/>
            <family val="18"/>
          </rPr>
          <t xml:space="preserve"> </t>
        </r>
      </text>
    </comment>
    <comment ref="BG845" authorId="0" shapeId="0" xr:uid="{96D6D12B-74FC-E74F-BF32-1AE5C1909FFE}">
      <text>
        <r>
          <rPr>
            <sz val="14"/>
            <color rgb="FF000000"/>
            <rFont val="Times New Roman"/>
            <family val="18"/>
          </rPr>
          <t xml:space="preserve">ML 7250 CL 6 (1811-12) –ML 1811 Obrist 1. Esk Nr. 38 (Ketschkemet 16/09/1811) 12/9/1811); RL 1812 Obrist 1. Esk. Abgang (Ketschkemet 29/08/1811)
</t>
        </r>
        <r>
          <rPr>
            <sz val="14"/>
            <color rgb="FF000000"/>
            <rFont val="Times New Roman"/>
            <family val="18"/>
          </rPr>
          <t>ML 7261 CL 5 (1804) – AL Nr. 40 (Pilsen 28/04/1804)</t>
        </r>
        <r>
          <rPr>
            <sz val="14"/>
            <color rgb="FF000000"/>
            <rFont val="Calibri"/>
            <family val="34"/>
          </rPr>
          <t xml:space="preserve">
</t>
        </r>
        <r>
          <rPr>
            <sz val="14"/>
            <color rgb="FF000000"/>
            <rFont val="Calibri"/>
            <family val="34"/>
          </rPr>
          <t xml:space="preserve">
</t>
        </r>
      </text>
    </comment>
    <comment ref="BH845" authorId="0" shapeId="0" xr:uid="{7500474B-2CD9-2649-997A-722828B82DAC}">
      <text>
        <r>
          <rPr>
            <sz val="14"/>
            <color rgb="FF000000"/>
            <rFont val="Calibri"/>
            <family val="34"/>
          </rPr>
          <t xml:space="preserve">CL 6 (1804-1812)
</t>
        </r>
        <r>
          <rPr>
            <sz val="14"/>
            <color rgb="FF000000"/>
            <rFont val="Calibri"/>
            <family val="34"/>
          </rPr>
          <t>InvH Eger (1812)</t>
        </r>
      </text>
    </comment>
    <comment ref="BF846" authorId="0" shapeId="0" xr:uid="{BBA24B14-33F1-4E48-9CD4-4A738DB010BB}">
      <text>
        <r>
          <rPr>
            <sz val="14"/>
            <color rgb="FF000000"/>
            <rFont val="Times New Roman"/>
            <family val="18"/>
          </rPr>
          <t xml:space="preserve">30/03/1804 </t>
        </r>
        <r>
          <rPr>
            <i/>
            <sz val="14"/>
            <color rgb="FF000000"/>
            <rFont val="Times New Roman"/>
            <family val="18"/>
          </rPr>
          <t>dient seit als landständischen Recrout a 3Fl Handgeld</t>
        </r>
        <r>
          <rPr>
            <sz val="14"/>
            <color rgb="FF000000"/>
            <rFont val="Times New Roman"/>
            <family val="18"/>
          </rPr>
          <t xml:space="preserve"> [ML 1806]</t>
        </r>
        <r>
          <rPr>
            <sz val="14"/>
            <color rgb="FF000000"/>
            <rFont val="Calibri"/>
            <family val="34"/>
          </rPr>
          <t xml:space="preserve">
</t>
        </r>
        <r>
          <rPr>
            <sz val="14"/>
            <color rgb="FF000000"/>
            <rFont val="Times New Roman"/>
            <family val="18"/>
          </rPr>
          <t>[</t>
        </r>
        <r>
          <rPr>
            <i/>
            <sz val="14"/>
            <color rgb="FF000000"/>
            <rFont val="Times New Roman"/>
            <family val="18"/>
          </rPr>
          <t>Kriegsgefangen</t>
        </r>
        <r>
          <rPr>
            <sz val="14"/>
            <color rgb="FF000000"/>
            <rFont val="Times New Roman"/>
            <family val="18"/>
          </rPr>
          <t>]</t>
        </r>
        <r>
          <rPr>
            <sz val="14"/>
            <color rgb="FF000000"/>
            <rFont val="Calibri"/>
            <family val="34"/>
          </rPr>
          <t xml:space="preserve">
</t>
        </r>
        <r>
          <rPr>
            <sz val="14"/>
            <color rgb="FF000000"/>
            <rFont val="Times New Roman"/>
            <family val="18"/>
          </rPr>
          <t xml:space="preserve">03/06/1806 </t>
        </r>
        <r>
          <rPr>
            <i/>
            <sz val="14"/>
            <color rgb="FF000000"/>
            <rFont val="Times New Roman"/>
            <family val="18"/>
          </rPr>
          <t>Als Selbst ranzionierte presentiert</t>
        </r>
        <r>
          <rPr>
            <sz val="14"/>
            <color rgb="FF000000"/>
            <rFont val="Times New Roman"/>
            <family val="18"/>
          </rPr>
          <t xml:space="preserve"> </t>
        </r>
        <r>
          <rPr>
            <b/>
            <sz val="14"/>
            <color rgb="FF000000"/>
            <rFont val="Times New Roman"/>
            <family val="18"/>
          </rPr>
          <t>[docierung only]</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3. Fus. Komp. Nr. 67[</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31/03/1808 </t>
        </r>
        <r>
          <rPr>
            <i/>
            <sz val="14"/>
            <color rgb="FF000000"/>
            <rFont val="Times New Roman"/>
            <family val="18"/>
          </rPr>
          <t>Ins Prager Invaliden House zur Verosrgung</t>
        </r>
        <r>
          <rPr>
            <sz val="14"/>
            <color rgb="FF000000"/>
            <rFont val="Times New Roman"/>
            <family val="18"/>
          </rPr>
          <t xml:space="preserve"> [RL 1808]</t>
        </r>
        <r>
          <rPr>
            <sz val="14"/>
            <color rgb="FF000000"/>
            <rFont val="Calibri"/>
            <family val="34"/>
          </rPr>
          <t xml:space="preserve">
</t>
        </r>
      </text>
    </comment>
    <comment ref="BG846" authorId="0" shapeId="0" xr:uid="{9A3129E2-5575-9A4B-9C4E-A2E642FA836F}">
      <text>
        <r>
          <rPr>
            <sz val="14"/>
            <color rgb="FF000000"/>
            <rFont val="Times New Roman"/>
            <family val="18"/>
          </rPr>
          <t>ML 3772 IR 42 (1806) – 3. Fus. Komp Nr. 67 &amp; Zuwachs (Theresienstadt 22/12/1806)</t>
        </r>
        <r>
          <rPr>
            <sz val="14"/>
            <color rgb="FF000000"/>
            <rFont val="Calibri"/>
            <family val="34"/>
          </rPr>
          <t xml:space="preserve">
</t>
        </r>
        <r>
          <rPr>
            <sz val="14"/>
            <color rgb="FF000000"/>
            <rFont val="Times New Roman"/>
            <family val="18"/>
          </rPr>
          <t>ML 3773 IR 42 (1808) – 3. Fus. Komp. Abgang (Lobositz 16/09/1808)</t>
        </r>
        <r>
          <rPr>
            <sz val="14"/>
            <color rgb="FF000000"/>
            <rFont val="Calibri"/>
            <family val="34"/>
          </rPr>
          <t xml:space="preserve">
</t>
        </r>
        <r>
          <rPr>
            <sz val="14"/>
            <color rgb="FF000000"/>
            <rFont val="Times New Roman"/>
            <family val="18"/>
          </rPr>
          <t>ML 3833 IR 42 (1808) – SUP Nr. 1 (Eger 15/03/1808); TL IR 42-&gt; InvH Prag Nr. 1 (Eger 31/03/1808)</t>
        </r>
        <r>
          <rPr>
            <sz val="14"/>
            <color rgb="FF000000"/>
            <rFont val="Calibri"/>
            <family val="34"/>
          </rPr>
          <t xml:space="preserve">
</t>
        </r>
      </text>
    </comment>
    <comment ref="BH846" authorId="0" shapeId="0" xr:uid="{32ABBE93-D812-AB48-B85F-F1A8AF8F7BD5}">
      <text>
        <r>
          <rPr>
            <sz val="14"/>
            <color rgb="FF000000"/>
            <rFont val="Calibri"/>
            <family val="34"/>
          </rPr>
          <t xml:space="preserve">IR 42 (1804-1808)
</t>
        </r>
        <r>
          <rPr>
            <sz val="14"/>
            <color rgb="FF000000"/>
            <rFont val="Calibri"/>
            <family val="34"/>
          </rPr>
          <t>InvH Prag (1808)</t>
        </r>
      </text>
    </comment>
    <comment ref="BI846" authorId="0" shapeId="0" xr:uid="{DC41717D-793F-CA44-95B5-0D72519C6426}">
      <text>
        <r>
          <rPr>
            <sz val="14"/>
            <color rgb="FF000000"/>
            <rFont val="Calibri"/>
            <family val="34"/>
          </rPr>
          <t>Gut [TL March 1808]</t>
        </r>
      </text>
    </comment>
    <comment ref="BJ846" authorId="0" shapeId="0" xr:uid="{81EB0C83-5AE2-5040-A5CD-411F191140E3}">
      <text>
        <r>
          <rPr>
            <i/>
            <sz val="14"/>
            <color rgb="FF000000"/>
            <rFont val="Times New Roman"/>
            <family val="18"/>
          </rPr>
          <t xml:space="preserve">Starken Brust Defekt und Blöde Augen </t>
        </r>
        <r>
          <rPr>
            <sz val="14"/>
            <color rgb="FF000000"/>
            <rFont val="Times New Roman"/>
            <family val="18"/>
          </rPr>
          <t xml:space="preserve"> [SUP March 1806]</t>
        </r>
        <r>
          <rPr>
            <sz val="14"/>
            <color rgb="FF000000"/>
            <rFont val="Calibri"/>
            <family val="2"/>
          </rPr>
          <t xml:space="preserve"> </t>
        </r>
      </text>
    </comment>
    <comment ref="BF847" authorId="0" shapeId="0" xr:uid="{355FF222-95C4-CB47-82E9-1A7225BA3BEF}">
      <text>
        <r>
          <rPr>
            <sz val="14"/>
            <color rgb="FF000000"/>
            <rFont val="Times New Roman"/>
            <family val="18"/>
          </rPr>
          <t xml:space="preserve">03/04/1804 </t>
        </r>
        <r>
          <rPr>
            <i/>
            <sz val="14"/>
            <color rgb="FF000000"/>
            <rFont val="Times New Roman"/>
            <family val="18"/>
          </rPr>
          <t xml:space="preserve">Von Frehliche Regiments Werbbezirk </t>
        </r>
        <r>
          <rPr>
            <sz val="14"/>
            <color rgb="FF000000"/>
            <rFont val="Times New Roman"/>
            <family val="18"/>
          </rPr>
          <t>[IR 28]</t>
        </r>
        <r>
          <rPr>
            <i/>
            <sz val="14"/>
            <color rgb="FF000000"/>
            <rFont val="Times New Roman"/>
            <family val="18"/>
          </rPr>
          <t xml:space="preserve"> gestellt und gegen 3Fl Handgeld und 12-jähriger Capitulation zum CL 3 als landständischer Recrout assentiert und zum 1. Major 2. Esk eigeteilt</t>
        </r>
        <r>
          <rPr>
            <sz val="14"/>
            <color rgb="FF000000"/>
            <rFont val="Times New Roman"/>
            <family val="18"/>
          </rPr>
          <t xml:space="preserve"> [AL May 1804 &amp; ST June 1804]</t>
        </r>
        <r>
          <rPr>
            <sz val="14"/>
            <color rgb="FF000000"/>
            <rFont val="Aptos"/>
            <family val="34"/>
          </rPr>
          <t xml:space="preserve">
</t>
        </r>
      </text>
    </comment>
    <comment ref="BG847" authorId="0" shapeId="0" xr:uid="{AD84D6D6-A235-EE48-BBAB-1DA931096087}">
      <text>
        <r>
          <rPr>
            <sz val="14"/>
            <color rgb="FF000000"/>
            <rFont val="Times New Roman"/>
            <family val="18"/>
          </rPr>
          <t>ML 7119 CL 3 (1803/4) – AL Nr. 18 (Kuttenberg 19/05/1804); ST June (Lublin 13/06/1804)</t>
        </r>
        <r>
          <rPr>
            <sz val="14"/>
            <color rgb="FF000000"/>
            <rFont val="Aptos"/>
            <family val="34"/>
          </rPr>
          <t xml:space="preserve">
</t>
        </r>
      </text>
    </comment>
    <comment ref="BH847" authorId="0" shapeId="0" xr:uid="{50A74F5C-B291-F848-BB3F-762E7387A377}">
      <text>
        <r>
          <rPr>
            <sz val="14"/>
            <color rgb="FF000000"/>
            <rFont val="Calibri"/>
            <family val="34"/>
          </rPr>
          <t>CL 3 (1804)</t>
        </r>
      </text>
    </comment>
    <comment ref="BF848" authorId="0" shapeId="0" xr:uid="{34E7F0D7-F85C-8E47-8623-8FE9C371369F}">
      <text>
        <r>
          <rPr>
            <sz val="14"/>
            <color rgb="FF000000"/>
            <rFont val="Times New Roman"/>
            <family val="18"/>
          </rPr>
          <t xml:space="preserve">18/04/1804 </t>
        </r>
        <r>
          <rPr>
            <i/>
            <sz val="14"/>
            <color rgb="FF000000"/>
            <rFont val="Times New Roman"/>
            <family val="18"/>
          </rPr>
          <t>Hat sich Freiwillig gegen 3Fl Handgeld mit 10 Jähriger Capitulation zum IR 20 engagieren lassen und zur Obrist Komp. eingeteilt</t>
        </r>
        <r>
          <rPr>
            <sz val="14"/>
            <color rgb="FF000000"/>
            <rFont val="Times New Roman"/>
            <family val="18"/>
          </rPr>
          <t xml:space="preserve"> [AL April 1804]</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13. Fus. zur 2. Gren. Komp. transferiert</t>
        </r>
        <r>
          <rPr>
            <sz val="14"/>
            <color rgb="FF000000"/>
            <rFont val="Times New Roman"/>
            <family val="18"/>
          </rPr>
          <t xml:space="preserve"> [Doc Aug 1805]</t>
        </r>
        <r>
          <rPr>
            <sz val="14"/>
            <color rgb="FF000000"/>
            <rFont val="Calibri"/>
            <family val="34"/>
          </rPr>
          <t xml:space="preserve">
</t>
        </r>
        <r>
          <rPr>
            <sz val="14"/>
            <color rgb="FF000000"/>
            <rFont val="Times New Roman"/>
            <family val="18"/>
          </rPr>
          <t xml:space="preserve">09/10/1805 </t>
        </r>
        <r>
          <rPr>
            <i/>
            <sz val="14"/>
            <color rgb="FF000000"/>
            <rFont val="Times New Roman"/>
            <family val="18"/>
          </rPr>
          <t xml:space="preserve">In die Französische Kriegsgefangenschaft </t>
        </r>
        <r>
          <rPr>
            <b/>
            <sz val="14"/>
            <color rgb="FF000000"/>
            <rFont val="Times New Roman"/>
            <family val="18"/>
          </rPr>
          <t>[Gefecht bei Günzburg]</t>
        </r>
        <r>
          <rPr>
            <sz val="14"/>
            <color rgb="FF000000"/>
            <rFont val="Times New Roman"/>
            <family val="18"/>
          </rPr>
          <t xml:space="preserve"> Doc Oct 1805]</t>
        </r>
        <r>
          <rPr>
            <sz val="14"/>
            <color rgb="FF000000"/>
            <rFont val="Calibri"/>
            <family val="34"/>
          </rPr>
          <t xml:space="preserve">
</t>
        </r>
        <r>
          <rPr>
            <sz val="14"/>
            <color rgb="FF000000"/>
            <rFont val="Times New Roman"/>
            <family val="18"/>
          </rPr>
          <t xml:space="preserve">26/10/1805 </t>
        </r>
        <r>
          <rPr>
            <i/>
            <sz val="14"/>
            <color rgb="FF000000"/>
            <rFont val="Times New Roman"/>
            <family val="18"/>
          </rPr>
          <t>Aus der Kriegsgefangenschaft sich selbst Ranzioniert und in Innsbruck Präsentiert</t>
        </r>
        <r>
          <rPr>
            <sz val="14"/>
            <color rgb="FF000000"/>
            <rFont val="Times New Roman"/>
            <family val="18"/>
          </rPr>
          <t xml:space="preserve"> [Doc Marz 1806]</t>
        </r>
        <r>
          <rPr>
            <sz val="14"/>
            <color rgb="FF000000"/>
            <rFont val="Calibri"/>
            <family val="34"/>
          </rPr>
          <t xml:space="preserve">
</t>
        </r>
        <r>
          <rPr>
            <sz val="14"/>
            <color rgb="FF000000"/>
            <rFont val="Times New Roman"/>
            <family val="18"/>
          </rPr>
          <t xml:space="preserve">22/11/1805 </t>
        </r>
        <r>
          <rPr>
            <i/>
            <sz val="14"/>
            <color rgb="FF000000"/>
            <rFont val="Times New Roman"/>
            <family val="18"/>
          </rPr>
          <t xml:space="preserve">Während am Marsch zum Regiment bei </t>
        </r>
        <r>
          <rPr>
            <b/>
            <i/>
            <sz val="14"/>
            <color rgb="FF000000"/>
            <rFont val="Times New Roman"/>
            <family val="18"/>
          </rPr>
          <t>Castelfranco</t>
        </r>
        <r>
          <rPr>
            <i/>
            <sz val="14"/>
            <color rgb="FF000000"/>
            <rFont val="Times New Roman"/>
            <family val="18"/>
          </rPr>
          <t xml:space="preserve"> in die Kriegsgefangenschaft gefallen</t>
        </r>
        <r>
          <rPr>
            <sz val="14"/>
            <color rgb="FF000000"/>
            <rFont val="Times New Roman"/>
            <family val="18"/>
          </rPr>
          <t xml:space="preserve"> [Doc July 1806]</t>
        </r>
        <r>
          <rPr>
            <sz val="14"/>
            <color rgb="FF000000"/>
            <rFont val="Calibri"/>
            <family val="34"/>
          </rPr>
          <t xml:space="preserve">
</t>
        </r>
        <r>
          <rPr>
            <sz val="14"/>
            <color rgb="FF000000"/>
            <rFont val="Times New Roman"/>
            <family val="18"/>
          </rPr>
          <t xml:space="preserve">22/07/1806 </t>
        </r>
        <r>
          <rPr>
            <i/>
            <sz val="14"/>
            <color rgb="FF000000"/>
            <rFont val="Times New Roman"/>
            <family val="18"/>
          </rPr>
          <t>Aus der Kriegsgefangenschaft ranzioniert und zu Salzburg präsentiert</t>
        </r>
        <r>
          <rPr>
            <sz val="14"/>
            <color rgb="FF000000"/>
            <rFont val="Times New Roman"/>
            <family val="18"/>
          </rPr>
          <t xml:space="preserve"> [Doc July 1806]</t>
        </r>
        <r>
          <rPr>
            <sz val="14"/>
            <color rgb="FF000000"/>
            <rFont val="Calibri"/>
            <family val="34"/>
          </rPr>
          <t xml:space="preserve">
</t>
        </r>
        <r>
          <rPr>
            <sz val="14"/>
            <color rgb="FF000000"/>
            <rFont val="Times New Roman"/>
            <family val="18"/>
          </rPr>
          <t>15/12/1806 Muster: IR 20 2. Gren. Komp. Nr. 99</t>
        </r>
        <r>
          <rPr>
            <sz val="14"/>
            <color rgb="FF000000"/>
            <rFont val="Calibri"/>
            <family val="34"/>
          </rPr>
          <t xml:space="preserve">
</t>
        </r>
      </text>
    </comment>
    <comment ref="BG848" authorId="0" shapeId="0" xr:uid="{85239C3A-4A4D-7843-B4B6-93E26977E0BD}">
      <text>
        <r>
          <rPr>
            <sz val="14"/>
            <color rgb="FF000000"/>
            <rFont val="Times New Roman"/>
            <family val="18"/>
          </rPr>
          <t>ML 1623/5 IR 20 (1806) – 2. Gren. Komp. Nr. 99 (Olmütz 15/12/1806)</t>
        </r>
        <r>
          <rPr>
            <sz val="14"/>
            <color rgb="FF000000"/>
            <rFont val="Calibri"/>
            <family val="34"/>
          </rPr>
          <t xml:space="preserve">
</t>
        </r>
        <r>
          <rPr>
            <sz val="14"/>
            <color rgb="FF000000"/>
            <rFont val="Times New Roman"/>
            <family val="18"/>
          </rPr>
          <t>ML 1657 IR 20 (1804) – AL Nr. 103 (Troppau 28/04/1804)</t>
        </r>
        <r>
          <rPr>
            <sz val="14"/>
            <color rgb="FF000000"/>
            <rFont val="Calibri"/>
            <family val="34"/>
          </rPr>
          <t xml:space="preserve">
</t>
        </r>
        <r>
          <rPr>
            <sz val="14"/>
            <color rgb="FF000000"/>
            <rFont val="Calibri"/>
            <family val="34"/>
          </rPr>
          <t xml:space="preserve">
</t>
        </r>
      </text>
    </comment>
    <comment ref="BH848" authorId="0" shapeId="0" xr:uid="{D0EC54D6-60F0-7B42-B828-B93AF49216E9}">
      <text>
        <r>
          <rPr>
            <sz val="14"/>
            <color rgb="FF000000"/>
            <rFont val="Calibri"/>
            <family val="34"/>
          </rPr>
          <t>IR 20 (1804-1806)</t>
        </r>
      </text>
    </comment>
    <comment ref="BF849" authorId="0" shapeId="0" xr:uid="{77D23E6C-204E-5148-8289-57FD954965DB}">
      <text>
        <r>
          <rPr>
            <sz val="14"/>
            <color rgb="FF000000"/>
            <rFont val="Times New Roman"/>
            <family val="18"/>
          </rPr>
          <t xml:space="preserve">07/06/1804 [bevor]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07/06/1804 </t>
        </r>
        <r>
          <rPr>
            <i/>
            <sz val="14"/>
            <color rgb="FF000000"/>
            <rFont val="Times New Roman"/>
            <family val="18"/>
          </rPr>
          <t>Superarbietrierung: Mit Laufpass zu entlassen</t>
        </r>
        <r>
          <rPr>
            <sz val="14"/>
            <color rgb="FF000000"/>
            <rFont val="Times New Roman"/>
            <family val="18"/>
          </rPr>
          <t xml:space="preserve"> [AL Okt 1804]</t>
        </r>
        <r>
          <rPr>
            <sz val="14"/>
            <color rgb="FF000000"/>
            <rFont val="Calibri"/>
            <family val="34"/>
          </rPr>
          <t xml:space="preserve">
</t>
        </r>
        <r>
          <rPr>
            <sz val="14"/>
            <color rgb="FF000000"/>
            <rFont val="Times New Roman"/>
            <family val="18"/>
          </rPr>
          <t xml:space="preserve">01/10/1804 </t>
        </r>
        <r>
          <rPr>
            <i/>
            <sz val="14"/>
            <color rgb="FF000000"/>
            <rFont val="Times New Roman"/>
            <family val="18"/>
          </rPr>
          <t>2. Ersatzt Mann Ignatz Kuczerek von Judengemeinde Opatow für 34Fl gestellt</t>
        </r>
        <r>
          <rPr>
            <sz val="14"/>
            <color rgb="FF000000"/>
            <rFont val="Times New Roman"/>
            <family val="18"/>
          </rPr>
          <t xml:space="preserve"> [AL Okt 1804]</t>
        </r>
        <r>
          <rPr>
            <sz val="14"/>
            <color rgb="FF000000"/>
            <rFont val="Calibri"/>
            <family val="34"/>
          </rPr>
          <t xml:space="preserve">
</t>
        </r>
      </text>
    </comment>
    <comment ref="BG849" authorId="0" shapeId="0" xr:uid="{AFCB0FDA-4272-EE47-9686-2C03A59D87B1}">
      <text>
        <r>
          <rPr>
            <sz val="14"/>
            <color rgb="FF000000"/>
            <rFont val="Times New Roman"/>
            <family val="18"/>
          </rPr>
          <t>ML 10.314 IR 43 (1804) – AL of Ignatz Kuczerek (Opatow, 01/10/1810), ST Okt (08/12/1804)</t>
        </r>
        <r>
          <rPr>
            <sz val="14"/>
            <color rgb="FF000000"/>
            <rFont val="Calibri"/>
            <family val="34"/>
          </rPr>
          <t xml:space="preserve">
</t>
        </r>
      </text>
    </comment>
    <comment ref="BH849" authorId="0" shapeId="0" xr:uid="{D108F3C5-01BC-1541-8A2A-AADCE2BD78C7}">
      <text>
        <r>
          <rPr>
            <sz val="14"/>
            <color rgb="FF000000"/>
            <rFont val="Calibri"/>
            <family val="34"/>
          </rPr>
          <t>IR 43 (1804)</t>
        </r>
      </text>
    </comment>
    <comment ref="J850" authorId="0" shapeId="0" xr:uid="{57DC1502-2004-4243-9B84-4BFB9B30F823}">
      <text>
        <r>
          <rPr>
            <sz val="14"/>
            <color rgb="FF000000"/>
            <rFont val="Calibri"/>
            <family val="34"/>
          </rPr>
          <t xml:space="preserve">Ledig (1804) 'hat mit seinem Frau geschieden' 
</t>
        </r>
        <r>
          <rPr>
            <sz val="14"/>
            <color rgb="FF000000"/>
            <rFont val="Calibri"/>
            <family val="34"/>
          </rPr>
          <t>Veheiratet (1804-6)</t>
        </r>
      </text>
    </comment>
    <comment ref="BF850" authorId="0" shapeId="0" xr:uid="{1CEB5642-42B6-ED4E-A013-9EBEDA66DFA4}">
      <text>
        <r>
          <rPr>
            <sz val="14"/>
            <color rgb="FF000000"/>
            <rFont val="Times New Roman"/>
            <family val="18"/>
          </rPr>
          <t xml:space="preserve">22/06/1804 </t>
        </r>
        <r>
          <rPr>
            <i/>
            <sz val="14"/>
            <color rgb="FF000000"/>
            <rFont val="Times New Roman"/>
            <family val="18"/>
          </rPr>
          <t>Hat sich gegen 3 Fl Handgeld und 10 Jährigen Capitulation freiwillig zu Opatow gestellt und ins IR 43 assentiert</t>
        </r>
        <r>
          <rPr>
            <sz val="14"/>
            <color rgb="FF000000"/>
            <rFont val="Times New Roman"/>
            <family val="18"/>
          </rPr>
          <t xml:space="preserve"> [AL 1804]</t>
        </r>
        <r>
          <rPr>
            <sz val="14"/>
            <color rgb="FF000000"/>
            <rFont val="Calibri"/>
            <family val="34"/>
          </rPr>
          <t xml:space="preserve">
</t>
        </r>
        <r>
          <rPr>
            <sz val="14"/>
            <color rgb="FF000000"/>
            <rFont val="Times New Roman"/>
            <family val="18"/>
          </rPr>
          <t xml:space="preserve">25/07/1804 </t>
        </r>
        <r>
          <rPr>
            <i/>
            <sz val="14"/>
            <color rgb="FF000000"/>
            <rFont val="Times New Roman"/>
            <family val="18"/>
          </rPr>
          <t>Vermog West Galizischen General Commando Verordnung det. Krakau den 27 Juli nach abgehaltenen Superarbietrierung als Dienst untauglich gegen Erlag der Unkosten mit Laufpaß entlassen</t>
        </r>
        <r>
          <rPr>
            <sz val="14"/>
            <color rgb="FF000000"/>
            <rFont val="Times New Roman"/>
            <family val="18"/>
          </rPr>
          <t xml:space="preserve"> [ST Aug 1804]</t>
        </r>
        <r>
          <rPr>
            <sz val="14"/>
            <color rgb="FF000000"/>
            <rFont val="Calibri"/>
            <family val="34"/>
          </rPr>
          <t xml:space="preserve">
</t>
        </r>
      </text>
    </comment>
    <comment ref="BG850" authorId="0" shapeId="0" xr:uid="{FA64A739-4744-6642-A374-76878A39934D}">
      <text>
        <r>
          <rPr>
            <sz val="14"/>
            <color rgb="FF000000"/>
            <rFont val="Times New Roman"/>
            <family val="18"/>
          </rPr>
          <t xml:space="preserve">22/06/1804 </t>
        </r>
        <r>
          <rPr>
            <i/>
            <sz val="14"/>
            <color rgb="FF000000"/>
            <rFont val="Times New Roman"/>
            <family val="18"/>
          </rPr>
          <t>Hat sich gegen 3 Fl Handgeld und 10 Jährigen Capitulation freiwillig zu Opatow gestellt und ins IR 43 assentiert</t>
        </r>
        <r>
          <rPr>
            <sz val="14"/>
            <color rgb="FF000000"/>
            <rFont val="Times New Roman"/>
            <family val="18"/>
          </rPr>
          <t xml:space="preserve"> [AL 1804]</t>
        </r>
        <r>
          <rPr>
            <sz val="14"/>
            <color rgb="FF000000"/>
            <rFont val="Calibri"/>
            <family val="34"/>
          </rPr>
          <t xml:space="preserve">
</t>
        </r>
        <r>
          <rPr>
            <sz val="14"/>
            <color rgb="FF000000"/>
            <rFont val="Times New Roman"/>
            <family val="18"/>
          </rPr>
          <t xml:space="preserve">25/07/1804 </t>
        </r>
        <r>
          <rPr>
            <i/>
            <sz val="14"/>
            <color rgb="FF000000"/>
            <rFont val="Times New Roman"/>
            <family val="18"/>
          </rPr>
          <t>Vermog West Galizischen General Commando Verordnung det. Krakau den 27 Juli nach abgehaltenen Superarbietrierung als Dienst untauglich gegen Erlag der Unkosten mit Laufpaß entlassen</t>
        </r>
        <r>
          <rPr>
            <sz val="14"/>
            <color rgb="FF000000"/>
            <rFont val="Times New Roman"/>
            <family val="18"/>
          </rPr>
          <t xml:space="preserve"> [ST Aug 1804]</t>
        </r>
        <r>
          <rPr>
            <sz val="14"/>
            <color rgb="FF000000"/>
            <rFont val="Calibri"/>
            <family val="34"/>
          </rPr>
          <t xml:space="preserve">
</t>
        </r>
      </text>
    </comment>
    <comment ref="BH850" authorId="0" shapeId="0" xr:uid="{5E61154B-376F-3E42-B3E4-62FFA04F47A5}">
      <text>
        <r>
          <rPr>
            <sz val="14"/>
            <color rgb="FF000000"/>
            <rFont val="Calibri"/>
            <family val="34"/>
          </rPr>
          <t>IR 43 (1804)</t>
        </r>
      </text>
    </comment>
    <comment ref="BF851" authorId="0" shapeId="0" xr:uid="{55337F39-BD4D-104A-86DE-63A89B082DB4}">
      <text>
        <r>
          <rPr>
            <sz val="14"/>
            <color rgb="FF000000"/>
            <rFont val="Times New Roman"/>
            <family val="18"/>
          </rPr>
          <t xml:space="preserve">05/08/1804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6. Fus. Komp. Nr. 117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851" authorId="0" shapeId="0" xr:uid="{D8093446-DF1B-DC47-AC4E-0ADFBBAB44FC}">
      <text>
        <r>
          <rPr>
            <sz val="14"/>
            <color rgb="FF000000"/>
            <rFont val="Times New Roman"/>
            <family val="18"/>
          </rPr>
          <t>IR 544 IR 8 (1811) – 6. Fus. Komp. Nr. 117 (Iglau 12/09/1811)</t>
        </r>
        <r>
          <rPr>
            <sz val="14"/>
            <color rgb="FF000000"/>
            <rFont val="Calibri"/>
            <family val="34"/>
          </rPr>
          <t xml:space="preserve">
</t>
        </r>
      </text>
    </comment>
    <comment ref="BH851" authorId="0" shapeId="0" xr:uid="{FBE2D724-07DA-3C4E-B2D3-3BF8C1A70582}">
      <text>
        <r>
          <rPr>
            <sz val="14"/>
            <color rgb="FF000000"/>
            <rFont val="Calibri"/>
            <family val="34"/>
          </rPr>
          <t>IR 8 (1804-1811)</t>
        </r>
      </text>
    </comment>
    <comment ref="J852" authorId="0" shapeId="0" xr:uid="{9AB0F0E8-E489-7E48-AEF1-3C1B76D3730D}">
      <text>
        <r>
          <rPr>
            <sz val="14"/>
            <color rgb="FF000000"/>
            <rFont val="Calibri"/>
            <family val="34"/>
          </rPr>
          <t xml:space="preserve">Ledig (1804)
</t>
        </r>
        <r>
          <rPr>
            <sz val="14"/>
            <color rgb="FF000000"/>
            <rFont val="Calibri"/>
            <family val="34"/>
          </rPr>
          <t>Veheiratet (1806)</t>
        </r>
      </text>
    </comment>
    <comment ref="T852" authorId="0" shapeId="0" xr:uid="{FD0F3420-D63D-1F4D-8353-B80DCB4EFED5}">
      <text>
        <r>
          <rPr>
            <b/>
            <sz val="14"/>
            <color rgb="FF000000"/>
            <rFont val="Calibri"/>
            <family val="34"/>
          </rPr>
          <t xml:space="preserve">5.3.1 [166.11 (1804)]
</t>
        </r>
        <r>
          <rPr>
            <sz val="14"/>
            <color rgb="FF000000"/>
            <rFont val="Calibri"/>
            <family val="34"/>
          </rPr>
          <t>5.4 [168.52 (1806)]</t>
        </r>
      </text>
    </comment>
    <comment ref="BF852" authorId="0" shapeId="0" xr:uid="{42F0A544-7726-4242-8EC4-10785942BCF1}">
      <text>
        <r>
          <rPr>
            <sz val="14"/>
            <color rgb="FF000000"/>
            <rFont val="Times New Roman"/>
            <family val="18"/>
          </rPr>
          <t xml:space="preserve">19/09/1804 </t>
        </r>
        <r>
          <rPr>
            <i/>
            <sz val="14"/>
            <color rgb="FF000000"/>
            <rFont val="Times New Roman"/>
            <family val="18"/>
          </rPr>
          <t xml:space="preserve">Zu Frankfurt als Reichrecrout auf 40Fl Werbgeld mit 25 Fl Handgeld und 6 Jähriger Capitulation assentiert. Verlegt ausdrücklich zu diesen Löbl. Regiment </t>
        </r>
        <r>
          <rPr>
            <b/>
            <sz val="14"/>
            <color rgb="FF000000"/>
            <rFont val="Times New Roman"/>
            <family val="18"/>
          </rPr>
          <t>[IR 1]</t>
        </r>
        <r>
          <rPr>
            <i/>
            <sz val="14"/>
            <color rgb="FF000000"/>
            <rFont val="Times New Roman"/>
            <family val="18"/>
          </rPr>
          <t>, weil sein Taufpate der Recrout Bernhard GEISLER auch dazu assentiert worden ist. Welcher ihr als einen erst getaufter Juden nach dessen in dem Grundbuch, der Katholischen Religion eigereichten wird</t>
        </r>
        <r>
          <rPr>
            <sz val="14"/>
            <color rgb="FF000000"/>
            <rFont val="Times New Roman"/>
            <family val="18"/>
          </rPr>
          <t xml:space="preserve">. </t>
        </r>
        <r>
          <rPr>
            <i/>
            <sz val="14"/>
            <color rgb="FF000000"/>
            <rFont val="Times New Roman"/>
            <family val="18"/>
          </rPr>
          <t>Ist zum 2. Major Komp.</t>
        </r>
        <r>
          <rPr>
            <sz val="14"/>
            <color rgb="FF000000"/>
            <rFont val="Times New Roman"/>
            <family val="18"/>
          </rPr>
          <t xml:space="preserve"> [wie auch seiner Taufpate Bernhard Giesler] </t>
        </r>
        <r>
          <rPr>
            <i/>
            <sz val="14"/>
            <color rgb="FF000000"/>
            <rFont val="Times New Roman"/>
            <family val="18"/>
          </rPr>
          <t xml:space="preserve">eingeteilt </t>
        </r>
        <r>
          <rPr>
            <sz val="14"/>
            <color rgb="FF000000"/>
            <rFont val="Times New Roman"/>
            <family val="18"/>
          </rPr>
          <t>[AL Sept 1804 &amp; ML 1806]</t>
        </r>
        <r>
          <rPr>
            <sz val="14"/>
            <color rgb="FF000000"/>
            <rFont val="Calibri"/>
            <family val="34"/>
          </rPr>
          <t xml:space="preserve">
</t>
        </r>
        <r>
          <rPr>
            <sz val="14"/>
            <color rgb="FF000000"/>
            <rFont val="Times New Roman"/>
            <family val="18"/>
          </rPr>
          <t xml:space="preserve">20/10/1805 </t>
        </r>
        <r>
          <rPr>
            <i/>
            <sz val="14"/>
            <color rgb="FF000000"/>
            <rFont val="Times New Roman"/>
            <family val="18"/>
          </rPr>
          <t xml:space="preserve">In </t>
        </r>
        <r>
          <rPr>
            <b/>
            <i/>
            <sz val="14"/>
            <color rgb="FF000000"/>
            <rFont val="Times New Roman"/>
            <family val="18"/>
          </rPr>
          <t xml:space="preserve">Festung Ulm </t>
        </r>
        <r>
          <rPr>
            <i/>
            <sz val="14"/>
            <color rgb="FF000000"/>
            <rFont val="Times New Roman"/>
            <family val="18"/>
          </rPr>
          <t>in 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In 12/1805 </t>
        </r>
        <r>
          <rPr>
            <i/>
            <sz val="14"/>
            <color rgb="FF000000"/>
            <rFont val="Times New Roman"/>
            <family val="18"/>
          </rPr>
          <t>Sich selbst ranzioniert und in Eger präsentiert</t>
        </r>
        <r>
          <rPr>
            <sz val="14"/>
            <color rgb="FF000000"/>
            <rFont val="Times New Roman"/>
            <family val="18"/>
          </rPr>
          <t xml:space="preserve"> [ML] 15/12/1806 Muster: IR 1 7. Komp. Nr. 62</t>
        </r>
        <r>
          <rPr>
            <sz val="14"/>
            <color rgb="FF000000"/>
            <rFont val="Calibri"/>
            <family val="34"/>
          </rPr>
          <t xml:space="preserve">
</t>
        </r>
        <r>
          <rPr>
            <sz val="14"/>
            <color rgb="FF000000"/>
            <rFont val="Times New Roman"/>
            <family val="18"/>
          </rPr>
          <t>15/12/1806 Muster: IR 1 7. Fus. Komp. Nr. 62</t>
        </r>
        <r>
          <rPr>
            <sz val="14"/>
            <color rgb="FF000000"/>
            <rFont val="Calibri"/>
            <family val="34"/>
          </rPr>
          <t xml:space="preserve">
</t>
        </r>
        <r>
          <rPr>
            <sz val="14"/>
            <color rgb="FF000000"/>
            <rFont val="Times New Roman"/>
            <family val="18"/>
          </rPr>
          <t xml:space="preserve">01/04/1807 </t>
        </r>
        <r>
          <rPr>
            <i/>
            <sz val="14"/>
            <color rgb="FF000000"/>
            <rFont val="Times New Roman"/>
            <family val="18"/>
          </rPr>
          <t>Wegen Diebstahl in Arrest in Regimentsstockhaus</t>
        </r>
        <r>
          <rPr>
            <sz val="14"/>
            <color rgb="FF000000"/>
            <rFont val="Times New Roman"/>
            <family val="18"/>
          </rPr>
          <t xml:space="preserve"> [ST April 1807]</t>
        </r>
        <r>
          <rPr>
            <sz val="14"/>
            <color rgb="FF000000"/>
            <rFont val="Calibri"/>
            <family val="34"/>
          </rPr>
          <t xml:space="preserve">
</t>
        </r>
        <r>
          <rPr>
            <sz val="14"/>
            <color rgb="FF000000"/>
            <rFont val="Times New Roman"/>
            <family val="18"/>
          </rPr>
          <t xml:space="preserve">11/04/1807 </t>
        </r>
        <r>
          <rPr>
            <i/>
            <sz val="14"/>
            <color rgb="FF000000"/>
            <rFont val="Times New Roman"/>
            <family val="18"/>
          </rPr>
          <t>Befreit</t>
        </r>
        <r>
          <rPr>
            <sz val="14"/>
            <color rgb="FF000000"/>
            <rFont val="Times New Roman"/>
            <family val="18"/>
          </rPr>
          <t xml:space="preserve"> [ST Ap]</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Zu Egger Präsentiert, seitdem auf anhero Marsch</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11/07/1809 </t>
        </r>
        <r>
          <rPr>
            <i/>
            <sz val="14"/>
            <color rgb="FF000000"/>
            <rFont val="Times New Roman"/>
            <family val="18"/>
          </rPr>
          <t>In Regiment eingerückt und zum 1. Fus. Komp. zugeteilt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16/08/1810 </t>
        </r>
        <r>
          <rPr>
            <i/>
            <sz val="14"/>
            <color rgb="FF000000"/>
            <rFont val="Times New Roman"/>
            <family val="18"/>
          </rPr>
          <t xml:space="preserve">Krank in Kloster Hradisch </t>
        </r>
        <r>
          <rPr>
            <sz val="14"/>
            <color rgb="FF000000"/>
            <rFont val="Times New Roman"/>
            <family val="18"/>
          </rPr>
          <t>[ST Aug 1810]</t>
        </r>
        <r>
          <rPr>
            <sz val="14"/>
            <color rgb="FF000000"/>
            <rFont val="Calibri"/>
            <family val="34"/>
          </rPr>
          <t xml:space="preserve">
</t>
        </r>
        <r>
          <rPr>
            <sz val="14"/>
            <color rgb="FF000000"/>
            <rFont val="Times New Roman"/>
            <family val="18"/>
          </rPr>
          <t xml:space="preserve">23/08/1810 </t>
        </r>
        <r>
          <rPr>
            <i/>
            <sz val="14"/>
            <color rgb="FF000000"/>
            <rFont val="Times New Roman"/>
            <family val="18"/>
          </rPr>
          <t xml:space="preserve">Rekonvalesziert </t>
        </r>
        <r>
          <rPr>
            <sz val="14"/>
            <color rgb="FF000000"/>
            <rFont val="Times New Roman"/>
            <family val="18"/>
          </rPr>
          <t>[ST Aug 1810]</t>
        </r>
        <r>
          <rPr>
            <sz val="14"/>
            <color rgb="FF000000"/>
            <rFont val="Calibri"/>
            <family val="34"/>
          </rPr>
          <t xml:space="preserve">
</t>
        </r>
        <r>
          <rPr>
            <sz val="14"/>
            <color rgb="FF000000"/>
            <rFont val="Times New Roman"/>
            <family val="18"/>
          </rPr>
          <t xml:space="preserve">10/09/1810 </t>
        </r>
        <r>
          <rPr>
            <i/>
            <sz val="14"/>
            <color rgb="FF000000"/>
            <rFont val="Times New Roman"/>
            <family val="18"/>
          </rPr>
          <t>Als ausgedienter Capitulant in Folge Hofkriegsrätliche Verordnung ddt. Wien am 7. Aug 1810 mit Abschied entlassen</t>
        </r>
        <r>
          <rPr>
            <sz val="14"/>
            <color rgb="FF000000"/>
            <rFont val="Times New Roman"/>
            <family val="18"/>
          </rPr>
          <t xml:space="preserve"> [ST Sept 1810] </t>
        </r>
      </text>
    </comment>
    <comment ref="BG852" authorId="0" shapeId="0" xr:uid="{0113EBCB-60D1-4B4F-9AD6-9070F1F3B63E}">
      <text>
        <r>
          <rPr>
            <sz val="14"/>
            <color rgb="FF000000"/>
            <rFont val="Times New Roman"/>
            <family val="18"/>
          </rPr>
          <t>ML 31/2 IR 1 (1806) – CaptLt Schindler 7. Fus. Komp. Nr. 62 (Brünn 15/12/1806)</t>
        </r>
        <r>
          <rPr>
            <sz val="14"/>
            <color rgb="FF000000"/>
            <rFont val="Calibri"/>
            <family val="34"/>
          </rPr>
          <t xml:space="preserve">
</t>
        </r>
        <r>
          <rPr>
            <sz val="14"/>
            <color rgb="FF000000"/>
            <rFont val="Times New Roman"/>
            <family val="18"/>
          </rPr>
          <t>ML 82 IR 1 (1804) – AL Nr. 1 (Frankfurt 19/09/1804)</t>
        </r>
        <r>
          <rPr>
            <sz val="14"/>
            <color rgb="FF000000"/>
            <rFont val="Calibri"/>
            <family val="34"/>
          </rPr>
          <t xml:space="preserve">
</t>
        </r>
        <r>
          <rPr>
            <sz val="14"/>
            <color rgb="FF000000"/>
            <rFont val="Times New Roman"/>
            <family val="18"/>
          </rPr>
          <t>ML 87 IR 1 (1807) – ST April (Brünn 28/07/1807)</t>
        </r>
        <r>
          <rPr>
            <sz val="14"/>
            <color rgb="FF000000"/>
            <rFont val="Calibri"/>
            <family val="34"/>
          </rPr>
          <t xml:space="preserve">
</t>
        </r>
        <r>
          <rPr>
            <sz val="14"/>
            <color rgb="FF000000"/>
            <rFont val="Times New Roman"/>
            <family val="18"/>
          </rPr>
          <t>ML 91 IR 1 (1809) – ST April (Proßnitz 26/07/1810), July (Proßnitz 21/10/1810)</t>
        </r>
        <r>
          <rPr>
            <sz val="14"/>
            <color rgb="FF000000"/>
            <rFont val="Calibri"/>
            <family val="34"/>
          </rPr>
          <t xml:space="preserve">
</t>
        </r>
        <r>
          <rPr>
            <sz val="14"/>
            <color rgb="FF000000"/>
            <rFont val="Times New Roman"/>
            <family val="18"/>
          </rPr>
          <t>ML 94 IR 1 (1810) – ST Aug (Brünn 08/04/1811), Sept (Brünn 17/04/1811)</t>
        </r>
        <r>
          <rPr>
            <sz val="14"/>
            <color rgb="FF000000"/>
            <rFont val="Calibri"/>
            <family val="34"/>
          </rPr>
          <t xml:space="preserve">
</t>
        </r>
      </text>
    </comment>
    <comment ref="BH852" authorId="0" shapeId="0" xr:uid="{D6A9129C-E37B-C14C-8ACA-45AC591D9C48}">
      <text>
        <r>
          <rPr>
            <sz val="14"/>
            <color rgb="FF000000"/>
            <rFont val="Calibri"/>
            <family val="34"/>
          </rPr>
          <t>IR 1 (1805-1810)</t>
        </r>
      </text>
    </comment>
    <comment ref="CR852" authorId="0" shapeId="0" xr:uid="{0D9E9F35-B9C7-0346-A611-3E16A6DCA641}">
      <text>
        <r>
          <rPr>
            <i/>
            <sz val="14"/>
            <color rgb="FF000000"/>
            <rFont val="Times New Roman"/>
            <family val="18"/>
          </rPr>
          <t xml:space="preserve">Welcher ihr als einen erst getaufter Juden nach dessen in dem Grundbuch, der Katholischen Religion eigereichten wird </t>
        </r>
        <r>
          <rPr>
            <sz val="14"/>
            <color rgb="FF000000"/>
            <rFont val="Times New Roman"/>
            <family val="18"/>
          </rPr>
          <t>[AL Sept 1804]</t>
        </r>
      </text>
    </comment>
    <comment ref="BF853" authorId="0" shapeId="0" xr:uid="{FC3D58A0-863C-F74A-AAD1-FF229C6A3780}">
      <text>
        <r>
          <rPr>
            <sz val="14"/>
            <color rgb="FF000000"/>
            <rFont val="Times New Roman"/>
            <family val="18"/>
          </rPr>
          <t xml:space="preserve">15/02/1805 </t>
        </r>
        <r>
          <rPr>
            <i/>
            <sz val="14"/>
            <color rgb="FF000000"/>
            <rFont val="Times New Roman"/>
            <family val="18"/>
          </rPr>
          <t>Zu Sambor a 3Fl Von Stände a 3Fl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28/02/1806 </t>
        </r>
        <r>
          <rPr>
            <i/>
            <sz val="14"/>
            <color rgb="FF000000"/>
            <rFont val="Times New Roman"/>
            <family val="18"/>
          </rPr>
          <t>Von der Staabs Infanterie zum IR 9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7. Fus. Komp. Nr. 204 [</t>
        </r>
        <r>
          <rPr>
            <i/>
            <sz val="14"/>
            <color rgb="FF000000"/>
            <rFont val="Times New Roman"/>
            <family val="18"/>
          </rPr>
          <t>Beurlaubt in seinem Heimat auf Bestmimte Zeit</t>
        </r>
        <r>
          <rPr>
            <sz val="14"/>
            <color rgb="FF000000"/>
            <rFont val="Times New Roman"/>
            <family val="18"/>
          </rPr>
          <t>]</t>
        </r>
        <r>
          <rPr>
            <sz val="14"/>
            <color rgb="FF000000"/>
            <rFont val="Calibri"/>
            <family val="34"/>
          </rPr>
          <t xml:space="preserve">
</t>
        </r>
      </text>
    </comment>
    <comment ref="BG853" authorId="0" shapeId="0" xr:uid="{28B1D3B6-2D56-344A-AC2C-5A4594411610}">
      <text>
        <r>
          <rPr>
            <sz val="14"/>
            <color rgb="FF000000"/>
            <rFont val="Times New Roman"/>
            <family val="18"/>
          </rPr>
          <t>ML 634 IR 9 (1811) – 7. Fus. Komp. Nr. 204 (Caschau 19/09/1811)</t>
        </r>
        <r>
          <rPr>
            <sz val="14"/>
            <color rgb="FF000000"/>
            <rFont val="Calibri"/>
            <family val="34"/>
          </rPr>
          <t xml:space="preserve">
</t>
        </r>
      </text>
    </comment>
    <comment ref="BH853" authorId="0" shapeId="0" xr:uid="{78889C46-38E7-2D45-A373-452C14EBE1C3}">
      <text>
        <r>
          <rPr>
            <sz val="14"/>
            <color rgb="FF000000"/>
            <rFont val="Calibri"/>
            <family val="34"/>
          </rPr>
          <t xml:space="preserve">IR 9 (1805)
</t>
        </r>
        <r>
          <rPr>
            <sz val="14"/>
            <color rgb="FF000000"/>
            <rFont val="Calibri"/>
            <family val="34"/>
          </rPr>
          <t xml:space="preserve">SInf (1805-1806)
</t>
        </r>
        <r>
          <rPr>
            <sz val="14"/>
            <color rgb="FF000000"/>
            <rFont val="Calibri"/>
            <family val="34"/>
          </rPr>
          <t>IR 9 (1806-1811)</t>
        </r>
      </text>
    </comment>
    <comment ref="BF854" authorId="0" shapeId="0" xr:uid="{C6BB2195-C256-FA49-A618-372128F918A9}">
      <text>
        <r>
          <rPr>
            <sz val="14"/>
            <color rgb="FF000000"/>
            <rFont val="Times New Roman"/>
            <family val="18"/>
          </rPr>
          <t xml:space="preserve">15/03/1805 </t>
        </r>
        <r>
          <rPr>
            <i/>
            <sz val="14"/>
            <color rgb="FF000000"/>
            <rFont val="Times New Roman"/>
            <family val="18"/>
          </rPr>
          <t>A 3 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9. Fus. Komp. Nr. 110 [</t>
        </r>
        <r>
          <rPr>
            <i/>
            <sz val="14"/>
            <color rgb="FF000000"/>
            <rFont val="Times New Roman"/>
            <family val="18"/>
          </rPr>
          <t>Beurlaubt in seiner Heimat auf Bestimmte Zeit</t>
        </r>
        <r>
          <rPr>
            <sz val="14"/>
            <color rgb="FF000000"/>
            <rFont val="Times New Roman"/>
            <family val="18"/>
          </rPr>
          <t>]</t>
        </r>
        <r>
          <rPr>
            <sz val="14"/>
            <color rgb="FF000000"/>
            <rFont val="Calibri"/>
            <family val="34"/>
          </rPr>
          <t xml:space="preserve">
</t>
        </r>
      </text>
    </comment>
    <comment ref="BG854" authorId="0" shapeId="0" xr:uid="{16F0E665-5500-BB43-987E-1DA0056B44DE}">
      <text>
        <r>
          <rPr>
            <sz val="14"/>
            <color rgb="FF000000"/>
            <rFont val="Times New Roman"/>
            <family val="18"/>
          </rPr>
          <t>ML 634 IR 9 (1811) – 9. Fus. Komp. Nr. 110 (Caschau 19/09/1811)</t>
        </r>
        <r>
          <rPr>
            <sz val="14"/>
            <color rgb="FF000000"/>
            <rFont val="Calibri"/>
            <family val="34"/>
          </rPr>
          <t xml:space="preserve">
</t>
        </r>
      </text>
    </comment>
    <comment ref="BH854" authorId="0" shapeId="0" xr:uid="{C246B5E3-322C-C640-935B-6EC565171D36}">
      <text>
        <r>
          <rPr>
            <sz val="14"/>
            <color rgb="FF000000"/>
            <rFont val="Calibri"/>
            <family val="34"/>
          </rPr>
          <t>IR 9 (1805-1811)</t>
        </r>
      </text>
    </comment>
    <comment ref="I855" authorId="0" shapeId="0" xr:uid="{24409A8C-F6C5-CD41-990D-B37FF426A9DD}">
      <text>
        <r>
          <rPr>
            <sz val="14"/>
            <color rgb="FF000000"/>
            <rFont val="Calibri"/>
            <family val="34"/>
          </rPr>
          <t xml:space="preserve">1783 [36 (ML 1819)]
</t>
        </r>
        <r>
          <rPr>
            <sz val="14"/>
            <color rgb="FF000000"/>
            <rFont val="Calibri"/>
            <family val="34"/>
          </rPr>
          <t xml:space="preserve">OR
</t>
        </r>
        <r>
          <rPr>
            <b/>
            <sz val="14"/>
            <color rgb="FF000000"/>
            <rFont val="Calibri"/>
            <family val="34"/>
          </rPr>
          <t>1784 [27 (ML 1811)]</t>
        </r>
      </text>
    </comment>
    <comment ref="BF855" authorId="0" shapeId="0" xr:uid="{4A5C3398-B31E-1244-92AA-E325215F13ED}">
      <text>
        <r>
          <rPr>
            <sz val="14"/>
            <color rgb="FF000000"/>
            <rFont val="Times New Roman"/>
            <family val="18"/>
          </rPr>
          <t xml:space="preserve">24/04/1805 </t>
        </r>
        <r>
          <rPr>
            <i/>
            <sz val="14"/>
            <color rgb="FF000000"/>
            <rFont val="Times New Roman"/>
            <family val="18"/>
          </rPr>
          <t>Gegen 3Fl Handgeld auf 10 Jahren zu Württemberg Inf Reg. 38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01/03/1809 </t>
        </r>
        <r>
          <rPr>
            <i/>
            <sz val="14"/>
            <color rgb="FF000000"/>
            <rFont val="Times New Roman"/>
            <family val="18"/>
          </rPr>
          <t xml:space="preserve">Von Württemberg Inf. Regt. zum 3. Staab inf. Reg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06/01/1810 </t>
        </r>
        <r>
          <rPr>
            <i/>
            <sz val="14"/>
            <color rgb="FF000000"/>
            <rFont val="Times New Roman"/>
            <family val="18"/>
          </rPr>
          <t xml:space="preserve">Von da </t>
        </r>
        <r>
          <rPr>
            <sz val="14"/>
            <color rgb="FF000000"/>
            <rFont val="Times New Roman"/>
            <family val="18"/>
          </rPr>
          <t>[</t>
        </r>
        <r>
          <rPr>
            <b/>
            <sz val="14"/>
            <color rgb="FF000000"/>
            <rFont val="Times New Roman"/>
            <family val="18"/>
          </rPr>
          <t>SInf 3. Komp</t>
        </r>
        <r>
          <rPr>
            <sz val="14"/>
            <color rgb="FF000000"/>
            <rFont val="Times New Roman"/>
            <family val="18"/>
          </rPr>
          <t>]</t>
        </r>
        <r>
          <rPr>
            <i/>
            <sz val="14"/>
            <color rgb="FF000000"/>
            <rFont val="Times New Roman"/>
            <family val="18"/>
          </rPr>
          <t xml:space="preserve"> anherro </t>
        </r>
        <r>
          <rPr>
            <sz val="14"/>
            <color rgb="FF000000"/>
            <rFont val="Times New Roman"/>
            <family val="18"/>
          </rPr>
          <t>[</t>
        </r>
        <r>
          <rPr>
            <b/>
            <sz val="14"/>
            <color rgb="FF000000"/>
            <rFont val="Times New Roman"/>
            <family val="18"/>
          </rPr>
          <t>IR 4</t>
        </r>
        <r>
          <rPr>
            <sz val="14"/>
            <color rgb="FF000000"/>
            <rFont val="Times New Roman"/>
            <family val="18"/>
          </rPr>
          <t>]</t>
        </r>
        <r>
          <rPr>
            <i/>
            <sz val="14"/>
            <color rgb="FF000000"/>
            <rFont val="Times New Roman"/>
            <family val="18"/>
          </rPr>
          <t xml:space="preserv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07/09/1811 Muster: IR 4 12. Fus. Komp. Nr. 223 [</t>
        </r>
        <r>
          <rPr>
            <i/>
            <sz val="14"/>
            <color rgb="FF000000"/>
            <rFont val="Times New Roman"/>
            <family val="18"/>
          </rPr>
          <t>Auf Einmarsch</t>
        </r>
        <r>
          <rPr>
            <sz val="14"/>
            <color rgb="FF000000"/>
            <rFont val="Times New Roman"/>
            <family val="18"/>
          </rPr>
          <t>]</t>
        </r>
        <r>
          <rPr>
            <sz val="14"/>
            <color rgb="FF000000"/>
            <rFont val="Calibri"/>
            <family val="34"/>
          </rPr>
          <t xml:space="preserve">
</t>
        </r>
        <r>
          <rPr>
            <sz val="14"/>
            <color rgb="FF000000"/>
            <rFont val="Times New Roman"/>
            <family val="18"/>
          </rPr>
          <t>25/09/1817 Muster: 12. Fus. Komp. Nr. 135 [</t>
        </r>
        <r>
          <rPr>
            <i/>
            <sz val="14"/>
            <color rgb="FF000000"/>
            <rFont val="Times New Roman"/>
            <family val="18"/>
          </rPr>
          <t>Auf Einmarsch</t>
        </r>
        <r>
          <rPr>
            <sz val="14"/>
            <color rgb="FF000000"/>
            <rFont val="Times New Roman"/>
            <family val="18"/>
          </rPr>
          <t xml:space="preserve">] </t>
        </r>
        <r>
          <rPr>
            <sz val="14"/>
            <color rgb="FF000000"/>
            <rFont val="Calibri"/>
            <family val="34"/>
          </rPr>
          <t xml:space="preserve">
</t>
        </r>
        <r>
          <rPr>
            <sz val="14"/>
            <color rgb="FF000000"/>
            <rFont val="Times New Roman"/>
            <family val="18"/>
          </rPr>
          <t>28/09/1818 Muster: 12. Fus. Komp. Nr. 105 [</t>
        </r>
        <r>
          <rPr>
            <i/>
            <sz val="14"/>
            <color rgb="FF000000"/>
            <rFont val="Times New Roman"/>
            <family val="18"/>
          </rPr>
          <t>Zum Anmarsch</t>
        </r>
        <r>
          <rPr>
            <sz val="14"/>
            <color rgb="FF000000"/>
            <rFont val="Times New Roman"/>
            <family val="18"/>
          </rPr>
          <t>]</t>
        </r>
        <r>
          <rPr>
            <sz val="14"/>
            <color rgb="FF000000"/>
            <rFont val="Calibri"/>
            <family val="34"/>
          </rPr>
          <t xml:space="preserve">
</t>
        </r>
        <r>
          <rPr>
            <sz val="14"/>
            <color rgb="FF000000"/>
            <rFont val="Times New Roman"/>
            <family val="18"/>
          </rPr>
          <t>25/09/1819 Muster: 12. Fus. Komp. Nr. 95 [</t>
        </r>
        <r>
          <rPr>
            <i/>
            <sz val="14"/>
            <color rgb="FF000000"/>
            <rFont val="Times New Roman"/>
            <family val="18"/>
          </rPr>
          <t>Krank auswärts</t>
        </r>
        <r>
          <rPr>
            <sz val="14"/>
            <color rgb="FF000000"/>
            <rFont val="Times New Roman"/>
            <family val="18"/>
          </rPr>
          <t>]</t>
        </r>
        <r>
          <rPr>
            <sz val="14"/>
            <color rgb="FF000000"/>
            <rFont val="Calibri"/>
            <family val="34"/>
          </rPr>
          <t xml:space="preserve">
</t>
        </r>
        <r>
          <rPr>
            <sz val="14"/>
            <color rgb="FF000000"/>
            <rFont val="Times New Roman"/>
            <family val="18"/>
          </rPr>
          <t xml:space="preserve">28/02/1820 </t>
        </r>
        <r>
          <rPr>
            <i/>
            <sz val="14"/>
            <color rgb="FF000000"/>
            <rFont val="Times New Roman"/>
            <family val="18"/>
          </rPr>
          <t>Zu Folge hoher Hofkriegsratliche Reskript vom 24. Februar :c: 1847 und General Commando Verordnung Intimation von. 8. Maerz 1820 R 3468 als auf dem Marsch verbliebene als unwissend verloren in Abgang</t>
        </r>
        <r>
          <rPr>
            <sz val="14"/>
            <color rgb="FF000000"/>
            <rFont val="Times New Roman"/>
            <family val="18"/>
          </rPr>
          <t xml:space="preserve"> [ST March 1820] </t>
        </r>
      </text>
    </comment>
    <comment ref="BG855" authorId="0" shapeId="0" xr:uid="{96FAC39F-61EB-F540-9106-7CF900C2E3E4}">
      <text>
        <r>
          <rPr>
            <sz val="14"/>
            <color rgb="FF000000"/>
            <rFont val="Times New Roman"/>
            <family val="18"/>
          </rPr>
          <t>ML 351/2 IR 4 (1811) – 12. Fus. Komp. Nr. 223 (Mauer 07/09/1811)</t>
        </r>
        <r>
          <rPr>
            <sz val="14"/>
            <color rgb="FF000000"/>
            <rFont val="Calibri"/>
            <family val="34"/>
          </rPr>
          <t xml:space="preserve">
</t>
        </r>
        <r>
          <rPr>
            <sz val="14"/>
            <color rgb="FF000000"/>
            <rFont val="Times New Roman"/>
            <family val="18"/>
          </rPr>
          <t>ML 353/4 IR 4 (1817) – 12. Fus. Komp. Nr. 135 (St. Pölten 25/09/1817)</t>
        </r>
        <r>
          <rPr>
            <sz val="14"/>
            <color rgb="FF000000"/>
            <rFont val="Calibri"/>
            <family val="34"/>
          </rPr>
          <t xml:space="preserve">
</t>
        </r>
        <r>
          <rPr>
            <sz val="14"/>
            <color rgb="FF000000"/>
            <rFont val="Times New Roman"/>
            <family val="18"/>
          </rPr>
          <t>ML 355 IR 4 (1818) – 12. Fus. Komp. Nr. 105 (St. Pölten 28/09/1818)</t>
        </r>
        <r>
          <rPr>
            <sz val="14"/>
            <color rgb="FF000000"/>
            <rFont val="Calibri"/>
            <family val="34"/>
          </rPr>
          <t xml:space="preserve">
</t>
        </r>
        <r>
          <rPr>
            <sz val="14"/>
            <color rgb="FF000000"/>
            <rFont val="Times New Roman"/>
            <family val="18"/>
          </rPr>
          <t>ML 356/7 IR 4 (1819) – 12. Fus. Komp. Nr. 95 (St. Pölten 28/09/1818)</t>
        </r>
        <r>
          <rPr>
            <sz val="14"/>
            <color rgb="FF000000"/>
            <rFont val="Calibri"/>
            <family val="34"/>
          </rPr>
          <t xml:space="preserve">
</t>
        </r>
        <r>
          <rPr>
            <sz val="14"/>
            <color rgb="FF000000"/>
            <rFont val="Times New Roman"/>
            <family val="18"/>
          </rPr>
          <t>ML 429 IR 4 (1820) – ST March (St. Pölten 20/04/1820)</t>
        </r>
        <r>
          <rPr>
            <sz val="14"/>
            <color rgb="FF000000"/>
            <rFont val="Calibri"/>
            <family val="34"/>
          </rPr>
          <t xml:space="preserve">
</t>
        </r>
      </text>
    </comment>
    <comment ref="BH855" authorId="0" shapeId="0" xr:uid="{961CDB2C-2BBE-B543-A4C7-64DD75E21877}">
      <text>
        <r>
          <rPr>
            <sz val="14"/>
            <color rgb="FF000000"/>
            <rFont val="Calibri"/>
            <family val="34"/>
          </rPr>
          <t xml:space="preserve">IR 38 (1805-1809)
</t>
        </r>
        <r>
          <rPr>
            <sz val="14"/>
            <color rgb="FF000000"/>
            <rFont val="Calibri"/>
            <family val="34"/>
          </rPr>
          <t xml:space="preserve">SInf 3. Komp. (1809-1810)
</t>
        </r>
        <r>
          <rPr>
            <sz val="14"/>
            <color rgb="FF000000"/>
            <rFont val="Calibri"/>
            <family val="34"/>
          </rPr>
          <t>IR 4 (1810-1820)</t>
        </r>
      </text>
    </comment>
    <comment ref="BF856" authorId="0" shapeId="0" xr:uid="{3F04F940-187D-0E4C-B4D0-8EE6E69A17A4}">
      <text>
        <r>
          <rPr>
            <sz val="14"/>
            <color rgb="FF000000"/>
            <rFont val="Times New Roman"/>
            <family val="18"/>
          </rPr>
          <t xml:space="preserve">01/07/1805 </t>
        </r>
        <r>
          <rPr>
            <i/>
            <sz val="14"/>
            <color rgb="FF000000"/>
            <rFont val="Times New Roman"/>
            <family val="18"/>
          </rPr>
          <t>Zu Brezeczan assentiert a 3Fl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Aum Gefreyter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15. Fus. Komp. Nr. 22</t>
        </r>
        <r>
          <rPr>
            <sz val="14"/>
            <color rgb="FF000000"/>
            <rFont val="Calibri"/>
            <family val="34"/>
          </rPr>
          <t xml:space="preserve">
</t>
        </r>
      </text>
    </comment>
    <comment ref="BG856" authorId="0" shapeId="0" xr:uid="{595A7904-A3DC-204A-BB96-D28DD2DC6D71}">
      <text>
        <r>
          <rPr>
            <sz val="14"/>
            <color rgb="FF000000"/>
            <rFont val="Times New Roman"/>
            <family val="18"/>
          </rPr>
          <t>IR 544 IR 8 (1811) – 15. Fus. Komp. Nr. 22 (Iglau 12/09/1811)</t>
        </r>
        <r>
          <rPr>
            <sz val="14"/>
            <color rgb="FF000000"/>
            <rFont val="Calibri"/>
            <family val="34"/>
          </rPr>
          <t xml:space="preserve">
</t>
        </r>
      </text>
    </comment>
    <comment ref="BH856" authorId="0" shapeId="0" xr:uid="{E3AA49C4-7743-4E44-BC11-8B3E73F8253B}">
      <text>
        <r>
          <rPr>
            <sz val="14"/>
            <color rgb="FF000000"/>
            <rFont val="Calibri"/>
            <family val="34"/>
          </rPr>
          <t>IR 8 (1805-1811)</t>
        </r>
      </text>
    </comment>
    <comment ref="I857" authorId="0" shapeId="0" xr:uid="{B99A648A-D0E3-D04F-911F-D6E85C21F299}">
      <text>
        <r>
          <rPr>
            <sz val="14"/>
            <color rgb="FF000000"/>
            <rFont val="Calibri"/>
            <family val="34"/>
          </rPr>
          <t xml:space="preserve">1776 [30 (ML 1806)]
</t>
        </r>
        <r>
          <rPr>
            <sz val="14"/>
            <color rgb="FF000000"/>
            <rFont val="Calibri"/>
            <family val="34"/>
          </rPr>
          <t xml:space="preserve">OR
</t>
        </r>
        <r>
          <rPr>
            <b/>
            <sz val="14"/>
            <color rgb="FF000000"/>
            <rFont val="Calibri"/>
            <family val="34"/>
          </rPr>
          <t>1785 [20 (AL 1805)]</t>
        </r>
      </text>
    </comment>
    <comment ref="BF857" authorId="0" shapeId="0" xr:uid="{3C1E4EC5-EDB6-794F-86C2-CBF0B925E4FF}">
      <text>
        <r>
          <rPr>
            <sz val="14"/>
            <color rgb="FF000000"/>
            <rFont val="Times New Roman"/>
            <family val="18"/>
          </rPr>
          <t xml:space="preserve">02/07/1805 </t>
        </r>
        <r>
          <rPr>
            <i/>
            <sz val="14"/>
            <color rgb="FF000000"/>
            <rFont val="Times New Roman"/>
            <family val="18"/>
          </rPr>
          <t>zu Tarnopol zu IR 20 beim Haupt Asevedo [17. Fus.] Komp. a 3Fl Handgeld als Landständische Recrout gestellt</t>
        </r>
        <r>
          <rPr>
            <sz val="14"/>
            <color rgb="FF000000"/>
            <rFont val="Times New Roman"/>
            <family val="18"/>
          </rPr>
          <t xml:space="preserve"> [AL July 1806]</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17. Fusilier Comp Anhero</t>
        </r>
        <r>
          <rPr>
            <sz val="14"/>
            <color rgb="FF000000"/>
            <rFont val="Times New Roman"/>
            <family val="18"/>
          </rPr>
          <t xml:space="preserve"> [dan 7. Fus Komp.] </t>
        </r>
        <r>
          <rPr>
            <i/>
            <sz val="14"/>
            <color rgb="FF000000"/>
            <rFont val="Times New Roman"/>
            <family val="18"/>
          </rPr>
          <t>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9. Fus. Komp. Nr. 120</t>
        </r>
        <r>
          <rPr>
            <sz val="14"/>
            <color rgb="FF000000"/>
            <rFont val="Calibri"/>
            <family val="34"/>
          </rPr>
          <t xml:space="preserve">
</t>
        </r>
      </text>
    </comment>
    <comment ref="BG857" authorId="0" shapeId="0" xr:uid="{014011F1-F9C4-B44B-9AEC-868E0A1D3AF3}">
      <text>
        <r>
          <rPr>
            <sz val="14"/>
            <color rgb="FF000000"/>
            <rFont val="Times New Roman"/>
            <family val="18"/>
          </rPr>
          <t>ML 1623-5 IR 20 (1806) – 9. Fus. Komp. Nr. 120 (Olmütz 15/12/1806)</t>
        </r>
        <r>
          <rPr>
            <sz val="14"/>
            <color rgb="FF000000"/>
            <rFont val="Calibri"/>
            <family val="34"/>
          </rPr>
          <t xml:space="preserve">
</t>
        </r>
        <r>
          <rPr>
            <sz val="14"/>
            <color rgb="FF000000"/>
            <rFont val="Times New Roman"/>
            <family val="18"/>
          </rPr>
          <t>ML 1659 IR 20 (1805) AL/TL – AL Nr. 8 (Tarnopol 09/07/1805)</t>
        </r>
        <r>
          <rPr>
            <sz val="14"/>
            <color rgb="FF000000"/>
            <rFont val="Calibri"/>
            <family val="34"/>
          </rPr>
          <t xml:space="preserve">
</t>
        </r>
      </text>
    </comment>
    <comment ref="BH857" authorId="0" shapeId="0" xr:uid="{58A81088-0ADD-AE43-93C0-4115D71FC4DF}">
      <text>
        <r>
          <rPr>
            <sz val="14"/>
            <color rgb="FF000000"/>
            <rFont val="Calibri"/>
            <family val="34"/>
          </rPr>
          <t>IR 20 (1805-1806)</t>
        </r>
      </text>
    </comment>
    <comment ref="BF858" authorId="0" shapeId="0" xr:uid="{B0EAA5C9-19A7-3A4A-B532-431C8042E3B6}">
      <text>
        <r>
          <rPr>
            <sz val="14"/>
            <color rgb="FF000000"/>
            <rFont val="Times New Roman"/>
            <family val="18"/>
          </rPr>
          <t xml:space="preserve">04/07/1805 </t>
        </r>
        <r>
          <rPr>
            <i/>
            <sz val="14"/>
            <color rgb="FF000000"/>
            <rFont val="Times New Roman"/>
            <family val="18"/>
          </rPr>
          <t>Von Dominien gestellt und zum IR 59 assentiert und zur Harnach Komp. eingeteilt</t>
        </r>
        <r>
          <rPr>
            <sz val="14"/>
            <color rgb="FF000000"/>
            <rFont val="Times New Roman"/>
            <family val="18"/>
          </rPr>
          <t xml:space="preserve"> [AL July 1805]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2"/>
          </rPr>
          <t xml:space="preserve"> </t>
        </r>
      </text>
    </comment>
    <comment ref="BG858" authorId="0" shapeId="0" xr:uid="{D8E1EF0F-B5A3-A149-B21D-A17B22028E65}">
      <text>
        <r>
          <rPr>
            <sz val="14"/>
            <color rgb="FF000000"/>
            <rFont val="Times New Roman"/>
            <family val="18"/>
          </rPr>
          <t>ML 5017/8 IR 59 (1806) –Reserve Division Zuwachs &amp; Abgang (Wells 06/07/1807) &amp; Cons. Unwissend verlohren‘ Nr. 413 (Linz 10/07/1807)</t>
        </r>
        <r>
          <rPr>
            <sz val="14"/>
            <color rgb="FF000000"/>
            <rFont val="Calibri"/>
            <family val="34"/>
          </rPr>
          <t xml:space="preserve">
</t>
        </r>
        <r>
          <rPr>
            <sz val="14"/>
            <color rgb="FF000000"/>
            <rFont val="Times New Roman"/>
            <family val="18"/>
          </rPr>
          <t>ML 5067 IR 59 (1805) – AL. Nr. 124 (Siedlce 20/08/1805)</t>
        </r>
        <r>
          <rPr>
            <sz val="14"/>
            <color rgb="FF000000"/>
            <rFont val="Calibri"/>
            <family val="34"/>
          </rPr>
          <t xml:space="preserve">
</t>
        </r>
      </text>
    </comment>
    <comment ref="BH858" authorId="0" shapeId="0" xr:uid="{17BCCA0F-61C9-9F4E-9D8A-44CD7D560978}">
      <text>
        <r>
          <rPr>
            <sz val="14"/>
            <color rgb="FF000000"/>
            <rFont val="Calibri"/>
            <family val="34"/>
          </rPr>
          <t>IR 59 (1805-1806)</t>
        </r>
      </text>
    </comment>
    <comment ref="BF859" authorId="0" shapeId="0" xr:uid="{A158C6B5-D621-AB4A-ADB1-D6564176080D}">
      <text>
        <r>
          <rPr>
            <sz val="14"/>
            <color rgb="FF000000"/>
            <rFont val="Times New Roman"/>
            <family val="18"/>
          </rPr>
          <t xml:space="preserve">04/07/1805 </t>
        </r>
        <r>
          <rPr>
            <i/>
            <sz val="14"/>
            <color rgb="FF000000"/>
            <rFont val="Times New Roman"/>
            <family val="18"/>
          </rPr>
          <t>Zu Stry in Ost Galizien als Werbbezierk Recrout beim Haupt. Obst Comp. a 3 Fl Handgeld gestellt</t>
        </r>
        <r>
          <rPr>
            <sz val="14"/>
            <color rgb="FF000000"/>
            <rFont val="Times New Roman"/>
            <family val="18"/>
          </rPr>
          <t xml:space="preserve"> [Doc 1805 Aug]</t>
        </r>
        <r>
          <rPr>
            <sz val="14"/>
            <color rgb="FF000000"/>
            <rFont val="Calibri"/>
            <family val="34"/>
          </rPr>
          <t xml:space="preserve">
</t>
        </r>
        <r>
          <rPr>
            <sz val="14"/>
            <color rgb="FF000000"/>
            <rFont val="Times New Roman"/>
            <family val="18"/>
          </rPr>
          <t xml:space="preserve">11/10/1805 </t>
        </r>
        <r>
          <rPr>
            <i/>
            <sz val="14"/>
            <color rgb="FF000000"/>
            <rFont val="Times New Roman"/>
            <family val="18"/>
          </rPr>
          <t>Von den 16. Fus. Komp.</t>
        </r>
        <r>
          <rPr>
            <sz val="14"/>
            <color rgb="FF000000"/>
            <rFont val="Times New Roman"/>
            <family val="18"/>
          </rPr>
          <t xml:space="preserve"> [ehemelige Obst] </t>
        </r>
        <r>
          <rPr>
            <i/>
            <sz val="14"/>
            <color rgb="FF000000"/>
            <rFont val="Times New Roman"/>
            <family val="18"/>
          </rPr>
          <t>anhero</t>
        </r>
        <r>
          <rPr>
            <sz val="14"/>
            <color rgb="FF000000"/>
            <rFont val="Times New Roman"/>
            <family val="18"/>
          </rPr>
          <t xml:space="preserve"> [dan 6. Comp.] </t>
        </r>
        <r>
          <rPr>
            <i/>
            <sz val="14"/>
            <color rgb="FF000000"/>
            <rFont val="Times New Roman"/>
            <family val="18"/>
          </rPr>
          <t>transferiert</t>
        </r>
        <r>
          <rPr>
            <sz val="14"/>
            <color rgb="FF000000"/>
            <rFont val="Times New Roman"/>
            <family val="18"/>
          </rPr>
          <t xml:space="preserve"> [ML typo 1806]</t>
        </r>
        <r>
          <rPr>
            <sz val="14"/>
            <color rgb="FF000000"/>
            <rFont val="Calibri"/>
            <family val="34"/>
          </rPr>
          <t xml:space="preserve">
</t>
        </r>
        <r>
          <rPr>
            <sz val="14"/>
            <color rgb="FF000000"/>
            <rFont val="Times New Roman"/>
            <family val="18"/>
          </rPr>
          <t xml:space="preserve">17/10/1805 </t>
        </r>
        <r>
          <rPr>
            <i/>
            <sz val="14"/>
            <color rgb="FF000000"/>
            <rFont val="Times New Roman"/>
            <family val="18"/>
          </rPr>
          <t xml:space="preserve">Bei </t>
        </r>
        <r>
          <rPr>
            <b/>
            <i/>
            <sz val="14"/>
            <color rgb="FF000000"/>
            <rFont val="Times New Roman"/>
            <family val="18"/>
          </rPr>
          <t>Neresheim</t>
        </r>
        <r>
          <rPr>
            <b/>
            <i/>
            <sz val="14"/>
            <color rgb="FF000000"/>
            <rFont val="Times New Roman"/>
            <family val="18"/>
          </rPr>
          <t xml:space="preserve"> </t>
        </r>
        <r>
          <rPr>
            <i/>
            <sz val="14"/>
            <color rgb="FF000000"/>
            <rFont val="Times New Roman"/>
            <family val="18"/>
          </rPr>
          <t>in die Kriegsgefangenschaft gefallen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19/09/1806 </t>
        </r>
        <r>
          <rPr>
            <i/>
            <sz val="14"/>
            <color rgb="FF000000"/>
            <rFont val="Times New Roman"/>
            <family val="18"/>
          </rPr>
          <t>Aus der Kriegsgefangenschaft ranzioniert und zu Duisburg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8. Fus. Komp. Nr. 182 [</t>
        </r>
        <r>
          <rPr>
            <i/>
            <sz val="14"/>
            <color rgb="FF000000"/>
            <rFont val="Times New Roman"/>
            <family val="18"/>
          </rPr>
          <t>Krank in Garnisonsspital zu Hradisch</t>
        </r>
        <r>
          <rPr>
            <sz val="14"/>
            <color rgb="FF000000"/>
            <rFont val="Times New Roman"/>
            <family val="18"/>
          </rPr>
          <t>]</t>
        </r>
        <r>
          <rPr>
            <sz val="14"/>
            <color rgb="FF000000"/>
            <rFont val="Calibri"/>
            <family val="34"/>
          </rPr>
          <t xml:space="preserve">
</t>
        </r>
      </text>
    </comment>
    <comment ref="BG859" authorId="0" shapeId="0" xr:uid="{2F970A71-0A2D-264D-848C-3CE07F3D8105}">
      <text>
        <r>
          <rPr>
            <sz val="14"/>
            <color rgb="FF000000"/>
            <rFont val="Times New Roman"/>
            <family val="18"/>
          </rPr>
          <t>ML 1623-5 IR 20 (1806) – 8. Fus. Komp. Nr. 182 (Olmütz 15/12/1806)</t>
        </r>
        <r>
          <rPr>
            <sz val="14"/>
            <color rgb="FF000000"/>
            <rFont val="Calibri"/>
            <family val="34"/>
          </rPr>
          <t xml:space="preserve">
</t>
        </r>
        <r>
          <rPr>
            <sz val="14"/>
            <color rgb="FF000000"/>
            <rFont val="Times New Roman"/>
            <family val="18"/>
          </rPr>
          <t>ML 1659 IR 20 (1805) AL/TL – AL Nr. 18 (Stry 24/07/1805)</t>
        </r>
        <r>
          <rPr>
            <sz val="14"/>
            <color rgb="FF000000"/>
            <rFont val="Calibri"/>
            <family val="34"/>
          </rPr>
          <t xml:space="preserve">
</t>
        </r>
      </text>
    </comment>
    <comment ref="BH859" authorId="0" shapeId="0" xr:uid="{E4F8E70C-F027-B04F-A80F-EA29308901B0}">
      <text>
        <r>
          <rPr>
            <sz val="14"/>
            <color rgb="FF000000"/>
            <rFont val="Calibri"/>
            <family val="34"/>
          </rPr>
          <t>IR 20 (1805-1806)</t>
        </r>
      </text>
    </comment>
    <comment ref="BF860" authorId="0" shapeId="0" xr:uid="{AB4C434C-2878-A941-9ADF-CDEDB408A3AE}">
      <text>
        <r>
          <rPr>
            <sz val="14"/>
            <color rgb="FF000000"/>
            <rFont val="Times New Roman"/>
            <family val="18"/>
          </rPr>
          <t xml:space="preserve">05/07/1805 </t>
        </r>
        <r>
          <rPr>
            <i/>
            <sz val="14"/>
            <color rgb="FF000000"/>
            <rFont val="Times New Roman"/>
            <family val="18"/>
          </rPr>
          <t>Zu Stain Inf</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auf 10 Jahr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IR 50 Stein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7. Fus Komp. Nr. 187</t>
        </r>
        <r>
          <rPr>
            <sz val="14"/>
            <color rgb="FF000000"/>
            <rFont val="Calibri"/>
            <family val="34"/>
          </rPr>
          <t xml:space="preserve">
</t>
        </r>
        <r>
          <rPr>
            <sz val="14"/>
            <color rgb="FF000000"/>
            <rFont val="Times New Roman"/>
            <family val="18"/>
          </rPr>
          <t xml:space="preserve">20/09/1817 </t>
        </r>
        <r>
          <rPr>
            <i/>
            <sz val="14"/>
            <color rgb="FF000000"/>
            <rFont val="Times New Roman"/>
            <family val="18"/>
          </rPr>
          <t xml:space="preserve">zu Folge hoher General Commando Verordnung det Wien von 16. July 1816 R 15578 in das Tyrnauer Invaliden Haus zur Versorgung </t>
        </r>
        <r>
          <rPr>
            <sz val="14"/>
            <color rgb="FF000000"/>
            <rFont val="Times New Roman"/>
            <family val="18"/>
          </rPr>
          <t>[ML 1817]</t>
        </r>
      </text>
    </comment>
    <comment ref="BG860" authorId="0" shapeId="0" xr:uid="{BF25FCDC-1177-5F44-B13B-748A618C7EC7}">
      <text>
        <r>
          <rPr>
            <sz val="14"/>
            <color rgb="FF000000"/>
            <rFont val="Times New Roman"/>
            <family val="18"/>
          </rPr>
          <t>ML 2633 IR 30 (1811) – 7. Komp. Nr. 187 (Czernowitz 11/09/1811)</t>
        </r>
        <r>
          <rPr>
            <sz val="14"/>
            <color rgb="FF000000"/>
            <rFont val="Calibri"/>
            <family val="34"/>
          </rPr>
          <t xml:space="preserve">
</t>
        </r>
        <r>
          <rPr>
            <sz val="14"/>
            <color rgb="FF000000"/>
            <rFont val="Times New Roman"/>
            <family val="18"/>
          </rPr>
          <t>ML 2635 IR 30 (1817) – 7. Fus Komp. – Abgang (Lemberg 15/10/1817)</t>
        </r>
        <r>
          <rPr>
            <sz val="14"/>
            <color rgb="FF000000"/>
            <rFont val="Calibri"/>
            <family val="34"/>
          </rPr>
          <t xml:space="preserve">
</t>
        </r>
      </text>
    </comment>
    <comment ref="BH860" authorId="0" shapeId="0" xr:uid="{7FABDB4C-7D5D-514C-B7C6-93F23D3DA560}">
      <text>
        <r>
          <rPr>
            <sz val="14"/>
            <color rgb="FF000000"/>
            <rFont val="Calibri"/>
            <family val="34"/>
          </rPr>
          <t xml:space="preserve">IR 50 (1805-1810)
</t>
        </r>
        <r>
          <rPr>
            <sz val="14"/>
            <color rgb="FF000000"/>
            <rFont val="Calibri"/>
            <family val="34"/>
          </rPr>
          <t xml:space="preserve">IR 30 (1810-1817)
</t>
        </r>
        <r>
          <rPr>
            <sz val="14"/>
            <color rgb="FF000000"/>
            <rFont val="Calibri"/>
            <family val="34"/>
          </rPr>
          <t>InvH Tyrnau (1817)</t>
        </r>
      </text>
    </comment>
    <comment ref="BF861" authorId="0" shapeId="0" xr:uid="{D6D28649-1A84-9F44-BD7D-F898F957E507}">
      <text>
        <r>
          <rPr>
            <sz val="14"/>
            <color rgb="FF000000"/>
            <rFont val="Times New Roman"/>
            <family val="18"/>
          </rPr>
          <t xml:space="preserve">06/07/1805 </t>
        </r>
        <r>
          <rPr>
            <i/>
            <sz val="14"/>
            <color rgb="FF000000"/>
            <rFont val="Times New Roman"/>
            <family val="18"/>
          </rPr>
          <t xml:space="preserve">Auf 6 Jahr zu Moduva </t>
        </r>
        <r>
          <rPr>
            <b/>
            <sz val="14"/>
            <color rgb="FF000000"/>
            <rFont val="Times New Roman"/>
            <family val="18"/>
          </rPr>
          <t>[?]</t>
        </r>
        <r>
          <rPr>
            <sz val="14"/>
            <color rgb="FF000000"/>
            <rFont val="Times New Roman"/>
            <family val="18"/>
          </rPr>
          <t xml:space="preserve"> </t>
        </r>
        <r>
          <rPr>
            <i/>
            <sz val="14"/>
            <color rgb="FF000000"/>
            <rFont val="Times New Roman"/>
            <family val="18"/>
          </rPr>
          <t>in Galizien gegen 15Fl Handgeld</t>
        </r>
        <r>
          <rPr>
            <sz val="14"/>
            <color rgb="FF000000"/>
            <rFont val="Times New Roman"/>
            <family val="18"/>
          </rPr>
          <t xml:space="preserve"> </t>
        </r>
        <r>
          <rPr>
            <i/>
            <sz val="14"/>
            <color rgb="FF000000"/>
            <rFont val="Times New Roman"/>
            <family val="18"/>
          </rPr>
          <t>assentiert und zum Obrist Komp eingeheilt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 IR 44 Haupt Kurz Komp. Nr. 70</t>
        </r>
        <r>
          <rPr>
            <sz val="14"/>
            <color rgb="FF000000"/>
            <rFont val="Calibri"/>
            <family val="34"/>
          </rPr>
          <t xml:space="preserve">
</t>
        </r>
        <r>
          <rPr>
            <sz val="14"/>
            <color rgb="FF000000"/>
            <rFont val="Times New Roman"/>
            <family val="18"/>
          </rPr>
          <t>19/09/1808 Revision: IR 44 Haupt Kurz [12. Fus.] Komp. Nr. 54</t>
        </r>
        <r>
          <rPr>
            <sz val="14"/>
            <color rgb="FF000000"/>
            <rFont val="Calibri"/>
            <family val="34"/>
          </rPr>
          <t xml:space="preserve">
</t>
        </r>
        <r>
          <rPr>
            <sz val="14"/>
            <color rgb="FF000000"/>
            <rFont val="Times New Roman"/>
            <family val="18"/>
          </rPr>
          <t xml:space="preserve">01/03/1809 </t>
        </r>
        <r>
          <rPr>
            <i/>
            <sz val="14"/>
            <color rgb="FF000000"/>
            <rFont val="Times New Roman"/>
            <family val="18"/>
          </rPr>
          <t>Beym Regiment Depot Kommandiert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31/03/1809 </t>
        </r>
        <r>
          <rPr>
            <i/>
            <sz val="14"/>
            <color rgb="FF000000"/>
            <rFont val="Times New Roman"/>
            <family val="18"/>
          </rPr>
          <t>Wieder in Kompanie</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21/04/1809 </t>
        </r>
        <r>
          <rPr>
            <i/>
            <sz val="14"/>
            <color rgb="FF000000"/>
            <rFont val="Times New Roman"/>
            <family val="18"/>
          </rPr>
          <t>Kommandiert zu Wien, dann am Marsch zur Regiment</t>
        </r>
        <r>
          <rPr>
            <sz val="14"/>
            <color rgb="FF000000"/>
            <rFont val="Times New Roman"/>
            <family val="18"/>
          </rPr>
          <t xml:space="preserve"> [ST April 1809 &amp; June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12. Zum 6.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aus Marsch verbliebene als unwissend Verloren in Abgang gebracht</t>
        </r>
        <r>
          <rPr>
            <sz val="14"/>
            <color rgb="FF000000"/>
            <rFont val="Times New Roman"/>
            <family val="18"/>
          </rPr>
          <t xml:space="preserve"> [ML 1811]</t>
        </r>
        <r>
          <rPr>
            <sz val="14"/>
            <color rgb="FF000000"/>
            <rFont val="Calibri"/>
            <family val="34"/>
          </rPr>
          <t xml:space="preserve">
</t>
        </r>
      </text>
    </comment>
    <comment ref="BG861" authorId="0" shapeId="0" xr:uid="{777AA67E-CAAB-ED4E-B134-A24E95993895}">
      <text>
        <r>
          <rPr>
            <sz val="14"/>
            <color rgb="FF000000"/>
            <rFont val="Times New Roman"/>
            <family val="18"/>
          </rPr>
          <t>ML 3910 IR 44 (1806) – Haupt Kurz Nr. 70 (Fiume 10/12/1806)</t>
        </r>
        <r>
          <rPr>
            <sz val="14"/>
            <color rgb="FF000000"/>
            <rFont val="Calibri"/>
            <family val="34"/>
          </rPr>
          <t xml:space="preserve">
</t>
        </r>
        <r>
          <rPr>
            <sz val="14"/>
            <color rgb="FF000000"/>
            <rFont val="Times New Roman"/>
            <family val="18"/>
          </rPr>
          <t>ML 3912/3 IR 44 (1811) – 6. Fus. Komp. Abgang (Pappa 18/09/1811)</t>
        </r>
        <r>
          <rPr>
            <sz val="14"/>
            <color rgb="FF000000"/>
            <rFont val="Calibri"/>
            <family val="34"/>
          </rPr>
          <t xml:space="preserve">
</t>
        </r>
        <r>
          <rPr>
            <sz val="14"/>
            <color rgb="FF000000"/>
            <rFont val="Times New Roman"/>
            <family val="18"/>
          </rPr>
          <t>ML 3911 IR 44 (1808-10) – RL Haupt Kurz [12. Fus. ] Nr. 54 (Comorn 19/09/1806)</t>
        </r>
        <r>
          <rPr>
            <sz val="14"/>
            <color rgb="FF000000"/>
            <rFont val="Calibri"/>
            <family val="34"/>
          </rPr>
          <t xml:space="preserve">
</t>
        </r>
        <r>
          <rPr>
            <sz val="14"/>
            <color rgb="FF000000"/>
            <rFont val="Times New Roman"/>
            <family val="18"/>
          </rPr>
          <t>ML 3960 IR 44 (1809) – März (Ofen 14/03/1811), April (Ofen 06/02/1811), June (Ofen 08/04/1811)</t>
        </r>
        <r>
          <rPr>
            <sz val="14"/>
            <color rgb="FF000000"/>
            <rFont val="Calibri"/>
            <family val="34"/>
          </rPr>
          <t xml:space="preserve">
</t>
        </r>
      </text>
    </comment>
    <comment ref="BH861" authorId="0" shapeId="0" xr:uid="{869C1615-FD1D-5A4E-978A-016E4407FBF7}">
      <text>
        <r>
          <rPr>
            <sz val="14"/>
            <color rgb="FF000000"/>
            <rFont val="Calibri"/>
            <family val="34"/>
          </rPr>
          <t>IR 44 (1805-1810)</t>
        </r>
      </text>
    </comment>
    <comment ref="BF862" authorId="0" shapeId="0" xr:uid="{4CD6314E-4BF8-AC46-BD05-190B91B488F4}">
      <text>
        <r>
          <rPr>
            <sz val="14"/>
            <color rgb="FF000000"/>
            <rFont val="Times New Roman"/>
            <family val="18"/>
          </rPr>
          <t xml:space="preserve">08/07/1805 </t>
        </r>
        <r>
          <rPr>
            <i/>
            <sz val="14"/>
            <color rgb="FF000000"/>
            <rFont val="Times New Roman"/>
            <family val="18"/>
          </rPr>
          <t>Von Ständen wegen 3 Fl Handgeld mit 10 jährigen Capitulation zu Brzezan zum gestellt und zum Siegel Komp. eingeteilt</t>
        </r>
        <r>
          <rPr>
            <sz val="14"/>
            <color rgb="FF000000"/>
            <rFont val="Times New Roman"/>
            <family val="18"/>
          </rPr>
          <t xml:space="preserve"> [AL July 1805]
</t>
        </r>
        <r>
          <rPr>
            <sz val="14"/>
            <color rgb="FF000000"/>
            <rFont val="Times New Roman"/>
            <family val="18"/>
          </rPr>
          <t xml:space="preserve">10/10/1805 </t>
        </r>
        <r>
          <rPr>
            <i/>
            <sz val="14"/>
            <color rgb="FF000000"/>
            <rFont val="Times New Roman"/>
            <family val="18"/>
          </rPr>
          <t>In Lemberg Superarbietriert: Als untauglich gegen Ersatz den Umkosten und Stellung eines anderen Mannes mit Laufpass zu entlassen</t>
        </r>
        <r>
          <rPr>
            <sz val="14"/>
            <color rgb="FF000000"/>
            <rFont val="Times New Roman"/>
            <family val="18"/>
          </rPr>
          <t xml:space="preserve"> [SUP Oct 1805]
</t>
        </r>
        <r>
          <rPr>
            <sz val="14"/>
            <color rgb="FF000000"/>
            <rFont val="Times New Roman"/>
            <family val="18"/>
          </rPr>
          <t xml:space="preserve">20/10/1805 </t>
        </r>
        <r>
          <rPr>
            <i/>
            <sz val="14"/>
            <color rgb="FF000000"/>
            <rFont val="Times New Roman"/>
            <family val="18"/>
          </rPr>
          <t>Untauglicher halber mit Laufpaß entlassen</t>
        </r>
        <r>
          <rPr>
            <sz val="14"/>
            <color rgb="FF000000"/>
            <rFont val="Times New Roman"/>
            <family val="18"/>
          </rPr>
          <t xml:space="preserve"> [ML 1806]
</t>
        </r>
      </text>
    </comment>
    <comment ref="BG862" authorId="0" shapeId="0" xr:uid="{0BC2AFDD-922E-9B4C-A041-BCC57C4B87C5}">
      <text>
        <r>
          <rPr>
            <sz val="14"/>
            <color rgb="FF000000"/>
            <rFont val="Times New Roman"/>
            <family val="18"/>
          </rPr>
          <t>ML 31/2 IR 1 (1806) – Haupt Siegel Komp. Zuwachs &amp; Abgang (Proßnitz 17/12/1806)</t>
        </r>
        <r>
          <rPr>
            <sz val="14"/>
            <color rgb="FF000000"/>
            <rFont val="Calibri"/>
            <family val="34"/>
          </rPr>
          <t xml:space="preserve">
</t>
        </r>
        <r>
          <rPr>
            <sz val="14"/>
            <color rgb="FF000000"/>
            <rFont val="Times New Roman"/>
            <family val="18"/>
          </rPr>
          <t>ML 84 IR 1 (1805) – AL Nr. 63 (Brzezan 10/07/1805); SUP Nr. 1 (Lemberg 10/10/1805)</t>
        </r>
        <r>
          <rPr>
            <sz val="14"/>
            <color rgb="FF000000"/>
            <rFont val="Calibri"/>
            <family val="34"/>
          </rPr>
          <t xml:space="preserve">
</t>
        </r>
      </text>
    </comment>
    <comment ref="BH862" authorId="0" shapeId="0" xr:uid="{042F9D5E-2303-0A45-82E5-801B0E0279F2}">
      <text>
        <r>
          <rPr>
            <sz val="14"/>
            <color rgb="FF000000"/>
            <rFont val="Calibri"/>
            <family val="34"/>
          </rPr>
          <t>IR 1 (1805)</t>
        </r>
      </text>
    </comment>
    <comment ref="T863" authorId="0" shapeId="0" xr:uid="{DAB6A860-DE3C-7846-BF1E-2004E346AC83}">
      <text>
        <r>
          <rPr>
            <b/>
            <sz val="14"/>
            <color rgb="FF000000"/>
            <rFont val="Calibri"/>
            <family val="34"/>
          </rPr>
          <t xml:space="preserve">5.3 [165.89 (1805)]
</t>
        </r>
        <r>
          <rPr>
            <sz val="14"/>
            <color rgb="FF000000"/>
            <rFont val="Calibri"/>
            <family val="34"/>
          </rPr>
          <t>5.3.3 [166.55 (1811)]</t>
        </r>
      </text>
    </comment>
    <comment ref="BF863" authorId="0" shapeId="0" xr:uid="{A954FF99-2B99-934B-92B6-414011354B5E}">
      <text>
        <r>
          <rPr>
            <sz val="14"/>
            <color rgb="FF000000"/>
            <rFont val="Times New Roman"/>
            <family val="18"/>
          </rPr>
          <t xml:space="preserve">08/07/1805 </t>
        </r>
        <r>
          <rPr>
            <i/>
            <sz val="14"/>
            <color rgb="FF000000"/>
            <rFont val="Times New Roman"/>
            <family val="18"/>
          </rPr>
          <t>Von Landständen gegen 3 Fl Handgeld mit 10 jährigen Capitulation zum IR 4 gestellt und zum Vanderbank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17/12/1806 Muster: IR 1 Haupt Vanderbank Komp. Nr. 63</t>
        </r>
        <r>
          <rPr>
            <sz val="14"/>
            <color rgb="FF000000"/>
            <rFont val="Calibri"/>
            <family val="34"/>
          </rPr>
          <t xml:space="preserve">
</t>
        </r>
        <r>
          <rPr>
            <sz val="14"/>
            <color rgb="FF000000"/>
            <rFont val="Times New Roman"/>
            <family val="18"/>
          </rPr>
          <t xml:space="preserve">01/03/1808 </t>
        </r>
        <r>
          <rPr>
            <i/>
            <sz val="14"/>
            <color rgb="FF000000"/>
            <rFont val="Times New Roman"/>
            <family val="18"/>
          </rPr>
          <t>Beim Staab zugeteilt</t>
        </r>
        <r>
          <rPr>
            <sz val="14"/>
            <color rgb="FF000000"/>
            <rFont val="Times New Roman"/>
            <family val="18"/>
          </rPr>
          <t xml:space="preserve"> [ST March 1808]</t>
        </r>
        <r>
          <rPr>
            <sz val="14"/>
            <color rgb="FF000000"/>
            <rFont val="Calibri"/>
            <family val="34"/>
          </rPr>
          <t xml:space="preserve">
</t>
        </r>
        <r>
          <rPr>
            <sz val="14"/>
            <color rgb="FF000000"/>
            <rFont val="Times New Roman"/>
            <family val="18"/>
          </rPr>
          <t xml:space="preserve">11/03/1808 </t>
        </r>
        <r>
          <rPr>
            <i/>
            <sz val="14"/>
            <color rgb="FF000000"/>
            <rFont val="Times New Roman"/>
            <family val="18"/>
          </rPr>
          <t>Als Karl Stern on 15. Fus</t>
        </r>
        <r>
          <rPr>
            <sz val="14"/>
            <color rgb="FF000000"/>
            <rFont val="Times New Roman"/>
            <family val="18"/>
          </rPr>
          <t xml:space="preserve"> [Haupt Vanderbank] </t>
        </r>
        <r>
          <rPr>
            <i/>
            <sz val="14"/>
            <color rgb="FF000000"/>
            <rFont val="Times New Roman"/>
            <family val="18"/>
          </rPr>
          <t xml:space="preserve">zum 4. Fus </t>
        </r>
        <r>
          <rPr>
            <sz val="14"/>
            <color rgb="FF000000"/>
            <rFont val="Times New Roman"/>
            <family val="18"/>
          </rPr>
          <t xml:space="preserve">[Haupt Leuwen] </t>
        </r>
        <r>
          <rPr>
            <i/>
            <sz val="14"/>
            <color rgb="FF000000"/>
            <rFont val="Times New Roman"/>
            <family val="18"/>
          </rPr>
          <t>Komp. transferiert</t>
        </r>
        <r>
          <rPr>
            <sz val="14"/>
            <color rgb="FF000000"/>
            <rFont val="Times New Roman"/>
            <family val="18"/>
          </rPr>
          <t xml:space="preserve"> [St March 1808]</t>
        </r>
        <r>
          <rPr>
            <sz val="14"/>
            <color rgb="FF000000"/>
            <rFont val="Calibri"/>
            <family val="34"/>
          </rPr>
          <t xml:space="preserve">
</t>
        </r>
        <r>
          <rPr>
            <sz val="14"/>
            <color rgb="FF000000"/>
            <rFont val="Times New Roman"/>
            <family val="18"/>
          </rPr>
          <t xml:space="preserve">1705/1808 </t>
        </r>
        <r>
          <rPr>
            <i/>
            <sz val="14"/>
            <color rgb="FF000000"/>
            <rFont val="Times New Roman"/>
            <family val="18"/>
          </rPr>
          <t>Krank zu Garnisonspital zu Obrowitz</t>
        </r>
        <r>
          <rPr>
            <sz val="14"/>
            <color rgb="FF000000"/>
            <rFont val="Times New Roman"/>
            <family val="18"/>
          </rPr>
          <t xml:space="preserve"> [ST May 1808]</t>
        </r>
        <r>
          <rPr>
            <sz val="14"/>
            <color rgb="FF000000"/>
            <rFont val="Calibri"/>
            <family val="34"/>
          </rPr>
          <t xml:space="preserve">
</t>
        </r>
        <r>
          <rPr>
            <sz val="14"/>
            <color rgb="FF000000"/>
            <rFont val="Times New Roman"/>
            <family val="18"/>
          </rPr>
          <t xml:space="preserve">05/06/1808 </t>
        </r>
        <r>
          <rPr>
            <i/>
            <sz val="14"/>
            <color rgb="FF000000"/>
            <rFont val="Times New Roman"/>
            <family val="18"/>
          </rPr>
          <t>Rekonvalesziert</t>
        </r>
        <r>
          <rPr>
            <sz val="14"/>
            <color rgb="FF000000"/>
            <rFont val="Times New Roman"/>
            <family val="18"/>
          </rPr>
          <t xml:space="preserve"> [ST June 1808]</t>
        </r>
        <r>
          <rPr>
            <sz val="14"/>
            <color rgb="FF000000"/>
            <rFont val="Calibri"/>
            <family val="34"/>
          </rPr>
          <t xml:space="preserve">
</t>
        </r>
        <r>
          <rPr>
            <sz val="14"/>
            <color rgb="FF000000"/>
            <rFont val="Times New Roman"/>
            <family val="18"/>
          </rPr>
          <t xml:space="preserve">22/10/1808 </t>
        </r>
        <r>
          <rPr>
            <i/>
            <sz val="14"/>
            <color rgb="FF000000"/>
            <rFont val="Times New Roman"/>
            <family val="18"/>
          </rPr>
          <t>In Arrest wegen Diebstahl</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14/11/1808 </t>
        </r>
        <r>
          <rPr>
            <i/>
            <sz val="14"/>
            <color rgb="FF000000"/>
            <rFont val="Times New Roman"/>
            <family val="18"/>
          </rPr>
          <t>Von Arrest befreit und seitdem Krank in Spital zu Hradisch</t>
        </r>
        <r>
          <rPr>
            <sz val="14"/>
            <color rgb="FF000000"/>
            <rFont val="Times New Roman"/>
            <family val="18"/>
          </rPr>
          <t xml:space="preserve"> </t>
        </r>
        <r>
          <rPr>
            <b/>
            <sz val="14"/>
            <color rgb="FF000000"/>
            <rFont val="Times New Roman"/>
            <family val="18"/>
          </rPr>
          <t>[Gassenlaufen?]</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26/12/1808 </t>
        </r>
        <r>
          <rPr>
            <i/>
            <sz val="14"/>
            <color rgb="FF000000"/>
            <rFont val="Times New Roman"/>
            <family val="18"/>
          </rPr>
          <t xml:space="preserve">Rekonvalesziert </t>
        </r>
        <r>
          <rPr>
            <sz val="14"/>
            <color rgb="FF000000"/>
            <rFont val="Times New Roman"/>
            <family val="18"/>
          </rPr>
          <t>[ST Dec 1808]</t>
        </r>
        <r>
          <rPr>
            <sz val="14"/>
            <color rgb="FF000000"/>
            <rFont val="Calibri"/>
            <family val="34"/>
          </rPr>
          <t xml:space="preserve">
</t>
        </r>
        <r>
          <rPr>
            <sz val="14"/>
            <color rgb="FF000000"/>
            <rFont val="Times New Roman"/>
            <family val="18"/>
          </rPr>
          <t xml:space="preserve">28/12/1808 </t>
        </r>
        <r>
          <rPr>
            <i/>
            <sz val="14"/>
            <color rgb="FF000000"/>
            <rFont val="Times New Roman"/>
            <family val="18"/>
          </rPr>
          <t>Wieder</t>
        </r>
        <r>
          <rPr>
            <sz val="14"/>
            <color rgb="FF000000"/>
            <rFont val="Times New Roman"/>
            <family val="18"/>
          </rPr>
          <t xml:space="preserve"> </t>
        </r>
        <r>
          <rPr>
            <i/>
            <sz val="14"/>
            <color rgb="FF000000"/>
            <rFont val="Times New Roman"/>
            <family val="18"/>
          </rPr>
          <t>in Arrest wegen Diebstahl</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14/01/1809 </t>
        </r>
        <r>
          <rPr>
            <i/>
            <sz val="14"/>
            <color rgb="FF000000"/>
            <rFont val="Times New Roman"/>
            <family val="18"/>
          </rPr>
          <t>Von Arrest befreit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21/06/1809 </t>
        </r>
        <r>
          <rPr>
            <i/>
            <sz val="14"/>
            <color rgb="FF000000"/>
            <rFont val="Times New Roman"/>
            <family val="18"/>
          </rPr>
          <t xml:space="preserve">Auf Unbewusste Datum als selbstranzionierte präsentiert und zum 9. Komp. </t>
        </r>
        <r>
          <rPr>
            <sz val="14"/>
            <color rgb="FF000000"/>
            <rFont val="Times New Roman"/>
            <family val="18"/>
          </rPr>
          <t>[ST June 1809]</t>
        </r>
        <r>
          <rPr>
            <sz val="14"/>
            <color rgb="FF000000"/>
            <rFont val="Calibri"/>
            <family val="34"/>
          </rPr>
          <t xml:space="preserve">
</t>
        </r>
        <r>
          <rPr>
            <sz val="14"/>
            <color rgb="FF000000"/>
            <rFont val="Times New Roman"/>
            <family val="18"/>
          </rPr>
          <t xml:space="preserve">04/09/1810 [Seit mindestens] </t>
        </r>
        <r>
          <rPr>
            <i/>
            <sz val="14"/>
            <color rgb="FF000000"/>
            <rFont val="Times New Roman"/>
            <family val="18"/>
          </rPr>
          <t>Krank bei Obrowitz beim Brünn</t>
        </r>
        <r>
          <rPr>
            <sz val="14"/>
            <color rgb="FF000000"/>
            <rFont val="Calibri"/>
            <family val="34"/>
          </rPr>
          <t xml:space="preserve">
</t>
        </r>
        <r>
          <rPr>
            <sz val="14"/>
            <color rgb="FF000000"/>
            <rFont val="Times New Roman"/>
            <family val="18"/>
          </rPr>
          <t>08/09/1811 Muster: IR 1 9. Fus. Komp. Nr. 49</t>
        </r>
        <r>
          <rPr>
            <sz val="14"/>
            <color rgb="FF000000"/>
            <rFont val="Calibri"/>
            <family val="34"/>
          </rPr>
          <t xml:space="preserve">
</t>
        </r>
        <r>
          <rPr>
            <sz val="14"/>
            <color rgb="FF000000"/>
            <rFont val="Times New Roman"/>
            <family val="18"/>
          </rPr>
          <t xml:space="preserve">25/09/1811 </t>
        </r>
        <r>
          <rPr>
            <i/>
            <sz val="14"/>
            <color rgb="FF000000"/>
            <rFont val="Times New Roman"/>
            <family val="18"/>
          </rPr>
          <t xml:space="preserve">Wegen Urin Verhaltung </t>
        </r>
        <r>
          <rPr>
            <b/>
            <sz val="14"/>
            <color rgb="FF000000"/>
            <rFont val="Times New Roman"/>
            <family val="18"/>
          </rPr>
          <t>[Harnverhalt]</t>
        </r>
        <r>
          <rPr>
            <i/>
            <sz val="14"/>
            <color rgb="FF000000"/>
            <rFont val="Times New Roman"/>
            <family val="18"/>
          </rPr>
          <t xml:space="preserve"> Superarbietriet: Zeitlicher Real Invalid in das Tyrnauer Invalidenhaus zu transferieren und auf dahin an zu sein</t>
        </r>
        <r>
          <rPr>
            <sz val="14"/>
            <color rgb="FF000000"/>
            <rFont val="Times New Roman"/>
            <family val="18"/>
          </rPr>
          <t xml:space="preserve"> [SUP Sept 1811]</t>
        </r>
        <r>
          <rPr>
            <sz val="14"/>
            <color rgb="FF000000"/>
            <rFont val="Calibri"/>
            <family val="34"/>
          </rPr>
          <t xml:space="preserve">
</t>
        </r>
        <r>
          <rPr>
            <sz val="14"/>
            <color rgb="FF000000"/>
            <rFont val="Times New Roman"/>
            <family val="18"/>
          </rPr>
          <t xml:space="preserve">25/10/1811 </t>
        </r>
        <r>
          <rPr>
            <i/>
            <sz val="14"/>
            <color rgb="FF000000"/>
            <rFont val="Times New Roman"/>
            <family val="18"/>
          </rPr>
          <t>Als Reale Invalid in Tyrnauer Invalidenhaus zu Folge dem mit 25. Sept zu Brünn vorgenommenen Superarbietrierung</t>
        </r>
        <r>
          <rPr>
            <sz val="14"/>
            <color rgb="FF000000"/>
            <rFont val="Times New Roman"/>
            <family val="18"/>
          </rPr>
          <t xml:space="preserve"> [ST Dec 1811]</t>
        </r>
      </text>
    </comment>
    <comment ref="BG863" authorId="0" shapeId="0" xr:uid="{E577EA4E-C86E-6E44-8CFE-159C72B08BC4}">
      <text>
        <r>
          <rPr>
            <sz val="14"/>
            <color rgb="FF000000"/>
            <rFont val="Times New Roman"/>
            <family val="18"/>
          </rPr>
          <t>ML 31/2 IR 1 (1806) – Haupt Vanderbank Komp. Nr. 63 (Proßnitz 17/12/1806)</t>
        </r>
        <r>
          <rPr>
            <sz val="14"/>
            <color rgb="FF000000"/>
            <rFont val="Calibri"/>
            <family val="34"/>
          </rPr>
          <t xml:space="preserve">
</t>
        </r>
        <r>
          <rPr>
            <sz val="14"/>
            <color rgb="FF000000"/>
            <rFont val="Times New Roman"/>
            <family val="18"/>
          </rPr>
          <t>ML 33 IR 1 (1811) – 9. Fus. Komp. Nr. 49 (Prossnitz 08/09/1811)</t>
        </r>
        <r>
          <rPr>
            <sz val="14"/>
            <color rgb="FF000000"/>
            <rFont val="Calibri"/>
            <family val="34"/>
          </rPr>
          <t xml:space="preserve">
</t>
        </r>
        <r>
          <rPr>
            <sz val="14"/>
            <color rgb="FF000000"/>
            <rFont val="Times New Roman"/>
            <family val="18"/>
          </rPr>
          <t>ML 84 IR 1 (1805) – AL Nr. 64 (Brzezan 10/07/1805)</t>
        </r>
        <r>
          <rPr>
            <sz val="14"/>
            <color rgb="FF000000"/>
            <rFont val="Calibri"/>
            <family val="34"/>
          </rPr>
          <t xml:space="preserve">
</t>
        </r>
        <r>
          <rPr>
            <sz val="14"/>
            <color rgb="FF000000"/>
            <rFont val="Times New Roman"/>
            <family val="18"/>
          </rPr>
          <t>ML 89 IR 1 (1808) – ST March (Brünn 08/05/1808), May (Brünn 06/07/1808), June (Proßnitz 04/09/1808), Oct (10/02/1809), Nov (Olmütz 25/03/1809), Dec (Olmütz 10/04/1809)</t>
        </r>
        <r>
          <rPr>
            <sz val="14"/>
            <color rgb="FF000000"/>
            <rFont val="Calibri"/>
            <family val="34"/>
          </rPr>
          <t xml:space="preserve">
</t>
        </r>
        <r>
          <rPr>
            <sz val="14"/>
            <color rgb="FF000000"/>
            <rFont val="Times New Roman"/>
            <family val="18"/>
          </rPr>
          <t>ML 91 IR 1 (1809) – ST Jan (Olmütz 17/04/1809), April (Proßnitz 26/07/1810)</t>
        </r>
        <r>
          <rPr>
            <sz val="14"/>
            <color rgb="FF000000"/>
            <rFont val="Calibri"/>
            <family val="34"/>
          </rPr>
          <t xml:space="preserve">
</t>
        </r>
        <r>
          <rPr>
            <sz val="14"/>
            <color rgb="FF000000"/>
            <rFont val="Times New Roman"/>
            <family val="18"/>
          </rPr>
          <t>ML 94 IR 1 (1810) –ST Sept (07/04/1811)</t>
        </r>
        <r>
          <rPr>
            <sz val="14"/>
            <color rgb="FF000000"/>
            <rFont val="Calibri"/>
            <family val="34"/>
          </rPr>
          <t xml:space="preserve">
</t>
        </r>
        <r>
          <rPr>
            <sz val="14"/>
            <color rgb="FF000000"/>
            <rFont val="Times New Roman"/>
            <family val="18"/>
          </rPr>
          <t>ML 96 IR 1 (1811) – SUP Nr. 2 (Obrowitz 25/09/1811), ST Dec (Proßnitz 01/02/1811)</t>
        </r>
        <r>
          <rPr>
            <sz val="14"/>
            <color rgb="FF000000"/>
            <rFont val="Calibri"/>
            <family val="34"/>
          </rPr>
          <t xml:space="preserve">
</t>
        </r>
      </text>
    </comment>
    <comment ref="BH863" authorId="0" shapeId="0" xr:uid="{FEF389C4-2D23-8148-9EA5-1964C117D197}">
      <text>
        <r>
          <rPr>
            <sz val="14"/>
            <color rgb="FF000000"/>
            <rFont val="Calibri"/>
            <family val="34"/>
          </rPr>
          <t xml:space="preserve">IR 1 (1805-1811)
</t>
        </r>
        <r>
          <rPr>
            <sz val="14"/>
            <color rgb="FF000000"/>
            <rFont val="Calibri"/>
            <family val="34"/>
          </rPr>
          <t>InvH Tyrnau (1811)</t>
        </r>
      </text>
    </comment>
    <comment ref="BI863" authorId="0" shapeId="0" xr:uid="{7EC437E6-85EC-E045-9D93-F8C57B9CB8B6}">
      <text>
        <r>
          <rPr>
            <i/>
            <sz val="14"/>
            <color rgb="FF000000"/>
            <rFont val="Times New Roman"/>
            <family val="18"/>
          </rPr>
          <t>Gute</t>
        </r>
        <r>
          <rPr>
            <sz val="14"/>
            <color rgb="FF000000"/>
            <rFont val="Times New Roman"/>
            <family val="18"/>
          </rPr>
          <t xml:space="preserve"> [SUP Sept 1811]</t>
        </r>
        <r>
          <rPr>
            <sz val="14"/>
            <color rgb="FF000000"/>
            <rFont val="Calibri"/>
            <family val="2"/>
            <scheme val="minor"/>
          </rPr>
          <t xml:space="preserve"> </t>
        </r>
      </text>
    </comment>
    <comment ref="BJ863" authorId="0" shapeId="0" xr:uid="{215B3E05-06A6-3B4D-BFFB-BCCD3657383F}">
      <text>
        <r>
          <rPr>
            <i/>
            <sz val="14"/>
            <color rgb="FF000000"/>
            <rFont val="Times New Roman"/>
            <family val="18"/>
          </rPr>
          <t>Ein Verhaltung mit Aufließ Rückers Eiter ähnlichen schlriuiungen Urines</t>
        </r>
        <r>
          <rPr>
            <sz val="14"/>
            <color rgb="FF000000"/>
            <rFont val="Times New Roman"/>
            <family val="18"/>
          </rPr>
          <t xml:space="preserve"> [SUP Sept 1811]</t>
        </r>
        <r>
          <rPr>
            <sz val="14"/>
            <color rgb="FF000000"/>
            <rFont val="Calibri"/>
            <family val="2"/>
          </rPr>
          <t xml:space="preserve"> </t>
        </r>
      </text>
    </comment>
    <comment ref="CR863" authorId="0" shapeId="0" xr:uid="{9AE72DF9-8A62-6640-9781-3D057D3B8FF5}">
      <text>
        <r>
          <rPr>
            <sz val="14"/>
            <color rgb="FF000000"/>
            <rFont val="Times New Roman"/>
            <family val="18"/>
          </rPr>
          <t xml:space="preserve">Bis 1806: </t>
        </r>
        <r>
          <rPr>
            <i/>
            <sz val="14"/>
            <color rgb="FF000000"/>
            <rFont val="Times New Roman"/>
            <family val="18"/>
          </rPr>
          <t>Jüdisch</t>
        </r>
        <r>
          <rPr>
            <sz val="14"/>
            <color rgb="FF000000"/>
            <rFont val="Times New Roman"/>
            <family val="18"/>
          </rPr>
          <t xml:space="preserve"> [ML 1806] 
</t>
        </r>
        <r>
          <rPr>
            <sz val="14"/>
            <color rgb="FF000000"/>
            <rFont val="Times New Roman"/>
            <family val="18"/>
          </rPr>
          <t xml:space="preserve">1807: Namensänderung von Chaim zu Carl  
</t>
        </r>
        <r>
          <rPr>
            <sz val="14"/>
            <color rgb="FF000000"/>
            <rFont val="Times New Roman"/>
            <family val="18"/>
          </rPr>
          <t xml:space="preserve">1811: </t>
        </r>
        <r>
          <rPr>
            <i/>
            <sz val="14"/>
            <color rgb="FF000000"/>
            <rFont val="Times New Roman"/>
            <family val="18"/>
          </rPr>
          <t>Katholisch</t>
        </r>
        <r>
          <rPr>
            <sz val="14"/>
            <color rgb="FF000000"/>
            <rFont val="Times New Roman"/>
            <family val="18"/>
          </rPr>
          <t xml:space="preserve"> [ML 1811 &amp; SUP 1811]</t>
        </r>
        <r>
          <rPr>
            <sz val="14"/>
            <color rgb="FF000000"/>
            <rFont val="Calibri"/>
            <family val="2"/>
          </rPr>
          <t xml:space="preserve"> </t>
        </r>
      </text>
    </comment>
    <comment ref="BF864" authorId="0" shapeId="0" xr:uid="{1E4A585E-B8C8-4346-BDC7-6A370B67FA20}">
      <text>
        <r>
          <rPr>
            <sz val="14"/>
            <color rgb="FF000000"/>
            <rFont val="Times New Roman"/>
            <family val="18"/>
          </rPr>
          <t xml:space="preserve">09/07/1805 </t>
        </r>
        <r>
          <rPr>
            <i/>
            <sz val="14"/>
            <color rgb="FF000000"/>
            <rFont val="Times New Roman"/>
            <family val="18"/>
          </rPr>
          <t>Zum IR 20 beim vakante [19. Fus] Comp. a 3Fl Handgeld als Landständische Werbbezirk Recrout gestellt</t>
        </r>
        <r>
          <rPr>
            <sz val="14"/>
            <color rgb="FF000000"/>
            <rFont val="Times New Roman"/>
            <family val="18"/>
          </rPr>
          <t xml:space="preserve"> [AL July 1805]
</t>
        </r>
        <r>
          <rPr>
            <sz val="14"/>
            <color rgb="FF000000"/>
            <rFont val="Times New Roman"/>
            <family val="18"/>
          </rPr>
          <t xml:space="preserve">03/01/1806 </t>
        </r>
        <r>
          <rPr>
            <i/>
            <sz val="14"/>
            <color rgb="FF000000"/>
            <rFont val="Times New Roman"/>
            <family val="18"/>
          </rPr>
          <t>Von 19. zum 16. Fus. Comp.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Während den Anmärschen und in Auswärtigen Spitalern unwissend verloren</t>
        </r>
        <r>
          <rPr>
            <sz val="14"/>
            <color rgb="FF000000"/>
            <rFont val="Times New Roman"/>
            <family val="18"/>
          </rPr>
          <t xml:space="preserve"> [ML 1806]
</t>
        </r>
      </text>
    </comment>
    <comment ref="BG864" authorId="0" shapeId="0" xr:uid="{09F08E92-2FBF-784F-A5AF-95CEFB84542B}">
      <text>
        <r>
          <rPr>
            <sz val="14"/>
            <color rgb="FF000000"/>
            <rFont val="Times New Roman"/>
            <family val="18"/>
          </rPr>
          <t xml:space="preserve">ML 1623-5 IR 20 (1806) –16. und 19. Fus. Komp., Zuwachs &amp; Abgang (Olmütz 15/12/1806)
</t>
        </r>
        <r>
          <rPr>
            <sz val="14"/>
            <color rgb="FF000000"/>
            <rFont val="Times New Roman"/>
            <family val="18"/>
          </rPr>
          <t xml:space="preserve">ML 1659 IR 20 (1805) – AL/TL pro Monat Sept Nr. 35 (Tarnopol 09/07/1805)
</t>
        </r>
      </text>
    </comment>
    <comment ref="BH864" authorId="0" shapeId="0" xr:uid="{5D70CB6D-600B-7B47-9DE7-98612532B36B}">
      <text>
        <r>
          <rPr>
            <sz val="14"/>
            <color rgb="FF000000"/>
            <rFont val="Calibri"/>
            <family val="34"/>
          </rPr>
          <t>IR 44 (1805-1806)</t>
        </r>
      </text>
    </comment>
    <comment ref="BF865" authorId="0" shapeId="0" xr:uid="{A2FED975-1A5E-3944-80A9-41B6493C5968}">
      <text>
        <r>
          <rPr>
            <sz val="14"/>
            <color rgb="FF000000"/>
            <rFont val="Times New Roman"/>
            <family val="18"/>
          </rPr>
          <t xml:space="preserve">14/07/1805 </t>
        </r>
        <r>
          <rPr>
            <i/>
            <sz val="14"/>
            <color rgb="FF000000"/>
            <rFont val="Times New Roman"/>
            <family val="18"/>
          </rPr>
          <t>Landständischer Rekrut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dissovierte 19. zur 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23/07/1808 Superarbietriert: </t>
        </r>
        <r>
          <rPr>
            <i/>
            <sz val="14"/>
            <color rgb="FF000000"/>
            <rFont val="Times New Roman"/>
            <family val="18"/>
          </rPr>
          <t xml:space="preserve">Beständig Kränklich, ins Invaliden Haus anzugeben und Patentmassig anzuweisen </t>
        </r>
        <r>
          <rPr>
            <sz val="14"/>
            <color rgb="FF000000"/>
            <rFont val="Times New Roman"/>
            <family val="18"/>
          </rPr>
          <t>[SUP July 1808]</t>
        </r>
        <r>
          <rPr>
            <sz val="14"/>
            <color rgb="FF000000"/>
            <rFont val="Calibri"/>
            <family val="34"/>
          </rPr>
          <t xml:space="preserve">
</t>
        </r>
        <r>
          <rPr>
            <sz val="14"/>
            <color rgb="FF000000"/>
            <rFont val="Times New Roman"/>
            <family val="18"/>
          </rPr>
          <t xml:space="preserve">31/07/1808 </t>
        </r>
        <r>
          <rPr>
            <i/>
            <sz val="14"/>
            <color rgb="FF000000"/>
            <rFont val="Times New Roman"/>
            <family val="18"/>
          </rPr>
          <t>Als Reale Invalid zu Prager Invalidenhaus in die Versorgung</t>
        </r>
        <r>
          <rPr>
            <sz val="14"/>
            <color rgb="FF000000"/>
            <rFont val="Times New Roman"/>
            <family val="18"/>
          </rPr>
          <t xml:space="preserve"> [RL 1808]</t>
        </r>
        <r>
          <rPr>
            <sz val="14"/>
            <color rgb="FF000000"/>
            <rFont val="Calibri"/>
            <family val="34"/>
          </rPr>
          <t xml:space="preserve">
</t>
        </r>
      </text>
    </comment>
    <comment ref="BG865" authorId="0" shapeId="0" xr:uid="{6686BBED-281D-7643-9C51-35F02C9DE2AD}">
      <text>
        <r>
          <rPr>
            <sz val="14"/>
            <color rgb="FF000000"/>
            <rFont val="Times New Roman"/>
            <family val="18"/>
          </rPr>
          <t>ML 3772 IR 42 ‘Erbach’ (1806) – 2nd Fus Nr. 140 &amp; Zuwachs (Theresienstadt 22/12/1806)</t>
        </r>
        <r>
          <rPr>
            <sz val="14"/>
            <color rgb="FF000000"/>
            <rFont val="Calibri"/>
            <family val="34"/>
          </rPr>
          <t xml:space="preserve">
</t>
        </r>
        <r>
          <rPr>
            <sz val="14"/>
            <color rgb="FF000000"/>
            <rFont val="Times New Roman"/>
            <family val="18"/>
          </rPr>
          <t>ML 3833 IR 42 (1808) – SUP Nr. 2 (Saatz 23/07/1808); TL IR 42-&gt; InvH Prag Nr. 2 (Saatz 15/08/1808)</t>
        </r>
        <r>
          <rPr>
            <sz val="14"/>
            <color rgb="FF000000"/>
            <rFont val="Calibri"/>
            <family val="34"/>
          </rPr>
          <t xml:space="preserve">
</t>
        </r>
        <r>
          <rPr>
            <sz val="14"/>
            <color rgb="FF000000"/>
            <rFont val="Times New Roman"/>
            <family val="18"/>
          </rPr>
          <t>ML 3774 IR 42 (1808) – 2. Fus. Komp. Abgang (Lobositz 16/09/1808)</t>
        </r>
        <r>
          <rPr>
            <sz val="14"/>
            <color rgb="FF000000"/>
            <rFont val="Calibri"/>
            <family val="34"/>
          </rPr>
          <t xml:space="preserve">
</t>
        </r>
      </text>
    </comment>
    <comment ref="BH865" authorId="0" shapeId="0" xr:uid="{1A484B0E-39D0-7B4D-BD33-057E1FC4672D}">
      <text>
        <r>
          <rPr>
            <sz val="14"/>
            <color rgb="FF000000"/>
            <rFont val="Calibri"/>
            <family val="34"/>
          </rPr>
          <t xml:space="preserve">IR 42 (1805-1808)
</t>
        </r>
        <r>
          <rPr>
            <sz val="14"/>
            <color rgb="FF000000"/>
            <rFont val="Calibri"/>
            <family val="34"/>
          </rPr>
          <t>InvH Prag (1808)</t>
        </r>
      </text>
    </comment>
    <comment ref="BI865" authorId="0" shapeId="0" xr:uid="{F4697377-81F3-DE40-A330-DBEA686CE0A2}">
      <text>
        <r>
          <rPr>
            <sz val="14"/>
            <color rgb="FF000000"/>
            <rFont val="Calibri"/>
            <family val="34"/>
          </rPr>
          <t>Gut [TL Aug 1808]</t>
        </r>
      </text>
    </comment>
    <comment ref="BJ865" authorId="0" shapeId="0" xr:uid="{DE690B96-8922-A241-9D5C-A39ACC92B12D}">
      <text>
        <r>
          <rPr>
            <i/>
            <sz val="14"/>
            <color rgb="FF000000"/>
            <rFont val="Times New Roman"/>
            <family val="18"/>
          </rPr>
          <t xml:space="preserve">Beständig Kränklich </t>
        </r>
        <r>
          <rPr>
            <sz val="14"/>
            <color rgb="FF000000"/>
            <rFont val="Times New Roman"/>
            <family val="18"/>
          </rPr>
          <t xml:space="preserve">(1808); </t>
        </r>
        <r>
          <rPr>
            <i/>
            <sz val="14"/>
            <color rgb="FF000000"/>
            <rFont val="Times New Roman"/>
            <family val="18"/>
          </rPr>
          <t>einer Schwund am rechten Oberschenkel und mit einem Schleich und erfieber behaltet zeitlicher Reale Invalid; in Folge eines am 22. April d.J. erlittenen Fall während Dienstzeit, ohne Verschulde</t>
        </r>
        <r>
          <rPr>
            <sz val="14"/>
            <color rgb="FF000000"/>
            <rFont val="Times New Roman"/>
            <family val="18"/>
          </rPr>
          <t xml:space="preserve"> [SUP July 1808]</t>
        </r>
        <r>
          <rPr>
            <sz val="14"/>
            <color rgb="FF000000"/>
            <rFont val="Calibri"/>
            <family val="2"/>
          </rPr>
          <t xml:space="preserve"> </t>
        </r>
      </text>
    </comment>
    <comment ref="BF866" authorId="0" shapeId="0" xr:uid="{48D1BD37-3F63-F54D-86D6-2759B7EE6CE1}">
      <text>
        <r>
          <rPr>
            <sz val="14"/>
            <color rgb="FF000000"/>
            <rFont val="Times New Roman"/>
            <family val="18"/>
          </rPr>
          <t xml:space="preserve">16/07/1805 </t>
        </r>
        <r>
          <rPr>
            <i/>
            <sz val="14"/>
            <color rgb="FF000000"/>
            <rFont val="Times New Roman"/>
            <family val="18"/>
          </rPr>
          <t xml:space="preserve">Von Dominien gestellt und zum Loco in IR 11 8. Fus. Komp. assentiert </t>
        </r>
        <r>
          <rPr>
            <sz val="14"/>
            <color rgb="FF000000"/>
            <rFont val="Times New Roman"/>
            <family val="18"/>
          </rPr>
          <t xml:space="preserve">[ML 1806]
</t>
        </r>
        <r>
          <rPr>
            <sz val="14"/>
            <color rgb="FF000000"/>
            <rFont val="Times New Roman"/>
            <family val="18"/>
          </rPr>
          <t xml:space="preserve">20/10/1805 </t>
        </r>
        <r>
          <rPr>
            <i/>
            <sz val="14"/>
            <color rgb="FF000000"/>
            <rFont val="Times New Roman"/>
            <family val="18"/>
          </rPr>
          <t>In Ulm Kriegsgefangen</t>
        </r>
        <r>
          <rPr>
            <sz val="14"/>
            <color rgb="FF000000"/>
            <rFont val="Times New Roman"/>
            <family val="18"/>
          </rPr>
          <t xml:space="preserve"> [ML 1806]
</t>
        </r>
        <r>
          <rPr>
            <sz val="14"/>
            <color rgb="FF000000"/>
            <rFont val="Times New Roman"/>
            <family val="18"/>
          </rPr>
          <t xml:space="preserve">14/02/1806 </t>
        </r>
        <r>
          <rPr>
            <i/>
            <sz val="14"/>
            <color rgb="FF000000"/>
            <rFont val="Times New Roman"/>
            <family val="18"/>
          </rPr>
          <t>Von der Kriegsgefangenschaft zurückgelegt</t>
        </r>
        <r>
          <rPr>
            <sz val="14"/>
            <color rgb="FF000000"/>
            <rFont val="Times New Roman"/>
            <family val="18"/>
          </rPr>
          <t xml:space="preserve"> [ML 1806]
</t>
        </r>
        <r>
          <rPr>
            <sz val="14"/>
            <color rgb="FF000000"/>
            <rFont val="Times New Roman"/>
            <family val="18"/>
          </rPr>
          <t xml:space="preserve">23/12/1806 Muster: IR 11 8. Fus. Komp. Nr. 48
</t>
        </r>
      </text>
    </comment>
    <comment ref="BG866" authorId="0" shapeId="0" xr:uid="{F7281D4F-4DED-F24E-BE51-53745BC833E8}">
      <text>
        <r>
          <rPr>
            <sz val="14"/>
            <color rgb="FF000000"/>
            <rFont val="Times New Roman"/>
            <family val="18"/>
          </rPr>
          <t>ML 807/86 IR 11 (1806) – 8. Fus. Komp. Nr. 48 (Prague 23/12/1806)</t>
        </r>
        <r>
          <rPr>
            <sz val="14"/>
            <color rgb="FF000000"/>
            <rFont val="Times New Roman"/>
            <family val="18"/>
          </rPr>
          <t xml:space="preserve">
</t>
        </r>
      </text>
    </comment>
    <comment ref="BH866" authorId="0" shapeId="0" xr:uid="{0B32A5C2-5837-4F44-BD4E-015308A7FAC3}">
      <text>
        <r>
          <rPr>
            <sz val="14"/>
            <color rgb="FF000000"/>
            <rFont val="Calibri"/>
            <family val="34"/>
          </rPr>
          <t>IR 59 (1805-1806)</t>
        </r>
      </text>
    </comment>
    <comment ref="BF867" authorId="0" shapeId="0" xr:uid="{D4AB9D86-20F9-D84D-9A02-0807B267107A}">
      <text>
        <r>
          <rPr>
            <sz val="14"/>
            <color rgb="FF000000"/>
            <rFont val="Times New Roman"/>
            <family val="18"/>
          </rPr>
          <t xml:space="preserve">22/07/1805 </t>
        </r>
        <r>
          <rPr>
            <i/>
            <sz val="14"/>
            <color rgb="FF000000"/>
            <rFont val="Times New Roman"/>
            <family val="18"/>
          </rPr>
          <t>Zu Siedlce von Lande a 3Fl gestellt und zum IR 59 [9. Fus] Hauptmann Willinger Komp. assentiert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22/12/1806 Muster: IR 59 13. Fus. Komp. Nr. 165 [</t>
        </r>
        <r>
          <rPr>
            <i/>
            <sz val="14"/>
            <color rgb="FF000000"/>
            <rFont val="Times New Roman"/>
            <family val="18"/>
          </rPr>
          <t>Ist in West Galizien 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In 08/1808 </t>
        </r>
        <r>
          <rPr>
            <i/>
            <sz val="14"/>
            <color rgb="FF000000"/>
            <rFont val="Times New Roman"/>
            <family val="18"/>
          </rPr>
          <t>Von Urlaub desertiert</t>
        </r>
        <r>
          <rPr>
            <sz val="14"/>
            <color rgb="FF000000"/>
            <rFont val="Times New Roman"/>
            <family val="18"/>
          </rPr>
          <t xml:space="preserve"> [RL 1808]</t>
        </r>
        <r>
          <rPr>
            <sz val="14"/>
            <color rgb="FF000000"/>
            <rFont val="Calibri"/>
            <family val="2"/>
          </rPr>
          <t xml:space="preserve"> </t>
        </r>
      </text>
    </comment>
    <comment ref="BG867" authorId="0" shapeId="0" xr:uid="{696226F9-C007-8B4B-8767-8788E695CC25}">
      <text>
        <r>
          <rPr>
            <sz val="14"/>
            <color rgb="FF000000"/>
            <rFont val="Times New Roman"/>
            <family val="18"/>
          </rPr>
          <t>ML 5017/8 IR 59 (1806) – 13. Fus. Komp. Nr. 117 (Freistadt 22/12/1816)</t>
        </r>
        <r>
          <rPr>
            <sz val="14"/>
            <color rgb="FF000000"/>
            <rFont val="Calibri"/>
            <family val="34"/>
          </rPr>
          <t xml:space="preserve">
</t>
        </r>
        <r>
          <rPr>
            <sz val="14"/>
            <color rgb="FF000000"/>
            <rFont val="Times New Roman"/>
            <family val="18"/>
          </rPr>
          <t>ML 5019 IR 59 (1808-10) – RL 13. Fus. Komp. Abgang (Enns 05/09/1808)</t>
        </r>
        <r>
          <rPr>
            <sz val="14"/>
            <color rgb="FF000000"/>
            <rFont val="Calibri"/>
            <family val="34"/>
          </rPr>
          <t xml:space="preserve">
</t>
        </r>
        <r>
          <rPr>
            <sz val="14"/>
            <color rgb="FF000000"/>
            <rFont val="Times New Roman"/>
            <family val="18"/>
          </rPr>
          <t>ML 5067 IR 59 (1805) – AL. Nr. 1 (Siedlce 22/07/1805)</t>
        </r>
        <r>
          <rPr>
            <sz val="14"/>
            <color rgb="FF000000"/>
            <rFont val="Calibri"/>
            <family val="34"/>
          </rPr>
          <t xml:space="preserve">
</t>
        </r>
      </text>
    </comment>
    <comment ref="BH867" authorId="0" shapeId="0" xr:uid="{B1A79EB1-576C-C34F-B454-15E779674D2C}">
      <text>
        <r>
          <rPr>
            <sz val="14"/>
            <color rgb="FF000000"/>
            <rFont val="Calibri"/>
            <family val="34"/>
          </rPr>
          <t>IR 59 (1805-1808)</t>
        </r>
      </text>
    </comment>
    <comment ref="I868" authorId="0" shapeId="0" xr:uid="{0EAF78BE-0CA3-EF48-990C-79AAE6C65759}">
      <text>
        <r>
          <rPr>
            <sz val="14"/>
            <color rgb="FF000000"/>
            <rFont val="Calibri"/>
            <family val="34"/>
          </rPr>
          <t xml:space="preserve">1783 [27 (1810)]
</t>
        </r>
        <r>
          <rPr>
            <sz val="14"/>
            <color rgb="FF000000"/>
            <rFont val="Calibri"/>
            <family val="34"/>
          </rPr>
          <t xml:space="preserve">OR
</t>
        </r>
        <r>
          <rPr>
            <b/>
            <sz val="14"/>
            <color rgb="FF000000"/>
            <rFont val="Calibri"/>
            <family val="34"/>
          </rPr>
          <t>1785 [20 (1805)]</t>
        </r>
      </text>
    </comment>
    <comment ref="T868" authorId="0" shapeId="0" xr:uid="{2D1E46CC-D88D-2F40-9341-8DE91D58F1BE}">
      <text>
        <r>
          <rPr>
            <b/>
            <sz val="14"/>
            <color rgb="FF000000"/>
            <rFont val="Calibri"/>
            <family val="34"/>
          </rPr>
          <t xml:space="preserve">5.3 [165.89 (1805)]
</t>
        </r>
        <r>
          <rPr>
            <sz val="14"/>
            <color rgb="FF000000"/>
            <rFont val="Calibri"/>
            <family val="34"/>
          </rPr>
          <t>5.3.1 [166.11 (1810)]</t>
        </r>
      </text>
    </comment>
    <comment ref="BF868" authorId="0" shapeId="0" xr:uid="{24C7B978-052E-EF41-BD20-15D9DEF2322E}">
      <text>
        <r>
          <rPr>
            <sz val="14"/>
            <color rgb="FF000000"/>
            <rFont val="Times New Roman"/>
            <family val="18"/>
          </rPr>
          <t xml:space="preserve">25/07/1805 </t>
        </r>
        <r>
          <rPr>
            <i/>
            <sz val="14"/>
            <color rgb="FF000000"/>
            <rFont val="Times New Roman"/>
            <family val="18"/>
          </rPr>
          <t>Von Ständen a 3 Fl Handgeld mit 10 jährigen Capitulation in Olmütz zum IR 4 gestellt und zum Janda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15/12/1806 Muster: IR 1 Haupt Janda Komp. Nr. 45</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Gefreyter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24/05/1809 </t>
        </r>
        <r>
          <rPr>
            <i/>
            <sz val="14"/>
            <color rgb="FF000000"/>
            <rFont val="Times New Roman"/>
            <family val="18"/>
          </rPr>
          <t xml:space="preserve">Sich selbst ranzioniert und zu Eger präsentiert </t>
        </r>
        <r>
          <rPr>
            <sz val="14"/>
            <color rgb="FF000000"/>
            <rFont val="Times New Roman"/>
            <family val="18"/>
          </rPr>
          <t>[ST July 1809]</t>
        </r>
        <r>
          <rPr>
            <sz val="14"/>
            <color rgb="FF000000"/>
            <rFont val="Calibri"/>
            <family val="34"/>
          </rPr>
          <t xml:space="preserve">
</t>
        </r>
        <r>
          <rPr>
            <sz val="14"/>
            <color rgb="FF000000"/>
            <rFont val="Times New Roman"/>
            <family val="18"/>
          </rPr>
          <t xml:space="preserve">01/07/1809 </t>
        </r>
        <r>
          <rPr>
            <i/>
            <sz val="14"/>
            <color rgb="FF000000"/>
            <rFont val="Times New Roman"/>
            <family val="18"/>
          </rPr>
          <t>Zu Regiment eingerückt und zum 7. Fus. Komp eingeteilt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7. Zum neu errichtete 13.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01/03/1810 </t>
        </r>
        <r>
          <rPr>
            <i/>
            <sz val="14"/>
            <color rgb="FF000000"/>
            <rFont val="Times New Roman"/>
            <family val="18"/>
          </rPr>
          <t xml:space="preserve">Beurlaubt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23/03/1810 </t>
        </r>
        <r>
          <rPr>
            <i/>
            <sz val="14"/>
            <color rgb="FF000000"/>
            <rFont val="Times New Roman"/>
            <family val="18"/>
          </rPr>
          <t xml:space="preserve">Als Angehöriger von Gabriel </t>
        </r>
        <r>
          <rPr>
            <sz val="14"/>
            <color rgb="FF000000"/>
            <rFont val="Times New Roman"/>
            <family val="18"/>
          </rPr>
          <t xml:space="preserve">[13.] </t>
        </r>
        <r>
          <rPr>
            <i/>
            <sz val="14"/>
            <color rgb="FF000000"/>
            <rFont val="Times New Roman"/>
            <family val="18"/>
          </rPr>
          <t xml:space="preserve">Komp. wegen Schussverletzung durch die Linke Fuße in Brunn superarbietriert: Mit 5. April Mit Abschied zu entlassen </t>
        </r>
        <r>
          <rPr>
            <sz val="14"/>
            <color rgb="FF000000"/>
            <rFont val="Times New Roman"/>
            <family val="18"/>
          </rPr>
          <t>[SUP March 1810]</t>
        </r>
        <r>
          <rPr>
            <sz val="14"/>
            <color rgb="FF000000"/>
            <rFont val="Calibri"/>
            <family val="34"/>
          </rPr>
          <t xml:space="preserve">
</t>
        </r>
        <r>
          <rPr>
            <sz val="14"/>
            <color rgb="FF000000"/>
            <rFont val="Times New Roman"/>
            <family val="18"/>
          </rPr>
          <t xml:space="preserve">05/04/1810 </t>
        </r>
        <r>
          <rPr>
            <i/>
            <sz val="14"/>
            <color rgb="FF000000"/>
            <rFont val="Times New Roman"/>
            <family val="18"/>
          </rPr>
          <t>Zu Folge hohen Superarbietrierung Befund dd.t Brünn den 23. März als Real Invalid mit Abschied entlassen</t>
        </r>
        <r>
          <rPr>
            <sz val="14"/>
            <color rgb="FF000000"/>
            <rFont val="Times New Roman"/>
            <family val="18"/>
          </rPr>
          <t xml:space="preserve"> [ST April 1810] </t>
        </r>
      </text>
    </comment>
    <comment ref="BG868" authorId="0" shapeId="0" xr:uid="{ECB27ECE-F2FF-7146-933C-5B1E28BB3BCA}">
      <text>
        <r>
          <rPr>
            <sz val="14"/>
            <color rgb="FF000000"/>
            <rFont val="Times New Roman"/>
            <family val="18"/>
          </rPr>
          <t>ML 31/2 IR 1 (1806) – Haupt Janda Komp. Nr. 45 (Brünn 15/12/1806)</t>
        </r>
        <r>
          <rPr>
            <sz val="14"/>
            <color rgb="FF000000"/>
            <rFont val="Calibri"/>
            <family val="34"/>
          </rPr>
          <t xml:space="preserve">
</t>
        </r>
        <r>
          <rPr>
            <sz val="14"/>
            <color rgb="FF000000"/>
            <rFont val="Times New Roman"/>
            <family val="18"/>
          </rPr>
          <t>ML 84 IR 1 (1805) – AL Nr. 250 (Olmütz 31/05/1805)</t>
        </r>
        <r>
          <rPr>
            <sz val="14"/>
            <color rgb="FF000000"/>
            <rFont val="Calibri"/>
            <family val="34"/>
          </rPr>
          <t xml:space="preserve">
</t>
        </r>
        <r>
          <rPr>
            <sz val="14"/>
            <color rgb="FF000000"/>
            <rFont val="Times New Roman"/>
            <family val="18"/>
          </rPr>
          <t>ML 91 IR 1 (1809) – ST Feb (Olmütz 20/07/1809), April (Proßnitz 26/07/1810), July (Proßnitz 21/10/1810), Dec (Proßnitz 15/01/1811)</t>
        </r>
        <r>
          <rPr>
            <sz val="14"/>
            <color rgb="FF000000"/>
            <rFont val="Calibri"/>
            <family val="34"/>
          </rPr>
          <t xml:space="preserve">
</t>
        </r>
        <r>
          <rPr>
            <sz val="14"/>
            <color rgb="FF000000"/>
            <rFont val="Times New Roman"/>
            <family val="18"/>
          </rPr>
          <t>ML 94 IR 1 (1810) – ST March (Proßnitz 28/02/1811), April (Brünn 10/03/1811)</t>
        </r>
        <r>
          <rPr>
            <sz val="14"/>
            <color rgb="FF000000"/>
            <rFont val="Calibri"/>
            <family val="34"/>
          </rPr>
          <t xml:space="preserve">
</t>
        </r>
        <r>
          <rPr>
            <sz val="14"/>
            <color rgb="FF000000"/>
            <rFont val="Times New Roman"/>
            <family val="18"/>
          </rPr>
          <t>ML 95 IR 1 (1810) AL/TL – SUP Nr. 1 (Brünn 23/03/1810)</t>
        </r>
        <r>
          <rPr>
            <sz val="14"/>
            <color rgb="FF000000"/>
            <rFont val="Calibri"/>
            <family val="34"/>
          </rPr>
          <t xml:space="preserve">
</t>
        </r>
      </text>
    </comment>
    <comment ref="BH868" authorId="0" shapeId="0" xr:uid="{53ED6046-FB00-7845-96D3-A1821A93DDB1}">
      <text>
        <r>
          <rPr>
            <sz val="14"/>
            <color rgb="FF000000"/>
            <rFont val="Calibri"/>
            <family val="34"/>
          </rPr>
          <t>IR 1 (1805-1810)</t>
        </r>
      </text>
    </comment>
    <comment ref="BJ868" authorId="0" shapeId="0" xr:uid="{49AB0AE9-49F9-9D4E-B71E-B149BC14F8BA}">
      <text>
        <r>
          <rPr>
            <i/>
            <sz val="14"/>
            <color rgb="FF000000"/>
            <rFont val="Times New Roman"/>
            <family val="18"/>
          </rPr>
          <t>Schusswunde durch die linke Fuße, hat die Blessur in dienst bekommen [SUP March 1810]</t>
        </r>
      </text>
    </comment>
    <comment ref="BF869" authorId="0" shapeId="0" xr:uid="{0FCF8093-4E29-4340-A934-C3C6C4FFCA93}">
      <text>
        <r>
          <rPr>
            <sz val="14"/>
            <color rgb="FF000000"/>
            <rFont val="Times New Roman"/>
            <family val="18"/>
          </rPr>
          <t xml:space="preserve">29/07/1805 </t>
        </r>
        <r>
          <rPr>
            <i/>
            <sz val="14"/>
            <color rgb="FF000000"/>
            <rFont val="Times New Roman"/>
            <family val="18"/>
          </rPr>
          <t>Von Ständen a 3 Fl Handgeld mit 10 jährigen Capitulation in Olmütz zum IR 4 gestellt und zum Janda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 xml:space="preserve">15/10/1806 </t>
        </r>
        <r>
          <rPr>
            <i/>
            <sz val="14"/>
            <color rgb="FF000000"/>
            <rFont val="Times New Roman"/>
            <family val="18"/>
          </rPr>
          <t>Ins Armee Spital Unwissend verloren gegangen</t>
        </r>
        <r>
          <rPr>
            <sz val="14"/>
            <color rgb="FF000000"/>
            <rFont val="Times New Roman"/>
            <family val="18"/>
          </rPr>
          <t xml:space="preserve"> [ST Oct 1806 &amp; ML 1806]</t>
        </r>
        <r>
          <rPr>
            <sz val="14"/>
            <color rgb="FF000000"/>
            <rFont val="Calibri"/>
            <family val="34"/>
          </rPr>
          <t xml:space="preserve">
</t>
        </r>
      </text>
    </comment>
    <comment ref="BG869" authorId="0" shapeId="0" xr:uid="{B2EAA770-4767-484E-A4B6-ECF57CAD9C09}">
      <text>
        <r>
          <rPr>
            <sz val="14"/>
            <color rgb="FF000000"/>
            <rFont val="Times New Roman"/>
            <family val="18"/>
          </rPr>
          <t>ML 31/2 IR 1 (1806) – Haupt Janda Komp. Zuwachs &amp; Abgang (Brünn 15/12/1806)</t>
        </r>
        <r>
          <rPr>
            <sz val="14"/>
            <color rgb="FF000000"/>
            <rFont val="Calibri"/>
            <family val="34"/>
          </rPr>
          <t xml:space="preserve">
</t>
        </r>
        <r>
          <rPr>
            <sz val="14"/>
            <color rgb="FF000000"/>
            <rFont val="Times New Roman"/>
            <family val="18"/>
          </rPr>
          <t>ML 84 IR 1 (1805) – AL Nr. 337 (Olmütz 31/07/1805)</t>
        </r>
        <r>
          <rPr>
            <sz val="14"/>
            <color rgb="FF000000"/>
            <rFont val="Calibri"/>
            <family val="34"/>
          </rPr>
          <t xml:space="preserve">
</t>
        </r>
        <r>
          <rPr>
            <sz val="14"/>
            <color rgb="FF000000"/>
            <rFont val="Times New Roman"/>
            <family val="18"/>
          </rPr>
          <t>ML 85 IR 1 (1806) – ST Oct 1807 (Brünn 09/07/1807)</t>
        </r>
        <r>
          <rPr>
            <sz val="14"/>
            <color rgb="FF000000"/>
            <rFont val="Calibri"/>
            <family val="34"/>
          </rPr>
          <t xml:space="preserve">
</t>
        </r>
      </text>
    </comment>
    <comment ref="BH869" authorId="0" shapeId="0" xr:uid="{CEAB9695-1146-C941-B4A6-0222584D60EC}">
      <text>
        <r>
          <rPr>
            <sz val="14"/>
            <color rgb="FF000000"/>
            <rFont val="Calibri"/>
            <family val="34"/>
          </rPr>
          <t>IR 1 (1805-1806)</t>
        </r>
      </text>
    </comment>
    <comment ref="BF870" authorId="0" shapeId="0" xr:uid="{3ADDB215-A52E-E84B-84E5-43883A251C8E}">
      <text>
        <r>
          <rPr>
            <sz val="14"/>
            <color rgb="FF000000"/>
            <rFont val="Times New Roman"/>
            <family val="18"/>
          </rPr>
          <t xml:space="preserve">29/07/1805 </t>
        </r>
        <r>
          <rPr>
            <i/>
            <sz val="14"/>
            <color rgb="FF000000"/>
            <rFont val="Times New Roman"/>
            <family val="18"/>
          </rPr>
          <t xml:space="preserve">Statt den entlassenen Cannonier Jakob Wallinger sich freiwillig gestellt und zum 7. Ordinaire zugeteilt; empfangt von Entlassengswerber an Handgeld 40 Fl </t>
        </r>
        <r>
          <rPr>
            <sz val="14"/>
            <color rgb="FF000000"/>
            <rFont val="Times New Roman"/>
            <family val="18"/>
          </rPr>
          <t>[AL 1805 &amp; ST Juli 1805]</t>
        </r>
        <r>
          <rPr>
            <sz val="14"/>
            <color rgb="FF000000"/>
            <rFont val="Calibri"/>
            <family val="34"/>
          </rPr>
          <t xml:space="preserve">
</t>
        </r>
        <r>
          <rPr>
            <sz val="14"/>
            <color rgb="FF000000"/>
            <rFont val="Times New Roman"/>
            <family val="18"/>
          </rPr>
          <t xml:space="preserve">14/12/1805 </t>
        </r>
        <r>
          <rPr>
            <i/>
            <sz val="14"/>
            <color rgb="FF000000"/>
            <rFont val="Times New Roman"/>
            <family val="18"/>
          </rPr>
          <t>Krank in the Armee Spitaler hierort ohne Verpflegung</t>
        </r>
        <r>
          <rPr>
            <sz val="14"/>
            <color rgb="FF000000"/>
            <rFont val="Times New Roman"/>
            <family val="18"/>
          </rPr>
          <t xml:space="preserve"> [ST Dec 1805]</t>
        </r>
        <r>
          <rPr>
            <sz val="14"/>
            <color rgb="FF000000"/>
            <rFont val="Calibri"/>
            <family val="34"/>
          </rPr>
          <t xml:space="preserve">
</t>
        </r>
        <r>
          <rPr>
            <sz val="14"/>
            <color rgb="FF000000"/>
            <rFont val="Times New Roman"/>
            <family val="18"/>
          </rPr>
          <t xml:space="preserve">14/01/1806 </t>
        </r>
        <r>
          <rPr>
            <i/>
            <sz val="14"/>
            <color rgb="FF000000"/>
            <rFont val="Times New Roman"/>
            <family val="18"/>
          </rPr>
          <t>Gestorben</t>
        </r>
        <r>
          <rPr>
            <sz val="14"/>
            <color rgb="FF000000"/>
            <rFont val="Times New Roman"/>
            <family val="18"/>
          </rPr>
          <t xml:space="preserve"> [ML 1806] </t>
        </r>
      </text>
    </comment>
    <comment ref="BG870" authorId="0" shapeId="0" xr:uid="{85458461-3EA6-DF42-B35C-B26E75BE45F8}">
      <text>
        <r>
          <rPr>
            <sz val="14"/>
            <color rgb="FF000000"/>
            <rFont val="Calibri"/>
            <family val="34"/>
          </rPr>
          <t xml:space="preserve">ML 8057 FAR 2 (1806) – 7. Ord. comp. Zuwachs &amp; Abgang (Wien Reenewg 22/10/1806)
</t>
        </r>
        <r>
          <rPr>
            <sz val="14"/>
            <color rgb="FF000000"/>
            <rFont val="Calibri"/>
            <family val="34"/>
          </rPr>
          <t xml:space="preserve">ML 8080 FAR 2 (1805) – ST Juli (15/08/1805) und Dez (15/06/1806)
</t>
        </r>
        <r>
          <rPr>
            <sz val="14"/>
            <color rgb="FF000000"/>
            <rFont val="Calibri"/>
            <family val="34"/>
          </rPr>
          <t xml:space="preserve">ML 8090 FAR 2 (1805) – AL Nr. 1 (Wien 29/07/1805)
</t>
        </r>
      </text>
    </comment>
    <comment ref="BH870" authorId="0" shapeId="0" xr:uid="{FF581E43-E52E-CA4F-895B-1273D428D0FA}">
      <text>
        <r>
          <rPr>
            <sz val="14"/>
            <color rgb="FF000000"/>
            <rFont val="Calibri"/>
            <family val="34"/>
          </rPr>
          <t>FAR 2 (1805-1806)</t>
        </r>
      </text>
    </comment>
    <comment ref="I871" authorId="0" shapeId="0" xr:uid="{C0990FE7-1F12-C34A-8962-53F91252EA99}">
      <text>
        <r>
          <rPr>
            <sz val="14"/>
            <color rgb="FF000000"/>
            <rFont val="Calibri"/>
            <family val="34"/>
          </rPr>
          <t xml:space="preserve">1782 [24 (TL 1806)]
</t>
        </r>
        <r>
          <rPr>
            <sz val="14"/>
            <color rgb="FF000000"/>
            <rFont val="Calibri"/>
            <family val="34"/>
          </rPr>
          <t xml:space="preserve">OR
</t>
        </r>
        <r>
          <rPr>
            <b/>
            <sz val="14"/>
            <color rgb="FF000000"/>
            <rFont val="Calibri"/>
            <family val="34"/>
          </rPr>
          <t>1788 [18 (ML 1806)]</t>
        </r>
      </text>
    </comment>
    <comment ref="K871" authorId="0" shapeId="0" xr:uid="{BB696312-6685-0443-A52E-24F28F02A40D}">
      <text>
        <r>
          <rPr>
            <sz val="14"/>
            <color rgb="FF000000"/>
            <rFont val="Calibri"/>
            <family val="34"/>
          </rPr>
          <t xml:space="preserve">Stricker (1806)
</t>
        </r>
        <r>
          <rPr>
            <sz val="14"/>
            <color rgb="FF000000"/>
            <rFont val="Calibri"/>
            <family val="34"/>
          </rPr>
          <t>Ohne  (1806)</t>
        </r>
      </text>
    </comment>
    <comment ref="T871" authorId="0" shapeId="0" xr:uid="{652E84AC-F4A5-5E4F-8D2E-DDE670953F57}">
      <text>
        <r>
          <rPr>
            <b/>
            <sz val="14"/>
            <color rgb="FF000000"/>
            <rFont val="Calibri"/>
            <family val="34"/>
          </rPr>
          <t xml:space="preserve">5.0.3 [158.66 (ML 1806)]
</t>
        </r>
        <r>
          <rPr>
            <sz val="14"/>
            <color rgb="FF000000"/>
            <rFont val="Calibri"/>
            <family val="34"/>
          </rPr>
          <t>5.1.1 [160.85 (TL 1806)]</t>
        </r>
      </text>
    </comment>
    <comment ref="BF871" authorId="0" shapeId="0" xr:uid="{523205B3-6F39-D24B-A795-2392CE8D4DC2}">
      <text>
        <r>
          <rPr>
            <sz val="14"/>
            <color rgb="FF000000"/>
            <rFont val="Times New Roman"/>
            <family val="18"/>
          </rPr>
          <t xml:space="preserve">08/1805 </t>
        </r>
        <r>
          <rPr>
            <i/>
            <sz val="14"/>
            <color rgb="FF000000"/>
            <rFont val="Times New Roman"/>
            <family val="18"/>
          </rPr>
          <t>In Stanislau in Galizien assentiert</t>
        </r>
        <r>
          <rPr>
            <sz val="14"/>
            <color rgb="FF000000"/>
            <rFont val="Times New Roman"/>
            <family val="18"/>
          </rPr>
          <t xml:space="preserve"> [TL Sept 1806]</t>
        </r>
        <r>
          <rPr>
            <sz val="14"/>
            <color rgb="FF000000"/>
            <rFont val="Calibri"/>
            <family val="34"/>
          </rPr>
          <t xml:space="preserve">
</t>
        </r>
        <r>
          <rPr>
            <sz val="14"/>
            <color rgb="FF000000"/>
            <rFont val="Times New Roman"/>
            <family val="18"/>
          </rPr>
          <t xml:space="preserve">21/09/1805 </t>
        </r>
        <r>
          <rPr>
            <i/>
            <sz val="14"/>
            <color rgb="FF000000"/>
            <rFont val="Times New Roman"/>
            <family val="18"/>
          </rPr>
          <t>Von Pester transport commando zum SInf Ital eingenommen</t>
        </r>
        <r>
          <rPr>
            <sz val="14"/>
            <color rgb="FF000000"/>
            <rFont val="Times New Roman"/>
            <family val="18"/>
          </rPr>
          <t xml:space="preserve"> [TL Sept 1806]</t>
        </r>
        <r>
          <rPr>
            <sz val="14"/>
            <color rgb="FF000000"/>
            <rFont val="Calibri"/>
            <family val="34"/>
          </rPr>
          <t xml:space="preserve">
</t>
        </r>
        <r>
          <rPr>
            <sz val="14"/>
            <color rgb="FFFF0000"/>
            <rFont val="Times New Roman"/>
            <family val="18"/>
          </rPr>
          <t>30/09/1805 I</t>
        </r>
        <r>
          <rPr>
            <i/>
            <sz val="14"/>
            <color rgb="FFFF0000"/>
            <rFont val="Times New Roman"/>
            <family val="18"/>
          </rPr>
          <t>n Stanislau als Inländer assentiert</t>
        </r>
        <r>
          <rPr>
            <sz val="14"/>
            <color rgb="FFFF0000"/>
            <rFont val="Times New Roman"/>
            <family val="18"/>
          </rPr>
          <t xml:space="preserve"> [TL Nov 1806]</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dem Italienischen Staabs Infantrie Regiment zum IR 20 transferiert und in 12. Fus. Komp zugeteilt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12. Fus. Komp. Nr. 132 [</t>
        </r>
        <r>
          <rPr>
            <i/>
            <sz val="14"/>
            <color rgb="FF000000"/>
            <rFont val="Times New Roman"/>
            <family val="18"/>
          </rPr>
          <t>Commandiert zu Fleisch Regie</t>
        </r>
        <r>
          <rPr>
            <sz val="14"/>
            <color rgb="FF000000"/>
            <rFont val="Times New Roman"/>
            <family val="18"/>
          </rPr>
          <t>]</t>
        </r>
      </text>
    </comment>
    <comment ref="BG871" authorId="0" shapeId="0" xr:uid="{FDD59317-500B-E345-BA42-BE901A524925}">
      <text>
        <r>
          <rPr>
            <sz val="14"/>
            <color rgb="FF000000"/>
            <rFont val="Times New Roman"/>
            <family val="18"/>
          </rPr>
          <t>ML 1623-5 IR 20 (1806) – 12. Fus. Komp. Nr. 132 (Olmütz 15/12/1806)</t>
        </r>
        <r>
          <rPr>
            <sz val="14"/>
            <color rgb="FF000000"/>
            <rFont val="Calibri"/>
            <family val="34"/>
          </rPr>
          <t xml:space="preserve">
</t>
        </r>
        <r>
          <rPr>
            <sz val="14"/>
            <color rgb="FF000000"/>
            <rFont val="Times New Roman"/>
            <family val="18"/>
          </rPr>
          <t>ML 1661 IR 20 (1806) – TL SInf Ital-&gt; IR 20 Nr. 11 (Graz 24/11/1806)</t>
        </r>
        <r>
          <rPr>
            <sz val="14"/>
            <color rgb="FF000000"/>
            <rFont val="Calibri"/>
            <family val="34"/>
          </rPr>
          <t xml:space="preserve">
</t>
        </r>
      </text>
    </comment>
    <comment ref="BH871" authorId="0" shapeId="0" xr:uid="{5B9224B6-FF54-4546-8BB3-72D8EB08B16D}">
      <text>
        <r>
          <rPr>
            <sz val="14"/>
            <color rgb="FF000000"/>
            <rFont val="Calibri"/>
            <family val="34"/>
          </rPr>
          <t xml:space="preserve">MFWK (1805)
</t>
        </r>
        <r>
          <rPr>
            <sz val="14"/>
            <color rgb="FF000000"/>
            <rFont val="Calibri"/>
            <family val="34"/>
          </rPr>
          <t xml:space="preserve">Sinf Ital (1805-1806)
</t>
        </r>
        <r>
          <rPr>
            <sz val="14"/>
            <color rgb="FF000000"/>
            <rFont val="Calibri"/>
            <family val="34"/>
          </rPr>
          <t>IR 20 (1806)</t>
        </r>
      </text>
    </comment>
    <comment ref="T872" authorId="0" shapeId="0" xr:uid="{168BAF80-886C-084C-9CFE-CB59ADF3A71D}">
      <text>
        <r>
          <rPr>
            <b/>
            <sz val="14"/>
            <color rgb="FF000000"/>
            <rFont val="Calibri"/>
            <family val="34"/>
          </rPr>
          <t xml:space="preserve">5.1.2 [161.07 cm (TL 1806)]
</t>
        </r>
        <r>
          <rPr>
            <sz val="14"/>
            <color rgb="FF000000"/>
            <rFont val="Calibri"/>
            <family val="34"/>
          </rPr>
          <t>5.3 [165.89 cm (AL 1805)]</t>
        </r>
      </text>
    </comment>
    <comment ref="BF872" authorId="0" shapeId="0" xr:uid="{346B4091-18BD-574E-943E-EDCE51553797}">
      <text>
        <r>
          <rPr>
            <sz val="14"/>
            <color rgb="FF000000"/>
            <rFont val="Times New Roman"/>
            <family val="18"/>
          </rPr>
          <t xml:space="preserve">02/08/1805 </t>
        </r>
        <r>
          <rPr>
            <i/>
            <sz val="14"/>
            <color rgb="FF000000"/>
            <rFont val="Times New Roman"/>
            <family val="18"/>
          </rPr>
          <t xml:space="preserve">A 3Fl Werbgeld mit Capitulation auf Zehn Jahr zum IR 17 assentiert und zum Haupt Dallaghi Komp. eingeheilt </t>
        </r>
        <r>
          <rPr>
            <sz val="14"/>
            <color rgb="FF000000"/>
            <rFont val="Times New Roman"/>
            <family val="18"/>
          </rPr>
          <t>[AL Aug 1805]</t>
        </r>
        <r>
          <rPr>
            <sz val="14"/>
            <color rgb="FF000000"/>
            <rFont val="Aptos"/>
            <family val="34"/>
          </rPr>
          <t xml:space="preserve">
</t>
        </r>
        <r>
          <rPr>
            <sz val="14"/>
            <color rgb="FF000000"/>
            <rFont val="Times New Roman"/>
            <family val="18"/>
          </rPr>
          <t xml:space="preserve">05/07/1806 </t>
        </r>
        <r>
          <rPr>
            <i/>
            <sz val="14"/>
            <color rgb="FF000000"/>
            <rFont val="Times New Roman"/>
            <family val="18"/>
          </rPr>
          <t>Von IR 17 12. Fus Komp. zum IR 18 transferiert</t>
        </r>
        <r>
          <rPr>
            <sz val="14"/>
            <color rgb="FF000000"/>
            <rFont val="Times New Roman"/>
            <family val="18"/>
          </rPr>
          <t xml:space="preserve"> [TL July 1806]</t>
        </r>
      </text>
    </comment>
    <comment ref="BG872" authorId="0" shapeId="0" xr:uid="{72DA8DF6-8444-BB44-8234-B12CCAE62198}">
      <text>
        <r>
          <rPr>
            <sz val="14"/>
            <color rgb="FF000000"/>
            <rFont val="Times New Roman"/>
            <family val="18"/>
          </rPr>
          <t>ML 1367 IR 17 (1805) AL/TL – AL Nr. 1 (Troppau 03/08/1805)</t>
        </r>
        <r>
          <rPr>
            <sz val="14"/>
            <color rgb="FF000000"/>
            <rFont val="Aptos"/>
            <family val="34"/>
          </rPr>
          <t xml:space="preserve">
</t>
        </r>
        <r>
          <rPr>
            <sz val="14"/>
            <color rgb="FF000000"/>
            <rFont val="Times New Roman"/>
            <family val="18"/>
          </rPr>
          <t>ML 1369 IR 17 (1806) AL/TL – TL IR 18-&gt;IR 17 Nr. 27 (Leitmeritz 24/07/1806)</t>
        </r>
        <r>
          <rPr>
            <sz val="14"/>
            <color rgb="FF000000"/>
            <rFont val="Aptos"/>
            <family val="34"/>
          </rPr>
          <t xml:space="preserve">
</t>
        </r>
      </text>
    </comment>
    <comment ref="BH872" authorId="0" shapeId="0" xr:uid="{40792716-A523-4749-83AB-F0E78669DBAD}">
      <text>
        <r>
          <rPr>
            <sz val="14"/>
            <color rgb="FF000000"/>
            <rFont val="Calibri"/>
            <family val="34"/>
          </rPr>
          <t xml:space="preserve">IR 17 (1805-1806)
</t>
        </r>
        <r>
          <rPr>
            <sz val="14"/>
            <color rgb="FF000000"/>
            <rFont val="Calibri"/>
            <family val="34"/>
          </rPr>
          <t>IR 18 (1806)</t>
        </r>
      </text>
    </comment>
    <comment ref="BF873" authorId="0" shapeId="0" xr:uid="{653B7B7A-E044-8547-ABC4-2C5F9297DF4C}">
      <text>
        <r>
          <rPr>
            <sz val="14"/>
            <color rgb="FF000000"/>
            <rFont val="Times New Roman"/>
            <family val="18"/>
          </rPr>
          <t xml:space="preserve">03/08/1805 </t>
        </r>
        <r>
          <rPr>
            <i/>
            <sz val="14"/>
            <color rgb="FF000000"/>
            <rFont val="Times New Roman"/>
            <family val="18"/>
          </rPr>
          <t>Als Landständischer Recrout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Von19. Zu5 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2. Fus. Komp. Nr. 139</t>
        </r>
        <r>
          <rPr>
            <sz val="14"/>
            <color rgb="FF000000"/>
            <rFont val="Calibri"/>
            <family val="34"/>
          </rPr>
          <t xml:space="preserve">
</t>
        </r>
        <r>
          <rPr>
            <sz val="14"/>
            <color rgb="FF000000"/>
            <rFont val="Times New Roman"/>
            <family val="18"/>
          </rPr>
          <t xml:space="preserve">25/01/1808 Superarbitriert: </t>
        </r>
        <r>
          <rPr>
            <i/>
            <sz val="14"/>
            <color rgb="FF000000"/>
            <rFont val="Times New Roman"/>
            <family val="18"/>
          </rPr>
          <t>Steifheit in die Kniegelenke, nach Assentierung auf Urlaub, danach drei Monaten in Regimentspital von IR 36 in Prag</t>
        </r>
        <r>
          <rPr>
            <sz val="14"/>
            <color rgb="FF000000"/>
            <rFont val="Calibri"/>
            <family val="34"/>
          </rPr>
          <t xml:space="preserve">
</t>
        </r>
        <r>
          <rPr>
            <sz val="14"/>
            <color rgb="FF000000"/>
            <rFont val="Times New Roman"/>
            <family val="18"/>
          </rPr>
          <t xml:space="preserve">10/02/1808 </t>
        </r>
        <r>
          <rPr>
            <i/>
            <sz val="14"/>
            <color rgb="FF000000"/>
            <rFont val="Times New Roman"/>
            <family val="18"/>
          </rPr>
          <t>Von IR 42 2. Fus. Komp. zur Prager Invaliden Haus zur Versorgung übersetzt</t>
        </r>
        <r>
          <rPr>
            <sz val="14"/>
            <color rgb="FF000000"/>
            <rFont val="Times New Roman"/>
            <family val="18"/>
          </rPr>
          <t xml:space="preserve"> [ML 1808]</t>
        </r>
        <r>
          <rPr>
            <sz val="14"/>
            <color rgb="FF000000"/>
            <rFont val="Calibri"/>
            <family val="34"/>
          </rPr>
          <t xml:space="preserve">
</t>
        </r>
      </text>
    </comment>
    <comment ref="BG873" authorId="0" shapeId="0" xr:uid="{1F9901E1-7838-1F42-A908-4C1EBACF73D0}">
      <text>
        <r>
          <rPr>
            <sz val="14"/>
            <color rgb="FF000000"/>
            <rFont val="Times New Roman"/>
            <family val="18"/>
          </rPr>
          <t>ML 3772 IR 42(1806) – 2. Fus. Komp. Nr. 139 &amp; Zuwachs (Theresienstadt 22/12/1806)</t>
        </r>
        <r>
          <rPr>
            <sz val="14"/>
            <color rgb="FF000000"/>
            <rFont val="Calibri"/>
            <family val="34"/>
          </rPr>
          <t xml:space="preserve">
</t>
        </r>
        <r>
          <rPr>
            <sz val="14"/>
            <color rgb="FF000000"/>
            <rFont val="Times New Roman"/>
            <family val="18"/>
          </rPr>
          <t>ML 3774 IR 42 (1808) – 2. Fus. Komp. – Abgang (Lobositz 16/09/1808)</t>
        </r>
        <r>
          <rPr>
            <sz val="14"/>
            <color rgb="FF000000"/>
            <rFont val="Calibri"/>
            <family val="34"/>
          </rPr>
          <t xml:space="preserve">
</t>
        </r>
        <r>
          <rPr>
            <sz val="14"/>
            <color rgb="FF000000"/>
            <rFont val="Times New Roman"/>
            <family val="18"/>
          </rPr>
          <t>ML 3833 IR 42 (1808) – SUP Nr. 1 (Lobositz 25/01/1808); TL IR 42-&gt; InvH Prag Nr.1  (Eger 22/02/1808)</t>
        </r>
        <r>
          <rPr>
            <sz val="14"/>
            <color rgb="FF000000"/>
            <rFont val="Calibri"/>
            <family val="34"/>
          </rPr>
          <t xml:space="preserve">
</t>
        </r>
      </text>
    </comment>
    <comment ref="BH873" authorId="0" shapeId="0" xr:uid="{926E1563-A050-5647-BBA2-D66371B189D0}">
      <text>
        <r>
          <rPr>
            <sz val="14"/>
            <color rgb="FF000000"/>
            <rFont val="Calibri"/>
            <family val="34"/>
          </rPr>
          <t xml:space="preserve">IR 42 (1805-1808)
</t>
        </r>
        <r>
          <rPr>
            <sz val="14"/>
            <color rgb="FF000000"/>
            <rFont val="Calibri"/>
            <family val="34"/>
          </rPr>
          <t>InvH Prag (1808)</t>
        </r>
      </text>
    </comment>
    <comment ref="BI873" authorId="0" shapeId="0" xr:uid="{23C9B178-F753-444C-8736-BD0DB1BC2489}">
      <text>
        <r>
          <rPr>
            <sz val="14"/>
            <color rgb="FF000000"/>
            <rFont val="Calibri"/>
            <family val="34"/>
          </rPr>
          <t>Gut [TL Feb 1808]</t>
        </r>
      </text>
    </comment>
    <comment ref="BJ873" authorId="0" shapeId="0" xr:uid="{3C1F129C-945C-2C44-BA43-8DD5277EA699}">
      <text>
        <r>
          <rPr>
            <i/>
            <sz val="14"/>
            <color rgb="FF000000"/>
            <rFont val="Times New Roman"/>
            <family val="18"/>
          </rPr>
          <t>Hat einen gänzliche Steifheit an beiden Kniegelenken und Lähmung an untere Gliedermassen vor eine gewaltige Quetschung in das Heil- und Steißbein</t>
        </r>
        <r>
          <rPr>
            <sz val="14"/>
            <color rgb="FF000000"/>
            <rFont val="Times New Roman"/>
            <family val="18"/>
          </rPr>
          <t xml:space="preserve"> [SUP Jan 1806]</t>
        </r>
        <r>
          <rPr>
            <sz val="14"/>
            <color rgb="FF000000"/>
            <rFont val="Calibri"/>
            <family val="2"/>
          </rPr>
          <t xml:space="preserve"> </t>
        </r>
      </text>
    </comment>
    <comment ref="BF874" authorId="0" shapeId="0" xr:uid="{1258BEFC-E923-8549-B915-B0A184335D69}">
      <text>
        <r>
          <rPr>
            <sz val="14"/>
            <color rgb="FF000000"/>
            <rFont val="Times New Roman"/>
            <family val="18"/>
          </rPr>
          <t xml:space="preserve">06/08/1805 </t>
        </r>
        <r>
          <rPr>
            <i/>
            <sz val="14"/>
            <color rgb="FF000000"/>
            <rFont val="Times New Roman"/>
            <family val="18"/>
          </rPr>
          <t xml:space="preserve">Dient Seit </t>
        </r>
        <r>
          <rPr>
            <sz val="14"/>
            <color rgb="FF000000"/>
            <rFont val="Times New Roman"/>
            <family val="18"/>
          </rPr>
          <t xml:space="preserve">[ML 1806]
</t>
        </r>
        <r>
          <rPr>
            <sz val="14"/>
            <color rgb="FF000000"/>
            <rFont val="Times New Roman"/>
            <family val="18"/>
          </rPr>
          <t xml:space="preserve">21/04/1806 </t>
        </r>
        <r>
          <rPr>
            <i/>
            <sz val="14"/>
            <color rgb="FF000000"/>
            <rFont val="Times New Roman"/>
            <family val="18"/>
          </rPr>
          <t>Von 5. Zum 14. Fus. Komp. transferiert</t>
        </r>
        <r>
          <rPr>
            <sz val="14"/>
            <color rgb="FF000000"/>
            <rFont val="Times New Roman"/>
            <family val="18"/>
          </rPr>
          <t xml:space="preserve"> [ML 1806]
</t>
        </r>
        <r>
          <rPr>
            <sz val="14"/>
            <color rgb="FF000000"/>
            <rFont val="Times New Roman"/>
            <family val="18"/>
          </rPr>
          <t>19/12/1806 Muster: IR 11 14. Fus. Komp. Nr. 104 [</t>
        </r>
        <r>
          <rPr>
            <i/>
            <sz val="14"/>
            <color rgb="FF000000"/>
            <rFont val="Times New Roman"/>
            <family val="18"/>
          </rPr>
          <t>Beurlaubt in Böhmen</t>
        </r>
        <r>
          <rPr>
            <sz val="14"/>
            <color rgb="FF000000"/>
            <rFont val="Times New Roman"/>
            <family val="18"/>
          </rPr>
          <t xml:space="preserve">]
</t>
        </r>
      </text>
    </comment>
    <comment ref="BG874" authorId="0" shapeId="0" xr:uid="{B5028521-E10B-AA4C-A345-65470BD8BD06}">
      <text>
        <r>
          <rPr>
            <sz val="14"/>
            <color rgb="FF000000"/>
            <rFont val="Times New Roman"/>
            <family val="18"/>
          </rPr>
          <t xml:space="preserve">ML 807/8 IR 11 (1806) – 14. Fus. Komp. Nr. 104 (Königgrätz 19/12/1806)
</t>
        </r>
      </text>
    </comment>
    <comment ref="BH874" authorId="0" shapeId="0" xr:uid="{45E2D623-B6B3-264F-9A16-6A8E97624AF0}">
      <text>
        <r>
          <rPr>
            <sz val="14"/>
            <color rgb="FF000000"/>
            <rFont val="Calibri"/>
            <family val="34"/>
          </rPr>
          <t>IR 59 (1805-1806)</t>
        </r>
      </text>
    </comment>
    <comment ref="BF875" authorId="0" shapeId="0" xr:uid="{A70B2A98-E2AA-BC4B-814C-146EC4339457}">
      <text>
        <r>
          <rPr>
            <sz val="14"/>
            <color rgb="FF000000"/>
            <rFont val="Times New Roman"/>
            <family val="18"/>
          </rPr>
          <t xml:space="preserve">06/08/1805 </t>
        </r>
        <r>
          <rPr>
            <i/>
            <sz val="14"/>
            <color rgb="FF000000"/>
            <rFont val="Times New Roman"/>
            <family val="18"/>
          </rPr>
          <t>Auf 6 Jahr zu Eger Als Reichrekrut auf 40 Fl Werbgeld gegen 12Fl Handgeld zum IR 44 assentiert und zur Haupt Gilleta Komp. eingeheilt</t>
        </r>
        <r>
          <rPr>
            <sz val="14"/>
            <color rgb="FF000000"/>
            <rFont val="Times New Roman"/>
            <family val="18"/>
          </rPr>
          <t xml:space="preserve"> [ML 1806]</t>
        </r>
        <r>
          <rPr>
            <sz val="14"/>
            <color rgb="FF000000"/>
            <rFont val="Calibri"/>
            <family val="34"/>
          </rPr>
          <t xml:space="preserve">
</t>
        </r>
        <r>
          <rPr>
            <sz val="14"/>
            <color rgb="FF000000"/>
            <rFont val="Times New Roman"/>
            <family val="18"/>
          </rPr>
          <t>19/09/1808 Muster: IR 44 Haupt Gilleta [Fus. 44] Nr. 74</t>
        </r>
        <r>
          <rPr>
            <sz val="14"/>
            <color rgb="FF000000"/>
            <rFont val="Calibri"/>
            <family val="34"/>
          </rPr>
          <t xml:space="preserve">
</t>
        </r>
        <r>
          <rPr>
            <sz val="14"/>
            <color rgb="FF000000"/>
            <rFont val="Times New Roman"/>
            <family val="18"/>
          </rPr>
          <t xml:space="preserve">15/02/1809 </t>
        </r>
        <r>
          <rPr>
            <i/>
            <sz val="14"/>
            <color rgb="FF000000"/>
            <rFont val="Times New Roman"/>
            <family val="18"/>
          </rPr>
          <t>Von Gemeiner zum Corporal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 xml:space="preserve">Krank in Aufname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05/07/1809 </t>
        </r>
        <r>
          <rPr>
            <i/>
            <sz val="14"/>
            <color rgb="FF000000"/>
            <rFont val="Times New Roman"/>
            <family val="18"/>
          </rPr>
          <t>Rekonvalesziert</t>
        </r>
        <r>
          <rPr>
            <sz val="14"/>
            <color rgb="FF000000"/>
            <rFont val="Times New Roman"/>
            <family val="18"/>
          </rPr>
          <t xml:space="preserve"> [ST Juli]</t>
        </r>
        <r>
          <rPr>
            <sz val="14"/>
            <color rgb="FF000000"/>
            <rFont val="Calibri"/>
            <family val="34"/>
          </rPr>
          <t xml:space="preserve">
</t>
        </r>
        <r>
          <rPr>
            <sz val="14"/>
            <color rgb="FF000000"/>
            <rFont val="Times New Roman"/>
            <family val="18"/>
          </rPr>
          <t xml:space="preserve">19/07/1809 </t>
        </r>
        <r>
          <rPr>
            <i/>
            <sz val="14"/>
            <color rgb="FF000000"/>
            <rFont val="Times New Roman"/>
            <family val="18"/>
          </rPr>
          <t xml:space="preserve">Von Corporal zum Feldwebel avanciert </t>
        </r>
        <r>
          <rPr>
            <sz val="14"/>
            <color rgb="FF000000"/>
            <rFont val="Times New Roman"/>
            <family val="18"/>
          </rPr>
          <t>[ST July 1809]</t>
        </r>
        <r>
          <rPr>
            <sz val="14"/>
            <color rgb="FF000000"/>
            <rFont val="Calibri"/>
            <family val="34"/>
          </rPr>
          <t xml:space="preserve">
</t>
        </r>
        <r>
          <rPr>
            <sz val="14"/>
            <color rgb="FF000000"/>
            <rFont val="Times New Roman"/>
            <family val="18"/>
          </rPr>
          <t>25/09/1810 Revision: IR 44 4. Fus. Komp. Nr. 15</t>
        </r>
        <r>
          <rPr>
            <sz val="14"/>
            <color rgb="FF000000"/>
            <rFont val="Calibri"/>
            <family val="34"/>
          </rPr>
          <t xml:space="preserve">
</t>
        </r>
        <r>
          <rPr>
            <sz val="14"/>
            <color rgb="FF000000"/>
            <rFont val="Times New Roman"/>
            <family val="18"/>
          </rPr>
          <t xml:space="preserve">25/07/1811 </t>
        </r>
        <r>
          <rPr>
            <i/>
            <sz val="14"/>
            <color rgb="FF000000"/>
            <rFont val="Times New Roman"/>
            <family val="18"/>
          </rPr>
          <t>Als ausgedienter Capitulant mit Abschied entlassen</t>
        </r>
        <r>
          <rPr>
            <sz val="14"/>
            <color rgb="FF000000"/>
            <rFont val="Times New Roman"/>
            <family val="18"/>
          </rPr>
          <t xml:space="preserve"> [ML 1811]</t>
        </r>
      </text>
    </comment>
    <comment ref="BG875" authorId="0" shapeId="0" xr:uid="{43A72A71-EE84-DE43-B7E9-EBCA51D3ABA5}">
      <text>
        <r>
          <rPr>
            <sz val="14"/>
            <color rgb="FF000000"/>
            <rFont val="Times New Roman"/>
            <family val="18"/>
          </rPr>
          <t>ML 3910 IR 44 (1806) – Haupt Gilleta Komp. Nr. 102 (Fiume 10/12/1806)</t>
        </r>
        <r>
          <rPr>
            <sz val="14"/>
            <color rgb="FF000000"/>
            <rFont val="Calibri"/>
            <family val="34"/>
          </rPr>
          <t xml:space="preserve">
</t>
        </r>
        <r>
          <rPr>
            <sz val="14"/>
            <color rgb="FF000000"/>
            <rFont val="Times New Roman"/>
            <family val="18"/>
          </rPr>
          <t>ML 3911 IR 44 (1808-10) – RL Haupt Gilleta [16. Fus.] Komp. Nr. 74 (Sambor 19/09/1808),  4. Fus. Komp. Nr. 15 (Sthulweissenburg 25/09/1810)</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3960 IR 44 (1809) – ST Feb (Ofen 31/10/1810), May (Ofen 08/04/1811), Juli (Ofen 08/04/1811)</t>
        </r>
        <r>
          <rPr>
            <sz val="14"/>
            <color rgb="FF000000"/>
            <rFont val="Calibri"/>
            <family val="34"/>
          </rPr>
          <t xml:space="preserve">
</t>
        </r>
      </text>
    </comment>
    <comment ref="BH875" authorId="0" shapeId="0" xr:uid="{05D5D308-F7DB-D840-88A4-895CBEA09C9B}">
      <text>
        <r>
          <rPr>
            <sz val="14"/>
            <color rgb="FF000000"/>
            <rFont val="Calibri"/>
            <family val="34"/>
          </rPr>
          <t>IR 44 (1805-1811)</t>
        </r>
      </text>
    </comment>
    <comment ref="BF876" authorId="0" shapeId="0" xr:uid="{855E53A5-148D-3242-A4C2-3E4BC6C7719F}">
      <text>
        <r>
          <rPr>
            <sz val="14"/>
            <color rgb="FF000000"/>
            <rFont val="Times New Roman"/>
            <family val="18"/>
          </rPr>
          <t xml:space="preserve">08/08/1805 </t>
        </r>
        <r>
          <rPr>
            <i/>
            <sz val="14"/>
            <color rgb="FF000000"/>
            <rFont val="Times New Roman"/>
            <family val="18"/>
          </rPr>
          <t xml:space="preserve">Von Dominien als landständischer Rekrut gestellt und zum IR 11 10. Fus. Komp. eingeteilt </t>
        </r>
        <r>
          <rPr>
            <sz val="14"/>
            <color rgb="FF000000"/>
            <rFont val="Times New Roman"/>
            <family val="18"/>
          </rPr>
          <t>[ML 1806]</t>
        </r>
        <r>
          <rPr>
            <sz val="14"/>
            <color rgb="FF000000"/>
            <rFont val="Times New Roman"/>
            <family val="18"/>
          </rPr>
          <t xml:space="preserve">
</t>
        </r>
        <r>
          <rPr>
            <sz val="14"/>
            <color rgb="FF000000"/>
            <rFont val="Times New Roman"/>
            <family val="18"/>
          </rPr>
          <t xml:space="preserve">26/11/1806 </t>
        </r>
        <r>
          <rPr>
            <i/>
            <sz val="14"/>
            <color rgb="FF000000"/>
            <rFont val="Times New Roman"/>
            <family val="18"/>
          </rPr>
          <t>Von 10. Zum 18. Fus.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19/02/1806 </t>
        </r>
        <r>
          <rPr>
            <i/>
            <sz val="14"/>
            <color rgb="FF000000"/>
            <rFont val="Times New Roman"/>
            <family val="18"/>
          </rPr>
          <t>In Prager Spital gestorben</t>
        </r>
        <r>
          <rPr>
            <sz val="14"/>
            <color rgb="FF000000"/>
            <rFont val="Times New Roman"/>
            <family val="18"/>
          </rPr>
          <t xml:space="preserve"> [ML 1806]</t>
        </r>
        <r>
          <rPr>
            <sz val="14"/>
            <color rgb="FF000000"/>
            <rFont val="Times New Roman"/>
            <family val="18"/>
          </rPr>
          <t xml:space="preserve">
</t>
        </r>
      </text>
    </comment>
    <comment ref="BG876" authorId="0" shapeId="0" xr:uid="{4EA40B79-2789-814F-B660-D9B859E5EBE5}">
      <text>
        <r>
          <rPr>
            <sz val="14"/>
            <color rgb="FF000000"/>
            <rFont val="Times New Roman"/>
            <family val="18"/>
          </rPr>
          <t>ML 807/8 IR 11 (1806) – 18. Fus. Komp. Abgang (Prague 23/12/1806)</t>
        </r>
        <r>
          <rPr>
            <sz val="14"/>
            <color rgb="FF000000"/>
            <rFont val="Times New Roman"/>
            <family val="18"/>
          </rPr>
          <t xml:space="preserve">
</t>
        </r>
      </text>
    </comment>
    <comment ref="BH876" authorId="0" shapeId="0" xr:uid="{BC1938BF-10ED-F24E-B4FA-AF7C7C6BDBD5}">
      <text>
        <r>
          <rPr>
            <sz val="14"/>
            <color rgb="FF000000"/>
            <rFont val="Calibri"/>
            <family val="34"/>
          </rPr>
          <t>IR 59 (1805-1806)</t>
        </r>
      </text>
    </comment>
    <comment ref="BF877" authorId="0" shapeId="0" xr:uid="{F6707090-04F5-8845-8C38-13E24B80F4C4}">
      <text>
        <r>
          <rPr>
            <sz val="14"/>
            <color rgb="FF000000"/>
            <rFont val="Times New Roman"/>
            <family val="18"/>
          </rPr>
          <t xml:space="preserve">08/08/1805 </t>
        </r>
        <r>
          <rPr>
            <i/>
            <sz val="14"/>
            <color rgb="FF000000"/>
            <rFont val="Times New Roman"/>
            <family val="18"/>
          </rPr>
          <t>Von Land gestellt a 3Fl und zu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27/02/1806 </t>
        </r>
        <r>
          <rPr>
            <i/>
            <sz val="14"/>
            <color rgb="FF000000"/>
            <rFont val="Times New Roman"/>
            <family val="18"/>
          </rPr>
          <t>Von Reserve Division zum 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 </t>
        </r>
      </text>
    </comment>
    <comment ref="BG877" authorId="0" shapeId="0" xr:uid="{06C7BF18-5991-C244-9E94-6963C44A265D}">
      <text>
        <r>
          <rPr>
            <sz val="14"/>
            <color rgb="FF000000"/>
            <rFont val="Times New Roman"/>
            <family val="18"/>
          </rPr>
          <t>ML 5017/8 IR 59 (1806) – 1. Fus. Komp. Abgang (Wells 06/07/1807); Dissolvierte Reserve Div. Zuwachs &amp; Abgang (Wells 06/07/1806)</t>
        </r>
        <r>
          <rPr>
            <sz val="14"/>
            <color rgb="FF000000"/>
            <rFont val="Calibri"/>
            <family val="34"/>
          </rPr>
          <t xml:space="preserve">
</t>
        </r>
        <r>
          <rPr>
            <sz val="14"/>
            <color rgb="FF000000"/>
            <rFont val="Times New Roman"/>
            <family val="18"/>
          </rPr>
          <t>ML 5067 IR 59 (1805) – AL. Nr. 2 (Siedlce 20/08/1805)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877" authorId="0" shapeId="0" xr:uid="{4EF0F906-DB81-064F-8BDE-B11C0CB1EFD0}">
      <text>
        <r>
          <rPr>
            <sz val="14"/>
            <color rgb="FF000000"/>
            <rFont val="Calibri"/>
            <family val="34"/>
          </rPr>
          <t>IR 59 (1805-1806)</t>
        </r>
      </text>
    </comment>
    <comment ref="BF878" authorId="0" shapeId="0" xr:uid="{CAC2F975-CD95-5D45-A989-0A2CBE3F0A22}">
      <text>
        <r>
          <rPr>
            <sz val="14"/>
            <color rgb="FF000000"/>
            <rFont val="Times New Roman"/>
            <family val="18"/>
          </rPr>
          <t xml:space="preserve">08/08/1805 </t>
        </r>
        <r>
          <rPr>
            <i/>
            <sz val="14"/>
            <color rgb="FF000000"/>
            <rFont val="Times New Roman"/>
            <family val="18"/>
          </rPr>
          <t>Von Land gestellt a 3Fl und zu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3.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2"/>
          </rPr>
          <t xml:space="preserve"> </t>
        </r>
      </text>
    </comment>
    <comment ref="BG878" authorId="0" shapeId="0" xr:uid="{3DCAA97C-89F6-C645-AB08-BE16181D0266}">
      <text>
        <r>
          <rPr>
            <sz val="14"/>
            <color rgb="FF000000"/>
            <rFont val="Times New Roman"/>
            <family val="18"/>
          </rPr>
          <t>ML 5017/8 IR 59 (1806) – 3. Fus. Komp. Abgang (Florian 27/12/1806), Dissolvierte Reserve Div. Zuwachs &amp; Abgang (Wells 06/07/1806)</t>
        </r>
        <r>
          <rPr>
            <sz val="14"/>
            <color rgb="FF000000"/>
            <rFont val="Calibri"/>
            <family val="34"/>
          </rPr>
          <t xml:space="preserve">
</t>
        </r>
        <r>
          <rPr>
            <sz val="14"/>
            <color rgb="FF000000"/>
            <rFont val="Times New Roman"/>
            <family val="18"/>
          </rPr>
          <t>ML 5067 IR 59 (1805) – AL. Nr. 1 (Siedlce 20/08/1805)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878" authorId="0" shapeId="0" xr:uid="{0E880B76-5457-2848-B775-9F19232CD379}">
      <text>
        <r>
          <rPr>
            <sz val="14"/>
            <color rgb="FF000000"/>
            <rFont val="Calibri"/>
            <family val="34"/>
          </rPr>
          <t>IR 59 (1805-1806)</t>
        </r>
      </text>
    </comment>
    <comment ref="BF879" authorId="0" shapeId="0" xr:uid="{DA61F5D6-B0D4-8E41-B1F0-C48EF3173A41}">
      <text>
        <r>
          <rPr>
            <sz val="14"/>
            <color rgb="FF000000"/>
            <rFont val="Times New Roman"/>
            <family val="18"/>
          </rPr>
          <t xml:space="preserve">09/08/1805 </t>
        </r>
        <r>
          <rPr>
            <i/>
            <sz val="14"/>
            <color rgb="FF000000"/>
            <rFont val="Times New Roman"/>
            <family val="18"/>
          </rPr>
          <t>Zu Siedlice a 3Fl mit 10 jähriger Capitulation von Dominien in Reserve Division gestellt</t>
        </r>
        <r>
          <rPr>
            <sz val="14"/>
            <color rgb="FF000000"/>
            <rFont val="Times New Roman"/>
            <family val="18"/>
          </rPr>
          <t xml:space="preserve"> [AL Aug 1805]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
</t>
        </r>
        <r>
          <rPr>
            <sz val="14"/>
            <color rgb="FF000000"/>
            <rFont val="Times New Roman"/>
            <family val="18"/>
          </rPr>
          <t>22/12/1806 Muster: IR 59 16. Fus. Komp. Nr. 178, [</t>
        </r>
        <r>
          <rPr>
            <i/>
            <sz val="14"/>
            <color rgb="FF000000"/>
            <rFont val="Times New Roman"/>
            <family val="18"/>
          </rPr>
          <t>In West Gallizien Baurlaubt in seinem Geburtsort bis zur Exercierzeit zu Kolluszin</t>
        </r>
        <r>
          <rPr>
            <sz val="14"/>
            <color rgb="FF000000"/>
            <rFont val="Times New Roman"/>
            <family val="18"/>
          </rPr>
          <t xml:space="preserve">]
</t>
        </r>
        <r>
          <rPr>
            <sz val="14"/>
            <color rgb="FF000000"/>
            <rFont val="Times New Roman"/>
            <family val="18"/>
          </rPr>
          <t xml:space="preserve">17/05/1807 </t>
        </r>
        <r>
          <rPr>
            <i/>
            <sz val="14"/>
            <color rgb="FF000000"/>
            <rFont val="Times New Roman"/>
            <family val="18"/>
          </rPr>
          <t>Von 16. Zum 2. Fus. Komp. transferiert</t>
        </r>
        <r>
          <rPr>
            <sz val="14"/>
            <color rgb="FF000000"/>
            <rFont val="Times New Roman"/>
            <family val="18"/>
          </rPr>
          <t xml:space="preserve"> [RL 1808]
</t>
        </r>
        <r>
          <rPr>
            <sz val="14"/>
            <color rgb="FF000000"/>
            <rFont val="Times New Roman"/>
            <family val="18"/>
          </rPr>
          <t xml:space="preserve">15/07/1808 </t>
        </r>
        <r>
          <rPr>
            <i/>
            <sz val="14"/>
            <color rgb="FF000000"/>
            <rFont val="Times New Roman"/>
            <family val="18"/>
          </rPr>
          <t>Von IR 59 2. Fus. Komp. zum neu errichtete ArtHandK transferiert</t>
        </r>
        <r>
          <rPr>
            <sz val="14"/>
            <color rgb="FF000000"/>
            <rFont val="Times New Roman"/>
            <family val="18"/>
          </rPr>
          <t xml:space="preserve"> [TL July 1808 &amp; RL 1808]</t>
        </r>
      </text>
    </comment>
    <comment ref="BG879" authorId="0" shapeId="0" xr:uid="{53079EE4-868A-AE4E-A5BF-5F1C7CEB99A1}">
      <text>
        <r>
          <rPr>
            <sz val="14"/>
            <color rgb="FF000000"/>
            <rFont val="Times New Roman"/>
            <family val="18"/>
          </rPr>
          <t xml:space="preserve">ML 5017/8 IR 59 (1806) – 16. Fus. Komp. Nr. 178 (Freistadt 22/12/1816)
</t>
        </r>
        <r>
          <rPr>
            <sz val="14"/>
            <color rgb="FF000000"/>
            <rFont val="Times New Roman"/>
            <family val="18"/>
          </rPr>
          <t xml:space="preserve">ML 5019 IR 59 (1808-10) – RL 2. Fus. Komp. Abgang (Enns 05/09/1808)
</t>
        </r>
        <r>
          <rPr>
            <sz val="14"/>
            <color rgb="FF000000"/>
            <rFont val="Times New Roman"/>
            <family val="18"/>
          </rPr>
          <t xml:space="preserve">ML 5067 IR 59 (1805) – AL. Nr. 32 (Siedlce 20/08/1805)
</t>
        </r>
        <r>
          <rPr>
            <sz val="14"/>
            <color rgb="FF000000"/>
            <rFont val="Times New Roman"/>
            <family val="18"/>
          </rPr>
          <t xml:space="preserve">ML 11.861 AtHandK (1808) – TL IR 59-&gt; ArtHandK Nr. 13 (Linz 30/07/1808)
</t>
        </r>
      </text>
    </comment>
    <comment ref="BH879" authorId="0" shapeId="0" xr:uid="{ECE2A8C9-189A-8540-80B0-074788CBE655}">
      <text>
        <r>
          <rPr>
            <sz val="14"/>
            <color rgb="FF000000"/>
            <rFont val="Calibri"/>
            <family val="34"/>
          </rPr>
          <t xml:space="preserve">IR 59 (1805-1808)
</t>
        </r>
        <r>
          <rPr>
            <sz val="14"/>
            <color rgb="FF000000"/>
            <rFont val="Calibri"/>
            <family val="34"/>
          </rPr>
          <t>ArtHandK (1808)</t>
        </r>
      </text>
    </comment>
    <comment ref="BF880" authorId="0" shapeId="0" xr:uid="{E32CDC98-5AB0-FD4F-A4F6-CB3768A5DF2B}">
      <text>
        <r>
          <rPr>
            <sz val="14"/>
            <color rgb="FF000000"/>
            <rFont val="Times New Roman"/>
            <family val="18"/>
          </rPr>
          <t xml:space="preserve">10/08/1805 </t>
        </r>
        <r>
          <rPr>
            <i/>
            <sz val="14"/>
            <color rgb="FF000000"/>
            <rFont val="Times New Roman"/>
            <family val="18"/>
          </rPr>
          <t>Von Land gestellt a 3Fl und zu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[ML 1806]</t>
        </r>
        <r>
          <rPr>
            <sz val="14"/>
            <color rgb="FF000000"/>
            <rFont val="Calibri"/>
            <family val="34"/>
          </rPr>
          <t xml:space="preserve">
</t>
        </r>
      </text>
    </comment>
    <comment ref="BG880" authorId="0" shapeId="0" xr:uid="{02322B0D-74DC-A14E-82B7-9B5C72C24F05}">
      <text>
        <r>
          <rPr>
            <sz val="14"/>
            <color rgb="FF000000"/>
            <rFont val="Times New Roman"/>
            <family val="18"/>
          </rPr>
          <t>ML 5017/8 IR 59 (1806) – Dissolvierte Reserve Div. Zuwachs &amp; Abgang (Wells 06/07/1807)</t>
        </r>
        <r>
          <rPr>
            <sz val="14"/>
            <color rgb="FF000000"/>
            <rFont val="Calibri"/>
            <family val="34"/>
          </rPr>
          <t xml:space="preserve">
</t>
        </r>
        <r>
          <rPr>
            <sz val="14"/>
            <color rgb="FF000000"/>
            <rFont val="Times New Roman"/>
            <family val="18"/>
          </rPr>
          <t>ML 5067 IR 59 (1805) – AL. Nr. 70 (Siedlce 20/08/1805)</t>
        </r>
        <r>
          <rPr>
            <sz val="14"/>
            <color rgb="FF000000"/>
            <rFont val="Calibri"/>
            <family val="34"/>
          </rPr>
          <t xml:space="preserve">
</t>
        </r>
      </text>
    </comment>
    <comment ref="BH880" authorId="0" shapeId="0" xr:uid="{3F55E479-A063-5B4F-B9D8-67642EB70BC6}">
      <text>
        <r>
          <rPr>
            <sz val="14"/>
            <color rgb="FF000000"/>
            <rFont val="Calibri"/>
            <family val="34"/>
          </rPr>
          <t>IR 59 (1805-1806)</t>
        </r>
      </text>
    </comment>
    <comment ref="BF881" authorId="0" shapeId="0" xr:uid="{D6DD30AA-CD77-2146-B197-CF909764B1CA}">
      <text>
        <r>
          <rPr>
            <sz val="14"/>
            <color rgb="FF000000"/>
            <rFont val="Times New Roman"/>
            <family val="18"/>
          </rPr>
          <t xml:space="preserve">11/08/1805 </t>
        </r>
        <r>
          <rPr>
            <i/>
            <sz val="14"/>
            <color rgb="FF000000"/>
            <rFont val="Times New Roman"/>
            <family val="18"/>
          </rPr>
          <t xml:space="preserve">Zu Prinz Victor Rohann </t>
        </r>
        <r>
          <rPr>
            <b/>
            <sz val="14"/>
            <color rgb="FF000000"/>
            <rFont val="Times New Roman"/>
            <family val="18"/>
          </rPr>
          <t>[IR 21]</t>
        </r>
        <r>
          <rPr>
            <sz val="14"/>
            <color rgb="FF000000"/>
            <rFont val="Times New Roman"/>
            <family val="18"/>
          </rPr>
          <t xml:space="preserve"> </t>
        </r>
        <r>
          <rPr>
            <i/>
            <sz val="14"/>
            <color rgb="FF000000"/>
            <rFont val="Times New Roman"/>
            <family val="18"/>
          </rPr>
          <t xml:space="preserve">als Land Stand. Gestellt </t>
        </r>
        <r>
          <rPr>
            <sz val="14"/>
            <color rgb="FF000000"/>
            <rFont val="Times New Roman"/>
            <family val="18"/>
          </rPr>
          <t xml:space="preserve">[TL Dec 1810]
</t>
        </r>
        <r>
          <rPr>
            <sz val="14"/>
            <color rgb="FF000000"/>
            <rFont val="Times New Roman"/>
            <family val="18"/>
          </rPr>
          <t xml:space="preserve">01/03/1809 </t>
        </r>
        <r>
          <rPr>
            <i/>
            <sz val="14"/>
            <color rgb="FF000000"/>
            <rFont val="Times New Roman"/>
            <family val="18"/>
          </rPr>
          <t>Von IR 21 zum ArtHandK transferiert</t>
        </r>
        <r>
          <rPr>
            <sz val="14"/>
            <color rgb="FF000000"/>
            <rFont val="Times New Roman"/>
            <family val="18"/>
          </rPr>
          <t xml:space="preserve"> [TL Dec 1810]
</t>
        </r>
        <r>
          <rPr>
            <sz val="14"/>
            <color rgb="FF000000"/>
            <rFont val="Times New Roman"/>
            <family val="18"/>
          </rPr>
          <t xml:space="preserve">25/02/1810 </t>
        </r>
        <r>
          <rPr>
            <i/>
            <sz val="14"/>
            <color rgb="FF000000"/>
            <rFont val="Times New Roman"/>
            <family val="18"/>
          </rPr>
          <t xml:space="preserve">Von ArtHandK 2. Battarie zurück zum IR 21 transferiert </t>
        </r>
        <r>
          <rPr>
            <sz val="14"/>
            <color rgb="FF000000"/>
            <rFont val="Times New Roman"/>
            <family val="18"/>
          </rPr>
          <t>[TL Dec 1810]</t>
        </r>
      </text>
    </comment>
    <comment ref="BG881" authorId="0" shapeId="0" xr:uid="{09599DDE-21C8-4645-817C-33809BC1749F}">
      <text>
        <r>
          <rPr>
            <sz val="14"/>
            <color rgb="FF000000"/>
            <rFont val="Times New Roman"/>
            <family val="18"/>
          </rPr>
          <t>ML 11.865 AtHandK (1810) AL/TL – TL ArtHandK-&gt;IR 21 Nr. 3 (Vienna 15/12/1810)</t>
        </r>
        <r>
          <rPr>
            <sz val="14"/>
            <color rgb="FF000000"/>
            <rFont val="Aptos"/>
            <family val="34"/>
          </rPr>
          <t xml:space="preserve">
</t>
        </r>
      </text>
    </comment>
    <comment ref="BH881" authorId="0" shapeId="0" xr:uid="{6E20DA0C-B8CF-BE42-B828-B2C4CDC89928}">
      <text>
        <r>
          <rPr>
            <sz val="14"/>
            <color rgb="FF000000"/>
            <rFont val="Calibri"/>
            <family val="34"/>
          </rPr>
          <t xml:space="preserve">IR 21 (1805-1808) ArtHandK (1808-1810)
</t>
        </r>
        <r>
          <rPr>
            <sz val="14"/>
            <color rgb="FF000000"/>
            <rFont val="Calibri"/>
            <family val="34"/>
          </rPr>
          <t>IR 21 (1810)</t>
        </r>
      </text>
    </comment>
    <comment ref="BF882" authorId="0" shapeId="0" xr:uid="{185F114B-DE09-3540-B15A-AABA4324FEF3}">
      <text>
        <r>
          <rPr>
            <sz val="14"/>
            <color rgb="FF000000"/>
            <rFont val="Times New Roman"/>
            <family val="18"/>
          </rPr>
          <t xml:space="preserve">11/08/1805 </t>
        </r>
        <r>
          <rPr>
            <i/>
            <sz val="14"/>
            <color rgb="FF000000"/>
            <rFont val="Times New Roman"/>
            <family val="18"/>
          </rPr>
          <t>Zu Siedlice a 3Fl mit 10 jähriger Capitulation von Domenien gestellt und in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882" authorId="0" shapeId="0" xr:uid="{8B61B909-CFD3-2647-9DAE-4D3F0CEA7A8B}">
      <text>
        <r>
          <rPr>
            <sz val="14"/>
            <color rgb="FF000000"/>
            <rFont val="Times New Roman"/>
            <family val="18"/>
          </rPr>
          <t>ML 5017/8 IR 59 (1806) –Reserve Division Zuwachs &amp; Abgang (Wells 06/07/1807) &amp; Cons. Unwissend verlohren‘ Nr. 413 (Linz 10/07/1807)</t>
        </r>
        <r>
          <rPr>
            <sz val="14"/>
            <color rgb="FF000000"/>
            <rFont val="Calibri"/>
            <family val="34"/>
          </rPr>
          <t xml:space="preserve">
</t>
        </r>
        <r>
          <rPr>
            <sz val="14"/>
            <color rgb="FF000000"/>
            <rFont val="Times New Roman"/>
            <family val="18"/>
          </rPr>
          <t>ML 5067 IR 59 (1805) – AL. Nr. 124 (Siedlce 20/08/1805)</t>
        </r>
        <r>
          <rPr>
            <sz val="14"/>
            <color rgb="FF000000"/>
            <rFont val="Calibri"/>
            <family val="34"/>
          </rPr>
          <t xml:space="preserve">
</t>
        </r>
      </text>
    </comment>
    <comment ref="BH882" authorId="0" shapeId="0" xr:uid="{D79A70CD-C37C-644F-BF90-0AB4D365E452}">
      <text>
        <r>
          <rPr>
            <sz val="14"/>
            <color rgb="FF000000"/>
            <rFont val="Calibri"/>
            <family val="34"/>
          </rPr>
          <t>IR 59 (1805-1806)</t>
        </r>
      </text>
    </comment>
    <comment ref="BF883" authorId="0" shapeId="0" xr:uid="{F6AA5881-5132-344A-B58D-DFA391874ABD}">
      <text>
        <r>
          <rPr>
            <sz val="14"/>
            <color rgb="FF000000"/>
            <rFont val="Times New Roman"/>
            <family val="18"/>
          </rPr>
          <t xml:space="preserve">11/08/1805 </t>
        </r>
        <r>
          <rPr>
            <i/>
            <sz val="14"/>
            <color rgb="FF000000"/>
            <rFont val="Times New Roman"/>
            <family val="18"/>
          </rPr>
          <t>Zu Siedlice a 3Fl mit 10 jähriger Capitulation von Domenien gestellt und zum IR 59 Reserve Division gestellt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31/08/1806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883" authorId="0" shapeId="0" xr:uid="{B79A13A0-0F0A-EA4B-853D-7D07F5EFA2AA}">
      <text>
        <r>
          <rPr>
            <sz val="14"/>
            <color rgb="FF000000"/>
            <rFont val="Times New Roman"/>
            <family val="18"/>
          </rPr>
          <t>ML 5017/8 IR 59  (1806) – Reserve Division‘ Zuwachs &amp; Abgang (Wells 06/07/1807) &amp; Cons. Unwissend verlohren Nr. 429 (Linz 10/07/1807)</t>
        </r>
        <r>
          <rPr>
            <sz val="14"/>
            <color rgb="FF000000"/>
            <rFont val="Calibri"/>
            <family val="34"/>
          </rPr>
          <t xml:space="preserve">
</t>
        </r>
        <r>
          <rPr>
            <sz val="14"/>
            <color rgb="FF000000"/>
            <rFont val="Times New Roman"/>
            <family val="18"/>
          </rPr>
          <t>ML 5067 IR 59 (1805) – AL. Nr. 106 (Siedlce 20/08/1805)</t>
        </r>
        <r>
          <rPr>
            <sz val="14"/>
            <color rgb="FF000000"/>
            <rFont val="Calibri"/>
            <family val="34"/>
          </rPr>
          <t xml:space="preserve">
</t>
        </r>
      </text>
    </comment>
    <comment ref="BH883" authorId="0" shapeId="0" xr:uid="{A78B3D5E-57F6-6B4B-9CFD-ED1E3800B7CA}">
      <text>
        <r>
          <rPr>
            <sz val="14"/>
            <color rgb="FF000000"/>
            <rFont val="Calibri"/>
            <family val="34"/>
          </rPr>
          <t>IR 59 (1805-1806)</t>
        </r>
      </text>
    </comment>
    <comment ref="BF884" authorId="0" shapeId="0" xr:uid="{9587285D-E604-4446-B271-4D5457188DA7}">
      <text>
        <r>
          <rPr>
            <sz val="14"/>
            <color rgb="FF000000"/>
            <rFont val="Times New Roman"/>
            <family val="18"/>
          </rPr>
          <t xml:space="preserve">11/08/1805 </t>
        </r>
        <r>
          <rPr>
            <i/>
            <sz val="14"/>
            <color rgb="FF000000"/>
            <rFont val="Times New Roman"/>
            <family val="18"/>
          </rPr>
          <t>Von Ständen gegen 3 Fl Handgeld mit 10 jährigen Capitulation zum IR 4 gestellt und zum 1. Haupt Legrain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16/03/1806 </t>
        </r>
        <r>
          <rPr>
            <i/>
            <sz val="14"/>
            <color rgb="FF000000"/>
            <rFont val="Times New Roman"/>
            <family val="18"/>
          </rPr>
          <t>Von dissolvierte 17. zum 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10/11/1806 Als Angehöriger von Galler Komp. wegen Leibschaden superarbietriert: </t>
        </r>
        <r>
          <rPr>
            <i/>
            <sz val="14"/>
            <color rgb="FF000000"/>
            <rFont val="Times New Roman"/>
            <family val="18"/>
          </rPr>
          <t>mit Laufpaß zu entlassen</t>
        </r>
        <r>
          <rPr>
            <sz val="14"/>
            <color rgb="FF000000"/>
            <rFont val="Times New Roman"/>
            <family val="18"/>
          </rPr>
          <t xml:space="preserve"> </t>
        </r>
        <r>
          <rPr>
            <sz val="14"/>
            <color rgb="FF000000"/>
            <rFont val="Calibri"/>
            <family val="34"/>
          </rPr>
          <t xml:space="preserve">
</t>
        </r>
        <r>
          <rPr>
            <sz val="14"/>
            <color rgb="FF000000"/>
            <rFont val="Times New Roman"/>
            <family val="18"/>
          </rPr>
          <t>17/12/1806 Muster: IR 1 Haupt Galler Komp. Nr. 94 [</t>
        </r>
        <r>
          <rPr>
            <i/>
            <sz val="14"/>
            <color rgb="FF000000"/>
            <rFont val="Times New Roman"/>
            <family val="18"/>
          </rPr>
          <t>Auf der Marsche in Gallizien</t>
        </r>
        <r>
          <rPr>
            <sz val="14"/>
            <color rgb="FF000000"/>
            <rFont val="Times New Roman"/>
            <family val="18"/>
          </rPr>
          <t>]</t>
        </r>
        <r>
          <rPr>
            <sz val="14"/>
            <color rgb="FF000000"/>
            <rFont val="Calibri"/>
            <family val="34"/>
          </rPr>
          <t xml:space="preserve">
</t>
        </r>
        <r>
          <rPr>
            <sz val="14"/>
            <color rgb="FF000000"/>
            <rFont val="Times New Roman"/>
            <family val="18"/>
          </rPr>
          <t xml:space="preserve">31/12/1806 </t>
        </r>
        <r>
          <rPr>
            <i/>
            <sz val="14"/>
            <color rgb="FF000000"/>
            <rFont val="Times New Roman"/>
            <family val="18"/>
          </rPr>
          <t>In Folge Gehaltene Verordnung und Superarbietrierung als untauglich mit Laufpass entlassen</t>
        </r>
        <r>
          <rPr>
            <sz val="14"/>
            <color rgb="FF000000"/>
            <rFont val="Times New Roman"/>
            <family val="18"/>
          </rPr>
          <t xml:space="preserve"> [ST Dec 1806]</t>
        </r>
        <r>
          <rPr>
            <sz val="14"/>
            <color rgb="FF000000"/>
            <rFont val="Calibri"/>
            <family val="34"/>
          </rPr>
          <t xml:space="preserve">
</t>
        </r>
      </text>
    </comment>
    <comment ref="BG884" authorId="0" shapeId="0" xr:uid="{224103B2-4315-F143-88E4-620EC254F878}">
      <text>
        <r>
          <rPr>
            <sz val="14"/>
            <color rgb="FF000000"/>
            <rFont val="Times New Roman"/>
            <family val="18"/>
          </rPr>
          <t>ML 31/2 IR 1 (1806) – Haupt Galler Komp. Nr. 94 (Proßnitz 17/12/1806)</t>
        </r>
        <r>
          <rPr>
            <sz val="14"/>
            <color rgb="FF000000"/>
            <rFont val="Calibri"/>
            <family val="34"/>
          </rPr>
          <t xml:space="preserve">
</t>
        </r>
        <r>
          <rPr>
            <sz val="14"/>
            <color rgb="FF000000"/>
            <rFont val="Times New Roman"/>
            <family val="18"/>
          </rPr>
          <t>ML 84 IR 1 (1805) – AL Nr. 115 (Brzezan 23/08/1805); SUP Nr. 36 (Brünn 10/11/1806)</t>
        </r>
        <r>
          <rPr>
            <sz val="14"/>
            <color rgb="FF000000"/>
            <rFont val="Calibri"/>
            <family val="34"/>
          </rPr>
          <t xml:space="preserve">
</t>
        </r>
        <r>
          <rPr>
            <sz val="14"/>
            <color rgb="FF000000"/>
            <rFont val="Times New Roman"/>
            <family val="18"/>
          </rPr>
          <t>ML 85 IR 1 (1806) – ST Dec (Brünn 16/07/1807)</t>
        </r>
        <r>
          <rPr>
            <sz val="14"/>
            <color rgb="FF000000"/>
            <rFont val="Calibri"/>
            <family val="34"/>
          </rPr>
          <t xml:space="preserve">
</t>
        </r>
      </text>
    </comment>
    <comment ref="BH884" authorId="0" shapeId="0" xr:uid="{680EF710-8066-7D42-8CA1-1A25555FEBC3}">
      <text>
        <r>
          <rPr>
            <sz val="14"/>
            <color rgb="FF000000"/>
            <rFont val="Calibri"/>
            <family val="34"/>
          </rPr>
          <t>IR 1 (1805-1806)</t>
        </r>
      </text>
    </comment>
    <comment ref="BI884" authorId="0" shapeId="0" xr:uid="{C6C923CD-B004-534E-B050-90ECCA9DBAD7}">
      <text>
        <r>
          <rPr>
            <i/>
            <sz val="14"/>
            <color rgb="FF000000"/>
            <rFont val="Times New Roman"/>
            <family val="18"/>
          </rPr>
          <t>Gute</t>
        </r>
        <r>
          <rPr>
            <sz val="14"/>
            <color rgb="FF000000"/>
            <rFont val="Times New Roman"/>
            <family val="18"/>
          </rPr>
          <t xml:space="preserve"> [SUP Nov 1806]</t>
        </r>
        <r>
          <rPr>
            <sz val="14"/>
            <color rgb="FF000000"/>
            <rFont val="Calibri"/>
            <family val="2"/>
            <scheme val="minor"/>
          </rPr>
          <t xml:space="preserve"> </t>
        </r>
      </text>
    </comment>
    <comment ref="BJ884" authorId="0" shapeId="0" xr:uid="{0BB85FA7-B6B9-BD48-A7BD-7FA90CB92FF1}">
      <text>
        <r>
          <rPr>
            <i/>
            <sz val="14"/>
            <color rgb="FF000000"/>
            <rFont val="Times New Roman"/>
            <family val="18"/>
          </rPr>
          <t>Leibschaden</t>
        </r>
        <r>
          <rPr>
            <sz val="14"/>
            <color rgb="FF000000"/>
            <rFont val="Times New Roman"/>
            <family val="18"/>
          </rPr>
          <t xml:space="preserve"> (</t>
        </r>
        <r>
          <rPr>
            <i/>
            <sz val="14"/>
            <color rgb="FF000000"/>
            <rFont val="Times New Roman"/>
            <family val="18"/>
          </rPr>
          <t>Augenschwache und rechten Leistenbruch; Bei Austerlitz bekommen</t>
        </r>
        <r>
          <rPr>
            <sz val="14"/>
            <color rgb="FF000000"/>
            <rFont val="Times New Roman"/>
            <family val="18"/>
          </rPr>
          <t>) [SUP Nov 1806]</t>
        </r>
      </text>
    </comment>
    <comment ref="I885" authorId="0" shapeId="0" xr:uid="{1FD1B718-AFB4-0C41-861E-4C6391A1E48A}">
      <text>
        <r>
          <rPr>
            <b/>
            <sz val="14"/>
            <color rgb="FF000000"/>
            <rFont val="Calibri"/>
            <family val="34"/>
          </rPr>
          <t xml:space="preserve">1787 [18 (1805)]
</t>
        </r>
        <r>
          <rPr>
            <sz val="14"/>
            <color rgb="FF000000"/>
            <rFont val="Calibri"/>
            <family val="34"/>
          </rPr>
          <t xml:space="preserve">OR
</t>
        </r>
        <r>
          <rPr>
            <sz val="14"/>
            <color rgb="FF000000"/>
            <rFont val="Calibri"/>
            <family val="34"/>
          </rPr>
          <t xml:space="preserve">1789 [20 (1809)]
</t>
        </r>
      </text>
    </comment>
    <comment ref="T885" authorId="0" shapeId="0" xr:uid="{670AD819-411E-5F41-8491-E1E264497401}">
      <text>
        <r>
          <rPr>
            <b/>
            <sz val="14"/>
            <color rgb="FF000000"/>
            <rFont val="Calibri"/>
            <family val="34"/>
          </rPr>
          <t xml:space="preserve">5.1.3 [161.29 (1809)]
</t>
        </r>
        <r>
          <rPr>
            <sz val="14"/>
            <color rgb="FF000000"/>
            <rFont val="Calibri"/>
            <family val="34"/>
          </rPr>
          <t>5.2.2 [163.7 (1805)]</t>
        </r>
      </text>
    </comment>
    <comment ref="BF885" authorId="0" shapeId="0" xr:uid="{C7919518-9115-7A41-ABFC-DD687C04691D}">
      <text>
        <r>
          <rPr>
            <sz val="14"/>
            <color rgb="FF000000"/>
            <rFont val="Times New Roman"/>
            <family val="18"/>
          </rPr>
          <t xml:space="preserve">12/08/1805 </t>
        </r>
        <r>
          <rPr>
            <i/>
            <sz val="14"/>
            <color rgb="FF000000"/>
            <rFont val="Times New Roman"/>
            <family val="18"/>
          </rPr>
          <t>Von Ständen a 3 Fl Handgeld mit 10 jährigen Capitulation zum IR 4 gestellt und zum Nagle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17/12/1806 Muster: IR 1 Haupt Drasenovich Nr. 180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??/11/1806 </t>
        </r>
        <r>
          <rPr>
            <i/>
            <sz val="14"/>
            <color rgb="FF000000"/>
            <rFont val="Times New Roman"/>
            <family val="18"/>
          </rPr>
          <t>Von Urlaub desertiert</t>
        </r>
        <r>
          <rPr>
            <sz val="14"/>
            <color rgb="FF000000"/>
            <rFont val="Times New Roman"/>
            <family val="18"/>
          </rPr>
          <t xml:space="preserve"> [ST Nov 1807 &amp; TL Dec 1809]</t>
        </r>
        <r>
          <rPr>
            <sz val="14"/>
            <color rgb="FF000000"/>
            <rFont val="Calibri"/>
            <family val="34"/>
          </rPr>
          <t xml:space="preserve">
</t>
        </r>
        <r>
          <rPr>
            <sz val="14"/>
            <color rgb="FF000000"/>
            <rFont val="Times New Roman"/>
            <family val="18"/>
          </rPr>
          <t xml:space="preserve">20/11/1807 </t>
        </r>
        <r>
          <rPr>
            <i/>
            <sz val="14"/>
            <color rgb="FF000000"/>
            <rFont val="Times New Roman"/>
            <family val="18"/>
          </rPr>
          <t>Als von Land a 24 Fl Taglia attrappierter Deserteur zu Brünn präsentiert und seitdem in Arrest in Regiments Stockhaus wegen Desertion</t>
        </r>
        <r>
          <rPr>
            <sz val="14"/>
            <color rgb="FF000000"/>
            <rFont val="Times New Roman"/>
            <family val="18"/>
          </rPr>
          <t xml:space="preserve"> [ST Nov 1807]</t>
        </r>
        <r>
          <rPr>
            <sz val="14"/>
            <color rgb="FF000000"/>
            <rFont val="Calibri"/>
            <family val="34"/>
          </rPr>
          <t xml:space="preserve">
</t>
        </r>
        <r>
          <rPr>
            <sz val="14"/>
            <color rgb="FFFF0000"/>
            <rFont val="Times New Roman"/>
            <family val="18"/>
          </rPr>
          <t xml:space="preserve">20/11/1807 </t>
        </r>
        <r>
          <rPr>
            <i/>
            <sz val="14"/>
            <color rgb="FFFF0000"/>
            <rFont val="Times New Roman"/>
            <family val="18"/>
          </rPr>
          <t>Von Laudonischen Regiment [transferiert]</t>
        </r>
        <r>
          <rPr>
            <sz val="14"/>
            <color rgb="FFFF0000"/>
            <rFont val="Times New Roman"/>
            <family val="18"/>
          </rPr>
          <t xml:space="preserve"> [TL Dec 1809]</t>
        </r>
        <r>
          <rPr>
            <sz val="14"/>
            <color rgb="FF000000"/>
            <rFont val="Calibri"/>
            <family val="34"/>
          </rPr>
          <t xml:space="preserve">
</t>
        </r>
        <r>
          <rPr>
            <sz val="14"/>
            <color rgb="FF000000"/>
            <rFont val="Times New Roman"/>
            <family val="18"/>
          </rPr>
          <t xml:space="preserve">09/12/1807 </t>
        </r>
        <r>
          <rPr>
            <i/>
            <sz val="14"/>
            <color rgb="FF000000"/>
            <rFont val="Times New Roman"/>
            <family val="18"/>
          </rPr>
          <t xml:space="preserve">Befreit und zum Staab zugeteilt </t>
        </r>
        <r>
          <rPr>
            <sz val="14"/>
            <color rgb="FF000000"/>
            <rFont val="Times New Roman"/>
            <family val="18"/>
          </rPr>
          <t xml:space="preserve">&amp; </t>
        </r>
        <r>
          <rPr>
            <i/>
            <sz val="14"/>
            <color rgb="FF000000"/>
            <rFont val="Times New Roman"/>
            <family val="18"/>
          </rPr>
          <t>Hat Vermog Hofkriegsratlichen Sentetz 5 Jahr Uber die bestimmte Capitulation Zeit zu Dienen</t>
        </r>
        <r>
          <rPr>
            <sz val="14"/>
            <color rgb="FF000000"/>
            <rFont val="Times New Roman"/>
            <family val="18"/>
          </rPr>
          <t xml:space="preserve"> [ST Dec 1807]</t>
        </r>
        <r>
          <rPr>
            <sz val="14"/>
            <color rgb="FF000000"/>
            <rFont val="Calibri"/>
            <family val="34"/>
          </rPr>
          <t xml:space="preserve">
</t>
        </r>
        <r>
          <rPr>
            <sz val="14"/>
            <color rgb="FF000000"/>
            <rFont val="Times New Roman"/>
            <family val="18"/>
          </rPr>
          <t xml:space="preserve">16/12/1808 </t>
        </r>
        <r>
          <rPr>
            <i/>
            <sz val="14"/>
            <color rgb="FF000000"/>
            <rFont val="Times New Roman"/>
            <family val="18"/>
          </rPr>
          <t>Krank im Spital zu Rzeszów</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31/12/1808 </t>
        </r>
        <r>
          <rPr>
            <i/>
            <sz val="14"/>
            <color rgb="FF000000"/>
            <rFont val="Times New Roman"/>
            <family val="18"/>
          </rPr>
          <t>Rekonvalesziert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2. Depot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IR 1 ‚Kaiser‘ Depot Division zum Galizischen Freibataillon Nr. 2 transferiert und zum 4. Kompanie eingeteilt</t>
        </r>
        <r>
          <rPr>
            <sz val="14"/>
            <color rgb="FF000000"/>
            <rFont val="Times New Roman"/>
            <family val="18"/>
          </rPr>
          <t xml:space="preserve"> [TL Dec 1809 &amp; ST April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 xml:space="preserve">Von dissolvierte Galizischen Freibataillon Nr. 2 3. Kompanie zum IR 1 Zurück transferiert und zum 2. Fus Komp zugeteilt und seitdem auf dem Marsch von Leutomischl aus Böhmen </t>
        </r>
        <r>
          <rPr>
            <sz val="14"/>
            <color rgb="FF000000"/>
            <rFont val="Times New Roman"/>
            <family val="18"/>
          </rPr>
          <t>[TL 1810 &amp; ST Jan 1810]</t>
        </r>
        <r>
          <rPr>
            <sz val="14"/>
            <color rgb="FF000000"/>
            <rFont val="Calibri"/>
            <family val="34"/>
          </rPr>
          <t xml:space="preserve">
</t>
        </r>
        <r>
          <rPr>
            <sz val="14"/>
            <color rgb="FF000000"/>
            <rFont val="Times New Roman"/>
            <family val="18"/>
          </rPr>
          <t xml:space="preserve">25/08/1810 </t>
        </r>
        <r>
          <rPr>
            <i/>
            <sz val="14"/>
            <color rgb="FF000000"/>
            <rFont val="Times New Roman"/>
            <family val="18"/>
          </rPr>
          <t xml:space="preserve">Zu folge hoher General Commando Verordnung ddt. Brunn den 19. July 810 von deren existenz unbewusst als auf Marsch verblieben als unwissend verloren in Abgang gebracht </t>
        </r>
        <r>
          <rPr>
            <sz val="14"/>
            <color rgb="FF000000"/>
            <rFont val="Times New Roman"/>
            <family val="18"/>
          </rPr>
          <t xml:space="preserve">[ST Aug 1810] </t>
        </r>
      </text>
    </comment>
    <comment ref="BG885" authorId="0" shapeId="0" xr:uid="{23F635D4-8B02-BE4A-92BB-42562AF3E099}">
      <text>
        <r>
          <rPr>
            <sz val="14"/>
            <color rgb="FF000000"/>
            <rFont val="Times New Roman"/>
            <family val="18"/>
          </rPr>
          <t>ML 31/2 IR 1 (1806) – 14. Fus Komp. Nr. 180 (Prosnitz 17/12/1806)</t>
        </r>
        <r>
          <rPr>
            <sz val="14"/>
            <color rgb="FF000000"/>
            <rFont val="Calibri"/>
            <family val="34"/>
          </rPr>
          <t xml:space="preserve">
</t>
        </r>
        <r>
          <rPr>
            <sz val="14"/>
            <color rgb="FF000000"/>
            <rFont val="Times New Roman"/>
            <family val="18"/>
          </rPr>
          <t>ML 87 IR 1 (1807) – ST Nov (Brünn 11/01/1808), Dec (Brünn 10/02/1808)</t>
        </r>
        <r>
          <rPr>
            <sz val="14"/>
            <color rgb="FF000000"/>
            <rFont val="Calibri"/>
            <family val="34"/>
          </rPr>
          <t xml:space="preserve">
</t>
        </r>
        <r>
          <rPr>
            <sz val="14"/>
            <color rgb="FF000000"/>
            <rFont val="Times New Roman"/>
            <family val="18"/>
          </rPr>
          <t>ML 89 IR 1 (1808) – ST Dec (Olmütz 10/04/1809)</t>
        </r>
        <r>
          <rPr>
            <sz val="14"/>
            <color rgb="FF000000"/>
            <rFont val="Calibri"/>
            <family val="34"/>
          </rPr>
          <t xml:space="preserve">
</t>
        </r>
        <r>
          <rPr>
            <sz val="14"/>
            <color rgb="FF000000"/>
            <rFont val="Times New Roman"/>
            <family val="18"/>
          </rPr>
          <t>ML 91 IR 1 (1809) – ST Jan (Olmütz 17/04/1809), Feb (Olmütz 20/07/1809), April (Proßnitz 26/07/1810)</t>
        </r>
        <r>
          <rPr>
            <sz val="14"/>
            <color rgb="FF000000"/>
            <rFont val="Calibri"/>
            <family val="34"/>
          </rPr>
          <t xml:space="preserve">
</t>
        </r>
        <r>
          <rPr>
            <sz val="14"/>
            <color rgb="FF000000"/>
            <rFont val="Times New Roman"/>
            <family val="18"/>
          </rPr>
          <t xml:space="preserve">ML 92 IR 1 (1809) AL/TL – TL IR 1-&gt;FB WGal 2 (Leutomischl 20/01/1810) </t>
        </r>
        <r>
          <rPr>
            <sz val="14"/>
            <color rgb="FF000000"/>
            <rFont val="Calibri"/>
            <family val="34"/>
          </rPr>
          <t xml:space="preserve">
</t>
        </r>
        <r>
          <rPr>
            <sz val="14"/>
            <color rgb="FF000000"/>
            <rFont val="Times New Roman"/>
            <family val="18"/>
          </rPr>
          <t>ML 94 IR 1 (1810) – ST Feb (Proßnitz 15/02/1811), Aug (Brünn 08/04/1811)</t>
        </r>
        <r>
          <rPr>
            <sz val="14"/>
            <color rgb="FF000000"/>
            <rFont val="Calibri"/>
            <family val="34"/>
          </rPr>
          <t xml:space="preserve">
</t>
        </r>
        <r>
          <rPr>
            <sz val="14"/>
            <color rgb="FF000000"/>
            <rFont val="Times New Roman"/>
            <family val="18"/>
          </rPr>
          <t xml:space="preserve">ML 95 IR 1 (1810) AL/TL –FB WGal 2-&gt;IR 1 Nr.  (Proßnitz 01/12/1809) </t>
        </r>
        <r>
          <rPr>
            <sz val="14"/>
            <color rgb="FF000000"/>
            <rFont val="Calibri"/>
            <family val="34"/>
          </rPr>
          <t xml:space="preserve">
</t>
        </r>
        <r>
          <rPr>
            <sz val="14"/>
            <color rgb="FF000000"/>
            <rFont val="Times New Roman"/>
            <family val="18"/>
          </rPr>
          <t xml:space="preserve">ML 10.831 WGal FB 2 (1809-10) – TL IR 1-&gt; WGal FB 2 Nr. 4 (Prossnitz 01/12/1809) &amp; TL WGal FB 2-&gt; IR 1 Nr. 4 </t>
        </r>
        <r>
          <rPr>
            <sz val="14"/>
            <color rgb="FF000000"/>
            <rFont val="Times New Roman"/>
            <family val="18"/>
          </rPr>
          <t xml:space="preserve">(Leitmoschil 20/01/1810), </t>
        </r>
        <r>
          <rPr>
            <sz val="14"/>
            <color rgb="FF000000"/>
            <rFont val="Times New Roman"/>
            <family val="18"/>
          </rPr>
          <t xml:space="preserve">ST April (Politzka 13/07/1810), </t>
        </r>
        <r>
          <rPr>
            <sz val="14"/>
            <color rgb="FF000000"/>
            <rFont val="Times New Roman"/>
            <family val="18"/>
          </rPr>
          <t>ST 1810 Jan (Tichnowitz 03/03/1811)</t>
        </r>
        <r>
          <rPr>
            <sz val="14"/>
            <color rgb="FF000000"/>
            <rFont val="Calibri"/>
            <family val="34"/>
          </rPr>
          <t xml:space="preserve">
</t>
        </r>
      </text>
    </comment>
    <comment ref="BH885" authorId="0" shapeId="0" xr:uid="{7805A4BE-7802-3949-9975-9332181F13EF}">
      <text>
        <r>
          <rPr>
            <sz val="14"/>
            <color rgb="FF000000"/>
            <rFont val="Calibri"/>
            <family val="34"/>
          </rPr>
          <t xml:space="preserve">IR 1 (1805-9)
</t>
        </r>
        <r>
          <rPr>
            <sz val="14"/>
            <color rgb="FF000000"/>
            <rFont val="Calibri"/>
            <family val="34"/>
          </rPr>
          <t xml:space="preserve">WGal FB 2 (1809-10)
</t>
        </r>
        <r>
          <rPr>
            <sz val="14"/>
            <color rgb="FF000000"/>
            <rFont val="Calibri"/>
            <family val="34"/>
          </rPr>
          <t>IR 1 (1810)</t>
        </r>
      </text>
    </comment>
    <comment ref="I886" authorId="0" shapeId="0" xr:uid="{75F6A1B6-43CC-B242-9F82-A117275498D0}">
      <text>
        <r>
          <rPr>
            <sz val="14"/>
            <color rgb="FF000000"/>
            <rFont val="Calibri"/>
            <family val="34"/>
          </rPr>
          <t xml:space="preserve">1781 [30 (1811)]
</t>
        </r>
        <r>
          <rPr>
            <sz val="14"/>
            <color rgb="FF000000"/>
            <rFont val="Calibri"/>
            <family val="34"/>
          </rPr>
          <t xml:space="preserve">OR
</t>
        </r>
        <r>
          <rPr>
            <b/>
            <sz val="14"/>
            <color rgb="FF000000"/>
            <rFont val="Calibri"/>
            <family val="34"/>
          </rPr>
          <t>1784 [21 (1805)]</t>
        </r>
        <r>
          <rPr>
            <sz val="14"/>
            <color rgb="FF000000"/>
            <rFont val="Calibri"/>
            <family val="34"/>
          </rPr>
          <t xml:space="preserve">
</t>
        </r>
      </text>
    </comment>
    <comment ref="K886" authorId="0" shapeId="0" xr:uid="{CBA8C8DF-7348-594D-88F5-80ED79092430}">
      <text>
        <r>
          <rPr>
            <sz val="14"/>
            <color rgb="FF000000"/>
            <rFont val="Calibri"/>
            <family val="34"/>
          </rPr>
          <t xml:space="preserve">Ohne (1805-1806)
</t>
        </r>
        <r>
          <rPr>
            <sz val="14"/>
            <color rgb="FF000000"/>
            <rFont val="Calibri"/>
            <family val="34"/>
          </rPr>
          <t>Zimmermann  (1811)</t>
        </r>
      </text>
    </comment>
    <comment ref="T886" authorId="0" shapeId="0" xr:uid="{90FCF4E0-4409-EE45-9B35-E0CBDC3B123E}">
      <text>
        <r>
          <rPr>
            <sz val="14"/>
            <color rgb="FF000000"/>
            <rFont val="Calibri"/>
            <family val="34"/>
          </rPr>
          <t xml:space="preserve">5.2 [163.26 cm (1811)]
</t>
        </r>
        <r>
          <rPr>
            <b/>
            <sz val="14"/>
            <color rgb="FF000000"/>
            <rFont val="Calibri"/>
            <family val="34"/>
          </rPr>
          <t>5.2.3 [163.92 (1805)]</t>
        </r>
      </text>
    </comment>
    <comment ref="BF886" authorId="0" shapeId="0" xr:uid="{68CB156A-53E9-BC48-89FB-B60805CE073D}">
      <text>
        <r>
          <rPr>
            <sz val="14"/>
            <color rgb="FF000000"/>
            <rFont val="Times New Roman"/>
            <family val="18"/>
          </rPr>
          <t xml:space="preserve">12/08/1805 </t>
        </r>
        <r>
          <rPr>
            <i/>
            <sz val="14"/>
            <color rgb="FF000000"/>
            <rFont val="Times New Roman"/>
            <family val="18"/>
          </rPr>
          <t>Von Ständen gegen 3 Fl Handgeld mit 10 jährigen Capitulation zum IR 4 gestellt und zum Reserve Bataillon Haupt Remetty 2.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11/09/1806 </t>
        </r>
        <r>
          <rPr>
            <i/>
            <sz val="14"/>
            <color rgb="FF000000"/>
            <rFont val="Times New Roman"/>
            <family val="18"/>
          </rPr>
          <t>Von Galler Companie anherro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18. zum 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17/12/1806 Muster: IR 1 Haupt Fitzke Komp. Nr. 44</t>
        </r>
        <r>
          <rPr>
            <sz val="14"/>
            <color rgb="FF000000"/>
            <rFont val="Calibri"/>
            <family val="34"/>
          </rPr>
          <t xml:space="preserve">
</t>
        </r>
        <r>
          <rPr>
            <sz val="14"/>
            <color rgb="FF000000"/>
            <rFont val="Times New Roman"/>
            <family val="18"/>
          </rPr>
          <t xml:space="preserve">09/01/1807 </t>
        </r>
        <r>
          <rPr>
            <i/>
            <sz val="14"/>
            <color rgb="FF000000"/>
            <rFont val="Times New Roman"/>
            <family val="18"/>
          </rPr>
          <t>Beim Staab zugeteilt</t>
        </r>
        <r>
          <rPr>
            <sz val="14"/>
            <color rgb="FF000000"/>
            <rFont val="Times New Roman"/>
            <family val="18"/>
          </rPr>
          <t xml:space="preserve"> [ST Jan 1807]</t>
        </r>
        <r>
          <rPr>
            <sz val="14"/>
            <color rgb="FF000000"/>
            <rFont val="Calibri"/>
            <family val="34"/>
          </rPr>
          <t xml:space="preserve">
</t>
        </r>
        <r>
          <rPr>
            <sz val="14"/>
            <color rgb="FF000000"/>
            <rFont val="Times New Roman"/>
            <family val="18"/>
          </rPr>
          <t xml:space="preserve">11/01/1807 </t>
        </r>
        <r>
          <rPr>
            <i/>
            <sz val="14"/>
            <color rgb="FF000000"/>
            <rFont val="Times New Roman"/>
            <family val="18"/>
          </rPr>
          <t>Auf Marsch zur Sappeur Corps</t>
        </r>
        <r>
          <rPr>
            <sz val="14"/>
            <color rgb="FF000000"/>
            <rFont val="Times New Roman"/>
            <family val="18"/>
          </rPr>
          <t xml:space="preserve"> [ST Jan 1807]</t>
        </r>
        <r>
          <rPr>
            <sz val="14"/>
            <color rgb="FF000000"/>
            <rFont val="Calibri"/>
            <family val="34"/>
          </rPr>
          <t xml:space="preserve">
</t>
        </r>
        <r>
          <rPr>
            <sz val="14"/>
            <color rgb="FF000000"/>
            <rFont val="Times New Roman"/>
            <family val="18"/>
          </rPr>
          <t>29/01/1807</t>
        </r>
        <r>
          <rPr>
            <i/>
            <sz val="14"/>
            <color rgb="FF000000"/>
            <rFont val="Times New Roman"/>
            <family val="18"/>
          </rPr>
          <t xml:space="preserve"> Beim Staab zugeteilt</t>
        </r>
        <r>
          <rPr>
            <sz val="14"/>
            <color rgb="FF000000"/>
            <rFont val="Times New Roman"/>
            <family val="18"/>
          </rPr>
          <t xml:space="preserve"> [ST Jan 1807]</t>
        </r>
        <r>
          <rPr>
            <sz val="14"/>
            <color rgb="FF000000"/>
            <rFont val="Calibri"/>
            <family val="34"/>
          </rPr>
          <t xml:space="preserve">
</t>
        </r>
        <r>
          <rPr>
            <sz val="14"/>
            <color rgb="FF000000"/>
            <rFont val="Times New Roman"/>
            <family val="18"/>
          </rPr>
          <t xml:space="preserve">09/02/1807 </t>
        </r>
        <r>
          <rPr>
            <i/>
            <sz val="14"/>
            <color rgb="FF000000"/>
            <rFont val="Times New Roman"/>
            <family val="18"/>
          </rPr>
          <t>Krank in Garnisonsspital zu Kloster Hradisch</t>
        </r>
        <r>
          <rPr>
            <sz val="14"/>
            <color rgb="FF000000"/>
            <rFont val="Times New Roman"/>
            <family val="18"/>
          </rPr>
          <t xml:space="preserve"> [ST Feb 1807]</t>
        </r>
        <r>
          <rPr>
            <sz val="14"/>
            <color rgb="FF000000"/>
            <rFont val="Calibri"/>
            <family val="34"/>
          </rPr>
          <t xml:space="preserve">
</t>
        </r>
        <r>
          <rPr>
            <sz val="14"/>
            <color rgb="FF000000"/>
            <rFont val="Times New Roman"/>
            <family val="18"/>
          </rPr>
          <t xml:space="preserve">30/03/1807 </t>
        </r>
        <r>
          <rPr>
            <i/>
            <sz val="14"/>
            <color rgb="FF000000"/>
            <rFont val="Times New Roman"/>
            <family val="18"/>
          </rPr>
          <t>Rekonvalesziert</t>
        </r>
        <r>
          <rPr>
            <sz val="14"/>
            <color rgb="FF000000"/>
            <rFont val="Times New Roman"/>
            <family val="18"/>
          </rPr>
          <t xml:space="preserve"> [ST April 1807]</t>
        </r>
        <r>
          <rPr>
            <sz val="14"/>
            <color rgb="FF000000"/>
            <rFont val="Calibri"/>
            <family val="34"/>
          </rPr>
          <t xml:space="preserve">
</t>
        </r>
        <r>
          <rPr>
            <sz val="14"/>
            <color rgb="FF000000"/>
            <rFont val="Times New Roman"/>
            <family val="18"/>
          </rPr>
          <t xml:space="preserve">09/09/1808 </t>
        </r>
        <r>
          <rPr>
            <i/>
            <sz val="14"/>
            <color rgb="FF000000"/>
            <rFont val="Times New Roman"/>
            <family val="18"/>
          </rPr>
          <t>Krank in Garnisonsspital zu Kloster Hradisch</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26/09/1808 </t>
        </r>
        <r>
          <rPr>
            <i/>
            <sz val="14"/>
            <color rgb="FF000000"/>
            <rFont val="Times New Roman"/>
            <family val="18"/>
          </rPr>
          <t>Rekonvalesziert</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11/12/1808 </t>
        </r>
        <r>
          <rPr>
            <i/>
            <sz val="14"/>
            <color rgb="FF000000"/>
            <rFont val="Times New Roman"/>
            <family val="18"/>
          </rPr>
          <t>Auf Anhero Marsch</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25/12/1808 </t>
        </r>
        <r>
          <rPr>
            <i/>
            <sz val="14"/>
            <color rgb="FF000000"/>
            <rFont val="Times New Roman"/>
            <family val="18"/>
          </rPr>
          <t>In Kompanie eingerückt und wegen Diebstahl in Arrest</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11/01/1809 </t>
        </r>
        <r>
          <rPr>
            <i/>
            <sz val="14"/>
            <color rgb="FF000000"/>
            <rFont val="Times New Roman"/>
            <family val="18"/>
          </rPr>
          <t>Von Arrest befreit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Zimmermann mutiert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05/05/1809 </t>
        </r>
        <r>
          <rPr>
            <i/>
            <sz val="14"/>
            <color rgb="FF000000"/>
            <rFont val="Times New Roman"/>
            <family val="18"/>
          </rPr>
          <t xml:space="preserve">Zu Innsbruck präsentiert und seitdem auf Anhero Marsch </t>
        </r>
        <r>
          <rPr>
            <sz val="14"/>
            <color rgb="FF000000"/>
            <rFont val="Times New Roman"/>
            <family val="18"/>
          </rPr>
          <t>[ST July 1809]</t>
        </r>
        <r>
          <rPr>
            <sz val="14"/>
            <color rgb="FF000000"/>
            <rFont val="Calibri"/>
            <family val="34"/>
          </rPr>
          <t xml:space="preserve">
</t>
        </r>
        <r>
          <rPr>
            <sz val="14"/>
            <color rgb="FF000000"/>
            <rFont val="Times New Roman"/>
            <family val="18"/>
          </rPr>
          <t>19/08/1809</t>
        </r>
        <r>
          <rPr>
            <i/>
            <sz val="14"/>
            <color rgb="FF000000"/>
            <rFont val="Times New Roman"/>
            <family val="18"/>
          </rPr>
          <t xml:space="preserve"> In Regiment eingekommen und seitdem beim 2. Grenadier Komp. zugeteilt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Zimmermann zum Gemeinen mutiert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7. Zum neu errichtete 13. Fus. Komp transferiert und zum Zimmermann mutiert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21/01/1810 </t>
        </r>
        <r>
          <rPr>
            <i/>
            <sz val="14"/>
            <color rgb="FF000000"/>
            <rFont val="Times New Roman"/>
            <family val="18"/>
          </rPr>
          <t>Krank in Armée Spital</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16/02/1810 </t>
        </r>
        <r>
          <rPr>
            <i/>
            <sz val="14"/>
            <color rgb="FF000000"/>
            <rFont val="Times New Roman"/>
            <family val="18"/>
          </rPr>
          <t>Rekonvalesziert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21/04/1810 </t>
        </r>
        <r>
          <rPr>
            <i/>
            <sz val="14"/>
            <color rgb="FF000000"/>
            <rFont val="Times New Roman"/>
            <family val="18"/>
          </rPr>
          <t>Beurlaubt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01/05/1810 </t>
        </r>
        <r>
          <rPr>
            <i/>
            <sz val="14"/>
            <color rgb="FF000000"/>
            <rFont val="Times New Roman"/>
            <family val="18"/>
          </rPr>
          <t>Von Urlaub zurückgekehrt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In Arrest wegen Diebstahl Verdacht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 xml:space="preserve">01/10/1810 </t>
        </r>
        <r>
          <rPr>
            <i/>
            <sz val="14"/>
            <color rgb="FF000000"/>
            <rFont val="Times New Roman"/>
            <family val="18"/>
          </rPr>
          <t>Bleibt in Arrest als zugeteilte beim 4. Fus. Komp.</t>
        </r>
        <r>
          <rPr>
            <sz val="14"/>
            <color rgb="FF000000"/>
            <rFont val="Times New Roman"/>
            <family val="18"/>
          </rPr>
          <t xml:space="preserve"> [ST Oct 1810]</t>
        </r>
        <r>
          <rPr>
            <sz val="14"/>
            <color rgb="FF000000"/>
            <rFont val="Calibri"/>
            <family val="34"/>
          </rPr>
          <t xml:space="preserve">
</t>
        </r>
        <r>
          <rPr>
            <sz val="14"/>
            <color rgb="FF000000"/>
            <rFont val="Times New Roman"/>
            <family val="18"/>
          </rPr>
          <t xml:space="preserve">01/12/1810 </t>
        </r>
        <r>
          <rPr>
            <i/>
            <sz val="14"/>
            <color rgb="FF000000"/>
            <rFont val="Times New Roman"/>
            <family val="18"/>
          </rPr>
          <t>Von 13. Zum 5. Fus. Komp. transferiert und zur Gemeiner mutiert, bleibt in Arrest</t>
        </r>
        <r>
          <rPr>
            <sz val="14"/>
            <color rgb="FF000000"/>
            <rFont val="Times New Roman"/>
            <family val="18"/>
          </rPr>
          <t xml:space="preserve"> [ML 1811 &amp; ST Dec 1810]</t>
        </r>
        <r>
          <rPr>
            <sz val="14"/>
            <color rgb="FF000000"/>
            <rFont val="Calibri"/>
            <family val="34"/>
          </rPr>
          <t xml:space="preserve">
</t>
        </r>
        <r>
          <rPr>
            <sz val="14"/>
            <color rgb="FF000000"/>
            <rFont val="Times New Roman"/>
            <family val="18"/>
          </rPr>
          <t xml:space="preserve">07/12/1810 </t>
        </r>
        <r>
          <rPr>
            <i/>
            <sz val="14"/>
            <color rgb="FF000000"/>
            <rFont val="Times New Roman"/>
            <family val="18"/>
          </rPr>
          <t>Von Arrest befreit</t>
        </r>
        <r>
          <rPr>
            <sz val="14"/>
            <color rgb="FF000000"/>
            <rFont val="Times New Roman"/>
            <family val="18"/>
          </rPr>
          <t xml:space="preserve"> [ST Dec 1810]</t>
        </r>
        <r>
          <rPr>
            <sz val="14"/>
            <color rgb="FF000000"/>
            <rFont val="Calibri"/>
            <family val="34"/>
          </rPr>
          <t xml:space="preserve">
</t>
        </r>
        <r>
          <rPr>
            <sz val="14"/>
            <color rgb="FF000000"/>
            <rFont val="Times New Roman"/>
            <family val="18"/>
          </rPr>
          <t xml:space="preserve">11/02/1811 </t>
        </r>
        <r>
          <rPr>
            <i/>
            <sz val="14"/>
            <color rgb="FF000000"/>
            <rFont val="Times New Roman"/>
            <family val="18"/>
          </rPr>
          <t>Beurlaubt auf bestimmte Zeit</t>
        </r>
        <r>
          <rPr>
            <sz val="14"/>
            <color rgb="FF000000"/>
            <rFont val="Times New Roman"/>
            <family val="18"/>
          </rPr>
          <t xml:space="preserve"> [ST Feb 1811]</t>
        </r>
        <r>
          <rPr>
            <sz val="14"/>
            <color rgb="FF000000"/>
            <rFont val="Calibri"/>
            <family val="34"/>
          </rPr>
          <t xml:space="preserve">
</t>
        </r>
        <r>
          <rPr>
            <sz val="14"/>
            <color rgb="FF000000"/>
            <rFont val="Times New Roman"/>
            <family val="18"/>
          </rPr>
          <t>13/09/1811 Muster: IR 1 5. Fus. Komp. Nr. 238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31/10/1812 </t>
        </r>
        <r>
          <rPr>
            <i/>
            <sz val="14"/>
            <color rgb="FF000000"/>
            <rFont val="Times New Roman"/>
            <family val="18"/>
          </rPr>
          <t>Mit unbewusste datum von Urlaub aus Galizien von Urlaub desertiert</t>
        </r>
        <r>
          <rPr>
            <sz val="14"/>
            <color rgb="FF000000"/>
            <rFont val="Times New Roman"/>
            <family val="18"/>
          </rPr>
          <t xml:space="preserve"> [ST Oct 1812]</t>
        </r>
      </text>
    </comment>
    <comment ref="BG886" authorId="0" shapeId="0" xr:uid="{705840E4-C180-B94E-A03A-7359685329A4}">
      <text>
        <r>
          <rPr>
            <sz val="14"/>
            <color rgb="FF000000"/>
            <rFont val="Times New Roman"/>
            <family val="18"/>
          </rPr>
          <t>ML 31/2 IR 1 (1806) – Haupt Fitzke Komp. Nr. 150 (Proßnitz 17/12/1806)</t>
        </r>
        <r>
          <rPr>
            <sz val="14"/>
            <color rgb="FF000000"/>
            <rFont val="Calibri"/>
            <family val="34"/>
          </rPr>
          <t xml:space="preserve">
</t>
        </r>
        <r>
          <rPr>
            <sz val="14"/>
            <color rgb="FF000000"/>
            <rFont val="Times New Roman"/>
            <family val="18"/>
          </rPr>
          <t>ML 33 IR 1 (1811) – 5. Fus. Komp. Nr. 238 (Olmütz 13/09/1811)</t>
        </r>
        <r>
          <rPr>
            <sz val="14"/>
            <color rgb="FF000000"/>
            <rFont val="Calibri"/>
            <family val="34"/>
          </rPr>
          <t xml:space="preserve">
</t>
        </r>
        <r>
          <rPr>
            <sz val="14"/>
            <color rgb="FF000000"/>
            <rFont val="Times New Roman"/>
            <family val="18"/>
          </rPr>
          <t>ML 84 IR 1 (1805) – AL Nr. 148 (Brzezan 23/08/1805)</t>
        </r>
        <r>
          <rPr>
            <sz val="14"/>
            <color rgb="FF000000"/>
            <rFont val="Calibri"/>
            <family val="34"/>
          </rPr>
          <t xml:space="preserve">
</t>
        </r>
        <r>
          <rPr>
            <sz val="14"/>
            <color rgb="FF000000"/>
            <rFont val="Times New Roman"/>
            <family val="18"/>
          </rPr>
          <t>ML 87 IR 1 (1807) – ST Jan (Brünn 19/07/1807), Feb (Brünn 23/07/1807), April (Brünn 28/07/1807)</t>
        </r>
        <r>
          <rPr>
            <sz val="14"/>
            <color rgb="FF000000"/>
            <rFont val="Calibri"/>
            <family val="34"/>
          </rPr>
          <t xml:space="preserve">
</t>
        </r>
        <r>
          <rPr>
            <sz val="14"/>
            <color rgb="FF000000"/>
            <rFont val="Times New Roman"/>
            <family val="18"/>
          </rPr>
          <t>ML 89 IR 1 (1808) – ST Sept (18/02/1809), Dec (Olmütz 10/04/1809)</t>
        </r>
        <r>
          <rPr>
            <sz val="14"/>
            <color rgb="FF000000"/>
            <rFont val="Calibri"/>
            <family val="34"/>
          </rPr>
          <t xml:space="preserve">
</t>
        </r>
        <r>
          <rPr>
            <sz val="14"/>
            <color rgb="FF000000"/>
            <rFont val="Times New Roman"/>
            <family val="18"/>
          </rPr>
          <t>ML 91 IR 1 (1809) – ST Jan (Olmütz 17/04/1809), Feb (Olmütz 20/07/1809), April (Proßnitz 26/07/1810), July (Proßnitz 21/10/1810), August (Proßnitz 21/10/1810), Sept (Proßnitz 23/11/1810), Dec (Proßnitz 15/01/1811)</t>
        </r>
        <r>
          <rPr>
            <sz val="14"/>
            <color rgb="FF000000"/>
            <rFont val="Calibri"/>
            <family val="34"/>
          </rPr>
          <t xml:space="preserve">
</t>
        </r>
        <r>
          <rPr>
            <sz val="14"/>
            <color rgb="FF000000"/>
            <rFont val="Times New Roman"/>
            <family val="18"/>
          </rPr>
          <t>ML 94 IR 1 (1810) – ST Jan (10/01/1811), ST Feb (Proßnitz 15/02/1811), April (Brünn 10/03/1811), May (Brünn 03/1811), Sept (Brünn 17/04/1811), Dec (12/05/1811)</t>
        </r>
        <r>
          <rPr>
            <sz val="14"/>
            <color rgb="FF000000"/>
            <rFont val="Calibri"/>
            <family val="34"/>
          </rPr>
          <t xml:space="preserve">
</t>
        </r>
        <r>
          <rPr>
            <sz val="14"/>
            <color rgb="FF000000"/>
            <rFont val="Times New Roman"/>
            <family val="18"/>
          </rPr>
          <t>ML 96 IR 1 (1811) – ST Feb (Proßnitz 24/05/1811)</t>
        </r>
        <r>
          <rPr>
            <sz val="14"/>
            <color rgb="FF000000"/>
            <rFont val="Calibri"/>
            <family val="34"/>
          </rPr>
          <t xml:space="preserve">
</t>
        </r>
        <r>
          <rPr>
            <sz val="14"/>
            <color rgb="FF000000"/>
            <rFont val="Times New Roman"/>
            <family val="18"/>
          </rPr>
          <t>ML 97 IR 1 (1812) – ST Oct (Proßnitz 23/02/1813)</t>
        </r>
        <r>
          <rPr>
            <sz val="14"/>
            <color rgb="FF000000"/>
            <rFont val="Calibri"/>
            <family val="34"/>
          </rPr>
          <t xml:space="preserve">
</t>
        </r>
      </text>
    </comment>
    <comment ref="BH886" authorId="0" shapeId="0" xr:uid="{57B85A25-E2DD-BD4D-BE60-DC1ABF3521EF}">
      <text>
        <r>
          <rPr>
            <sz val="14"/>
            <color rgb="FF000000"/>
            <rFont val="Calibri"/>
            <family val="34"/>
          </rPr>
          <t>IR 1 (1805-1812)</t>
        </r>
      </text>
    </comment>
    <comment ref="BF887" authorId="0" shapeId="0" xr:uid="{D74C4F54-A129-1342-A69D-F99B434616FA}">
      <text>
        <r>
          <rPr>
            <sz val="14"/>
            <color rgb="FF000000"/>
            <rFont val="Times New Roman"/>
            <family val="18"/>
          </rPr>
          <t xml:space="preserve">12/08/1805 </t>
        </r>
        <r>
          <rPr>
            <i/>
            <sz val="14"/>
            <color rgb="FF000000"/>
            <rFont val="Times New Roman"/>
            <family val="18"/>
          </rPr>
          <t>Zum Zaleszczyk in Galizien als Werbbzeirk Recrout a 3Fl Handgeld in 19. Fus Comp.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01/12/1805 </t>
        </r>
        <r>
          <rPr>
            <i/>
            <sz val="14"/>
            <color rgb="FF000000"/>
            <rFont val="Times New Roman"/>
            <family val="18"/>
          </rPr>
          <t>Von der 19. zur 11.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11. Fus. Komp. Nr. 61 [</t>
        </r>
        <r>
          <rPr>
            <i/>
            <sz val="14"/>
            <color rgb="FF000000"/>
            <rFont val="Times New Roman"/>
            <family val="18"/>
          </rPr>
          <t>Krank zu Regiments Spital in Hradisch</t>
        </r>
        <r>
          <rPr>
            <sz val="14"/>
            <color rgb="FF000000"/>
            <rFont val="Times New Roman"/>
            <family val="18"/>
          </rPr>
          <t>]</t>
        </r>
        <r>
          <rPr>
            <sz val="14"/>
            <color rgb="FF000000"/>
            <rFont val="Calibri"/>
            <family val="34"/>
          </rPr>
          <t xml:space="preserve">
</t>
        </r>
      </text>
    </comment>
    <comment ref="BG887" authorId="0" shapeId="0" xr:uid="{F1125B69-8E11-1146-8C96-A42831045F33}">
      <text>
        <r>
          <rPr>
            <sz val="14"/>
            <color rgb="FF000000"/>
            <rFont val="Times New Roman"/>
            <family val="18"/>
          </rPr>
          <t>ML 1623-5 IR 20 (1806) – 11. Fus. Komp. Nr. 61 (Olmütz 15/12/1806)</t>
        </r>
        <r>
          <rPr>
            <sz val="14"/>
            <color rgb="FF000000"/>
            <rFont val="Calibri"/>
            <family val="34"/>
          </rPr>
          <t xml:space="preserve">
</t>
        </r>
        <r>
          <rPr>
            <sz val="14"/>
            <color rgb="FF000000"/>
            <rFont val="Times New Roman"/>
            <family val="18"/>
          </rPr>
          <t>ML 1659 IR 20 (1805) AL/TL – AL Nr. 8 (Zaleszczyk 20/08/1805)</t>
        </r>
        <r>
          <rPr>
            <sz val="14"/>
            <color rgb="FF000000"/>
            <rFont val="Calibri"/>
            <family val="34"/>
          </rPr>
          <t xml:space="preserve">
</t>
        </r>
      </text>
    </comment>
    <comment ref="BH887" authorId="0" shapeId="0" xr:uid="{517B4848-6EB4-3345-B0E9-F472332C8AB2}">
      <text>
        <r>
          <rPr>
            <sz val="14"/>
            <color rgb="FF000000"/>
            <rFont val="Calibri"/>
            <family val="34"/>
          </rPr>
          <t xml:space="preserve">IR 20 (1805-1806)
</t>
        </r>
      </text>
    </comment>
    <comment ref="BF888" authorId="0" shapeId="0" xr:uid="{5CF42CBD-69F3-8F43-9AA4-DD8753FF01B4}">
      <text>
        <r>
          <rPr>
            <sz val="14"/>
            <color rgb="FF000000"/>
            <rFont val="Times New Roman"/>
            <family val="18"/>
          </rPr>
          <t xml:space="preserve">13/08/1805 </t>
        </r>
        <r>
          <rPr>
            <i/>
            <sz val="14"/>
            <color rgb="FF000000"/>
            <rFont val="Times New Roman"/>
            <family val="18"/>
          </rPr>
          <t>Von Ständen gegen 3 Fl Handgeld mit 10 jährigen Capitulation zum IR 4 gestellt und zum Reserve Bataillon Haupt Gutwill 3.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22/01/1806 </t>
        </r>
        <r>
          <rPr>
            <i/>
            <sz val="14"/>
            <color rgb="FF000000"/>
            <rFont val="Times New Roman"/>
            <family val="18"/>
          </rPr>
          <t>Während Anmarsch von Galizien gestorben</t>
        </r>
        <r>
          <rPr>
            <sz val="14"/>
            <color rgb="FF000000"/>
            <rFont val="Times New Roman"/>
            <family val="18"/>
          </rPr>
          <t xml:space="preserve"> [ST Jan 1806]</t>
        </r>
        <r>
          <rPr>
            <sz val="14"/>
            <color rgb="FF000000"/>
            <rFont val="Calibri"/>
            <family val="34"/>
          </rPr>
          <t xml:space="preserve">
</t>
        </r>
      </text>
    </comment>
    <comment ref="BG888" authorId="0" shapeId="0" xr:uid="{C8EA5C63-7463-2F4B-BD9A-14436EDDEBDC}">
      <text>
        <r>
          <rPr>
            <sz val="14"/>
            <color rgb="FF000000"/>
            <rFont val="Times New Roman"/>
            <family val="18"/>
          </rPr>
          <t>ML 84 IR 1 (1805) – AL Nr. 162 (Brzezan 23/08/1805)</t>
        </r>
        <r>
          <rPr>
            <sz val="14"/>
            <color rgb="FF000000"/>
            <rFont val="Calibri"/>
            <family val="34"/>
          </rPr>
          <t xml:space="preserve">
</t>
        </r>
        <r>
          <rPr>
            <sz val="14"/>
            <color rgb="FF000000"/>
            <rFont val="Times New Roman"/>
            <family val="18"/>
          </rPr>
          <t>ML 85 IR 1 (1806) – AL ST Jan (Brünn 15/11/1806)</t>
        </r>
        <r>
          <rPr>
            <sz val="14"/>
            <color rgb="FF000000"/>
            <rFont val="Calibri"/>
            <family val="34"/>
          </rPr>
          <t xml:space="preserve">
</t>
        </r>
      </text>
    </comment>
    <comment ref="BH888" authorId="0" shapeId="0" xr:uid="{4435E8BD-0698-2F49-88D7-576A69992DBE}">
      <text>
        <r>
          <rPr>
            <sz val="14"/>
            <color rgb="FF000000"/>
            <rFont val="Calibri"/>
            <family val="34"/>
          </rPr>
          <t>IR 1 (1805-1806)</t>
        </r>
      </text>
    </comment>
    <comment ref="BF889" authorId="0" shapeId="0" xr:uid="{B92682CD-A738-2445-877E-D1C1CB6AAA81}">
      <text>
        <r>
          <rPr>
            <sz val="14"/>
            <color rgb="FF000000"/>
            <rFont val="Times New Roman"/>
            <family val="18"/>
          </rPr>
          <t xml:space="preserve">14/08/1805 </t>
        </r>
        <r>
          <rPr>
            <i/>
            <sz val="14"/>
            <color rgb="FF000000"/>
            <rFont val="Times New Roman"/>
            <family val="18"/>
          </rPr>
          <t>zu Reuss Greiz Inf</t>
        </r>
        <r>
          <rPr>
            <sz val="14"/>
            <color rgb="FF000000"/>
            <rFont val="Times New Roman"/>
            <family val="18"/>
          </rPr>
          <t xml:space="preserve"> </t>
        </r>
        <r>
          <rPr>
            <b/>
            <sz val="14"/>
            <color rgb="FF000000"/>
            <rFont val="Times New Roman"/>
            <family val="18"/>
          </rPr>
          <t>[IR 55]</t>
        </r>
        <r>
          <rPr>
            <sz val="14"/>
            <color rgb="FF000000"/>
            <rFont val="Times New Roman"/>
            <family val="18"/>
          </rPr>
          <t xml:space="preserve"> </t>
        </r>
        <r>
          <rPr>
            <i/>
            <sz val="14"/>
            <color rgb="FF000000"/>
            <rFont val="Times New Roman"/>
            <family val="18"/>
          </rPr>
          <t>auf 10 Jahr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21/02/1810 </t>
        </r>
        <r>
          <rPr>
            <i/>
            <sz val="14"/>
            <color rgb="FF000000"/>
            <rFont val="Times New Roman"/>
            <family val="18"/>
          </rPr>
          <t xml:space="preserve">von Dissolvierte Reuss-Greiz </t>
        </r>
        <r>
          <rPr>
            <b/>
            <sz val="14"/>
            <color rgb="FF000000"/>
            <rFont val="Times New Roman"/>
            <family val="18"/>
          </rPr>
          <t xml:space="preserve">[IR 55] </t>
        </r>
        <r>
          <rPr>
            <i/>
            <sz val="14"/>
            <color rgb="FF000000"/>
            <rFont val="Times New Roman"/>
            <family val="18"/>
          </rPr>
          <t xml:space="preserve">zum </t>
        </r>
        <r>
          <rPr>
            <b/>
            <i/>
            <sz val="14"/>
            <color rgb="FF000000"/>
            <rFont val="Times New Roman"/>
            <family val="18"/>
          </rPr>
          <t>IR 30</t>
        </r>
        <r>
          <rPr>
            <i/>
            <sz val="14"/>
            <color rgb="FF000000"/>
            <rFont val="Times New Roman"/>
            <family val="18"/>
          </rPr>
          <t xml:space="preserve">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12. Fus Komp. Nr. 239 [</t>
        </r>
        <r>
          <rPr>
            <i/>
            <sz val="14"/>
            <color rgb="FF000000"/>
            <rFont val="Times New Roman"/>
            <family val="18"/>
          </rPr>
          <t>Auf Wache in Waszkowitz</t>
        </r>
        <r>
          <rPr>
            <sz val="14"/>
            <color rgb="FF000000"/>
            <rFont val="Times New Roman"/>
            <family val="18"/>
          </rPr>
          <t>]</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text>
    </comment>
    <comment ref="BG889" authorId="0" shapeId="0" xr:uid="{125B5E70-A298-8647-92E5-B5B394C2C1AD}">
      <text>
        <r>
          <rPr>
            <sz val="14"/>
            <color rgb="FF000000"/>
            <rFont val="Times New Roman"/>
            <family val="18"/>
          </rPr>
          <t>ML 2633 IR 30 (1811) – 12. Komp. Nr. 239 (Czernowitz 11/09/1811)</t>
        </r>
        <r>
          <rPr>
            <sz val="14"/>
            <color rgb="FF000000"/>
            <rFont val="Calibri"/>
            <family val="34"/>
          </rPr>
          <t xml:space="preserve">
</t>
        </r>
        <r>
          <rPr>
            <sz val="14"/>
            <color rgb="FF000000"/>
            <rFont val="Times New Roman"/>
            <family val="18"/>
          </rPr>
          <t>ML 2635 IR 30 (1817) – 12. Fus Komp. – Abgang (Lemberg 15/10/1817)</t>
        </r>
        <r>
          <rPr>
            <sz val="14"/>
            <color rgb="FF000000"/>
            <rFont val="Calibri"/>
            <family val="34"/>
          </rPr>
          <t xml:space="preserve">
</t>
        </r>
      </text>
    </comment>
    <comment ref="BH889" authorId="0" shapeId="0" xr:uid="{2B2317AF-1ECC-F14C-BE68-83B08FA6CFC8}">
      <text>
        <r>
          <rPr>
            <sz val="14"/>
            <color rgb="FF000000"/>
            <rFont val="Calibri"/>
            <family val="34"/>
          </rPr>
          <t xml:space="preserve">IR 55 (1805-1810)
</t>
        </r>
        <r>
          <rPr>
            <sz val="14"/>
            <color rgb="FF000000"/>
            <rFont val="Calibri"/>
            <family val="34"/>
          </rPr>
          <t>IR 30 (1810-1817)</t>
        </r>
      </text>
    </comment>
    <comment ref="BF890" authorId="0" shapeId="0" xr:uid="{E24F8852-2F71-1C49-98B0-C3C398EC8CE1}">
      <text>
        <r>
          <rPr>
            <sz val="14"/>
            <color rgb="FF000000"/>
            <rFont val="Times New Roman"/>
            <family val="18"/>
          </rPr>
          <t xml:space="preserve">14/08/1805 </t>
        </r>
        <r>
          <rPr>
            <i/>
            <sz val="14"/>
            <color rgb="FF000000"/>
            <rFont val="Times New Roman"/>
            <family val="18"/>
          </rPr>
          <t>Zum IR 20 beim 20. Fus. Komp. a 3Fl Handgeld als Landständische Werbbezirk Recrout gestellt und zu Zaleszczyk assentiert</t>
        </r>
        <r>
          <rPr>
            <sz val="14"/>
            <color rgb="FF000000"/>
            <rFont val="Times New Roman"/>
            <family val="18"/>
          </rPr>
          <t xml:space="preserve"> [AL Aug 1805]
</t>
        </r>
        <r>
          <rPr>
            <sz val="14"/>
            <color rgb="FF000000"/>
            <rFont val="Times New Roman"/>
            <family val="18"/>
          </rPr>
          <t xml:space="preserve">25/11/1805 </t>
        </r>
        <r>
          <rPr>
            <i/>
            <sz val="14"/>
            <color rgb="FF000000"/>
            <rFont val="Times New Roman"/>
            <family val="18"/>
          </rPr>
          <t>Vor dem Feind vermisst</t>
        </r>
        <r>
          <rPr>
            <sz val="14"/>
            <color rgb="FF000000"/>
            <rFont val="Times New Roman"/>
            <family val="18"/>
          </rPr>
          <t xml:space="preserve"> [ML 1806]</t>
        </r>
      </text>
    </comment>
    <comment ref="BG890" authorId="0" shapeId="0" xr:uid="{9B693172-05EF-E947-BF40-3749D56E18DD}">
      <text>
        <r>
          <rPr>
            <sz val="14"/>
            <color rgb="FF000000"/>
            <rFont val="Times New Roman"/>
            <family val="18"/>
          </rPr>
          <t xml:space="preserve">ML 1623-5 IR 20 (1806) – ML Heft von 20. Fus. Comp., Zuwachs &amp; Abgang (Olmütz 15/12/1806)
</t>
        </r>
        <r>
          <rPr>
            <sz val="14"/>
            <color rgb="FF000000"/>
            <rFont val="Times New Roman"/>
            <family val="18"/>
          </rPr>
          <t xml:space="preserve">ML 1659 IR 20 (1805) – AL/TL pro Monat Oct Nr. 96 (Zaleszczyk 20/08/1805)
</t>
        </r>
        <r>
          <rPr>
            <sz val="14"/>
            <color rgb="FF000000"/>
            <rFont val="Times New Roman"/>
            <family val="18"/>
          </rPr>
          <t>)</t>
        </r>
        <r>
          <rPr>
            <sz val="14"/>
            <color rgb="FF000000"/>
            <rFont val="Calibri"/>
            <family val="34"/>
          </rPr>
          <t xml:space="preserve">
</t>
        </r>
      </text>
    </comment>
    <comment ref="BH890" authorId="0" shapeId="0" xr:uid="{6284151C-D76C-3E4E-984A-42CE7FE290A6}">
      <text>
        <r>
          <rPr>
            <sz val="14"/>
            <color rgb="FF000000"/>
            <rFont val="Calibri"/>
            <family val="34"/>
          </rPr>
          <t>IR 20 (1805)</t>
        </r>
      </text>
    </comment>
    <comment ref="BF891" authorId="0" shapeId="0" xr:uid="{C1729CBC-9E39-754C-99C0-ACBA26D87627}">
      <text>
        <r>
          <rPr>
            <sz val="14"/>
            <color rgb="FF000000"/>
            <rFont val="Times New Roman"/>
            <family val="18"/>
          </rPr>
          <t xml:space="preserve">14/08/1805 </t>
        </r>
        <r>
          <rPr>
            <i/>
            <sz val="14"/>
            <color rgb="FF000000"/>
            <rFont val="Times New Roman"/>
            <family val="18"/>
          </rPr>
          <t>Zum IR 20 beim 20. Fus. Komp. a 3Fl Handgeld als landständische Werbbezirk Recrout gestellt und zu Zaleszczyk assentiert</t>
        </r>
        <r>
          <rPr>
            <sz val="14"/>
            <color rgb="FF000000"/>
            <rFont val="Times New Roman"/>
            <family val="18"/>
          </rPr>
          <t xml:space="preserve"> [AL Aug 1805]
</t>
        </r>
        <r>
          <rPr>
            <sz val="14"/>
            <color rgb="FF000000"/>
            <rFont val="Times New Roman"/>
            <family val="18"/>
          </rPr>
          <t xml:space="preserve">01/12/1805 </t>
        </r>
        <r>
          <rPr>
            <i/>
            <sz val="14"/>
            <color rgb="FF000000"/>
            <rFont val="Times New Roman"/>
            <family val="18"/>
          </rPr>
          <t>Von 20. zum. 11 Fus. Comp.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In den auswärtigen Spitalern unwissend verloren</t>
        </r>
        <r>
          <rPr>
            <sz val="14"/>
            <color rgb="FF000000"/>
            <rFont val="Times New Roman"/>
            <family val="18"/>
          </rPr>
          <t xml:space="preserve"> [ML 1806]</t>
        </r>
      </text>
    </comment>
    <comment ref="BG891" authorId="0" shapeId="0" xr:uid="{F645276F-45AA-E640-8CAD-9DAF76E5A309}">
      <text>
        <r>
          <rPr>
            <sz val="14"/>
            <color rgb="FF000000"/>
            <rFont val="Times New Roman"/>
            <family val="18"/>
          </rPr>
          <t xml:space="preserve">ML 1623-5 IR 20 (1806) – ML 11. und 20. Fus. Komp., Zuwachs &amp; Abgang (Olmütz 15/12/1806)
</t>
        </r>
        <r>
          <rPr>
            <sz val="14"/>
            <color rgb="FF000000"/>
            <rFont val="Times New Roman"/>
            <family val="18"/>
          </rPr>
          <t xml:space="preserve">ML 1659 IR 20 (1805) – AL/TL pro Monat Oct Nr. 95 (Zaleszczyk 20/08/1805)
</t>
        </r>
      </text>
    </comment>
    <comment ref="BH891" authorId="0" shapeId="0" xr:uid="{7E49F6B4-2B75-DA41-B822-0956E36E2ACF}">
      <text>
        <r>
          <rPr>
            <sz val="14"/>
            <color rgb="FF000000"/>
            <rFont val="Calibri"/>
            <family val="34"/>
          </rPr>
          <t xml:space="preserve">IR 20 (1805-1806)
</t>
        </r>
      </text>
    </comment>
    <comment ref="BF892" authorId="0" shapeId="0" xr:uid="{9D309B44-B1B7-D344-A84C-82813E4475D1}">
      <text>
        <r>
          <rPr>
            <sz val="14"/>
            <color rgb="FF000000"/>
            <rFont val="Times New Roman"/>
            <family val="18"/>
          </rPr>
          <t xml:space="preserve">14/08/1805 </t>
        </r>
        <r>
          <rPr>
            <i/>
            <sz val="14"/>
            <color rgb="FF000000"/>
            <rFont val="Times New Roman"/>
            <family val="18"/>
          </rPr>
          <t xml:space="preserve">Von Dominien in Reszow zum IR 11 gestellt und zum 19. Fus. Komp. eingeteilt  </t>
        </r>
        <r>
          <rPr>
            <sz val="14"/>
            <color rgb="FF000000"/>
            <rFont val="Times New Roman"/>
            <family val="18"/>
          </rPr>
          <t xml:space="preserve">[ML 1806]
</t>
        </r>
        <r>
          <rPr>
            <sz val="14"/>
            <color rgb="FF000000"/>
            <rFont val="Times New Roman"/>
            <family val="18"/>
          </rPr>
          <t xml:space="preserve">06/11/1806 </t>
        </r>
        <r>
          <rPr>
            <i/>
            <sz val="14"/>
            <color rgb="FF000000"/>
            <rFont val="Times New Roman"/>
            <family val="18"/>
          </rPr>
          <t>Von 19. Zum Reserve Division 1. Komp. transferiert</t>
        </r>
        <r>
          <rPr>
            <sz val="14"/>
            <color rgb="FF000000"/>
            <rFont val="Times New Roman"/>
            <family val="18"/>
          </rPr>
          <t xml:space="preserve"> [ML 1806]
</t>
        </r>
        <r>
          <rPr>
            <sz val="14"/>
            <color rgb="FF000000"/>
            <rFont val="Times New Roman"/>
            <family val="18"/>
          </rPr>
          <t xml:space="preserve">01/04/1804 </t>
        </r>
        <r>
          <rPr>
            <i/>
            <sz val="14"/>
            <color rgb="FF000000"/>
            <rFont val="Times New Roman"/>
            <family val="18"/>
          </rPr>
          <t>Von Reserve Division 1. Komp. zum 10/ Fus. Komp. transferiert</t>
        </r>
        <r>
          <rPr>
            <sz val="14"/>
            <color rgb="FF000000"/>
            <rFont val="Times New Roman"/>
            <family val="18"/>
          </rPr>
          <t xml:space="preserve"> [ML 1806]
</t>
        </r>
        <r>
          <rPr>
            <sz val="14"/>
            <color rgb="FF000000"/>
            <rFont val="Times New Roman"/>
            <family val="18"/>
          </rPr>
          <t>23/12/1806 Muster: IR 11 10. Fus. Komp. Nr. 66 [</t>
        </r>
        <r>
          <rPr>
            <i/>
            <sz val="14"/>
            <color rgb="FF000000"/>
            <rFont val="Times New Roman"/>
            <family val="18"/>
          </rPr>
          <t>Krank in Prag</t>
        </r>
        <r>
          <rPr>
            <sz val="14"/>
            <color rgb="FF000000"/>
            <rFont val="Times New Roman"/>
            <family val="18"/>
          </rPr>
          <t xml:space="preserve">]
</t>
        </r>
      </text>
    </comment>
    <comment ref="BG892" authorId="0" shapeId="0" xr:uid="{BC8D0A08-0087-8C45-8922-3E2B7C7E75D9}">
      <text>
        <r>
          <rPr>
            <sz val="14"/>
            <color rgb="FF000000"/>
            <rFont val="Times New Roman"/>
            <family val="18"/>
          </rPr>
          <t>ML 807/8 IR 11 (1806) – 10. Fus. Komp. Nr. 66 (Prague 23/12/1806)</t>
        </r>
        <r>
          <rPr>
            <sz val="14"/>
            <color rgb="FF000000"/>
            <rFont val="Times New Roman"/>
            <family val="18"/>
          </rPr>
          <t xml:space="preserve">
</t>
        </r>
      </text>
    </comment>
    <comment ref="BH892" authorId="0" shapeId="0" xr:uid="{B77A95D3-9393-4A48-B36C-A211CA4C5010}">
      <text>
        <r>
          <rPr>
            <sz val="14"/>
            <color rgb="FF000000"/>
            <rFont val="Calibri"/>
            <family val="34"/>
          </rPr>
          <t xml:space="preserve">IR 11 (1805-1806)
</t>
        </r>
      </text>
    </comment>
    <comment ref="BF893" authorId="0" shapeId="0" xr:uid="{5F11B96C-BA27-E542-BBB9-510443E0CDC1}">
      <text>
        <r>
          <rPr>
            <sz val="14"/>
            <color rgb="FF000000"/>
            <rFont val="Times New Roman"/>
            <family val="18"/>
          </rPr>
          <t xml:space="preserve">15/08/1805 </t>
        </r>
        <r>
          <rPr>
            <i/>
            <sz val="14"/>
            <color rgb="FF000000"/>
            <rFont val="Times New Roman"/>
            <family val="18"/>
          </rPr>
          <t xml:space="preserve">Als Werbbezirk Rekrut zu Rzeszów in Galizien zum IR 11 assentiert und zum 19. Fus. Komp. eingeteilt </t>
        </r>
        <r>
          <rPr>
            <sz val="14"/>
            <color rgb="FF000000"/>
            <rFont val="Times New Roman"/>
            <family val="18"/>
          </rPr>
          <t>[ML 1806]</t>
        </r>
        <r>
          <rPr>
            <sz val="14"/>
            <color rgb="FF000000"/>
            <rFont val="Times New Roman"/>
            <family val="18"/>
          </rPr>
          <t xml:space="preserve">
</t>
        </r>
        <r>
          <rPr>
            <sz val="14"/>
            <color rgb="FF000000"/>
            <rFont val="Times New Roman"/>
            <family val="18"/>
          </rPr>
          <t xml:space="preserve">01/04/1806 </t>
        </r>
        <r>
          <rPr>
            <i/>
            <sz val="14"/>
            <color rgb="FF000000"/>
            <rFont val="Times New Roman"/>
            <family val="18"/>
          </rPr>
          <t>Von 19. Zum 14. Fus.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19/12/1806 Muster: IR 11 14. Fus. Komp. Nr. 59</t>
        </r>
        <r>
          <rPr>
            <sz val="14"/>
            <color rgb="FF000000"/>
            <rFont val="Times New Roman"/>
            <family val="18"/>
          </rPr>
          <t xml:space="preserve">
</t>
        </r>
      </text>
    </comment>
    <comment ref="BG893" authorId="0" shapeId="0" xr:uid="{FF5FF1DA-8E60-3C44-B336-B25613AF0DC9}">
      <text>
        <r>
          <rPr>
            <sz val="14"/>
            <color rgb="FF000000"/>
            <rFont val="Times New Roman"/>
            <family val="18"/>
          </rPr>
          <t>ML 807/8 IR 11 (1806) – 14. Fus. Komp. Nr. 59 (Königgrätz 19/12/1806)</t>
        </r>
        <r>
          <rPr>
            <sz val="14"/>
            <color rgb="FF000000"/>
            <rFont val="Times New Roman"/>
            <family val="18"/>
          </rPr>
          <t xml:space="preserve">
</t>
        </r>
      </text>
    </comment>
    <comment ref="BH893" authorId="0" shapeId="0" xr:uid="{104CD2B9-F365-F243-A027-EE0CAD639436}">
      <text>
        <r>
          <rPr>
            <sz val="14"/>
            <color rgb="FF000000"/>
            <rFont val="Calibri"/>
            <family val="34"/>
          </rPr>
          <t xml:space="preserve">IR 11 (1805-1806)
</t>
        </r>
      </text>
    </comment>
    <comment ref="BF894" authorId="0" shapeId="0" xr:uid="{8C419A68-806D-7449-A39B-019CC4FC53E5}">
      <text>
        <r>
          <rPr>
            <sz val="14"/>
            <color rgb="FF000000"/>
            <rFont val="Times New Roman"/>
            <family val="18"/>
          </rPr>
          <t xml:space="preserve">16/08/1805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 Gefreyter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13/08/1809 </t>
        </r>
        <r>
          <rPr>
            <i/>
            <sz val="14"/>
            <color rgb="FF000000"/>
            <rFont val="Times New Roman"/>
            <family val="18"/>
          </rPr>
          <t>Zu Corporal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7. Fus. Komp. Nr. 14 [</t>
        </r>
        <r>
          <rPr>
            <i/>
            <sz val="14"/>
            <color rgb="FF000000"/>
            <rFont val="Times New Roman"/>
            <family val="18"/>
          </rPr>
          <t>Beurlaubt bis Exerzierzeit</t>
        </r>
        <r>
          <rPr>
            <sz val="14"/>
            <color rgb="FF000000"/>
            <rFont val="Times New Roman"/>
            <family val="18"/>
          </rPr>
          <t>]</t>
        </r>
        <r>
          <rPr>
            <sz val="14"/>
            <color rgb="FF000000"/>
            <rFont val="Calibri"/>
            <family val="34"/>
          </rPr>
          <t xml:space="preserve">
</t>
        </r>
      </text>
    </comment>
    <comment ref="BG894" authorId="0" shapeId="0" xr:uid="{2E596C5A-22F2-0142-815B-A019D4BD12DF}">
      <text>
        <r>
          <rPr>
            <sz val="14"/>
            <color rgb="FF000000"/>
            <rFont val="Times New Roman"/>
            <family val="18"/>
          </rPr>
          <t>IR 544 IR 8 (1811) – 7. Fus. Komp. Nr. 14 (Iglau 12/09/1811)</t>
        </r>
        <r>
          <rPr>
            <sz val="14"/>
            <color rgb="FF000000"/>
            <rFont val="Calibri"/>
            <family val="34"/>
          </rPr>
          <t xml:space="preserve">
</t>
        </r>
      </text>
    </comment>
    <comment ref="BH894" authorId="0" shapeId="0" xr:uid="{24B87789-A406-2B4F-9B3B-A410DD682FEF}">
      <text>
        <r>
          <rPr>
            <sz val="14"/>
            <color rgb="FF000000"/>
            <rFont val="Calibri"/>
            <family val="34"/>
          </rPr>
          <t xml:space="preserve">IR 8 (1805-1811)
</t>
        </r>
      </text>
    </comment>
    <comment ref="T895" authorId="0" shapeId="0" xr:uid="{311B7E77-B645-5743-9F73-0FD1696622DF}">
      <text>
        <r>
          <rPr>
            <b/>
            <sz val="14"/>
            <color rgb="FF000000"/>
            <rFont val="Calibri"/>
            <family val="34"/>
          </rPr>
          <t xml:space="preserve">5.4.3 [169.18 cm (1805)]
</t>
        </r>
        <r>
          <rPr>
            <sz val="14"/>
            <color rgb="FF000000"/>
            <rFont val="Calibri"/>
            <family val="34"/>
          </rPr>
          <t>5.5.1 [171.37 cm (1806)]</t>
        </r>
      </text>
    </comment>
    <comment ref="BF895" authorId="0" shapeId="0" xr:uid="{60C49EB6-D4D4-9745-AF8A-2F1A0C6E3537}">
      <text>
        <r>
          <rPr>
            <sz val="14"/>
            <color rgb="FF000000"/>
            <rFont val="Times New Roman"/>
            <family val="18"/>
          </rPr>
          <t xml:space="preserve">16/08/1805 </t>
        </r>
        <r>
          <rPr>
            <i/>
            <sz val="14"/>
            <color rgb="FF000000"/>
            <rFont val="Times New Roman"/>
            <family val="18"/>
          </rPr>
          <t>Von Ständen gegen 3 Fl Handgeld mit 10 jährigen Capitulation zum IR 4 gestellt und zum Reserve Bataillon Haupt Gutwill 3.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19. Zum 12.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1 Haupt Einiselli Komp. Nr. 118</t>
        </r>
        <r>
          <rPr>
            <sz val="14"/>
            <color rgb="FF000000"/>
            <rFont val="Calibri"/>
            <family val="34"/>
          </rPr>
          <t xml:space="preserve">
</t>
        </r>
        <r>
          <rPr>
            <sz val="14"/>
            <color rgb="FF000000"/>
            <rFont val="Times New Roman"/>
            <family val="18"/>
          </rPr>
          <t xml:space="preserve">16/06/1808 </t>
        </r>
        <r>
          <rPr>
            <i/>
            <sz val="14"/>
            <color rgb="FF000000"/>
            <rFont val="Times New Roman"/>
            <family val="18"/>
          </rPr>
          <t>Von 12.</t>
        </r>
        <r>
          <rPr>
            <sz val="14"/>
            <color rgb="FF000000"/>
            <rFont val="Times New Roman"/>
            <family val="18"/>
          </rPr>
          <t xml:space="preserve"> [Haupt Einseli] </t>
        </r>
        <r>
          <rPr>
            <i/>
            <sz val="14"/>
            <color rgb="FF000000"/>
            <rFont val="Times New Roman"/>
            <family val="18"/>
          </rPr>
          <t>zum 13.</t>
        </r>
        <r>
          <rPr>
            <sz val="14"/>
            <color rgb="FF000000"/>
            <rFont val="Times New Roman"/>
            <family val="18"/>
          </rPr>
          <t xml:space="preserve"> [CaptLt Prziborsky] </t>
        </r>
        <r>
          <rPr>
            <i/>
            <sz val="14"/>
            <color rgb="FF000000"/>
            <rFont val="Times New Roman"/>
            <family val="18"/>
          </rPr>
          <t>Fus. Komp. transferiert</t>
        </r>
        <r>
          <rPr>
            <sz val="14"/>
            <color rgb="FF000000"/>
            <rFont val="Times New Roman"/>
            <family val="18"/>
          </rPr>
          <t xml:space="preserve"> [ST June 1808]</t>
        </r>
        <r>
          <rPr>
            <sz val="14"/>
            <color rgb="FF000000"/>
            <rFont val="Calibri"/>
            <family val="34"/>
          </rPr>
          <t xml:space="preserve">
</t>
        </r>
        <r>
          <rPr>
            <sz val="14"/>
            <color rgb="FF000000"/>
            <rFont val="Times New Roman"/>
            <family val="18"/>
          </rPr>
          <t xml:space="preserve">26/02/1809 </t>
        </r>
        <r>
          <rPr>
            <i/>
            <sz val="14"/>
            <color rgb="FF000000"/>
            <rFont val="Times New Roman"/>
            <family val="18"/>
          </rPr>
          <t xml:space="preserve">Von 13. Fus. Komp. zum 2. Depot Komp. transferiert </t>
        </r>
        <r>
          <rPr>
            <sz val="14"/>
            <color rgb="FF000000"/>
            <rFont val="Times New Roman"/>
            <family val="18"/>
          </rPr>
          <t>[ST Feb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sz val="14"/>
            <color rgb="FF000000"/>
            <rFont val="Calibri"/>
            <family val="2"/>
          </rPr>
          <t xml:space="preserve"> </t>
        </r>
      </text>
    </comment>
    <comment ref="BG895" authorId="0" shapeId="0" xr:uid="{9FADE0E5-290E-E54D-A632-5F513FC5B22A}">
      <text>
        <r>
          <rPr>
            <sz val="14"/>
            <color rgb="FF000000"/>
            <rFont val="Times New Roman"/>
            <family val="18"/>
          </rPr>
          <t>ML 31/2 IR 1 (1806) – Haupt Einiselli Komp. Nr. 118 (Brünn 15/12/1806)</t>
        </r>
        <r>
          <rPr>
            <sz val="14"/>
            <color rgb="FF000000"/>
            <rFont val="Calibri"/>
            <family val="34"/>
          </rPr>
          <t xml:space="preserve">
</t>
        </r>
        <r>
          <rPr>
            <sz val="14"/>
            <color rgb="FF000000"/>
            <rFont val="Times New Roman"/>
            <family val="18"/>
          </rPr>
          <t>ML 84 IR 1 (1805) – AL Nr. 169 (Brzezan 23/08/1805)</t>
        </r>
        <r>
          <rPr>
            <sz val="14"/>
            <color rgb="FF000000"/>
            <rFont val="Calibri"/>
            <family val="34"/>
          </rPr>
          <t xml:space="preserve">
</t>
        </r>
        <r>
          <rPr>
            <sz val="14"/>
            <color rgb="FF000000"/>
            <rFont val="Times New Roman"/>
            <family val="18"/>
          </rPr>
          <t>ML 89 IR 1 (1808) – AL June (Proßnitz 04/09/1811)</t>
        </r>
        <r>
          <rPr>
            <sz val="14"/>
            <color rgb="FF000000"/>
            <rFont val="Calibri"/>
            <family val="34"/>
          </rPr>
          <t xml:space="preserve">
</t>
        </r>
        <r>
          <rPr>
            <sz val="14"/>
            <color rgb="FF000000"/>
            <rFont val="Times New Roman"/>
            <family val="18"/>
          </rPr>
          <t>ML 91 IR 1 (1809) – ST Feb (Olmütz 20/07/1809), May (Proßnitz 09/1810)</t>
        </r>
        <r>
          <rPr>
            <sz val="14"/>
            <color rgb="FF000000"/>
            <rFont val="Calibri"/>
            <family val="34"/>
          </rPr>
          <t xml:space="preserve">
</t>
        </r>
      </text>
    </comment>
    <comment ref="BH895" authorId="0" shapeId="0" xr:uid="{BA647C13-641A-4C4D-9025-F4137E90ED5F}">
      <text>
        <r>
          <rPr>
            <sz val="14"/>
            <color rgb="FF000000"/>
            <rFont val="Calibri"/>
            <family val="34"/>
          </rPr>
          <t>IR 1 (1805-1809)</t>
        </r>
      </text>
    </comment>
    <comment ref="BF896" authorId="0" shapeId="0" xr:uid="{C3D3E242-0C3F-BF41-8F90-8175A55CD926}">
      <text>
        <r>
          <rPr>
            <sz val="14"/>
            <color rgb="FF000000"/>
            <rFont val="Times New Roman"/>
            <family val="18"/>
          </rPr>
          <t xml:space="preserve">17/08/1805 </t>
        </r>
        <r>
          <rPr>
            <i/>
            <sz val="14"/>
            <color rgb="FF000000"/>
            <rFont val="Times New Roman"/>
            <family val="18"/>
          </rPr>
          <t>Von Ständen gegen 3 Fl Handgeld mit 10 jährigen Capitulation zum IR 4 gestellt und zum Reserve Bataillon Haupt Gutwill 3.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Zum 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15/10/1806 </t>
        </r>
        <r>
          <rPr>
            <i/>
            <sz val="14"/>
            <color rgb="FF000000"/>
            <rFont val="Times New Roman"/>
            <family val="18"/>
          </rPr>
          <t>Ins Armee Spital Unwissend verloren gegangen</t>
        </r>
        <r>
          <rPr>
            <sz val="14"/>
            <color rgb="FF000000"/>
            <rFont val="Times New Roman"/>
            <family val="18"/>
          </rPr>
          <t xml:space="preserve"> [ST Oct 1806 &amp; ML 1806]</t>
        </r>
      </text>
    </comment>
    <comment ref="BG896" authorId="0" shapeId="0" xr:uid="{E1E961A4-A1BF-1145-B1DC-BEB4A6358D53}">
      <text>
        <r>
          <rPr>
            <sz val="14"/>
            <color rgb="FF000000"/>
            <rFont val="Times New Roman"/>
            <family val="18"/>
          </rPr>
          <t>ML 31/2 IR 1 (1806) – Haupt Fitzke Komp. Abgang (Proßnitz 17/12/1806)</t>
        </r>
        <r>
          <rPr>
            <sz val="14"/>
            <color rgb="FF000000"/>
            <rFont val="Calibri"/>
            <family val="34"/>
          </rPr>
          <t xml:space="preserve">
</t>
        </r>
        <r>
          <rPr>
            <sz val="14"/>
            <color rgb="FF000000"/>
            <rFont val="Times New Roman"/>
            <family val="18"/>
          </rPr>
          <t>ML 84 IR 1 (1805) – AL Nr. 172 (Brzezan 23/08/1805)</t>
        </r>
        <r>
          <rPr>
            <sz val="14"/>
            <color rgb="FF000000"/>
            <rFont val="Calibri"/>
            <family val="34"/>
          </rPr>
          <t xml:space="preserve">
</t>
        </r>
        <r>
          <rPr>
            <sz val="14"/>
            <color rgb="FF000000"/>
            <rFont val="Times New Roman"/>
            <family val="18"/>
          </rPr>
          <t>ML 85 IR 1 (1806) – ST Oct (Brünn 09/07/1807)</t>
        </r>
        <r>
          <rPr>
            <sz val="14"/>
            <color rgb="FF000000"/>
            <rFont val="Calibri"/>
            <family val="34"/>
          </rPr>
          <t xml:space="preserve">
</t>
        </r>
      </text>
    </comment>
    <comment ref="BH896" authorId="0" shapeId="0" xr:uid="{D74D21BE-7506-F64F-9743-9F7F2AD7D202}">
      <text>
        <r>
          <rPr>
            <sz val="14"/>
            <color rgb="FF000000"/>
            <rFont val="Calibri"/>
            <family val="34"/>
          </rPr>
          <t>IR 1 (1805-1806)</t>
        </r>
      </text>
    </comment>
    <comment ref="I897" authorId="0" shapeId="0" xr:uid="{96B6D087-16E5-7448-9520-447B61A5CCDF}">
      <text>
        <r>
          <rPr>
            <sz val="14"/>
            <color rgb="FF000000"/>
            <rFont val="Calibri"/>
            <family val="34"/>
          </rPr>
          <t xml:space="preserve">1780 [28 (1808)]
</t>
        </r>
        <r>
          <rPr>
            <sz val="14"/>
            <color rgb="FF000000"/>
            <rFont val="Calibri"/>
            <family val="34"/>
          </rPr>
          <t xml:space="preserve">OR
</t>
        </r>
        <r>
          <rPr>
            <b/>
            <sz val="14"/>
            <color rgb="FF000000"/>
            <rFont val="Calibri"/>
            <family val="34"/>
          </rPr>
          <t>1786 [19 (1805)]</t>
        </r>
        <r>
          <rPr>
            <sz val="14"/>
            <color rgb="FF000000"/>
            <rFont val="Calibri"/>
            <family val="34"/>
          </rPr>
          <t xml:space="preserve">
</t>
        </r>
      </text>
    </comment>
    <comment ref="BF897" authorId="0" shapeId="0" xr:uid="{0BBA3A85-552F-C049-930E-D874FD440E2B}">
      <text>
        <r>
          <rPr>
            <sz val="14"/>
            <color rgb="FF000000"/>
            <rFont val="Times New Roman"/>
            <family val="18"/>
          </rPr>
          <t xml:space="preserve">19/08/1805 </t>
        </r>
        <r>
          <rPr>
            <i/>
            <sz val="14"/>
            <color rgb="FF000000"/>
            <rFont val="Times New Roman"/>
            <family val="18"/>
          </rPr>
          <t xml:space="preserve">Von Land gestellt a 3Fl und zu Reserve Division assentiert </t>
        </r>
        <r>
          <rPr>
            <sz val="14"/>
            <color rgb="FF000000"/>
            <rFont val="Times New Roman"/>
            <family val="18"/>
          </rPr>
          <t xml:space="preserve">[AL Aug 1805]
</t>
        </r>
        <r>
          <rPr>
            <sz val="14"/>
            <color rgb="FF000000"/>
            <rFont val="Times New Roman"/>
            <family val="18"/>
          </rPr>
          <t xml:space="preserve">01/04/1806 </t>
        </r>
        <r>
          <rPr>
            <i/>
            <sz val="14"/>
            <color rgb="FF000000"/>
            <rFont val="Times New Roman"/>
            <family val="18"/>
          </rPr>
          <t>Von Reserve Division zur 6. Fus. Komp. transferiert</t>
        </r>
        <r>
          <rPr>
            <sz val="14"/>
            <color rgb="FF000000"/>
            <rFont val="Times New Roman"/>
            <family val="18"/>
          </rPr>
          <t xml:space="preserve"> [ML 1806]
</t>
        </r>
        <r>
          <rPr>
            <sz val="14"/>
            <color rgb="FF000000"/>
            <rFont val="Times New Roman"/>
            <family val="18"/>
          </rPr>
          <t xml:space="preserve">07/06/1806 </t>
        </r>
        <r>
          <rPr>
            <i/>
            <sz val="14"/>
            <color rgb="FF000000"/>
            <rFont val="Times New Roman"/>
            <family val="18"/>
          </rPr>
          <t>Von 6. Zum 2. Fus. Komp transferiert</t>
        </r>
        <r>
          <rPr>
            <sz val="14"/>
            <color rgb="FF000000"/>
            <rFont val="Times New Roman"/>
            <family val="18"/>
          </rPr>
          <t xml:space="preserve"> [ML 1806]
</t>
        </r>
        <r>
          <rPr>
            <sz val="14"/>
            <color rgb="FF000000"/>
            <rFont val="Times New Roman"/>
            <family val="18"/>
          </rPr>
          <t xml:space="preserve">16/07/1808 </t>
        </r>
        <r>
          <rPr>
            <i/>
            <sz val="14"/>
            <color rgb="FF000000"/>
            <rFont val="Times New Roman"/>
            <family val="18"/>
          </rPr>
          <t xml:space="preserve">Von IR 59 2. Fus. Komp. zum neu errichtete ArtHandK transferiert </t>
        </r>
        <r>
          <rPr>
            <sz val="14"/>
            <color rgb="FF000000"/>
            <rFont val="Times New Roman"/>
            <family val="18"/>
          </rPr>
          <t xml:space="preserve">[RL 1808]
</t>
        </r>
      </text>
    </comment>
    <comment ref="BG897" authorId="0" shapeId="0" xr:uid="{487C7BCA-9F41-0E47-AFB2-4A732FF6B866}">
      <text>
        <r>
          <rPr>
            <sz val="14"/>
            <color rgb="FF000000"/>
            <rFont val="Times New Roman"/>
            <family val="18"/>
          </rPr>
          <t xml:space="preserve">ML 5017/8 IR 59 (1806) – 2. Fus. Komp. Nr. 160 (Linz 20/12/1806)
</t>
        </r>
        <r>
          <rPr>
            <sz val="14"/>
            <color rgb="FF000000"/>
            <rFont val="Times New Roman"/>
            <family val="18"/>
          </rPr>
          <t xml:space="preserve">ML 5019 IR 59 (1808-10) – RL 2. Fus. Komp. Abgang (Enns 05/09/1808)
</t>
        </r>
        <r>
          <rPr>
            <sz val="14"/>
            <color rgb="FF000000"/>
            <rFont val="Times New Roman"/>
            <family val="18"/>
          </rPr>
          <t xml:space="preserve">ML 5067 IR 59 (1805) – AL. Nr. 143 (Siedlce 20/08/1805)
</t>
        </r>
        <r>
          <rPr>
            <sz val="14"/>
            <color rgb="FF000000"/>
            <rFont val="Times New Roman"/>
            <family val="18"/>
          </rPr>
          <t xml:space="preserve">ML 11.861 AtHandK (1808) – TL IR 59-&gt; ArtHandK Nr. 17 (Linz 30/07/1808)
</t>
        </r>
      </text>
    </comment>
    <comment ref="BH897" authorId="0" shapeId="0" xr:uid="{1CE1BB16-B1FE-0447-A29A-3EA6A75FE591}">
      <text>
        <r>
          <rPr>
            <sz val="14"/>
            <color rgb="FF000000"/>
            <rFont val="Calibri"/>
            <family val="34"/>
          </rPr>
          <t xml:space="preserve">IR 59 (1805-1808)
</t>
        </r>
        <r>
          <rPr>
            <sz val="14"/>
            <color rgb="FF000000"/>
            <rFont val="Calibri"/>
            <family val="34"/>
          </rPr>
          <t>ArtHandK (1808)</t>
        </r>
      </text>
    </comment>
    <comment ref="CR897" authorId="0" shapeId="0" xr:uid="{F97AE194-ECB1-9C49-BD8C-1EC2EA4B7B94}">
      <text>
        <r>
          <rPr>
            <sz val="14"/>
            <color rgb="FF000000"/>
            <rFont val="Calibri"/>
            <family val="34"/>
          </rPr>
          <t xml:space="preserve">1805: Jüdisch
</t>
        </r>
        <r>
          <rPr>
            <sz val="14"/>
            <color rgb="FF000000"/>
            <rFont val="Calibri"/>
            <family val="34"/>
          </rPr>
          <t xml:space="preserve">1806: Katolisch
</t>
        </r>
        <r>
          <rPr>
            <sz val="14"/>
            <color rgb="FF000000"/>
            <rFont val="Calibri"/>
            <family val="34"/>
          </rPr>
          <t xml:space="preserve">1808: Rusisch </t>
        </r>
        <r>
          <rPr>
            <sz val="14"/>
            <color rgb="FF000000"/>
            <rFont val="Calibri"/>
            <family val="2"/>
          </rPr>
          <t xml:space="preserve">
</t>
        </r>
        <r>
          <rPr>
            <sz val="14"/>
            <color rgb="FF000000"/>
            <rFont val="Calibri"/>
            <family val="2"/>
          </rPr>
          <t xml:space="preserve"> </t>
        </r>
      </text>
    </comment>
    <comment ref="BF898" authorId="0" shapeId="0" xr:uid="{37CC5D5D-2F31-6E4C-BCF0-AAC007BE6D83}">
      <text>
        <r>
          <rPr>
            <sz val="14"/>
            <color rgb="FF000000"/>
            <rFont val="Times New Roman"/>
            <family val="18"/>
          </rPr>
          <t xml:space="preserve">19/08/1805 </t>
        </r>
        <r>
          <rPr>
            <i/>
            <sz val="14"/>
            <color rgb="FF000000"/>
            <rFont val="Times New Roman"/>
            <family val="18"/>
          </rPr>
          <t>Zu Brezeczan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Zum Gefreyter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15. Fus. Komp. Nr. 18</t>
        </r>
        <r>
          <rPr>
            <sz val="14"/>
            <color rgb="FF000000"/>
            <rFont val="Calibri"/>
            <family val="34"/>
          </rPr>
          <t xml:space="preserve">
</t>
        </r>
      </text>
    </comment>
    <comment ref="BG898" authorId="0" shapeId="0" xr:uid="{FE72E231-35AC-D349-BEA0-80EF6CF4EE2C}">
      <text>
        <r>
          <rPr>
            <sz val="14"/>
            <color rgb="FF000000"/>
            <rFont val="Times New Roman"/>
            <family val="18"/>
          </rPr>
          <t>IR 544 IR 8 (1811) – 15. Fus. Komp. Nr. 18 (Iglau 12/09/1811)</t>
        </r>
        <r>
          <rPr>
            <sz val="14"/>
            <color rgb="FF000000"/>
            <rFont val="Calibri"/>
            <family val="34"/>
          </rPr>
          <t xml:space="preserve">
</t>
        </r>
      </text>
    </comment>
    <comment ref="BH898" authorId="0" shapeId="0" xr:uid="{44159CD8-D23F-AE41-A72B-E73568DBCE9F}">
      <text>
        <r>
          <rPr>
            <sz val="14"/>
            <color rgb="FF000000"/>
            <rFont val="Calibri"/>
            <family val="34"/>
          </rPr>
          <t xml:space="preserve">IR 8 (1805-1811)
</t>
        </r>
      </text>
    </comment>
    <comment ref="I899" authorId="0" shapeId="0" xr:uid="{19A49AB5-76FE-3149-8AA3-9C8C744CA08D}">
      <text>
        <r>
          <rPr>
            <sz val="14"/>
            <color rgb="FF000000"/>
            <rFont val="Calibri"/>
            <family val="34"/>
          </rPr>
          <t xml:space="preserve">1783 [20 (1806)]
</t>
        </r>
        <r>
          <rPr>
            <sz val="14"/>
            <color rgb="FF000000"/>
            <rFont val="Calibri"/>
            <family val="34"/>
          </rPr>
          <t xml:space="preserve">OR
</t>
        </r>
        <r>
          <rPr>
            <b/>
            <sz val="14"/>
            <color rgb="FF000000"/>
            <rFont val="Calibri"/>
            <family val="34"/>
          </rPr>
          <t>1786 [20 (1806)]</t>
        </r>
        <r>
          <rPr>
            <sz val="14"/>
            <color rgb="FF000000"/>
            <rFont val="Calibri"/>
            <family val="34"/>
          </rPr>
          <t xml:space="preserve">
</t>
        </r>
      </text>
    </comment>
    <comment ref="BF899" authorId="0" shapeId="0" xr:uid="{B3716D6E-8A8F-D549-8A0D-CFA2929C5A61}">
      <text>
        <r>
          <rPr>
            <sz val="14"/>
            <color rgb="FF000000"/>
            <rFont val="Times New Roman"/>
            <family val="18"/>
          </rPr>
          <t xml:space="preserve">20/08/1805 </t>
        </r>
        <r>
          <rPr>
            <i/>
            <sz val="14"/>
            <color rgb="FF000000"/>
            <rFont val="Times New Roman"/>
            <family val="18"/>
          </rPr>
          <t>Dient Seit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01/04/1806 </t>
        </r>
        <r>
          <rPr>
            <i/>
            <sz val="14"/>
            <color rgb="FF000000"/>
            <rFont val="Times New Roman"/>
            <family val="18"/>
          </rPr>
          <t>Von Reserve Division 1. Komp. zum 1. Fus.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26/05/1806 </t>
        </r>
        <r>
          <rPr>
            <i/>
            <sz val="14"/>
            <color rgb="FF000000"/>
            <rFont val="Times New Roman"/>
            <family val="18"/>
          </rPr>
          <t>Von 1. zum 8. Fus. Komp. transferiert</t>
        </r>
        <r>
          <rPr>
            <sz val="14"/>
            <color rgb="FF000000"/>
            <rFont val="Times New Roman"/>
            <family val="18"/>
          </rPr>
          <t xml:space="preserve"> [ML 1806] </t>
        </r>
        <r>
          <rPr>
            <sz val="14"/>
            <color rgb="FF000000"/>
            <rFont val="Times New Roman"/>
            <family val="18"/>
          </rPr>
          <t xml:space="preserve">
</t>
        </r>
        <r>
          <rPr>
            <sz val="14"/>
            <color rgb="FF000000"/>
            <rFont val="Times New Roman"/>
            <family val="18"/>
          </rPr>
          <t>23/12/1806 Muster: IR 11 1. Fus. Komp. Nr. 227 [</t>
        </r>
        <r>
          <rPr>
            <i/>
            <sz val="14"/>
            <color rgb="FF000000"/>
            <rFont val="Times New Roman"/>
            <family val="18"/>
          </rPr>
          <t>Beurlaubt bis zur Einberufung in seinem Geburtsort</t>
        </r>
        <r>
          <rPr>
            <sz val="14"/>
            <color rgb="FF000000"/>
            <rFont val="Times New Roman"/>
            <family val="18"/>
          </rPr>
          <t>]</t>
        </r>
        <r>
          <rPr>
            <sz val="14"/>
            <color rgb="FF000000"/>
            <rFont val="Times New Roman"/>
            <family val="18"/>
          </rPr>
          <t xml:space="preserve">
</t>
        </r>
      </text>
    </comment>
    <comment ref="BG899" authorId="0" shapeId="0" xr:uid="{4DAA366B-88D9-4D40-912F-2BE6CF90AFD9}">
      <text>
        <r>
          <rPr>
            <sz val="14"/>
            <color rgb="FF000000"/>
            <rFont val="Calibri"/>
            <family val="34"/>
          </rPr>
          <t> </t>
        </r>
        <r>
          <rPr>
            <sz val="14"/>
            <color rgb="FF000000"/>
            <rFont val="Times New Roman"/>
            <family val="18"/>
          </rPr>
          <t>ML 807/8 IR 11 (1806) – 8. Fus. Komp. Nr. 126 or 1. Fus. Komp. Nr. 227 (Prague 23/12/1806)</t>
        </r>
        <r>
          <rPr>
            <sz val="14"/>
            <color rgb="FF000000"/>
            <rFont val="Times New Roman"/>
            <family val="18"/>
          </rPr>
          <t xml:space="preserve">
</t>
        </r>
      </text>
    </comment>
    <comment ref="BH899" authorId="0" shapeId="0" xr:uid="{D10393A3-1001-744D-848B-21D7461E19DF}">
      <text>
        <r>
          <rPr>
            <sz val="14"/>
            <color rgb="FF000000"/>
            <rFont val="Calibri"/>
            <family val="34"/>
          </rPr>
          <t xml:space="preserve">IR 11 (1805-1806)
</t>
        </r>
      </text>
    </comment>
    <comment ref="BF900" authorId="0" shapeId="0" xr:uid="{083760E2-A114-384D-BA1F-7D299C20653B}">
      <text>
        <r>
          <rPr>
            <sz val="14"/>
            <color rgb="FF000000"/>
            <rFont val="Times New Roman"/>
            <family val="18"/>
          </rPr>
          <t xml:space="preserve">22/08/1805 </t>
        </r>
        <r>
          <rPr>
            <i/>
            <sz val="14"/>
            <color rgb="FF000000"/>
            <rFont val="Times New Roman"/>
            <family val="18"/>
          </rPr>
          <t xml:space="preserve">Auf 10 jähriger Capitulation zu Coburg Inf. assentiert </t>
        </r>
        <r>
          <rPr>
            <sz val="14"/>
            <color rgb="FF000000"/>
            <rFont val="Times New Roman"/>
            <family val="18"/>
          </rPr>
          <t>[ML 1811]</t>
        </r>
        <r>
          <rPr>
            <sz val="14"/>
            <color rgb="FF000000"/>
            <rFont val="Calibri"/>
            <family val="34"/>
          </rPr>
          <t xml:space="preserve">
</t>
        </r>
        <r>
          <rPr>
            <sz val="14"/>
            <color rgb="FF000000"/>
            <rFont val="Times New Roman"/>
            <family val="18"/>
          </rPr>
          <t xml:space="preserve">??/??/18[09] </t>
        </r>
        <r>
          <rPr>
            <i/>
            <sz val="14"/>
            <color rgb="FF000000"/>
            <rFont val="Times New Roman"/>
            <family val="18"/>
          </rPr>
          <t>Zum Staab Infanterie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01/03/1810 </t>
        </r>
        <r>
          <rPr>
            <i/>
            <sz val="14"/>
            <color rgb="FF000000"/>
            <rFont val="Times New Roman"/>
            <family val="18"/>
          </rPr>
          <t>Von ausgelosten Staabs inf Companie zum GK Gal. 4. Abt.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06/10/1810 Revision: GK Gal. 4. Abt. 2. Komp. Nr. 153 [</t>
        </r>
        <r>
          <rPr>
            <i/>
            <sz val="14"/>
            <color rgb="FF000000"/>
            <rFont val="Times New Roman"/>
            <family val="18"/>
          </rPr>
          <t>Zu Station Szucin</t>
        </r>
        <r>
          <rPr>
            <sz val="14"/>
            <color rgb="FF000000"/>
            <rFont val="Times New Roman"/>
            <family val="18"/>
          </rPr>
          <t xml:space="preserve">] </t>
        </r>
        <r>
          <rPr>
            <sz val="14"/>
            <color rgb="FF000000"/>
            <rFont val="Calibri"/>
            <family val="34"/>
          </rPr>
          <t xml:space="preserve">
</t>
        </r>
        <r>
          <rPr>
            <sz val="14"/>
            <color rgb="FF000000"/>
            <rFont val="Times New Roman"/>
            <family val="18"/>
          </rPr>
          <t>02/09/1811 Muster: GK Gal. 4. Abt. Nr. 134 [</t>
        </r>
        <r>
          <rPr>
            <i/>
            <sz val="14"/>
            <color rgb="FF000000"/>
            <rFont val="Times New Roman"/>
            <family val="18"/>
          </rPr>
          <t>Zu Ulscie Jesuizka bey Zollamts Kassa 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22/04/1812 </t>
        </r>
        <r>
          <rPr>
            <i/>
            <sz val="14"/>
            <color rgb="FF000000"/>
            <rFont val="Times New Roman"/>
            <family val="18"/>
          </rPr>
          <t>Von. 2. zur 3. Gartner Komp.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 xml:space="preserve">30/06/1812 </t>
        </r>
        <r>
          <rPr>
            <i/>
            <sz val="14"/>
            <color rgb="FF000000"/>
            <rFont val="Times New Roman"/>
            <family val="18"/>
          </rPr>
          <t xml:space="preserve">Von 3. zur 4. Jekel Komp transferiert </t>
        </r>
        <r>
          <rPr>
            <sz val="14"/>
            <color rgb="FF000000"/>
            <rFont val="Times New Roman"/>
            <family val="18"/>
          </rPr>
          <t>[RL 1812]</t>
        </r>
        <r>
          <rPr>
            <sz val="14"/>
            <color rgb="FF000000"/>
            <rFont val="Calibri"/>
            <family val="34"/>
          </rPr>
          <t xml:space="preserve">
</t>
        </r>
        <r>
          <rPr>
            <sz val="14"/>
            <color rgb="FF000000"/>
            <rFont val="Times New Roman"/>
            <family val="18"/>
          </rPr>
          <t>30/09/1812 Revision: GK Gal. 4. Abt. 4. Komp. Nr. 245 [</t>
        </r>
        <r>
          <rPr>
            <i/>
            <sz val="14"/>
            <color rgb="FF000000"/>
            <rFont val="Times New Roman"/>
            <family val="18"/>
          </rPr>
          <t>Present</t>
        </r>
        <r>
          <rPr>
            <sz val="14"/>
            <color rgb="FF000000"/>
            <rFont val="Times New Roman"/>
            <family val="18"/>
          </rPr>
          <t>]</t>
        </r>
        <r>
          <rPr>
            <sz val="14"/>
            <color rgb="FF000000"/>
            <rFont val="Calibri"/>
            <family val="34"/>
          </rPr>
          <t xml:space="preserve">
</t>
        </r>
        <r>
          <rPr>
            <sz val="14"/>
            <color rgb="FF000000"/>
            <rFont val="Times New Roman"/>
            <family val="18"/>
          </rPr>
          <t xml:space="preserve">25/12/1816 </t>
        </r>
        <r>
          <rPr>
            <i/>
            <sz val="14"/>
            <color rgb="FF000000"/>
            <rFont val="Times New Roman"/>
            <family val="18"/>
          </rPr>
          <t>Als Veteran mit Abschied</t>
        </r>
        <r>
          <rPr>
            <sz val="14"/>
            <color rgb="FF000000"/>
            <rFont val="Times New Roman"/>
            <family val="18"/>
          </rPr>
          <t xml:space="preserve"> </t>
        </r>
        <r>
          <rPr>
            <i/>
            <sz val="14"/>
            <color rgb="FF000000"/>
            <rFont val="Times New Roman"/>
            <family val="18"/>
          </rPr>
          <t>entlassen</t>
        </r>
        <r>
          <rPr>
            <sz val="14"/>
            <color rgb="FF000000"/>
            <rFont val="Times New Roman"/>
            <family val="18"/>
          </rPr>
          <t xml:space="preserve"> [ML 1817]</t>
        </r>
      </text>
    </comment>
    <comment ref="BG900" authorId="0" shapeId="0" xr:uid="{2B5CC5F3-4C11-3341-9A75-E103A7455EB1}">
      <text>
        <r>
          <rPr>
            <sz val="14"/>
            <color rgb="FF000000"/>
            <rFont val="Times New Roman"/>
            <family val="18"/>
          </rPr>
          <t>ML 8835 GK Gal. 4. Abt. (1808-17) – RL Haupt. Siewerth 2. Komp. Nr. 153 (Ulscie Jesuizka 06/10/1810); ML Haupt. Siewerth 2. Komp. Nr.134 (Ulscie Jesuizka 02/09/1811); RL Haupt. Jekel 4. Komp. Nr. 245 (Mogillany 30/09/1812); Haupt. Jekel 4. Komp. Abgang (Oswienczim 25/09/1817)</t>
        </r>
        <r>
          <rPr>
            <sz val="14"/>
            <color rgb="FF000000"/>
            <rFont val="Calibri"/>
            <family val="34"/>
          </rPr>
          <t xml:space="preserve">
</t>
        </r>
      </text>
    </comment>
    <comment ref="BH900" authorId="0" shapeId="0" xr:uid="{BE99A67E-C03C-FE4C-80CB-F77BCB94B31E}">
      <text>
        <r>
          <rPr>
            <sz val="14"/>
            <color rgb="FF000000"/>
            <rFont val="Calibri"/>
            <family val="34"/>
          </rPr>
          <t xml:space="preserve">IR 22 (1805-1809)
</t>
        </r>
        <r>
          <rPr>
            <sz val="14"/>
            <color rgb="FF000000"/>
            <rFont val="Calibri"/>
            <family val="34"/>
          </rPr>
          <t xml:space="preserve">SInf (1809-1810)
</t>
        </r>
        <r>
          <rPr>
            <sz val="14"/>
            <color rgb="FF000000"/>
            <rFont val="Calibri"/>
            <family val="34"/>
          </rPr>
          <t>GK Gal 4. Abt (1810-1816)</t>
        </r>
      </text>
    </comment>
    <comment ref="BF901" authorId="0" shapeId="0" xr:uid="{34298A25-E26B-0748-B3F5-126F6C78E319}">
      <text>
        <r>
          <rPr>
            <sz val="14"/>
            <color rgb="FF000000"/>
            <rFont val="Times New Roman"/>
            <family val="18"/>
          </rPr>
          <t xml:space="preserve">22/08/1805 </t>
        </r>
        <r>
          <rPr>
            <i/>
            <sz val="14"/>
            <color rgb="FF000000"/>
            <rFont val="Times New Roman"/>
            <family val="18"/>
          </rPr>
          <t>Von Ständen gegen 3 Fl Handgeld mit 10 jährigen Capitulation zum IR 4 gestellt und zum Reserve Bataillon Haupt Legrani 1.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17. zum 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15/10/1806 </t>
        </r>
        <r>
          <rPr>
            <i/>
            <sz val="14"/>
            <color rgb="FF000000"/>
            <rFont val="Times New Roman"/>
            <family val="18"/>
          </rPr>
          <t>Ins Armee Spital Unwissend verloren gegangen</t>
        </r>
        <r>
          <rPr>
            <sz val="14"/>
            <color rgb="FF000000"/>
            <rFont val="Times New Roman"/>
            <family val="18"/>
          </rPr>
          <t xml:space="preserve"> [ST Oct 1806 &amp; ML 1806]</t>
        </r>
      </text>
    </comment>
    <comment ref="BG901" authorId="0" shapeId="0" xr:uid="{14E5AE8E-C167-994A-9CCE-9CBE09AB78A6}">
      <text>
        <r>
          <rPr>
            <sz val="14"/>
            <color rgb="FF000000"/>
            <rFont val="Times New Roman"/>
            <family val="18"/>
          </rPr>
          <t xml:space="preserve">22/08/1805 </t>
        </r>
        <r>
          <rPr>
            <i/>
            <sz val="14"/>
            <color rgb="FF000000"/>
            <rFont val="Times New Roman"/>
            <family val="18"/>
          </rPr>
          <t>Von Ständen gegen 3 Fl Handgeld mit 10 jährigen Capitulation zum IR 4 gestellt und zum Reserve Bataillon Haupt Legrani 1.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17. zum 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15/10/1806 </t>
        </r>
        <r>
          <rPr>
            <i/>
            <sz val="14"/>
            <color rgb="FF000000"/>
            <rFont val="Times New Roman"/>
            <family val="18"/>
          </rPr>
          <t>Ins Armee Spital Unwissend verloren gegangen</t>
        </r>
        <r>
          <rPr>
            <sz val="14"/>
            <color rgb="FF000000"/>
            <rFont val="Times New Roman"/>
            <family val="18"/>
          </rPr>
          <t xml:space="preserve"> [ST Oct 1806 &amp; ML 1806]</t>
        </r>
        <r>
          <rPr>
            <sz val="14"/>
            <color rgb="FF000000"/>
            <rFont val="Calibri"/>
            <family val="34"/>
          </rPr>
          <t xml:space="preserve">
</t>
        </r>
      </text>
    </comment>
    <comment ref="BH901" authorId="0" shapeId="0" xr:uid="{A1F02507-8632-5247-9731-9915F3F63768}">
      <text>
        <r>
          <rPr>
            <sz val="14"/>
            <color rgb="FF000000"/>
            <rFont val="Calibri"/>
            <family val="34"/>
          </rPr>
          <t xml:space="preserve">IR 1 (1805-1806)
</t>
        </r>
      </text>
    </comment>
    <comment ref="BF902" authorId="0" shapeId="0" xr:uid="{899ACFAC-0212-0E42-B349-C5772B2A4060}">
      <text>
        <r>
          <rPr>
            <sz val="14"/>
            <color rgb="FF000000"/>
            <rFont val="Times New Roman"/>
            <family val="18"/>
          </rPr>
          <t xml:space="preserve">24/08/1805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01/11/1810 </t>
        </r>
        <r>
          <rPr>
            <i/>
            <sz val="14"/>
            <color rgb="FF000000"/>
            <rFont val="Times New Roman"/>
            <family val="18"/>
          </rPr>
          <t>Von Stauch inf.</t>
        </r>
        <r>
          <rPr>
            <sz val="14"/>
            <color rgb="FF000000"/>
            <rFont val="Times New Roman"/>
            <family val="18"/>
          </rPr>
          <t xml:space="preserve"> </t>
        </r>
        <r>
          <rPr>
            <b/>
            <sz val="14"/>
            <color rgb="FF000000"/>
            <rFont val="Times New Roman"/>
            <family val="18"/>
          </rPr>
          <t>[IR 24]</t>
        </r>
        <r>
          <rPr>
            <sz val="14"/>
            <color rgb="FF000000"/>
            <rFont val="Times New Roman"/>
            <family val="18"/>
          </rPr>
          <t xml:space="preserve"> </t>
        </r>
        <r>
          <rPr>
            <i/>
            <sz val="14"/>
            <color rgb="FF000000"/>
            <rFont val="Times New Roman"/>
            <family val="18"/>
          </rPr>
          <t>anherro</t>
        </r>
        <r>
          <rPr>
            <sz val="14"/>
            <color rgb="FF000000"/>
            <rFont val="Times New Roman"/>
            <family val="18"/>
          </rPr>
          <t xml:space="preserve"> </t>
        </r>
        <r>
          <rPr>
            <b/>
            <sz val="14"/>
            <color rgb="FF000000"/>
            <rFont val="Times New Roman"/>
            <family val="18"/>
          </rPr>
          <t xml:space="preserve">[IR 8]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12. Fus. Komp. Nr. 209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902" authorId="0" shapeId="0" xr:uid="{1AA6B61D-3EF6-B14D-8ED9-16EDD83C78FE}">
      <text>
        <r>
          <rPr>
            <sz val="14"/>
            <color rgb="FF000000"/>
            <rFont val="Times New Roman"/>
            <family val="18"/>
          </rPr>
          <t>IR 544 IR 8 (1811) – 12. Fus. Komp. Nr. 209 (Iglau 12/09/1811)</t>
        </r>
        <r>
          <rPr>
            <sz val="14"/>
            <color rgb="FF000000"/>
            <rFont val="Calibri"/>
            <family val="34"/>
          </rPr>
          <t xml:space="preserve">
</t>
        </r>
      </text>
    </comment>
    <comment ref="BH902" authorId="0" shapeId="0" xr:uid="{3C692AD2-B3BE-F747-BD45-8B19AF458B13}">
      <text>
        <r>
          <rPr>
            <sz val="14"/>
            <color rgb="FF000000"/>
            <rFont val="Calibri"/>
            <family val="34"/>
          </rPr>
          <t xml:space="preserve">IR 24 (1805-1810)
</t>
        </r>
        <r>
          <rPr>
            <sz val="14"/>
            <color rgb="FF000000"/>
            <rFont val="Calibri"/>
            <family val="34"/>
          </rPr>
          <t xml:space="preserve">IR 8 (1810-1811)
</t>
        </r>
      </text>
    </comment>
    <comment ref="BF903" authorId="0" shapeId="0" xr:uid="{23E4AA66-BC67-CF43-AC01-8E05658FFA59}">
      <text>
        <r>
          <rPr>
            <sz val="14"/>
            <color rgb="FF000000"/>
            <rFont val="Times New Roman"/>
            <family val="18"/>
          </rPr>
          <t xml:space="preserve">25/08/1805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9. Fus. Komp. Nr. 160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903" authorId="0" shapeId="0" xr:uid="{610144DC-A59A-8F45-BB90-7261CBA10066}">
      <text>
        <r>
          <rPr>
            <sz val="14"/>
            <color rgb="FF000000"/>
            <rFont val="Times New Roman"/>
            <family val="18"/>
          </rPr>
          <t>IR 544 IR 8 (1811) – 9. Fus. Komp. Nr. 160 (Iglau 12/09/1811)</t>
        </r>
        <r>
          <rPr>
            <sz val="14"/>
            <color rgb="FF000000"/>
            <rFont val="Calibri"/>
            <family val="34"/>
          </rPr>
          <t xml:space="preserve">
</t>
        </r>
      </text>
    </comment>
    <comment ref="BH903" authorId="0" shapeId="0" xr:uid="{1813B7AE-930D-4446-B670-F5B1982353C4}">
      <text>
        <r>
          <rPr>
            <sz val="14"/>
            <color rgb="FF000000"/>
            <rFont val="Calibri"/>
            <family val="34"/>
          </rPr>
          <t xml:space="preserve">IR 8 (1805-1811)
</t>
        </r>
      </text>
    </comment>
    <comment ref="BF904" authorId="0" shapeId="0" xr:uid="{F3A72372-E87B-7A42-8038-29C9D39ED589}">
      <text>
        <r>
          <rPr>
            <sz val="14"/>
            <color rgb="FF000000"/>
            <rFont val="Times New Roman"/>
            <family val="18"/>
          </rPr>
          <t xml:space="preserve">26/08/1805 </t>
        </r>
        <r>
          <rPr>
            <i/>
            <sz val="14"/>
            <color rgb="FF000000"/>
            <rFont val="Times New Roman"/>
            <family val="18"/>
          </rPr>
          <t>Zu EH Rainer Infanterie</t>
        </r>
        <r>
          <rPr>
            <sz val="14"/>
            <color rgb="FF000000"/>
            <rFont val="Times New Roman"/>
            <family val="18"/>
          </rPr>
          <t xml:space="preserve"> </t>
        </r>
        <r>
          <rPr>
            <b/>
            <sz val="14"/>
            <color rgb="FF000000"/>
            <rFont val="Times New Roman"/>
            <family val="18"/>
          </rPr>
          <t xml:space="preserve">[IR 11] </t>
        </r>
        <r>
          <rPr>
            <i/>
            <sz val="14"/>
            <color rgb="FF000000"/>
            <rFont val="Times New Roman"/>
            <family val="18"/>
          </rPr>
          <t>assentiert</t>
        </r>
        <r>
          <rPr>
            <sz val="14"/>
            <color rgb="FF000000"/>
            <rFont val="Times New Roman"/>
            <family val="18"/>
          </rPr>
          <t xml:space="preserve"> [ML 1811]
</t>
        </r>
        <r>
          <rPr>
            <sz val="14"/>
            <color rgb="FF000000"/>
            <rFont val="Times New Roman"/>
            <family val="18"/>
          </rPr>
          <t xml:space="preserve">16/05/1806 </t>
        </r>
        <r>
          <rPr>
            <i/>
            <sz val="14"/>
            <color rgb="FF000000"/>
            <rFont val="Times New Roman"/>
            <family val="18"/>
          </rPr>
          <t>Von 1. zum 11.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11/10/1808 </t>
        </r>
        <r>
          <rPr>
            <i/>
            <sz val="14"/>
            <color rgb="FF000000"/>
            <rFont val="Times New Roman"/>
            <family val="18"/>
          </rPr>
          <t>Zum Krainer-Kärntischer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01/04/1809 </t>
        </r>
        <r>
          <rPr>
            <i/>
            <sz val="14"/>
            <color rgb="FF000000"/>
            <rFont val="Times New Roman"/>
            <family val="18"/>
          </rPr>
          <t>Zur 8. Sanitäts-Companie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16/04/1810 </t>
        </r>
        <r>
          <rPr>
            <i/>
            <sz val="14"/>
            <color rgb="FF000000"/>
            <rFont val="Times New Roman"/>
            <family val="18"/>
          </rPr>
          <t>Zur Innen-Österreichischen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20/09/1810 Revision: GK IÖ 6. Komp. Nr. 158</t>
        </r>
        <r>
          <rPr>
            <sz val="14"/>
            <color rgb="FF000000"/>
            <rFont val="Calibri"/>
            <family val="34"/>
          </rPr>
          <t xml:space="preserve">
</t>
        </r>
        <r>
          <rPr>
            <sz val="14"/>
            <color rgb="FF000000"/>
            <rFont val="Times New Roman"/>
            <family val="18"/>
          </rPr>
          <t>10/09/1811 Muster: GK IÖ 6. Komp. Nr. 53</t>
        </r>
        <r>
          <rPr>
            <sz val="14"/>
            <color rgb="FF000000"/>
            <rFont val="Calibri"/>
            <family val="34"/>
          </rPr>
          <t xml:space="preserve">
</t>
        </r>
        <r>
          <rPr>
            <sz val="14"/>
            <color rgb="FF000000"/>
            <rFont val="Times New Roman"/>
            <family val="18"/>
          </rPr>
          <t>14/09/1812 Revision: GK IÖ 6. Komp. Nr. 101</t>
        </r>
        <r>
          <rPr>
            <sz val="14"/>
            <color rgb="FF000000"/>
            <rFont val="Calibri"/>
            <family val="34"/>
          </rPr>
          <t xml:space="preserve">
</t>
        </r>
        <r>
          <rPr>
            <sz val="14"/>
            <color rgb="FF000000"/>
            <rFont val="Times New Roman"/>
            <family val="18"/>
          </rPr>
          <t xml:space="preserve">31/08/1817 </t>
        </r>
        <r>
          <rPr>
            <i/>
            <sz val="14"/>
            <color rgb="FF000000"/>
            <rFont val="Times New Roman"/>
            <family val="18"/>
          </rPr>
          <t>In Folge höhe Kriegsratlichen Reskript deto Wien anf 25/04/1816 litt nr. 1992 und hohe Illyrischen Innen-Österreichischen commando detto Mai 1816 Lit. K Nr. 3974 als Ausgedienter Inländischer Capitulanten mit Abschied entlassen</t>
        </r>
        <r>
          <rPr>
            <sz val="14"/>
            <color rgb="FF000000"/>
            <rFont val="Times New Roman"/>
            <family val="18"/>
          </rPr>
          <t xml:space="preserve"> [ML 1817]</t>
        </r>
      </text>
    </comment>
    <comment ref="BG904" authorId="0" shapeId="0" xr:uid="{1F53E9D9-4487-B240-A4C9-7EB9A6817CAF}">
      <text>
        <r>
          <rPr>
            <sz val="14"/>
            <color rgb="FF000000"/>
            <rFont val="Times New Roman"/>
            <family val="18"/>
          </rPr>
          <t>ML 807/8 IR 11 (1806) – 11. Fus. Komp. Nr. 108 (Prague 23/12/1806)</t>
        </r>
        <r>
          <rPr>
            <sz val="14"/>
            <color rgb="FF000000"/>
            <rFont val="Calibri"/>
            <family val="34"/>
          </rPr>
          <t xml:space="preserve">
</t>
        </r>
        <r>
          <rPr>
            <sz val="14"/>
            <color rgb="FF000000"/>
            <rFont val="Times New Roman"/>
            <family val="18"/>
          </rPr>
          <t>ML 8750 GK IÖ (1810) – RL 6. Komp. [Haupt. Vischerall] 6. Nr. 158 (Marburg 20/09/1810); ML 6 Komp. [Haupt. Vischerall] Nr. 53 &amp; Zuwachs (Marburg 10/09/1811); RL 6. Komp. [Haupt. Vischerall] Nr, 101 (Pettau 14/09/1812); ML 6. Komp [Haupt. Rang] Abgang (Pettau 13/09/1817)</t>
        </r>
        <r>
          <rPr>
            <sz val="14"/>
            <color rgb="FF000000"/>
            <rFont val="Calibri"/>
            <family val="34"/>
          </rPr>
          <t xml:space="preserve">
</t>
        </r>
      </text>
    </comment>
    <comment ref="BH904" authorId="0" shapeId="0" xr:uid="{F05F7FCE-758B-1F4B-9224-B223C870084E}">
      <text>
        <r>
          <rPr>
            <sz val="14"/>
            <color rgb="FF000000"/>
            <rFont val="Calibri"/>
            <family val="34"/>
          </rPr>
          <t xml:space="preserve">IR 11 (1805-1808)
</t>
        </r>
        <r>
          <rPr>
            <sz val="14"/>
            <color rgb="FF000000"/>
            <rFont val="Calibri"/>
            <family val="34"/>
          </rPr>
          <t xml:space="preserve">GK Kr-Kär (1808-1809)
</t>
        </r>
        <r>
          <rPr>
            <sz val="14"/>
            <color rgb="FF000000"/>
            <rFont val="Calibri"/>
            <family val="34"/>
          </rPr>
          <t xml:space="preserve">8. SänC (1809-1810)
</t>
        </r>
        <r>
          <rPr>
            <sz val="14"/>
            <color rgb="FF000000"/>
            <rFont val="Calibri"/>
            <family val="34"/>
          </rPr>
          <t>GK IÖ (1810-1817)</t>
        </r>
      </text>
    </comment>
    <comment ref="BF905" authorId="0" shapeId="0" xr:uid="{15D13CED-F2B2-4C4F-88C5-84EF788C2B29}">
      <text>
        <r>
          <rPr>
            <sz val="14"/>
            <color rgb="FF000000"/>
            <rFont val="Times New Roman"/>
            <family val="18"/>
          </rPr>
          <t xml:space="preserve">In 09/1805 </t>
        </r>
        <r>
          <rPr>
            <i/>
            <sz val="14"/>
            <color rgb="FF000000"/>
            <rFont val="Times New Roman"/>
            <family val="18"/>
          </rPr>
          <t>zum MFWK assentiert</t>
        </r>
        <r>
          <rPr>
            <sz val="14"/>
            <color rgb="FF000000"/>
            <rFont val="Times New Roman"/>
            <family val="18"/>
          </rPr>
          <t xml:space="preserve"> [TL 1805]</t>
        </r>
        <r>
          <rPr>
            <sz val="14"/>
            <color rgb="FF000000"/>
            <rFont val="Calibri"/>
            <family val="34"/>
          </rPr>
          <t xml:space="preserve">
</t>
        </r>
        <r>
          <rPr>
            <sz val="14"/>
            <color rgb="FF000000"/>
            <rFont val="Times New Roman"/>
            <family val="18"/>
          </rPr>
          <t xml:space="preserve">11/10/1805 </t>
        </r>
        <r>
          <rPr>
            <i/>
            <sz val="14"/>
            <color rgb="FF000000"/>
            <rFont val="Times New Roman"/>
            <family val="18"/>
          </rPr>
          <t xml:space="preserve">Von MFWK Reserve Commando Nr. 1 zum HR 4 Regiment Fuhrwesen Personale Transferiert </t>
        </r>
        <r>
          <rPr>
            <sz val="14"/>
            <color rgb="FF000000"/>
            <rFont val="Times New Roman"/>
            <family val="18"/>
          </rPr>
          <t>[TL 1805 &amp; ST Oct 1805]</t>
        </r>
        <r>
          <rPr>
            <sz val="14"/>
            <color rgb="FF000000"/>
            <rFont val="Calibri"/>
            <family val="34"/>
          </rPr>
          <t xml:space="preserve">
</t>
        </r>
        <r>
          <rPr>
            <sz val="14"/>
            <color rgb="FF000000"/>
            <rFont val="Times New Roman"/>
            <family val="18"/>
          </rPr>
          <t xml:space="preserve">20/05/1806 </t>
        </r>
        <r>
          <rPr>
            <i/>
            <sz val="14"/>
            <color rgb="FF000000"/>
            <rFont val="Times New Roman"/>
            <family val="18"/>
          </rPr>
          <t>Von HR 4 Fuhrwesen Personale zum MLWK transferiert</t>
        </r>
        <r>
          <rPr>
            <sz val="14"/>
            <color rgb="FF000000"/>
            <rFont val="Times New Roman"/>
            <family val="18"/>
          </rPr>
          <t xml:space="preserve"> [ST May 1806]</t>
        </r>
      </text>
    </comment>
    <comment ref="BG905" authorId="0" shapeId="0" xr:uid="{2482FF09-727F-E94E-B2E9-9B0615CF814E}">
      <text>
        <r>
          <rPr>
            <sz val="14"/>
            <color rgb="FF000000"/>
            <rFont val="Calibri"/>
            <family val="34"/>
          </rPr>
          <t xml:space="preserve">ML 7467 HR 4 (1805) – TL MFWK -&gt; HR 4 Nr. 6 (Linz 09/10/1805) &amp; ST Oct (23/06/1806) und ST Dezember (24/07/1806)
</t>
        </r>
        <r>
          <rPr>
            <sz val="14"/>
            <color rgb="FF000000"/>
            <rFont val="Calibri"/>
            <family val="34"/>
          </rPr>
          <t xml:space="preserve">ML 7468 HR 4 (1806) – ST Mai (19/02/1807)
</t>
        </r>
      </text>
    </comment>
    <comment ref="BH905" authorId="0" shapeId="0" xr:uid="{38CD9152-A6D8-8A4D-A136-7D4488B0C04B}">
      <text>
        <r>
          <rPr>
            <sz val="14"/>
            <color rgb="FF000000"/>
            <rFont val="Calibri"/>
            <family val="34"/>
          </rPr>
          <t>MFWK (1805-1806)</t>
        </r>
      </text>
    </comment>
    <comment ref="K906" authorId="0" shapeId="0" xr:uid="{4D6A8E15-38CD-7441-B107-6FB9B961C255}">
      <text>
        <r>
          <rPr>
            <sz val="14"/>
            <color rgb="FF000000"/>
            <rFont val="Calibri"/>
            <family val="34"/>
          </rPr>
          <t xml:space="preserve">Ohne (1806-1807)
</t>
        </r>
        <r>
          <rPr>
            <sz val="14"/>
            <color rgb="FF000000"/>
            <rFont val="Calibri"/>
            <family val="34"/>
          </rPr>
          <t>Fleischhacker (1809)</t>
        </r>
      </text>
    </comment>
    <comment ref="T906" authorId="0" shapeId="0" xr:uid="{0D278507-874F-EC46-93CC-74256CBC45E4}">
      <text>
        <r>
          <rPr>
            <sz val="14"/>
            <color rgb="FF000000"/>
            <rFont val="Calibri"/>
            <family val="34"/>
          </rPr>
          <t xml:space="preserve">5.2.2 [163.7 cm (AL 1809)]
</t>
        </r>
        <r>
          <rPr>
            <b/>
            <sz val="14"/>
            <color rgb="FF000000"/>
            <rFont val="Calibri"/>
            <family val="34"/>
          </rPr>
          <t>5.2.3 [163.92 cm (ML 1806/7)]</t>
        </r>
      </text>
    </comment>
    <comment ref="BF906" authorId="0" shapeId="0" xr:uid="{BA828F76-60D2-E243-BA46-594D31D6DF60}">
      <text>
        <r>
          <rPr>
            <sz val="14"/>
            <color rgb="FF000000"/>
            <rFont val="Times New Roman"/>
            <family val="18"/>
          </rPr>
          <t xml:space="preserve">06/09/1805 </t>
        </r>
        <r>
          <rPr>
            <i/>
            <sz val="14"/>
            <color rgb="FF000000"/>
            <rFont val="Times New Roman"/>
            <family val="18"/>
          </rPr>
          <t>A 3Fl Handgeld als Werbbezirk Rekrut zum IR 17 assentiert und zum 7. Fus. Komp. eingeteilt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18/10/1805 </t>
        </r>
        <r>
          <rPr>
            <i/>
            <sz val="14"/>
            <color rgb="FF000000"/>
            <rFont val="Times New Roman"/>
            <family val="18"/>
          </rPr>
          <t xml:space="preserve">Bei Benzenzimmern </t>
        </r>
        <r>
          <rPr>
            <b/>
            <sz val="14"/>
            <color rgb="FF000000"/>
            <rFont val="Times New Roman"/>
            <family val="18"/>
          </rPr>
          <t>[Capitulation von Treuchtlingen]</t>
        </r>
        <r>
          <rPr>
            <i/>
            <sz val="14"/>
            <color rgb="FF000000"/>
            <rFont val="Times New Roman"/>
            <family val="18"/>
          </rPr>
          <t xml:space="preserve"> in die französische Kriegsgefangenschaft geraten </t>
        </r>
        <r>
          <rPr>
            <sz val="14"/>
            <color rgb="FF000000"/>
            <rFont val="Times New Roman"/>
            <family val="18"/>
          </rPr>
          <t>[TL Sept 1807]</t>
        </r>
        <r>
          <rPr>
            <sz val="14"/>
            <color rgb="FF000000"/>
            <rFont val="Calibri"/>
            <family val="34"/>
          </rPr>
          <t xml:space="preserve">
</t>
        </r>
        <r>
          <rPr>
            <sz val="14"/>
            <color rgb="FF000000"/>
            <rFont val="Times New Roman"/>
            <family val="18"/>
          </rPr>
          <t xml:space="preserve">02/01/1806 </t>
        </r>
        <r>
          <rPr>
            <i/>
            <sz val="14"/>
            <color rgb="FF000000"/>
            <rFont val="Times New Roman"/>
            <family val="18"/>
          </rPr>
          <t>Von Kriegsgefangenschaft sich selbst ranzioniert und in loco zum 2. Reserve Abt.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2. Reserve Abt. zurück zum 7. Fus. Komp. transferiert</t>
        </r>
        <r>
          <rPr>
            <sz val="14"/>
            <color rgb="FF000000"/>
            <rFont val="Times New Roman"/>
            <family val="18"/>
          </rPr>
          <t xml:space="preserve"> [ML 1806]</t>
        </r>
        <r>
          <rPr>
            <sz val="14"/>
            <color rgb="FF000000"/>
            <rFont val="Calibri"/>
            <family val="34"/>
          </rPr>
          <t xml:space="preserve">
</t>
        </r>
        <r>
          <rPr>
            <sz val="14"/>
            <color rgb="FFFF0000"/>
            <rFont val="Times New Roman"/>
            <family val="18"/>
          </rPr>
          <t xml:space="preserve">11/1806 </t>
        </r>
        <r>
          <rPr>
            <i/>
            <sz val="14"/>
            <color rgb="FFFF0000"/>
            <rFont val="Times New Roman"/>
            <family val="18"/>
          </rPr>
          <t>Sich selbst ranzioniert</t>
        </r>
        <r>
          <rPr>
            <sz val="14"/>
            <color rgb="FFFF0000"/>
            <rFont val="Times New Roman"/>
            <family val="18"/>
          </rPr>
          <t xml:space="preserve"> [TL Sept 1807]</t>
        </r>
        <r>
          <rPr>
            <sz val="14"/>
            <color rgb="FF000000"/>
            <rFont val="Calibri"/>
            <family val="34"/>
          </rPr>
          <t xml:space="preserve">
</t>
        </r>
        <r>
          <rPr>
            <sz val="14"/>
            <color rgb="FF000000"/>
            <rFont val="Times New Roman"/>
            <family val="18"/>
          </rPr>
          <t>20/12/1806 Muster: IR 17 7. Fus. Komp. Nr. 78</t>
        </r>
        <r>
          <rPr>
            <sz val="14"/>
            <color rgb="FF000000"/>
            <rFont val="Calibri"/>
            <family val="34"/>
          </rPr>
          <t xml:space="preserve">
</t>
        </r>
        <r>
          <rPr>
            <sz val="14"/>
            <color rgb="FF000000"/>
            <rFont val="Times New Roman"/>
            <family val="18"/>
          </rPr>
          <t xml:space="preserve">01/05/1807 </t>
        </r>
        <r>
          <rPr>
            <i/>
            <sz val="14"/>
            <color rgb="FF000000"/>
            <rFont val="Times New Roman"/>
            <family val="18"/>
          </rPr>
          <t>Krank in Prag</t>
        </r>
        <r>
          <rPr>
            <sz val="14"/>
            <color rgb="FF000000"/>
            <rFont val="Times New Roman"/>
            <family val="18"/>
          </rPr>
          <t xml:space="preserve"> [ST May 1807]</t>
        </r>
        <r>
          <rPr>
            <sz val="14"/>
            <color rgb="FF000000"/>
            <rFont val="Calibri"/>
            <family val="34"/>
          </rPr>
          <t xml:space="preserve">
</t>
        </r>
        <r>
          <rPr>
            <sz val="14"/>
            <color rgb="FF000000"/>
            <rFont val="Times New Roman"/>
            <family val="18"/>
          </rPr>
          <t xml:space="preserve">10/09/1807 </t>
        </r>
        <r>
          <rPr>
            <i/>
            <sz val="14"/>
            <color rgb="FF000000"/>
            <rFont val="Times New Roman"/>
            <family val="18"/>
          </rPr>
          <t xml:space="preserve">Von 7. Fus. Komp. </t>
        </r>
        <r>
          <rPr>
            <sz val="14"/>
            <color rgb="FF000000"/>
            <rFont val="Times New Roman"/>
            <family val="18"/>
          </rPr>
          <t xml:space="preserve">[Haupt von Prahl] </t>
        </r>
        <r>
          <rPr>
            <i/>
            <sz val="14"/>
            <color rgb="FF000000"/>
            <rFont val="Times New Roman"/>
            <family val="18"/>
          </rPr>
          <t>zum IngH Prag zu Versorgung als Reale Invalid transferiert</t>
        </r>
        <r>
          <rPr>
            <sz val="14"/>
            <color rgb="FF000000"/>
            <rFont val="Times New Roman"/>
            <family val="18"/>
          </rPr>
          <t xml:space="preserve"> [TL Sept 1807 &amp; ST Sept 1807]</t>
        </r>
        <r>
          <rPr>
            <sz val="14"/>
            <color rgb="FF000000"/>
            <rFont val="Calibri"/>
            <family val="34"/>
          </rPr>
          <t xml:space="preserve">
</t>
        </r>
        <r>
          <rPr>
            <sz val="14"/>
            <color rgb="FF000000"/>
            <rFont val="Times New Roman"/>
            <family val="18"/>
          </rPr>
          <t xml:space="preserve">11/09/1807 </t>
        </r>
        <r>
          <rPr>
            <i/>
            <sz val="14"/>
            <color rgb="FF000000"/>
            <rFont val="Times New Roman"/>
            <family val="18"/>
          </rPr>
          <t>Kommt in InvH in Zuwachs und ist zum 19/20 Chambre zugeteilt, derselbe Tag mit Reservationsurkunde entlassen</t>
        </r>
        <r>
          <rPr>
            <sz val="14"/>
            <color rgb="FF000000"/>
            <rFont val="Times New Roman"/>
            <family val="18"/>
          </rPr>
          <t xml:space="preserve"> [ML 1808]</t>
        </r>
        <r>
          <rPr>
            <sz val="14"/>
            <color rgb="FF000000"/>
            <rFont val="Calibri"/>
            <family val="34"/>
          </rPr>
          <t xml:space="preserve">
</t>
        </r>
        <r>
          <rPr>
            <i/>
            <sz val="14"/>
            <color rgb="FF000000"/>
            <rFont val="Times New Roman"/>
            <family val="18"/>
          </rPr>
          <t>2 Jahren bei Reuss Plauen</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gedient [AL 1809]</t>
        </r>
        <r>
          <rPr>
            <sz val="14"/>
            <color rgb="FF000000"/>
            <rFont val="Calibri"/>
            <family val="34"/>
          </rPr>
          <t xml:space="preserve">
</t>
        </r>
        <r>
          <rPr>
            <sz val="14"/>
            <color rgb="FF000000"/>
            <rFont val="Times New Roman"/>
            <family val="18"/>
          </rPr>
          <t xml:space="preserve">22/03/1809 </t>
        </r>
        <r>
          <rPr>
            <i/>
            <sz val="14"/>
            <color rgb="FF000000"/>
            <rFont val="Times New Roman"/>
            <family val="18"/>
          </rPr>
          <t xml:space="preserve">A 15Fl Handgeld als Eximierte Inländer Rekrut in Leitmeritz zum Legion EH Carl 4. Bataillon engagiert und zum 1. Kompanie zugeteilt </t>
        </r>
        <r>
          <rPr>
            <sz val="14"/>
            <color rgb="FF000000"/>
            <rFont val="Times New Roman"/>
            <family val="18"/>
          </rPr>
          <t>[AL March 1809 &amp; ST March 1809]</t>
        </r>
        <r>
          <rPr>
            <sz val="14"/>
            <color rgb="FF000000"/>
            <rFont val="Calibri"/>
            <family val="34"/>
          </rPr>
          <t xml:space="preserve">
</t>
        </r>
        <r>
          <rPr>
            <sz val="14"/>
            <color rgb="FF000000"/>
            <rFont val="Times New Roman"/>
            <family val="18"/>
          </rPr>
          <t xml:space="preserve">16/04/1809 </t>
        </r>
        <r>
          <rPr>
            <i/>
            <sz val="14"/>
            <color rgb="FF000000"/>
            <rFont val="Times New Roman"/>
            <family val="18"/>
          </rPr>
          <t>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Während der Marche vermisst</t>
        </r>
        <r>
          <rPr>
            <sz val="14"/>
            <color rgb="FF000000"/>
            <rFont val="Times New Roman"/>
            <family val="18"/>
          </rPr>
          <t xml:space="preserve"> </t>
        </r>
        <r>
          <rPr>
            <b/>
            <sz val="14"/>
            <color rgb="FF000000"/>
            <rFont val="Times New Roman"/>
            <family val="18"/>
          </rPr>
          <t>[Schlacht bei Regensburg]</t>
        </r>
        <r>
          <rPr>
            <sz val="14"/>
            <color rgb="FF000000"/>
            <rFont val="Times New Roman"/>
            <family val="18"/>
          </rPr>
          <t xml:space="preserve"> [ST April 1809] </t>
        </r>
      </text>
    </comment>
    <comment ref="BG906" authorId="0" shapeId="0" xr:uid="{6DCB5974-1A48-8943-9682-0897B5E0519A}">
      <text>
        <r>
          <rPr>
            <sz val="14"/>
            <color rgb="FF000000"/>
            <rFont val="Times New Roman"/>
            <family val="18"/>
          </rPr>
          <t>ML 1319-21 IR 17 (1806) – 7. Fus. Komp. Nr. 78 (Theresienstadt 20/12/1806)</t>
        </r>
        <r>
          <rPr>
            <sz val="14"/>
            <color rgb="FF000000"/>
            <rFont val="Calibri"/>
            <family val="34"/>
          </rPr>
          <t xml:space="preserve">
</t>
        </r>
        <r>
          <rPr>
            <sz val="14"/>
            <color rgb="FF000000"/>
            <rFont val="Times New Roman"/>
            <family val="18"/>
          </rPr>
          <t>ML 1322 IR 17 (1808) – 7. Fus. Komp. Abgang (Theresienstadt 12/09/1808)</t>
        </r>
        <r>
          <rPr>
            <sz val="14"/>
            <color rgb="FF000000"/>
            <rFont val="Calibri"/>
            <family val="34"/>
          </rPr>
          <t xml:space="preserve">
</t>
        </r>
        <r>
          <rPr>
            <sz val="14"/>
            <color rgb="FF000000"/>
            <rFont val="Times New Roman"/>
            <family val="18"/>
          </rPr>
          <t>ML 1370 IR 17 (1807) – ST May (Leitmeritz 10/08/1807), Sept (Leitmeritz 20/10/1807)</t>
        </r>
        <r>
          <rPr>
            <sz val="14"/>
            <color rgb="FF000000"/>
            <rFont val="Calibri"/>
            <family val="34"/>
          </rPr>
          <t xml:space="preserve">
</t>
        </r>
        <r>
          <rPr>
            <sz val="14"/>
            <color rgb="FF000000"/>
            <rFont val="Times New Roman"/>
            <family val="18"/>
          </rPr>
          <t>ML 1371 IR 17 (1807) – AL Nr. 1 (Leitmeritz 17/09/1807)</t>
        </r>
        <r>
          <rPr>
            <sz val="14"/>
            <color rgb="FF000000"/>
            <rFont val="Calibri"/>
            <family val="34"/>
          </rPr>
          <t xml:space="preserve">
</t>
        </r>
        <r>
          <rPr>
            <sz val="14"/>
            <color rgb="FF000000"/>
            <rFont val="Times New Roman"/>
            <family val="18"/>
          </rPr>
          <t>ML 9663 InvH Prag (1808) – 19./20. Chambre Zuwachs &amp; Abgang (Prague 12/07/1808)</t>
        </r>
        <r>
          <rPr>
            <sz val="14"/>
            <color rgb="FF000000"/>
            <rFont val="Calibri"/>
            <family val="34"/>
          </rPr>
          <t xml:space="preserve">
</t>
        </r>
        <r>
          <rPr>
            <sz val="14"/>
            <color rgb="FF000000"/>
            <rFont val="Times New Roman"/>
            <family val="18"/>
          </rPr>
          <t>ML 9705 InvH Prag (1807) – ST Sept (Prague 26/10/1808)</t>
        </r>
        <r>
          <rPr>
            <sz val="14"/>
            <color rgb="FF000000"/>
            <rFont val="Calibri"/>
            <family val="34"/>
          </rPr>
          <t xml:space="preserve">
</t>
        </r>
        <r>
          <rPr>
            <sz val="14"/>
            <color rgb="FF000000"/>
            <rFont val="Times New Roman"/>
            <family val="18"/>
          </rPr>
          <t>ML 10.818 Legion EH Carl 4. Bat. (1809-10) – AL. Nr. 43 (Leitmeritz, 24/03/1809); ST March 1809 (Prague 23/03/1810); April (Prague 19/05/1810)</t>
        </r>
      </text>
    </comment>
    <comment ref="BH906" authorId="0" shapeId="0" xr:uid="{900287DC-A5B1-2642-8CC0-8B5D74A5ED88}">
      <text>
        <r>
          <rPr>
            <sz val="14"/>
            <color rgb="FF000000"/>
            <rFont val="Calibri"/>
            <family val="34"/>
          </rPr>
          <t xml:space="preserve">IR 17 (1805-1807)
</t>
        </r>
        <r>
          <rPr>
            <sz val="14"/>
            <color rgb="FF000000"/>
            <rFont val="Calibri"/>
            <family val="34"/>
          </rPr>
          <t xml:space="preserve">InvH Prag (1807)
</t>
        </r>
        <r>
          <rPr>
            <sz val="14"/>
            <color rgb="FF000000"/>
            <rFont val="Calibri"/>
            <family val="34"/>
          </rPr>
          <t>Legion EH Carl (1809)</t>
        </r>
      </text>
    </comment>
    <comment ref="BJ906" authorId="0" shapeId="0" xr:uid="{53B25917-ED91-AB46-BA52-CF3E4B2656E0}">
      <text>
        <r>
          <rPr>
            <i/>
            <sz val="14"/>
            <color rgb="FF000000"/>
            <rFont val="Times New Roman"/>
            <family val="18"/>
          </rPr>
          <t>Mit wirklich verböten Blutspucken und seht kurzen atmen von einem Stoße auf dem Brust durch einem Gewehr Kolbe beim Ulm, Sehr schwäche Gehör, und periodischen Ohrenausfluss</t>
        </r>
        <r>
          <rPr>
            <sz val="14"/>
            <color rgb="FF000000"/>
            <rFont val="Times New Roman"/>
            <family val="18"/>
          </rPr>
          <t xml:space="preserve"> [TL Sept 1807]</t>
        </r>
        <r>
          <rPr>
            <sz val="14"/>
            <color rgb="FF000000"/>
            <rFont val="Calibri"/>
            <family val="2"/>
          </rPr>
          <t xml:space="preserve"> </t>
        </r>
      </text>
    </comment>
    <comment ref="C907" authorId="0" shapeId="0" xr:uid="{EB814FAB-80F9-C44F-829B-2FF8A21A36AA}">
      <text>
        <r>
          <rPr>
            <b/>
            <i/>
            <sz val="14"/>
            <color rgb="FF000000"/>
            <rFont val="Times New Roman"/>
            <family val="18"/>
          </rPr>
          <t>Gillina</t>
        </r>
        <r>
          <rPr>
            <b/>
            <sz val="14"/>
            <color rgb="FF000000"/>
            <rFont val="Times New Roman"/>
            <family val="18"/>
          </rPr>
          <t xml:space="preserve"> 
</t>
        </r>
        <r>
          <rPr>
            <sz val="14"/>
            <color rgb="FF000000"/>
            <rFont val="Times New Roman"/>
            <family val="18"/>
          </rPr>
          <t xml:space="preserve">or
</t>
        </r>
        <r>
          <rPr>
            <i/>
            <sz val="14"/>
            <color rgb="FF000000"/>
            <rFont val="Times New Roman"/>
            <family val="18"/>
          </rPr>
          <t>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Calibri"/>
            <family val="2"/>
          </rPr>
          <t xml:space="preserve"> </t>
        </r>
      </text>
    </comment>
    <comment ref="D907" authorId="0" shapeId="0" xr:uid="{B1BB64DF-EB68-674E-9F30-50424536ACC0}">
      <text>
        <r>
          <rPr>
            <b/>
            <i/>
            <sz val="14"/>
            <color rgb="FF000000"/>
            <rFont val="Times New Roman"/>
            <family val="18"/>
          </rPr>
          <t>Killingar</t>
        </r>
        <r>
          <rPr>
            <b/>
            <sz val="14"/>
            <color rgb="FF000000"/>
            <rFont val="Times New Roman"/>
            <family val="18"/>
          </rPr>
          <t xml:space="preserve">
</t>
        </r>
        <r>
          <rPr>
            <sz val="14"/>
            <color rgb="FF000000"/>
            <rFont val="Times New Roman"/>
            <family val="18"/>
          </rPr>
          <t xml:space="preserve">or
</t>
        </r>
        <r>
          <rPr>
            <i/>
            <sz val="14"/>
            <color rgb="FF000000"/>
            <rFont val="Times New Roman"/>
            <family val="18"/>
          </rPr>
          <t>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Calibri"/>
            <family val="2"/>
          </rPr>
          <t xml:space="preserve"> </t>
        </r>
      </text>
    </comment>
    <comment ref="E907" authorId="0" shapeId="0" xr:uid="{98FB9C21-88D2-1E48-B68F-5F264D51BD46}">
      <text>
        <r>
          <rPr>
            <b/>
            <i/>
            <sz val="14"/>
            <color rgb="FF000000"/>
            <rFont val="Times New Roman"/>
            <family val="18"/>
          </rPr>
          <t>Sambor</t>
        </r>
        <r>
          <rPr>
            <b/>
            <sz val="14"/>
            <color rgb="FF000000"/>
            <rFont val="Times New Roman"/>
            <family val="18"/>
          </rPr>
          <t xml:space="preserve">
</t>
        </r>
        <r>
          <rPr>
            <sz val="14"/>
            <color rgb="FF000000"/>
            <rFont val="Times New Roman"/>
            <family val="18"/>
          </rPr>
          <t xml:space="preserve">or
</t>
        </r>
        <r>
          <rPr>
            <i/>
            <sz val="14"/>
            <color rgb="FF000000"/>
            <rFont val="Times New Roman"/>
            <family val="18"/>
          </rPr>
          <t>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Calibri"/>
            <family val="2"/>
          </rPr>
          <t xml:space="preserve"> </t>
        </r>
      </text>
    </comment>
    <comment ref="I907" authorId="0" shapeId="0" xr:uid="{B7885712-8009-0246-BF08-20A8DF3827CB}">
      <text>
        <r>
          <rPr>
            <sz val="14"/>
            <color rgb="FF000000"/>
            <rFont val="Calibri"/>
            <family val="34"/>
          </rPr>
          <t xml:space="preserve">1784 [30 (SUP 1814)]
</t>
        </r>
        <r>
          <rPr>
            <sz val="14"/>
            <color rgb="FF000000"/>
            <rFont val="Calibri"/>
            <family val="34"/>
          </rPr>
          <t xml:space="preserve">OR
</t>
        </r>
        <r>
          <rPr>
            <b/>
            <sz val="14"/>
            <color rgb="FF000000"/>
            <rFont val="Calibri"/>
            <family val="34"/>
          </rPr>
          <t>1788 [24 (TL Jan 1813)]</t>
        </r>
        <r>
          <rPr>
            <sz val="14"/>
            <color rgb="FF000000"/>
            <rFont val="Calibri"/>
            <family val="34"/>
          </rPr>
          <t xml:space="preserve">
</t>
        </r>
      </text>
    </comment>
    <comment ref="BF907" authorId="0" shapeId="0" xr:uid="{87DE8F8C-F7C3-BC40-8A32-6692D8EB3B20}">
      <text>
        <r>
          <rPr>
            <sz val="14"/>
            <color rgb="FF000000"/>
            <rFont val="Times New Roman"/>
            <family val="18"/>
          </rPr>
          <t xml:space="preserve">10/09/1805 </t>
        </r>
        <r>
          <rPr>
            <i/>
            <sz val="14"/>
            <color rgb="FF000000"/>
            <rFont val="Times New Roman"/>
            <family val="18"/>
          </rPr>
          <t>Assentiert</t>
        </r>
        <r>
          <rPr>
            <sz val="14"/>
            <color rgb="FF000000"/>
            <rFont val="Times New Roman"/>
            <family val="18"/>
          </rPr>
          <t xml:space="preserve"> [TL Jan 1813]</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IR 29 3. Fus. Komp zum IR 1 transferiert und zur 1. Depot Komp. eingeheilt</t>
        </r>
        <r>
          <rPr>
            <sz val="14"/>
            <color rgb="FF000000"/>
            <rFont val="Times New Roman"/>
            <family val="18"/>
          </rPr>
          <t xml:space="preserve"> [TL Jan 1813 &amp; ST Dec 1812]</t>
        </r>
        <r>
          <rPr>
            <sz val="14"/>
            <color rgb="FF000000"/>
            <rFont val="Calibri"/>
            <family val="34"/>
          </rPr>
          <t xml:space="preserve">
</t>
        </r>
        <r>
          <rPr>
            <sz val="14"/>
            <color rgb="FF000000"/>
            <rFont val="Times New Roman"/>
            <family val="18"/>
          </rPr>
          <t xml:space="preserve">21/02/1813 </t>
        </r>
        <r>
          <rPr>
            <i/>
            <sz val="14"/>
            <color rgb="FF000000"/>
            <rFont val="Times New Roman"/>
            <family val="18"/>
          </rPr>
          <t>Von 1. Depot zum 13. Fus. Komp. transferiert</t>
        </r>
        <r>
          <rPr>
            <sz val="14"/>
            <color rgb="FF000000"/>
            <rFont val="Times New Roman"/>
            <family val="18"/>
          </rPr>
          <t xml:space="preserve"> [ST Feb 1813]</t>
        </r>
        <r>
          <rPr>
            <sz val="14"/>
            <color rgb="FF000000"/>
            <rFont val="Calibri"/>
            <family val="34"/>
          </rPr>
          <t xml:space="preserve">
</t>
        </r>
        <r>
          <rPr>
            <sz val="14"/>
            <color rgb="FF000000"/>
            <rFont val="Times New Roman"/>
            <family val="18"/>
          </rPr>
          <t xml:space="preserve">23/11/1813 </t>
        </r>
        <r>
          <rPr>
            <i/>
            <sz val="14"/>
            <color rgb="FF000000"/>
            <rFont val="Times New Roman"/>
            <family val="18"/>
          </rPr>
          <t>Wegen Bluthusten und Unheilbaren Heiserkeit zu Brünn superarbitriert</t>
        </r>
        <r>
          <rPr>
            <sz val="14"/>
            <color rgb="FF000000"/>
            <rFont val="Times New Roman"/>
            <family val="18"/>
          </rPr>
          <t>; Sind alle Mittel fruchtlos angewendet worden: Als Reale Invalid mit Abschied zu entlassen [SUP Nov 1814]</t>
        </r>
        <r>
          <rPr>
            <sz val="14"/>
            <color rgb="FF000000"/>
            <rFont val="Calibri"/>
            <family val="34"/>
          </rPr>
          <t xml:space="preserve">
</t>
        </r>
        <r>
          <rPr>
            <sz val="14"/>
            <color rgb="FF000000"/>
            <rFont val="Times New Roman"/>
            <family val="18"/>
          </rPr>
          <t xml:space="preserve">31/12/1813 </t>
        </r>
        <r>
          <rPr>
            <i/>
            <sz val="14"/>
            <color rgb="FF000000"/>
            <rFont val="Times New Roman"/>
            <family val="18"/>
          </rPr>
          <t>Vermog damit selber unter 23. November 813 zu Brünn geschehenen Superarbitrio als Real Invalid mit Abschied entlassen</t>
        </r>
        <r>
          <rPr>
            <sz val="14"/>
            <color rgb="FF000000"/>
            <rFont val="Times New Roman"/>
            <family val="18"/>
          </rPr>
          <t xml:space="preserve"> [SUP Nov 1814]</t>
        </r>
        <r>
          <rPr>
            <sz val="14"/>
            <color rgb="FF000000"/>
            <rFont val="Calibri"/>
            <family val="34"/>
          </rPr>
          <t xml:space="preserve">
</t>
        </r>
        <r>
          <rPr>
            <sz val="14"/>
            <color rgb="FFFF0000"/>
            <rFont val="Times New Roman"/>
            <family val="18"/>
          </rPr>
          <t xml:space="preserve">23/11/1814 </t>
        </r>
        <r>
          <rPr>
            <i/>
            <sz val="14"/>
            <color rgb="FFFF0000"/>
            <rFont val="Times New Roman"/>
            <family val="18"/>
          </rPr>
          <t xml:space="preserve">Als Angehöriger von 12. Fus Komp zu Obrowitz superarbietriert </t>
        </r>
        <r>
          <rPr>
            <sz val="14"/>
            <color rgb="FFFF0000"/>
            <rFont val="Times New Roman"/>
            <family val="18"/>
          </rPr>
          <t>[ST Nov 1814]</t>
        </r>
        <r>
          <rPr>
            <sz val="14"/>
            <color rgb="FF000000"/>
            <rFont val="Calibri"/>
            <family val="34"/>
          </rPr>
          <t xml:space="preserve">
</t>
        </r>
      </text>
    </comment>
    <comment ref="BG907" authorId="0" shapeId="0" xr:uid="{3EC52DBD-0EA2-644B-86BD-C870BBDD7557}">
      <text>
        <r>
          <rPr>
            <sz val="14"/>
            <color rgb="FF000000"/>
            <rFont val="Times New Roman"/>
            <family val="18"/>
          </rPr>
          <t>ML 97 IR 1 (1812) – ST Dec (Proßnitz 08/05/1813)</t>
        </r>
        <r>
          <rPr>
            <sz val="14"/>
            <color rgb="FF000000"/>
            <rFont val="Calibri"/>
            <family val="34"/>
          </rPr>
          <t xml:space="preserve">
</t>
        </r>
        <r>
          <rPr>
            <sz val="14"/>
            <color rgb="FF000000"/>
            <rFont val="Times New Roman"/>
            <family val="18"/>
          </rPr>
          <t>ML 98 IR 1 (1812) AL/TL – TL IR 29-&gt;IR 1 Nr. 12 (Brünn 13/01/1813)</t>
        </r>
        <r>
          <rPr>
            <sz val="14"/>
            <color rgb="FF000000"/>
            <rFont val="Calibri"/>
            <family val="34"/>
          </rPr>
          <t xml:space="preserve">
</t>
        </r>
        <r>
          <rPr>
            <sz val="14"/>
            <color rgb="FF000000"/>
            <rFont val="Times New Roman"/>
            <family val="18"/>
          </rPr>
          <t>ML 99 IR 1 (1812) – ST Feb (Proßnitz 20/06/1813)</t>
        </r>
        <r>
          <rPr>
            <sz val="14"/>
            <color rgb="FF000000"/>
            <rFont val="Calibri"/>
            <family val="34"/>
          </rPr>
          <t xml:space="preserve">
</t>
        </r>
        <r>
          <rPr>
            <sz val="14"/>
            <color rgb="FF000000"/>
            <rFont val="Times New Roman"/>
            <family val="18"/>
          </rPr>
          <t>ML 102 IR 1 (1814) – ST January (Proßnitz 01/07/1814)</t>
        </r>
        <r>
          <rPr>
            <sz val="14"/>
            <color rgb="FF000000"/>
            <rFont val="Calibri"/>
            <family val="34"/>
          </rPr>
          <t xml:space="preserve">
</t>
        </r>
        <r>
          <rPr>
            <sz val="14"/>
            <color rgb="FF000000"/>
            <rFont val="Times New Roman"/>
            <family val="18"/>
          </rPr>
          <t>ML 104 IR 1 (1814) AL/TL – SUP Nr. 1 (Obrowitz 23/11/1814)</t>
        </r>
      </text>
    </comment>
    <comment ref="BH907" authorId="0" shapeId="0" xr:uid="{4E59EC5E-0409-E143-AC69-9740C3955610}">
      <text>
        <r>
          <rPr>
            <sz val="14"/>
            <color rgb="FF000000"/>
            <rFont val="Calibri"/>
            <family val="34"/>
          </rPr>
          <t xml:space="preserve">IR 29 (1805-1812)
</t>
        </r>
        <r>
          <rPr>
            <sz val="14"/>
            <color rgb="FF000000"/>
            <rFont val="Calibri"/>
            <family val="34"/>
          </rPr>
          <t>IR 1 (1812-1813)</t>
        </r>
      </text>
    </comment>
    <comment ref="BF908" authorId="0" shapeId="0" xr:uid="{13231983-C463-234F-8D6F-797C78939A91}">
      <text>
        <r>
          <rPr>
            <sz val="14"/>
            <color rgb="FF000000"/>
            <rFont val="Times New Roman"/>
            <family val="18"/>
          </rPr>
          <t xml:space="preserve">10/09/1805 </t>
        </r>
        <r>
          <rPr>
            <i/>
            <sz val="14"/>
            <color rgb="FF000000"/>
            <rFont val="Times New Roman"/>
            <family val="18"/>
          </rPr>
          <t>Von Ständen gegen 3 Fl Handgeld mit 10 jährigen Capitulation zum IR 4 gestellt und zum Reserve Bataillon Haupt Legrani 1. Komp. eingeteilt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17. Fus. Komp. zum Reserve Division</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01/05/1806 Als angehöriger von Haupt Siegel Komp. superarbietriert: </t>
        </r>
        <r>
          <rPr>
            <i/>
            <sz val="14"/>
            <color rgb="FF000000"/>
            <rFont val="Times New Roman"/>
            <family val="18"/>
          </rPr>
          <t>Als reale Invalid anerkannt und mit Abschied ohne dienst Gratiale zu entlassen</t>
        </r>
        <r>
          <rPr>
            <sz val="14"/>
            <color rgb="FF000000"/>
            <rFont val="Times New Roman"/>
            <family val="18"/>
          </rPr>
          <t xml:space="preserve"> [SUP May 1806]</t>
        </r>
        <r>
          <rPr>
            <sz val="14"/>
            <color rgb="FF000000"/>
            <rFont val="Calibri"/>
            <family val="34"/>
          </rPr>
          <t xml:space="preserve">
</t>
        </r>
        <r>
          <rPr>
            <sz val="14"/>
            <color rgb="FF000000"/>
            <rFont val="Times New Roman"/>
            <family val="18"/>
          </rPr>
          <t xml:space="preserve">31/05/1806 </t>
        </r>
        <r>
          <rPr>
            <i/>
            <sz val="14"/>
            <color rgb="FF000000"/>
            <rFont val="Times New Roman"/>
            <family val="18"/>
          </rPr>
          <t>Zu Folge hoher General Commando Verordnung ddt. Brünn den 6. April 806 Litt R. Nr. 2357 und nach der mit selbe am 11. Mai zu Brünn bestehende Superarbietrierung als Schwächling mit Laufpass entlassen</t>
        </r>
        <r>
          <rPr>
            <sz val="14"/>
            <color rgb="FF000000"/>
            <rFont val="Times New Roman"/>
            <family val="18"/>
          </rPr>
          <t xml:space="preserve"> [ML May 1806]</t>
        </r>
        <r>
          <rPr>
            <sz val="14"/>
            <color rgb="FF000000"/>
            <rFont val="Calibri"/>
            <family val="34"/>
          </rPr>
          <t xml:space="preserve">
</t>
        </r>
      </text>
    </comment>
    <comment ref="BG908" authorId="0" shapeId="0" xr:uid="{CFD5D568-D0C4-E249-839B-EC264B3845FA}">
      <text>
        <r>
          <rPr>
            <sz val="14"/>
            <color rgb="FF000000"/>
            <rFont val="Times New Roman"/>
            <family val="18"/>
          </rPr>
          <t>ML 83 IR 1 (1805) – ST Nov (Brünn 12/09/1806)</t>
        </r>
        <r>
          <rPr>
            <sz val="14"/>
            <color rgb="FF000000"/>
            <rFont val="Calibri"/>
            <family val="34"/>
          </rPr>
          <t xml:space="preserve">
</t>
        </r>
        <r>
          <rPr>
            <sz val="14"/>
            <color rgb="FF000000"/>
            <rFont val="Times New Roman"/>
            <family val="18"/>
          </rPr>
          <t>ML 84 IR 1 (1805) – AL Nr. 3 (Brzezan 25/09/1805)</t>
        </r>
        <r>
          <rPr>
            <sz val="14"/>
            <color rgb="FF000000"/>
            <rFont val="Calibri"/>
            <family val="34"/>
          </rPr>
          <t xml:space="preserve">
</t>
        </r>
        <r>
          <rPr>
            <sz val="14"/>
            <color rgb="FF000000"/>
            <rFont val="Times New Roman"/>
            <family val="18"/>
          </rPr>
          <t>ML 85 IR 1 (1806) – ST May (Brünn 16/05/1807)</t>
        </r>
        <r>
          <rPr>
            <sz val="14"/>
            <color rgb="FF000000"/>
            <rFont val="Calibri"/>
            <family val="34"/>
          </rPr>
          <t xml:space="preserve">
</t>
        </r>
        <r>
          <rPr>
            <sz val="14"/>
            <color rgb="FF000000"/>
            <rFont val="Times New Roman"/>
            <family val="18"/>
          </rPr>
          <t>ML 86 IR 1 (1806) – SUP Nr. 49 (Brünn 01/05/1806)</t>
        </r>
        <r>
          <rPr>
            <sz val="14"/>
            <color rgb="FF000000"/>
            <rFont val="Calibri"/>
            <family val="34"/>
          </rPr>
          <t xml:space="preserve">
</t>
        </r>
      </text>
    </comment>
    <comment ref="BH908" authorId="0" shapeId="0" xr:uid="{1EFC8440-DF6D-CD4F-A31E-6580B9CA5489}">
      <text>
        <r>
          <rPr>
            <sz val="14"/>
            <color rgb="FF000000"/>
            <rFont val="Calibri"/>
            <family val="34"/>
          </rPr>
          <t>IR 1 (1805-1806)</t>
        </r>
      </text>
    </comment>
    <comment ref="BJ908" authorId="0" shapeId="0" xr:uid="{81C344AB-BF2C-B24F-A14D-9117850F631E}">
      <text>
        <r>
          <rPr>
            <i/>
            <sz val="14"/>
            <color rgb="FF000000"/>
            <rFont val="Times New Roman"/>
            <family val="18"/>
          </rPr>
          <t>Kopfgründ</t>
        </r>
        <r>
          <rPr>
            <sz val="14"/>
            <color rgb="FF000000"/>
            <rFont val="Times New Roman"/>
            <family val="18"/>
          </rPr>
          <t xml:space="preserve"> </t>
        </r>
        <r>
          <rPr>
            <b/>
            <sz val="14"/>
            <color rgb="FF000000"/>
            <rFont val="Times New Roman"/>
            <family val="18"/>
          </rPr>
          <t>[Favus]</t>
        </r>
        <r>
          <rPr>
            <sz val="14"/>
            <color rgb="FF000000"/>
            <rFont val="Times New Roman"/>
            <family val="18"/>
          </rPr>
          <t>, nach assentieren bekommen [SUP May 1806]</t>
        </r>
      </text>
    </comment>
    <comment ref="BF909" authorId="0" shapeId="0" xr:uid="{A0A32D2B-ACA2-BC4A-9895-C1EF58525799}">
      <text>
        <r>
          <rPr>
            <sz val="14"/>
            <color rgb="FF000000"/>
            <rFont val="Times New Roman"/>
            <family val="18"/>
          </rPr>
          <t xml:space="preserve">10/09/1805 </t>
        </r>
        <r>
          <rPr>
            <i/>
            <sz val="14"/>
            <color rgb="FF000000"/>
            <rFont val="Times New Roman"/>
            <family val="18"/>
          </rPr>
          <t>Von deren Landständen gestellt und a 3Fl Handgeld in Chelm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 xml:space="preserve">Von dissolvierte 1. Reserve Komp.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29/12/1806 Muster: IR 4 7. Fus. Komp. Nr. 117</t>
        </r>
      </text>
    </comment>
    <comment ref="BG909" authorId="0" shapeId="0" xr:uid="{87BB3DCB-FE52-7445-9C02-B156A90C1AE0}">
      <text>
        <r>
          <rPr>
            <sz val="14"/>
            <color rgb="FF000000"/>
            <rFont val="Times New Roman"/>
            <family val="18"/>
          </rPr>
          <t>ML 349/50 IR 4 (1806) – 7. Fus. Komp. Nr. 117 (Laxenburg 29/12/1806)</t>
        </r>
        <r>
          <rPr>
            <sz val="14"/>
            <color rgb="FF000000"/>
            <rFont val="Calibri"/>
            <family val="34"/>
          </rPr>
          <t xml:space="preserve">
</t>
        </r>
      </text>
    </comment>
    <comment ref="BH909" authorId="0" shapeId="0" xr:uid="{32FDEA93-2FE8-764F-AC26-2C71E3AEABFC}">
      <text>
        <r>
          <rPr>
            <sz val="14"/>
            <color rgb="FF000000"/>
            <rFont val="Calibri"/>
            <family val="34"/>
          </rPr>
          <t xml:space="preserve">IR 4 (1805-1806)
</t>
        </r>
      </text>
    </comment>
    <comment ref="BF910" authorId="0" shapeId="0" xr:uid="{3E67438F-EA09-D641-8E14-B0B21D90C7B5}">
      <text>
        <r>
          <rPr>
            <sz val="14"/>
            <color rgb="FF000000"/>
            <rFont val="Times New Roman"/>
            <family val="18"/>
          </rPr>
          <t xml:space="preserve">11/09/1805 </t>
        </r>
        <r>
          <rPr>
            <i/>
            <sz val="14"/>
            <color rgb="FF000000"/>
            <rFont val="Times New Roman"/>
            <family val="18"/>
          </rPr>
          <t>Auf 3 Fl Handgeld und 10-jähriger Capitulation von Ständen gestellt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4. Vacante Kompanie eingeteilt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01/07/1809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Aptos"/>
            <family val="34"/>
          </rPr>
          <t xml:space="preserve">
</t>
        </r>
        <r>
          <rPr>
            <sz val="14"/>
            <color rgb="FF000000"/>
            <rFont val="Times New Roman"/>
            <family val="18"/>
          </rPr>
          <t xml:space="preserve">20/01/1810 </t>
        </r>
        <r>
          <rPr>
            <i/>
            <sz val="14"/>
            <color rgb="FF000000"/>
            <rFont val="Times New Roman"/>
            <family val="18"/>
          </rPr>
          <t>Von dissolvierte Galizischen Freibataillon Nr. 2 3. Kompanie zum IR 24 transferiert und zum 16. Fus. Komp. zugeteilt</t>
        </r>
        <r>
          <rPr>
            <sz val="14"/>
            <color rgb="FF000000"/>
            <rFont val="Times New Roman"/>
            <family val="18"/>
          </rPr>
          <t xml:space="preserve"> [TL 1810 &amp; ST Jan 1810]</t>
        </r>
        <r>
          <rPr>
            <sz val="14"/>
            <color rgb="FF000000"/>
            <rFont val="Aptos"/>
            <family val="34"/>
          </rPr>
          <t xml:space="preserve">
</t>
        </r>
        <r>
          <rPr>
            <sz val="14"/>
            <color rgb="FF000000"/>
            <rFont val="Times New Roman"/>
            <family val="18"/>
          </rPr>
          <t xml:space="preserve">31/01/1810 </t>
        </r>
        <r>
          <rPr>
            <i/>
            <sz val="14"/>
            <color rgb="FF000000"/>
            <rFont val="Times New Roman"/>
            <family val="18"/>
          </rPr>
          <t>Auf dem Marsch Station Dorf Komorowitz desertiert</t>
        </r>
        <r>
          <rPr>
            <sz val="14"/>
            <color rgb="FF000000"/>
            <rFont val="Times New Roman"/>
            <family val="18"/>
          </rPr>
          <t xml:space="preserve"> [TL Jan 1810 &amp; ST March 1810]</t>
        </r>
      </text>
    </comment>
    <comment ref="BG910" authorId="0" shapeId="0" xr:uid="{47579D2C-E23A-CB4A-8F44-9FAB1E9F5CCB}">
      <text>
        <r>
          <rPr>
            <sz val="14"/>
            <color rgb="FF000000"/>
            <rFont val="Times New Roman"/>
            <family val="18"/>
          </rPr>
          <t>ML 2000 IR 24 (1810) – ST March (22/04/1812)</t>
        </r>
        <r>
          <rPr>
            <sz val="14"/>
            <color rgb="FF000000"/>
            <rFont val="Aptos"/>
            <family val="34"/>
          </rPr>
          <t xml:space="preserve">
</t>
        </r>
        <r>
          <rPr>
            <sz val="14"/>
            <color rgb="FF000000"/>
            <rFont val="Times New Roman"/>
            <family val="18"/>
          </rPr>
          <t>ML 10.831 WGal FB 2 (1809-10) – TL IR 24-&gt; WGal FB 2 Nr. 68 (Csakowar 02/12/1809),TL WGal FB 2-&gt; IR 24 Nr. 68 (Leitmoschil 20/01/1810), ST March (Braddczy bei Caschau 10/08/1809), ST July (Brünn 20/12/1810), ST 1810 Jan (Tichnowitz 03/03/1811)</t>
        </r>
        <r>
          <rPr>
            <sz val="14"/>
            <color rgb="FF000000"/>
            <rFont val="Aptos"/>
            <family val="34"/>
          </rPr>
          <t xml:space="preserve">
</t>
        </r>
      </text>
    </comment>
    <comment ref="BH910" authorId="0" shapeId="0" xr:uid="{7D0A8E5A-22C3-C548-851E-D3C8F6754971}">
      <text>
        <r>
          <rPr>
            <sz val="14"/>
            <color rgb="FF000000"/>
            <rFont val="Calibri"/>
            <family val="34"/>
          </rPr>
          <t xml:space="preserve">IR 24 (1805-9)
</t>
        </r>
        <r>
          <rPr>
            <sz val="14"/>
            <color rgb="FF000000"/>
            <rFont val="Calibri"/>
            <family val="34"/>
          </rPr>
          <t xml:space="preserve">WGal FB 2 (1809-10)
</t>
        </r>
        <r>
          <rPr>
            <sz val="14"/>
            <color rgb="FF000000"/>
            <rFont val="Calibri"/>
            <family val="34"/>
          </rPr>
          <t>IR 24 (1810)</t>
        </r>
      </text>
    </comment>
    <comment ref="BF911" authorId="0" shapeId="0" xr:uid="{25554768-A0F8-C04C-9C46-72245BDFE38D}">
      <text>
        <r>
          <rPr>
            <sz val="14"/>
            <color rgb="FF000000"/>
            <rFont val="Times New Roman"/>
            <family val="18"/>
          </rPr>
          <t xml:space="preserve">11/09/1805 </t>
        </r>
        <r>
          <rPr>
            <i/>
            <sz val="14"/>
            <color rgb="FF000000"/>
            <rFont val="Times New Roman"/>
            <family val="18"/>
          </rPr>
          <t>Von Ständen gegen 3 Fl Handgeld mit 10 jährigen Capitulation zum IR 4 gestellt und zum Reserve Bataillon Haupt Berge 4. Komp. eingeteilt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31/10/1806 </t>
        </r>
        <r>
          <rPr>
            <i/>
            <sz val="14"/>
            <color rgb="FF000000"/>
            <rFont val="Times New Roman"/>
            <family val="18"/>
          </rPr>
          <t>Von 19. Fus. Komp. zum Reserve Division</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16/03/1806 </t>
        </r>
        <r>
          <rPr>
            <i/>
            <sz val="14"/>
            <color rgb="FF000000"/>
            <rFont val="Times New Roman"/>
            <family val="18"/>
          </rPr>
          <t xml:space="preserve">Von dissolvierte Reserve Division zum 8.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14/09/1806 Als Angehöriger von Prziborsky Komp. wegen Leibschwäche superarbietriert: </t>
        </r>
        <r>
          <rPr>
            <i/>
            <sz val="14"/>
            <color rgb="FF000000"/>
            <rFont val="Times New Roman"/>
            <family val="18"/>
          </rPr>
          <t>mit Laufpaß zu entlassen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10/11/1806 </t>
        </r>
        <r>
          <rPr>
            <i/>
            <sz val="14"/>
            <color rgb="FF000000"/>
            <rFont val="Times New Roman"/>
            <family val="18"/>
          </rPr>
          <t>Untauglicher halber mit Laufpaß entlassen</t>
        </r>
        <r>
          <rPr>
            <sz val="14"/>
            <color rgb="FF000000"/>
            <rFont val="Times New Roman"/>
            <family val="18"/>
          </rPr>
          <t xml:space="preserve"> [ML 1806]</t>
        </r>
      </text>
    </comment>
    <comment ref="BG911" authorId="0" shapeId="0" xr:uid="{BE03C3BA-8B40-5C49-BD7A-DDDAC967B6D1}">
      <text>
        <r>
          <rPr>
            <sz val="14"/>
            <color rgb="FF000000"/>
            <rFont val="Times New Roman"/>
            <family val="18"/>
          </rPr>
          <t>ML 31/2 IR 1 (1806) – Haupt Hardy Komp. Abgang (Brünn 15/12/1806)</t>
        </r>
        <r>
          <rPr>
            <sz val="14"/>
            <color rgb="FF000000"/>
            <rFont val="Calibri"/>
            <family val="34"/>
          </rPr>
          <t xml:space="preserve">
</t>
        </r>
        <r>
          <rPr>
            <sz val="14"/>
            <color rgb="FF000000"/>
            <rFont val="Times New Roman"/>
            <family val="18"/>
          </rPr>
          <t>ML 83 IR 1 (1805) – ST Nov (Brünn 12/09/1806)</t>
        </r>
        <r>
          <rPr>
            <sz val="14"/>
            <color rgb="FF000000"/>
            <rFont val="Calibri"/>
            <family val="34"/>
          </rPr>
          <t xml:space="preserve">
</t>
        </r>
        <r>
          <rPr>
            <sz val="14"/>
            <color rgb="FF000000"/>
            <rFont val="Times New Roman"/>
            <family val="18"/>
          </rPr>
          <t>ML 84 IR 1 (1805) – AL Nr. 1 (Brzezan 11/09/1805); SUP Nr. 54 (Brünn 14/09/1806)</t>
        </r>
        <r>
          <rPr>
            <sz val="14"/>
            <color rgb="FF000000"/>
            <rFont val="Calibri"/>
            <family val="34"/>
          </rPr>
          <t xml:space="preserve">
</t>
        </r>
        <r>
          <rPr>
            <b/>
            <sz val="14"/>
            <color rgb="FF000000"/>
            <rFont val="Times New Roman"/>
            <family val="18"/>
          </rPr>
          <t> </t>
        </r>
        <r>
          <rPr>
            <sz val="14"/>
            <color rgb="FF000000"/>
            <rFont val="Calibri"/>
            <family val="34"/>
          </rPr>
          <t xml:space="preserve">
</t>
        </r>
      </text>
    </comment>
    <comment ref="BH911" authorId="0" shapeId="0" xr:uid="{DA049012-CA1A-7842-B207-5560E0395289}">
      <text>
        <r>
          <rPr>
            <sz val="14"/>
            <color rgb="FF000000"/>
            <rFont val="Calibri"/>
            <family val="34"/>
          </rPr>
          <t>IR 1 (1805-1806)</t>
        </r>
      </text>
    </comment>
    <comment ref="BI911" authorId="0" shapeId="0" xr:uid="{2C1A165D-7614-B145-B0DA-FF353843E616}">
      <text>
        <r>
          <rPr>
            <i/>
            <sz val="14"/>
            <color rgb="FF000000"/>
            <rFont val="Times New Roman"/>
            <family val="18"/>
          </rPr>
          <t>Gut</t>
        </r>
        <r>
          <rPr>
            <sz val="14"/>
            <color rgb="FF000000"/>
            <rFont val="Times New Roman"/>
            <family val="18"/>
          </rPr>
          <t xml:space="preserve"> [SUP Sept 1806]</t>
        </r>
        <r>
          <rPr>
            <sz val="14"/>
            <color rgb="FF000000"/>
            <rFont val="Calibri"/>
            <family val="2"/>
          </rPr>
          <t xml:space="preserve"> </t>
        </r>
      </text>
    </comment>
    <comment ref="BJ911" authorId="0" shapeId="0" xr:uid="{65ABD0F7-AD81-0C41-9C92-520FEBBFBAA2}">
      <text>
        <r>
          <rPr>
            <i/>
            <sz val="14"/>
            <color rgb="FF000000"/>
            <rFont val="Times New Roman"/>
            <family val="18"/>
          </rPr>
          <t>Leibschwache</t>
        </r>
        <r>
          <rPr>
            <sz val="14"/>
            <color rgb="FF000000"/>
            <rFont val="Times New Roman"/>
            <family val="18"/>
          </rPr>
          <t xml:space="preserve"> (</t>
        </r>
        <r>
          <rPr>
            <i/>
            <sz val="14"/>
            <color rgb="FF000000"/>
            <rFont val="Times New Roman"/>
            <family val="18"/>
          </rPr>
          <t>Rechtseitigen Großen  Leistenbruch und schwächliche Körperbau</t>
        </r>
        <r>
          <rPr>
            <sz val="14"/>
            <color rgb="FF000000"/>
            <rFont val="Times New Roman"/>
            <family val="18"/>
          </rPr>
          <t>) [SUP Sept 1806]</t>
        </r>
        <r>
          <rPr>
            <sz val="14"/>
            <color rgb="FF000000"/>
            <rFont val="Calibri"/>
            <family val="2"/>
          </rPr>
          <t xml:space="preserve"> </t>
        </r>
      </text>
    </comment>
    <comment ref="BF912" authorId="0" shapeId="0" xr:uid="{EF8FD942-0B6D-4345-9249-7C907A562A47}">
      <text>
        <r>
          <rPr>
            <sz val="14"/>
            <color rgb="FF000000"/>
            <rFont val="Times New Roman"/>
            <family val="18"/>
          </rPr>
          <t xml:space="preserve">11/09/1805 </t>
        </r>
        <r>
          <rPr>
            <i/>
            <sz val="14"/>
            <color rgb="FF000000"/>
            <rFont val="Times New Roman"/>
            <family val="18"/>
          </rPr>
          <t>Zu Siedlice a 3Fl mit 10 jähriger Capitulation von Dominien gestellt und zur IR 59 Reserve Division gestellt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195 [</t>
        </r>
        <r>
          <rPr>
            <i/>
            <sz val="14"/>
            <color rgb="FF000000"/>
            <rFont val="Times New Roman"/>
            <family val="18"/>
          </rPr>
          <t>Beurlaubt in seinem Geburtsort bis zur Exercierzeit zu Kuslew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912" authorId="0" shapeId="0" xr:uid="{2D014BA7-4E77-2E4C-9826-9E554D08AC46}">
      <text>
        <r>
          <rPr>
            <sz val="14"/>
            <color rgb="FF000000"/>
            <rFont val="Times New Roman"/>
            <family val="18"/>
          </rPr>
          <t>ML 5017/8 IR 59 (1806) – 16. Fus. Komp. Nr. 195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38 (Siedlce 30/09/1805)</t>
        </r>
        <r>
          <rPr>
            <sz val="14"/>
            <color rgb="FF000000"/>
            <rFont val="Calibri"/>
            <family val="34"/>
          </rPr>
          <t xml:space="preserve">
</t>
        </r>
      </text>
    </comment>
    <comment ref="BH912" authorId="0" shapeId="0" xr:uid="{F190A9F1-FAD1-DC41-AB25-3CA87EC2E05C}">
      <text>
        <r>
          <rPr>
            <sz val="14"/>
            <color rgb="FF000000"/>
            <rFont val="Calibri"/>
            <family val="34"/>
          </rPr>
          <t>IR 59 (1805-1808)</t>
        </r>
      </text>
    </comment>
    <comment ref="I913" authorId="0" shapeId="0" xr:uid="{35B5C377-9BEE-5A4E-92F8-42F49B8A7388}">
      <text>
        <r>
          <rPr>
            <b/>
            <sz val="14"/>
            <color rgb="FF000000"/>
            <rFont val="Calibri"/>
            <family val="34"/>
          </rPr>
          <t xml:space="preserve">1766 [40 (1806)]
</t>
        </r>
        <r>
          <rPr>
            <sz val="14"/>
            <color rgb="FF000000"/>
            <rFont val="Calibri"/>
            <family val="34"/>
          </rPr>
          <t xml:space="preserve">OR
</t>
        </r>
        <r>
          <rPr>
            <sz val="14"/>
            <color rgb="FF000000"/>
            <rFont val="Calibri"/>
            <family val="34"/>
          </rPr>
          <t xml:space="preserve">1779 [26 (1805)]
</t>
        </r>
      </text>
    </comment>
    <comment ref="O913" authorId="0" shapeId="0" xr:uid="{8DBAF13E-DA53-8C41-AAD2-11FD43AC57E0}">
      <text>
        <r>
          <rPr>
            <sz val="14"/>
            <color rgb="FF000000"/>
            <rFont val="Times New Roman"/>
            <family val="18"/>
          </rPr>
          <t>3 Kinder (ohne weitere Angaben)</t>
        </r>
      </text>
    </comment>
    <comment ref="BF913" authorId="0" shapeId="0" xr:uid="{A44A1D02-D4B3-D640-94D5-79BE1B91F273}">
      <text>
        <r>
          <rPr>
            <sz val="14"/>
            <color rgb="FF000000"/>
            <rFont val="Times New Roman"/>
            <family val="18"/>
          </rPr>
          <t xml:space="preserve">12/09/1805 </t>
        </r>
        <r>
          <rPr>
            <i/>
            <sz val="14"/>
            <color rgb="FF000000"/>
            <rFont val="Times New Roman"/>
            <family val="18"/>
          </rPr>
          <t>Von Ständen gegen 3 Fl Handgeld mit 10 jährigen Capitulation zum IR 4 gestellt und zum Reserve Bataillon Haupt Gutwill 3. Komp. eingeteilt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19. Fus. Komp. zum Reserve Division</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19/11/1805 </t>
        </r>
        <r>
          <rPr>
            <i/>
            <sz val="14"/>
            <color rgb="FF000000"/>
            <rFont val="Times New Roman"/>
            <family val="18"/>
          </rPr>
          <t xml:space="preserve">Auf dem </t>
        </r>
        <r>
          <rPr>
            <b/>
            <i/>
            <sz val="14"/>
            <color rgb="FF000000"/>
            <rFont val="Times New Roman"/>
            <family val="18"/>
          </rPr>
          <t xml:space="preserve">Marsch bei der Wischau </t>
        </r>
        <r>
          <rPr>
            <i/>
            <sz val="14"/>
            <color rgb="FF000000"/>
            <rFont val="Times New Roman"/>
            <family val="18"/>
          </rPr>
          <t>vermisst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17/04/1806 </t>
        </r>
        <r>
          <rPr>
            <i/>
            <sz val="14"/>
            <color rgb="FF000000"/>
            <rFont val="Times New Roman"/>
            <family val="18"/>
          </rPr>
          <t>Zu Brzezan präsentiert unf als per errorem in Abgang in Galler Komp. wieder ins Zuwachs gebracht</t>
        </r>
        <r>
          <rPr>
            <sz val="14"/>
            <color rgb="FF000000"/>
            <rFont val="Times New Roman"/>
            <family val="18"/>
          </rPr>
          <t xml:space="preserve"> [St June 1806]</t>
        </r>
        <r>
          <rPr>
            <sz val="14"/>
            <color rgb="FF000000"/>
            <rFont val="Calibri"/>
            <family val="34"/>
          </rPr>
          <t xml:space="preserve">
</t>
        </r>
        <r>
          <rPr>
            <sz val="14"/>
            <color rgb="FF000000"/>
            <rFont val="Times New Roman"/>
            <family val="18"/>
          </rPr>
          <t xml:space="preserve">29/05/1806 Als Angehöriger von Haupt Galler Komp. Superarbietriert: </t>
        </r>
        <r>
          <rPr>
            <i/>
            <sz val="14"/>
            <color rgb="FF000000"/>
            <rFont val="Times New Roman"/>
            <family val="18"/>
          </rPr>
          <t>Untauglich mit Laufpass ohne Ersatz der Unkosten zu entlass</t>
        </r>
        <r>
          <rPr>
            <sz val="14"/>
            <color rgb="FF000000"/>
            <rFont val="Calibri"/>
            <family val="34"/>
          </rPr>
          <t xml:space="preserve">
</t>
        </r>
        <r>
          <rPr>
            <sz val="14"/>
            <color rgb="FF000000"/>
            <rFont val="Times New Roman"/>
            <family val="18"/>
          </rPr>
          <t xml:space="preserve">10/06/1806 </t>
        </r>
        <r>
          <rPr>
            <i/>
            <sz val="14"/>
            <color rgb="FF000000"/>
            <rFont val="Times New Roman"/>
            <family val="18"/>
          </rPr>
          <t xml:space="preserve">Zu Folge General Commando Verordnung det. Brünn am 26. Juni Lit. R Nr. 5105 und nach der selbe am 30. Mai zu Lemberg bestehende Superarbietrierung als Schwächling mit Laufpass entlassen </t>
        </r>
        <r>
          <rPr>
            <sz val="14"/>
            <color rgb="FF000000"/>
            <rFont val="Times New Roman"/>
            <family val="18"/>
          </rPr>
          <t>[ML 1806]</t>
        </r>
      </text>
    </comment>
    <comment ref="BG913" authorId="0" shapeId="0" xr:uid="{3AC0EE8C-BCD0-7441-B96A-AE9DA0E47AD1}">
      <text>
        <r>
          <rPr>
            <sz val="14"/>
            <color rgb="FF000000"/>
            <rFont val="Times New Roman"/>
            <family val="18"/>
          </rPr>
          <t>ML 83 IR 1 (1805) – ST Nov (Brünn 12/09/1806)</t>
        </r>
        <r>
          <rPr>
            <sz val="14"/>
            <color rgb="FF000000"/>
            <rFont val="Calibri"/>
            <family val="34"/>
          </rPr>
          <t xml:space="preserve">
</t>
        </r>
        <r>
          <rPr>
            <sz val="14"/>
            <color rgb="FF000000"/>
            <rFont val="Times New Roman"/>
            <family val="18"/>
          </rPr>
          <t>ML 84 IR 1 (1805) – AL unnumbred (Brzezan 25/09/1805)</t>
        </r>
        <r>
          <rPr>
            <sz val="14"/>
            <color rgb="FF000000"/>
            <rFont val="Calibri"/>
            <family val="34"/>
          </rPr>
          <t xml:space="preserve">
</t>
        </r>
        <r>
          <rPr>
            <sz val="14"/>
            <color rgb="FF000000"/>
            <rFont val="Times New Roman"/>
            <family val="18"/>
          </rPr>
          <t>ML 85 IR 1 (1806) – ST June (25/05/1807)</t>
        </r>
        <r>
          <rPr>
            <sz val="14"/>
            <color rgb="FF000000"/>
            <rFont val="Calibri"/>
            <family val="34"/>
          </rPr>
          <t xml:space="preserve">
</t>
        </r>
        <r>
          <rPr>
            <sz val="14"/>
            <color rgb="FF000000"/>
            <rFont val="Times New Roman"/>
            <family val="18"/>
          </rPr>
          <t>ML 86 IR 1 (1806) – SUP Nr. 2 (Lemberg 29/05/1806)</t>
        </r>
        <r>
          <rPr>
            <sz val="14"/>
            <color rgb="FF000000"/>
            <rFont val="Calibri"/>
            <family val="34"/>
          </rPr>
          <t xml:space="preserve">
</t>
        </r>
      </text>
    </comment>
    <comment ref="BH913" authorId="0" shapeId="0" xr:uid="{41240B6D-8018-7C49-BC7C-F1210F4A0E9C}">
      <text>
        <r>
          <rPr>
            <sz val="14"/>
            <color rgb="FF000000"/>
            <rFont val="Calibri"/>
            <family val="34"/>
          </rPr>
          <t>IR 1 (1805-1806)</t>
        </r>
      </text>
    </comment>
    <comment ref="BJ913" authorId="0" shapeId="0" xr:uid="{EECD82D0-B0A1-F14E-9247-938206794FB7}">
      <text>
        <r>
          <rPr>
            <i/>
            <sz val="14"/>
            <color rgb="FF000000"/>
            <rFont val="Times New Roman"/>
            <family val="18"/>
          </rPr>
          <t>Schwache Brust und rechten Arm durch Uberfahlung eines Wagens</t>
        </r>
        <r>
          <rPr>
            <sz val="14"/>
            <color rgb="FF000000"/>
            <rFont val="Times New Roman"/>
            <family val="18"/>
          </rPr>
          <t xml:space="preserve"> [</t>
        </r>
        <r>
          <rPr>
            <i/>
            <sz val="14"/>
            <color rgb="FF000000"/>
            <rFont val="Times New Roman"/>
            <family val="18"/>
          </rPr>
          <t>von Geburt und Theils auch durch Krankheiten</t>
        </r>
        <r>
          <rPr>
            <sz val="14"/>
            <color rgb="FF000000"/>
            <rFont val="Times New Roman"/>
            <family val="18"/>
          </rPr>
          <t>] [SUP May 1806]</t>
        </r>
        <r>
          <rPr>
            <sz val="14"/>
            <color rgb="FF000000"/>
            <rFont val="Calibri"/>
            <family val="2"/>
          </rPr>
          <t xml:space="preserve"> </t>
        </r>
      </text>
    </comment>
    <comment ref="BF914" authorId="0" shapeId="0" xr:uid="{36CA3368-AEA7-2047-AA2E-8733270B3611}">
      <text>
        <r>
          <rPr>
            <sz val="14"/>
            <color rgb="FF000000"/>
            <rFont val="Times New Roman"/>
            <family val="18"/>
          </rPr>
          <t xml:space="preserve">12/09/1805 </t>
        </r>
        <r>
          <rPr>
            <i/>
            <sz val="14"/>
            <color rgb="FF000000"/>
            <rFont val="Times New Roman"/>
            <family val="18"/>
          </rPr>
          <t>Von Ständen gegen 3 Fl Handgeld mit 10 jährigen Capitulation zum IR 4 gestellt und zum Reserve Bataillon Haupt Gutwill 3. Komp. eingeteilt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19. Fus. Komp. zum Reserve Division</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19/11/1805 </t>
        </r>
        <r>
          <rPr>
            <i/>
            <sz val="14"/>
            <color rgb="FF000000"/>
            <rFont val="Times New Roman"/>
            <family val="18"/>
          </rPr>
          <t>Auf dem Marsch bei der Wischau vermisst</t>
        </r>
        <r>
          <rPr>
            <sz val="14"/>
            <color rgb="FF000000"/>
            <rFont val="Times New Roman"/>
            <family val="18"/>
          </rPr>
          <t xml:space="preserve"> [ST Nov 1805]</t>
        </r>
      </text>
    </comment>
    <comment ref="BG914" authorId="0" shapeId="0" xr:uid="{47263960-251F-7849-AEFA-A1160CC152D5}">
      <text>
        <r>
          <rPr>
            <sz val="14"/>
            <color rgb="FF000000"/>
            <rFont val="Times New Roman"/>
            <family val="18"/>
          </rPr>
          <t>ML 83 IR 1 (1805) – ST Nov (Brünn 12/09/1806)</t>
        </r>
        <r>
          <rPr>
            <sz val="14"/>
            <color rgb="FF000000"/>
            <rFont val="Calibri"/>
            <family val="34"/>
          </rPr>
          <t xml:space="preserve">
</t>
        </r>
        <r>
          <rPr>
            <sz val="14"/>
            <color rgb="FF000000"/>
            <rFont val="Times New Roman"/>
            <family val="18"/>
          </rPr>
          <t>ML 84 IR 1 (1805) – AL unnumbred (Brzezan 25/09/1805)</t>
        </r>
        <r>
          <rPr>
            <sz val="14"/>
            <color rgb="FF000000"/>
            <rFont val="Calibri"/>
            <family val="34"/>
          </rPr>
          <t xml:space="preserve">
</t>
        </r>
      </text>
    </comment>
    <comment ref="BH914" authorId="0" shapeId="0" xr:uid="{087DCAD6-9672-0441-930B-DD33AA88D764}">
      <text>
        <r>
          <rPr>
            <sz val="14"/>
            <color rgb="FF000000"/>
            <rFont val="Calibri"/>
            <family val="34"/>
          </rPr>
          <t>IR 1 (1805)</t>
        </r>
      </text>
    </comment>
    <comment ref="K915" authorId="0" shapeId="0" xr:uid="{ADEE97F2-012E-2A45-8CDE-46411F84B827}">
      <text>
        <r>
          <rPr>
            <sz val="14"/>
            <color rgb="FF000000"/>
            <rFont val="Calibri"/>
            <family val="34"/>
          </rPr>
          <t xml:space="preserve">Ohne (1805)
</t>
        </r>
        <r>
          <rPr>
            <sz val="14"/>
            <color rgb="FF000000"/>
            <rFont val="Calibri"/>
            <family val="34"/>
          </rPr>
          <t>Barbier (1806)</t>
        </r>
      </text>
    </comment>
    <comment ref="T915" authorId="0" shapeId="0" xr:uid="{F2E20ABB-8797-7A48-AA29-42FFC73D1BA2}">
      <text>
        <r>
          <rPr>
            <sz val="14"/>
            <color rgb="FF000000"/>
            <rFont val="Calibri"/>
            <family val="34"/>
          </rPr>
          <t xml:space="preserve">5.1 [160.63 cm (TL 1806)]
</t>
        </r>
        <r>
          <rPr>
            <b/>
            <sz val="14"/>
            <color rgb="FF000000"/>
            <rFont val="Calibri"/>
            <family val="34"/>
          </rPr>
          <t>5.1.3 [161.29 cm (AL 1805)]</t>
        </r>
      </text>
    </comment>
    <comment ref="BF915" authorId="0" shapeId="0" xr:uid="{54E28B9F-99AA-514F-A8DC-5942AB0AD510}">
      <text>
        <r>
          <rPr>
            <sz val="14"/>
            <color rgb="FF000000"/>
            <rFont val="Times New Roman"/>
            <family val="18"/>
          </rPr>
          <t xml:space="preserve">06/12/1805 </t>
        </r>
        <r>
          <rPr>
            <i/>
            <sz val="14"/>
            <color rgb="FF000000"/>
            <rFont val="Times New Roman"/>
            <family val="18"/>
          </rPr>
          <t xml:space="preserve">Als landständischer Rekrut Gegen 3Fl Handgeld und 10 Jährige Capitulation von Werbbezirk zum IR 17 gestellt und zum 2. Reserve Abteilung eingeheilt </t>
        </r>
        <r>
          <rPr>
            <sz val="14"/>
            <color rgb="FF000000"/>
            <rFont val="Times New Roman"/>
            <family val="18"/>
          </rPr>
          <t>[AL Dec 1805]</t>
        </r>
        <r>
          <rPr>
            <sz val="14"/>
            <color rgb="FF000000"/>
            <rFont val="Aptos"/>
            <family val="34"/>
          </rPr>
          <t xml:space="preserve">
</t>
        </r>
        <r>
          <rPr>
            <sz val="14"/>
            <color rgb="FF000000"/>
            <rFont val="Times New Roman"/>
            <family val="18"/>
          </rPr>
          <t xml:space="preserve">05/07/1806 </t>
        </r>
        <r>
          <rPr>
            <i/>
            <sz val="14"/>
            <color rgb="FF000000"/>
            <rFont val="Times New Roman"/>
            <family val="18"/>
          </rPr>
          <t>Von IR 17 14. Fus. Komp</t>
        </r>
        <r>
          <rPr>
            <sz val="14"/>
            <color rgb="FF000000"/>
            <rFont val="Times New Roman"/>
            <family val="18"/>
          </rPr>
          <t xml:space="preserve"> [Haupt Donck] </t>
        </r>
        <r>
          <rPr>
            <i/>
            <sz val="14"/>
            <color rgb="FF000000"/>
            <rFont val="Times New Roman"/>
            <family val="18"/>
          </rPr>
          <t>zum IR 36 transferiert</t>
        </r>
        <r>
          <rPr>
            <sz val="14"/>
            <color rgb="FF000000"/>
            <rFont val="Times New Roman"/>
            <family val="18"/>
          </rPr>
          <t xml:space="preserve"> [TL July 1806]</t>
        </r>
      </text>
    </comment>
    <comment ref="BG915" authorId="0" shapeId="0" xr:uid="{3A87A468-299B-354C-AC9B-33B9F177E39A}">
      <text>
        <r>
          <rPr>
            <sz val="14"/>
            <color rgb="FF000000"/>
            <rFont val="Times New Roman"/>
            <family val="18"/>
          </rPr>
          <t>ML 1367 IR 17 (1805) – AL Nr. 115 (Jaslo 02/10/1805)</t>
        </r>
        <r>
          <rPr>
            <sz val="14"/>
            <color rgb="FF000000"/>
            <rFont val="Aptos"/>
            <family val="34"/>
          </rPr>
          <t xml:space="preserve">
</t>
        </r>
        <r>
          <rPr>
            <sz val="14"/>
            <color rgb="FF000000"/>
            <rFont val="Times New Roman"/>
            <family val="18"/>
          </rPr>
          <t>ML 1369 IR 17 (1806) AL/TL –TL IR 17-&gt;IR 36 Nr. 146 (Leitmeritz 07/1806)</t>
        </r>
        <r>
          <rPr>
            <sz val="14"/>
            <color rgb="FF000000"/>
            <rFont val="Aptos"/>
            <family val="34"/>
          </rPr>
          <t xml:space="preserve">
</t>
        </r>
      </text>
    </comment>
    <comment ref="BH915" authorId="0" shapeId="0" xr:uid="{80A40A42-D803-114B-93E5-1A0C5749F3E7}">
      <text>
        <r>
          <rPr>
            <sz val="14"/>
            <color rgb="FF000000"/>
            <rFont val="Calibri"/>
            <family val="34"/>
          </rPr>
          <t xml:space="preserve">IR 17 (1805-1806)
</t>
        </r>
        <r>
          <rPr>
            <sz val="14"/>
            <color rgb="FF000000"/>
            <rFont val="Calibri"/>
            <family val="34"/>
          </rPr>
          <t>IR 36 (1806)</t>
        </r>
      </text>
    </comment>
    <comment ref="BI915" authorId="0" shapeId="0" xr:uid="{3610CF0A-A6F3-D945-B56A-0284F5D0410B}">
      <text>
        <r>
          <rPr>
            <i/>
            <sz val="14"/>
            <color rgb="FF000000"/>
            <rFont val="Times New Roman"/>
            <family val="18"/>
          </rPr>
          <t xml:space="preserve">Gute </t>
        </r>
        <r>
          <rPr>
            <sz val="14"/>
            <color rgb="FF000000"/>
            <rFont val="Times New Roman"/>
            <family val="18"/>
          </rPr>
          <t>[TL July 1806]</t>
        </r>
        <r>
          <rPr>
            <i/>
            <sz val="14"/>
            <color rgb="FF000000"/>
            <rFont val="Times New Roman"/>
            <family val="18"/>
          </rPr>
          <t xml:space="preserve"> </t>
        </r>
      </text>
    </comment>
    <comment ref="BF916" authorId="0" shapeId="0" xr:uid="{CCE5DF7D-40F8-264D-93BD-C568CEB7B128}">
      <text>
        <r>
          <rPr>
            <sz val="14"/>
            <color rgb="FF000000"/>
            <rFont val="Times New Roman"/>
            <family val="18"/>
          </rPr>
          <t xml:space="preserve">12/09/1805 </t>
        </r>
        <r>
          <rPr>
            <i/>
            <sz val="14"/>
            <color rgb="FF000000"/>
            <rFont val="Times New Roman"/>
            <family val="18"/>
          </rPr>
          <t>Zu Siedlice a 3Fl mit 10 jähriger Capitulation von Dominien gestellt und zur IR 59 Reserve Division gestellt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196 [</t>
        </r>
        <r>
          <rPr>
            <i/>
            <sz val="14"/>
            <color rgb="FF000000"/>
            <rFont val="Times New Roman"/>
            <family val="18"/>
          </rPr>
          <t>Beurlaubt in seinem Geburtsort bis zur Exercierzeit zu Wegrow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916" authorId="0" shapeId="0" xr:uid="{865FEF8E-8B1F-E042-82CB-4414D3CF9F7E}">
      <text>
        <r>
          <rPr>
            <sz val="14"/>
            <color rgb="FF000000"/>
            <rFont val="Times New Roman"/>
            <family val="18"/>
          </rPr>
          <t>ML 5017/8 IR 59 (1806) – 16. Fus. Komp. Nr. 196 (Freistadt 22/12/1816) &amp; Dissolvierte Reserve Div. Zuwachs &amp; Abgang (Wells 06/07/1806)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111 (Siedlce 30/09/1805)</t>
        </r>
        <r>
          <rPr>
            <sz val="14"/>
            <color rgb="FF000000"/>
            <rFont val="Calibri"/>
            <family val="34"/>
          </rPr>
          <t xml:space="preserve">
</t>
        </r>
      </text>
    </comment>
    <comment ref="BH916" authorId="0" shapeId="0" xr:uid="{91802ADF-3D09-DB45-A03E-0352DFF00B99}">
      <text>
        <r>
          <rPr>
            <sz val="14"/>
            <color rgb="FF000000"/>
            <rFont val="Calibri"/>
            <family val="34"/>
          </rPr>
          <t>IR 59 (1805-1808)</t>
        </r>
      </text>
    </comment>
    <comment ref="T917" authorId="0" shapeId="0" xr:uid="{838CC64E-D6F6-B040-B1A2-682FF655FCEC}">
      <text>
        <r>
          <rPr>
            <b/>
            <sz val="14"/>
            <color rgb="FF000000"/>
            <rFont val="Calibri"/>
            <family val="34"/>
          </rPr>
          <t xml:space="preserve">5.1.2 [161.07 cm (ML 1806)]
</t>
        </r>
        <r>
          <rPr>
            <sz val="14"/>
            <color rgb="FF000000"/>
            <rFont val="Calibri"/>
            <family val="34"/>
          </rPr>
          <t>5.2 [163.26 cm (AL 1805)]</t>
        </r>
      </text>
    </comment>
    <comment ref="BF917" authorId="0" shapeId="0" xr:uid="{23A6CAE7-5A24-CE4F-95AB-B253A7832D1C}">
      <text>
        <r>
          <rPr>
            <sz val="14"/>
            <color rgb="FF000000"/>
            <rFont val="Times New Roman"/>
            <family val="18"/>
          </rPr>
          <t xml:space="preserve">12/09/1805 </t>
        </r>
        <r>
          <rPr>
            <i/>
            <sz val="14"/>
            <color rgb="FF000000"/>
            <rFont val="Times New Roman"/>
            <family val="18"/>
          </rPr>
          <t xml:space="preserve">Zu Lemberg in Galizien als Werbbezirk Recrout a 3 Fl Handgeld als Inländer in Haupt Konig 18. Füsilier Comp. assentiert </t>
        </r>
        <r>
          <rPr>
            <sz val="14"/>
            <color rgb="FF000000"/>
            <rFont val="Times New Roman"/>
            <family val="18"/>
          </rPr>
          <t>[AL Sept 1805]</t>
        </r>
        <r>
          <rPr>
            <sz val="14"/>
            <color rgb="FF000000"/>
            <rFont val="Calibri"/>
            <family val="34"/>
          </rPr>
          <t xml:space="preserve">
</t>
        </r>
        <r>
          <rPr>
            <sz val="14"/>
            <color rgb="FF000000"/>
            <rFont val="Times New Roman"/>
            <family val="18"/>
          </rPr>
          <t>01/12/1805 Von 18. Füsilier Comp. zum 15. Fus. Komp. transferiert [ML 1806]</t>
        </r>
        <r>
          <rPr>
            <sz val="14"/>
            <color rgb="FF000000"/>
            <rFont val="Calibri"/>
            <family val="34"/>
          </rPr>
          <t xml:space="preserve">
</t>
        </r>
        <r>
          <rPr>
            <sz val="14"/>
            <color rgb="FF000000"/>
            <rFont val="Times New Roman"/>
            <family val="18"/>
          </rPr>
          <t>15/12/1806 Muster: IR 20 15. Fus. Komp. Nr. 59</t>
        </r>
        <r>
          <rPr>
            <sz val="14"/>
            <color rgb="FF000000"/>
            <rFont val="Calibri"/>
            <family val="34"/>
          </rPr>
          <t xml:space="preserve">
</t>
        </r>
      </text>
    </comment>
    <comment ref="BG917" authorId="0" shapeId="0" xr:uid="{7947355E-8AA7-7D44-84E3-98C108FAD207}">
      <text>
        <r>
          <rPr>
            <sz val="14"/>
            <color rgb="FF000000"/>
            <rFont val="Times New Roman"/>
            <family val="18"/>
          </rPr>
          <t>ML 1623-5 IR 20 (1806) – 15. Fus. Komp. Nr. 59 (Olmütz 15/12/1806)</t>
        </r>
        <r>
          <rPr>
            <sz val="14"/>
            <color rgb="FF000000"/>
            <rFont val="Calibri"/>
            <family val="34"/>
          </rPr>
          <t xml:space="preserve">
</t>
        </r>
        <r>
          <rPr>
            <sz val="14"/>
            <color rgb="FF000000"/>
            <rFont val="Times New Roman"/>
            <family val="18"/>
          </rPr>
          <t>ML 1659 IR 20 (1805) AL/TL – AL. Nr. 15 (Lemberg 30/09/1805)</t>
        </r>
        <r>
          <rPr>
            <sz val="14"/>
            <color rgb="FF000000"/>
            <rFont val="Calibri"/>
            <family val="34"/>
          </rPr>
          <t xml:space="preserve">
</t>
        </r>
      </text>
    </comment>
    <comment ref="BH917" authorId="0" shapeId="0" xr:uid="{A82A4433-B56D-554E-9E31-29A4F4016D85}">
      <text>
        <r>
          <rPr>
            <sz val="14"/>
            <color rgb="FF000000"/>
            <rFont val="Calibri"/>
            <family val="34"/>
          </rPr>
          <t>IR 20 (1805-1806)</t>
        </r>
      </text>
    </comment>
    <comment ref="BF918" authorId="0" shapeId="0" xr:uid="{43DDF3E8-ACAB-F740-89C9-E368C25759AD}">
      <text>
        <r>
          <rPr>
            <sz val="14"/>
            <color rgb="FF000000"/>
            <rFont val="Times New Roman"/>
            <family val="18"/>
          </rPr>
          <t xml:space="preserve">12/09/1805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 </t>
        </r>
      </text>
    </comment>
    <comment ref="BG918" authorId="0" shapeId="0" xr:uid="{0F851E3D-5EFA-3D4F-81D7-ACC074147352}">
      <text>
        <r>
          <rPr>
            <sz val="14"/>
            <color rgb="FF000000"/>
            <rFont val="Times New Roman"/>
            <family val="18"/>
          </rPr>
          <t>ML 5017/8 IR 59 (1806) – Res. Div. Zuwachs &amp; Abgang (Wells 06/07/1807)</t>
        </r>
        <r>
          <rPr>
            <sz val="14"/>
            <color rgb="FF000000"/>
            <rFont val="Calibri"/>
            <family val="34"/>
          </rPr>
          <t xml:space="preserve">
</t>
        </r>
        <r>
          <rPr>
            <sz val="14"/>
            <color rgb="FF000000"/>
            <rFont val="Times New Roman"/>
            <family val="18"/>
          </rPr>
          <t>ML 5067 IR 59 (1805) – AL. Nr. 82 (Siedlce 30/09/1805)</t>
        </r>
        <r>
          <rPr>
            <sz val="14"/>
            <color rgb="FF000000"/>
            <rFont val="Calibri"/>
            <family val="34"/>
          </rPr>
          <t xml:space="preserve">
</t>
        </r>
      </text>
    </comment>
    <comment ref="BH918" authorId="0" shapeId="0" xr:uid="{0D71A882-9135-D746-AAF2-E15FF3D4E93B}">
      <text>
        <r>
          <rPr>
            <sz val="14"/>
            <color rgb="FF000000"/>
            <rFont val="Calibri"/>
            <family val="34"/>
          </rPr>
          <t>IR 59 (1805-1806)</t>
        </r>
      </text>
    </comment>
    <comment ref="CR918" authorId="0" shapeId="0" xr:uid="{96D3122F-C46F-0841-AC1D-B44B6458BE5F}">
      <text>
        <r>
          <rPr>
            <sz val="14"/>
            <color rgb="FF000000"/>
            <rFont val="Calibri"/>
            <family val="34"/>
          </rPr>
          <t xml:space="preserve">1805: Jüdisch
</t>
        </r>
        <r>
          <rPr>
            <sz val="14"/>
            <color rgb="FF000000"/>
            <rFont val="Calibri"/>
            <family val="34"/>
          </rPr>
          <t xml:space="preserve">1806: Katolisch </t>
        </r>
        <r>
          <rPr>
            <sz val="14"/>
            <color rgb="FF000000"/>
            <rFont val="Calibri"/>
            <family val="2"/>
          </rPr>
          <t xml:space="preserve">
</t>
        </r>
        <r>
          <rPr>
            <sz val="14"/>
            <color rgb="FF000000"/>
            <rFont val="Calibri"/>
            <family val="2"/>
          </rPr>
          <t xml:space="preserve"> </t>
        </r>
      </text>
    </comment>
    <comment ref="T919" authorId="0" shapeId="0" xr:uid="{3EE56105-5F6A-0C48-A70B-1F3C57BD7211}">
      <text>
        <r>
          <rPr>
            <sz val="14"/>
            <color rgb="FF000000"/>
            <rFont val="Calibri"/>
            <family val="34"/>
          </rPr>
          <t xml:space="preserve">5 [158 cm (ML 1806)]
</t>
        </r>
        <r>
          <rPr>
            <b/>
            <sz val="14"/>
            <color rgb="FF000000"/>
            <rFont val="Calibri"/>
            <family val="34"/>
          </rPr>
          <t>5.1.2 [161.07 cm (AL 1805)]</t>
        </r>
      </text>
    </comment>
    <comment ref="BF919" authorId="0" shapeId="0" xr:uid="{8991E2B6-6F66-114A-B167-FFE667F2F01E}">
      <text>
        <r>
          <rPr>
            <sz val="14"/>
            <color rgb="FF000000"/>
            <rFont val="Times New Roman"/>
            <family val="18"/>
          </rPr>
          <t xml:space="preserve">12/09/1805 </t>
        </r>
        <r>
          <rPr>
            <i/>
            <sz val="14"/>
            <color rgb="FF000000"/>
            <rFont val="Times New Roman"/>
            <family val="18"/>
          </rPr>
          <t>Zu Lemberg in Galizien als Werbbezirk Recrout a 3 Fl Handgeld als Inländer Recrout in IR 20 Haupt König 18. Fusilier Komp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01/12/1805 </t>
        </r>
        <r>
          <rPr>
            <i/>
            <sz val="14"/>
            <color rgb="FF000000"/>
            <rFont val="Times New Roman"/>
            <family val="18"/>
          </rPr>
          <t>Von 18. Fus. Comp. zum 13. Fus Comp.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13. Fus. Komp. Nr. 65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text>
    </comment>
    <comment ref="BG919" authorId="0" shapeId="0" xr:uid="{C155B2E3-F793-194C-AE60-435FDCEEE8B9}">
      <text>
        <r>
          <rPr>
            <sz val="14"/>
            <color rgb="FF000000"/>
            <rFont val="Times New Roman"/>
            <family val="18"/>
          </rPr>
          <t> ML 1623-5 IR 20 (1806) – 13. Fus. Komp. Nr. 65 (Olmütz 15/12/1806)</t>
        </r>
        <r>
          <rPr>
            <sz val="14"/>
            <color rgb="FF000000"/>
            <rFont val="Calibri"/>
            <family val="34"/>
          </rPr>
          <t xml:space="preserve">
</t>
        </r>
        <r>
          <rPr>
            <sz val="14"/>
            <color rgb="FF000000"/>
            <rFont val="Times New Roman"/>
            <family val="18"/>
          </rPr>
          <t>ML 1659 IR 20 (1805) AL/TL – AL. Nr. 16 (Lemberg 30/09/1805)</t>
        </r>
        <r>
          <rPr>
            <sz val="14"/>
            <color rgb="FF000000"/>
            <rFont val="Calibri"/>
            <family val="34"/>
          </rPr>
          <t xml:space="preserve">
</t>
        </r>
      </text>
    </comment>
    <comment ref="BH919" authorId="0" shapeId="0" xr:uid="{AD34CFAB-6970-D041-9BA6-E92238AAE19D}">
      <text>
        <r>
          <rPr>
            <sz val="14"/>
            <color rgb="FF000000"/>
            <rFont val="Calibri"/>
            <family val="34"/>
          </rPr>
          <t>IR 20 (1805-1806)</t>
        </r>
      </text>
    </comment>
    <comment ref="BF920" authorId="0" shapeId="0" xr:uid="{B588B985-7BA1-A14B-ACD8-C7A416DD847C}">
      <text>
        <r>
          <rPr>
            <sz val="14"/>
            <color rgb="FF000000"/>
            <rFont val="Times New Roman"/>
            <family val="18"/>
          </rPr>
          <t xml:space="preserve">13/09/1805 </t>
        </r>
        <r>
          <rPr>
            <i/>
            <sz val="14"/>
            <color rgb="FF000000"/>
            <rFont val="Times New Roman"/>
            <family val="18"/>
          </rPr>
          <t>Zu Siedlice a 3Fl mit 10 jähriger Capitulation von Dominien gestellt und zur IR 59 Reserve Division gestellt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189 [</t>
        </r>
        <r>
          <rPr>
            <i/>
            <sz val="14"/>
            <color rgb="FF000000"/>
            <rFont val="Times New Roman"/>
            <family val="18"/>
          </rPr>
          <t>Beurlaubt in seinem Geburtsort bis zur Exercierzeit zu Gorzno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920" authorId="0" shapeId="0" xr:uid="{1ECF1CB8-57DB-654D-BA8B-9265F199BA2E}">
      <text>
        <r>
          <rPr>
            <sz val="14"/>
            <color rgb="FF000000"/>
            <rFont val="Times New Roman"/>
            <family val="18"/>
          </rPr>
          <t>ML 5017/8 IR 59 (1806) – 16. Fus. Komp. Nr. 189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124 (Siedlce 30/09/1805)</t>
        </r>
        <r>
          <rPr>
            <sz val="14"/>
            <color rgb="FF000000"/>
            <rFont val="Calibri"/>
            <family val="34"/>
          </rPr>
          <t xml:space="preserve">
</t>
        </r>
      </text>
    </comment>
    <comment ref="BH920" authorId="0" shapeId="0" xr:uid="{2141EED5-AB64-3044-9807-3916223C9A54}">
      <text>
        <r>
          <rPr>
            <sz val="14"/>
            <color rgb="FF000000"/>
            <rFont val="Calibri"/>
            <family val="34"/>
          </rPr>
          <t>IR 59 (1805-1808)</t>
        </r>
      </text>
    </comment>
    <comment ref="BF921" authorId="0" shapeId="0" xr:uid="{520EC4B8-987B-6D40-BF1A-8F1C07CCD6D7}">
      <text>
        <r>
          <rPr>
            <sz val="14"/>
            <color rgb="FF000000"/>
            <rFont val="Times New Roman"/>
            <family val="18"/>
          </rPr>
          <t xml:space="preserve">13/09/1805 </t>
        </r>
        <r>
          <rPr>
            <i/>
            <sz val="14"/>
            <color rgb="FF000000"/>
            <rFont val="Times New Roman"/>
            <family val="18"/>
          </rPr>
          <t>Zu Zaleszczyk in Galizien als inländische Werbbzirk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01/02/1806 </t>
        </r>
        <r>
          <rPr>
            <i/>
            <sz val="14"/>
            <color rgb="FF000000"/>
            <rFont val="Times New Roman"/>
            <family val="18"/>
          </rPr>
          <t>Von Reserve Division zum 16. Fus Comp.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In auswärtigen Spitalern und während den March zum Regiment als unwissend Verloren in Abgang</t>
        </r>
        <r>
          <rPr>
            <sz val="14"/>
            <color rgb="FF000000"/>
            <rFont val="Times New Roman"/>
            <family val="18"/>
          </rPr>
          <t xml:space="preserve"> [ML 1806]
</t>
        </r>
      </text>
    </comment>
    <comment ref="BG921" authorId="0" shapeId="0" xr:uid="{84D72E0A-6CD3-494A-956D-3F6F30329E77}">
      <text>
        <r>
          <rPr>
            <sz val="14"/>
            <color rgb="FF000000"/>
            <rFont val="Times New Roman"/>
            <family val="18"/>
          </rPr>
          <t xml:space="preserve">ML 1623-5 IR 20 (1806) – ML Heft von 16. Fus. Comp. und Reserve Division, Zuwachs &amp; Abgang (Olmütz 15/12/1806)
</t>
        </r>
        <r>
          <rPr>
            <sz val="14"/>
            <color rgb="FF000000"/>
            <rFont val="Times New Roman"/>
            <family val="18"/>
          </rPr>
          <t xml:space="preserve">ML 1659 IR 20 (1805) – AL/TL pro Monat Oct Nr. 47 (Zaleszczyk 17/09/1805)
</t>
        </r>
      </text>
    </comment>
    <comment ref="BH921" authorId="0" shapeId="0" xr:uid="{97283BCF-5F90-4E42-B0D2-EA5616858C77}">
      <text>
        <r>
          <rPr>
            <sz val="14"/>
            <color rgb="FF000000"/>
            <rFont val="Calibri"/>
            <family val="34"/>
          </rPr>
          <t>IR 20 (1805-1806)</t>
        </r>
      </text>
    </comment>
    <comment ref="I922" authorId="0" shapeId="0" xr:uid="{BE991954-4B5B-3844-A982-B9471116DD0F}">
      <text>
        <r>
          <rPr>
            <sz val="14"/>
            <color rgb="FF000000"/>
            <rFont val="Calibri"/>
            <family val="34"/>
          </rPr>
          <t xml:space="preserve">1766 [40 (1806)]
</t>
        </r>
        <r>
          <rPr>
            <sz val="14"/>
            <color rgb="FF000000"/>
            <rFont val="Calibri"/>
            <family val="34"/>
          </rPr>
          <t xml:space="preserve">OR
</t>
        </r>
        <r>
          <rPr>
            <sz val="14"/>
            <color rgb="FF000000"/>
            <rFont val="Calibri"/>
            <family val="34"/>
          </rPr>
          <t xml:space="preserve">1771 [34 (1805)]
</t>
        </r>
      </text>
    </comment>
    <comment ref="BF922" authorId="0" shapeId="0" xr:uid="{2AD78FE6-BA0A-6C45-BAD4-393ACF355FE4}">
      <text>
        <r>
          <rPr>
            <sz val="14"/>
            <color rgb="FF000000"/>
            <rFont val="Times New Roman"/>
            <family val="18"/>
          </rPr>
          <t xml:space="preserve">14/09/1805 </t>
        </r>
        <r>
          <rPr>
            <i/>
            <sz val="14"/>
            <color rgb="FF000000"/>
            <rFont val="Times New Roman"/>
            <family val="18"/>
          </rPr>
          <t>Su Zaleszczyk in Galizien als inländische Werbbzirk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01/12/1805 </t>
        </r>
        <r>
          <rPr>
            <i/>
            <sz val="14"/>
            <color rgb="FF000000"/>
            <rFont val="Times New Roman"/>
            <family val="18"/>
          </rPr>
          <t>Von Reserve Division zum 9. Fus [</t>
        </r>
        <r>
          <rPr>
            <sz val="14"/>
            <color rgb="FF000000"/>
            <rFont val="Times New Roman"/>
            <family val="18"/>
          </rPr>
          <t xml:space="preserve">in 1806 6. Fus] </t>
        </r>
        <r>
          <rPr>
            <i/>
            <sz val="14"/>
            <color rgb="FF000000"/>
            <rFont val="Times New Roman"/>
            <family val="18"/>
          </rPr>
          <t>Komp. Transferiert</t>
        </r>
        <r>
          <rPr>
            <sz val="14"/>
            <color rgb="FF000000"/>
            <rFont val="Times New Roman"/>
            <family val="18"/>
          </rPr>
          <t xml:space="preserve"> [ML 1806]
</t>
        </r>
        <r>
          <rPr>
            <sz val="14"/>
            <color rgb="FF000000"/>
            <rFont val="Times New Roman"/>
            <family val="18"/>
          </rPr>
          <t xml:space="preserve">20/04/1806 </t>
        </r>
        <r>
          <rPr>
            <i/>
            <sz val="14"/>
            <color rgb="FF000000"/>
            <rFont val="Times New Roman"/>
            <family val="18"/>
          </rPr>
          <t>Zu Folge hohe Gen: COMMANDO Verordnung d.d. Brünn 14ten März wegen Schwäche und sonst aufhabenden Defecten mit Laufpaß als Untauglich entlassen</t>
        </r>
        <r>
          <rPr>
            <sz val="14"/>
            <color rgb="FF000000"/>
            <rFont val="Times New Roman"/>
            <family val="18"/>
          </rPr>
          <t xml:space="preserve"> [ML 1806]
</t>
        </r>
      </text>
    </comment>
    <comment ref="BG922" authorId="0" shapeId="0" xr:uid="{6E8A0145-1647-9249-A562-671FEFA45095}">
      <text>
        <r>
          <rPr>
            <sz val="14"/>
            <color rgb="FF000000"/>
            <rFont val="Times New Roman"/>
            <family val="18"/>
          </rPr>
          <t xml:space="preserve">ML 1623-5 IR 20 (1806) – ML Heft von 6. Fus. Comp. und Reserve Division, Zuwachs &amp; Abgang (Olmütz 15/12/1806)
</t>
        </r>
        <r>
          <rPr>
            <sz val="14"/>
            <color rgb="FF000000"/>
            <rFont val="Times New Roman"/>
            <family val="18"/>
          </rPr>
          <t xml:space="preserve">ML 1659 IR 20 (1805) – AL Nr. 91 (Zaleszczyk 17/09/1805)
</t>
        </r>
        <r>
          <rPr>
            <sz val="14"/>
            <color rgb="FF000000"/>
            <rFont val="Times New Roman"/>
            <family val="18"/>
          </rPr>
          <t xml:space="preserve">ML 1661 IR 20 (1806) – SUP Nr. 1 (Troppau 15/04/1806)
</t>
        </r>
      </text>
    </comment>
    <comment ref="BH922" authorId="0" shapeId="0" xr:uid="{871DBF0F-2165-E640-8306-154FA75B5428}">
      <text>
        <r>
          <rPr>
            <sz val="14"/>
            <color rgb="FF000000"/>
            <rFont val="Calibri"/>
            <family val="34"/>
          </rPr>
          <t>IR 20 (1805-1806)</t>
        </r>
      </text>
    </comment>
    <comment ref="BJ922" authorId="0" shapeId="0" xr:uid="{F4EA1A98-9AF3-774E-9FF4-52ACF0EF7707}">
      <text>
        <r>
          <rPr>
            <i/>
            <sz val="14"/>
            <color rgb="FF000000"/>
            <rFont val="Times New Roman"/>
            <family val="18"/>
          </rPr>
          <t>Soroseln und Mangel fen linken Zeigenfinger,</t>
        </r>
        <r>
          <rPr>
            <sz val="14"/>
            <color rgb="FF000000"/>
            <rFont val="Times New Roman"/>
            <family val="18"/>
          </rPr>
          <t xml:space="preserve"> </t>
        </r>
        <r>
          <rPr>
            <i/>
            <sz val="14"/>
            <color rgb="FF000000"/>
            <rFont val="Times New Roman"/>
            <family val="18"/>
          </rPr>
          <t>Der Linken Zeigenfinger mangelt schon seit der Jugend</t>
        </r>
        <r>
          <rPr>
            <sz val="14"/>
            <color rgb="FF000000"/>
            <rFont val="Times New Roman"/>
            <family val="18"/>
          </rPr>
          <t xml:space="preserve"> [SUP April 1806]</t>
        </r>
        <r>
          <rPr>
            <sz val="14"/>
            <color rgb="FF000000"/>
            <rFont val="Calibri"/>
            <family val="2"/>
          </rPr>
          <t xml:space="preserve"> </t>
        </r>
      </text>
    </comment>
    <comment ref="BF923" authorId="0" shapeId="0" xr:uid="{9E181A3F-3191-B642-A5FD-AE23B56ADFD4}">
      <text>
        <r>
          <rPr>
            <sz val="14"/>
            <color rgb="FF000000"/>
            <rFont val="Times New Roman"/>
            <family val="18"/>
          </rPr>
          <t xml:space="preserve">14/09/1805 </t>
        </r>
        <r>
          <rPr>
            <i/>
            <sz val="14"/>
            <color rgb="FF000000"/>
            <rFont val="Times New Roman"/>
            <family val="18"/>
          </rPr>
          <t>Zu Zaleszczyk in Galizien als Werbbzirk Recrout gegen 3Fl Handgeld gestellt und zur IR 20 Reserve Division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01/12/1805 </t>
        </r>
        <r>
          <rPr>
            <i/>
            <sz val="14"/>
            <color rgb="FF000000"/>
            <rFont val="Times New Roman"/>
            <family val="18"/>
          </rPr>
          <t>Von dem Reserve Division zum 9. Fus. Komp.</t>
        </r>
        <r>
          <rPr>
            <sz val="14"/>
            <color rgb="FF000000"/>
            <rFont val="Times New Roman"/>
            <family val="18"/>
          </rPr>
          <t xml:space="preserve"> [jetzt 6.] </t>
        </r>
        <r>
          <rPr>
            <i/>
            <sz val="14"/>
            <color rgb="FF000000"/>
            <rFont val="Times New Roman"/>
            <family val="18"/>
          </rPr>
          <t>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15/12/1806 Muster: IR 20 6. Fus. Komp. Nr. 81 </t>
        </r>
        <r>
          <rPr>
            <sz val="14"/>
            <color rgb="FF000000"/>
            <rFont val="Calibri"/>
            <family val="34"/>
          </rPr>
          <t xml:space="preserve">
</t>
        </r>
      </text>
    </comment>
    <comment ref="BG923" authorId="0" shapeId="0" xr:uid="{8FA936FF-470E-5B49-A576-B50D859CBFCC}">
      <text>
        <r>
          <rPr>
            <sz val="14"/>
            <color rgb="FF000000"/>
            <rFont val="Times New Roman"/>
            <family val="18"/>
          </rPr>
          <t>ML 1623/5 IR 20 (1806) – 2. Fus. Komp. Nr. 85 (Olmütz 15/12/1806)</t>
        </r>
        <r>
          <rPr>
            <sz val="14"/>
            <color rgb="FF000000"/>
            <rFont val="Calibri"/>
            <family val="34"/>
          </rPr>
          <t xml:space="preserve">
</t>
        </r>
        <r>
          <rPr>
            <sz val="14"/>
            <color rgb="FF000000"/>
            <rFont val="Times New Roman"/>
            <family val="18"/>
          </rPr>
          <t>ML 1659 IR 20 (1805) AL/TL – AL. Nr. 90 (Zaleszczyk 17/09/1805)</t>
        </r>
        <r>
          <rPr>
            <sz val="14"/>
            <color rgb="FF000000"/>
            <rFont val="Calibri"/>
            <family val="34"/>
          </rPr>
          <t xml:space="preserve">
</t>
        </r>
      </text>
    </comment>
    <comment ref="BH923" authorId="0" shapeId="0" xr:uid="{A0B34E16-F5C3-7F48-A3B6-3880FFF9A722}">
      <text>
        <r>
          <rPr>
            <sz val="14"/>
            <color rgb="FF000000"/>
            <rFont val="Calibri"/>
            <family val="34"/>
          </rPr>
          <t>IR 20 (1805-1806)</t>
        </r>
      </text>
    </comment>
    <comment ref="BF924" authorId="0" shapeId="0" xr:uid="{318A38A3-C43D-3042-AD08-23C0DDB89929}">
      <text>
        <r>
          <rPr>
            <sz val="14"/>
            <color rgb="FF000000"/>
            <rFont val="Times New Roman"/>
            <family val="18"/>
          </rPr>
          <t xml:space="preserve">15/09/1805 </t>
        </r>
        <r>
          <rPr>
            <i/>
            <sz val="14"/>
            <color rgb="FF000000"/>
            <rFont val="Times New Roman"/>
            <family val="18"/>
          </rPr>
          <t>zu Stry in Galizien als inländische Werbbzirk Recrout in IR 20 ‘Reserve Division’ a 3Fl Handgeld gestellt</t>
        </r>
        <r>
          <rPr>
            <sz val="14"/>
            <color rgb="FF000000"/>
            <rFont val="Times New Roman"/>
            <family val="18"/>
          </rPr>
          <t xml:space="preserve"> [AL Oct 1805]
</t>
        </r>
        <r>
          <rPr>
            <sz val="14"/>
            <color rgb="FF000000"/>
            <rFont val="Times New Roman"/>
            <family val="18"/>
          </rPr>
          <t xml:space="preserve">01/02/1806 </t>
        </r>
        <r>
          <rPr>
            <i/>
            <sz val="14"/>
            <color rgb="FF000000"/>
            <rFont val="Times New Roman"/>
            <family val="18"/>
          </rPr>
          <t>Von Reserve Division zum 13. Füsilier Komp. transferiert</t>
        </r>
        <r>
          <rPr>
            <sz val="14"/>
            <color rgb="FF000000"/>
            <rFont val="Times New Roman"/>
            <family val="18"/>
          </rPr>
          <t xml:space="preserve"> [ML 1806]
</t>
        </r>
        <r>
          <rPr>
            <sz val="14"/>
            <color rgb="FF000000"/>
            <rFont val="Times New Roman"/>
            <family val="18"/>
          </rPr>
          <t xml:space="preserve">19/09/1806 </t>
        </r>
        <r>
          <rPr>
            <i/>
            <sz val="14"/>
            <color rgb="FF000000"/>
            <rFont val="Times New Roman"/>
            <family val="18"/>
          </rPr>
          <t>Von Urlaub, wohin er aus der Krakauer Spital abgeschickt werde, desertiert</t>
        </r>
        <r>
          <rPr>
            <sz val="14"/>
            <color rgb="FF000000"/>
            <rFont val="Times New Roman"/>
            <family val="18"/>
          </rPr>
          <t xml:space="preserve"> [ML 1806]
</t>
        </r>
      </text>
    </comment>
    <comment ref="BG924" authorId="0" shapeId="0" xr:uid="{9349169F-3A81-1F4C-827A-264CD07F5B58}">
      <text>
        <r>
          <rPr>
            <sz val="14"/>
            <color rgb="FF000000"/>
            <rFont val="Times New Roman"/>
            <family val="18"/>
          </rPr>
          <t xml:space="preserve">ML 1623-5 IR 20 (1806) –13. Fus. Komp. und Reserve Division, Zuwachs &amp; Abgang (Olmütz 15/12/1806)
</t>
        </r>
        <r>
          <rPr>
            <sz val="14"/>
            <color rgb="FF000000"/>
            <rFont val="Times New Roman"/>
            <family val="18"/>
          </rPr>
          <t xml:space="preserve">ML 1659 IR 20 (1805) – AL/TL pro Monat Oct Nr. 79 (Stry 30/10/1805)
</t>
        </r>
      </text>
    </comment>
    <comment ref="BH924" authorId="0" shapeId="0" xr:uid="{044490C6-5834-3240-B450-98685E629C5B}">
      <text>
        <r>
          <rPr>
            <sz val="14"/>
            <color rgb="FF000000"/>
            <rFont val="Calibri"/>
            <family val="34"/>
          </rPr>
          <t>IR 20 (1805-1806)</t>
        </r>
      </text>
    </comment>
    <comment ref="I925" authorId="0" shapeId="0" xr:uid="{6D734D43-AE41-F745-B69C-0FC8F10AE3AB}">
      <text>
        <r>
          <rPr>
            <sz val="14"/>
            <color rgb="FF000000"/>
            <rFont val="Calibri"/>
            <family val="34"/>
          </rPr>
          <t xml:space="preserve">1766 [40 (1806)]
</t>
        </r>
        <r>
          <rPr>
            <sz val="14"/>
            <color rgb="FF000000"/>
            <rFont val="Calibri"/>
            <family val="34"/>
          </rPr>
          <t xml:space="preserve">OR
</t>
        </r>
        <r>
          <rPr>
            <sz val="14"/>
            <color rgb="FF000000"/>
            <rFont val="Calibri"/>
            <family val="34"/>
          </rPr>
          <t xml:space="preserve">1771 [34 (1805)]
</t>
        </r>
      </text>
    </comment>
    <comment ref="BF925" authorId="0" shapeId="0" xr:uid="{51C29A0D-1E9C-1D46-87AE-C7FE3431D62A}">
      <text>
        <r>
          <rPr>
            <sz val="14"/>
            <color rgb="FF000000"/>
            <rFont val="Times New Roman"/>
            <family val="18"/>
          </rPr>
          <t xml:space="preserve">15/09/1805 </t>
        </r>
        <r>
          <rPr>
            <i/>
            <sz val="14"/>
            <color rgb="FF000000"/>
            <rFont val="Times New Roman"/>
            <family val="18"/>
          </rPr>
          <t>Zu Zaleszczyk in Galizien als inländische Werbbzirk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01/02/1806 </t>
        </r>
        <r>
          <rPr>
            <i/>
            <sz val="14"/>
            <color rgb="FF000000"/>
            <rFont val="Times New Roman"/>
            <family val="18"/>
          </rPr>
          <t>Von Reserve Division zum 11. Füsilier Komp. transferiert</t>
        </r>
        <r>
          <rPr>
            <sz val="14"/>
            <color rgb="FF000000"/>
            <rFont val="Times New Roman"/>
            <family val="18"/>
          </rPr>
          <t xml:space="preserve"> [ML 1806]
</t>
        </r>
        <r>
          <rPr>
            <sz val="14"/>
            <color rgb="FF000000"/>
            <rFont val="Times New Roman"/>
            <family val="18"/>
          </rPr>
          <t xml:space="preserve">20/04/1806 Superarbietriert: </t>
        </r>
        <r>
          <rPr>
            <i/>
            <sz val="14"/>
            <color rgb="FF000000"/>
            <rFont val="Times New Roman"/>
            <family val="18"/>
          </rPr>
          <t>Wegen Masschwach und Krankheiten</t>
        </r>
        <r>
          <rPr>
            <sz val="14"/>
            <color rgb="FF000000"/>
            <rFont val="Times New Roman"/>
            <family val="18"/>
          </rPr>
          <t xml:space="preserve">
</t>
        </r>
        <r>
          <rPr>
            <sz val="14"/>
            <color rgb="FF000000"/>
            <rFont val="Times New Roman"/>
            <family val="18"/>
          </rPr>
          <t xml:space="preserve">25/04/1806 </t>
        </r>
        <r>
          <rPr>
            <i/>
            <sz val="14"/>
            <color rgb="FF000000"/>
            <rFont val="Times New Roman"/>
            <family val="18"/>
          </rPr>
          <t>Wegen Schwäche sonstigen aufhabenden Defekten zu Folge Hohe General Commando Verordnung deto Brünn den 14. Marz 1806 mit Abschied entlassen</t>
        </r>
        <r>
          <rPr>
            <sz val="14"/>
            <color rgb="FF000000"/>
            <rFont val="Times New Roman"/>
            <family val="18"/>
          </rPr>
          <t xml:space="preserve"> [ML 1806]
</t>
        </r>
      </text>
    </comment>
    <comment ref="BG925" authorId="0" shapeId="0" xr:uid="{78809FCD-180F-5D4F-A481-873057717237}">
      <text>
        <r>
          <rPr>
            <sz val="14"/>
            <color rgb="FF000000"/>
            <rFont val="Times New Roman"/>
            <family val="18"/>
          </rPr>
          <t>ML 1623-5 IR 20 (1806) –11. Fus. Komp. und Reserve Division, Zuwachs &amp; Abgang (Olmütz 15/12/1806)</t>
        </r>
        <r>
          <rPr>
            <sz val="14"/>
            <color rgb="FF000000"/>
            <rFont val="Times New Roman"/>
            <family val="18"/>
          </rPr>
          <t xml:space="preserve">
</t>
        </r>
        <r>
          <rPr>
            <sz val="14"/>
            <color rgb="FF000000"/>
            <rFont val="Times New Roman"/>
            <family val="18"/>
          </rPr>
          <t>ML 1659 IR 20 (1805) AL/TL – AL Nr. 96 (Zaleszczyk 17/09/1805)</t>
        </r>
        <r>
          <rPr>
            <sz val="14"/>
            <color rgb="FF000000"/>
            <rFont val="Times New Roman"/>
            <family val="18"/>
          </rPr>
          <t xml:space="preserve">
</t>
        </r>
        <r>
          <rPr>
            <sz val="14"/>
            <color rgb="FF000000"/>
            <rFont val="Times New Roman"/>
            <family val="18"/>
          </rPr>
          <t>ML 1661 IR 20 (1806) AL/TL – SUP Nr. 43 (Troppau 20/04/1806)</t>
        </r>
        <r>
          <rPr>
            <sz val="14"/>
            <color rgb="FF000000"/>
            <rFont val="Times New Roman"/>
            <family val="18"/>
          </rPr>
          <t xml:space="preserve">
</t>
        </r>
      </text>
    </comment>
    <comment ref="BH925" authorId="0" shapeId="0" xr:uid="{2D5D03F3-FD75-CE4E-8566-E20DA7E06B72}">
      <text>
        <r>
          <rPr>
            <sz val="14"/>
            <color rgb="FF000000"/>
            <rFont val="Calibri"/>
            <family val="34"/>
          </rPr>
          <t>IR 20 (1805-1806)</t>
        </r>
      </text>
    </comment>
    <comment ref="BF926" authorId="0" shapeId="0" xr:uid="{65D897A9-B72D-B54F-BB39-E54DA82BC0B0}">
      <text>
        <r>
          <rPr>
            <sz val="14"/>
            <color rgb="FF000000"/>
            <rFont val="Times New Roman"/>
            <family val="18"/>
          </rPr>
          <t xml:space="preserve">15/09/1805 </t>
        </r>
        <r>
          <rPr>
            <i/>
            <sz val="14"/>
            <color rgb="FF000000"/>
            <rFont val="Times New Roman"/>
            <family val="18"/>
          </rPr>
          <t>Zu Zaleszczyk in Galizien als inländische Werbbezirk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01/02/1806 </t>
        </r>
        <r>
          <rPr>
            <i/>
            <sz val="14"/>
            <color rgb="FF000000"/>
            <rFont val="Times New Roman"/>
            <family val="18"/>
          </rPr>
          <t>Von Reserve Division zum 7. Füsilier</t>
        </r>
        <r>
          <rPr>
            <sz val="14"/>
            <color rgb="FF000000"/>
            <rFont val="Times New Roman"/>
            <family val="18"/>
          </rPr>
          <t xml:space="preserve"> [jetzt. 9.] </t>
        </r>
        <r>
          <rPr>
            <i/>
            <sz val="14"/>
            <color rgb="FF000000"/>
            <rFont val="Times New Roman"/>
            <family val="18"/>
          </rPr>
          <t>Komp.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 xml:space="preserve">In auswärtigen Spitälern unwissend verloren </t>
        </r>
        <r>
          <rPr>
            <sz val="14"/>
            <color rgb="FF000000"/>
            <rFont val="Times New Roman"/>
            <family val="18"/>
          </rPr>
          <t xml:space="preserve">[ML 1806]
</t>
        </r>
      </text>
    </comment>
    <comment ref="BG926" authorId="0" shapeId="0" xr:uid="{0CB07895-6FED-D846-8B94-9D17D4E1A2CE}">
      <text>
        <r>
          <rPr>
            <sz val="14"/>
            <color rgb="FF000000"/>
            <rFont val="Times New Roman"/>
            <family val="18"/>
          </rPr>
          <t xml:space="preserve">ML 1623-5 IR 20 (1806) – 6. Fus. Komp. und Reserve Division, Zuwachs &amp; Abgang (Olmütz 15/12/1806)
</t>
        </r>
        <r>
          <rPr>
            <sz val="14"/>
            <color rgb="FF000000"/>
            <rFont val="Times New Roman"/>
            <family val="18"/>
          </rPr>
          <t xml:space="preserve">ML 1659 IR 20 (1805) – AL/TL pro Monat Oct Nr. 95 (Zaleszczyk 17/09/1805)
</t>
        </r>
      </text>
    </comment>
    <comment ref="BH926" authorId="0" shapeId="0" xr:uid="{25977E2C-DDAE-614D-9206-B04EACDB4C2D}">
      <text>
        <r>
          <rPr>
            <sz val="14"/>
            <color rgb="FF000000"/>
            <rFont val="Calibri"/>
            <family val="34"/>
          </rPr>
          <t>IR 20 (1805-1806)</t>
        </r>
      </text>
    </comment>
    <comment ref="BF927" authorId="0" shapeId="0" xr:uid="{0592C349-5289-5C49-94FE-78BC46999EA9}">
      <text>
        <r>
          <rPr>
            <sz val="14"/>
            <color rgb="FF000000"/>
            <rFont val="Times New Roman"/>
            <family val="18"/>
          </rPr>
          <t xml:space="preserve">16/09/1805 </t>
        </r>
        <r>
          <rPr>
            <i/>
            <sz val="14"/>
            <color rgb="FF000000"/>
            <rFont val="Times New Roman"/>
            <family val="18"/>
          </rPr>
          <t>Als Landständische Recrout a 3Fl Handgeld von Lukawitz Juden Gesellschaft gestellt und zum Neu Sandec assentiert</t>
        </r>
        <r>
          <rPr>
            <sz val="14"/>
            <color rgb="FF000000"/>
            <rFont val="Times New Roman"/>
            <family val="18"/>
          </rPr>
          <t xml:space="preserve"> [AL Sept 1805] </t>
        </r>
        <r>
          <rPr>
            <sz val="14"/>
            <color rgb="FF000000"/>
            <rFont val="Calibri"/>
            <family val="34"/>
          </rPr>
          <t xml:space="preserve">
</t>
        </r>
        <r>
          <rPr>
            <sz val="14"/>
            <color rgb="FF000000"/>
            <rFont val="Times New Roman"/>
            <family val="18"/>
          </rPr>
          <t xml:space="preserve">31/03/1809 Superarbietrierung: </t>
        </r>
        <r>
          <rPr>
            <i/>
            <sz val="14"/>
            <color rgb="FF000000"/>
            <rFont val="Times New Roman"/>
            <family val="18"/>
          </rPr>
          <t>Als Reale Invalid mit Abschied zu entlassen</t>
        </r>
        <r>
          <rPr>
            <sz val="14"/>
            <color rgb="FF000000"/>
            <rFont val="Times New Roman"/>
            <family val="18"/>
          </rPr>
          <t xml:space="preserve"> [SUP March 1809]</t>
        </r>
        <r>
          <rPr>
            <sz val="14"/>
            <color rgb="FF000000"/>
            <rFont val="Calibri"/>
            <family val="34"/>
          </rPr>
          <t xml:space="preserve">
</t>
        </r>
        <r>
          <rPr>
            <sz val="14"/>
            <color rgb="FF000000"/>
            <rFont val="Times New Roman"/>
            <family val="18"/>
          </rPr>
          <t xml:space="preserve">30/04/1809 </t>
        </r>
        <r>
          <rPr>
            <i/>
            <sz val="14"/>
            <color rgb="FF000000"/>
            <rFont val="Times New Roman"/>
            <family val="18"/>
          </rPr>
          <t>Vermog hoher General Commando Verordnung deto 13. Dicti L. R. 4544 wegen Aufhabens des Gebers als Reale Invalid mit Abschied entlassen</t>
        </r>
        <r>
          <rPr>
            <sz val="14"/>
            <color rgb="FF000000"/>
            <rFont val="Times New Roman"/>
            <family val="18"/>
          </rPr>
          <t xml:space="preserve"> [ST May 1809]</t>
        </r>
        <r>
          <rPr>
            <sz val="14"/>
            <color rgb="FF000000"/>
            <rFont val="Calibri"/>
            <family val="34"/>
          </rPr>
          <t xml:space="preserve">
</t>
        </r>
      </text>
    </comment>
    <comment ref="BG927" authorId="0" shapeId="0" xr:uid="{DE64C62E-7AF8-3A4D-83BE-B61E554B80D3}">
      <text>
        <r>
          <rPr>
            <sz val="14"/>
            <color rgb="FF000000"/>
            <rFont val="Times New Roman"/>
            <family val="18"/>
          </rPr>
          <t>ML 284 IR 3 (1805 AL/TL VIII-XII) – AL Ohne Nummer (Neu Sandez 23/09/1805)</t>
        </r>
        <r>
          <rPr>
            <sz val="14"/>
            <color rgb="FF000000"/>
            <rFont val="Calibri"/>
            <family val="34"/>
          </rPr>
          <t xml:space="preserve">
</t>
        </r>
        <r>
          <rPr>
            <sz val="14"/>
            <color rgb="FF000000"/>
            <rFont val="Times New Roman"/>
            <family val="18"/>
          </rPr>
          <t>ML 293 IR 3 (1809 ST I-VI) – ST 3. Fus. Komp. – Abgang</t>
        </r>
        <r>
          <rPr>
            <sz val="14"/>
            <color rgb="FF000000"/>
            <rFont val="Calibri"/>
            <family val="34"/>
          </rPr>
          <t xml:space="preserve">
</t>
        </r>
        <r>
          <rPr>
            <sz val="14"/>
            <color rgb="FF000000"/>
            <rFont val="Times New Roman"/>
            <family val="18"/>
          </rPr>
          <t>ML 295 IR 3 (1809) – SUP Nr. 3 (Krems 31/03/1809)</t>
        </r>
        <r>
          <rPr>
            <sz val="14"/>
            <color rgb="FF000000"/>
            <rFont val="Calibri"/>
            <family val="34"/>
          </rPr>
          <t xml:space="preserve">
</t>
        </r>
      </text>
    </comment>
    <comment ref="BH927" authorId="0" shapeId="0" xr:uid="{397372DE-AACA-5449-A4B9-1E0041A2210B}">
      <text>
        <r>
          <rPr>
            <sz val="14"/>
            <color rgb="FF000000"/>
            <rFont val="Calibri"/>
            <family val="34"/>
          </rPr>
          <t>IR 3 (1805-1809)</t>
        </r>
      </text>
    </comment>
    <comment ref="BF928" authorId="0" shapeId="0" xr:uid="{A22619AF-2608-3C4F-8CC2-BF1C2B6D00A8}">
      <text>
        <r>
          <rPr>
            <sz val="14"/>
            <color rgb="FF000000"/>
            <rFont val="Times New Roman"/>
            <family val="18"/>
          </rPr>
          <t>16/09/1805</t>
        </r>
        <r>
          <rPr>
            <i/>
            <sz val="14"/>
            <color rgb="FF000000"/>
            <rFont val="Times New Roman"/>
            <family val="18"/>
          </rPr>
          <t xml:space="preserve"> Zu Siedlice a 3Fl mit 10 jähriger Capitulation von Dominien gestellt und zur IR 59 Reserve Division gestellt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208 [</t>
        </r>
        <r>
          <rPr>
            <i/>
            <sz val="14"/>
            <color rgb="FF000000"/>
            <rFont val="Times New Roman"/>
            <family val="18"/>
          </rPr>
          <t>Beurlaubt in seinem Geburtsort bis zur Exercierzeit zu Lipiny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928" authorId="0" shapeId="0" xr:uid="{45996DC0-284C-6C4E-95B8-64D101DB84CE}">
      <text>
        <r>
          <rPr>
            <sz val="14"/>
            <color rgb="FF000000"/>
            <rFont val="Times New Roman"/>
            <family val="18"/>
          </rPr>
          <t>ML 5017/8 IR 59 (1806) – 16. Fus. Komp. Nr. 208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124 (Siedlce 30/09/1805)</t>
        </r>
        <r>
          <rPr>
            <sz val="14"/>
            <color rgb="FF000000"/>
            <rFont val="Calibri"/>
            <family val="34"/>
          </rPr>
          <t xml:space="preserve">
</t>
        </r>
      </text>
    </comment>
    <comment ref="BH928" authorId="0" shapeId="0" xr:uid="{DA84E781-B09E-7542-8196-6C7CCE063060}">
      <text>
        <r>
          <rPr>
            <sz val="14"/>
            <color rgb="FF000000"/>
            <rFont val="Calibri"/>
            <family val="34"/>
          </rPr>
          <t>IR 59 (1805-1808)</t>
        </r>
      </text>
    </comment>
    <comment ref="BF929" authorId="0" shapeId="0" xr:uid="{BE653629-E077-B342-9124-EE39F554BB23}">
      <text>
        <r>
          <rPr>
            <sz val="14"/>
            <color rgb="FF000000"/>
            <rFont val="Times New Roman"/>
            <family val="18"/>
          </rPr>
          <t xml:space="preserve">16/09/1805 </t>
        </r>
        <r>
          <rPr>
            <i/>
            <sz val="14"/>
            <color rgb="FF000000"/>
            <rFont val="Times New Roman"/>
            <family val="18"/>
          </rPr>
          <t>zu Stry in Galizien als Werbbzirk Recrout a 3Fl Handgeld gestellt und zur IR 20 Reserve Division 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01/12/1805 </t>
        </r>
        <r>
          <rPr>
            <i/>
            <sz val="14"/>
            <color rgb="FF000000"/>
            <rFont val="Times New Roman"/>
            <family val="18"/>
          </rPr>
          <t xml:space="preserve">Von Reserve Division anhero </t>
        </r>
        <r>
          <rPr>
            <sz val="14"/>
            <color rgb="FF000000"/>
            <rFont val="Times New Roman"/>
            <family val="18"/>
          </rPr>
          <t>[12. Fus. Komp]</t>
        </r>
        <r>
          <rPr>
            <i/>
            <sz val="14"/>
            <color rgb="FF000000"/>
            <rFont val="Times New Roman"/>
            <family val="18"/>
          </rPr>
          <t xml:space="preserv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20 12. Fus. Komp. Nr. 83</t>
        </r>
        <r>
          <rPr>
            <sz val="14"/>
            <color rgb="FF000000"/>
            <rFont val="Calibri"/>
            <family val="34"/>
          </rPr>
          <t xml:space="preserve">
</t>
        </r>
      </text>
    </comment>
    <comment ref="BG929" authorId="0" shapeId="0" xr:uid="{59266E70-AB9C-0D4C-9B6E-C0A1EC7B8116}">
      <text>
        <r>
          <rPr>
            <sz val="14"/>
            <color rgb="FF000000"/>
            <rFont val="Times New Roman"/>
            <family val="18"/>
          </rPr>
          <t>ML 1623-5 IR 20 (1806) – 12. Fus. Komp. Nr. 82 (Olmütz 15/12/1806)</t>
        </r>
        <r>
          <rPr>
            <sz val="14"/>
            <color rgb="FF000000"/>
            <rFont val="Calibri"/>
            <family val="34"/>
          </rPr>
          <t xml:space="preserve">
</t>
        </r>
        <r>
          <rPr>
            <sz val="14"/>
            <color rgb="FF000000"/>
            <rFont val="Times New Roman"/>
            <family val="18"/>
          </rPr>
          <t>ML 1659 IR 20 (1805) AL/TL – AL Nr. 68 (Stry 30/10/1805)</t>
        </r>
        <r>
          <rPr>
            <sz val="14"/>
            <color rgb="FF000000"/>
            <rFont val="Calibri"/>
            <family val="34"/>
          </rPr>
          <t xml:space="preserve">
</t>
        </r>
      </text>
    </comment>
    <comment ref="BH929" authorId="0" shapeId="0" xr:uid="{A3EA5E08-4FBD-9D42-9AA3-0F3919EE4F48}">
      <text>
        <r>
          <rPr>
            <sz val="14"/>
            <color rgb="FF000000"/>
            <rFont val="Calibri"/>
            <family val="34"/>
          </rPr>
          <t>IR 20 (1805-1806)</t>
        </r>
      </text>
    </comment>
    <comment ref="T930" authorId="0" shapeId="0" xr:uid="{E8B49F6D-74F5-3F45-8E5D-B4F90F81D017}">
      <text>
        <r>
          <rPr>
            <b/>
            <sz val="14"/>
            <color rgb="FF000000"/>
            <rFont val="Calibri"/>
            <family val="34"/>
          </rPr>
          <t xml:space="preserve">5.2.2 [163.7 cm (AL 1805)]
</t>
        </r>
        <r>
          <rPr>
            <sz val="14"/>
            <color rgb="FF000000"/>
            <rFont val="Calibri"/>
            <family val="34"/>
          </rPr>
          <t>5.2.3 [163.92 cm (ML 1811)]</t>
        </r>
      </text>
    </comment>
    <comment ref="BF930" authorId="0" shapeId="0" xr:uid="{30678D98-51DD-4A41-BDEC-945B2285971C}">
      <text>
        <r>
          <rPr>
            <sz val="14"/>
            <color rgb="FF000000"/>
            <rFont val="Times New Roman"/>
            <family val="18"/>
          </rPr>
          <t xml:space="preserve">16/09/1805 </t>
        </r>
        <r>
          <rPr>
            <i/>
            <sz val="14"/>
            <color rgb="FF000000"/>
            <rFont val="Times New Roman"/>
            <family val="18"/>
          </rPr>
          <t>Von Ständen gegen 3 Fl Handgeld mit 10 jährigen Capitulation zum IR 4 gestellt und zum Reserve Bataillon Haupt Legrani 3. Komp. eingeteilt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02/12/1805 </t>
        </r>
        <r>
          <rPr>
            <i/>
            <sz val="14"/>
            <color rgb="FF000000"/>
            <rFont val="Times New Roman"/>
            <family val="18"/>
          </rPr>
          <t xml:space="preserve">Bei der </t>
        </r>
        <r>
          <rPr>
            <b/>
            <i/>
            <sz val="14"/>
            <color rgb="FF000000"/>
            <rFont val="Times New Roman"/>
            <family val="18"/>
          </rPr>
          <t xml:space="preserve">Schlacht von Austerlitz </t>
        </r>
        <r>
          <rPr>
            <i/>
            <sz val="14"/>
            <color rgb="FF000000"/>
            <rFont val="Times New Roman"/>
            <family val="18"/>
          </rPr>
          <t xml:space="preserve">vermisst </t>
        </r>
        <r>
          <rPr>
            <sz val="14"/>
            <color rgb="FF000000"/>
            <rFont val="Times New Roman"/>
            <family val="18"/>
          </rPr>
          <t>[ST Dec 1805]</t>
        </r>
        <r>
          <rPr>
            <sz val="14"/>
            <color rgb="FF000000"/>
            <rFont val="Calibri"/>
            <family val="34"/>
          </rPr>
          <t xml:space="preserve">
</t>
        </r>
        <r>
          <rPr>
            <sz val="14"/>
            <color rgb="FF000000"/>
            <rFont val="Times New Roman"/>
            <family val="18"/>
          </rPr>
          <t xml:space="preserve">03/12/1806 </t>
        </r>
        <r>
          <rPr>
            <i/>
            <sz val="14"/>
            <color rgb="FF000000"/>
            <rFont val="Times New Roman"/>
            <family val="18"/>
          </rPr>
          <t>Von Militär als Deserteur ohne Taglia eingebracht und zu Brünn Präsentiert und seitdem als Arrestant in Stockhaus beim Stab zugeteilt</t>
        </r>
        <r>
          <rPr>
            <sz val="14"/>
            <color rgb="FF000000"/>
            <rFont val="Times New Roman"/>
            <family val="18"/>
          </rPr>
          <t xml:space="preserve"> [ST Dec 1806]</t>
        </r>
        <r>
          <rPr>
            <sz val="14"/>
            <color rgb="FF000000"/>
            <rFont val="Calibri"/>
            <family val="34"/>
          </rPr>
          <t xml:space="preserve">
</t>
        </r>
        <r>
          <rPr>
            <sz val="14"/>
            <color rgb="FFFF0000"/>
            <rFont val="Times New Roman"/>
            <family val="18"/>
          </rPr>
          <t xml:space="preserve">03/12/1806 </t>
        </r>
        <r>
          <rPr>
            <i/>
            <sz val="14"/>
            <color rgb="FFFF0000"/>
            <rFont val="Times New Roman"/>
            <family val="18"/>
          </rPr>
          <t>Dient seit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07/03/1807 </t>
        </r>
        <r>
          <rPr>
            <i/>
            <sz val="14"/>
            <color rgb="FF000000"/>
            <rFont val="Times New Roman"/>
            <family val="18"/>
          </rPr>
          <t>Von Arrest befreit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06/05/1809 </t>
        </r>
        <r>
          <rPr>
            <i/>
            <sz val="14"/>
            <color rgb="FF000000"/>
            <rFont val="Times New Roman"/>
            <family val="18"/>
          </rPr>
          <t xml:space="preserve">Von 1. </t>
        </r>
        <r>
          <rPr>
            <sz val="14"/>
            <color rgb="FF000000"/>
            <rFont val="Times New Roman"/>
            <family val="18"/>
          </rPr>
          <t>[13.] z</t>
        </r>
        <r>
          <rPr>
            <i/>
            <sz val="14"/>
            <color rgb="FF000000"/>
            <rFont val="Times New Roman"/>
            <family val="18"/>
          </rPr>
          <t>um neu errichtete 3. Fus. Komp. transferiert und zum Gefreyter avanciert</t>
        </r>
        <r>
          <rPr>
            <sz val="14"/>
            <color rgb="FF000000"/>
            <rFont val="Times New Roman"/>
            <family val="18"/>
          </rPr>
          <t xml:space="preserve"> [ML 1811 &amp; ST May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7. Zum neu errichtete 15.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29/05/1810 </t>
        </r>
        <r>
          <rPr>
            <i/>
            <sz val="14"/>
            <color rgb="FF000000"/>
            <rFont val="Times New Roman"/>
            <family val="18"/>
          </rPr>
          <t>Beurlaubt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08/09/1811 Muster: IR 1 15. Fus. Komp. Nr. 30</t>
        </r>
        <r>
          <rPr>
            <sz val="14"/>
            <color rgb="FF000000"/>
            <rFont val="Calibri"/>
            <family val="34"/>
          </rPr>
          <t xml:space="preserve">
</t>
        </r>
        <r>
          <rPr>
            <sz val="14"/>
            <color rgb="FF000000"/>
            <rFont val="Times New Roman"/>
            <family val="18"/>
          </rPr>
          <t xml:space="preserve">01/09/1811 </t>
        </r>
        <r>
          <rPr>
            <i/>
            <sz val="14"/>
            <color rgb="FF000000"/>
            <rFont val="Times New Roman"/>
            <family val="18"/>
          </rPr>
          <t>Aus bestimmte Zeit beurlaubt</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07/09/1811 </t>
        </r>
        <r>
          <rPr>
            <i/>
            <sz val="14"/>
            <color rgb="FF000000"/>
            <rFont val="Times New Roman"/>
            <family val="18"/>
          </rPr>
          <t>In Arrest wegen Diebstahl</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19/09/1811 </t>
        </r>
        <r>
          <rPr>
            <i/>
            <sz val="14"/>
            <color rgb="FF000000"/>
            <rFont val="Times New Roman"/>
            <family val="18"/>
          </rPr>
          <t xml:space="preserve">Von Arrest Befreit </t>
        </r>
        <r>
          <rPr>
            <sz val="14"/>
            <color rgb="FF000000"/>
            <rFont val="Times New Roman"/>
            <family val="18"/>
          </rPr>
          <t>[ST Sept 1811]</t>
        </r>
        <r>
          <rPr>
            <sz val="14"/>
            <color rgb="FF000000"/>
            <rFont val="Calibri"/>
            <family val="34"/>
          </rPr>
          <t xml:space="preserve">
</t>
        </r>
        <r>
          <rPr>
            <sz val="14"/>
            <color rgb="FF000000"/>
            <rFont val="Times New Roman"/>
            <family val="18"/>
          </rPr>
          <t xml:space="preserve">23/11/1811 </t>
        </r>
        <r>
          <rPr>
            <i/>
            <sz val="14"/>
            <color rgb="FF000000"/>
            <rFont val="Times New Roman"/>
            <family val="18"/>
          </rPr>
          <t>Wegen Exzessen und Diebstahl in Arrest</t>
        </r>
        <r>
          <rPr>
            <sz val="14"/>
            <color rgb="FF000000"/>
            <rFont val="Times New Roman"/>
            <family val="18"/>
          </rPr>
          <t xml:space="preserve"> [ST Nov 1811]</t>
        </r>
        <r>
          <rPr>
            <sz val="14"/>
            <color rgb="FF000000"/>
            <rFont val="Calibri"/>
            <family val="34"/>
          </rPr>
          <t xml:space="preserve">
</t>
        </r>
        <r>
          <rPr>
            <sz val="14"/>
            <color rgb="FF000000"/>
            <rFont val="Times New Roman"/>
            <family val="18"/>
          </rPr>
          <t xml:space="preserve">30/12/1811 </t>
        </r>
        <r>
          <rPr>
            <i/>
            <sz val="14"/>
            <color rgb="FF000000"/>
            <rFont val="Times New Roman"/>
            <family val="18"/>
          </rPr>
          <t xml:space="preserve">Von Arrest Befreit </t>
        </r>
        <r>
          <rPr>
            <sz val="14"/>
            <color rgb="FF000000"/>
            <rFont val="Times New Roman"/>
            <family val="18"/>
          </rPr>
          <t>[ST Dec 1811]</t>
        </r>
        <r>
          <rPr>
            <sz val="14"/>
            <color rgb="FF000000"/>
            <rFont val="Calibri"/>
            <family val="34"/>
          </rPr>
          <t xml:space="preserve">
</t>
        </r>
        <r>
          <rPr>
            <sz val="14"/>
            <color rgb="FF000000"/>
            <rFont val="Times New Roman"/>
            <family val="18"/>
          </rPr>
          <t xml:space="preserve">06/05/1812 </t>
        </r>
        <r>
          <rPr>
            <i/>
            <sz val="14"/>
            <color rgb="FF000000"/>
            <rFont val="Times New Roman"/>
            <family val="18"/>
          </rPr>
          <t>Von 15. zum 10. Fus. Komp. transferiert</t>
        </r>
        <r>
          <rPr>
            <sz val="14"/>
            <color rgb="FF000000"/>
            <rFont val="Times New Roman"/>
            <family val="18"/>
          </rPr>
          <t xml:space="preserve"> [ST May 1812]</t>
        </r>
        <r>
          <rPr>
            <sz val="14"/>
            <color rgb="FF000000"/>
            <rFont val="Calibri"/>
            <family val="34"/>
          </rPr>
          <t xml:space="preserve">
</t>
        </r>
        <r>
          <rPr>
            <sz val="14"/>
            <color rgb="FF000000"/>
            <rFont val="Times New Roman"/>
            <family val="18"/>
          </rPr>
          <t xml:space="preserve">09/11/1812 </t>
        </r>
        <r>
          <rPr>
            <i/>
            <sz val="14"/>
            <color rgb="FF000000"/>
            <rFont val="Times New Roman"/>
            <family val="18"/>
          </rPr>
          <t>Krank in Armée Spital</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30/11/1812 </t>
        </r>
        <r>
          <rPr>
            <i/>
            <sz val="14"/>
            <color rgb="FF000000"/>
            <rFont val="Times New Roman"/>
            <family val="18"/>
          </rPr>
          <t xml:space="preserve">Rekonvalesziert </t>
        </r>
        <r>
          <rPr>
            <sz val="14"/>
            <color rgb="FF000000"/>
            <rFont val="Times New Roman"/>
            <family val="18"/>
          </rPr>
          <t>[ST Dec 1812]</t>
        </r>
        <r>
          <rPr>
            <sz val="14"/>
            <color rgb="FF000000"/>
            <rFont val="Calibri"/>
            <family val="34"/>
          </rPr>
          <t xml:space="preserve">
</t>
        </r>
        <r>
          <rPr>
            <sz val="14"/>
            <color rgb="FF000000"/>
            <rFont val="Times New Roman"/>
            <family val="18"/>
          </rPr>
          <t xml:space="preserve">21/12/1812 </t>
        </r>
        <r>
          <rPr>
            <i/>
            <sz val="14"/>
            <color rgb="FF000000"/>
            <rFont val="Times New Roman"/>
            <family val="18"/>
          </rPr>
          <t>Von 10. Fus. zum 1. Depot Komp. transferiert seitdem auf anhero Marsch von den 2 Feld Bataillons</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21/02/1813 </t>
        </r>
        <r>
          <rPr>
            <i/>
            <sz val="14"/>
            <color rgb="FF000000"/>
            <rFont val="Times New Roman"/>
            <family val="18"/>
          </rPr>
          <t>In das 1. Depot eingerückt</t>
        </r>
        <r>
          <rPr>
            <sz val="14"/>
            <color rgb="FF000000"/>
            <rFont val="Times New Roman"/>
            <family val="18"/>
          </rPr>
          <t xml:space="preserve"> [ST Feb 1813]</t>
        </r>
        <r>
          <rPr>
            <sz val="14"/>
            <color rgb="FF000000"/>
            <rFont val="Calibri"/>
            <family val="34"/>
          </rPr>
          <t xml:space="preserve">
</t>
        </r>
        <r>
          <rPr>
            <sz val="14"/>
            <color rgb="FF000000"/>
            <rFont val="Times New Roman"/>
            <family val="18"/>
          </rPr>
          <t xml:space="preserve">29/06/1813 </t>
        </r>
        <r>
          <rPr>
            <i/>
            <sz val="14"/>
            <color rgb="FF000000"/>
            <rFont val="Times New Roman"/>
            <family val="18"/>
          </rPr>
          <t>Bei der Abrichtung Depot in Olmütz</t>
        </r>
        <r>
          <rPr>
            <sz val="14"/>
            <color rgb="FF000000"/>
            <rFont val="Times New Roman"/>
            <family val="18"/>
          </rPr>
          <t xml:space="preserve"> [ST June 1813]</t>
        </r>
        <r>
          <rPr>
            <sz val="14"/>
            <color rgb="FF000000"/>
            <rFont val="Calibri"/>
            <family val="34"/>
          </rPr>
          <t xml:space="preserve">
</t>
        </r>
        <r>
          <rPr>
            <sz val="14"/>
            <color rgb="FF000000"/>
            <rFont val="Times New Roman"/>
            <family val="18"/>
          </rPr>
          <t xml:space="preserve">28/09/1813 </t>
        </r>
        <r>
          <rPr>
            <i/>
            <sz val="14"/>
            <color rgb="FF000000"/>
            <rFont val="Times New Roman"/>
            <family val="18"/>
          </rPr>
          <t>Degradiert und Wieder in Depot eingerückt</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21/06/1814 </t>
        </r>
        <r>
          <rPr>
            <i/>
            <sz val="14"/>
            <color rgb="FF000000"/>
            <rFont val="Times New Roman"/>
            <family val="18"/>
          </rPr>
          <t>Von 19. zum 13. Fus. Komp. transferiert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01/04/1815 </t>
        </r>
        <r>
          <rPr>
            <i/>
            <sz val="14"/>
            <color rgb="FF000000"/>
            <rFont val="Times New Roman"/>
            <family val="18"/>
          </rPr>
          <t>Von 13. fus. Komp. zum 1. Depot transferiert</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01/12/1815 </t>
        </r>
        <r>
          <rPr>
            <i/>
            <sz val="14"/>
            <color rgb="FF000000"/>
            <rFont val="Times New Roman"/>
            <family val="18"/>
          </rPr>
          <t>Von dissolvierte 1. Depot zum 8. Fus. Komp. transferiert</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06/01/1816 </t>
        </r>
        <r>
          <rPr>
            <i/>
            <sz val="14"/>
            <color rgb="FF000000"/>
            <rFont val="Times New Roman"/>
            <family val="18"/>
          </rPr>
          <t>Bis zur Einberufung beurlaubt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10/08/1816 </t>
        </r>
        <r>
          <rPr>
            <i/>
            <sz val="14"/>
            <color rgb="FF000000"/>
            <rFont val="Times New Roman"/>
            <family val="18"/>
          </rPr>
          <t>Zu Folge hoher General Militair kommando Verordnung deto Brünn am 9. Juni 816 R 6394 als ausgedienter Capitulanten mit Abschied entlassen</t>
        </r>
        <r>
          <rPr>
            <sz val="14"/>
            <color rgb="FF000000"/>
            <rFont val="Times New Roman"/>
            <family val="18"/>
          </rPr>
          <t xml:space="preserve"> [ST Aug 1816] </t>
        </r>
      </text>
    </comment>
    <comment ref="BG930" authorId="0" shapeId="0" xr:uid="{F5645D21-0274-F844-8855-0CBC20C759BF}">
      <text>
        <r>
          <rPr>
            <sz val="14"/>
            <color rgb="FF000000"/>
            <rFont val="Times New Roman"/>
            <family val="18"/>
          </rPr>
          <t>ML 33 IR 1 (1811) – 15. Fus. Komp. Nr. 30 (Prossnitz 08/09/1811)</t>
        </r>
        <r>
          <rPr>
            <sz val="14"/>
            <color rgb="FF000000"/>
            <rFont val="Calibri"/>
            <family val="34"/>
          </rPr>
          <t xml:space="preserve">
</t>
        </r>
        <r>
          <rPr>
            <sz val="14"/>
            <color rgb="FF000000"/>
            <rFont val="Times New Roman"/>
            <family val="18"/>
          </rPr>
          <t>ML 84 IR 1 (1805) – AL Nr. 407 (Olmütz 30/09/1805)</t>
        </r>
        <r>
          <rPr>
            <sz val="14"/>
            <color rgb="FF000000"/>
            <rFont val="Calibri"/>
            <family val="34"/>
          </rPr>
          <t xml:space="preserve">
</t>
        </r>
        <r>
          <rPr>
            <sz val="14"/>
            <color rgb="FF000000"/>
            <rFont val="Times New Roman"/>
            <family val="18"/>
          </rPr>
          <t>ML 83 IR 1 (1805) – ST Nov (Brünn 12/09/1806), Dec (1806)</t>
        </r>
        <r>
          <rPr>
            <sz val="14"/>
            <color rgb="FF000000"/>
            <rFont val="Calibri"/>
            <family val="34"/>
          </rPr>
          <t xml:space="preserve">
</t>
        </r>
        <r>
          <rPr>
            <sz val="14"/>
            <color rgb="FF000000"/>
            <rFont val="Times New Roman"/>
            <family val="18"/>
          </rPr>
          <t>ML 85 IR 1 (1806) – ST Dec (Brünn 16/07/1807)</t>
        </r>
        <r>
          <rPr>
            <sz val="14"/>
            <color rgb="FF000000"/>
            <rFont val="Calibri"/>
            <family val="34"/>
          </rPr>
          <t xml:space="preserve">
</t>
        </r>
        <r>
          <rPr>
            <sz val="14"/>
            <color rgb="FF000000"/>
            <rFont val="Times New Roman"/>
            <family val="18"/>
          </rPr>
          <t>ML 87 IR 1 (1807) – ST March (Brünn 23/07/1807)</t>
        </r>
        <r>
          <rPr>
            <sz val="14"/>
            <color rgb="FF000000"/>
            <rFont val="Calibri"/>
            <family val="34"/>
          </rPr>
          <t xml:space="preserve">
</t>
        </r>
        <r>
          <rPr>
            <sz val="14"/>
            <color rgb="FF000000"/>
            <rFont val="Times New Roman"/>
            <family val="18"/>
          </rPr>
          <t>ML 91 IR 1 (1809) – ST May (Proßnitz 09/1810), Dec (Proßnitz 15/01/1811)</t>
        </r>
        <r>
          <rPr>
            <sz val="14"/>
            <color rgb="FF000000"/>
            <rFont val="Calibri"/>
            <family val="34"/>
          </rPr>
          <t xml:space="preserve">
</t>
        </r>
        <r>
          <rPr>
            <sz val="14"/>
            <color rgb="FF000000"/>
            <rFont val="Times New Roman"/>
            <family val="18"/>
          </rPr>
          <t>ML 94 IR 1 (1810) – ST May (Brünn 03/1811)</t>
        </r>
        <r>
          <rPr>
            <sz val="14"/>
            <color rgb="FF000000"/>
            <rFont val="Calibri"/>
            <family val="34"/>
          </rPr>
          <t xml:space="preserve">
</t>
        </r>
        <r>
          <rPr>
            <sz val="14"/>
            <color rgb="FF000000"/>
            <rFont val="Times New Roman"/>
            <family val="18"/>
          </rPr>
          <t>ML 96 IR 1 (1811) – ST Sept (Proßnitz 12/11/1811), Nov (Proßnitz 08/01/1812), Dec Proßnitz 01/02/1812)</t>
        </r>
        <r>
          <rPr>
            <sz val="14"/>
            <color rgb="FF000000"/>
            <rFont val="Calibri"/>
            <family val="34"/>
          </rPr>
          <t xml:space="preserve">
</t>
        </r>
        <r>
          <rPr>
            <sz val="14"/>
            <color rgb="FF000000"/>
            <rFont val="Times New Roman"/>
            <family val="18"/>
          </rPr>
          <t>ML 97 IR 1 (1812) – ST May (Proßnitz 24/08/1812), Nov (Proßnitz 30/03/1813), Dec (Proßnitz 08/05/1813)</t>
        </r>
        <r>
          <rPr>
            <sz val="14"/>
            <color rgb="FF000000"/>
            <rFont val="Calibri"/>
            <family val="34"/>
          </rPr>
          <t xml:space="preserve">
</t>
        </r>
        <r>
          <rPr>
            <sz val="14"/>
            <color rgb="FF000000"/>
            <rFont val="Times New Roman"/>
            <family val="18"/>
          </rPr>
          <t>ML 99 IR 1 (1813) – ST Feb (Proßnitz 20/06/1813), ST June (Proßnitz 05/10/1813), ST Aug (Proßnitz 15/12/1813)</t>
        </r>
        <r>
          <rPr>
            <sz val="14"/>
            <color rgb="FF000000"/>
            <rFont val="Calibri"/>
            <family val="34"/>
          </rPr>
          <t xml:space="preserve">
</t>
        </r>
        <r>
          <rPr>
            <sz val="14"/>
            <color rgb="FF000000"/>
            <rFont val="Times New Roman"/>
            <family val="18"/>
          </rPr>
          <t>ML 103 IR 1 (1814) – ST Feb (Proßnitz 26/01/1815)</t>
        </r>
        <r>
          <rPr>
            <sz val="14"/>
            <color rgb="FF000000"/>
            <rFont val="Calibri"/>
            <family val="34"/>
          </rPr>
          <t xml:space="preserve">
</t>
        </r>
        <r>
          <rPr>
            <sz val="14"/>
            <color rgb="FF000000"/>
            <rFont val="Times New Roman"/>
            <family val="18"/>
          </rPr>
          <t>ML 105 IR 1 (1815) – ST April (Proßnitz 15/09/1815), Dec (Proßnitz 27/03/1816)</t>
        </r>
        <r>
          <rPr>
            <sz val="14"/>
            <color rgb="FF000000"/>
            <rFont val="Calibri"/>
            <family val="34"/>
          </rPr>
          <t xml:space="preserve">
</t>
        </r>
        <r>
          <rPr>
            <sz val="14"/>
            <color rgb="FF000000"/>
            <rFont val="Times New Roman"/>
            <family val="18"/>
          </rPr>
          <t>ML 107 IR 1 (1816) – ST Jan (Proßnitz 10/06/1816), August (Brünn 15/10/1816)</t>
        </r>
        <r>
          <rPr>
            <sz val="14"/>
            <color rgb="FF000000"/>
            <rFont val="Calibri"/>
            <family val="34"/>
          </rPr>
          <t xml:space="preserve">
</t>
        </r>
      </text>
    </comment>
    <comment ref="BH930" authorId="0" shapeId="0" xr:uid="{F745F288-6F42-814A-B09E-0454471C0F78}">
      <text>
        <r>
          <rPr>
            <sz val="14"/>
            <color rgb="FF000000"/>
            <rFont val="Calibri"/>
            <family val="34"/>
          </rPr>
          <t>IR 1 (1805-1816)</t>
        </r>
      </text>
    </comment>
    <comment ref="BF931" authorId="0" shapeId="0" xr:uid="{422D3BBD-1AAF-6A48-84E3-32F39286DCD9}">
      <text>
        <r>
          <rPr>
            <sz val="14"/>
            <color rgb="FF000000"/>
            <rFont val="Times New Roman"/>
            <family val="18"/>
          </rPr>
          <t xml:space="preserve">17/09/1805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Von Szelkowice desertiert</t>
        </r>
        <r>
          <rPr>
            <sz val="14"/>
            <color rgb="FF000000"/>
            <rFont val="Times New Roman"/>
            <family val="18"/>
          </rPr>
          <t xml:space="preserve"> [ML 1806]</t>
        </r>
        <r>
          <rPr>
            <b/>
            <sz val="14"/>
            <color rgb="FF000000"/>
            <rFont val="Times New Roman"/>
            <family val="18"/>
          </rPr>
          <t xml:space="preserve"> </t>
        </r>
      </text>
    </comment>
    <comment ref="BG931" authorId="0" shapeId="0" xr:uid="{C33357AA-3ED0-BC4E-9833-E8F4A7136752}">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212 (Siedlce 30/09/1805)</t>
        </r>
        <r>
          <rPr>
            <sz val="14"/>
            <color rgb="FF000000"/>
            <rFont val="Calibri"/>
            <family val="34"/>
          </rPr>
          <t xml:space="preserve">
</t>
        </r>
      </text>
    </comment>
    <comment ref="BH931" authorId="0" shapeId="0" xr:uid="{3DF23775-C425-CF4E-A330-E21AD0759E38}">
      <text>
        <r>
          <rPr>
            <sz val="14"/>
            <color rgb="FF000000"/>
            <rFont val="Calibri"/>
            <family val="34"/>
          </rPr>
          <t>IR 59 (1805-1806)</t>
        </r>
      </text>
    </comment>
    <comment ref="BF932" authorId="0" shapeId="0" xr:uid="{3E242B1E-B8DE-4640-88B6-D86DD346E9D9}">
      <text>
        <r>
          <rPr>
            <sz val="14"/>
            <color rgb="FF000000"/>
            <rFont val="Times New Roman"/>
            <family val="18"/>
          </rPr>
          <t xml:space="preserve">18/09/1805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Reserve Division zum 16.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aus Galizien verbliebene als unwissend verloren in Abgang gebracht</t>
        </r>
        <r>
          <rPr>
            <sz val="14"/>
            <color rgb="FF000000"/>
            <rFont val="Times New Roman"/>
            <family val="18"/>
          </rPr>
          <t xml:space="preserve"> [ML 1806]</t>
        </r>
        <r>
          <rPr>
            <b/>
            <sz val="14"/>
            <color rgb="FF000000"/>
            <rFont val="Times New Roman"/>
            <family val="18"/>
          </rPr>
          <t xml:space="preserve"> </t>
        </r>
      </text>
    </comment>
    <comment ref="BG932" authorId="0" shapeId="0" xr:uid="{0C06F1CE-2C77-7740-A740-2336945C936A}">
      <text>
        <r>
          <rPr>
            <sz val="14"/>
            <color rgb="FF000000"/>
            <rFont val="Times New Roman"/>
            <family val="18"/>
          </rPr>
          <t>ML 5017/8 IR 59 (1806) – 16. Fus. Komp. (Freistadt 22/12/1806) &amp; Cons.‚Unwissend verlohren‘ Nr. 550 (Linz 10/07/1807)</t>
        </r>
        <r>
          <rPr>
            <sz val="14"/>
            <color rgb="FF000000"/>
            <rFont val="Calibri"/>
            <family val="34"/>
          </rPr>
          <t xml:space="preserve">
</t>
        </r>
        <r>
          <rPr>
            <sz val="14"/>
            <color rgb="FF000000"/>
            <rFont val="Times New Roman"/>
            <family val="18"/>
          </rPr>
          <t>ML 5067 IR 59 (1805) – AL. Nr. 232 (Siedlce 30/09/1805)</t>
        </r>
        <r>
          <rPr>
            <sz val="14"/>
            <color rgb="FF000000"/>
            <rFont val="Calibri"/>
            <family val="34"/>
          </rPr>
          <t xml:space="preserve">
</t>
        </r>
      </text>
    </comment>
    <comment ref="BH932" authorId="0" shapeId="0" xr:uid="{E6E10729-3364-7846-8F0A-BF57DFB6257B}">
      <text>
        <r>
          <rPr>
            <sz val="14"/>
            <color rgb="FF000000"/>
            <rFont val="Calibri"/>
            <family val="34"/>
          </rPr>
          <t>IR 59 (1805-1806)</t>
        </r>
      </text>
    </comment>
    <comment ref="CR932" authorId="0" shapeId="0" xr:uid="{817F7944-E832-8843-B132-0E7CE2B1400C}">
      <text>
        <r>
          <rPr>
            <sz val="14"/>
            <color rgb="FF000000"/>
            <rFont val="Calibri"/>
            <family val="34"/>
          </rPr>
          <t xml:space="preserve">1805: Jüdisch
</t>
        </r>
        <r>
          <rPr>
            <sz val="14"/>
            <color rgb="FF000000"/>
            <rFont val="Calibri"/>
            <family val="34"/>
          </rPr>
          <t>1806: Katolisch (detto)</t>
        </r>
        <r>
          <rPr>
            <sz val="14"/>
            <color rgb="FF000000"/>
            <rFont val="Calibri"/>
            <family val="2"/>
          </rPr>
          <t xml:space="preserve">
</t>
        </r>
        <r>
          <rPr>
            <sz val="14"/>
            <color rgb="FF000000"/>
            <rFont val="Calibri"/>
            <family val="2"/>
          </rPr>
          <t xml:space="preserve"> </t>
        </r>
      </text>
    </comment>
    <comment ref="BF933" authorId="0" shapeId="0" xr:uid="{27CADA02-677B-FE44-AB42-B6ACC84CC1F1}">
      <text>
        <r>
          <rPr>
            <sz val="14"/>
            <color rgb="FF000000"/>
            <rFont val="Times New Roman"/>
            <family val="18"/>
          </rPr>
          <t xml:space="preserve">20/09/1805 </t>
        </r>
        <r>
          <rPr>
            <i/>
            <sz val="14"/>
            <color rgb="FF000000"/>
            <rFont val="Times New Roman"/>
            <family val="18"/>
          </rPr>
          <t>In Siedlice von Domenien a 3Fl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933" authorId="0" shapeId="0" xr:uid="{EC738EF4-AAA0-BD4A-BEE5-29B91E66B940}">
      <text>
        <r>
          <rPr>
            <sz val="14"/>
            <color rgb="FF000000"/>
            <rFont val="Times New Roman"/>
            <family val="18"/>
          </rPr>
          <t xml:space="preserve">ML 5017/8 IR 59 (1806) – Reserve Division Zuwachs &amp; Abgang (Wells 06/07/1807) &amp; Cons. ‚Unwissend verlohren‘ Nr. 534 (Linz 10/07/1807)
</t>
        </r>
        <r>
          <rPr>
            <sz val="14"/>
            <color rgb="FF000000"/>
            <rFont val="Times New Roman"/>
            <family val="18"/>
          </rPr>
          <t>ML 5067 IR 59 (1805) – AL. Nr. 282 (Siedlce 30/09/1805)</t>
        </r>
        <r>
          <rPr>
            <sz val="14"/>
            <color rgb="FF000000"/>
            <rFont val="Calibri"/>
            <family val="34"/>
          </rPr>
          <t xml:space="preserve">
</t>
        </r>
        <r>
          <rPr>
            <sz val="14"/>
            <color rgb="FF000000"/>
            <rFont val="Calibri"/>
            <family val="34"/>
          </rPr>
          <t xml:space="preserve">
</t>
        </r>
      </text>
    </comment>
    <comment ref="BH933" authorId="0" shapeId="0" xr:uid="{BB699AEC-2A84-9649-8C53-EC933425ACA8}">
      <text>
        <r>
          <rPr>
            <sz val="14"/>
            <color rgb="FF000000"/>
            <rFont val="Calibri"/>
            <family val="34"/>
          </rPr>
          <t>IR 59 (1805-1806)</t>
        </r>
      </text>
    </comment>
    <comment ref="CR933" authorId="0" shapeId="0" xr:uid="{6C9020AD-242E-1B42-8AFA-C85CEFB1226C}">
      <text>
        <r>
          <rPr>
            <sz val="14"/>
            <color rgb="FF000000"/>
            <rFont val="Calibri"/>
            <family val="34"/>
          </rPr>
          <t xml:space="preserve">1805: Katolisch (detto)
</t>
        </r>
        <r>
          <rPr>
            <sz val="14"/>
            <color rgb="FF000000"/>
            <rFont val="Calibri"/>
            <family val="34"/>
          </rPr>
          <t>1806: Jüdisch</t>
        </r>
        <r>
          <rPr>
            <sz val="14"/>
            <color rgb="FF000000"/>
            <rFont val="Calibri"/>
            <family val="2"/>
          </rPr>
          <t xml:space="preserve"> </t>
        </r>
      </text>
    </comment>
    <comment ref="BF934" authorId="0" shapeId="0" xr:uid="{2FC08E0A-2A10-F843-B1BD-064E1E4323BE}">
      <text>
        <r>
          <rPr>
            <sz val="14"/>
            <color rgb="FF000000"/>
            <rFont val="Times New Roman"/>
            <family val="18"/>
          </rPr>
          <t xml:space="preserve">20/09/1805 </t>
        </r>
        <r>
          <rPr>
            <i/>
            <sz val="14"/>
            <color rgb="FF000000"/>
            <rFont val="Times New Roman"/>
            <family val="18"/>
          </rPr>
          <t>Zu Siedlice a 3Fl mit 10 jähriger Capitulation von Dominien gestellt und zum IR 59 Reserve Division gestellt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 </t>
        </r>
      </text>
    </comment>
    <comment ref="BG934" authorId="0" shapeId="0" xr:uid="{F4E13ABE-F07A-1A4F-B071-0293A3023C9D}">
      <text>
        <r>
          <rPr>
            <sz val="14"/>
            <color rgb="FF000000"/>
            <rFont val="Times New Roman"/>
            <family val="18"/>
          </rPr>
          <t>ML 5017/8 IR 59 (1806) –Reserve Division Zuwachs &amp; Abgang (Wells 06/07/1807) &amp; Cons.‚Unwissend verlohren‘ Nr. 533 (Linz 10/07/1807)</t>
        </r>
        <r>
          <rPr>
            <sz val="14"/>
            <color rgb="FF000000"/>
            <rFont val="Calibri"/>
            <family val="34"/>
          </rPr>
          <t xml:space="preserve">
</t>
        </r>
        <r>
          <rPr>
            <sz val="14"/>
            <color rgb="FF000000"/>
            <rFont val="Times New Roman"/>
            <family val="18"/>
          </rPr>
          <t>ML 5067 IR 59 (1805) – AL. Nr. 271 (Siedlce 30/09/1805)</t>
        </r>
        <r>
          <rPr>
            <sz val="14"/>
            <color rgb="FF000000"/>
            <rFont val="Calibri"/>
            <family val="34"/>
          </rPr>
          <t xml:space="preserve">
</t>
        </r>
      </text>
    </comment>
    <comment ref="BH934" authorId="0" shapeId="0" xr:uid="{9BCE4E55-DF7A-0647-B2A1-C61575E42BBE}">
      <text>
        <r>
          <rPr>
            <sz val="14"/>
            <color rgb="FF000000"/>
            <rFont val="Calibri"/>
            <family val="34"/>
          </rPr>
          <t>IR 59 (1805-1806)</t>
        </r>
      </text>
    </comment>
    <comment ref="BF935" authorId="0" shapeId="0" xr:uid="{3FB80813-4CF2-F748-8F96-586E512591DD}">
      <text>
        <r>
          <rPr>
            <sz val="14"/>
            <color rgb="FF000000"/>
            <rFont val="Times New Roman"/>
            <family val="18"/>
          </rPr>
          <t xml:space="preserve">21/09/1805 </t>
        </r>
        <r>
          <rPr>
            <i/>
            <sz val="14"/>
            <color rgb="FF000000"/>
            <rFont val="Times New Roman"/>
            <family val="18"/>
          </rPr>
          <t>Zu Siedlice a 3Fl mit 10 jähriger Capitulation von Dominien gestellt und zur IR 59 Reserve Division gestellt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208 [</t>
        </r>
        <r>
          <rPr>
            <i/>
            <sz val="14"/>
            <color rgb="FF000000"/>
            <rFont val="Times New Roman"/>
            <family val="18"/>
          </rPr>
          <t>Beurlaubt in seinem Geburtsort bis zur Exercierzeit zu Wegrow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935" authorId="0" shapeId="0" xr:uid="{417D5188-28A8-D94E-A67D-E823C3D26523}">
      <text>
        <r>
          <rPr>
            <sz val="14"/>
            <color rgb="FF000000"/>
            <rFont val="Times New Roman"/>
            <family val="18"/>
          </rPr>
          <t>ML 5017/8 IR 59 (1806) – 16. Fus. Komp. Nr. 216 (Freistadt 22/12/1816), Dissolvierte Reserve Div. Zuwachs &amp; Abgang (Wells 06/07/1806)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294 (Siedlce 30/09/1805)</t>
        </r>
        <r>
          <rPr>
            <sz val="14"/>
            <color rgb="FF000000"/>
            <rFont val="Calibri"/>
            <family val="34"/>
          </rPr>
          <t xml:space="preserve">
</t>
        </r>
      </text>
    </comment>
    <comment ref="BH935" authorId="0" shapeId="0" xr:uid="{A43AC945-AD19-6F4C-82C0-42F6A63E7F29}">
      <text>
        <r>
          <rPr>
            <sz val="14"/>
            <color rgb="FF000000"/>
            <rFont val="Calibri"/>
            <family val="34"/>
          </rPr>
          <t>IR 59 (1805-1808)</t>
        </r>
      </text>
    </comment>
    <comment ref="BF936" authorId="0" shapeId="0" xr:uid="{C237A941-1F25-0E44-B293-88F76E2748A3}">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[ML 1806]</t>
        </r>
        <r>
          <rPr>
            <sz val="14"/>
            <color rgb="FF000000"/>
            <rFont val="Calibri"/>
            <family val="2"/>
          </rPr>
          <t xml:space="preserve"> </t>
        </r>
      </text>
    </comment>
    <comment ref="BG936" authorId="0" shapeId="0" xr:uid="{01A7B98C-628A-C447-9B19-5425CE33AFC3}">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293 (Siedlce 30/09/1805)</t>
        </r>
        <r>
          <rPr>
            <sz val="14"/>
            <color rgb="FF000000"/>
            <rFont val="Calibri"/>
            <family val="34"/>
          </rPr>
          <t xml:space="preserve">
</t>
        </r>
      </text>
    </comment>
    <comment ref="BH936" authorId="0" shapeId="0" xr:uid="{D0B36C83-514D-724E-8E4D-26E0453EC26E}">
      <text>
        <r>
          <rPr>
            <sz val="14"/>
            <color rgb="FF000000"/>
            <rFont val="Calibri"/>
            <family val="34"/>
          </rPr>
          <t>IR 59 (1805-1806)</t>
        </r>
      </text>
    </comment>
    <comment ref="BF937" authorId="0" shapeId="0" xr:uid="{16004DBC-3D02-434D-8466-1C810E5E09B4}">
      <text>
        <r>
          <rPr>
            <sz val="14"/>
            <color rgb="FF000000"/>
            <rFont val="Times New Roman"/>
            <family val="18"/>
          </rPr>
          <t xml:space="preserve">21/09/1805 </t>
        </r>
        <r>
          <rPr>
            <i/>
            <sz val="14"/>
            <color rgb="FF000000"/>
            <rFont val="Times New Roman"/>
            <family val="18"/>
          </rPr>
          <t>Dient seit</t>
        </r>
        <r>
          <rPr>
            <sz val="14"/>
            <color rgb="FF000000"/>
            <rFont val="Times New Roman"/>
            <family val="18"/>
          </rPr>
          <t xml:space="preserve"> [ML 811]</t>
        </r>
        <r>
          <rPr>
            <sz val="14"/>
            <color rgb="FF000000"/>
            <rFont val="Calibri"/>
            <family val="34"/>
          </rPr>
          <t xml:space="preserve">
</t>
        </r>
        <r>
          <rPr>
            <sz val="14"/>
            <color rgb="FF000000"/>
            <rFont val="Times New Roman"/>
            <family val="18"/>
          </rPr>
          <t>12/09/1811 Muster: IR 8 7. Fus. Komp. Nr. 186 [</t>
        </r>
        <r>
          <rPr>
            <i/>
            <sz val="14"/>
            <color rgb="FF000000"/>
            <rFont val="Times New Roman"/>
            <family val="18"/>
          </rPr>
          <t>Beurlaubt bis Einberufung</t>
        </r>
        <r>
          <rPr>
            <sz val="14"/>
            <color rgb="FF000000"/>
            <rFont val="Times New Roman"/>
            <family val="18"/>
          </rPr>
          <t>]</t>
        </r>
      </text>
    </comment>
    <comment ref="BG937" authorId="0" shapeId="0" xr:uid="{2BE83B1C-357D-E94E-A296-D0919ABA685D}">
      <text>
        <r>
          <rPr>
            <sz val="14"/>
            <color rgb="FF000000"/>
            <rFont val="Times New Roman"/>
            <family val="18"/>
          </rPr>
          <t>IR 544 IR 8 (1811) – 7. Fus. Komp. Nr. 186 (Iglau 12/09/1811)</t>
        </r>
        <r>
          <rPr>
            <sz val="14"/>
            <color rgb="FF000000"/>
            <rFont val="Calibri"/>
            <family val="34"/>
          </rPr>
          <t xml:space="preserve">
</t>
        </r>
      </text>
    </comment>
    <comment ref="BH937" authorId="0" shapeId="0" xr:uid="{9CB14C9E-643B-0F40-AB79-522286D10052}">
      <text>
        <r>
          <rPr>
            <sz val="14"/>
            <color rgb="FF000000"/>
            <rFont val="Calibri"/>
            <family val="34"/>
          </rPr>
          <t>IR 8 (1805-1811)</t>
        </r>
      </text>
    </comment>
    <comment ref="BF938" authorId="0" shapeId="0" xr:uid="{8B265F83-0774-A94D-897B-5782D693C9E5}">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t>
        </r>
      </text>
    </comment>
    <comment ref="BG938" authorId="0" shapeId="0" xr:uid="{3EEA5C4F-2074-5E47-A2D7-0BB83227BC0A}">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282 (Siedlce 30/09/1805)</t>
        </r>
        <r>
          <rPr>
            <sz val="14"/>
            <color rgb="FF000000"/>
            <rFont val="Calibri"/>
            <family val="34"/>
          </rPr>
          <t xml:space="preserve">
</t>
        </r>
      </text>
    </comment>
    <comment ref="BH938" authorId="0" shapeId="0" xr:uid="{D2EA73A6-4DC3-8A4C-8C9A-DA102D1F0A07}">
      <text>
        <r>
          <rPr>
            <sz val="14"/>
            <color rgb="FF000000"/>
            <rFont val="Calibri"/>
            <family val="34"/>
          </rPr>
          <t>IR 59 (1805-1806)</t>
        </r>
      </text>
    </comment>
    <comment ref="BF939" authorId="0" shapeId="0" xr:uid="{B25C1DFF-8E3A-A443-9B65-A47712D7D272}">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11/04/1806 </t>
        </r>
        <r>
          <rPr>
            <i/>
            <sz val="14"/>
            <color rgb="FF000000"/>
            <rFont val="Times New Roman"/>
            <family val="18"/>
          </rPr>
          <t>Von Reserve Division zur 15.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NÖ Gen. Comdo Verodgnung vom 7. Aug Lit R Nr 3178 als zu Feldkriegsdienst unfähig und gegen Renuncierug aud alle milit. Beneficien mit Abschied entlassen</t>
        </r>
        <r>
          <rPr>
            <sz val="14"/>
            <color rgb="FF000000"/>
            <rFont val="Times New Roman"/>
            <family val="18"/>
          </rPr>
          <t xml:space="preserve"> [ML 1806] </t>
        </r>
      </text>
    </comment>
    <comment ref="BG939" authorId="0" shapeId="0" xr:uid="{3AC2D4AF-5DE7-684E-9E41-C5FFCC6ED742}">
      <text>
        <r>
          <rPr>
            <sz val="14"/>
            <color rgb="FF000000"/>
            <rFont val="Times New Roman"/>
            <family val="18"/>
          </rPr>
          <t>ML 5017/8 IR 59 (1806) – 15. Fus. Komp. Abgang. (Freistadt 22/12/1806)</t>
        </r>
        <r>
          <rPr>
            <sz val="14"/>
            <color rgb="FF000000"/>
            <rFont val="Calibri"/>
            <family val="34"/>
          </rPr>
          <t xml:space="preserve">
</t>
        </r>
        <r>
          <rPr>
            <sz val="14"/>
            <color rgb="FF000000"/>
            <rFont val="Times New Roman"/>
            <family val="18"/>
          </rPr>
          <t>ML 5067 IR 59 (1805) – AL Nr. 289 (Siedlce 30/09/1805)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939" authorId="0" shapeId="0" xr:uid="{EBDC7675-D95B-524F-9312-1DC9D0D2CBB6}">
      <text>
        <r>
          <rPr>
            <sz val="14"/>
            <color rgb="FF000000"/>
            <rFont val="Calibri"/>
            <family val="34"/>
          </rPr>
          <t>IR 59 (1805-1806)</t>
        </r>
      </text>
    </comment>
    <comment ref="BF940" authorId="0" shapeId="0" xr:uid="{CC93DF37-14A4-0841-9C9A-CC45F9380CF2}">
      <text>
        <r>
          <rPr>
            <sz val="14"/>
            <color rgb="FF000000"/>
            <rFont val="Times New Roman"/>
            <family val="18"/>
          </rPr>
          <t xml:space="preserve">23/09/1805 </t>
        </r>
        <r>
          <rPr>
            <i/>
            <sz val="14"/>
            <color rgb="FF000000"/>
            <rFont val="Times New Roman"/>
            <family val="18"/>
          </rPr>
          <t>Zu Siedlice a 3Fl mit 10 jähriger Capitulation von Dominien gestellt und zum IR 59 Reserve Division gestellt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t>
        </r>
        <r>
          <rPr>
            <b/>
            <sz val="14"/>
            <color rgb="FF000000"/>
            <rFont val="Times New Roman"/>
            <family val="18"/>
          </rPr>
          <t xml:space="preserve"> </t>
        </r>
      </text>
    </comment>
    <comment ref="BG940" authorId="0" shapeId="0" xr:uid="{C583AF1F-3431-E243-86FD-AFA2957D8C76}">
      <text>
        <r>
          <rPr>
            <sz val="14"/>
            <color rgb="FF000000"/>
            <rFont val="Times New Roman"/>
            <family val="18"/>
          </rPr>
          <t>ML 5017/8 IR 59 (1806) –Reserve Division Zuwachs &amp; Abgang (Wells 06/07/1807) &amp; Cons. Unwissend verlohren Nr. 541 (Linz 10/07/1807)</t>
        </r>
        <r>
          <rPr>
            <sz val="14"/>
            <color rgb="FF000000"/>
            <rFont val="Calibri"/>
            <family val="34"/>
          </rPr>
          <t xml:space="preserve">
</t>
        </r>
        <r>
          <rPr>
            <sz val="14"/>
            <color rgb="FF000000"/>
            <rFont val="Times New Roman"/>
            <family val="18"/>
          </rPr>
          <t>ML 5067 IR 59 (1805) – AL. Nr. 320 (Siedlce 30/09/1805)</t>
        </r>
      </text>
    </comment>
    <comment ref="BH940" authorId="0" shapeId="0" xr:uid="{3D3F13F0-54D2-AE4D-A761-AB0B45C6363E}">
      <text>
        <r>
          <rPr>
            <sz val="14"/>
            <color rgb="FF000000"/>
            <rFont val="Calibri"/>
            <family val="34"/>
          </rPr>
          <t>IR 59 (1805-1806)</t>
        </r>
      </text>
    </comment>
    <comment ref="BF941" authorId="0" shapeId="0" xr:uid="{CDD5B9D9-0FDA-9746-B3A2-53298C5C723E}">
      <text>
        <r>
          <rPr>
            <sz val="14"/>
            <color rgb="FF000000"/>
            <rFont val="Times New Roman"/>
            <family val="18"/>
          </rPr>
          <t xml:space="preserve">23/09/1805 </t>
        </r>
        <r>
          <rPr>
            <i/>
            <sz val="14"/>
            <color rgb="FF000000"/>
            <rFont val="Times New Roman"/>
            <family val="18"/>
          </rPr>
          <t>Zu Siedlice von Dominien a 3Fl gestellt und zur IR 59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01/01/1806 </t>
        </r>
        <r>
          <rPr>
            <i/>
            <sz val="14"/>
            <color rgb="FF000000"/>
            <rFont val="Times New Roman"/>
            <family val="18"/>
          </rPr>
          <t>Krank in Garnison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in auswärtiger Spital verbliebene als Unwissend verlohren in Abgang gebracht</t>
        </r>
      </text>
    </comment>
    <comment ref="BG941" authorId="0" shapeId="0" xr:uid="{FA544907-F382-764C-B9DB-82855E7F25C6}">
      <text>
        <r>
          <rPr>
            <sz val="14"/>
            <color rgb="FF000000"/>
            <rFont val="Times New Roman"/>
            <family val="18"/>
          </rPr>
          <t>ML 5017/8 IR 59 (1806) – 16. Fus. Komp. Abgang (22/12/1806), Reserve Division Zuwachs &amp; Abgang (Wells 06/07/1807) &amp; Cons.‚Unwissend verlohren‘ Nr. 751 (Linz 10/07/1807)</t>
        </r>
        <r>
          <rPr>
            <sz val="14"/>
            <color rgb="FF000000"/>
            <rFont val="Calibri"/>
            <family val="34"/>
          </rPr>
          <t xml:space="preserve">
</t>
        </r>
        <r>
          <rPr>
            <sz val="14"/>
            <color rgb="FF000000"/>
            <rFont val="Times New Roman"/>
            <family val="18"/>
          </rPr>
          <t>ML 5067 IR 59 (1805) – AL. Nr. 319 (Siedlce 30/09/1805)</t>
        </r>
        <r>
          <rPr>
            <sz val="14"/>
            <color rgb="FF000000"/>
            <rFont val="Calibri"/>
            <family val="34"/>
          </rPr>
          <t xml:space="preserve">
</t>
        </r>
      </text>
    </comment>
    <comment ref="BH941" authorId="0" shapeId="0" xr:uid="{FAF54697-CC34-2C47-A9BD-73517547D69B}">
      <text>
        <r>
          <rPr>
            <sz val="14"/>
            <color rgb="FF000000"/>
            <rFont val="Calibri"/>
            <family val="34"/>
          </rPr>
          <t>IR 59 (1805-1806)</t>
        </r>
      </text>
    </comment>
    <comment ref="BF942" authorId="0" shapeId="0" xr:uid="{E279675A-E985-8E48-B9AF-D7CB51B970FC}">
      <text>
        <r>
          <rPr>
            <sz val="14"/>
            <color rgb="FF000000"/>
            <rFont val="Times New Roman"/>
            <family val="18"/>
          </rPr>
          <t xml:space="preserve">02/10/1805 </t>
        </r>
        <r>
          <rPr>
            <i/>
            <sz val="14"/>
            <color rgb="FF000000"/>
            <rFont val="Times New Roman"/>
            <family val="18"/>
          </rPr>
          <t>Als landständischer Recrout für Sedinska Nova Vess</t>
        </r>
        <r>
          <rPr>
            <sz val="14"/>
            <color rgb="FF000000"/>
            <rFont val="Times New Roman"/>
            <family val="18"/>
          </rPr>
          <t xml:space="preserve"> </t>
        </r>
        <r>
          <rPr>
            <b/>
            <sz val="14"/>
            <color rgb="FF000000"/>
            <rFont val="Times New Roman"/>
            <family val="18"/>
          </rPr>
          <t>[</t>
        </r>
        <r>
          <rPr>
            <b/>
            <u/>
            <sz val="14"/>
            <color rgb="FF0563C1"/>
            <rFont val="Times New Roman"/>
            <family val="18"/>
          </rPr>
          <t>Spišská Nová Ves, Slovakia</t>
        </r>
        <r>
          <rPr>
            <b/>
            <sz val="14"/>
            <color rgb="FF000000"/>
            <rFont val="Times New Roman"/>
            <family val="18"/>
          </rPr>
          <t>]</t>
        </r>
        <r>
          <rPr>
            <sz val="14"/>
            <color rgb="FF000000"/>
            <rFont val="Times New Roman"/>
            <family val="18"/>
          </rPr>
          <t xml:space="preserve"> </t>
        </r>
        <r>
          <rPr>
            <i/>
            <sz val="14"/>
            <color rgb="FF000000"/>
            <rFont val="Times New Roman"/>
            <family val="18"/>
          </rPr>
          <t xml:space="preserve"> Saros Komität in gestellt, zum IR 39 assentiert und in 17.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17. Fus. zum 1. Fus.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11/09/1806 </t>
        </r>
        <r>
          <rPr>
            <i/>
            <sz val="14"/>
            <color rgb="FF000000"/>
            <rFont val="Times New Roman"/>
            <family val="18"/>
          </rPr>
          <t xml:space="preserve">Auf bestimmte Zeit beurlaubt </t>
        </r>
        <r>
          <rPr>
            <sz val="14"/>
            <color rgb="FF000000"/>
            <rFont val="Times New Roman"/>
            <family val="18"/>
          </rPr>
          <t>[ST Sept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In Folge Verordnung dd. Ofen am 21. October a:c: gegen Stellung 2 Mann deren 1. Lau tab: pro Nov: a:c: bei der 3., der 2. Aber bei der 7. Fus. Komp. in zuwachs gebracht und erlag von Doppenten Montur geldes von Urlaub mit Abschied entlassen</t>
        </r>
        <r>
          <rPr>
            <sz val="14"/>
            <color rgb="FF000000"/>
            <rFont val="Times New Roman"/>
            <family val="18"/>
          </rPr>
          <t xml:space="preserve"> [ST Dez 1806]</t>
        </r>
      </text>
    </comment>
    <comment ref="BG942" authorId="0" shapeId="0" xr:uid="{DE8F94DD-3255-C947-9D45-0F2D601E323E}">
      <text>
        <r>
          <rPr>
            <sz val="14"/>
            <color rgb="FF000000"/>
            <rFont val="Times New Roman"/>
            <family val="18"/>
          </rPr>
          <t>ML 3499 IR 39 (1807) – 1. Fus. Komp. Abgang (Letschau 23/01/1807)</t>
        </r>
        <r>
          <rPr>
            <sz val="14"/>
            <color rgb="FF000000"/>
            <rFont val="Calibri"/>
            <family val="34"/>
          </rPr>
          <t xml:space="preserve">
</t>
        </r>
        <r>
          <rPr>
            <sz val="14"/>
            <color rgb="FF000000"/>
            <rFont val="Times New Roman"/>
            <family val="18"/>
          </rPr>
          <t>ML 3546 IR 39 (1805) – AL Nr. 30 ([Eperies] 02/02/1805)</t>
        </r>
        <r>
          <rPr>
            <sz val="14"/>
            <color rgb="FF000000"/>
            <rFont val="Calibri"/>
            <family val="34"/>
          </rPr>
          <t xml:space="preserve">
</t>
        </r>
        <r>
          <rPr>
            <sz val="14"/>
            <color rgb="FF000000"/>
            <rFont val="Times New Roman"/>
            <family val="18"/>
          </rPr>
          <t>ML 3547 IR 39 (1806) – ST Sept (Caschau 02/06/1807), (ST Dez (08/09/1807)</t>
        </r>
        <r>
          <rPr>
            <sz val="14"/>
            <color rgb="FF000000"/>
            <rFont val="Calibri"/>
            <family val="34"/>
          </rPr>
          <t xml:space="preserve">
</t>
        </r>
      </text>
    </comment>
    <comment ref="BH942" authorId="0" shapeId="0" xr:uid="{B8482679-1F56-B34A-9F89-FE74DFD184C9}">
      <text>
        <r>
          <rPr>
            <sz val="14"/>
            <color rgb="FF000000"/>
            <rFont val="Calibri"/>
            <family val="34"/>
          </rPr>
          <t>IR 39 (1805-1806)</t>
        </r>
      </text>
    </comment>
    <comment ref="BF943" authorId="0" shapeId="0" xr:uid="{28F3939A-530F-6A46-BC63-4A9AA07045EC}">
      <text>
        <r>
          <rPr>
            <sz val="14"/>
            <color rgb="FF000000"/>
            <rFont val="Times New Roman"/>
            <family val="18"/>
          </rPr>
          <t xml:space="preserve">02/10/1805 </t>
        </r>
        <r>
          <rPr>
            <i/>
            <sz val="14"/>
            <color rgb="FF000000"/>
            <rFont val="Times New Roman"/>
            <family val="18"/>
          </rPr>
          <t>Als landständischer Recrout für Ploszke</t>
        </r>
        <r>
          <rPr>
            <sz val="14"/>
            <color rgb="FF000000"/>
            <rFont val="Times New Roman"/>
            <family val="18"/>
          </rPr>
          <t xml:space="preserve"> </t>
        </r>
        <r>
          <rPr>
            <b/>
            <sz val="14"/>
            <color rgb="FF000000"/>
            <rFont val="Times New Roman"/>
            <family val="18"/>
          </rPr>
          <t>[</t>
        </r>
        <r>
          <rPr>
            <b/>
            <u/>
            <sz val="14"/>
            <color rgb="FF0563C1"/>
            <rFont val="Times New Roman"/>
            <family val="18"/>
          </rPr>
          <t>Ploské, Slovakia</t>
        </r>
        <r>
          <rPr>
            <b/>
            <sz val="14"/>
            <color rgb="FF000000"/>
            <rFont val="Times New Roman"/>
            <family val="18"/>
          </rPr>
          <t>]</t>
        </r>
        <r>
          <rPr>
            <i/>
            <sz val="14"/>
            <color rgb="FF000000"/>
            <rFont val="Times New Roman"/>
            <family val="18"/>
          </rPr>
          <t xml:space="preserve"> Saros Komität in gestellt, zum IR 39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Fus.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24/01/1807 Revision: IR 39 9. Fus. Komp. Nr. 59</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943" authorId="0" shapeId="0" xr:uid="{67C0D190-05F4-3E47-973B-488A366810B7}">
      <text>
        <r>
          <rPr>
            <sz val="14"/>
            <color rgb="FF000000"/>
            <rFont val="Times New Roman"/>
            <family val="18"/>
          </rPr>
          <t>ML 3499 IR 39 (1807) – 9. Fus. Komp. Nr. 59 (Kesmark 24/01/1807)</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3546 IR 39 (1805) – AL Nr. 27 ([Eperies] 02/02/1805)</t>
        </r>
        <r>
          <rPr>
            <sz val="14"/>
            <color rgb="FF000000"/>
            <rFont val="Calibri"/>
            <family val="34"/>
          </rPr>
          <t xml:space="preserve">
</t>
        </r>
      </text>
    </comment>
    <comment ref="BH943" authorId="0" shapeId="0" xr:uid="{35D33364-7134-0A4B-9A8B-B30C51F68440}">
      <text>
        <r>
          <rPr>
            <sz val="14"/>
            <color rgb="FF000000"/>
            <rFont val="Calibri"/>
            <family val="34"/>
          </rPr>
          <t>IR 39 (1805-1807)</t>
        </r>
      </text>
    </comment>
    <comment ref="BF944" authorId="0" shapeId="0" xr:uid="{E2BB2155-BDFF-8A45-9DF1-D7EDADD07839}">
      <text>
        <r>
          <rPr>
            <sz val="14"/>
            <color rgb="FF000000"/>
            <rFont val="Times New Roman"/>
            <family val="18"/>
          </rPr>
          <t xml:space="preserve">02/10/1805 </t>
        </r>
        <r>
          <rPr>
            <i/>
            <sz val="14"/>
            <color rgb="FF000000"/>
            <rFont val="Times New Roman"/>
            <family val="18"/>
          </rPr>
          <t>Als landständischer Recrout für Nagy Sarof</t>
        </r>
        <r>
          <rPr>
            <sz val="14"/>
            <color rgb="FF000000"/>
            <rFont val="Times New Roman"/>
            <family val="18"/>
          </rPr>
          <t xml:space="preserve"> </t>
        </r>
        <r>
          <rPr>
            <b/>
            <sz val="14"/>
            <color rgb="FF000000"/>
            <rFont val="Times New Roman"/>
            <family val="18"/>
          </rPr>
          <t>[</t>
        </r>
        <r>
          <rPr>
            <b/>
            <u/>
            <sz val="14"/>
            <color rgb="FF0563C1"/>
            <rFont val="Times New Roman"/>
            <family val="18"/>
          </rPr>
          <t>Veľký Šariš, Slovakia</t>
        </r>
        <r>
          <rPr>
            <b/>
            <sz val="14"/>
            <color rgb="FF000000"/>
            <rFont val="Times New Roman"/>
            <family val="18"/>
          </rPr>
          <t>]</t>
        </r>
        <r>
          <rPr>
            <i/>
            <sz val="14"/>
            <color rgb="FF000000"/>
            <rFont val="Times New Roman"/>
            <family val="18"/>
          </rPr>
          <t xml:space="preserve"> Saros Komität in gestellt, zum IR 39 assentiert und in 18.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18. Comp zum 8.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01/11/1806 </t>
        </r>
        <r>
          <rPr>
            <i/>
            <sz val="14"/>
            <color rgb="FF000000"/>
            <rFont val="Times New Roman"/>
            <family val="18"/>
          </rPr>
          <t>Auf Bestimmte Zeit beurlaubt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In Folge hoher Verordnung gegen Stellung einen Anderes Mannes so auf Breit Laut Tabella pro Novembri a:C: bei der 10. Fus. Komp. in Zuwachs gebracht und erlag des Montur Geldes von Urlaub mit Abschied entlassen</t>
        </r>
        <r>
          <rPr>
            <sz val="14"/>
            <color rgb="FF000000"/>
            <rFont val="Times New Roman"/>
            <family val="18"/>
          </rPr>
          <t xml:space="preserve"> [ST Dec 1806] </t>
        </r>
      </text>
    </comment>
    <comment ref="BG944" authorId="0" shapeId="0" xr:uid="{5FD20D96-BA97-5340-8EBE-CCB583E2F8F8}">
      <text>
        <r>
          <rPr>
            <sz val="14"/>
            <color rgb="FF000000"/>
            <rFont val="Times New Roman"/>
            <family val="18"/>
          </rPr>
          <t>ML 3499 IR 39 (1807) – 8. Fus. Komp. Abgang (Kesmark 24/01/1807)</t>
        </r>
        <r>
          <rPr>
            <sz val="14"/>
            <color rgb="FF000000"/>
            <rFont val="Calibri"/>
            <family val="34"/>
          </rPr>
          <t xml:space="preserve">
</t>
        </r>
        <r>
          <rPr>
            <sz val="14"/>
            <color rgb="FF000000"/>
            <rFont val="Times New Roman"/>
            <family val="18"/>
          </rPr>
          <t>ML 3546 IR 39 (1805) – AL Nr. 7 ([Eperies] 02/02/1805)</t>
        </r>
        <r>
          <rPr>
            <sz val="14"/>
            <color rgb="FF000000"/>
            <rFont val="Calibri"/>
            <family val="34"/>
          </rPr>
          <t xml:space="preserve">
</t>
        </r>
        <r>
          <rPr>
            <sz val="14"/>
            <color rgb="FF000000"/>
            <rFont val="Times New Roman"/>
            <family val="18"/>
          </rPr>
          <t>ML 3547 IR 39 (1806) – ST Nov (Caschau 02/09/1807), ST Dez (08/09/1807)</t>
        </r>
        <r>
          <rPr>
            <sz val="14"/>
            <color rgb="FF000000"/>
            <rFont val="Calibri"/>
            <family val="34"/>
          </rPr>
          <t xml:space="preserve">
</t>
        </r>
      </text>
    </comment>
    <comment ref="BH944" authorId="0" shapeId="0" xr:uid="{CB451082-0269-014F-A135-3ABDD92BCACF}">
      <text>
        <r>
          <rPr>
            <sz val="14"/>
            <color rgb="FF000000"/>
            <rFont val="Calibri"/>
            <family val="34"/>
          </rPr>
          <t>IR 39 (1805-1806)</t>
        </r>
      </text>
    </comment>
    <comment ref="BF945" authorId="0" shapeId="0" xr:uid="{23EAA400-E459-8243-99AF-D8223AF4212B}">
      <text>
        <r>
          <rPr>
            <sz val="14"/>
            <color rgb="FF000000"/>
            <rFont val="Times New Roman"/>
            <family val="18"/>
          </rPr>
          <t xml:space="preserve">02/10/1805 </t>
        </r>
        <r>
          <rPr>
            <i/>
            <sz val="14"/>
            <color rgb="FF000000"/>
            <rFont val="Times New Roman"/>
            <family val="18"/>
          </rPr>
          <t>Als landständischer Recrout für Jaromitsz</t>
        </r>
        <r>
          <rPr>
            <sz val="14"/>
            <color rgb="FF000000"/>
            <rFont val="Times New Roman"/>
            <family val="18"/>
          </rPr>
          <t xml:space="preserve"> </t>
        </r>
        <r>
          <rPr>
            <b/>
            <sz val="14"/>
            <color rgb="FF000000"/>
            <rFont val="Times New Roman"/>
            <family val="18"/>
          </rPr>
          <t>[</t>
        </r>
        <r>
          <rPr>
            <b/>
            <u/>
            <sz val="14"/>
            <color rgb="FF0563C1"/>
            <rFont val="Times New Roman"/>
            <family val="18"/>
          </rPr>
          <t>Jarovnice, Slovakia</t>
        </r>
        <r>
          <rPr>
            <b/>
            <sz val="14"/>
            <color rgb="FF000000"/>
            <rFont val="Times New Roman"/>
            <family val="18"/>
          </rPr>
          <t>]</t>
        </r>
        <r>
          <rPr>
            <i/>
            <sz val="14"/>
            <color rgb="FF000000"/>
            <rFont val="Times New Roman"/>
            <family val="18"/>
          </rPr>
          <t xml:space="preserve"> Saros Komität in gestellt, zum IR 39 assentiert und in 17. Fus.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06/03/</t>
        </r>
        <r>
          <rPr>
            <i/>
            <sz val="14"/>
            <color rgb="FF000000"/>
            <rFont val="Times New Roman"/>
            <family val="18"/>
          </rPr>
          <t>1806 Von 17. Fus. zum 2. Gren.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11/04/1806 </t>
        </r>
        <r>
          <rPr>
            <i/>
            <sz val="14"/>
            <color rgb="FF000000"/>
            <rFont val="Times New Roman"/>
            <family val="18"/>
          </rPr>
          <t>Von Dissolvierte 2. Gren. Komp. zum 1. Gren.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23/01/1807 Revision: IR 39 1. Gren. Komp. Nr. 117</t>
        </r>
        <r>
          <rPr>
            <sz val="14"/>
            <color rgb="FF000000"/>
            <rFont val="Calibri"/>
            <family val="34"/>
          </rPr>
          <t xml:space="preserve">
</t>
        </r>
        <r>
          <rPr>
            <sz val="14"/>
            <color rgb="FF000000"/>
            <rFont val="Times New Roman"/>
            <family val="18"/>
          </rPr>
          <t xml:space="preserve">25/04/1808 </t>
        </r>
        <r>
          <rPr>
            <i/>
            <sz val="14"/>
            <color rgb="FF000000"/>
            <rFont val="Times New Roman"/>
            <family val="18"/>
          </rPr>
          <t>Gegen Stellung eines Mannes und Erlag des Monur Geldes Mit Abschied entlassen</t>
        </r>
        <r>
          <rPr>
            <sz val="14"/>
            <color rgb="FF000000"/>
            <rFont val="Times New Roman"/>
            <family val="18"/>
          </rPr>
          <t xml:space="preserve"> [RL 1808]</t>
        </r>
      </text>
    </comment>
    <comment ref="BG945" authorId="0" shapeId="0" xr:uid="{E44B90D8-7621-A744-AF6B-FA46BF125261}">
      <text>
        <r>
          <rPr>
            <sz val="14"/>
            <color rgb="FF000000"/>
            <rFont val="Times New Roman"/>
            <family val="18"/>
          </rPr>
          <t>ML 3499 IR 39 (1807) – 1. Gren. Komp. Nr. 117 (Letschau 23/01/1807)</t>
        </r>
        <r>
          <rPr>
            <sz val="14"/>
            <color rgb="FF000000"/>
            <rFont val="Calibri"/>
            <family val="34"/>
          </rPr>
          <t xml:space="preserve">
</t>
        </r>
        <r>
          <rPr>
            <sz val="14"/>
            <color rgb="FF000000"/>
            <rFont val="Times New Roman"/>
            <family val="18"/>
          </rPr>
          <t>ML 3500 IR 39 (1808-10) – RL 1808 1. Gren. Komp. – Abgang (Comorn 19/09/1808)</t>
        </r>
        <r>
          <rPr>
            <sz val="14"/>
            <color rgb="FF000000"/>
            <rFont val="Calibri"/>
            <family val="34"/>
          </rPr>
          <t xml:space="preserve">
</t>
        </r>
        <r>
          <rPr>
            <sz val="14"/>
            <color rgb="FF000000"/>
            <rFont val="Times New Roman"/>
            <family val="18"/>
          </rPr>
          <t>ML 3546 IR 39 (1805) – AL Nr. 9 ([Eperies] 02/02/1805)</t>
        </r>
        <r>
          <rPr>
            <sz val="14"/>
            <color rgb="FF000000"/>
            <rFont val="Calibri"/>
            <family val="34"/>
          </rPr>
          <t xml:space="preserve">
</t>
        </r>
      </text>
    </comment>
    <comment ref="BH945" authorId="0" shapeId="0" xr:uid="{2D24008D-05B9-1D42-BD3D-9B2E0E939B1B}">
      <text>
        <r>
          <rPr>
            <sz val="14"/>
            <color rgb="FF000000"/>
            <rFont val="Calibri"/>
            <family val="34"/>
          </rPr>
          <t>IR 39 (1805-1807)</t>
        </r>
      </text>
    </comment>
    <comment ref="BF946" authorId="0" shapeId="0" xr:uid="{A8DF31F1-7C1E-7343-B298-33A5EE9BAAE8}">
      <text>
        <r>
          <rPr>
            <sz val="14"/>
            <color rgb="FF000000"/>
            <rFont val="Times New Roman"/>
            <family val="18"/>
          </rPr>
          <t xml:space="preserve">03/10/1805 </t>
        </r>
        <r>
          <rPr>
            <i/>
            <sz val="14"/>
            <color rgb="FF000000"/>
            <rFont val="Times New Roman"/>
            <family val="18"/>
          </rPr>
          <t xml:space="preserve">Als landständischer Recrout für Pitrovets </t>
        </r>
        <r>
          <rPr>
            <b/>
            <sz val="14"/>
            <color rgb="FF000000"/>
            <rFont val="Times New Roman"/>
            <family val="18"/>
          </rPr>
          <t>[</t>
        </r>
        <r>
          <rPr>
            <b/>
            <u/>
            <sz val="14"/>
            <color rgb="FF0563C1"/>
            <rFont val="Times New Roman"/>
            <family val="18"/>
          </rPr>
          <t>Petrová,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zum 12.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14/01/1807 Muster: IR 39 12. Fus. Komp. Nr. 66</t>
        </r>
        <r>
          <rPr>
            <sz val="14"/>
            <color rgb="FF000000"/>
            <rFont val="Calibri"/>
            <family val="34"/>
          </rPr>
          <t xml:space="preserve">
</t>
        </r>
        <r>
          <rPr>
            <sz val="14"/>
            <color rgb="FF000000"/>
            <rFont val="Times New Roman"/>
            <family val="18"/>
          </rPr>
          <t xml:space="preserve">25/03/1808 </t>
        </r>
        <r>
          <rPr>
            <i/>
            <sz val="14"/>
            <color rgb="FF000000"/>
            <rFont val="Times New Roman"/>
            <family val="18"/>
          </rPr>
          <t xml:space="preserve">Gegen Stellung eines anderen Mannes und Montur Geld mit Abschied entlassen </t>
        </r>
        <r>
          <rPr>
            <sz val="14"/>
            <color rgb="FF000000"/>
            <rFont val="Times New Roman"/>
            <family val="18"/>
          </rPr>
          <t>[RL 1808]</t>
        </r>
        <r>
          <rPr>
            <sz val="14"/>
            <color rgb="FF000000"/>
            <rFont val="Calibri"/>
            <family val="34"/>
          </rPr>
          <t xml:space="preserve">
</t>
        </r>
      </text>
    </comment>
    <comment ref="BG946" authorId="0" shapeId="0" xr:uid="{B339DA70-DAC2-C94D-B597-A5BAC66B832C}">
      <text>
        <r>
          <rPr>
            <sz val="14"/>
            <color rgb="FF000000"/>
            <rFont val="Times New Roman"/>
            <family val="18"/>
          </rPr>
          <t>ML 3499 IR 39 (1807) –</t>
        </r>
        <r>
          <rPr>
            <sz val="14"/>
            <color rgb="FF000000"/>
            <rFont val="Times New Roman"/>
            <family val="18"/>
          </rPr>
          <t>12. Fus. Komp. Nr. 66 (Kesmark 24/01/1807)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19 (Eperies 03/10/1805)</t>
        </r>
        <r>
          <rPr>
            <sz val="14"/>
            <color rgb="FF000000"/>
            <rFont val="Calibri"/>
            <family val="34"/>
          </rPr>
          <t xml:space="preserve">
</t>
        </r>
      </text>
    </comment>
    <comment ref="BH946" authorId="0" shapeId="0" xr:uid="{397B55D4-02A8-3849-ADE8-973C94DEDDB8}">
      <text>
        <r>
          <rPr>
            <sz val="14"/>
            <color rgb="FF000000"/>
            <rFont val="Calibri"/>
            <family val="34"/>
          </rPr>
          <t>IR 39 (1805-1808)</t>
        </r>
      </text>
    </comment>
    <comment ref="BF947" authorId="0" shapeId="0" xr:uid="{3BCF0EF7-89F9-F744-8F62-BE64BEA96622}">
      <text>
        <r>
          <rPr>
            <sz val="14"/>
            <color rgb="FF000000"/>
            <rFont val="Times New Roman"/>
            <family val="18"/>
          </rPr>
          <t xml:space="preserve">03/10/1805 </t>
        </r>
        <r>
          <rPr>
            <i/>
            <sz val="14"/>
            <color rgb="FF000000"/>
            <rFont val="Times New Roman"/>
            <family val="18"/>
          </rPr>
          <t xml:space="preserve">Als landständischer Recrout für Krize </t>
        </r>
        <r>
          <rPr>
            <b/>
            <sz val="14"/>
            <color rgb="FF000000"/>
            <rFont val="Times New Roman"/>
            <family val="18"/>
          </rPr>
          <t>[</t>
        </r>
        <r>
          <rPr>
            <b/>
            <u/>
            <sz val="14"/>
            <color rgb="FF0563C1"/>
            <rFont val="Times New Roman"/>
            <family val="18"/>
          </rPr>
          <t>Kríže,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11/03/1805 </t>
        </r>
        <r>
          <rPr>
            <i/>
            <sz val="14"/>
            <color rgb="FF000000"/>
            <rFont val="Times New Roman"/>
            <family val="18"/>
          </rPr>
          <t>Von dissolvierte 19 Fus. zum 11. Fus. Komp. transferiert</t>
        </r>
        <r>
          <rPr>
            <sz val="14"/>
            <color rgb="FF000000"/>
            <rFont val="Times New Roman"/>
            <family val="18"/>
          </rPr>
          <t xml:space="preserve"> [RL 1817]</t>
        </r>
        <r>
          <rPr>
            <sz val="14"/>
            <color rgb="FF000000"/>
            <rFont val="Calibri"/>
            <family val="34"/>
          </rPr>
          <t xml:space="preserve">
</t>
        </r>
        <r>
          <rPr>
            <sz val="14"/>
            <color rgb="FF000000"/>
            <rFont val="Times New Roman"/>
            <family val="18"/>
          </rPr>
          <t>24/01/1807 Revision: IR 39 11. Fus. Komp. Nr. 64</t>
        </r>
        <r>
          <rPr>
            <sz val="14"/>
            <color rgb="FF000000"/>
            <rFont val="Calibri"/>
            <family val="34"/>
          </rPr>
          <t xml:space="preserve">
</t>
        </r>
        <r>
          <rPr>
            <sz val="14"/>
            <color rgb="FF000000"/>
            <rFont val="Times New Roman"/>
            <family val="18"/>
          </rPr>
          <t xml:space="preserve">10/05/1808 </t>
        </r>
        <r>
          <rPr>
            <i/>
            <sz val="14"/>
            <color rgb="FF000000"/>
            <rFont val="Times New Roman"/>
            <family val="18"/>
          </rPr>
          <t xml:space="preserve">Gegen Stellung andere Leute mit Abschied entlassen </t>
        </r>
        <r>
          <rPr>
            <sz val="14"/>
            <color rgb="FF000000"/>
            <rFont val="Times New Roman"/>
            <family val="18"/>
          </rPr>
          <t>[RL 1808]</t>
        </r>
      </text>
    </comment>
    <comment ref="BG947" authorId="0" shapeId="0" xr:uid="{88CF0A0A-7A39-0942-9EDC-BE7FA5DD77F8}">
      <text>
        <r>
          <rPr>
            <sz val="14"/>
            <color rgb="FF000000"/>
            <rFont val="Times New Roman"/>
            <family val="18"/>
          </rPr>
          <t>ML 3499 IR 39 (1807) –</t>
        </r>
        <r>
          <rPr>
            <sz val="14"/>
            <color rgb="FF000000"/>
            <rFont val="Times New Roman"/>
            <family val="18"/>
          </rPr>
          <t>11. Fus. Komp. Nr. 64 (Kesmark 24/01/1807)</t>
        </r>
        <r>
          <rPr>
            <sz val="14"/>
            <color rgb="FF000000"/>
            <rFont val="Calibri"/>
            <family val="34"/>
          </rPr>
          <t xml:space="preserve">
</t>
        </r>
        <r>
          <rPr>
            <sz val="14"/>
            <color rgb="FF000000"/>
            <rFont val="Times New Roman"/>
            <family val="18"/>
          </rPr>
          <t>ML 3500 IR 39 (1808-10) – RL 1808 15. Fus. Komp. – Abgang (Comorn 19/09/1808)</t>
        </r>
        <r>
          <rPr>
            <sz val="14"/>
            <color rgb="FF000000"/>
            <rFont val="Calibri"/>
            <family val="34"/>
          </rPr>
          <t xml:space="preserve">
</t>
        </r>
        <r>
          <rPr>
            <sz val="14"/>
            <color rgb="FF000000"/>
            <rFont val="Times New Roman"/>
            <family val="18"/>
          </rPr>
          <t>ML 3546 IR 39 (1805) – AL Nr. 34 (Eperies 03/10/1805)</t>
        </r>
        <r>
          <rPr>
            <sz val="14"/>
            <color rgb="FF000000"/>
            <rFont val="Calibri"/>
            <family val="34"/>
          </rPr>
          <t xml:space="preserve">
</t>
        </r>
      </text>
    </comment>
    <comment ref="BH947" authorId="0" shapeId="0" xr:uid="{334BCF20-D6B7-D640-9889-B0B0B0C803DC}">
      <text>
        <r>
          <rPr>
            <sz val="14"/>
            <color rgb="FF000000"/>
            <rFont val="Calibri"/>
            <family val="34"/>
          </rPr>
          <t>IR 39 (1805-1808)</t>
        </r>
      </text>
    </comment>
    <comment ref="BF948" authorId="0" shapeId="0" xr:uid="{EC7532D0-739D-5F4A-BDC3-D20D8521C277}">
      <text>
        <r>
          <rPr>
            <sz val="14"/>
            <color rgb="FF000000"/>
            <rFont val="Times New Roman"/>
            <family val="18"/>
          </rPr>
          <t xml:space="preserve">03/10/1805 </t>
        </r>
        <r>
          <rPr>
            <i/>
            <sz val="14"/>
            <color rgb="FF000000"/>
            <rFont val="Times New Roman"/>
            <family val="18"/>
          </rPr>
          <t xml:space="preserve">Als landständischer Recrout für Breczovits </t>
        </r>
        <r>
          <rPr>
            <b/>
            <sz val="14"/>
            <color rgb="FF000000"/>
            <rFont val="Times New Roman"/>
            <family val="18"/>
          </rPr>
          <t>[</t>
        </r>
        <r>
          <rPr>
            <b/>
            <u/>
            <sz val="14"/>
            <color rgb="FF0563C1"/>
            <rFont val="Times New Roman"/>
            <family val="18"/>
          </rPr>
          <t>Brezovica nad Torysou,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66</t>
        </r>
        <r>
          <rPr>
            <sz val="14"/>
            <color rgb="FF000000"/>
            <rFont val="Calibri"/>
            <family val="34"/>
          </rPr>
          <t xml:space="preserve">
</t>
        </r>
        <r>
          <rPr>
            <sz val="14"/>
            <color rgb="FF000000"/>
            <rFont val="Times New Roman"/>
            <family val="18"/>
          </rPr>
          <t xml:space="preserve">25/05/1808 </t>
        </r>
        <r>
          <rPr>
            <i/>
            <sz val="14"/>
            <color rgb="FF000000"/>
            <rFont val="Times New Roman"/>
            <family val="18"/>
          </rPr>
          <t xml:space="preserve">Gegen Stellung andere Leute mit Abschied entlassen </t>
        </r>
        <r>
          <rPr>
            <sz val="14"/>
            <color rgb="FF000000"/>
            <rFont val="Times New Roman"/>
            <family val="18"/>
          </rPr>
          <t>[RL 1808]</t>
        </r>
      </text>
    </comment>
    <comment ref="BG948" authorId="0" shapeId="0" xr:uid="{B20E55D8-E483-4347-BADD-C3BC150E9AA4}">
      <text>
        <r>
          <rPr>
            <sz val="14"/>
            <color rgb="FF000000"/>
            <rFont val="Times New Roman"/>
            <family val="18"/>
          </rPr>
          <t>ML 3546 IR 39 (1805) – AL Nr. 3 (Eperies 03/10/1805)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3499 IR 39 (1807) – 9. Fus. Komp. Nr. 66 (Kesmark 24/01/1807)</t>
        </r>
        <r>
          <rPr>
            <sz val="14"/>
            <color rgb="FF000000"/>
            <rFont val="Calibri"/>
            <family val="34"/>
          </rPr>
          <t xml:space="preserve">
</t>
        </r>
      </text>
    </comment>
    <comment ref="BH948" authorId="0" shapeId="0" xr:uid="{27FB7388-4834-E442-9793-15DE76953D9D}">
      <text>
        <r>
          <rPr>
            <sz val="14"/>
            <color rgb="FF000000"/>
            <rFont val="Calibri"/>
            <family val="34"/>
          </rPr>
          <t>IR 39 (1805-1808)</t>
        </r>
      </text>
    </comment>
    <comment ref="BF949" authorId="0" shapeId="0" xr:uid="{0DC750B6-7DE0-0649-8CD4-815C498BBFE3}">
      <text>
        <r>
          <rPr>
            <sz val="14"/>
            <color rgb="FF000000"/>
            <rFont val="Times New Roman"/>
            <family val="18"/>
          </rPr>
          <t xml:space="preserve">03/10/1805 </t>
        </r>
        <r>
          <rPr>
            <i/>
            <sz val="14"/>
            <color rgb="FF000000"/>
            <rFont val="Times New Roman"/>
            <family val="18"/>
          </rPr>
          <t>Als landständischer Recrout für Gombosfalva</t>
        </r>
        <r>
          <rPr>
            <sz val="14"/>
            <color rgb="FF000000"/>
            <rFont val="Times New Roman"/>
            <family val="18"/>
          </rPr>
          <t xml:space="preserve"> </t>
        </r>
        <r>
          <rPr>
            <b/>
            <sz val="14"/>
            <color rgb="FF000000"/>
            <rFont val="Times New Roman"/>
            <family val="18"/>
          </rPr>
          <t>[</t>
        </r>
        <r>
          <rPr>
            <b/>
            <u/>
            <sz val="14"/>
            <color rgb="FF0563C1"/>
            <rFont val="Times New Roman"/>
            <family val="18"/>
          </rPr>
          <t>Hubošovce,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16.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16. Fus. Komp. Nr. 62</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anderer Leute mit Abschied entlassen</t>
        </r>
        <r>
          <rPr>
            <sz val="14"/>
            <color rgb="FF000000"/>
            <rFont val="Times New Roman"/>
            <family val="18"/>
          </rPr>
          <t xml:space="preserve"> [RL 1808]</t>
        </r>
      </text>
    </comment>
    <comment ref="BG949" authorId="0" shapeId="0" xr:uid="{E9F5EBCD-633D-0448-B580-8B398AD94BC8}">
      <text>
        <r>
          <rPr>
            <sz val="14"/>
            <color rgb="FF000000"/>
            <rFont val="Times New Roman"/>
            <family val="18"/>
          </rPr>
          <t>ML 3499 IR 39 (1807) – 16. Fus. Komp. Nr. 62 (Kesmark 24/01/1807)</t>
        </r>
        <r>
          <rPr>
            <sz val="14"/>
            <color rgb="FF000000"/>
            <rFont val="Calibri"/>
            <family val="34"/>
          </rPr>
          <t xml:space="preserve">
</t>
        </r>
        <r>
          <rPr>
            <sz val="14"/>
            <color rgb="FF000000"/>
            <rFont val="Times New Roman"/>
            <family val="18"/>
          </rPr>
          <t>ML 3500 IR 39 (1808-10) – RL 1808 7. Fus. Komp. – Abgang (Comorn 19/09/1808)</t>
        </r>
        <r>
          <rPr>
            <sz val="14"/>
            <color rgb="FF000000"/>
            <rFont val="Calibri"/>
            <family val="34"/>
          </rPr>
          <t xml:space="preserve">
</t>
        </r>
        <r>
          <rPr>
            <sz val="14"/>
            <color rgb="FF000000"/>
            <rFont val="Times New Roman"/>
            <family val="18"/>
          </rPr>
          <t>ML 3546 IR 39 (1805) – AL Nr. 29 (Eperies 03/10/1805)</t>
        </r>
        <r>
          <rPr>
            <sz val="14"/>
            <color rgb="FF000000"/>
            <rFont val="Calibri"/>
            <family val="34"/>
          </rPr>
          <t xml:space="preserve">
</t>
        </r>
      </text>
    </comment>
    <comment ref="BH949" authorId="0" shapeId="0" xr:uid="{B90DAB81-6D92-3B47-BF83-900E66DC43F8}">
      <text>
        <r>
          <rPr>
            <sz val="14"/>
            <color rgb="FF000000"/>
            <rFont val="Calibri"/>
            <family val="34"/>
          </rPr>
          <t>IR 39 (1805-1807)</t>
        </r>
      </text>
    </comment>
    <comment ref="BF950" authorId="0" shapeId="0" xr:uid="{836160C1-DED7-8644-A2CB-0EC1992DFBCE}">
      <text>
        <r>
          <rPr>
            <sz val="14"/>
            <color rgb="FF000000"/>
            <rFont val="Times New Roman"/>
            <family val="18"/>
          </rPr>
          <t xml:space="preserve">03/10/1805 </t>
        </r>
        <r>
          <rPr>
            <i/>
            <sz val="14"/>
            <color rgb="FF000000"/>
            <rFont val="Times New Roman"/>
            <family val="18"/>
          </rPr>
          <t xml:space="preserve">Als landständischer Recrout für Kozan </t>
        </r>
        <r>
          <rPr>
            <b/>
            <sz val="14"/>
            <color rgb="FF000000"/>
            <rFont val="Times New Roman"/>
            <family val="18"/>
          </rPr>
          <t>[</t>
        </r>
        <r>
          <rPr>
            <b/>
            <u/>
            <sz val="14"/>
            <color rgb="FF0563C1"/>
            <rFont val="Times New Roman"/>
            <family val="18"/>
          </rPr>
          <t>Kožany,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11/03/1806 von dissolvierte 17. Fus. zum 1. Fus. Komp. transferiert [RL 1807]</t>
        </r>
        <r>
          <rPr>
            <sz val="14"/>
            <color rgb="FF000000"/>
            <rFont val="Calibri"/>
            <family val="34"/>
          </rPr>
          <t xml:space="preserve">
</t>
        </r>
        <r>
          <rPr>
            <sz val="14"/>
            <color rgb="FF000000"/>
            <rFont val="Times New Roman"/>
            <family val="18"/>
          </rPr>
          <t>23/01/1807 Revision: IR 39 1. Fus. Komp. Nr. 84 [</t>
        </r>
        <r>
          <rPr>
            <i/>
            <sz val="14"/>
            <color rgb="FF000000"/>
            <rFont val="Times New Roman"/>
            <family val="18"/>
          </rPr>
          <t>vor vorhim Commanidert zu Pest</t>
        </r>
        <r>
          <rPr>
            <sz val="14"/>
            <color rgb="FF000000"/>
            <rFont val="Times New Roman"/>
            <family val="18"/>
          </rPr>
          <t xml:space="preserve">] </t>
        </r>
        <r>
          <rPr>
            <sz val="14"/>
            <color rgb="FF000000"/>
            <rFont val="Calibri"/>
            <family val="34"/>
          </rPr>
          <t xml:space="preserve">
</t>
        </r>
        <r>
          <rPr>
            <sz val="14"/>
            <color rgb="FF000000"/>
            <rFont val="Times New Roman"/>
            <family val="18"/>
          </rPr>
          <t>19/09/1808 Revision: IR 39 1. Fus. Komp. Nr. 65 [</t>
        </r>
        <r>
          <rPr>
            <i/>
            <sz val="14"/>
            <color rgb="FF000000"/>
            <rFont val="Times New Roman"/>
            <family val="18"/>
          </rPr>
          <t>Bestimmt Beurlaubt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31/10/1809 </t>
        </r>
        <r>
          <rPr>
            <i/>
            <sz val="14"/>
            <color rgb="FF000000"/>
            <rFont val="Times New Roman"/>
            <family val="18"/>
          </rPr>
          <t>Als auf Urlaub verbliebene unwissend verloren</t>
        </r>
        <r>
          <rPr>
            <sz val="14"/>
            <color rgb="FF000000"/>
            <rFont val="Times New Roman"/>
            <family val="18"/>
          </rPr>
          <t xml:space="preserve"> [St Oct 1809 ML 1811]</t>
        </r>
      </text>
    </comment>
    <comment ref="BG950" authorId="0" shapeId="0" xr:uid="{DD5840AE-717E-0447-9F72-5FD58F9BE43F}">
      <text>
        <r>
          <rPr>
            <sz val="14"/>
            <color rgb="FF000000"/>
            <rFont val="Times New Roman"/>
            <family val="18"/>
          </rPr>
          <t>ML 3499 IR 39 (1807) – 1. Fus. Komp. Nr. 84 (Letschau 23/01/1807)</t>
        </r>
        <r>
          <rPr>
            <sz val="14"/>
            <color rgb="FF000000"/>
            <rFont val="Calibri"/>
            <family val="34"/>
          </rPr>
          <t xml:space="preserve">
</t>
        </r>
        <r>
          <rPr>
            <sz val="14"/>
            <color rgb="FF000000"/>
            <rFont val="Times New Roman"/>
            <family val="18"/>
          </rPr>
          <t>ML 3500 IR 39 (1808-10) – RL 1808 1. Fus. Komp. Nr. 65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3546 IR 39 (1805) – AL Nr. 61 (Eperies 03/10/1805)</t>
        </r>
        <r>
          <rPr>
            <sz val="14"/>
            <color rgb="FF000000"/>
            <rFont val="Calibri"/>
            <family val="34"/>
          </rPr>
          <t xml:space="preserve">
</t>
        </r>
        <r>
          <rPr>
            <sz val="14"/>
            <color rgb="FF000000"/>
            <rFont val="Times New Roman"/>
            <family val="18"/>
          </rPr>
          <t>ML 3550 IR 39 (1809) – ST Oct (Ofen 25/04/1811)</t>
        </r>
        <r>
          <rPr>
            <sz val="14"/>
            <color rgb="FF000000"/>
            <rFont val="Calibri"/>
            <family val="34"/>
          </rPr>
          <t xml:space="preserve">
</t>
        </r>
      </text>
    </comment>
    <comment ref="BH950" authorId="0" shapeId="0" xr:uid="{DF27D276-9146-E74C-8A01-14FB6942D10B}">
      <text>
        <r>
          <rPr>
            <sz val="14"/>
            <color rgb="FF000000"/>
            <rFont val="Calibri"/>
            <family val="34"/>
          </rPr>
          <t>IR 39 (1805-1809)</t>
        </r>
      </text>
    </comment>
    <comment ref="C951" authorId="0" shapeId="0" xr:uid="{906AC7A6-58D3-2642-85B0-D9134AE90141}">
      <text>
        <r>
          <rPr>
            <b/>
            <u/>
            <sz val="14"/>
            <color rgb="FF0563C1"/>
            <rFont val="Times New Roman"/>
            <family val="18"/>
          </rPr>
          <t>Uzovské Pekľany, Slovakia</t>
        </r>
        <r>
          <rPr>
            <b/>
            <sz val="14"/>
            <color rgb="FF000000"/>
            <rFont val="Times New Roman"/>
            <family val="18"/>
          </rPr>
          <t xml:space="preserve"> 
</t>
        </r>
        <r>
          <rPr>
            <b/>
            <sz val="14"/>
            <color rgb="FF000000"/>
            <rFont val="Times New Roman"/>
            <family val="18"/>
          </rPr>
          <t xml:space="preserve">or
</t>
        </r>
        <r>
          <rPr>
            <b/>
            <u/>
            <sz val="14"/>
            <color rgb="FF0563C1"/>
            <rFont val="Times New Roman"/>
            <family val="18"/>
          </rPr>
          <t>Ruské Pekľany, Slovakia</t>
        </r>
        <r>
          <rPr>
            <sz val="14"/>
            <color rgb="FF000000"/>
            <rFont val="Calibri"/>
            <family val="2"/>
          </rPr>
          <t xml:space="preserve"> </t>
        </r>
      </text>
    </comment>
    <comment ref="BF951" authorId="0" shapeId="0" xr:uid="{4275E0FC-5F36-1E4F-B29A-D716977A8F1B}">
      <text>
        <r>
          <rPr>
            <sz val="14"/>
            <color rgb="FF000000"/>
            <rFont val="Times New Roman"/>
            <family val="18"/>
          </rPr>
          <t xml:space="preserve">03/10/1805 </t>
        </r>
        <r>
          <rPr>
            <i/>
            <sz val="14"/>
            <color rgb="FF000000"/>
            <rFont val="Times New Roman"/>
            <family val="18"/>
          </rPr>
          <t xml:space="preserve">Als landständischer Recrout für Lutsina </t>
        </r>
        <r>
          <rPr>
            <b/>
            <sz val="14"/>
            <color rgb="FF000000"/>
            <rFont val="Times New Roman"/>
            <family val="18"/>
          </rPr>
          <t>[</t>
        </r>
        <r>
          <rPr>
            <b/>
            <u/>
            <sz val="14"/>
            <color rgb="FF0563C1"/>
            <rFont val="Times New Roman"/>
            <family val="18"/>
          </rPr>
          <t>Ľutina,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17. Fus. zur 12.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Muster: IR 39 12. Fus Komp. Nr. 71</t>
        </r>
        <r>
          <rPr>
            <sz val="14"/>
            <color rgb="FF000000"/>
            <rFont val="Calibri"/>
            <family val="34"/>
          </rPr>
          <t xml:space="preserve">
</t>
        </r>
        <r>
          <rPr>
            <sz val="14"/>
            <color rgb="FF000000"/>
            <rFont val="Times New Roman"/>
            <family val="18"/>
          </rPr>
          <t xml:space="preserve">25/03/1808 </t>
        </r>
        <r>
          <rPr>
            <i/>
            <sz val="14"/>
            <color rgb="FF000000"/>
            <rFont val="Times New Roman"/>
            <family val="18"/>
          </rPr>
          <t xml:space="preserve">Gegen Stellung eines anderen Mannes und Montur Geld mit Abschied entlassen </t>
        </r>
        <r>
          <rPr>
            <sz val="14"/>
            <color rgb="FF000000"/>
            <rFont val="Times New Roman"/>
            <family val="18"/>
          </rPr>
          <t>[RL 1808]</t>
        </r>
      </text>
    </comment>
    <comment ref="BG951" authorId="0" shapeId="0" xr:uid="{F8F870AB-4008-B842-832A-F218A19C0CC3}">
      <text>
        <r>
          <rPr>
            <sz val="14"/>
            <color rgb="FF000000"/>
            <rFont val="Times New Roman"/>
            <family val="18"/>
          </rPr>
          <t>ML 3499 IR 39 (1807) – 12. Fus. Komp. Nr. 71 (Leutschau 23/01/1807)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1 (Eperies 03/10/1805)</t>
        </r>
        <r>
          <rPr>
            <sz val="14"/>
            <color rgb="FF000000"/>
            <rFont val="Calibri"/>
            <family val="34"/>
          </rPr>
          <t xml:space="preserve">
</t>
        </r>
      </text>
    </comment>
    <comment ref="BH951" authorId="0" shapeId="0" xr:uid="{8C7D6711-C047-4E49-946D-E3A28849E3AB}">
      <text>
        <r>
          <rPr>
            <sz val="14"/>
            <color rgb="FF000000"/>
            <rFont val="Calibri"/>
            <family val="34"/>
          </rPr>
          <t>IR 39 (1805-1808)</t>
        </r>
      </text>
    </comment>
    <comment ref="BF952" authorId="0" shapeId="0" xr:uid="{345AD7CD-7C34-B540-9492-57A81AE4B50C}">
      <text>
        <r>
          <rPr>
            <sz val="14"/>
            <color rgb="FF000000"/>
            <rFont val="Times New Roman"/>
            <family val="18"/>
          </rPr>
          <t xml:space="preserve">03/10/1805 </t>
        </r>
        <r>
          <rPr>
            <i/>
            <sz val="14"/>
            <color rgb="FF000000"/>
            <rFont val="Times New Roman"/>
            <family val="18"/>
          </rPr>
          <t xml:space="preserve">Als landständischer Recrout für Buclov </t>
        </r>
        <r>
          <rPr>
            <b/>
            <sz val="14"/>
            <color rgb="FF000000"/>
            <rFont val="Times New Roman"/>
            <family val="18"/>
          </rPr>
          <t>[</t>
        </r>
        <r>
          <rPr>
            <b/>
            <u/>
            <sz val="14"/>
            <color rgb="FF0563C1"/>
            <rFont val="Times New Roman"/>
            <family val="18"/>
          </rPr>
          <t>Buclovany,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1805]11/03/1806 </t>
        </r>
        <r>
          <rPr>
            <i/>
            <sz val="14"/>
            <color rgb="FF000000"/>
            <rFont val="Times New Roman"/>
            <family val="18"/>
          </rPr>
          <t>Von 17. dissolvierte 17. Fus. zur 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15/10/1806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Anderer Manner mit Abschied</t>
        </r>
        <r>
          <rPr>
            <sz val="14"/>
            <color rgb="FF000000"/>
            <rFont val="Times New Roman"/>
            <family val="18"/>
          </rPr>
          <t xml:space="preserve"> </t>
        </r>
        <r>
          <rPr>
            <i/>
            <sz val="14"/>
            <color rgb="FF000000"/>
            <rFont val="Times New Roman"/>
            <family val="18"/>
          </rPr>
          <t>entlassen</t>
        </r>
        <r>
          <rPr>
            <sz val="14"/>
            <color rgb="FF000000"/>
            <rFont val="Times New Roman"/>
            <family val="18"/>
          </rPr>
          <t xml:space="preserve"> [RL 1807]</t>
        </r>
        <r>
          <rPr>
            <sz val="14"/>
            <color rgb="FF000000"/>
            <rFont val="Calibri"/>
            <family val="2"/>
          </rPr>
          <t xml:space="preserve"> </t>
        </r>
      </text>
    </comment>
    <comment ref="BG952" authorId="0" shapeId="0" xr:uid="{4D207311-3734-7F46-A943-DE83D5C0521C}">
      <text>
        <r>
          <rPr>
            <sz val="14"/>
            <color rgb="FF000000"/>
            <rFont val="Times New Roman"/>
            <family val="18"/>
          </rPr>
          <t>ML 3499 IR 39 (1807) – 2. Fus. Komp. Nr. 72 &amp; Abgang (Leutschau 23/01/1807)</t>
        </r>
        <r>
          <rPr>
            <sz val="14"/>
            <color rgb="FF000000"/>
            <rFont val="Calibri"/>
            <family val="34"/>
          </rPr>
          <t xml:space="preserve">
</t>
        </r>
        <r>
          <rPr>
            <sz val="14"/>
            <color rgb="FF000000"/>
            <rFont val="Times New Roman"/>
            <family val="18"/>
          </rPr>
          <t>ML 3546 IR 39 (1805) – AL Nr. 60 (Eperies 03/10/1805)</t>
        </r>
        <r>
          <rPr>
            <sz val="14"/>
            <color rgb="FF000000"/>
            <rFont val="Calibri"/>
            <family val="34"/>
          </rPr>
          <t xml:space="preserve">
</t>
        </r>
      </text>
    </comment>
    <comment ref="BH952" authorId="0" shapeId="0" xr:uid="{1D286A2B-4BD6-E847-94E8-D16D1EF95259}">
      <text>
        <r>
          <rPr>
            <sz val="14"/>
            <color rgb="FF000000"/>
            <rFont val="Calibri"/>
            <family val="34"/>
          </rPr>
          <t>IR 39 (1805-1806)</t>
        </r>
      </text>
    </comment>
    <comment ref="BF953" authorId="0" shapeId="0" xr:uid="{58068EF0-B54C-F946-B981-44C85D07F3C9}">
      <text>
        <r>
          <rPr>
            <sz val="14"/>
            <color rgb="FF000000"/>
            <rFont val="Times New Roman"/>
            <family val="18"/>
          </rPr>
          <t xml:space="preserve">03/10/1805 </t>
        </r>
        <r>
          <rPr>
            <i/>
            <sz val="14"/>
            <color rgb="FF000000"/>
            <rFont val="Times New Roman"/>
            <family val="18"/>
          </rPr>
          <t xml:space="preserve">Als landständischer Recrout für Slavkov </t>
        </r>
        <r>
          <rPr>
            <b/>
            <sz val="14"/>
            <color rgb="FF000000"/>
            <rFont val="Times New Roman"/>
            <family val="18"/>
          </rPr>
          <t>[</t>
        </r>
        <r>
          <rPr>
            <b/>
            <u/>
            <sz val="14"/>
            <color rgb="FF0563C1"/>
            <rFont val="Times New Roman"/>
            <family val="18"/>
          </rPr>
          <t>Veľký Slavkov,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Von dissolvierte 17. Fus. Zum 2. Fus. Komp. transferiert [RL 1807] </t>
        </r>
        <r>
          <rPr>
            <sz val="14"/>
            <color rgb="FF000000"/>
            <rFont val="Calibri"/>
            <family val="34"/>
          </rPr>
          <t xml:space="preserve">
</t>
        </r>
        <r>
          <rPr>
            <sz val="14"/>
            <color rgb="FF000000"/>
            <rFont val="Times New Roman"/>
            <family val="18"/>
          </rPr>
          <t xml:space="preserve">21/11/1806 </t>
        </r>
        <r>
          <rPr>
            <i/>
            <sz val="14"/>
            <color rgb="FF000000"/>
            <rFont val="Times New Roman"/>
            <family val="18"/>
          </rPr>
          <t>Nach Stockerau kommandiert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2. Fus. Komp. Nr. 67 [</t>
        </r>
        <r>
          <rPr>
            <i/>
            <sz val="14"/>
            <color rgb="FF000000"/>
            <rFont val="Times New Roman"/>
            <family val="18"/>
          </rPr>
          <t>Von 21 November a Claps zu Stockerau</t>
        </r>
        <r>
          <rPr>
            <sz val="14"/>
            <color rgb="FF000000"/>
            <rFont val="Times New Roman"/>
            <family val="18"/>
          </rPr>
          <t>]</t>
        </r>
        <r>
          <rPr>
            <sz val="14"/>
            <color rgb="FF000000"/>
            <rFont val="Calibri"/>
            <family val="34"/>
          </rPr>
          <t xml:space="preserve">
</t>
        </r>
        <r>
          <rPr>
            <sz val="14"/>
            <color rgb="FF000000"/>
            <rFont val="Times New Roman"/>
            <family val="18"/>
          </rPr>
          <t xml:space="preserve">14/05/1807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953" authorId="0" shapeId="0" xr:uid="{E0A1827B-E1F6-6E4B-8C10-91678F42FEDF}">
      <text>
        <r>
          <rPr>
            <sz val="14"/>
            <color rgb="FF000000"/>
            <rFont val="Times New Roman"/>
            <family val="18"/>
          </rPr>
          <t>ML 3499 IR 39 (1807) – 2. Fus. Komp. Nr. 67 (Leutschau 23/01/1807)</t>
        </r>
        <r>
          <rPr>
            <sz val="14"/>
            <color rgb="FF000000"/>
            <rFont val="Calibri"/>
            <family val="34"/>
          </rPr>
          <t xml:space="preserve">
</t>
        </r>
        <r>
          <rPr>
            <sz val="14"/>
            <color rgb="FF000000"/>
            <rFont val="Times New Roman"/>
            <family val="18"/>
          </rPr>
          <t>ML 3500 IR 39 (1808-10) – RL 1808 4. Fus. Komp. – Abgang (Comorn 19/09/1808)</t>
        </r>
        <r>
          <rPr>
            <sz val="14"/>
            <color rgb="FF000000"/>
            <rFont val="Calibri"/>
            <family val="34"/>
          </rPr>
          <t xml:space="preserve">
</t>
        </r>
        <r>
          <rPr>
            <sz val="14"/>
            <color rgb="FF000000"/>
            <rFont val="Times New Roman"/>
            <family val="18"/>
          </rPr>
          <t>ML 3546 IR 39 (1805) – AL Nr. 2 (Eperies 03/10/1805)</t>
        </r>
        <r>
          <rPr>
            <sz val="14"/>
            <color rgb="FF000000"/>
            <rFont val="Calibri"/>
            <family val="34"/>
          </rPr>
          <t xml:space="preserve">
</t>
        </r>
      </text>
    </comment>
    <comment ref="BH953" authorId="0" shapeId="0" xr:uid="{A9235698-2438-BA4A-A526-9157E1890CDD}">
      <text>
        <r>
          <rPr>
            <sz val="14"/>
            <color rgb="FF000000"/>
            <rFont val="Calibri"/>
            <family val="34"/>
          </rPr>
          <t>IR 39 (1805-1807)</t>
        </r>
      </text>
    </comment>
    <comment ref="BF954" authorId="0" shapeId="0" xr:uid="{412A3DAA-50CA-E24E-83E4-153F1D173E3A}">
      <text>
        <r>
          <rPr>
            <sz val="14"/>
            <color rgb="FF000000"/>
            <rFont val="Times New Roman"/>
            <family val="18"/>
          </rPr>
          <t xml:space="preserve">03/10/1805 </t>
        </r>
        <r>
          <rPr>
            <i/>
            <sz val="14"/>
            <color rgb="FF000000"/>
            <rFont val="Times New Roman"/>
            <family val="18"/>
          </rPr>
          <t xml:space="preserve">Als landständischer Recrout für Haruaj </t>
        </r>
        <r>
          <rPr>
            <b/>
            <sz val="14"/>
            <color rgb="FF000000"/>
            <rFont val="Times New Roman"/>
            <family val="18"/>
          </rPr>
          <t>[</t>
        </r>
        <r>
          <rPr>
            <b/>
            <u/>
            <sz val="14"/>
            <color rgb="FF0563C1"/>
            <rFont val="Times New Roman"/>
            <family val="18"/>
          </rPr>
          <t>Harhaj,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eines anderen Mannes mit Abschied entlassen</t>
        </r>
        <r>
          <rPr>
            <sz val="14"/>
            <color rgb="FF000000"/>
            <rFont val="Times New Roman"/>
            <family val="18"/>
          </rPr>
          <t xml:space="preserve"> [RL 1808]</t>
        </r>
      </text>
    </comment>
    <comment ref="BG954" authorId="0" shapeId="0" xr:uid="{7B345751-E036-F34A-A462-E3606013B880}">
      <text>
        <r>
          <rPr>
            <sz val="14"/>
            <color rgb="FF000000"/>
            <rFont val="Times New Roman"/>
            <family val="18"/>
          </rPr>
          <t>ML 3546 IR 39 (1805) – AL Nr. 20 (Eperies 03/10/1805)</t>
        </r>
        <r>
          <rPr>
            <sz val="14"/>
            <color rgb="FF000000"/>
            <rFont val="Calibri"/>
            <family val="34"/>
          </rPr>
          <t xml:space="preserve">
</t>
        </r>
        <r>
          <rPr>
            <sz val="14"/>
            <color rgb="FF000000"/>
            <rFont val="Times New Roman"/>
            <family val="18"/>
          </rPr>
          <t>ML 3500 IR 39 (1808-10) – RL 1808 5. Komp. – Abgang (Comorn 19/09/1808)</t>
        </r>
        <r>
          <rPr>
            <sz val="14"/>
            <color rgb="FF000000"/>
            <rFont val="Calibri"/>
            <family val="34"/>
          </rPr>
          <t xml:space="preserve">
</t>
        </r>
      </text>
    </comment>
    <comment ref="BH954" authorId="0" shapeId="0" xr:uid="{E9D3CABB-092B-2747-BBDF-AD2AE4F6A591}">
      <text>
        <r>
          <rPr>
            <sz val="14"/>
            <color rgb="FF000000"/>
            <rFont val="Calibri"/>
            <family val="34"/>
          </rPr>
          <t>IR 39 (1805-1806)</t>
        </r>
      </text>
    </comment>
    <comment ref="BF955" authorId="0" shapeId="0" xr:uid="{90FFBACF-A4A0-5544-8091-98F23F9042BE}">
      <text>
        <r>
          <rPr>
            <sz val="14"/>
            <color rgb="FF000000"/>
            <rFont val="Times New Roman"/>
            <family val="18"/>
          </rPr>
          <t xml:space="preserve">04/10/1805 </t>
        </r>
        <r>
          <rPr>
            <i/>
            <sz val="14"/>
            <color rgb="FF000000"/>
            <rFont val="Times New Roman"/>
            <family val="18"/>
          </rPr>
          <t xml:space="preserve">Als landständischer Recrout für Malezov </t>
        </r>
        <r>
          <rPr>
            <b/>
            <sz val="14"/>
            <color rgb="FF000000"/>
            <rFont val="Times New Roman"/>
            <family val="18"/>
          </rPr>
          <t>[</t>
        </r>
        <r>
          <rPr>
            <b/>
            <u/>
            <sz val="14"/>
            <color rgb="FF0563C1"/>
            <rFont val="Times New Roman"/>
            <family val="18"/>
          </rPr>
          <t>Malcov,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10/03/1806 Von 17. Fus. Komp zur 2. Fus. Komp. transferiert [RL 1807]</t>
        </r>
        <r>
          <rPr>
            <sz val="14"/>
            <color rgb="FF000000"/>
            <rFont val="Calibri"/>
            <family val="34"/>
          </rPr>
          <t xml:space="preserve">
</t>
        </r>
        <r>
          <rPr>
            <sz val="14"/>
            <color rgb="FF000000"/>
            <rFont val="Times New Roman"/>
            <family val="18"/>
          </rPr>
          <t xml:space="preserve">16/11/1806 </t>
        </r>
        <r>
          <rPr>
            <i/>
            <sz val="14"/>
            <color rgb="FF000000"/>
            <rFont val="Times New Roman"/>
            <family val="18"/>
          </rPr>
          <t>Zur Stockerau kommandiert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23/01/1807 Revision: IR 39 2. Fus. Komp. Nr. 70 [</t>
        </r>
        <r>
          <rPr>
            <i/>
            <sz val="14"/>
            <color rgb="FF000000"/>
            <rFont val="Times New Roman"/>
            <family val="18"/>
          </rPr>
          <t xml:space="preserve">Auf Kommando in Stockerau </t>
        </r>
        <r>
          <rPr>
            <b/>
            <sz val="14"/>
            <color rgb="FF000000"/>
            <rFont val="Times New Roman"/>
            <family val="18"/>
          </rPr>
          <t>[</t>
        </r>
        <r>
          <rPr>
            <b/>
            <u/>
            <sz val="14"/>
            <color rgb="FF0563C1"/>
            <rFont val="Times New Roman"/>
            <family val="18"/>
          </rPr>
          <t>Stockerau, Austria</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 xml:space="preserve">10/10/1807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955" authorId="0" shapeId="0" xr:uid="{D2C40029-384A-AA4E-857F-7317AAEB018E}">
      <text>
        <r>
          <rPr>
            <sz val="14"/>
            <color rgb="FF000000"/>
            <rFont val="Times New Roman"/>
            <family val="18"/>
          </rPr>
          <t>ML 3499 IR 39 (1807) – 2. Fus. Komp. Nr. 70 (Leutschau 23/01/1807)</t>
        </r>
        <r>
          <rPr>
            <sz val="14"/>
            <color rgb="FF000000"/>
            <rFont val="Calibri"/>
            <family val="34"/>
          </rPr>
          <t xml:space="preserve">
</t>
        </r>
        <r>
          <rPr>
            <sz val="14"/>
            <color rgb="FF000000"/>
            <rFont val="Times New Roman"/>
            <family val="18"/>
          </rPr>
          <t>ML 3500 IR 39 (1808-10) – RL 1808 4. Fus. Komp. – Abgang (Comorn 19/09/1808)</t>
        </r>
        <r>
          <rPr>
            <sz val="14"/>
            <color rgb="FF000000"/>
            <rFont val="Calibri"/>
            <family val="34"/>
          </rPr>
          <t xml:space="preserve">
</t>
        </r>
        <r>
          <rPr>
            <sz val="14"/>
            <color rgb="FF000000"/>
            <rFont val="Times New Roman"/>
            <family val="18"/>
          </rPr>
          <t>ML 3546 IR 39 (1805) – AL Nr. 26 (Eperies 31/10/1805)</t>
        </r>
        <r>
          <rPr>
            <sz val="14"/>
            <color rgb="FF000000"/>
            <rFont val="Calibri"/>
            <family val="34"/>
          </rPr>
          <t xml:space="preserve">
</t>
        </r>
        <r>
          <rPr>
            <sz val="14"/>
            <color rgb="FF000000"/>
            <rFont val="Times New Roman"/>
            <family val="18"/>
          </rPr>
          <t>ML 3547 IR 39 (1806) – ST Nov (Caschau 02/09/1807)</t>
        </r>
        <r>
          <rPr>
            <sz val="14"/>
            <color rgb="FF000000"/>
            <rFont val="Calibri"/>
            <family val="34"/>
          </rPr>
          <t xml:space="preserve">
</t>
        </r>
      </text>
    </comment>
    <comment ref="BH955" authorId="0" shapeId="0" xr:uid="{4DB3755F-7874-8A40-B422-EB2F50B31242}">
      <text>
        <r>
          <rPr>
            <sz val="14"/>
            <color rgb="FF000000"/>
            <rFont val="Calibri"/>
            <family val="34"/>
          </rPr>
          <t>IR 39 (1805-1807)</t>
        </r>
      </text>
    </comment>
    <comment ref="BF956" authorId="0" shapeId="0" xr:uid="{02C87FB7-CCDB-6C44-B759-05C4248F2893}">
      <text>
        <r>
          <rPr>
            <sz val="14"/>
            <color rgb="FF000000"/>
            <rFont val="Times New Roman"/>
            <family val="18"/>
          </rPr>
          <t xml:space="preserve">04/10/1805 </t>
        </r>
        <r>
          <rPr>
            <i/>
            <sz val="14"/>
            <color rgb="FF000000"/>
            <rFont val="Times New Roman"/>
            <family val="18"/>
          </rPr>
          <t xml:space="preserve">Als landständischer Recrout für Petsl Neudorf </t>
        </r>
        <r>
          <rPr>
            <b/>
            <sz val="14"/>
            <color rgb="FF000000"/>
            <rFont val="Times New Roman"/>
            <family val="18"/>
          </rPr>
          <t>[</t>
        </r>
        <r>
          <rPr>
            <b/>
            <u/>
            <sz val="14"/>
            <color rgb="FF0563C1"/>
            <rFont val="Times New Roman"/>
            <family val="18"/>
          </rPr>
          <t>Bardejovská Nová Ves,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78</t>
        </r>
        <r>
          <rPr>
            <sz val="14"/>
            <color rgb="FF000000"/>
            <rFont val="Calibri"/>
            <family val="34"/>
          </rPr>
          <t xml:space="preserve">
</t>
        </r>
        <r>
          <rPr>
            <sz val="14"/>
            <color rgb="FF000000"/>
            <rFont val="Times New Roman"/>
            <family val="18"/>
          </rPr>
          <t xml:space="preserve">15/05/1807 </t>
        </r>
        <r>
          <rPr>
            <i/>
            <sz val="14"/>
            <color rgb="FF000000"/>
            <rFont val="Times New Roman"/>
            <family val="18"/>
          </rPr>
          <t xml:space="preserve">Gegen Stellung andere Leute mit Abschied entlassen </t>
        </r>
        <r>
          <rPr>
            <sz val="14"/>
            <color rgb="FF000000"/>
            <rFont val="Times New Roman"/>
            <family val="18"/>
          </rPr>
          <t>[RL 1808]</t>
        </r>
      </text>
    </comment>
    <comment ref="BG956" authorId="0" shapeId="0" xr:uid="{65CC0D14-39B4-2844-AD9A-49F1FDA3E370}">
      <text>
        <r>
          <rPr>
            <sz val="14"/>
            <color rgb="FF000000"/>
            <rFont val="Times New Roman"/>
            <family val="18"/>
          </rPr>
          <t>ML 3499 IR 39 (1807) – 9. Fus. Komp. Nr. 78 (Kesmark 24/01/1805)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3546 IR 39 (1805) – AL Nr. 12 (Eperies 31/10/1805)</t>
        </r>
        <r>
          <rPr>
            <sz val="14"/>
            <color rgb="FF000000"/>
            <rFont val="Calibri"/>
            <family val="34"/>
          </rPr>
          <t xml:space="preserve">
</t>
        </r>
      </text>
    </comment>
    <comment ref="BH956" authorId="0" shapeId="0" xr:uid="{5086D60D-9FC4-8A4E-81B4-C1EBF7841629}">
      <text>
        <r>
          <rPr>
            <sz val="14"/>
            <color rgb="FF000000"/>
            <rFont val="Calibri"/>
            <family val="34"/>
          </rPr>
          <t>IR 39 (1805-1807)</t>
        </r>
      </text>
    </comment>
    <comment ref="BF957" authorId="0" shapeId="0" xr:uid="{1A99098F-8B3E-174A-9951-4278093948E0}">
      <text>
        <r>
          <rPr>
            <sz val="14"/>
            <color rgb="FF000000"/>
            <rFont val="Times New Roman"/>
            <family val="18"/>
          </rPr>
          <t xml:space="preserve">04/10/1805 </t>
        </r>
        <r>
          <rPr>
            <i/>
            <sz val="14"/>
            <color rgb="FF000000"/>
            <rFont val="Times New Roman"/>
            <family val="18"/>
          </rPr>
          <t xml:space="preserve">Als landständischer Recrout für Tisinetz </t>
        </r>
        <r>
          <rPr>
            <b/>
            <sz val="14"/>
            <color rgb="FF000000"/>
            <rFont val="Times New Roman"/>
            <family val="18"/>
          </rPr>
          <t>[</t>
        </r>
        <r>
          <rPr>
            <b/>
            <u/>
            <sz val="14"/>
            <color rgb="FF0563C1"/>
            <rFont val="Times New Roman"/>
            <family val="18"/>
          </rPr>
          <t>Tisinec,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09/11/1805 </t>
        </r>
        <r>
          <rPr>
            <i/>
            <sz val="14"/>
            <color rgb="FF000000"/>
            <rFont val="Times New Roman"/>
            <family val="18"/>
          </rPr>
          <t>Krank in Caschau</t>
        </r>
        <r>
          <rPr>
            <sz val="14"/>
            <color rgb="FF000000"/>
            <rFont val="Times New Roman"/>
            <family val="18"/>
          </rPr>
          <t xml:space="preserve"> [ST Nov 1805] </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zur 16 Fus. Komp. transferiert</t>
        </r>
        <r>
          <rPr>
            <sz val="14"/>
            <color rgb="FF000000"/>
            <rFont val="Times New Roman"/>
            <family val="18"/>
          </rPr>
          <t xml:space="preserve"> [RL 1807] </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in Spital unwissend verloren in Abgang gebracht</t>
        </r>
        <r>
          <rPr>
            <sz val="14"/>
            <color rgb="FF000000"/>
            <rFont val="Times New Roman"/>
            <family val="18"/>
          </rPr>
          <t xml:space="preserve"> [RL 1807]</t>
        </r>
      </text>
    </comment>
    <comment ref="BG957" authorId="0" shapeId="0" xr:uid="{2469EBA5-34B2-074B-9021-8E5789D14F07}">
      <text>
        <r>
          <rPr>
            <sz val="14"/>
            <color rgb="FF000000"/>
            <rFont val="Times New Roman"/>
            <family val="18"/>
          </rPr>
          <t>ML 3499 IR 39 (1807) – 16. Fus. Komp. Abgang (Kesmark 24/01/1807)</t>
        </r>
        <r>
          <rPr>
            <sz val="14"/>
            <color rgb="FF000000"/>
            <rFont val="Calibri"/>
            <family val="34"/>
          </rPr>
          <t xml:space="preserve">
</t>
        </r>
        <r>
          <rPr>
            <sz val="14"/>
            <color rgb="FF000000"/>
            <rFont val="Times New Roman"/>
            <family val="18"/>
          </rPr>
          <t>ML 3546 IR 39 (1805) – AL Nr. 8 (Eperies 31/10/1805), ST Nov (Pest 15/10/1806)</t>
        </r>
        <r>
          <rPr>
            <sz val="14"/>
            <color rgb="FF000000"/>
            <rFont val="Calibri"/>
            <family val="34"/>
          </rPr>
          <t xml:space="preserve">
</t>
        </r>
        <r>
          <rPr>
            <sz val="14"/>
            <color rgb="FF000000"/>
            <rFont val="Times New Roman"/>
            <family val="18"/>
          </rPr>
          <t>ML 3547 IR 39 (1806) – ST Okt (Caschau 02/09/1807)</t>
        </r>
        <r>
          <rPr>
            <sz val="14"/>
            <color rgb="FF000000"/>
            <rFont val="Calibri"/>
            <family val="34"/>
          </rPr>
          <t xml:space="preserve">
</t>
        </r>
      </text>
    </comment>
    <comment ref="BH957" authorId="0" shapeId="0" xr:uid="{62DBA6D8-BF91-334A-A762-7000566FC6A2}">
      <text>
        <r>
          <rPr>
            <sz val="14"/>
            <color rgb="FF000000"/>
            <rFont val="Calibri"/>
            <family val="34"/>
          </rPr>
          <t>IR 39 (1805-1806)</t>
        </r>
      </text>
    </comment>
    <comment ref="BF958" authorId="0" shapeId="0" xr:uid="{AC0CBF5D-496F-9340-82DF-80580E31C82F}">
      <text>
        <r>
          <rPr>
            <sz val="14"/>
            <color rgb="FF000000"/>
            <rFont val="Times New Roman"/>
            <family val="18"/>
          </rPr>
          <t xml:space="preserve">08/10/1805 </t>
        </r>
        <r>
          <rPr>
            <i/>
            <sz val="14"/>
            <color rgb="FF000000"/>
            <rFont val="Times New Roman"/>
            <family val="18"/>
          </rPr>
          <t xml:space="preserve">Als landständischer Recrout für Stuluan </t>
        </r>
        <r>
          <rPr>
            <b/>
            <sz val="14"/>
            <color rgb="FF000000"/>
            <rFont val="Times New Roman"/>
            <family val="18"/>
          </rPr>
          <t>[</t>
        </r>
        <r>
          <rPr>
            <b/>
            <u/>
            <sz val="14"/>
            <color rgb="FF0563C1"/>
            <rFont val="Times New Roman"/>
            <family val="18"/>
          </rPr>
          <t>Stuľany,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17. Fus. Zu, 4. Fus. Kom.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4. Fus. Komp. Nr. 63</t>
        </r>
        <r>
          <rPr>
            <sz val="14"/>
            <color rgb="FF000000"/>
            <rFont val="Calibri"/>
            <family val="34"/>
          </rPr>
          <t xml:space="preserve">
</t>
        </r>
        <r>
          <rPr>
            <sz val="14"/>
            <color rgb="FF000000"/>
            <rFont val="Times New Roman"/>
            <family val="18"/>
          </rPr>
          <t xml:space="preserve">05/07/1807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958" authorId="0" shapeId="0" xr:uid="{C0D81FC6-7EDB-2E41-8CC4-1E74251328A8}">
      <text>
        <r>
          <rPr>
            <sz val="14"/>
            <color rgb="FF000000"/>
            <rFont val="Times New Roman"/>
            <family val="18"/>
          </rPr>
          <t>ML 3546 IR 39 (1805) – AL Nr. 42 (Eperies 31/10/1805)</t>
        </r>
        <r>
          <rPr>
            <sz val="14"/>
            <color rgb="FF000000"/>
            <rFont val="Calibri"/>
            <family val="34"/>
          </rPr>
          <t xml:space="preserve">
</t>
        </r>
        <r>
          <rPr>
            <sz val="14"/>
            <color rgb="FF000000"/>
            <rFont val="Times New Roman"/>
            <family val="18"/>
          </rPr>
          <t>ML 3500 IR 39 (1808-10) – RL 1808 2. Fus. Komp. – Abgang (Comorn 19/09/1808)</t>
        </r>
        <r>
          <rPr>
            <sz val="14"/>
            <color rgb="FF000000"/>
            <rFont val="Calibri"/>
            <family val="34"/>
          </rPr>
          <t xml:space="preserve">
</t>
        </r>
        <r>
          <rPr>
            <sz val="14"/>
            <color rgb="FF000000"/>
            <rFont val="Times New Roman"/>
            <family val="18"/>
          </rPr>
          <t>ML 3499 IR 39 (1807) – 4. Fus. Komp. Nr. 63 (Leutschau 23/01/1807)</t>
        </r>
        <r>
          <rPr>
            <sz val="14"/>
            <color rgb="FF000000"/>
            <rFont val="Calibri"/>
            <family val="34"/>
          </rPr>
          <t xml:space="preserve">
</t>
        </r>
      </text>
    </comment>
    <comment ref="BH958" authorId="0" shapeId="0" xr:uid="{05C86BB0-CB61-2644-A549-B73F334B5061}">
      <text>
        <r>
          <rPr>
            <sz val="14"/>
            <color rgb="FF000000"/>
            <rFont val="Calibri"/>
            <family val="34"/>
          </rPr>
          <t>IR 39 (1805-1807)</t>
        </r>
      </text>
    </comment>
    <comment ref="BF959" authorId="0" shapeId="0" xr:uid="{FEF116FF-E53A-9B4B-95B3-4683B73C6B4D}">
      <text>
        <r>
          <rPr>
            <sz val="14"/>
            <color rgb="FF000000"/>
            <rFont val="Times New Roman"/>
            <family val="18"/>
          </rPr>
          <t xml:space="preserve">11/10/1805 </t>
        </r>
        <r>
          <rPr>
            <i/>
            <sz val="14"/>
            <color rgb="FF000000"/>
            <rFont val="Times New Roman"/>
            <family val="18"/>
          </rPr>
          <t>Auf 3 Fl Handgeld auf 10 Jahr Capitulation von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Teitel Komp. zum Galizischen Freibataillon Nr. 2 transferiert und zum 4. Vacante Komp. eingeheilt</t>
        </r>
        <r>
          <rPr>
            <sz val="14"/>
            <color rgb="FF000000"/>
            <rFont val="Times New Roman"/>
            <family val="18"/>
          </rPr>
          <t xml:space="preserve"> [TL Dec 1809 &amp; ST March 1809]</t>
        </r>
        <r>
          <rPr>
            <sz val="14"/>
            <color rgb="FF000000"/>
            <rFont val="Calibri"/>
            <family val="34"/>
          </rPr>
          <t xml:space="preserve">
</t>
        </r>
        <r>
          <rPr>
            <sz val="14"/>
            <color rgb="FF000000"/>
            <rFont val="Times New Roman"/>
            <family val="18"/>
          </rPr>
          <t xml:space="preserve">18/04/1809 </t>
        </r>
        <r>
          <rPr>
            <i/>
            <sz val="14"/>
            <color rgb="FF000000"/>
            <rFont val="Times New Roman"/>
            <family val="18"/>
          </rPr>
          <t xml:space="preserve">Desertiert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Von Militär a 8Fl Taglia attrappiert und seitdem Im Staabs-Stickhaus zu Cracau mit auswärtiger Verpflegung</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Befreit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21/06/1809 </t>
        </r>
        <r>
          <rPr>
            <i/>
            <sz val="14"/>
            <color rgb="FF000000"/>
            <rFont val="Times New Roman"/>
            <family val="18"/>
          </rPr>
          <t>Desertuert</t>
        </r>
        <r>
          <rPr>
            <sz val="14"/>
            <color rgb="FF000000"/>
            <rFont val="Times New Roman"/>
            <family val="18"/>
          </rPr>
          <t xml:space="preserve"> [ST June 1809] </t>
        </r>
      </text>
    </comment>
    <comment ref="BG959" authorId="0" shapeId="0" xr:uid="{F7793141-6B4F-AD48-8722-28A07C39ADE3}">
      <text>
        <r>
          <rPr>
            <sz val="14"/>
            <color rgb="FF000000"/>
            <rFont val="Times New Roman"/>
            <family val="18"/>
          </rPr>
          <t>ML 10.831 WGal FB 2 (1809-10) – TL IR 24-&gt; WGal FB 2 Nr. 47 (Csakowar 30/11/1809), ST March (Braddczy bei Caschau 10/08/1809), ST April (Politzka 13/07/1810), ST May (Tischmanitz 10/10/1810), ST June (Brünn 15/11/1810)</t>
        </r>
        <r>
          <rPr>
            <sz val="14"/>
            <color rgb="FF000000"/>
            <rFont val="Calibri"/>
            <family val="34"/>
          </rPr>
          <t xml:space="preserve">
</t>
        </r>
      </text>
    </comment>
    <comment ref="BH959" authorId="0" shapeId="0" xr:uid="{A4B4CB9C-CE52-1F45-9C0C-5ABB2B0E93E9}">
      <text>
        <r>
          <rPr>
            <sz val="14"/>
            <color rgb="FF000000"/>
            <rFont val="Calibri"/>
            <family val="34"/>
          </rPr>
          <t xml:space="preserve">IR 24 (1805-1809)
</t>
        </r>
        <r>
          <rPr>
            <sz val="14"/>
            <color rgb="FF000000"/>
            <rFont val="Calibri"/>
            <family val="34"/>
          </rPr>
          <t>WGal FB 2 (1809)</t>
        </r>
      </text>
    </comment>
    <comment ref="I960" authorId="0" shapeId="0" xr:uid="{2EDE6610-5C69-5148-B111-E4BAACD3C186}">
      <text>
        <r>
          <rPr>
            <sz val="14"/>
            <color rgb="FF000000"/>
            <rFont val="Calibri"/>
            <family val="34"/>
          </rPr>
          <t xml:space="preserve">1783 [22 (AL Dez 1805)]
</t>
        </r>
        <r>
          <rPr>
            <sz val="14"/>
            <color rgb="FF000000"/>
            <rFont val="Calibri"/>
            <family val="34"/>
          </rPr>
          <t xml:space="preserve">OR 
</t>
        </r>
        <r>
          <rPr>
            <sz val="14"/>
            <color rgb="FF000000"/>
            <rFont val="Calibri"/>
            <family val="34"/>
          </rPr>
          <t xml:space="preserve">1784 [24 (TL Mai 1805)]
</t>
        </r>
        <r>
          <rPr>
            <sz val="14"/>
            <color rgb="FF000000"/>
            <rFont val="Calibri"/>
            <family val="34"/>
          </rPr>
          <t xml:space="preserve">OR
</t>
        </r>
        <r>
          <rPr>
            <sz val="14"/>
            <color rgb="FF000000"/>
            <rFont val="Calibri"/>
            <family val="34"/>
          </rPr>
          <t>1785 [32 (ML 1817)]</t>
        </r>
      </text>
    </comment>
    <comment ref="J960" authorId="0" shapeId="0" xr:uid="{C37E153A-B91F-7748-A20F-4BE60F492266}">
      <text>
        <r>
          <rPr>
            <sz val="14"/>
            <color rgb="FF000000"/>
            <rFont val="Calibri"/>
            <family val="34"/>
          </rPr>
          <t xml:space="preserve">Ledig (1805-1808)
</t>
        </r>
        <r>
          <rPr>
            <sz val="14"/>
            <color rgb="FF000000"/>
            <rFont val="Calibri"/>
            <family val="34"/>
          </rPr>
          <t>Veheiratet (1811-1818)</t>
        </r>
      </text>
    </comment>
    <comment ref="K960" authorId="0" shapeId="0" xr:uid="{2EFC144B-3B0A-EB49-8C52-0C9231A96063}">
      <text>
        <r>
          <rPr>
            <sz val="14"/>
            <color rgb="FF000000"/>
            <rFont val="Calibri"/>
            <family val="34"/>
          </rPr>
          <t xml:space="preserve">Ohne (1805-1808)
</t>
        </r>
        <r>
          <rPr>
            <sz val="14"/>
            <color rgb="FF000000"/>
            <rFont val="Calibri"/>
            <family val="34"/>
          </rPr>
          <t>Schneider  (1811-1818)</t>
        </r>
      </text>
    </comment>
    <comment ref="T960" authorId="0" shapeId="0" xr:uid="{AC9AD7AC-BCE0-FF45-80AB-7DBA3445A948}">
      <text>
        <r>
          <rPr>
            <sz val="14"/>
            <color rgb="FF000000"/>
            <rFont val="Calibri"/>
            <family val="34"/>
          </rPr>
          <t xml:space="preserve">163.7 [5.2.2 (AL Dez 1805)]
</t>
        </r>
        <r>
          <rPr>
            <sz val="14"/>
            <color rgb="FF000000"/>
            <rFont val="Calibri"/>
            <family val="34"/>
          </rPr>
          <t>166.11 [5.3.1 (TLMai 1808)]</t>
        </r>
      </text>
    </comment>
    <comment ref="BF960" authorId="0" shapeId="0" xr:uid="{CF256986-5408-9140-92C3-369BBACDCD89}">
      <text>
        <r>
          <rPr>
            <sz val="14"/>
            <color rgb="FF000000"/>
            <rFont val="Times New Roman"/>
            <family val="18"/>
          </rPr>
          <t xml:space="preserve">11/10/1805 </t>
        </r>
        <r>
          <rPr>
            <i/>
            <sz val="14"/>
            <color rgb="FF000000"/>
            <rFont val="Times New Roman"/>
            <family val="18"/>
          </rPr>
          <t xml:space="preserve">Als landständischer Recrout für Bodroy Heresztar </t>
        </r>
        <r>
          <rPr>
            <b/>
            <sz val="14"/>
            <color rgb="FF000000"/>
            <rFont val="Times New Roman"/>
            <family val="18"/>
          </rPr>
          <t>[</t>
        </r>
        <r>
          <rPr>
            <b/>
            <u/>
            <sz val="14"/>
            <color rgb="FF0563C1"/>
            <rFont val="Times New Roman"/>
            <family val="18"/>
          </rPr>
          <t>Streda nad Bodrogom, Slovakia</t>
        </r>
        <r>
          <rPr>
            <b/>
            <sz val="14"/>
            <color rgb="FF000000"/>
            <rFont val="Times New Roman"/>
            <family val="18"/>
          </rPr>
          <t>]</t>
        </r>
        <r>
          <rPr>
            <i/>
            <sz val="14"/>
            <color rgb="FF000000"/>
            <rFont val="Times New Roman"/>
            <family val="18"/>
          </rPr>
          <t>,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FF0000"/>
            <rFont val="Times New Roman"/>
            <family val="18"/>
          </rPr>
          <t xml:space="preserve">12/12/1806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10.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128</t>
        </r>
        <r>
          <rPr>
            <sz val="14"/>
            <color rgb="FF000000"/>
            <rFont val="Calibri"/>
            <family val="34"/>
          </rPr>
          <t xml:space="preserve">
</t>
        </r>
        <r>
          <rPr>
            <sz val="14"/>
            <color rgb="FF000000"/>
            <rFont val="Times New Roman"/>
            <family val="18"/>
          </rPr>
          <t xml:space="preserve">21/05/1808 </t>
        </r>
        <r>
          <rPr>
            <i/>
            <sz val="14"/>
            <color rgb="FF000000"/>
            <rFont val="Times New Roman"/>
            <family val="18"/>
          </rPr>
          <t xml:space="preserve">Vermog General Comando Verordnung ddt. Lemberg am 22 März 808 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13.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10/09/1808 Revision: IR 9 13. Fus Komp. Nr. 229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13. Fus. Zum 10. Fus Komp transferiert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19/09/1811 Muster: IR 9 9. Fus. Komp. Nr. 128 [</t>
        </r>
        <r>
          <rPr>
            <i/>
            <sz val="14"/>
            <color rgb="FF000000"/>
            <rFont val="Times New Roman"/>
            <family val="18"/>
          </rPr>
          <t>Beurlaubt in seiner Heymath auf besitmte Zeit</t>
        </r>
        <r>
          <rPr>
            <sz val="14"/>
            <color rgb="FF000000"/>
            <rFont val="Times New Roman"/>
            <family val="18"/>
          </rPr>
          <t>]</t>
        </r>
        <r>
          <rPr>
            <sz val="14"/>
            <color rgb="FF000000"/>
            <rFont val="Calibri"/>
            <family val="34"/>
          </rPr>
          <t xml:space="preserve">
</t>
        </r>
        <r>
          <rPr>
            <sz val="14"/>
            <color rgb="FF000000"/>
            <rFont val="Times New Roman"/>
            <family val="18"/>
          </rPr>
          <t xml:space="preserve">20/04/1812 </t>
        </r>
        <r>
          <rPr>
            <i/>
            <sz val="14"/>
            <color rgb="FF000000"/>
            <rFont val="Times New Roman"/>
            <family val="18"/>
          </rPr>
          <t>Von 9. zum 15. Fus. Komp. transferiert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04/09/1812 </t>
        </r>
        <r>
          <rPr>
            <i/>
            <sz val="14"/>
            <color rgb="FF000000"/>
            <rFont val="Times New Roman"/>
            <family val="18"/>
          </rPr>
          <t>Von unbestimmte Urlaub zurück</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26/09/1812 </t>
        </r>
        <r>
          <rPr>
            <i/>
            <sz val="14"/>
            <color rgb="FF000000"/>
            <rFont val="Times New Roman"/>
            <family val="18"/>
          </rPr>
          <t>Von 15. zum 12. Fus. Komp. transferiert und seitdem auf dem Marsch nach Auxiliar Corps</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 xml:space="preserve">30/11/1812 </t>
        </r>
        <r>
          <rPr>
            <i/>
            <sz val="14"/>
            <color rgb="FF000000"/>
            <rFont val="Times New Roman"/>
            <family val="18"/>
          </rPr>
          <t>Ins Kompanie eingerückt</t>
        </r>
        <r>
          <rPr>
            <sz val="14"/>
            <color rgb="FF000000"/>
            <rFont val="Times New Roman"/>
            <family val="18"/>
          </rPr>
          <t xml:space="preserve"> [ST Dez 1812]</t>
        </r>
        <r>
          <rPr>
            <sz val="14"/>
            <color rgb="FF000000"/>
            <rFont val="Calibri"/>
            <family val="34"/>
          </rPr>
          <t xml:space="preserve">
</t>
        </r>
        <r>
          <rPr>
            <sz val="14"/>
            <color rgb="FF000000"/>
            <rFont val="Times New Roman"/>
            <family val="18"/>
          </rPr>
          <t xml:space="preserve">21/11/1814 </t>
        </r>
        <r>
          <rPr>
            <i/>
            <sz val="14"/>
            <color rgb="FF000000"/>
            <rFont val="Times New Roman"/>
            <family val="18"/>
          </rPr>
          <t>Auf dem Heimarsch zu ihrer neuen Bestimmung</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10/01/1815 </t>
        </r>
        <r>
          <rPr>
            <i/>
            <sz val="14"/>
            <color rgb="FF000000"/>
            <rFont val="Times New Roman"/>
            <family val="18"/>
          </rPr>
          <t>Zum Regiment Depot eingerückt und dort kommandiert</t>
        </r>
        <r>
          <rPr>
            <sz val="14"/>
            <color rgb="FF000000"/>
            <rFont val="Times New Roman"/>
            <family val="18"/>
          </rPr>
          <t xml:space="preserve"> [ST Jan 1815</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IR 9 12. Fus. Komp. als beim Depot zugeteilte zum Feldspital Nr. 48 als Krankenwärter transferiert</t>
        </r>
        <r>
          <rPr>
            <sz val="14"/>
            <color rgb="FF000000"/>
            <rFont val="Times New Roman"/>
            <family val="18"/>
          </rPr>
          <t xml:space="preserve"> [TL Juli 1815 &amp; ST Mai 1815]</t>
        </r>
        <r>
          <rPr>
            <sz val="14"/>
            <color rgb="FF000000"/>
            <rFont val="Calibri"/>
            <family val="34"/>
          </rPr>
          <t xml:space="preserve">
</t>
        </r>
        <r>
          <rPr>
            <sz val="14"/>
            <color rgb="FF000000"/>
            <rFont val="Times New Roman"/>
            <family val="18"/>
          </rPr>
          <t xml:space="preserve">16/01/1816 </t>
        </r>
        <r>
          <rPr>
            <i/>
            <sz val="14"/>
            <color rgb="FF000000"/>
            <rFont val="Times New Roman"/>
            <family val="18"/>
          </rPr>
          <t>Von dissolvierte HFS 48 zurück zum IR 9 18. Komp. transferiert</t>
        </r>
        <r>
          <rPr>
            <sz val="14"/>
            <color rgb="FF000000"/>
            <rFont val="Times New Roman"/>
            <family val="18"/>
          </rPr>
          <t xml:space="preserve"> [TL April 1816]</t>
        </r>
        <r>
          <rPr>
            <sz val="14"/>
            <color rgb="FF000000"/>
            <rFont val="Calibri"/>
            <family val="34"/>
          </rPr>
          <t xml:space="preserve">
</t>
        </r>
        <r>
          <rPr>
            <sz val="14"/>
            <color rgb="FF000000"/>
            <rFont val="Times New Roman"/>
            <family val="18"/>
          </rPr>
          <t xml:space="preserve">01/06/1816 </t>
        </r>
        <r>
          <rPr>
            <i/>
            <sz val="14"/>
            <color rgb="FF000000"/>
            <rFont val="Times New Roman"/>
            <family val="18"/>
          </rPr>
          <t xml:space="preserve">Von 18. zum 7. Fus. Komp. transferiert </t>
        </r>
        <r>
          <rPr>
            <sz val="14"/>
            <color rgb="FF000000"/>
            <rFont val="Times New Roman"/>
            <family val="18"/>
          </rPr>
          <t>[ST Juni 1816]</t>
        </r>
        <r>
          <rPr>
            <sz val="14"/>
            <color rgb="FF000000"/>
            <rFont val="Calibri"/>
            <family val="34"/>
          </rPr>
          <t xml:space="preserve">
</t>
        </r>
        <r>
          <rPr>
            <sz val="14"/>
            <color rgb="FF000000"/>
            <rFont val="Times New Roman"/>
            <family val="18"/>
          </rPr>
          <t xml:space="preserve">01/07/1816 </t>
        </r>
        <r>
          <rPr>
            <i/>
            <sz val="14"/>
            <color rgb="FF000000"/>
            <rFont val="Times New Roman"/>
            <family val="18"/>
          </rPr>
          <t>Von. 7. zum 13. Fus. Komp. transferiert</t>
        </r>
        <r>
          <rPr>
            <sz val="14"/>
            <color rgb="FF000000"/>
            <rFont val="Times New Roman"/>
            <family val="18"/>
          </rPr>
          <t xml:space="preserve"> [ST Juli 1816]</t>
        </r>
        <r>
          <rPr>
            <sz val="14"/>
            <color rgb="FF000000"/>
            <rFont val="Calibri"/>
            <family val="34"/>
          </rPr>
          <t xml:space="preserve">
</t>
        </r>
        <r>
          <rPr>
            <sz val="14"/>
            <color rgb="FF000000"/>
            <rFont val="Times New Roman"/>
            <family val="18"/>
          </rPr>
          <t>05/01/1818 Muster: IR 9 13. Fus. Komp. Nr. 157 [Beurlaubt bis zur Einberufung in seinem Geburtsort] [ML 1817]</t>
        </r>
        <r>
          <rPr>
            <sz val="14"/>
            <color rgb="FF000000"/>
            <rFont val="Calibri"/>
            <family val="34"/>
          </rPr>
          <t xml:space="preserve">
</t>
        </r>
        <r>
          <rPr>
            <sz val="14"/>
            <color rgb="FF000000"/>
            <rFont val="Times New Roman"/>
            <family val="18"/>
          </rPr>
          <t xml:space="preserve">20/02/1818 </t>
        </r>
        <r>
          <rPr>
            <i/>
            <sz val="14"/>
            <color rgb="FF000000"/>
            <rFont val="Times New Roman"/>
            <family val="18"/>
          </rPr>
          <t>Als ausgedienter Inländische Capitulant mit Abschied entlassen</t>
        </r>
        <r>
          <rPr>
            <sz val="14"/>
            <color rgb="FF000000"/>
            <rFont val="Times New Roman"/>
            <family val="18"/>
          </rPr>
          <t xml:space="preserve"> [ML 1818]</t>
        </r>
      </text>
    </comment>
    <comment ref="BG960" authorId="0" shapeId="0" xr:uid="{A05726D9-34D1-1246-967F-F1EE4817775D}">
      <text>
        <r>
          <rPr>
            <sz val="14"/>
            <color rgb="FF000000"/>
            <rFont val="Times New Roman"/>
            <family val="18"/>
          </rPr>
          <t>ML 3499 IR 39 (1807) – 10. Fus. Komp. Nr. 128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24 (Sátoraljaújhely 12/12/1805)</t>
        </r>
        <r>
          <rPr>
            <sz val="14"/>
            <color rgb="FF000000"/>
            <rFont val="Calibri"/>
            <family val="34"/>
          </rPr>
          <t xml:space="preserve">
</t>
        </r>
        <r>
          <rPr>
            <sz val="14"/>
            <color rgb="FF000000"/>
            <rFont val="Times New Roman"/>
            <family val="18"/>
          </rPr>
          <t>ML 3549 IR 39 (1808) – TL IR 39-&gt;IR 9 Nr. 1 (Neu Sandez 20/05/1808)</t>
        </r>
        <r>
          <rPr>
            <sz val="14"/>
            <color rgb="FF000000"/>
            <rFont val="Calibri"/>
            <family val="34"/>
          </rPr>
          <t xml:space="preserve">
</t>
        </r>
        <r>
          <rPr>
            <sz val="14"/>
            <color rgb="FF000000"/>
            <rFont val="Times New Roman"/>
            <family val="18"/>
          </rPr>
          <t>ML 633 IR 9 (1808) – 13. Fus. Komp. Nr. 229 (Przemysl 10/09/1808)</t>
        </r>
        <r>
          <rPr>
            <sz val="14"/>
            <color rgb="FF000000"/>
            <rFont val="Calibri"/>
            <family val="34"/>
          </rPr>
          <t xml:space="preserve">
</t>
        </r>
        <r>
          <rPr>
            <sz val="14"/>
            <color rgb="FF000000"/>
            <rFont val="Times New Roman"/>
            <family val="18"/>
          </rPr>
          <t>ML 634 IR 9 (1811) – 9. Fus. Komp. Nr. 126 (Caschau 19/09/1811)</t>
        </r>
        <r>
          <rPr>
            <sz val="14"/>
            <color rgb="FF000000"/>
            <rFont val="Calibri"/>
            <family val="34"/>
          </rPr>
          <t xml:space="preserve">
</t>
        </r>
        <r>
          <rPr>
            <sz val="14"/>
            <color rgb="FF000000"/>
            <rFont val="Times New Roman"/>
            <family val="18"/>
          </rPr>
          <t>ML 635/6 IR 9 (1817) – 13. Fus. Komp Nr. 157 (Rzeszow 05/01/1817)</t>
        </r>
        <r>
          <rPr>
            <sz val="14"/>
            <color rgb="FF000000"/>
            <rFont val="Calibri"/>
            <family val="34"/>
          </rPr>
          <t xml:space="preserve">
</t>
        </r>
        <r>
          <rPr>
            <sz val="14"/>
            <color rgb="FF000000"/>
            <rFont val="Times New Roman"/>
            <family val="18"/>
          </rPr>
          <t>ML 637/8 IR 9 (1818) – 13. Fus. Komp. Abgang (Starosol 30/09/1818)</t>
        </r>
        <r>
          <rPr>
            <sz val="14"/>
            <color rgb="FF000000"/>
            <rFont val="Calibri"/>
            <family val="34"/>
          </rPr>
          <t xml:space="preserve">
</t>
        </r>
        <r>
          <rPr>
            <sz val="14"/>
            <color rgb="FF000000"/>
            <rFont val="Times New Roman"/>
            <family val="18"/>
          </rPr>
          <t>ML 669 IR 9 (1808) – ST Juli (Krakau 02/11/1808)</t>
        </r>
        <r>
          <rPr>
            <sz val="14"/>
            <color rgb="FF000000"/>
            <rFont val="Calibri"/>
            <family val="34"/>
          </rPr>
          <t xml:space="preserve">
</t>
        </r>
        <r>
          <rPr>
            <sz val="14"/>
            <color rgb="FF000000"/>
            <rFont val="Times New Roman"/>
            <family val="18"/>
          </rPr>
          <t>ML 671 IR 9 (1809) – ST August (Caschau 15/10/1810)</t>
        </r>
        <r>
          <rPr>
            <sz val="14"/>
            <color rgb="FF000000"/>
            <rFont val="Calibri"/>
            <family val="34"/>
          </rPr>
          <t xml:space="preserve">
</t>
        </r>
        <r>
          <rPr>
            <sz val="14"/>
            <color rgb="FF000000"/>
            <rFont val="Times New Roman"/>
            <family val="18"/>
          </rPr>
          <t>ML 675 IR 9 (1812) – ST April (Przemysl 14/08/1812), ST Sept (Jaroslau 20/01/1813), ST Dez (15/06/1813)</t>
        </r>
        <r>
          <rPr>
            <sz val="14"/>
            <color rgb="FF000000"/>
            <rFont val="Calibri"/>
            <family val="34"/>
          </rPr>
          <t xml:space="preserve">
</t>
        </r>
        <r>
          <rPr>
            <sz val="14"/>
            <color rgb="FF000000"/>
            <rFont val="Times New Roman"/>
            <family val="18"/>
          </rPr>
          <t>ML 680 IR 9 (1814) – ST Nov (15/08/1816), Dez (18/08/1816)</t>
        </r>
        <r>
          <rPr>
            <sz val="14"/>
            <color rgb="FF000000"/>
            <rFont val="Calibri"/>
            <family val="34"/>
          </rPr>
          <t xml:space="preserve">
</t>
        </r>
        <r>
          <rPr>
            <sz val="14"/>
            <color rgb="FF000000"/>
            <rFont val="Times New Roman"/>
            <family val="18"/>
          </rPr>
          <t>ML 682 IR 9 (1815) – ST Jan (30/08/1816), Mai (30/11/1816)</t>
        </r>
        <r>
          <rPr>
            <sz val="14"/>
            <color rgb="FF000000"/>
            <rFont val="Calibri"/>
            <family val="34"/>
          </rPr>
          <t xml:space="preserve">
</t>
        </r>
        <r>
          <rPr>
            <sz val="14"/>
            <color rgb="FF000000"/>
            <rFont val="Times New Roman"/>
            <family val="18"/>
          </rPr>
          <t>ML 684 IR 9 (1816) – ST Jan (Herrmannstadt 18/06/1817), Juni (Klausenburg 09/07/1817), Juli (Kausenburg ??/07/1817)</t>
        </r>
        <r>
          <rPr>
            <sz val="14"/>
            <color rgb="FF000000"/>
            <rFont val="Calibri"/>
            <family val="34"/>
          </rPr>
          <t xml:space="preserve">
</t>
        </r>
        <r>
          <rPr>
            <sz val="14"/>
            <color rgb="FF000000"/>
            <rFont val="Times New Roman"/>
            <family val="18"/>
          </rPr>
          <t>ML 12.018 HFS (1815) – TL IR 9-&gt;HFS 48 Nr. 9 (Lemberg 26/07/1815)</t>
        </r>
        <r>
          <rPr>
            <sz val="14"/>
            <color rgb="FF000000"/>
            <rFont val="Calibri"/>
            <family val="34"/>
          </rPr>
          <t xml:space="preserve">
</t>
        </r>
        <r>
          <rPr>
            <sz val="14"/>
            <color rgb="FF000000"/>
            <rFont val="Times New Roman"/>
            <family val="18"/>
          </rPr>
          <t>ML 12.018 HFS (1816) – TL HFS 48-&gt;IR 9 Nr. 54 (Prague 16/04/1816)</t>
        </r>
        <r>
          <rPr>
            <sz val="14"/>
            <color rgb="FF000000"/>
            <rFont val="Calibri"/>
            <family val="34"/>
          </rPr>
          <t xml:space="preserve">
</t>
        </r>
      </text>
    </comment>
    <comment ref="BH960" authorId="0" shapeId="0" xr:uid="{DC6F2CD5-DE27-0E49-A995-76862B898A75}">
      <text>
        <r>
          <rPr>
            <sz val="14"/>
            <color rgb="FF000000"/>
            <rFont val="Calibri"/>
            <family val="34"/>
          </rPr>
          <t xml:space="preserve">IR 39 (1805-1808)
</t>
        </r>
        <r>
          <rPr>
            <sz val="14"/>
            <color rgb="FF000000"/>
            <rFont val="Calibri"/>
            <family val="34"/>
          </rPr>
          <t xml:space="preserve">IR 9 (1808-1815)
</t>
        </r>
        <r>
          <rPr>
            <sz val="14"/>
            <color rgb="FF000000"/>
            <rFont val="Calibri"/>
            <family val="34"/>
          </rPr>
          <t xml:space="preserve">HFS 48 (1815-1816)
</t>
        </r>
        <r>
          <rPr>
            <sz val="14"/>
            <color rgb="FF000000"/>
            <rFont val="Calibri"/>
            <family val="34"/>
          </rPr>
          <t>IR 9 (1816-1818)</t>
        </r>
      </text>
    </comment>
    <comment ref="C961" authorId="0" shapeId="0" xr:uid="{033EFECC-80BA-5042-AED9-7287DFDAE439}">
      <text>
        <r>
          <rPr>
            <b/>
            <u/>
            <sz val="14"/>
            <color rgb="FF0563C1"/>
            <rFont val="Times New Roman"/>
            <family val="18"/>
          </rPr>
          <t>Kurów, Poland</t>
        </r>
        <r>
          <rPr>
            <b/>
            <sz val="14"/>
            <color rgb="FF000000"/>
            <rFont val="Times New Roman"/>
            <family val="18"/>
          </rPr>
          <t xml:space="preserve">, </t>
        </r>
        <r>
          <rPr>
            <i/>
            <sz val="14"/>
            <color rgb="FF000000"/>
            <rFont val="Times New Roman"/>
            <family val="18"/>
          </rPr>
          <t xml:space="preserve">West Galizien 
</t>
        </r>
        <r>
          <rPr>
            <b/>
            <sz val="14"/>
            <color rgb="FF000000"/>
            <rFont val="Times New Roman"/>
            <family val="18"/>
          </rPr>
          <t xml:space="preserve">or
</t>
        </r>
        <r>
          <rPr>
            <b/>
            <u/>
            <sz val="14"/>
            <color rgb="FF0563C1"/>
            <rFont val="Times New Roman"/>
            <family val="18"/>
          </rPr>
          <t>Kurów (Chełmiec), Poland</t>
        </r>
        <r>
          <rPr>
            <sz val="14"/>
            <color rgb="FF000000"/>
            <rFont val="Times New Roman"/>
            <family val="18"/>
          </rPr>
          <t xml:space="preserve"> </t>
        </r>
        <r>
          <rPr>
            <i/>
            <sz val="14"/>
            <color rgb="FF000000"/>
            <rFont val="Times New Roman"/>
            <family val="18"/>
          </rPr>
          <t>Ost Galizien</t>
        </r>
      </text>
    </comment>
    <comment ref="BF961" authorId="0" shapeId="0" xr:uid="{7B90917F-0409-E04D-9CD8-1F7D4319D2D7}">
      <text>
        <r>
          <rPr>
            <sz val="14"/>
            <color rgb="FF000000"/>
            <rFont val="Times New Roman"/>
            <family val="18"/>
          </rPr>
          <t>12/10/1805</t>
        </r>
        <r>
          <rPr>
            <i/>
            <sz val="14"/>
            <color rgb="FF000000"/>
            <rFont val="Times New Roman"/>
            <family val="18"/>
          </rPr>
          <t xml:space="preserve"> Als landständischer Recrout für Tolstava </t>
        </r>
        <r>
          <rPr>
            <b/>
            <sz val="14"/>
            <color rgb="FF000000"/>
            <rFont val="Times New Roman"/>
            <family val="18"/>
          </rPr>
          <t>[</t>
        </r>
        <r>
          <rPr>
            <b/>
            <u/>
            <sz val="14"/>
            <color rgb="FF0563C1"/>
            <rFont val="Times New Roman"/>
            <family val="18"/>
          </rPr>
          <t>Tolcsva, Hungary</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Fus. zur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7. Fus. Komp Nr. 103</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r>
          <rPr>
            <sz val="14"/>
            <color rgb="FF000000"/>
            <rFont val="Calibri"/>
            <family val="34"/>
          </rPr>
          <t xml:space="preserve">
</t>
        </r>
      </text>
    </comment>
    <comment ref="BG961" authorId="0" shapeId="0" xr:uid="{99A0DD3C-0A57-C346-8302-5AB4477FA736}">
      <text>
        <r>
          <rPr>
            <sz val="14"/>
            <color rgb="FF000000"/>
            <rFont val="Times New Roman"/>
            <family val="18"/>
          </rPr>
          <t xml:space="preserve">ML 3499 IR 39 (1807) – 7. Fus. Komp. Nr. 103 </t>
        </r>
        <r>
          <rPr>
            <sz val="14"/>
            <color rgb="FF000000"/>
            <rFont val="Times New Roman"/>
            <family val="18"/>
          </rPr>
          <t>(Kesmark 24/01/1807)</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3546 IR 39 (1805) – AL Nr. 20 (Sátoraljaújhely 17/10/1805)</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H961" authorId="0" shapeId="0" xr:uid="{91EA55E3-933A-E343-B864-7B65F1106E99}">
      <text>
        <r>
          <rPr>
            <sz val="14"/>
            <color rgb="FF000000"/>
            <rFont val="Calibri"/>
            <family val="34"/>
          </rPr>
          <t>IR 39 (1805-1807)</t>
        </r>
      </text>
    </comment>
    <comment ref="BF962" authorId="0" shapeId="0" xr:uid="{CC09D051-37D4-184E-8F83-1341DA16F115}">
      <text>
        <r>
          <rPr>
            <sz val="14"/>
            <color rgb="FF000000"/>
            <rFont val="Times New Roman"/>
            <family val="18"/>
          </rPr>
          <t>12/10/1805</t>
        </r>
        <r>
          <rPr>
            <i/>
            <sz val="14"/>
            <color rgb="FF000000"/>
            <rFont val="Times New Roman"/>
            <family val="18"/>
          </rPr>
          <t xml:space="preserve"> Als landständischer Recrout für Magiar Jesztrebb </t>
        </r>
        <r>
          <rPr>
            <b/>
            <sz val="14"/>
            <color rgb="FF000000"/>
            <rFont val="Times New Roman"/>
            <family val="18"/>
          </rPr>
          <t>[</t>
        </r>
        <r>
          <rPr>
            <b/>
            <u/>
            <sz val="14"/>
            <color rgb="FF0563C1"/>
            <rFont val="Times New Roman"/>
            <family val="18"/>
          </rPr>
          <t>Zemplínske Jastrabie, Slovakia</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Fus. zur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15. Fus. Komp. Nr. 51</t>
        </r>
        <r>
          <rPr>
            <sz val="14"/>
            <color rgb="FF000000"/>
            <rFont val="Calibri"/>
            <family val="34"/>
          </rPr>
          <t xml:space="preserve">
</t>
        </r>
        <r>
          <rPr>
            <sz val="14"/>
            <color rgb="FF000000"/>
            <rFont val="Times New Roman"/>
            <family val="18"/>
          </rPr>
          <t xml:space="preserve">25/06/1807 </t>
        </r>
        <r>
          <rPr>
            <i/>
            <sz val="14"/>
            <color rgb="FF000000"/>
            <rFont val="Times New Roman"/>
            <family val="18"/>
          </rPr>
          <t xml:space="preserve">Vermog hoh. Verord. Ddt. Ofen am 17. April a:c: gegen Stellung eines Anderen mit Abschied entlassen </t>
        </r>
        <r>
          <rPr>
            <sz val="14"/>
            <color rgb="FF000000"/>
            <rFont val="Times New Roman"/>
            <family val="18"/>
          </rPr>
          <t>[RL 1808]</t>
        </r>
        <r>
          <rPr>
            <sz val="14"/>
            <color rgb="FF000000"/>
            <rFont val="Calibri"/>
            <family val="34"/>
          </rPr>
          <t xml:space="preserve">
</t>
        </r>
      </text>
    </comment>
    <comment ref="BG962" authorId="0" shapeId="0" xr:uid="{770321F0-52DB-0847-9C76-8045D9555056}">
      <text>
        <r>
          <rPr>
            <sz val="14"/>
            <color rgb="FF000000"/>
            <rFont val="Times New Roman"/>
            <family val="18"/>
          </rPr>
          <t>ML 3499 IR 39 (1807) – 15. Fus. Komp. Nr. 51 (Kesmark 24/01/1807)</t>
        </r>
        <r>
          <rPr>
            <sz val="14"/>
            <color rgb="FF000000"/>
            <rFont val="Calibri"/>
            <family val="34"/>
          </rPr>
          <t xml:space="preserve">
</t>
        </r>
        <r>
          <rPr>
            <sz val="14"/>
            <color rgb="FF000000"/>
            <rFont val="Times New Roman"/>
            <family val="18"/>
          </rPr>
          <t>ML 3500 IR 39 (1808-10) – RL 1808 8. Fus. Komp. – Abgang (Comorn 19/09/1808)</t>
        </r>
        <r>
          <rPr>
            <sz val="14"/>
            <color rgb="FF000000"/>
            <rFont val="Calibri"/>
            <family val="34"/>
          </rPr>
          <t xml:space="preserve">
</t>
        </r>
        <r>
          <rPr>
            <sz val="14"/>
            <color rgb="FF000000"/>
            <rFont val="Times New Roman"/>
            <family val="18"/>
          </rPr>
          <t>ML 3546 IR 39 (1805) – AL Nr. 27 (Sátoraljaújhely 17/10/1805)</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H962" authorId="0" shapeId="0" xr:uid="{FC106687-9A3D-F140-AEAB-7DD0FC180C27}">
      <text>
        <r>
          <rPr>
            <sz val="14"/>
            <color rgb="FF000000"/>
            <rFont val="Calibri"/>
            <family val="34"/>
          </rPr>
          <t>IR 39 (1805-1807)</t>
        </r>
      </text>
    </comment>
    <comment ref="BF963" authorId="0" shapeId="0" xr:uid="{8DBE6DA6-E974-6741-B33B-9ACD62C7E9DE}">
      <text>
        <r>
          <rPr>
            <sz val="14"/>
            <color rgb="FF000000"/>
            <rFont val="Times New Roman"/>
            <family val="18"/>
          </rPr>
          <t>12/10/1805</t>
        </r>
        <r>
          <rPr>
            <i/>
            <sz val="14"/>
            <color rgb="FF000000"/>
            <rFont val="Times New Roman"/>
            <family val="18"/>
          </rPr>
          <t xml:space="preserve"> Als landständischer Recrout für Nagy Hazmer </t>
        </r>
        <r>
          <rPr>
            <b/>
            <sz val="14"/>
            <color rgb="FF000000"/>
            <rFont val="Times New Roman"/>
            <family val="18"/>
          </rPr>
          <t>[?]</t>
        </r>
        <r>
          <rPr>
            <i/>
            <sz val="14"/>
            <color rgb="FF000000"/>
            <rFont val="Times New Roman"/>
            <family val="18"/>
          </rPr>
          <t>, Zempliner Komität in gestellt, in Sátoraljaújhely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05/09/1806 </t>
        </r>
        <r>
          <rPr>
            <i/>
            <sz val="14"/>
            <color rgb="FF000000"/>
            <rFont val="Times New Roman"/>
            <family val="18"/>
          </rPr>
          <t>In Folge hoher Verordnung dd. Ofen 8. July a: c: gegen Stellung eines Anderen Mannes und Erlag des Montur Gelds mit Abschied entlassen</t>
        </r>
        <r>
          <rPr>
            <sz val="14"/>
            <color rgb="FF000000"/>
            <rFont val="Times New Roman"/>
            <family val="18"/>
          </rPr>
          <t xml:space="preserve"> [ST Sept 1806]</t>
        </r>
      </text>
    </comment>
    <comment ref="BG963" authorId="0" shapeId="0" xr:uid="{0806FFFB-267F-B041-A5D5-7668645DF0D1}">
      <text>
        <r>
          <rPr>
            <sz val="14"/>
            <color rgb="FF000000"/>
            <rFont val="Times New Roman"/>
            <family val="18"/>
          </rPr>
          <t>ML 3499 IR 39 (1807) – 15. Fus. Komp. Abgang (Kesmark 24/01/1807)</t>
        </r>
        <r>
          <rPr>
            <sz val="14"/>
            <color rgb="FF000000"/>
            <rFont val="Calibri"/>
            <family val="34"/>
          </rPr>
          <t xml:space="preserve">
</t>
        </r>
        <r>
          <rPr>
            <sz val="14"/>
            <color rgb="FF000000"/>
            <rFont val="Times New Roman"/>
            <family val="18"/>
          </rPr>
          <t>ML 3546 IR 39 (1805) – AL Nr. 1 (Sátoraljaújhely 17/10/1805), ST Nov (Pest 15/10/1806)</t>
        </r>
        <r>
          <rPr>
            <sz val="14"/>
            <color rgb="FF000000"/>
            <rFont val="Calibri"/>
            <family val="34"/>
          </rPr>
          <t xml:space="preserve">
</t>
        </r>
        <r>
          <rPr>
            <sz val="14"/>
            <color rgb="FF000000"/>
            <rFont val="Times New Roman"/>
            <family val="18"/>
          </rPr>
          <t>ML 3547 IR 39 (1806) – ST Sept (Caschau 04/06/1807)</t>
        </r>
        <r>
          <rPr>
            <sz val="14"/>
            <color rgb="FF000000"/>
            <rFont val="Calibri"/>
            <family val="34"/>
          </rPr>
          <t xml:space="preserve">
</t>
        </r>
      </text>
    </comment>
    <comment ref="BH963" authorId="0" shapeId="0" xr:uid="{17DAE0DF-5390-C74E-AED1-80233E02EC00}">
      <text>
        <r>
          <rPr>
            <sz val="14"/>
            <color rgb="FF000000"/>
            <rFont val="Calibri"/>
            <family val="34"/>
          </rPr>
          <t>IR 39 (1805-1806)</t>
        </r>
      </text>
    </comment>
    <comment ref="BF964" authorId="0" shapeId="0" xr:uid="{DAFFEC38-B6B8-CD44-B132-748C3453667F}">
      <text>
        <r>
          <rPr>
            <sz val="14"/>
            <color rgb="FF000000"/>
            <rFont val="Times New Roman"/>
            <family val="18"/>
          </rPr>
          <t>12/10/1805</t>
        </r>
        <r>
          <rPr>
            <i/>
            <sz val="14"/>
            <color rgb="FF000000"/>
            <rFont val="Times New Roman"/>
            <family val="18"/>
          </rPr>
          <t xml:space="preserve"> Als landständischer Recrout für Tolstava </t>
        </r>
        <r>
          <rPr>
            <b/>
            <sz val="14"/>
            <color rgb="FF000000"/>
            <rFont val="Times New Roman"/>
            <family val="18"/>
          </rPr>
          <t>[</t>
        </r>
        <r>
          <rPr>
            <b/>
            <u/>
            <sz val="14"/>
            <color rgb="FF0563C1"/>
            <rFont val="Times New Roman"/>
            <family val="18"/>
          </rPr>
          <t>Tolcsva, Hungary</t>
        </r>
        <r>
          <rPr>
            <b/>
            <sz val="14"/>
            <color rgb="FF000000"/>
            <rFont val="Times New Roman"/>
            <family val="18"/>
          </rPr>
          <t>]</t>
        </r>
        <r>
          <rPr>
            <i/>
            <sz val="14"/>
            <color rgb="FF000000"/>
            <rFont val="Times New Roman"/>
            <family val="18"/>
          </rPr>
          <t>, Zempliner Komität in gestellt, in Sátoraljaújhely zum IR 39 a 3 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zur 13.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13. Fus. Komp. Nr. 62</t>
        </r>
        <r>
          <rPr>
            <sz val="14"/>
            <color rgb="FF000000"/>
            <rFont val="Calibri"/>
            <family val="34"/>
          </rPr>
          <t xml:space="preserve">
</t>
        </r>
        <r>
          <rPr>
            <sz val="14"/>
            <color rgb="FF000000"/>
            <rFont val="Times New Roman"/>
            <family val="18"/>
          </rPr>
          <t xml:space="preserve">25/03/1807 </t>
        </r>
        <r>
          <rPr>
            <i/>
            <sz val="14"/>
            <color rgb="FF000000"/>
            <rFont val="Times New Roman"/>
            <family val="18"/>
          </rPr>
          <t>Gegen Stellung Anderer mit Abschied entlassen</t>
        </r>
        <r>
          <rPr>
            <sz val="14"/>
            <color rgb="FF000000"/>
            <rFont val="Times New Roman"/>
            <family val="18"/>
          </rPr>
          <t xml:space="preserve"> [RL 1808]</t>
        </r>
      </text>
    </comment>
    <comment ref="BG964" authorId="0" shapeId="0" xr:uid="{717BDF1A-7D45-1640-BA22-35C59CB24B45}">
      <text>
        <r>
          <rPr>
            <sz val="14"/>
            <color rgb="FF000000"/>
            <rFont val="Times New Roman"/>
            <family val="18"/>
          </rPr>
          <t>ML 3499 IR 39 (1807) – 13. Fus. Komp. Nr. 62 (Letschau 23/01/1807)</t>
        </r>
        <r>
          <rPr>
            <sz val="14"/>
            <color rgb="FF000000"/>
            <rFont val="Calibri"/>
            <family val="34"/>
          </rPr>
          <t xml:space="preserve">
</t>
        </r>
        <r>
          <rPr>
            <sz val="14"/>
            <color rgb="FF000000"/>
            <rFont val="Times New Roman"/>
            <family val="18"/>
          </rPr>
          <t>ML 3500 IR 39 (1808-10) – RL 1808 6. Fus. Komp. – Abgang (Comorn 19/09/1808)</t>
        </r>
        <r>
          <rPr>
            <sz val="14"/>
            <color rgb="FF000000"/>
            <rFont val="Calibri"/>
            <family val="34"/>
          </rPr>
          <t xml:space="preserve">
</t>
        </r>
        <r>
          <rPr>
            <sz val="14"/>
            <color rgb="FF000000"/>
            <rFont val="Times New Roman"/>
            <family val="18"/>
          </rPr>
          <t>ML 3546 IR 39 (1805) – AL Nr. 19 (Sátoraljaújhely 17/10/1805), ST Nov (Pest 15/10/1806)</t>
        </r>
        <r>
          <rPr>
            <sz val="14"/>
            <color rgb="FF000000"/>
            <rFont val="Calibri"/>
            <family val="34"/>
          </rPr>
          <t xml:space="preserve">
</t>
        </r>
      </text>
    </comment>
    <comment ref="BH964" authorId="0" shapeId="0" xr:uid="{C0643D57-1901-484B-B716-19AF62BB191C}">
      <text>
        <r>
          <rPr>
            <sz val="14"/>
            <color rgb="FF000000"/>
            <rFont val="Calibri"/>
            <family val="34"/>
          </rPr>
          <t>IR 39 (1805-1807)</t>
        </r>
      </text>
    </comment>
    <comment ref="BF965" authorId="0" shapeId="0" xr:uid="{5651A94A-9EDB-FF46-AB58-2972EB8B3258}">
      <text>
        <r>
          <rPr>
            <sz val="14"/>
            <color rgb="FF000000"/>
            <rFont val="Times New Roman"/>
            <family val="18"/>
          </rPr>
          <t>12/10/1805</t>
        </r>
        <r>
          <rPr>
            <i/>
            <sz val="14"/>
            <color rgb="FF000000"/>
            <rFont val="Times New Roman"/>
            <family val="18"/>
          </rPr>
          <t xml:space="preserve"> Als landständischer Recrout für Talya </t>
        </r>
        <r>
          <rPr>
            <b/>
            <sz val="14"/>
            <color rgb="FF000000"/>
            <rFont val="Times New Roman"/>
            <family val="18"/>
          </rPr>
          <t>[</t>
        </r>
        <r>
          <rPr>
            <b/>
            <u/>
            <sz val="14"/>
            <color rgb="FF0563C1"/>
            <rFont val="Times New Roman"/>
            <family val="18"/>
          </rPr>
          <t>Tállya, Hungary</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06/12/1805 </t>
        </r>
        <r>
          <rPr>
            <i/>
            <sz val="14"/>
            <color rgb="FF000000"/>
            <rFont val="Times New Roman"/>
            <family val="18"/>
          </rPr>
          <t>Zu Folge hohe Verordnung detto Ofen von 16/11/1805 als untauglich gegen zuleiten den Ersatz alle Unkosten mit Laufpass entlassen</t>
        </r>
        <r>
          <rPr>
            <sz val="14"/>
            <color rgb="FF000000"/>
            <rFont val="Times New Roman"/>
            <family val="18"/>
          </rPr>
          <t xml:space="preserve"> [ST Dez 1805]</t>
        </r>
      </text>
    </comment>
    <comment ref="BG965" authorId="0" shapeId="0" xr:uid="{D8C66BB7-C00A-7D49-9E8D-9DDEAF467673}">
      <text>
        <r>
          <rPr>
            <sz val="14"/>
            <color rgb="FF000000"/>
            <rFont val="Times New Roman"/>
            <family val="18"/>
          </rPr>
          <t>ML 3499 IR 39 (1807) – 18. Fus. Komp. Abgang (Letschau 23/01/1807)</t>
        </r>
        <r>
          <rPr>
            <sz val="14"/>
            <color rgb="FF000000"/>
            <rFont val="Calibri"/>
            <family val="34"/>
          </rPr>
          <t xml:space="preserve">
</t>
        </r>
        <r>
          <rPr>
            <sz val="14"/>
            <color rgb="FF000000"/>
            <rFont val="Times New Roman"/>
            <family val="18"/>
          </rPr>
          <t>ML 3546 IR 39 (1805) – AL Nr. 23 (Sátoraljaújhely 17/10/1805), ST Dez (16/10/1806)</t>
        </r>
        <r>
          <rPr>
            <sz val="14"/>
            <color rgb="FF000000"/>
            <rFont val="Calibri"/>
            <family val="34"/>
          </rPr>
          <t xml:space="preserve">
</t>
        </r>
      </text>
    </comment>
    <comment ref="BH965" authorId="0" shapeId="0" xr:uid="{C7FD04DC-49BA-A740-9B2A-ED87580247E1}">
      <text>
        <r>
          <rPr>
            <sz val="14"/>
            <color rgb="FF000000"/>
            <rFont val="Calibri"/>
            <family val="34"/>
          </rPr>
          <t>IR 39 (1805)</t>
        </r>
      </text>
    </comment>
    <comment ref="BF966" authorId="0" shapeId="0" xr:uid="{EAFCD5B6-B629-3D4A-B4C7-5024FD962ABD}">
      <text>
        <r>
          <rPr>
            <sz val="14"/>
            <color rgb="FF000000"/>
            <rFont val="Times New Roman"/>
            <family val="18"/>
          </rPr>
          <t xml:space="preserve">15/10/1805 </t>
        </r>
        <r>
          <rPr>
            <i/>
            <sz val="14"/>
            <color rgb="FF000000"/>
            <rFont val="Times New Roman"/>
            <family val="18"/>
          </rPr>
          <t>Zu Siedlce a 3Fl Handgeld von Dominien mit 10 jähriger Capitulation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zur Exercierzeit zu Zelechow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von Urlaub desertiert</t>
        </r>
        <r>
          <rPr>
            <sz val="14"/>
            <color rgb="FF000000"/>
            <rFont val="Times New Roman"/>
            <family val="18"/>
          </rPr>
          <t xml:space="preserve"> [RL 1808]</t>
        </r>
      </text>
    </comment>
    <comment ref="BG966" authorId="0" shapeId="0" xr:uid="{A17E3E2F-7CD6-8D40-B219-EEE4F898B018}">
      <text>
        <r>
          <rPr>
            <sz val="14"/>
            <color rgb="FF000000"/>
            <rFont val="Times New Roman"/>
            <family val="18"/>
          </rPr>
          <t>ML 5017/8 IR 59 (1806) – 16. Fus. Komp. Nr. 229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9 (Siedlce 31/10/1805)</t>
        </r>
        <r>
          <rPr>
            <sz val="14"/>
            <color rgb="FF000000"/>
            <rFont val="Calibri"/>
            <family val="34"/>
          </rPr>
          <t xml:space="preserve">
</t>
        </r>
      </text>
    </comment>
    <comment ref="BH966" authorId="0" shapeId="0" xr:uid="{530A76BF-DA8E-CC4F-8214-865F95460534}">
      <text>
        <r>
          <rPr>
            <sz val="14"/>
            <color rgb="FF000000"/>
            <rFont val="Calibri"/>
            <family val="34"/>
          </rPr>
          <t>IR 59 (1805-1808)</t>
        </r>
      </text>
    </comment>
    <comment ref="BF967" authorId="0" shapeId="0" xr:uid="{7FFBF01D-5C08-DF4B-86EC-7CCB771EF99A}">
      <text>
        <r>
          <rPr>
            <sz val="14"/>
            <color rgb="FF000000"/>
            <rFont val="Times New Roman"/>
            <family val="18"/>
          </rPr>
          <t xml:space="preserve">16/10/1805 </t>
        </r>
        <r>
          <rPr>
            <i/>
            <sz val="14"/>
            <color rgb="FF000000"/>
            <rFont val="Times New Roman"/>
            <family val="18"/>
          </rPr>
          <t>in Siedlice von Domenien a 3Fl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Comp.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dem anhero Marsch aus Galizien Unwissend verlohren in Abgang gebracht</t>
        </r>
        <r>
          <rPr>
            <sz val="14"/>
            <color rgb="FF000000"/>
            <rFont val="Times New Roman"/>
            <family val="18"/>
          </rPr>
          <t xml:space="preserve"> [ML 1806]</t>
        </r>
      </text>
    </comment>
    <comment ref="BG967" authorId="0" shapeId="0" xr:uid="{F9E5BB2D-F593-034F-928A-305259704285}">
      <text>
        <r>
          <rPr>
            <sz val="14"/>
            <color rgb="FF000000"/>
            <rFont val="Times New Roman"/>
            <family val="18"/>
          </rPr>
          <t xml:space="preserve">ML 5017/8 IR 59 ‚Jordis (1806) – Heft ‚Reserve Division‘ Zuwachs &amp; Abgang (Wells 06/07/1807) &amp; Heft ‚Unwissend verlohren‘ Nr. 550 (Linz 10/07/1807)
</t>
        </r>
        <r>
          <rPr>
            <sz val="14"/>
            <color rgb="FF000000"/>
            <rFont val="Times New Roman"/>
            <family val="18"/>
          </rPr>
          <t>ML 5067 IR 59 (1805) – AL. Nr. 17 (Siedlce 31/10/1805)</t>
        </r>
        <r>
          <rPr>
            <sz val="14"/>
            <color rgb="FF000000"/>
            <rFont val="Calibri"/>
            <family val="34"/>
          </rPr>
          <t xml:space="preserve">
</t>
        </r>
        <r>
          <rPr>
            <sz val="14"/>
            <color rgb="FF000000"/>
            <rFont val="Calibri"/>
            <family val="34"/>
          </rPr>
          <t xml:space="preserve">
</t>
        </r>
      </text>
    </comment>
    <comment ref="BH967" authorId="0" shapeId="0" xr:uid="{5F310330-1641-9C48-B135-7754771810BA}">
      <text>
        <r>
          <rPr>
            <sz val="14"/>
            <color rgb="FF000000"/>
            <rFont val="Calibri"/>
            <family val="34"/>
          </rPr>
          <t>IR 59 (1805-1806)</t>
        </r>
      </text>
    </comment>
    <comment ref="BF968" authorId="0" shapeId="0" xr:uid="{723540BC-FF98-4544-8A69-0EBD8837BDB1}">
      <text>
        <r>
          <rPr>
            <sz val="14"/>
            <color rgb="FF000000"/>
            <rFont val="Times New Roman"/>
            <family val="18"/>
          </rPr>
          <t>16/10/1805</t>
        </r>
        <r>
          <rPr>
            <i/>
            <sz val="14"/>
            <color rgb="FF000000"/>
            <rFont val="Times New Roman"/>
            <family val="18"/>
          </rPr>
          <t xml:space="preserve"> Als landständischer Recrout für Tarizul</t>
        </r>
        <r>
          <rPr>
            <sz val="14"/>
            <color rgb="FF000000"/>
            <rFont val="Times New Roman"/>
            <family val="18"/>
          </rPr>
          <t xml:space="preserve"> </t>
        </r>
        <r>
          <rPr>
            <b/>
            <sz val="14"/>
            <color rgb="FF000000"/>
            <rFont val="Times New Roman"/>
            <family val="18"/>
          </rPr>
          <t>[</t>
        </r>
        <r>
          <rPr>
            <b/>
            <u/>
            <sz val="14"/>
            <color rgb="FF0563C1"/>
            <rFont val="Times New Roman"/>
            <family val="18"/>
          </rPr>
          <t>Tarcal, Hungary</t>
        </r>
        <r>
          <rPr>
            <b/>
            <sz val="14"/>
            <color rgb="FF000000"/>
            <rFont val="Times New Roman"/>
            <family val="18"/>
          </rPr>
          <t>]</t>
        </r>
        <r>
          <rPr>
            <i/>
            <sz val="14"/>
            <color rgb="FF000000"/>
            <rFont val="Times New Roman"/>
            <family val="18"/>
          </rPr>
          <t>, Zempliner Komität in gestellt, in Sátoraljaújhely zum IR 39 a 3 Fl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57</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968" authorId="0" shapeId="0" xr:uid="{4C74B68F-DDC0-3F4B-A4E3-68BD0D962DA3}">
      <text>
        <r>
          <rPr>
            <sz val="14"/>
            <color rgb="FF000000"/>
            <rFont val="Times New Roman"/>
            <family val="18"/>
          </rPr>
          <t>ML 3499 IR 39 (1807) – 18. Fus. Komp. Abgang (Letschau 23/01/1807)</t>
        </r>
        <r>
          <rPr>
            <sz val="14"/>
            <color rgb="FF000000"/>
            <rFont val="Calibri"/>
            <family val="34"/>
          </rPr>
          <t xml:space="preserve">
</t>
        </r>
        <r>
          <rPr>
            <sz val="14"/>
            <color rgb="FF000000"/>
            <rFont val="Times New Roman"/>
            <family val="18"/>
          </rPr>
          <t>ML 3546 IR 39 (1805) – AL Nr. 23 (Sátoraljaújhely 17/10/1805), ST Dez (16/10/1806)</t>
        </r>
        <r>
          <rPr>
            <sz val="14"/>
            <color rgb="FF000000"/>
            <rFont val="Calibri"/>
            <family val="34"/>
          </rPr>
          <t xml:space="preserve">
</t>
        </r>
      </text>
    </comment>
    <comment ref="BH968" authorId="0" shapeId="0" xr:uid="{A707FB60-8EA8-9244-BEC8-023EE6C0E078}">
      <text>
        <r>
          <rPr>
            <sz val="14"/>
            <color rgb="FF000000"/>
            <rFont val="Calibri"/>
            <family val="34"/>
          </rPr>
          <t>IR 39 (1805-1807)</t>
        </r>
      </text>
    </comment>
    <comment ref="BF969" authorId="0" shapeId="0" xr:uid="{96DEC24B-0C7E-C24C-8805-C4C73850A5E2}">
      <text>
        <r>
          <rPr>
            <sz val="14"/>
            <color rgb="FF000000"/>
            <rFont val="Times New Roman"/>
            <family val="18"/>
          </rPr>
          <t>16/10/1805</t>
        </r>
        <r>
          <rPr>
            <i/>
            <sz val="14"/>
            <color rgb="FF000000"/>
            <rFont val="Times New Roman"/>
            <family val="18"/>
          </rPr>
          <t xml:space="preserve"> Als landständischer Recrout für </t>
        </r>
        <r>
          <rPr>
            <sz val="14"/>
            <color rgb="FF000000"/>
            <rFont val="Times New Roman"/>
            <family val="18"/>
          </rPr>
          <t>Ujhely</t>
        </r>
        <r>
          <rPr>
            <b/>
            <sz val="14"/>
            <color rgb="FF000000"/>
            <rFont val="Times New Roman"/>
            <family val="18"/>
          </rPr>
          <t xml:space="preserve"> [</t>
        </r>
        <r>
          <rPr>
            <b/>
            <u/>
            <sz val="14"/>
            <color rgb="FF0563C1"/>
            <rFont val="Times New Roman"/>
            <family val="18"/>
          </rPr>
          <t>Sátoraljaújhely, Hungary</t>
        </r>
        <r>
          <rPr>
            <b/>
            <sz val="14"/>
            <color rgb="FF000000"/>
            <rFont val="Times New Roman"/>
            <family val="18"/>
          </rPr>
          <t>]</t>
        </r>
        <r>
          <rPr>
            <i/>
            <sz val="14"/>
            <color rgb="FF000000"/>
            <rFont val="Times New Roman"/>
            <family val="18"/>
          </rPr>
          <t xml:space="preserve"> Zempliner Komität in gestellt, in Sátoraljaújhely zum IR 39 a 3 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zur 14.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14. Fus. Komp. Nr. 72</t>
        </r>
        <r>
          <rPr>
            <sz val="14"/>
            <color rgb="FF000000"/>
            <rFont val="Calibri"/>
            <family val="34"/>
          </rPr>
          <t xml:space="preserve">
</t>
        </r>
        <r>
          <rPr>
            <sz val="14"/>
            <color rgb="FF000000"/>
            <rFont val="Times New Roman"/>
            <family val="18"/>
          </rPr>
          <t xml:space="preserve">28/02/1807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969" authorId="0" shapeId="0" xr:uid="{0E539E83-0CA2-9D43-865C-DF0E13E54E9B}">
      <text>
        <r>
          <rPr>
            <sz val="14"/>
            <color rgb="FF000000"/>
            <rFont val="Times New Roman"/>
            <family val="18"/>
          </rPr>
          <t>ML 3499 IR 39 (1807) – 14. Fus. Komp. Nr. 72 (Letschau 23/01/1807)</t>
        </r>
        <r>
          <rPr>
            <sz val="14"/>
            <color rgb="FF000000"/>
            <rFont val="Calibri"/>
            <family val="34"/>
          </rPr>
          <t xml:space="preserve">
</t>
        </r>
        <r>
          <rPr>
            <sz val="14"/>
            <color rgb="FF000000"/>
            <rFont val="Times New Roman"/>
            <family val="18"/>
          </rPr>
          <t>ML 3500 IR 39 (1808-10) – RL 1808 5. Fus. Komp. – Abgang (Comorn 19/09/1808)</t>
        </r>
        <r>
          <rPr>
            <sz val="14"/>
            <color rgb="FF000000"/>
            <rFont val="Calibri"/>
            <family val="34"/>
          </rPr>
          <t xml:space="preserve">
</t>
        </r>
        <r>
          <rPr>
            <sz val="14"/>
            <color rgb="FF000000"/>
            <rFont val="Times New Roman"/>
            <family val="18"/>
          </rPr>
          <t>ML 3546 IR 39 (1805) – AL Nr. 117 (Sátoraljaújhely 17/10/1805), ST Nov (Pest 15/10/1806)</t>
        </r>
        <r>
          <rPr>
            <sz val="14"/>
            <color rgb="FF000000"/>
            <rFont val="Calibri"/>
            <family val="34"/>
          </rPr>
          <t xml:space="preserve">
</t>
        </r>
      </text>
    </comment>
    <comment ref="BH969" authorId="0" shapeId="0" xr:uid="{E9F72DE7-7062-BF44-9737-440C01F9B20F}">
      <text>
        <r>
          <rPr>
            <sz val="14"/>
            <color rgb="FF000000"/>
            <rFont val="Calibri"/>
            <family val="34"/>
          </rPr>
          <t>IR 39 (1805-1807)</t>
        </r>
      </text>
    </comment>
    <comment ref="BF970" authorId="0" shapeId="0" xr:uid="{277AAB49-BE9F-F949-9E58-FF1C077947E8}">
      <text>
        <r>
          <rPr>
            <sz val="14"/>
            <color rgb="FF000000"/>
            <rFont val="Times New Roman"/>
            <family val="18"/>
          </rPr>
          <t xml:space="preserve">18/10/1805 </t>
        </r>
        <r>
          <rPr>
            <i/>
            <sz val="14"/>
            <color rgb="FF000000"/>
            <rFont val="Times New Roman"/>
            <family val="18"/>
          </rPr>
          <t>Von Lande a 3Fl gestellt und zum IR 59 Obrist Komp. assentiert</t>
        </r>
        <r>
          <rPr>
            <sz val="14"/>
            <color rgb="FF000000"/>
            <rFont val="Times New Roman"/>
            <family val="18"/>
          </rPr>
          <t xml:space="preserve"> [AL Oct 1805]</t>
        </r>
        <r>
          <rPr>
            <sz val="14"/>
            <color rgb="FF000000"/>
            <rFont val="Calibri"/>
            <family val="34"/>
          </rPr>
          <t xml:space="preserve">
</t>
        </r>
        <r>
          <rPr>
            <sz val="14"/>
            <color rgb="FF000000"/>
            <rFont val="Times New Roman"/>
            <family val="18"/>
          </rPr>
          <t xml:space="preserve">21/01/1806 </t>
        </r>
        <r>
          <rPr>
            <i/>
            <sz val="14"/>
            <color rgb="FF000000"/>
            <rFont val="Times New Roman"/>
            <family val="18"/>
          </rPr>
          <t>Zu Slomnik gestorben</t>
        </r>
        <r>
          <rPr>
            <sz val="14"/>
            <color rgb="FF000000"/>
            <rFont val="Times New Roman"/>
            <family val="18"/>
          </rPr>
          <t xml:space="preserve"> [ML 1806]</t>
        </r>
      </text>
    </comment>
    <comment ref="BG970" authorId="0" shapeId="0" xr:uid="{AF990F6A-051E-EC43-91E5-D42753200AAA}">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9 (Siedlce 31/10/1805)</t>
        </r>
        <r>
          <rPr>
            <sz val="14"/>
            <color rgb="FF000000"/>
            <rFont val="Calibri"/>
            <family val="34"/>
          </rPr>
          <t xml:space="preserve">
</t>
        </r>
      </text>
    </comment>
    <comment ref="BH970" authorId="0" shapeId="0" xr:uid="{7B9B0004-034F-E346-AA93-BBEC2BA6E2E4}">
      <text>
        <r>
          <rPr>
            <sz val="14"/>
            <color rgb="FF000000"/>
            <rFont val="Calibri"/>
            <family val="34"/>
          </rPr>
          <t>IR 59 (1805-1806)</t>
        </r>
      </text>
    </comment>
    <comment ref="BF971" authorId="0" shapeId="0" xr:uid="{171AF93F-63C0-6844-B7D2-67D41B56C283}">
      <text>
        <r>
          <rPr>
            <sz val="14"/>
            <color rgb="FF000000"/>
            <rFont val="Times New Roman"/>
            <family val="18"/>
          </rPr>
          <t xml:space="preserve">??/10/1805 </t>
        </r>
        <r>
          <rPr>
            <i/>
            <sz val="14"/>
            <color rgb="FF000000"/>
            <rFont val="Times New Roman"/>
            <family val="18"/>
          </rPr>
          <t xml:space="preserve">Kriegsgefangenen und auf Parole entlassen </t>
        </r>
        <r>
          <rPr>
            <sz val="14"/>
            <color rgb="FF000000"/>
            <rFont val="Times New Roman"/>
            <family val="18"/>
          </rPr>
          <t>[Schmidl]</t>
        </r>
        <r>
          <rPr>
            <sz val="14"/>
            <color rgb="FF000000"/>
            <rFont val="Calibri"/>
            <family val="34"/>
          </rPr>
          <t xml:space="preserve">
</t>
        </r>
        <r>
          <rPr>
            <sz val="14"/>
            <color rgb="FF000000"/>
            <rFont val="Times New Roman"/>
            <family val="18"/>
          </rPr>
          <t>01/10/1810 Revision: HR 4 ObristLt 2. Esk Nr. 6 [</t>
        </r>
        <r>
          <rPr>
            <i/>
            <sz val="14"/>
            <color rgb="FF000000"/>
            <rFont val="Times New Roman"/>
            <family val="18"/>
          </rPr>
          <t>Supernumeraire OberLt</t>
        </r>
        <r>
          <rPr>
            <sz val="14"/>
            <color rgb="FF000000"/>
            <rFont val="Times New Roman"/>
            <family val="18"/>
          </rPr>
          <t>]</t>
        </r>
        <r>
          <rPr>
            <sz val="14"/>
            <color rgb="FF000000"/>
            <rFont val="Calibri"/>
            <family val="34"/>
          </rPr>
          <t xml:space="preserve">
</t>
        </r>
        <r>
          <rPr>
            <sz val="14"/>
            <color rgb="FF000000"/>
            <rFont val="Times New Roman"/>
            <family val="18"/>
          </rPr>
          <t>31/12/1810 Von ObristLt 2. zum 2. Major 1. Esk transferiert [ML 1811]</t>
        </r>
        <r>
          <rPr>
            <sz val="14"/>
            <color rgb="FF000000"/>
            <rFont val="Calibri"/>
            <family val="34"/>
          </rPr>
          <t xml:space="preserve">
</t>
        </r>
        <r>
          <rPr>
            <sz val="14"/>
            <color rgb="FF000000"/>
            <rFont val="Times New Roman"/>
            <family val="18"/>
          </rPr>
          <t>01/05/1811 Von 2. Major 1. zum 2. Major 2. Esk. transferiert [ML 1811]</t>
        </r>
        <r>
          <rPr>
            <sz val="14"/>
            <color rgb="FF000000"/>
            <rFont val="Calibri"/>
            <family val="34"/>
          </rPr>
          <t xml:space="preserve">
</t>
        </r>
        <r>
          <rPr>
            <sz val="14"/>
            <color rgb="FF000000"/>
            <rFont val="Times New Roman"/>
            <family val="18"/>
          </rPr>
          <t>16/09/1811 Musterung: HR 4 2. Major 2. Esk Nr. 6 [</t>
        </r>
        <r>
          <rPr>
            <i/>
            <sz val="14"/>
            <color rgb="FF000000"/>
            <rFont val="Times New Roman"/>
            <family val="18"/>
          </rPr>
          <t>Supernumeraire OberLt &amp; Ist dessen Nationale sowohl als die Dienstzeit aus Mangel den Assent Lista unbewusst</t>
        </r>
        <r>
          <rPr>
            <sz val="14"/>
            <color rgb="FF000000"/>
            <rFont val="Times New Roman"/>
            <family val="18"/>
          </rPr>
          <t>]</t>
        </r>
        <r>
          <rPr>
            <sz val="14"/>
            <color rgb="FF000000"/>
            <rFont val="Calibri"/>
            <family val="34"/>
          </rPr>
          <t xml:space="preserve">
</t>
        </r>
        <r>
          <rPr>
            <sz val="14"/>
            <color rgb="FF000000"/>
            <rFont val="Times New Roman"/>
            <family val="18"/>
          </rPr>
          <t>10/09/1812 Revision: HR 4 2. Major 1. Esk Nr. 3 [</t>
        </r>
        <r>
          <rPr>
            <i/>
            <sz val="14"/>
            <color rgb="FF000000"/>
            <rFont val="Times New Roman"/>
            <family val="18"/>
          </rPr>
          <t>Präsent</t>
        </r>
        <r>
          <rPr>
            <sz val="14"/>
            <color rgb="FF000000"/>
            <rFont val="Times New Roman"/>
            <family val="18"/>
          </rPr>
          <t>]</t>
        </r>
        <r>
          <rPr>
            <sz val="14"/>
            <color rgb="FF000000"/>
            <rFont val="Calibri"/>
            <family val="34"/>
          </rPr>
          <t xml:space="preserve">
</t>
        </r>
        <r>
          <rPr>
            <sz val="14"/>
            <color rgb="FF000000"/>
            <rFont val="Times New Roman"/>
            <family val="18"/>
          </rPr>
          <t xml:space="preserve">??/12/1813 </t>
        </r>
        <r>
          <rPr>
            <i/>
            <sz val="14"/>
            <color rgb="FF000000"/>
            <rFont val="Times New Roman"/>
            <family val="18"/>
          </rPr>
          <t xml:space="preserve">Vor Feind Geblieben </t>
        </r>
        <r>
          <rPr>
            <sz val="14"/>
            <color rgb="FF000000"/>
            <rFont val="Times New Roman"/>
            <family val="18"/>
          </rPr>
          <t>[Schmidl]</t>
        </r>
        <r>
          <rPr>
            <sz val="14"/>
            <color rgb="FF000000"/>
            <rFont val="Calibri"/>
            <family val="34"/>
          </rPr>
          <t xml:space="preserve">
</t>
        </r>
      </text>
    </comment>
    <comment ref="BG971" authorId="0" shapeId="0" xr:uid="{11FA8733-FDED-0543-8760-0CB8094F2F44}">
      <text>
        <r>
          <rPr>
            <sz val="14"/>
            <color rgb="FF000000"/>
            <rFont val="Calibri"/>
            <family val="34"/>
          </rPr>
          <t xml:space="preserve">ML 3499 IR 39 (1807) – 9. Fus. Komp. Nr. 57 (Kesmark 24/01/1807)
</t>
        </r>
        <r>
          <rPr>
            <sz val="14"/>
            <color rgb="FF000000"/>
            <rFont val="Calibri"/>
            <family val="34"/>
          </rPr>
          <t xml:space="preserve">ML 3500 IR 39 (1808-10) – RL 1808 13. Fus. Komp. – Abgang (Comorn 19/09/1808)
</t>
        </r>
        <r>
          <rPr>
            <sz val="14"/>
            <color rgb="FF000000"/>
            <rFont val="Calibri"/>
            <family val="34"/>
          </rPr>
          <t xml:space="preserve">ML 3546 IR 39 (1805) – AL Nr. 117 (Sátoraljaújhely 17/10/1805), ST Nov (Pest 15/10/1806)
</t>
        </r>
      </text>
    </comment>
    <comment ref="BH971" authorId="0" shapeId="0" xr:uid="{97D346D3-4604-EB42-977F-21D8F94566CC}">
      <text>
        <r>
          <rPr>
            <sz val="14"/>
            <color rgb="FF000000"/>
            <rFont val="Calibri"/>
            <family val="34"/>
          </rPr>
          <t xml:space="preserve">IR 63 (1805)
</t>
        </r>
        <r>
          <rPr>
            <sz val="14"/>
            <color rgb="FF000000"/>
            <rFont val="Calibri"/>
            <family val="34"/>
          </rPr>
          <t>HR 4 (?1810-1813)</t>
        </r>
      </text>
    </comment>
    <comment ref="BF972" authorId="0" shapeId="0" xr:uid="{360FAF13-D2D3-9B4C-825B-4D408A37E9EF}">
      <text>
        <r>
          <rPr>
            <sz val="14"/>
            <color rgb="FF000000"/>
            <rFont val="Times New Roman"/>
            <family val="18"/>
          </rPr>
          <t xml:space="preserve">25/10/1805 </t>
        </r>
        <r>
          <rPr>
            <i/>
            <sz val="14"/>
            <color rgb="FF000000"/>
            <rFont val="Times New Roman"/>
            <family val="18"/>
          </rPr>
          <t>Von Ständen gegen 3 Fl Handgeld mit 10 jährigen Capitulation zum IR 4 gestellt und zum Reserve Bataillon Haupt Remetty 2. Komp. eingeteilt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21/11/1805 </t>
        </r>
        <r>
          <rPr>
            <i/>
            <sz val="14"/>
            <color rgb="FF000000"/>
            <rFont val="Times New Roman"/>
            <family val="18"/>
          </rPr>
          <t xml:space="preserve">Beim Bataillons Linien Geschütz als Handlanger in loco kommandiert </t>
        </r>
        <r>
          <rPr>
            <sz val="14"/>
            <color rgb="FF000000"/>
            <rFont val="Times New Roman"/>
            <family val="18"/>
          </rPr>
          <t>[ST Nov 1805]</t>
        </r>
        <r>
          <rPr>
            <sz val="14"/>
            <color rgb="FF000000"/>
            <rFont val="Calibri"/>
            <family val="34"/>
          </rPr>
          <t xml:space="preserve">
</t>
        </r>
        <r>
          <rPr>
            <sz val="14"/>
            <color rgb="FF000000"/>
            <rFont val="Times New Roman"/>
            <family val="18"/>
          </rPr>
          <t xml:space="preserve">02/12/1805 </t>
        </r>
        <r>
          <rPr>
            <i/>
            <sz val="14"/>
            <color rgb="FF000000"/>
            <rFont val="Times New Roman"/>
            <family val="18"/>
          </rPr>
          <t xml:space="preserve">Bei der </t>
        </r>
        <r>
          <rPr>
            <b/>
            <i/>
            <sz val="14"/>
            <color rgb="FF000000"/>
            <rFont val="Times New Roman"/>
            <family val="18"/>
          </rPr>
          <t>Schlacht von Austerlitz</t>
        </r>
        <r>
          <rPr>
            <i/>
            <sz val="14"/>
            <color rgb="FF000000"/>
            <rFont val="Times New Roman"/>
            <family val="18"/>
          </rPr>
          <t xml:space="preserve"> vermisst </t>
        </r>
        <r>
          <rPr>
            <sz val="14"/>
            <color rgb="FF000000"/>
            <rFont val="Times New Roman"/>
            <family val="18"/>
          </rPr>
          <t>[ST Dec 1805]</t>
        </r>
        <r>
          <rPr>
            <sz val="14"/>
            <color rgb="FF000000"/>
            <rFont val="Calibri"/>
            <family val="34"/>
          </rPr>
          <t xml:space="preserve">
</t>
        </r>
        <r>
          <rPr>
            <sz val="14"/>
            <color rgb="FF000000"/>
            <rFont val="Times New Roman"/>
            <family val="18"/>
          </rPr>
          <t xml:space="preserve">16/02/1806 </t>
        </r>
        <r>
          <rPr>
            <i/>
            <sz val="14"/>
            <color rgb="FF000000"/>
            <rFont val="Times New Roman"/>
            <family val="18"/>
          </rPr>
          <t>Zu Proßnitz als selbst ranzionierte präsentiert</t>
        </r>
        <r>
          <rPr>
            <sz val="14"/>
            <color rgb="FF000000"/>
            <rFont val="Times New Roman"/>
            <family val="18"/>
          </rPr>
          <t xml:space="preserve"> [ST Feb 1806]</t>
        </r>
        <r>
          <rPr>
            <sz val="14"/>
            <color rgb="FF000000"/>
            <rFont val="Calibri"/>
            <family val="34"/>
          </rPr>
          <t xml:space="preserve">
</t>
        </r>
        <r>
          <rPr>
            <sz val="14"/>
            <color rgb="FF000000"/>
            <rFont val="Times New Roman"/>
            <family val="18"/>
          </rPr>
          <t xml:space="preserve">16/03/1806 </t>
        </r>
        <r>
          <rPr>
            <i/>
            <sz val="14"/>
            <color rgb="FF000000"/>
            <rFont val="Times New Roman"/>
            <family val="18"/>
          </rPr>
          <t>Von dissolvierte 18. Zum 6.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13/04/1806 </t>
        </r>
        <r>
          <rPr>
            <i/>
            <sz val="14"/>
            <color rgb="FF000000"/>
            <rFont val="Times New Roman"/>
            <family val="18"/>
          </rPr>
          <t>Von 5.-tägige Urlaub desertiert</t>
        </r>
        <r>
          <rPr>
            <sz val="14"/>
            <color rgb="FF000000"/>
            <rFont val="Times New Roman"/>
            <family val="18"/>
          </rPr>
          <t xml:space="preserve"> [ML 1806]</t>
        </r>
      </text>
    </comment>
    <comment ref="BG972" authorId="0" shapeId="0" xr:uid="{07C03CDA-E405-0D40-B59E-9321AD26D9FB}">
      <text>
        <r>
          <rPr>
            <sz val="14"/>
            <color rgb="FF000000"/>
            <rFont val="Times New Roman"/>
            <family val="18"/>
          </rPr>
          <t>ML 31/2 IR 1 (1806) – Haupt Hardy Komp. Abgang (Brünn 15/12/1806)</t>
        </r>
        <r>
          <rPr>
            <sz val="14"/>
            <color rgb="FF000000"/>
            <rFont val="Calibri"/>
            <family val="34"/>
          </rPr>
          <t xml:space="preserve">
</t>
        </r>
        <r>
          <rPr>
            <sz val="14"/>
            <color rgb="FF000000"/>
            <rFont val="Times New Roman"/>
            <family val="18"/>
          </rPr>
          <t>ML 83 IR 1 (1805) – ST Nov (Brünn 12/09/1806), Dec (1806)</t>
        </r>
        <r>
          <rPr>
            <sz val="14"/>
            <color rgb="FF000000"/>
            <rFont val="Calibri"/>
            <family val="34"/>
          </rPr>
          <t xml:space="preserve">
</t>
        </r>
        <r>
          <rPr>
            <sz val="14"/>
            <color rgb="FF000000"/>
            <rFont val="Times New Roman"/>
            <family val="18"/>
          </rPr>
          <t>ML 84 IR 1 (1805) – AL Nr. 43 (Olmütz 26/10/1805)</t>
        </r>
        <r>
          <rPr>
            <sz val="14"/>
            <color rgb="FF000000"/>
            <rFont val="Calibri"/>
            <family val="34"/>
          </rPr>
          <t xml:space="preserve">
</t>
        </r>
        <r>
          <rPr>
            <sz val="14"/>
            <color rgb="FF000000"/>
            <rFont val="Times New Roman"/>
            <family val="18"/>
          </rPr>
          <t>ML 85 IR 1 (1806) – ST Feb (Brünn 31/12/1806)</t>
        </r>
        <r>
          <rPr>
            <sz val="14"/>
            <color rgb="FF000000"/>
            <rFont val="Calibri"/>
            <family val="34"/>
          </rPr>
          <t xml:space="preserve">
</t>
        </r>
      </text>
    </comment>
    <comment ref="BH972" authorId="0" shapeId="0" xr:uid="{1B8E2BEC-7A57-3A44-9A8E-9CA3CC06E99B}">
      <text>
        <r>
          <rPr>
            <sz val="14"/>
            <color rgb="FF000000"/>
            <rFont val="Calibri"/>
            <family val="34"/>
          </rPr>
          <t>IR 1 (1805-1806)</t>
        </r>
      </text>
    </comment>
    <comment ref="BF973" authorId="0" shapeId="0" xr:uid="{F680458A-6DAE-6C41-906F-8EB0D8F2A67E}">
      <text>
        <r>
          <rPr>
            <sz val="14"/>
            <color rgb="FF000000"/>
            <rFont val="Times New Roman"/>
            <family val="18"/>
          </rPr>
          <t xml:space="preserve"> c. 11/1805 </t>
        </r>
        <r>
          <rPr>
            <i/>
            <sz val="14"/>
            <color rgb="FF000000"/>
            <rFont val="Times New Roman"/>
            <family val="18"/>
          </rPr>
          <t>Mit 10 Jährigen Capitulation zum IR 30 assentiert</t>
        </r>
        <r>
          <rPr>
            <sz val="14"/>
            <color rgb="FF000000"/>
            <rFont val="Times New Roman"/>
            <family val="18"/>
          </rPr>
          <t xml:space="preserve"> [SUP May 1806]</t>
        </r>
        <r>
          <rPr>
            <sz val="14"/>
            <color rgb="FF000000"/>
            <rFont val="Calibri"/>
            <family val="34"/>
          </rPr>
          <t xml:space="preserve">
</t>
        </r>
        <r>
          <rPr>
            <sz val="14"/>
            <color rgb="FF000000"/>
            <rFont val="Times New Roman"/>
            <family val="18"/>
          </rPr>
          <t xml:space="preserve">29/05/1806 Als Angehöriger von IR 30 Gerstbacher Komp Superarbietriert: </t>
        </r>
        <r>
          <rPr>
            <i/>
            <sz val="14"/>
            <color rgb="FF000000"/>
            <rFont val="Times New Roman"/>
            <family val="18"/>
          </rPr>
          <t>Untauglich mit Laufpass ohne Ersatz der Unkosten zu entlassen</t>
        </r>
        <r>
          <rPr>
            <sz val="14"/>
            <color rgb="FF000000"/>
            <rFont val="Times New Roman"/>
            <family val="18"/>
          </rPr>
          <t xml:space="preserve"> [SUP May 1806]</t>
        </r>
      </text>
    </comment>
    <comment ref="BG973" authorId="0" shapeId="0" xr:uid="{0B4D9C0F-CDAF-8341-AF82-986629C3DCA8}">
      <text>
        <r>
          <rPr>
            <sz val="14"/>
            <color rgb="FF000000"/>
            <rFont val="Times New Roman"/>
            <family val="18"/>
          </rPr>
          <t>ML 86 IR 1 (1806) – SUP Nr. 1 (Lemberg 29/05/1806)</t>
        </r>
        <r>
          <rPr>
            <sz val="14"/>
            <color rgb="FF000000"/>
            <rFont val="Calibri"/>
            <family val="34"/>
          </rPr>
          <t xml:space="preserve">
</t>
        </r>
      </text>
    </comment>
    <comment ref="BH973" authorId="0" shapeId="0" xr:uid="{5D762A37-9792-DF45-832A-3FEA6918EBE1}">
      <text>
        <r>
          <rPr>
            <sz val="14"/>
            <color rgb="FF000000"/>
            <rFont val="Calibri"/>
            <family val="34"/>
          </rPr>
          <t>IR 30 (1805-1806)</t>
        </r>
      </text>
    </comment>
    <comment ref="BF974" authorId="0" shapeId="0" xr:uid="{85A4A511-BE80-A74F-A344-99A4B3BFB1B3}">
      <text>
        <r>
          <rPr>
            <sz val="14"/>
            <color rgb="FF000000"/>
            <rFont val="Times New Roman"/>
            <family val="18"/>
          </rPr>
          <t xml:space="preserve">26/10/1805 </t>
        </r>
        <r>
          <rPr>
            <i/>
            <sz val="14"/>
            <color rgb="FF000000"/>
            <rFont val="Times New Roman"/>
            <family val="18"/>
          </rPr>
          <t>In loco</t>
        </r>
        <r>
          <rPr>
            <sz val="14"/>
            <color rgb="FF000000"/>
            <rFont val="Times New Roman"/>
            <family val="18"/>
          </rPr>
          <t xml:space="preserve"> </t>
        </r>
        <r>
          <rPr>
            <b/>
            <sz val="14"/>
            <color rgb="FF000000"/>
            <rFont val="Times New Roman"/>
            <family val="18"/>
          </rPr>
          <t>[Troppau]</t>
        </r>
        <r>
          <rPr>
            <sz val="14"/>
            <color rgb="FF000000"/>
            <rFont val="Times New Roman"/>
            <family val="18"/>
          </rPr>
          <t xml:space="preserve"> </t>
        </r>
        <r>
          <rPr>
            <i/>
            <sz val="14"/>
            <color rgb="FF000000"/>
            <rFont val="Times New Roman"/>
            <family val="18"/>
          </rPr>
          <t>A 3Fl Handgeld zum 19. Fus von 6. Bat von IR 20 a 3Fl Handgeld mit 10-Jähriger Kapitulation gestellt</t>
        </r>
        <r>
          <rPr>
            <sz val="14"/>
            <color rgb="FF000000"/>
            <rFont val="Times New Roman"/>
            <family val="18"/>
          </rPr>
          <t xml:space="preserve"> [AL Oct 1805]
</t>
        </r>
        <r>
          <rPr>
            <sz val="14"/>
            <color rgb="FF000000"/>
            <rFont val="Times New Roman"/>
            <family val="18"/>
          </rPr>
          <t xml:space="preserve">02/12/1805 </t>
        </r>
        <r>
          <rPr>
            <i/>
            <sz val="14"/>
            <color rgb="FF000000"/>
            <rFont val="Times New Roman"/>
            <family val="18"/>
          </rPr>
          <t xml:space="preserve">Bey der </t>
        </r>
        <r>
          <rPr>
            <b/>
            <sz val="14"/>
            <color rgb="FF000000"/>
            <rFont val="Times New Roman"/>
            <family val="18"/>
          </rPr>
          <t>Affaire bei Austerlitz</t>
        </r>
        <r>
          <rPr>
            <i/>
            <sz val="14"/>
            <color rgb="FF000000"/>
            <rFont val="Times New Roman"/>
            <family val="18"/>
          </rPr>
          <t xml:space="preserve"> in der Kriegsgefangenschaft gefallen</t>
        </r>
        <r>
          <rPr>
            <sz val="14"/>
            <color rgb="FF000000"/>
            <rFont val="Times New Roman"/>
            <family val="18"/>
          </rPr>
          <t xml:space="preserve"> [ML 1806]
</t>
        </r>
        <r>
          <rPr>
            <sz val="14"/>
            <color rgb="FF000000"/>
            <rFont val="Times New Roman"/>
            <family val="18"/>
          </rPr>
          <t xml:space="preserve">19/12/1805 </t>
        </r>
        <r>
          <rPr>
            <i/>
            <sz val="14"/>
            <color rgb="FF000000"/>
            <rFont val="Times New Roman"/>
            <family val="18"/>
          </rPr>
          <t>Von Kriegsgefangenschaft selbst ranzioniert und zu Troppau präsentiert</t>
        </r>
        <r>
          <rPr>
            <sz val="14"/>
            <color rgb="FF000000"/>
            <rFont val="Times New Roman"/>
            <family val="18"/>
          </rPr>
          <t xml:space="preserve"> [ML 1806]
</t>
        </r>
        <r>
          <rPr>
            <sz val="14"/>
            <color rgb="FF000000"/>
            <rFont val="Times New Roman"/>
            <family val="18"/>
          </rPr>
          <t xml:space="preserve">03/01/1806 </t>
        </r>
        <r>
          <rPr>
            <i/>
            <sz val="14"/>
            <color rgb="FF000000"/>
            <rFont val="Times New Roman"/>
            <family val="18"/>
          </rPr>
          <t>Von 19. zum 15. Fus. Komp. transferiert</t>
        </r>
        <r>
          <rPr>
            <sz val="14"/>
            <color rgb="FF000000"/>
            <rFont val="Times New Roman"/>
            <family val="18"/>
          </rPr>
          <t xml:space="preserve"> [ML 1806]
</t>
        </r>
        <r>
          <rPr>
            <sz val="14"/>
            <color rgb="FF000000"/>
            <rFont val="Times New Roman"/>
            <family val="18"/>
          </rPr>
          <t xml:space="preserve">03/06/1806 </t>
        </r>
        <r>
          <rPr>
            <i/>
            <sz val="14"/>
            <color rgb="FF000000"/>
            <rFont val="Times New Roman"/>
            <family val="18"/>
          </rPr>
          <t>In loco Desertiert</t>
        </r>
        <r>
          <rPr>
            <sz val="14"/>
            <color rgb="FF000000"/>
            <rFont val="Times New Roman"/>
            <family val="18"/>
          </rPr>
          <t xml:space="preserve"> [ML 1806]
</t>
        </r>
      </text>
    </comment>
    <comment ref="BG974" authorId="0" shapeId="0" xr:uid="{FB76C7EF-92C6-DE40-8A12-3C0F7737C201}">
      <text>
        <r>
          <rPr>
            <sz val="14"/>
            <color rgb="FF000000"/>
            <rFont val="Times New Roman"/>
            <family val="18"/>
          </rPr>
          <t xml:space="preserve">ML 1623-5 IR 20 (1806) –15. Fus. und 19. Komp. (Olmütz 15/12/1806)
</t>
        </r>
        <r>
          <rPr>
            <sz val="14"/>
            <color rgb="FF000000"/>
            <rFont val="Times New Roman"/>
            <family val="18"/>
          </rPr>
          <t xml:space="preserve">ML 1659 IR 20 (1805) – AL Nr. 250 (Troppau 30/10/1805)
</t>
        </r>
      </text>
    </comment>
    <comment ref="BH974" authorId="0" shapeId="0" xr:uid="{3AF70A86-72E4-E641-A216-CD4F69E55E64}">
      <text>
        <r>
          <rPr>
            <sz val="14"/>
            <color rgb="FF000000"/>
            <rFont val="Calibri"/>
            <family val="34"/>
          </rPr>
          <t>IR 20 (1805-1806)</t>
        </r>
      </text>
    </comment>
    <comment ref="BF975" authorId="0" shapeId="0" xr:uid="{93F64495-73E8-764A-8944-920B500E987C}">
      <text>
        <r>
          <rPr>
            <sz val="14"/>
            <color rgb="FF000000"/>
            <rFont val="Times New Roman"/>
            <family val="18"/>
          </rPr>
          <t xml:space="preserve">01/11/1805 </t>
        </r>
        <r>
          <rPr>
            <i/>
            <sz val="14"/>
            <color rgb="FF000000"/>
            <rFont val="Times New Roman"/>
            <family val="18"/>
          </rPr>
          <t>Gegen 3 Fl Handgeld und 10-Jahriger Capitulation zum IR 1 assentiert und zum 3. Fus.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11/11/1805 Superarbietriert: </t>
        </r>
        <r>
          <rPr>
            <i/>
            <sz val="14"/>
            <color rgb="FF000000"/>
            <rFont val="Times New Roman"/>
            <family val="18"/>
          </rPr>
          <t>Mit Laufpaß gegen Unkosten ersetzten</t>
        </r>
        <r>
          <rPr>
            <sz val="14"/>
            <color rgb="FF000000"/>
            <rFont val="Times New Roman"/>
            <family val="18"/>
          </rPr>
          <t xml:space="preserve"> [SUP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In folge hoher General Commando Verordnung dd. Brünn 20 Marz 806 Litt R.N. 1783 gegen Ersatz von Unkosten mit Laufpaß entlassen</t>
        </r>
        <r>
          <rPr>
            <sz val="14"/>
            <color rgb="FF000000"/>
            <rFont val="Times New Roman"/>
            <family val="18"/>
          </rPr>
          <t xml:space="preserve"> [ML 1806]  </t>
        </r>
        <r>
          <rPr>
            <sz val="14"/>
            <color rgb="FF000000"/>
            <rFont val="Calibri"/>
            <family val="34"/>
          </rPr>
          <t xml:space="preserve">
</t>
        </r>
      </text>
    </comment>
    <comment ref="BG975" authorId="0" shapeId="0" xr:uid="{0CB86786-B829-CD4C-88C5-3C1646157172}">
      <text>
        <r>
          <rPr>
            <sz val="14"/>
            <color rgb="FF000000"/>
            <rFont val="Times New Roman"/>
            <family val="18"/>
          </rPr>
          <t>ML 31/2 IR 1 (1806) – Haupt Galler Komp. Abgang (Proßnitz 17/12/1806)</t>
        </r>
        <r>
          <rPr>
            <sz val="14"/>
            <color rgb="FF000000"/>
            <rFont val="Calibri"/>
            <family val="34"/>
          </rPr>
          <t xml:space="preserve">
</t>
        </r>
        <r>
          <rPr>
            <sz val="14"/>
            <color rgb="FF000000"/>
            <rFont val="Times New Roman"/>
            <family val="18"/>
          </rPr>
          <t>ML 86 IR 1 (1806) – AL Nr. 1 (Weiskirchen 01/11/1805), SUP Nr. 1 (Olmütz 11/11/1805)</t>
        </r>
        <r>
          <rPr>
            <sz val="14"/>
            <color rgb="FF000000"/>
            <rFont val="Calibri"/>
            <family val="34"/>
          </rPr>
          <t xml:space="preserve">
</t>
        </r>
      </text>
    </comment>
    <comment ref="BH975" authorId="0" shapeId="0" xr:uid="{94FF00A8-2DEA-644E-B175-1B828C6A22CD}">
      <text>
        <r>
          <rPr>
            <sz val="14"/>
            <color rgb="FF000000"/>
            <rFont val="Calibri"/>
            <family val="34"/>
          </rPr>
          <t>IR 1 (1805-1806)</t>
        </r>
      </text>
    </comment>
    <comment ref="BJ975" authorId="0" shapeId="0" xr:uid="{DFB77840-5B12-A146-A268-F990E53D69A9}">
      <text>
        <r>
          <rPr>
            <i/>
            <sz val="14"/>
            <color rgb="FF000000"/>
            <rFont val="Times New Roman"/>
            <family val="18"/>
          </rPr>
          <t xml:space="preserve">Übergestülpte Brust und Blut Brüchen und Taub auf dem liken Ohr von einem Geschwür </t>
        </r>
        <r>
          <rPr>
            <sz val="14"/>
            <color rgb="FF000000"/>
            <rFont val="Times New Roman"/>
            <family val="18"/>
          </rPr>
          <t>[SUP Nov 1805]</t>
        </r>
        <r>
          <rPr>
            <sz val="14"/>
            <color rgb="FF000000"/>
            <rFont val="Calibri"/>
            <family val="2"/>
          </rPr>
          <t xml:space="preserve"> </t>
        </r>
      </text>
    </comment>
    <comment ref="BF976" authorId="0" shapeId="0" xr:uid="{2B3F9649-2294-D04F-B1AB-4F35C805C870}">
      <text>
        <r>
          <rPr>
            <sz val="14"/>
            <color rgb="FF000000"/>
            <rFont val="Times New Roman"/>
            <family val="18"/>
          </rPr>
          <t xml:space="preserve">08/11/1805 </t>
        </r>
        <r>
          <rPr>
            <i/>
            <sz val="14"/>
            <color rgb="FF000000"/>
            <rFont val="Times New Roman"/>
            <family val="18"/>
          </rPr>
          <t xml:space="preserve">Dient Seit </t>
        </r>
        <r>
          <rPr>
            <sz val="14"/>
            <color rgb="FF000000"/>
            <rFont val="Times New Roman"/>
            <family val="18"/>
          </rPr>
          <t xml:space="preserve">[ML 1806]
</t>
        </r>
        <r>
          <rPr>
            <sz val="14"/>
            <color rgb="FF000000"/>
            <rFont val="Times New Roman"/>
            <family val="18"/>
          </rPr>
          <t xml:space="preserve">01/04/1806 </t>
        </r>
        <r>
          <rPr>
            <i/>
            <sz val="14"/>
            <color rgb="FF000000"/>
            <rFont val="Times New Roman"/>
            <family val="18"/>
          </rPr>
          <t xml:space="preserve">Von 2. Reserve zum 12. Fus. Komp. transferiert </t>
        </r>
        <r>
          <rPr>
            <sz val="14"/>
            <color rgb="FF000000"/>
            <rFont val="Times New Roman"/>
            <family val="18"/>
          </rPr>
          <t xml:space="preserve">[ML 1806]
</t>
        </r>
        <r>
          <rPr>
            <sz val="14"/>
            <color rgb="FF000000"/>
            <rFont val="Times New Roman"/>
            <family val="18"/>
          </rPr>
          <t>23/12/1806 Muster: IR 11 12. Fus. Komp. Nr. 93 [</t>
        </r>
        <r>
          <rPr>
            <i/>
            <sz val="14"/>
            <color rgb="FF000000"/>
            <rFont val="Times New Roman"/>
            <family val="18"/>
          </rPr>
          <t>Beurlaubt in Geburtsort bis zur Einberufung</t>
        </r>
        <r>
          <rPr>
            <sz val="14"/>
            <color rgb="FF000000"/>
            <rFont val="Times New Roman"/>
            <family val="18"/>
          </rPr>
          <t xml:space="preserve">]
</t>
        </r>
      </text>
    </comment>
    <comment ref="BG976" authorId="0" shapeId="0" xr:uid="{502AB23E-FC1E-2E42-B2B9-D019DF396F5E}">
      <text>
        <r>
          <rPr>
            <sz val="14"/>
            <color rgb="FF000000"/>
            <rFont val="Times New Roman"/>
            <family val="18"/>
          </rPr>
          <t>ML 807/8 IR 11 (1806) – 12. Fus. Komp. Nr. 93 (Prague 23/12/1806)</t>
        </r>
        <r>
          <rPr>
            <sz val="14"/>
            <color rgb="FF000000"/>
            <rFont val="Times New Roman"/>
            <family val="18"/>
          </rPr>
          <t xml:space="preserve">
</t>
        </r>
      </text>
    </comment>
    <comment ref="BH976" authorId="0" shapeId="0" xr:uid="{F95B1F24-E5E4-934F-81FF-1C5A540EBAE0}">
      <text>
        <r>
          <rPr>
            <sz val="14"/>
            <color rgb="FF000000"/>
            <rFont val="Calibri"/>
            <family val="34"/>
          </rPr>
          <t>IR 11 (1805-1806)</t>
        </r>
      </text>
    </comment>
    <comment ref="BF977" authorId="0" shapeId="0" xr:uid="{DE15EF06-BEB0-A449-BED6-88AE3B9217BB}">
      <text>
        <r>
          <rPr>
            <sz val="14"/>
            <color rgb="FF000000"/>
            <rFont val="Times New Roman"/>
            <family val="18"/>
          </rPr>
          <t xml:space="preserve">14/11/1805 </t>
        </r>
        <r>
          <rPr>
            <i/>
            <sz val="14"/>
            <color rgb="FF000000"/>
            <rFont val="Times New Roman"/>
            <family val="18"/>
          </rPr>
          <t>Gegen 3Fl Handgeld zu Stry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05/09/1811 Muster: IR 7 11 Fus. Komp. Nr. 87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text>
    </comment>
    <comment ref="BG977" authorId="0" shapeId="0" xr:uid="{EB42B43D-F8A4-9A4E-B67C-6C3EA436EA1F}">
      <text>
        <r>
          <rPr>
            <sz val="14"/>
            <color rgb="FF000000"/>
            <rFont val="Times New Roman"/>
            <family val="18"/>
          </rPr>
          <t>ML 465 IR 7 (1811) – 11. Fus. Komp. Nr. 87 (Weiskirchen 05/09/1811)</t>
        </r>
        <r>
          <rPr>
            <sz val="14"/>
            <color rgb="FF000000"/>
            <rFont val="Calibri"/>
            <family val="34"/>
          </rPr>
          <t xml:space="preserve">
</t>
        </r>
      </text>
    </comment>
    <comment ref="BH977" authorId="0" shapeId="0" xr:uid="{AC9C1189-CC1D-B54F-A736-DF30C2A7BF73}">
      <text>
        <r>
          <rPr>
            <sz val="14"/>
            <color rgb="FF000000"/>
            <rFont val="Calibri"/>
            <family val="34"/>
          </rPr>
          <t>IR 7 (1805-1811)</t>
        </r>
      </text>
    </comment>
    <comment ref="BF978" authorId="0" shapeId="0" xr:uid="{7CBA61F3-5CD0-5B4E-B7E0-12084A064175}">
      <text>
        <r>
          <rPr>
            <sz val="14"/>
            <color rgb="FF000000"/>
            <rFont val="Times New Roman"/>
            <family val="18"/>
          </rPr>
          <t xml:space="preserve">15/11/1805 </t>
        </r>
        <r>
          <rPr>
            <i/>
            <sz val="14"/>
            <color rgb="FF000000"/>
            <rFont val="Times New Roman"/>
            <family val="18"/>
          </rPr>
          <t>Für Lublin von Land gestellt</t>
        </r>
        <r>
          <rPr>
            <sz val="14"/>
            <color rgb="FF000000"/>
            <rFont val="Times New Roman"/>
            <family val="18"/>
          </rPr>
          <t xml:space="preserve"> [ML 1806 &amp; SUP Aug 1807]</t>
        </r>
        <r>
          <rPr>
            <sz val="14"/>
            <color rgb="FF000000"/>
            <rFont val="Calibri"/>
            <family val="34"/>
          </rPr>
          <t xml:space="preserve">
</t>
        </r>
        <r>
          <rPr>
            <sz val="14"/>
            <color rgb="FF000000"/>
            <rFont val="Times New Roman"/>
            <family val="18"/>
          </rPr>
          <t>22/12/1806 Muster: IR 55 12. Fus. Komp. Nr. 37</t>
        </r>
        <r>
          <rPr>
            <sz val="14"/>
            <color rgb="FF000000"/>
            <rFont val="Calibri"/>
            <family val="34"/>
          </rPr>
          <t xml:space="preserve">
</t>
        </r>
        <r>
          <rPr>
            <sz val="14"/>
            <color rgb="FF000000"/>
            <rFont val="Times New Roman"/>
            <family val="18"/>
          </rPr>
          <t xml:space="preserve">16/02/1807 </t>
        </r>
        <r>
          <rPr>
            <i/>
            <sz val="14"/>
            <color rgb="FF000000"/>
            <rFont val="Times New Roman"/>
            <family val="18"/>
          </rPr>
          <t>Von 12. Fus zum 1. Gren. Komp transferiert und zum Privat Diener fur UnterLt. Martial Conde mutiert</t>
        </r>
        <r>
          <rPr>
            <sz val="14"/>
            <color rgb="FF000000"/>
            <rFont val="Times New Roman"/>
            <family val="18"/>
          </rPr>
          <t xml:space="preserve"> [ST Feb 1807]</t>
        </r>
        <r>
          <rPr>
            <sz val="14"/>
            <color rgb="FF000000"/>
            <rFont val="Calibri"/>
            <family val="34"/>
          </rPr>
          <t xml:space="preserve">
</t>
        </r>
        <r>
          <rPr>
            <sz val="14"/>
            <color rgb="FF000000"/>
            <rFont val="Times New Roman"/>
            <family val="18"/>
          </rPr>
          <t xml:space="preserve">20/07/1807 </t>
        </r>
        <r>
          <rPr>
            <i/>
            <sz val="14"/>
            <color rgb="FF000000"/>
            <rFont val="Times New Roman"/>
            <family val="18"/>
          </rPr>
          <t>In Arrest</t>
        </r>
        <r>
          <rPr>
            <sz val="14"/>
            <color rgb="FF000000"/>
            <rFont val="Times New Roman"/>
            <family val="18"/>
          </rPr>
          <t xml:space="preserve"> [ST Juli 1807]</t>
        </r>
        <r>
          <rPr>
            <sz val="14"/>
            <color rgb="FF000000"/>
            <rFont val="Calibri"/>
            <family val="34"/>
          </rPr>
          <t xml:space="preserve">
</t>
        </r>
        <r>
          <rPr>
            <sz val="14"/>
            <color rgb="FF000000"/>
            <rFont val="Times New Roman"/>
            <family val="18"/>
          </rPr>
          <t xml:space="preserve">22/07/1807 </t>
        </r>
        <r>
          <rPr>
            <i/>
            <sz val="14"/>
            <color rgb="FF000000"/>
            <rFont val="Times New Roman"/>
            <family val="18"/>
          </rPr>
          <t>Befreit</t>
        </r>
        <r>
          <rPr>
            <sz val="14"/>
            <color rgb="FF000000"/>
            <rFont val="Times New Roman"/>
            <family val="18"/>
          </rPr>
          <t xml:space="preserve"> [ST Juli]]</t>
        </r>
        <r>
          <rPr>
            <sz val="14"/>
            <color rgb="FF000000"/>
            <rFont val="Calibri"/>
            <family val="34"/>
          </rPr>
          <t xml:space="preserve">
</t>
        </r>
        <r>
          <rPr>
            <sz val="14"/>
            <color rgb="FF000000"/>
            <rFont val="Times New Roman"/>
            <family val="18"/>
          </rPr>
          <t xml:space="preserve">24/08/1807 </t>
        </r>
        <r>
          <rPr>
            <i/>
            <sz val="14"/>
            <color rgb="FF000000"/>
            <rFont val="Times New Roman"/>
            <family val="18"/>
          </rPr>
          <t>Krank in Regiment Spital</t>
        </r>
        <r>
          <rPr>
            <sz val="14"/>
            <color rgb="FF000000"/>
            <rFont val="Times New Roman"/>
            <family val="18"/>
          </rPr>
          <t xml:space="preserve"> [Juli 1807]</t>
        </r>
        <r>
          <rPr>
            <sz val="14"/>
            <color rgb="FF000000"/>
            <rFont val="Calibri"/>
            <family val="34"/>
          </rPr>
          <t xml:space="preserve">
</t>
        </r>
        <r>
          <rPr>
            <sz val="14"/>
            <color rgb="FF000000"/>
            <rFont val="Times New Roman"/>
            <family val="18"/>
          </rPr>
          <t xml:space="preserve">01/08/1807 </t>
        </r>
        <r>
          <rPr>
            <i/>
            <sz val="14"/>
            <color rgb="FF000000"/>
            <rFont val="Times New Roman"/>
            <family val="18"/>
          </rPr>
          <t>Wieder in Arrest</t>
        </r>
        <r>
          <rPr>
            <sz val="14"/>
            <color rgb="FF000000"/>
            <rFont val="Times New Roman"/>
            <family val="18"/>
          </rPr>
          <t xml:space="preserve"> [Aug 1807]</t>
        </r>
        <r>
          <rPr>
            <sz val="14"/>
            <color rgb="FF000000"/>
            <rFont val="Calibri"/>
            <family val="34"/>
          </rPr>
          <t xml:space="preserve">
</t>
        </r>
        <r>
          <rPr>
            <sz val="14"/>
            <color rgb="FF000000"/>
            <rFont val="Times New Roman"/>
            <family val="18"/>
          </rPr>
          <t xml:space="preserve">05/08/1807 </t>
        </r>
        <r>
          <rPr>
            <i/>
            <sz val="14"/>
            <color rgb="FF000000"/>
            <rFont val="Times New Roman"/>
            <family val="18"/>
          </rPr>
          <t>Rekonvalesziert</t>
        </r>
        <r>
          <rPr>
            <sz val="14"/>
            <color rgb="FF000000"/>
            <rFont val="Times New Roman"/>
            <family val="18"/>
          </rPr>
          <t xml:space="preserve"> [ST Aug 1807]</t>
        </r>
        <r>
          <rPr>
            <sz val="14"/>
            <color rgb="FF000000"/>
            <rFont val="Calibri"/>
            <family val="34"/>
          </rPr>
          <t xml:space="preserve">
</t>
        </r>
        <r>
          <rPr>
            <sz val="14"/>
            <color rgb="FF000000"/>
            <rFont val="Times New Roman"/>
            <family val="18"/>
          </rPr>
          <t>14/08/1807 Superarbeitrung: Defekt – Leistenbruch; In Garnison Regiment zu transferieren [SUP Aug 1807]</t>
        </r>
        <r>
          <rPr>
            <sz val="14"/>
            <color rgb="FF000000"/>
            <rFont val="Calibri"/>
            <family val="34"/>
          </rPr>
          <t xml:space="preserve">
</t>
        </r>
        <r>
          <rPr>
            <sz val="14"/>
            <color rgb="FF000000"/>
            <rFont val="Times New Roman"/>
            <family val="18"/>
          </rPr>
          <t xml:space="preserve">25/08/1807 </t>
        </r>
        <r>
          <rPr>
            <i/>
            <sz val="14"/>
            <color rgb="FF000000"/>
            <rFont val="Times New Roman"/>
            <family val="18"/>
          </rPr>
          <t>Befreit von Arrest und zum 2. Garnison Regiment Nr. 6 in Folge Hohe Superarbeitrierung ddt. Crakau en 14 August 807 transferiert</t>
        </r>
        <r>
          <rPr>
            <sz val="14"/>
            <color rgb="FF000000"/>
            <rFont val="Times New Roman"/>
            <family val="18"/>
          </rPr>
          <t xml:space="preserve"> [ST Aug 1807]</t>
        </r>
        <r>
          <rPr>
            <sz val="14"/>
            <color rgb="FF000000"/>
            <rFont val="Calibri"/>
            <family val="34"/>
          </rPr>
          <t xml:space="preserve">
</t>
        </r>
      </text>
    </comment>
    <comment ref="BG978" authorId="0" shapeId="0" xr:uid="{A33D9179-B86B-DE4A-9571-2CB6E7655782}">
      <text>
        <r>
          <rPr>
            <sz val="14"/>
            <color rgb="FF000000"/>
            <rFont val="Times New Roman"/>
            <family val="18"/>
          </rPr>
          <t>ML 10.562 IR 55 (1806): 12. Fus. Komp. Nr. 37 (Krakow 22/12/1806)</t>
        </r>
        <r>
          <rPr>
            <sz val="14"/>
            <color rgb="FF000000"/>
            <rFont val="Calibri"/>
            <family val="34"/>
          </rPr>
          <t xml:space="preserve">
</t>
        </r>
        <r>
          <rPr>
            <sz val="14"/>
            <color rgb="FF000000"/>
            <rFont val="Times New Roman"/>
            <family val="18"/>
          </rPr>
          <t>ML 10.697 IR 55 (1807): SUP Nr. 1 (Krakow 14/08/1807); Februar (26/04/1807); Juli (Krakow 30/08/1807); August (Krakow 30/09/1807)</t>
        </r>
        <r>
          <rPr>
            <sz val="14"/>
            <color rgb="FF000000"/>
            <rFont val="Calibri"/>
            <family val="34"/>
          </rPr>
          <t xml:space="preserve">
</t>
        </r>
      </text>
    </comment>
    <comment ref="BH978" authorId="0" shapeId="0" xr:uid="{11377293-B608-F54A-96AB-009680A7D9F2}">
      <text>
        <r>
          <rPr>
            <sz val="14"/>
            <color rgb="FF000000"/>
            <rFont val="Calibri"/>
            <family val="34"/>
          </rPr>
          <t xml:space="preserve">IR 55 (1805-1807)
</t>
        </r>
        <r>
          <rPr>
            <sz val="14"/>
            <color rgb="FF000000"/>
            <rFont val="Calibri"/>
            <family val="34"/>
          </rPr>
          <t>GR 2 (1807)</t>
        </r>
      </text>
    </comment>
    <comment ref="BJ978" authorId="0" shapeId="0" xr:uid="{B01BF23E-5DB3-2A43-9A31-28D0511D58CB}">
      <text>
        <r>
          <rPr>
            <i/>
            <sz val="14"/>
            <color rgb="FF000000"/>
            <rFont val="Times New Roman"/>
            <family val="18"/>
          </rPr>
          <t>Leistenbruch</t>
        </r>
        <r>
          <rPr>
            <sz val="14"/>
            <color rgb="FF000000"/>
            <rFont val="Times New Roman"/>
            <family val="18"/>
          </rPr>
          <t>; In dienst Ohne Verschulde [SUP 1807]</t>
        </r>
        <r>
          <rPr>
            <sz val="14"/>
            <color rgb="FF000000"/>
            <rFont val="Calibri"/>
            <family val="2"/>
          </rPr>
          <t xml:space="preserve"> </t>
        </r>
      </text>
    </comment>
    <comment ref="I979" authorId="0" shapeId="0" xr:uid="{74738587-E245-8646-A3D2-19D4E7B3A930}">
      <text>
        <r>
          <rPr>
            <b/>
            <sz val="14"/>
            <color rgb="FF000000"/>
            <rFont val="Calibri"/>
            <family val="34"/>
          </rPr>
          <t xml:space="preserve">1784 [22 (ML 1806)]
</t>
        </r>
        <r>
          <rPr>
            <sz val="14"/>
            <color rgb="FF000000"/>
            <rFont val="Calibri"/>
            <family val="34"/>
          </rPr>
          <t xml:space="preserve">OR 
</t>
        </r>
        <r>
          <rPr>
            <sz val="14"/>
            <color rgb="FF000000"/>
            <rFont val="Calibri"/>
            <family val="34"/>
          </rPr>
          <t xml:space="preserve">1785 [24 (ML 1809)]
</t>
        </r>
        <r>
          <rPr>
            <sz val="14"/>
            <color rgb="FF000000"/>
            <rFont val="Calibri"/>
            <family val="34"/>
          </rPr>
          <t xml:space="preserve">OR
</t>
        </r>
        <r>
          <rPr>
            <sz val="14"/>
            <color rgb="FF000000"/>
            <rFont val="Calibri"/>
            <family val="34"/>
          </rPr>
          <t>1786 [25 (ML 1811)]</t>
        </r>
      </text>
    </comment>
    <comment ref="J979" authorId="0" shapeId="0" xr:uid="{54AB4BC6-D01E-7141-933D-ED2FF6F5C460}">
      <text>
        <r>
          <rPr>
            <b/>
            <sz val="14"/>
            <color rgb="FF000000"/>
            <rFont val="Calibri"/>
            <family val="34"/>
          </rPr>
          <t xml:space="preserve">Wittwer (1806/11)
</t>
        </r>
        <r>
          <rPr>
            <sz val="14"/>
            <color rgb="FF000000"/>
            <rFont val="Calibri"/>
            <family val="34"/>
          </rPr>
          <t>Veheiratet (1809)</t>
        </r>
      </text>
    </comment>
    <comment ref="BF979" authorId="0" shapeId="0" xr:uid="{ABA2F398-64DC-1846-99A3-B284A5B7BAB5}">
      <text>
        <r>
          <rPr>
            <sz val="14"/>
            <color rgb="FF000000"/>
            <rFont val="Times New Roman"/>
            <family val="18"/>
          </rPr>
          <t xml:space="preserve">15/11/1805 </t>
        </r>
        <r>
          <rPr>
            <i/>
            <sz val="14"/>
            <color rgb="FF000000"/>
            <rFont val="Times New Roman"/>
            <family val="18"/>
          </rPr>
          <t>Zu Siedlce a 3Fl Handgeld von galizischen Landständen mit 10 jähriger Capitulation in Reserve Division von IR 59 ‚Jordis‘ gestellt</t>
        </r>
        <r>
          <rPr>
            <sz val="14"/>
            <color rgb="FF000000"/>
            <rFont val="Times New Roman"/>
            <family val="18"/>
          </rPr>
          <t xml:space="preserve"> [ML 1806 &amp; ML 1811]</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 16.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Exercierzeit zu Siedlice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03/07/1807 </t>
        </r>
        <r>
          <rPr>
            <i/>
            <sz val="14"/>
            <color rgb="FF000000"/>
            <rFont val="Times New Roman"/>
            <family val="18"/>
          </rPr>
          <t>Von 16. Zum 3.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25/12/1807 </t>
        </r>
        <r>
          <rPr>
            <i/>
            <sz val="14"/>
            <color rgb="FF000000"/>
            <rFont val="Times New Roman"/>
            <family val="18"/>
          </rPr>
          <t>Von IR 59 3. Fus. Komp. zum Grenz Cordon Ober Österreich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01/04/1809 </t>
        </r>
        <r>
          <rPr>
            <i/>
            <sz val="14"/>
            <color rgb="FF000000"/>
            <rFont val="Times New Roman"/>
            <family val="18"/>
          </rPr>
          <t xml:space="preserve">Von GK OÖ 2. Komp. zum SänC 5 transferiert </t>
        </r>
        <r>
          <rPr>
            <sz val="14"/>
            <color rgb="FF000000"/>
            <rFont val="Times New Roman"/>
            <family val="18"/>
          </rPr>
          <t>[TL Aug 1810]</t>
        </r>
        <r>
          <rPr>
            <sz val="14"/>
            <color rgb="FF000000"/>
            <rFont val="Calibri"/>
            <family val="34"/>
          </rPr>
          <t xml:space="preserve">
</t>
        </r>
        <r>
          <rPr>
            <sz val="14"/>
            <color rgb="FF000000"/>
            <rFont val="Times New Roman"/>
            <family val="18"/>
          </rPr>
          <t xml:space="preserve">08/07/1809 </t>
        </r>
        <r>
          <rPr>
            <i/>
            <sz val="14"/>
            <color rgb="FF000000"/>
            <rFont val="Times New Roman"/>
            <family val="18"/>
          </rPr>
          <t xml:space="preserve">Kommandiert in Spital in Znaim </t>
        </r>
        <r>
          <rPr>
            <sz val="14"/>
            <color rgb="FF000000"/>
            <rFont val="Times New Roman"/>
            <family val="18"/>
          </rPr>
          <t>[ST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Znaimer Spital eingerückt und zum Transport Kommando in Schelledau</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In Hauptspital zu Tyrnau</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28/02/1810 </t>
        </r>
        <r>
          <rPr>
            <i/>
            <sz val="14"/>
            <color rgb="FF000000"/>
            <rFont val="Times New Roman"/>
            <family val="18"/>
          </rPr>
          <t>Von SänC 5 zum GK OÖ transferiert</t>
        </r>
        <r>
          <rPr>
            <sz val="14"/>
            <color rgb="FF000000"/>
            <rFont val="Times New Roman"/>
            <family val="18"/>
          </rPr>
          <t xml:space="preserve"> [TL Oct 1810]</t>
        </r>
        <r>
          <rPr>
            <sz val="14"/>
            <color rgb="FF000000"/>
            <rFont val="Calibri"/>
            <family val="34"/>
          </rPr>
          <t xml:space="preserve">
</t>
        </r>
        <r>
          <rPr>
            <sz val="14"/>
            <color rgb="FF000000"/>
            <rFont val="Times New Roman"/>
            <family val="18"/>
          </rPr>
          <t>10/09/1811 Muster: GK OÖ 2. Komp. Nr. 89</t>
        </r>
        <r>
          <rPr>
            <sz val="14"/>
            <color rgb="FF000000"/>
            <rFont val="Calibri"/>
            <family val="34"/>
          </rPr>
          <t xml:space="preserve">
</t>
        </r>
        <r>
          <rPr>
            <sz val="14"/>
            <color rgb="FF000000"/>
            <rFont val="Times New Roman"/>
            <family val="18"/>
          </rPr>
          <t>26/09/1812 Revision: GK OÖ 2. Komp. Nr. 79</t>
        </r>
        <r>
          <rPr>
            <sz val="14"/>
            <color rgb="FF000000"/>
            <rFont val="Calibri"/>
            <family val="34"/>
          </rPr>
          <t xml:space="preserve">
</t>
        </r>
        <r>
          <rPr>
            <sz val="14"/>
            <color rgb="FF000000"/>
            <rFont val="Times New Roman"/>
            <family val="18"/>
          </rPr>
          <t xml:space="preserve">In 05/1817 </t>
        </r>
        <r>
          <rPr>
            <i/>
            <sz val="14"/>
            <color rgb="FF000000"/>
            <rFont val="Times New Roman"/>
            <family val="18"/>
          </rPr>
          <t>Vermög Hofkriegsratliche Reskript B 24 April 1817 K: 1777 A C Verordenung 27 April 1817 R 1292 denn MM Obtl Intimation von 30 April 1817 Nr. 2869  als Westgallizier mit Abschied entlassen</t>
        </r>
        <r>
          <rPr>
            <sz val="14"/>
            <color rgb="FF000000"/>
            <rFont val="Times New Roman"/>
            <family val="18"/>
          </rPr>
          <t xml:space="preserve"> [ML 1817] </t>
        </r>
      </text>
    </comment>
    <comment ref="BG979" authorId="0" shapeId="0" xr:uid="{F98ED801-C1B5-134C-BF35-FDFC066AA750}">
      <text>
        <r>
          <rPr>
            <sz val="14"/>
            <color rgb="FF000000"/>
            <rFont val="Times New Roman"/>
            <family val="18"/>
          </rPr>
          <t>ML 5017/8 IR 59 (1806) – 16. Fus. Komp. Nr. 233 (Freistadt 22/12/1816)</t>
        </r>
        <r>
          <rPr>
            <sz val="14"/>
            <color rgb="FF000000"/>
            <rFont val="Calibri"/>
            <family val="34"/>
          </rPr>
          <t xml:space="preserve">
</t>
        </r>
        <r>
          <rPr>
            <sz val="14"/>
            <color rgb="FF000000"/>
            <rFont val="Times New Roman"/>
            <family val="18"/>
          </rPr>
          <t>ML 5019 IR 59 (1808-10) – RL 3. Fus. Komp. Abgang (Enns 05/09/1808)</t>
        </r>
        <r>
          <rPr>
            <sz val="14"/>
            <color rgb="FF000000"/>
            <rFont val="Calibri"/>
            <family val="34"/>
          </rPr>
          <t xml:space="preserve">
</t>
        </r>
        <r>
          <rPr>
            <sz val="14"/>
            <color rgb="FF000000"/>
            <rFont val="Times New Roman"/>
            <family val="18"/>
          </rPr>
          <t>ML IR 5072 59 (1808) – ST Jan (04/03/1808)</t>
        </r>
        <r>
          <rPr>
            <sz val="14"/>
            <color rgb="FF000000"/>
            <rFont val="Calibri"/>
            <family val="34"/>
          </rPr>
          <t xml:space="preserve">
</t>
        </r>
        <r>
          <rPr>
            <sz val="14"/>
            <color rgb="FF000000"/>
            <rFont val="Times New Roman"/>
            <family val="18"/>
          </rPr>
          <t>ML 9964 SänC (1809) – TL GK OÖ -&gt;SänC 5 Nr. 139 (18/08/1810); ST April (Iglau 26/09/1809), July (Tyrnau 04/10/1809); Sept (03/01/1810), Oct (26/06/1810)</t>
        </r>
        <r>
          <rPr>
            <sz val="14"/>
            <color rgb="FF000000"/>
            <rFont val="Calibri"/>
            <family val="34"/>
          </rPr>
          <t xml:space="preserve">
</t>
        </r>
        <r>
          <rPr>
            <sz val="14"/>
            <color rgb="FF000000"/>
            <rFont val="Times New Roman"/>
            <family val="18"/>
          </rPr>
          <t>ML 9955 SänC (1810) – TL SänC 5. -&gt; GK OÖ Nr. 105 (Vienna 09/10/1810)</t>
        </r>
        <r>
          <rPr>
            <sz val="14"/>
            <color rgb="FF000000"/>
            <rFont val="Calibri"/>
            <family val="34"/>
          </rPr>
          <t xml:space="preserve">
</t>
        </r>
        <r>
          <rPr>
            <sz val="14"/>
            <color rgb="FF000000"/>
            <rFont val="Times New Roman"/>
            <family val="18"/>
          </rPr>
          <t xml:space="preserve">ML 8765 </t>
        </r>
        <r>
          <rPr>
            <sz val="14"/>
            <color rgb="FF000000"/>
            <rFont val="Times New Roman"/>
            <family val="18"/>
          </rPr>
          <t xml:space="preserve">GK OÖ (1811-17) – ML 1811 2. Komp Nr. 89 </t>
        </r>
        <r>
          <rPr>
            <sz val="14"/>
            <color rgb="FF000000"/>
            <rFont val="Times New Roman"/>
            <family val="18"/>
          </rPr>
          <t>(Gmunden 10/09/1811), RL 1812 2. Komp. Nr. 79 (Gmunden 26/09/1812), ML 1817 2. Komp. Abgang (Gmunden 27/08/1817) und (Bad Ischel 28/08/1817)</t>
        </r>
        <r>
          <rPr>
            <sz val="14"/>
            <color rgb="FF000000"/>
            <rFont val="Calibri"/>
            <family val="34"/>
          </rPr>
          <t xml:space="preserve">
</t>
        </r>
      </text>
    </comment>
    <comment ref="BH979" authorId="0" shapeId="0" xr:uid="{86CB8D20-BF81-DA40-B306-B87B5D1B7C0C}">
      <text>
        <r>
          <rPr>
            <sz val="14"/>
            <color rgb="FF000000"/>
            <rFont val="Times New Roman"/>
            <family val="18"/>
          </rPr>
          <t>1805-1807 IR 59</t>
        </r>
        <r>
          <rPr>
            <sz val="14"/>
            <color rgb="FF000000"/>
            <rFont val="Calibri"/>
            <family val="34"/>
          </rPr>
          <t xml:space="preserve">
</t>
        </r>
        <r>
          <rPr>
            <sz val="14"/>
            <color rgb="FF000000"/>
            <rFont val="Times New Roman"/>
            <family val="18"/>
          </rPr>
          <t>1807-1809 GK OÖ</t>
        </r>
        <r>
          <rPr>
            <sz val="14"/>
            <color rgb="FF000000"/>
            <rFont val="Calibri"/>
            <family val="34"/>
          </rPr>
          <t xml:space="preserve">
</t>
        </r>
        <r>
          <rPr>
            <sz val="14"/>
            <color rgb="FF000000"/>
            <rFont val="Times New Roman"/>
            <family val="18"/>
          </rPr>
          <t>1809-1810 SänC 5</t>
        </r>
        <r>
          <rPr>
            <sz val="14"/>
            <color rgb="FF000000"/>
            <rFont val="Calibri"/>
            <family val="34"/>
          </rPr>
          <t xml:space="preserve">
</t>
        </r>
        <r>
          <rPr>
            <sz val="14"/>
            <color rgb="FF000000"/>
            <rFont val="Times New Roman"/>
            <family val="18"/>
          </rPr>
          <t>1810-1817 GK OÖ</t>
        </r>
      </text>
    </comment>
    <comment ref="BF980" authorId="0" shapeId="0" xr:uid="{2A859FB5-6AF8-1446-A8CD-981AF0F3D897}">
      <text>
        <r>
          <rPr>
            <sz val="14"/>
            <color rgb="FF000000"/>
            <rFont val="Times New Roman"/>
            <family val="18"/>
          </rPr>
          <t xml:space="preserve">15/11/1805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980" authorId="0" shapeId="0" xr:uid="{831304F7-953D-D14B-A8BB-5DBF21198070}">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1 (Konskie 07/01/1806), SUP Nr. 4 (Troppau 20/04/1806)</t>
        </r>
        <r>
          <rPr>
            <sz val="14"/>
            <color rgb="FF000000"/>
            <rFont val="Calibri"/>
            <family val="34"/>
          </rPr>
          <t xml:space="preserve">
</t>
        </r>
      </text>
    </comment>
    <comment ref="BH980" authorId="0" shapeId="0" xr:uid="{ADFF8424-41BC-F948-BE09-1315BF851AA4}">
      <text>
        <r>
          <rPr>
            <sz val="14"/>
            <color rgb="FF000000"/>
            <rFont val="Calibri"/>
            <family val="34"/>
          </rPr>
          <t>IR 20 (1805-1806)</t>
        </r>
      </text>
    </comment>
    <comment ref="BJ980" authorId="0" shapeId="0" xr:uid="{2AA44D2B-1F22-4A4F-B53E-A38B2DC78D29}">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BF981" authorId="0" shapeId="0" xr:uid="{6766366F-B664-4044-9B1D-B2737F3CCC74}">
      <text>
        <r>
          <rPr>
            <sz val="14"/>
            <color rgb="FF000000"/>
            <rFont val="Times New Roman"/>
            <family val="18"/>
          </rPr>
          <t xml:space="preserve">15/11/1805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981" authorId="0" shapeId="0" xr:uid="{3D282F7F-E124-1442-B49A-333EE1C0D73F}">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2 (Konskie 07/01/1806), SUP Nr. 5 (Troppau 20/04/1806)</t>
        </r>
        <r>
          <rPr>
            <sz val="14"/>
            <color rgb="FF000000"/>
            <rFont val="Calibri"/>
            <family val="34"/>
          </rPr>
          <t xml:space="preserve">
</t>
        </r>
      </text>
    </comment>
    <comment ref="BH981" authorId="0" shapeId="0" xr:uid="{2285ED01-4FB2-4C4C-A43D-0AEDC7A7FA65}">
      <text>
        <r>
          <rPr>
            <sz val="14"/>
            <color rgb="FF000000"/>
            <rFont val="Calibri"/>
            <family val="34"/>
          </rPr>
          <t>IR 20 (1805-1806)</t>
        </r>
      </text>
    </comment>
    <comment ref="BJ981" authorId="0" shapeId="0" xr:uid="{4842EE6A-0720-9845-93A2-15E6A7EEA0F0}">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BF982" authorId="0" shapeId="0" xr:uid="{0958BD30-5E30-924A-BE67-20794E7F52EC}">
      <text>
        <r>
          <rPr>
            <sz val="14"/>
            <color rgb="FF000000"/>
            <rFont val="Times New Roman"/>
            <family val="18"/>
          </rPr>
          <t xml:space="preserve">15/11/1805 </t>
        </r>
        <r>
          <rPr>
            <i/>
            <sz val="14"/>
            <color rgb="FF000000"/>
            <rFont val="Times New Roman"/>
            <family val="18"/>
          </rPr>
          <t>Auf 3 Fl Handgeld auf 10 Jahr Capitulation von galizischen Ständen gestellt</t>
        </r>
        <r>
          <rPr>
            <sz val="14"/>
            <color rgb="FF000000"/>
            <rFont val="Times New Roman"/>
            <family val="18"/>
          </rPr>
          <t xml:space="preserve"> [TL Dec 1809]</t>
        </r>
        <r>
          <rPr>
            <sz val="14"/>
            <color rgb="FF000000"/>
            <rFont val="Aptos"/>
            <family val="34"/>
          </rPr>
          <t xml:space="preserve">
</t>
        </r>
        <r>
          <rPr>
            <sz val="14"/>
            <color rgb="FF000000"/>
            <rFont val="Times New Roman"/>
            <family val="18"/>
          </rPr>
          <t xml:space="preserve">21/03/1809 </t>
        </r>
        <r>
          <rPr>
            <i/>
            <sz val="14"/>
            <color rgb="FF000000"/>
            <rFont val="Times New Roman"/>
            <family val="18"/>
          </rPr>
          <t>Von IR 24 Strauch Haupt Genz Komp. zum Galizischen Freibataillon Nr. 2 transferiert und zum 1. Komp. von CaptLt Brandstein eingeheilt</t>
        </r>
        <r>
          <rPr>
            <sz val="14"/>
            <color rgb="FF000000"/>
            <rFont val="Times New Roman"/>
            <family val="18"/>
          </rPr>
          <t xml:space="preserve"> [ST March 1809 &amp; TL Dec 1809]</t>
        </r>
        <r>
          <rPr>
            <sz val="14"/>
            <color rgb="FF000000"/>
            <rFont val="Aptos"/>
            <family val="34"/>
          </rPr>
          <t xml:space="preserve">
</t>
        </r>
        <r>
          <rPr>
            <sz val="14"/>
            <color rgb="FF000000"/>
            <rFont val="Times New Roman"/>
            <family val="18"/>
          </rPr>
          <t xml:space="preserve">06/07/1809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Aptos"/>
            <family val="34"/>
          </rPr>
          <t xml:space="preserve">
</t>
        </r>
        <r>
          <rPr>
            <sz val="14"/>
            <color rgb="FF000000"/>
            <rFont val="Times New Roman"/>
            <family val="18"/>
          </rPr>
          <t xml:space="preserve">21/01/1810 </t>
        </r>
        <r>
          <rPr>
            <i/>
            <sz val="14"/>
            <color rgb="FF000000"/>
            <rFont val="Times New Roman"/>
            <family val="18"/>
          </rPr>
          <t>Von dissolvierte Galizischen Freibataillon Nr. 2 1. Kompanie zum IR 24 ‚Strauch‘ zurück transferiert seitdem auf Anhero Marsch</t>
        </r>
        <r>
          <rPr>
            <sz val="14"/>
            <color rgb="FF000000"/>
            <rFont val="Times New Roman"/>
            <family val="18"/>
          </rPr>
          <t xml:space="preserve"> [TL 1810 &amp; ST Jan 1810]</t>
        </r>
        <r>
          <rPr>
            <sz val="14"/>
            <color rgb="FF000000"/>
            <rFont val="Aptos"/>
            <family val="34"/>
          </rPr>
          <t xml:space="preserve">
</t>
        </r>
        <r>
          <rPr>
            <sz val="14"/>
            <color rgb="FF000000"/>
            <rFont val="Times New Roman"/>
            <family val="18"/>
          </rPr>
          <t xml:space="preserve">06/03/1810 </t>
        </r>
        <r>
          <rPr>
            <i/>
            <sz val="14"/>
            <color rgb="FF000000"/>
            <rFont val="Times New Roman"/>
            <family val="18"/>
          </rPr>
          <t xml:space="preserve">In Regiment eigeruckt und zum 5. Fus. Komp. </t>
        </r>
        <r>
          <rPr>
            <sz val="14"/>
            <color rgb="FF000000"/>
            <rFont val="Times New Roman"/>
            <family val="18"/>
          </rPr>
          <t xml:space="preserve">[Haupt Penz] </t>
        </r>
        <r>
          <rPr>
            <i/>
            <sz val="14"/>
            <color rgb="FF000000"/>
            <rFont val="Times New Roman"/>
            <family val="18"/>
          </rPr>
          <t>zugeteilt</t>
        </r>
        <r>
          <rPr>
            <sz val="14"/>
            <color rgb="FF000000"/>
            <rFont val="Times New Roman"/>
            <family val="18"/>
          </rPr>
          <t xml:space="preserve"> [ST March 1810]</t>
        </r>
        <r>
          <rPr>
            <sz val="14"/>
            <color rgb="FF000000"/>
            <rFont val="Aptos"/>
            <family val="34"/>
          </rPr>
          <t xml:space="preserve">
</t>
        </r>
        <r>
          <rPr>
            <sz val="14"/>
            <color rgb="FF000000"/>
            <rFont val="Times New Roman"/>
            <family val="18"/>
          </rPr>
          <t xml:space="preserve">31/08/1810 </t>
        </r>
        <r>
          <rPr>
            <i/>
            <sz val="14"/>
            <color rgb="FF000000"/>
            <rFont val="Times New Roman"/>
            <family val="18"/>
          </rPr>
          <t>Vermog hohen General Commando Verordnung ddo. Ofen am 29. May Litt R 8074 als von galizischen Standen gestellt unentgeltlich gegen Renuncierung auf Alle Militär Beneficien mit Abschied entlassen</t>
        </r>
        <r>
          <rPr>
            <sz val="14"/>
            <color rgb="FF000000"/>
            <rFont val="Times New Roman"/>
            <family val="18"/>
          </rPr>
          <t xml:space="preserve"> [ST Aug 1810]</t>
        </r>
      </text>
    </comment>
    <comment ref="BG982" authorId="0" shapeId="0" xr:uid="{DE4F10FE-F36D-7A41-A2E4-C0C33DDF8157}">
      <text>
        <r>
          <rPr>
            <sz val="14"/>
            <color rgb="FF000000"/>
            <rFont val="Times New Roman"/>
            <family val="18"/>
          </rPr>
          <t xml:space="preserve">ML 10.831 WGal FB 2 (1809-10) – TL IR 24-&gt; WGal FB 2 Nr. 37 (Csakowar 30/11/1809) &amp; TL WGal FB 2-&gt; IR 24 Nr. 12 </t>
        </r>
        <r>
          <rPr>
            <sz val="14"/>
            <color rgb="FF000000"/>
            <rFont val="Times New Roman"/>
            <family val="18"/>
          </rPr>
          <t>(Leitmoschil 20/01/1810), ST March (Braddczy bei Caschau 10/08/1809), ST July (Brünn 20/12/1810), ST 1810 Jan (Tichnowitz 03/03/1811)</t>
        </r>
        <r>
          <rPr>
            <sz val="14"/>
            <color rgb="FF000000"/>
            <rFont val="Aptos"/>
            <family val="34"/>
          </rPr>
          <t xml:space="preserve">
</t>
        </r>
        <r>
          <rPr>
            <sz val="14"/>
            <color rgb="FF000000"/>
            <rFont val="Times New Roman"/>
            <family val="18"/>
          </rPr>
          <t>ML 2000 IR 24 (1810) – ST March (22/04/1812), Aug (Dabraczan 02/07/1812)</t>
        </r>
        <r>
          <rPr>
            <sz val="14"/>
            <color rgb="FF000000"/>
            <rFont val="Aptos"/>
            <family val="34"/>
          </rPr>
          <t xml:space="preserve">
</t>
        </r>
      </text>
    </comment>
    <comment ref="BH982" authorId="0" shapeId="0" xr:uid="{954F9152-71AF-1243-AFCC-AF837BDB5DF4}">
      <text>
        <r>
          <rPr>
            <sz val="14"/>
            <color rgb="FF000000"/>
            <rFont val="Calibri"/>
            <family val="34"/>
          </rPr>
          <t xml:space="preserve">IR 24 (1805-9)
</t>
        </r>
        <r>
          <rPr>
            <sz val="14"/>
            <color rgb="FF000000"/>
            <rFont val="Calibri"/>
            <family val="34"/>
          </rPr>
          <t xml:space="preserve">WGal FB 2 (1809-10)
</t>
        </r>
        <r>
          <rPr>
            <sz val="14"/>
            <color rgb="FF000000"/>
            <rFont val="Calibri"/>
            <family val="34"/>
          </rPr>
          <t>IR 24 (1810)</t>
        </r>
      </text>
    </comment>
    <comment ref="BF983" authorId="0" shapeId="0" xr:uid="{D8A16C65-5EB7-7948-A4ED-5A9A7AF162C3}">
      <text>
        <r>
          <rPr>
            <sz val="14"/>
            <color rgb="FF000000"/>
            <rFont val="Times New Roman"/>
            <family val="18"/>
          </rPr>
          <t xml:space="preserve">15/11/1805 </t>
        </r>
        <r>
          <rPr>
            <i/>
            <sz val="14"/>
            <color rgb="FF000000"/>
            <rFont val="Times New Roman"/>
            <family val="18"/>
          </rPr>
          <t>Von Land gestellt a 3Fl und zu Reserve Division assentiert</t>
        </r>
        <r>
          <rPr>
            <sz val="14"/>
            <color rgb="FF000000"/>
            <rFont val="Times New Roman"/>
            <family val="18"/>
          </rPr>
          <t xml:space="preserve"> [ML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Zu Selkowice desertiert</t>
        </r>
        <r>
          <rPr>
            <sz val="14"/>
            <color rgb="FF000000"/>
            <rFont val="Times New Roman"/>
            <family val="18"/>
          </rPr>
          <t xml:space="preserve"> [ML 1806]</t>
        </r>
        <r>
          <rPr>
            <sz val="14"/>
            <color rgb="FF000000"/>
            <rFont val="Calibri"/>
            <family val="34"/>
          </rPr>
          <t xml:space="preserve">
</t>
        </r>
      </text>
    </comment>
    <comment ref="BG983" authorId="0" shapeId="0" xr:uid="{421F67A0-134E-EA48-9A55-3049BFD472EB}">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7 (Siedlce 16/11/1805)</t>
        </r>
        <r>
          <rPr>
            <sz val="14"/>
            <color rgb="FF000000"/>
            <rFont val="Calibri"/>
            <family val="34"/>
          </rPr>
          <t xml:space="preserve">
</t>
        </r>
      </text>
    </comment>
    <comment ref="BH983" authorId="0" shapeId="0" xr:uid="{B68CF278-EB8B-644D-9117-7758E74C464F}">
      <text>
        <r>
          <rPr>
            <sz val="14"/>
            <color rgb="FF000000"/>
            <rFont val="Calibri"/>
            <family val="34"/>
          </rPr>
          <t>IR 20 (1805-1806)</t>
        </r>
      </text>
    </comment>
    <comment ref="T984" authorId="0" shapeId="0" xr:uid="{C5075051-93F5-F74D-8AB4-35C3C1814532}">
      <text>
        <r>
          <rPr>
            <b/>
            <sz val="14"/>
            <color rgb="FF000000"/>
            <rFont val="Calibri"/>
            <family val="34"/>
          </rPr>
          <t xml:space="preserve">5 [158 (AL 1805)]
</t>
        </r>
        <r>
          <rPr>
            <sz val="14"/>
            <color rgb="FF000000"/>
            <rFont val="Calibri"/>
            <family val="34"/>
          </rPr>
          <t>5.1 [160.63 (ML 1806)]</t>
        </r>
      </text>
    </comment>
    <comment ref="BF984" authorId="0" shapeId="0" xr:uid="{744848EA-2E68-2842-B8FD-8A367046BAB3}">
      <text>
        <r>
          <rPr>
            <sz val="14"/>
            <color rgb="FF000000"/>
            <rFont val="Times New Roman"/>
            <family val="18"/>
          </rPr>
          <t xml:space="preserve">16/11/1805 </t>
        </r>
        <r>
          <rPr>
            <i/>
            <sz val="14"/>
            <color rgb="FF000000"/>
            <rFont val="Times New Roman"/>
            <family val="18"/>
          </rPr>
          <t>Zu Konskie als Inländer und Werbbezirk recrout Land gegen 3Fl zum IR 20 gestellt und zur 2. Fus. Komp. Maquire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15/12/1806 Muster: IR 20 2. Fus. Komp. Nr. 85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text>
    </comment>
    <comment ref="BG984" authorId="0" shapeId="0" xr:uid="{35F27F73-8D98-A048-9C1D-68D27304D7A9}">
      <text>
        <r>
          <rPr>
            <sz val="14"/>
            <color rgb="FF000000"/>
            <rFont val="Times New Roman"/>
            <family val="18"/>
          </rPr>
          <t>ML 1623/5 IR 20 (1806) – 2. Fus. Komp. Nr. 85 (Olmütz 15/12/1806)</t>
        </r>
        <r>
          <rPr>
            <sz val="14"/>
            <color rgb="FF000000"/>
            <rFont val="Calibri"/>
            <family val="34"/>
          </rPr>
          <t xml:space="preserve">
</t>
        </r>
        <r>
          <rPr>
            <sz val="14"/>
            <color rgb="FF000000"/>
            <rFont val="Times New Roman"/>
            <family val="18"/>
          </rPr>
          <t>ML 1661 IR 20 (1806) – AL. Nr. 62 (Konskie 07/01/1806)</t>
        </r>
        <r>
          <rPr>
            <sz val="14"/>
            <color rgb="FF000000"/>
            <rFont val="Calibri"/>
            <family val="34"/>
          </rPr>
          <t xml:space="preserve">
</t>
        </r>
      </text>
    </comment>
    <comment ref="BH984" authorId="0" shapeId="0" xr:uid="{CF005A24-BD99-344B-97D4-281CAFC58507}">
      <text>
        <r>
          <rPr>
            <sz val="14"/>
            <color rgb="FF000000"/>
            <rFont val="Calibri"/>
            <family val="34"/>
          </rPr>
          <t>IR 20 (1805-1806)</t>
        </r>
      </text>
    </comment>
    <comment ref="BF985" authorId="0" shapeId="0" xr:uid="{2D6B170E-1284-6E4A-B282-C95BA93DCEC6}">
      <text>
        <r>
          <rPr>
            <sz val="14"/>
            <color rgb="FF000000"/>
            <rFont val="Times New Roman"/>
            <family val="18"/>
          </rPr>
          <t xml:space="preserve">16/11/1805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985" authorId="0" shapeId="0" xr:uid="{A3DA6816-521B-8B41-B5D4-2BDF62B95FD0}">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61 (Konskie 07/01/1806), SUP Nr. 3 (Troppau 20/04/1806)</t>
        </r>
        <r>
          <rPr>
            <sz val="14"/>
            <color rgb="FF000000"/>
            <rFont val="Calibri"/>
            <family val="34"/>
          </rPr>
          <t xml:space="preserve">
</t>
        </r>
      </text>
    </comment>
    <comment ref="BH985" authorId="0" shapeId="0" xr:uid="{762C7D1F-35FB-F94B-AEAC-02E7BAFEC31B}">
      <text>
        <r>
          <rPr>
            <sz val="14"/>
            <color rgb="FF000000"/>
            <rFont val="Calibri"/>
            <family val="34"/>
          </rPr>
          <t>IR 20 (1805-1806)</t>
        </r>
      </text>
    </comment>
    <comment ref="BJ985" authorId="0" shapeId="0" xr:uid="{545ACD24-C2B7-E34A-B2A4-8768FBA0361B}">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I986" authorId="0" shapeId="0" xr:uid="{1558558C-8656-794A-AB1B-007440940912}">
      <text>
        <r>
          <rPr>
            <sz val="14"/>
            <color rgb="FF000000"/>
            <rFont val="Calibri"/>
            <family val="34"/>
          </rPr>
          <t xml:space="preserve">1762 [44 (SUP Mai 1806)]
</t>
        </r>
        <r>
          <rPr>
            <sz val="14"/>
            <color rgb="FF000000"/>
            <rFont val="Calibri"/>
            <family val="34"/>
          </rPr>
          <t xml:space="preserve">OR 
</t>
        </r>
        <r>
          <rPr>
            <sz val="14"/>
            <color rgb="FF000000"/>
            <rFont val="Calibri"/>
            <family val="34"/>
          </rPr>
          <t>1774 [31 (AL Jan 1806)]</t>
        </r>
      </text>
    </comment>
    <comment ref="BF986" authorId="0" shapeId="0" xr:uid="{03C739E3-AB61-704B-96D8-AA60FFA6D7C8}">
      <text>
        <r>
          <rPr>
            <sz val="14"/>
            <color rgb="FF000000"/>
            <rFont val="Times New Roman"/>
            <family val="18"/>
          </rPr>
          <t xml:space="preserve">16/11/1805 </t>
        </r>
        <r>
          <rPr>
            <i/>
            <sz val="14"/>
            <color rgb="FF000000"/>
            <rFont val="Times New Roman"/>
            <family val="18"/>
          </rPr>
          <t>Von Land gegen 3Fl zum IR 20 gestellt und zur 6. Fus. Komp. Stein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05/07/1806 Superarbietriert: </t>
        </r>
        <r>
          <rPr>
            <i/>
            <sz val="14"/>
            <color rgb="FF000000"/>
            <rFont val="Times New Roman"/>
            <family val="18"/>
          </rPr>
          <t>Altes halber und gar nichts zur Militär Stand genützt</t>
        </r>
        <r>
          <rPr>
            <sz val="14"/>
            <color rgb="FF000000"/>
            <rFont val="Calibri"/>
            <family val="34"/>
          </rPr>
          <t xml:space="preserve"> </t>
        </r>
        <r>
          <rPr>
            <sz val="14"/>
            <color rgb="FF000000"/>
            <rFont val="Times New Roman"/>
            <family val="18"/>
          </rPr>
          <t>[Als angehöriger von Haupt Stein 8. Fus. Komp]</t>
        </r>
        <r>
          <rPr>
            <sz val="14"/>
            <color rgb="FF000000"/>
            <rFont val="Calibri"/>
            <family val="34"/>
          </rPr>
          <t xml:space="preserve">
</t>
        </r>
        <r>
          <rPr>
            <sz val="14"/>
            <color rgb="FF000000"/>
            <rFont val="Times New Roman"/>
            <family val="18"/>
          </rPr>
          <t xml:space="preserve">25/08/1806 </t>
        </r>
        <r>
          <rPr>
            <i/>
            <sz val="14"/>
            <color rgb="FF000000"/>
            <rFont val="Times New Roman"/>
            <family val="18"/>
          </rPr>
          <t>Wegen kurzer Dienstzeit und sonst anhabenden Defekten zu Folge Hohe General Commando Verordnung deto brunn 24/ July 1806 Litt. R nr. 6098 mit Laufpass entlassen</t>
        </r>
        <r>
          <rPr>
            <sz val="14"/>
            <color rgb="FF000000"/>
            <rFont val="Calibri"/>
            <family val="34"/>
          </rPr>
          <t xml:space="preserve"> </t>
        </r>
        <r>
          <rPr>
            <sz val="14"/>
            <color rgb="FF000000"/>
            <rFont val="Times New Roman"/>
            <family val="18"/>
          </rPr>
          <t>[ML 1806]</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G986" authorId="0" shapeId="0" xr:uid="{D4098015-CBD6-A540-BB00-B68406D7D919}">
      <text>
        <r>
          <rPr>
            <sz val="14"/>
            <color rgb="FF000000"/>
            <rFont val="Times New Roman"/>
            <family val="18"/>
          </rPr>
          <t>ML 1623-5 IR 20 (1806) – 8. Fus. Komp. Abgang(Olmütz 15/12/1806)</t>
        </r>
        <r>
          <rPr>
            <sz val="14"/>
            <color rgb="FF000000"/>
            <rFont val="Calibri"/>
            <family val="34"/>
          </rPr>
          <t xml:space="preserve">
</t>
        </r>
        <r>
          <rPr>
            <sz val="14"/>
            <color rgb="FF000000"/>
            <rFont val="Times New Roman"/>
            <family val="18"/>
          </rPr>
          <t>ML 1661 IR 20 (1806) – AL. Nr. 74 (Konskie 07/01/1806); SUP Nr. 29 (Troppau 05/07/1806)</t>
        </r>
        <r>
          <rPr>
            <sz val="14"/>
            <color rgb="FF000000"/>
            <rFont val="Calibri"/>
            <family val="34"/>
          </rPr>
          <t xml:space="preserve">
</t>
        </r>
      </text>
    </comment>
    <comment ref="BH986" authorId="0" shapeId="0" xr:uid="{82309E0C-28FA-EF40-A981-BD00DB382829}">
      <text>
        <r>
          <rPr>
            <sz val="14"/>
            <color rgb="FF000000"/>
            <rFont val="Calibri"/>
            <family val="34"/>
          </rPr>
          <t>IR 20 (1805-1806)</t>
        </r>
      </text>
    </comment>
    <comment ref="BJ986" authorId="0" shapeId="0" xr:uid="{0E77090E-04EB-6542-9B74-E4E0D5577140}">
      <text>
        <r>
          <rPr>
            <i/>
            <sz val="14"/>
            <color rgb="FF000000"/>
            <rFont val="Times New Roman"/>
            <family val="18"/>
          </rPr>
          <t xml:space="preserve">Alt Steif und ausgeschickt </t>
        </r>
        <r>
          <rPr>
            <sz val="14"/>
            <color rgb="FF000000"/>
            <rFont val="Times New Roman"/>
            <family val="18"/>
          </rPr>
          <t>[SUP 1806]</t>
        </r>
        <r>
          <rPr>
            <sz val="14"/>
            <color rgb="FF000000"/>
            <rFont val="Calibri"/>
            <family val="2"/>
          </rPr>
          <t xml:space="preserve"> </t>
        </r>
      </text>
    </comment>
    <comment ref="BF987" authorId="0" shapeId="0" xr:uid="{7810C511-3C2A-4340-8246-5988B1E74FED}">
      <text>
        <r>
          <rPr>
            <sz val="14"/>
            <color rgb="FF000000"/>
            <rFont val="Times New Roman"/>
            <family val="18"/>
          </rPr>
          <t xml:space="preserve">17/11/1805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Von Selkowice desertiert</t>
        </r>
        <r>
          <rPr>
            <sz val="14"/>
            <color rgb="FF000000"/>
            <rFont val="Times New Roman"/>
            <family val="18"/>
          </rPr>
          <t xml:space="preserve"> [ML 1806]</t>
        </r>
        <r>
          <rPr>
            <sz val="14"/>
            <color rgb="FF000000"/>
            <rFont val="Calibri"/>
            <family val="34"/>
          </rPr>
          <t xml:space="preserve">
</t>
        </r>
      </text>
    </comment>
    <comment ref="BG987" authorId="0" shapeId="0" xr:uid="{552A3944-A145-DE40-A701-BAC19941CF8C}">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25 (Siedlce 30/11/1805)</t>
        </r>
        <r>
          <rPr>
            <sz val="14"/>
            <color rgb="FF000000"/>
            <rFont val="Calibri"/>
            <family val="34"/>
          </rPr>
          <t xml:space="preserve">
</t>
        </r>
      </text>
    </comment>
    <comment ref="BH987" authorId="0" shapeId="0" xr:uid="{40A8E181-D5A9-2544-9DBF-5CB0070108B7}">
      <text>
        <r>
          <rPr>
            <sz val="14"/>
            <color rgb="FF000000"/>
            <rFont val="Calibri"/>
            <family val="34"/>
          </rPr>
          <t>IR 59 (1805-1806)</t>
        </r>
      </text>
    </comment>
    <comment ref="BF988" authorId="0" shapeId="0" xr:uid="{653B7DF3-34B3-3A4F-8748-0409E641417F}">
      <text>
        <r>
          <rPr>
            <sz val="14"/>
            <color rgb="FF000000"/>
            <rFont val="Times New Roman"/>
            <family val="18"/>
          </rPr>
          <t xml:space="preserve">17/11/1805 </t>
        </r>
        <r>
          <rPr>
            <i/>
            <sz val="14"/>
            <color rgb="FF000000"/>
            <rFont val="Times New Roman"/>
            <family val="18"/>
          </rPr>
          <t xml:space="preserve">Zu Konskie als </t>
        </r>
        <r>
          <rPr>
            <i/>
            <sz val="14"/>
            <color rgb="FF000000"/>
            <rFont val="Times New Roman"/>
            <family val="18"/>
          </rPr>
          <t>Inländer und Werbbezirk Recrout</t>
        </r>
        <r>
          <rPr>
            <i/>
            <sz val="14"/>
            <color rgb="FF000000"/>
            <rFont val="Times New Roman"/>
            <family val="18"/>
          </rPr>
          <t xml:space="preserve"> Land gegen 3Fl zum IR 20 gestellt und zur 4. Fus. Komp. Carl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15/12/1806 Muster: IR 20 4. Fus. Komp. Nr. 85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text>
    </comment>
    <comment ref="BG988" authorId="0" shapeId="0" xr:uid="{A3D5F954-B1D0-0D40-87D5-A7BC1FAB8A1D}">
      <text>
        <r>
          <rPr>
            <sz val="14"/>
            <color rgb="FF000000"/>
            <rFont val="Times New Roman"/>
            <family val="18"/>
          </rPr>
          <t>ML 1623/5 IR 20 (1806) – 4. Fus. Komp. Nr. 89 (Olmütz 15/12/1806)</t>
        </r>
        <r>
          <rPr>
            <sz val="14"/>
            <color rgb="FF000000"/>
            <rFont val="Calibri"/>
            <family val="34"/>
          </rPr>
          <t xml:space="preserve">
</t>
        </r>
      </text>
    </comment>
    <comment ref="BH988" authorId="0" shapeId="0" xr:uid="{A02EC97A-3E6B-7E41-8696-D2FAB79C81BA}">
      <text>
        <r>
          <rPr>
            <sz val="14"/>
            <color rgb="FF000000"/>
            <rFont val="Calibri"/>
            <family val="34"/>
          </rPr>
          <t>IR 20 (1805-1806)</t>
        </r>
      </text>
    </comment>
    <comment ref="BF989" authorId="0" shapeId="0" xr:uid="{508CEE02-D585-DC46-8EAA-9923B2F0D7E9}">
      <text>
        <r>
          <rPr>
            <sz val="14"/>
            <color rgb="FF000000"/>
            <rFont val="Times New Roman"/>
            <family val="18"/>
          </rPr>
          <t xml:space="preserve">17/11/1805 </t>
        </r>
        <r>
          <rPr>
            <i/>
            <sz val="14"/>
            <color rgb="FF000000"/>
            <rFont val="Times New Roman"/>
            <family val="18"/>
          </rPr>
          <t>Zu Kielce on Land gestellt und a 3Fl Handgeld zum IR 59 Reserve Division aassentiert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06/01/1806 </t>
        </r>
        <r>
          <rPr>
            <i/>
            <sz val="14"/>
            <color rgb="FF000000"/>
            <rFont val="Times New Roman"/>
            <family val="18"/>
          </rPr>
          <t>Krank in Garnisons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unwissend verloren in Abgang gebracht</t>
        </r>
        <r>
          <rPr>
            <sz val="14"/>
            <color rgb="FF000000"/>
            <rFont val="Times New Roman"/>
            <family val="18"/>
          </rPr>
          <t xml:space="preserve"> [ML 1806]</t>
        </r>
        <r>
          <rPr>
            <sz val="14"/>
            <color rgb="FF000000"/>
            <rFont val="Calibri"/>
            <family val="34"/>
          </rPr>
          <t xml:space="preserve">
</t>
        </r>
      </text>
    </comment>
    <comment ref="BG989" authorId="0" shapeId="0" xr:uid="{AB078443-E781-5841-BC3F-D4C343867AE7}">
      <text>
        <r>
          <rPr>
            <sz val="14"/>
            <color rgb="FF000000"/>
            <rFont val="Times New Roman"/>
            <family val="18"/>
          </rPr>
          <t>ML 5017/8 IR 59 (1806) – 16. Fus. Komp. Abgang (Freistadt 22/12/1806), Reserve Division Zuwachs &amp; Abgang (Wells 06/07/1807) &amp; Cons.‚Unwissend verlohren‘ Nr. 678 (Linz 10/07/1807)</t>
        </r>
        <r>
          <rPr>
            <sz val="14"/>
            <color rgb="FF000000"/>
            <rFont val="Calibri"/>
            <family val="34"/>
          </rPr>
          <t xml:space="preserve">
</t>
        </r>
        <r>
          <rPr>
            <sz val="14"/>
            <color rgb="FF000000"/>
            <rFont val="Times New Roman"/>
            <family val="18"/>
          </rPr>
          <t>ML 5067 IR 59 (1805) – AL. Nr. 216 (Kielce 17/11/1805)</t>
        </r>
        <r>
          <rPr>
            <sz val="14"/>
            <color rgb="FF000000"/>
            <rFont val="Calibri"/>
            <family val="34"/>
          </rPr>
          <t xml:space="preserve">
</t>
        </r>
      </text>
    </comment>
    <comment ref="BH989" authorId="0" shapeId="0" xr:uid="{A3EDA9B4-2512-1242-B6DE-D387C5CB628E}">
      <text>
        <r>
          <rPr>
            <sz val="14"/>
            <color rgb="FF000000"/>
            <rFont val="Calibri"/>
            <family val="34"/>
          </rPr>
          <t>IR 59 (1805-1806)</t>
        </r>
      </text>
    </comment>
    <comment ref="CR989" authorId="0" shapeId="0" xr:uid="{7056776B-3322-8C42-8FBD-1C83DCCEC26B}">
      <text>
        <r>
          <rPr>
            <sz val="14"/>
            <color rgb="FF000000"/>
            <rFont val="Calibri"/>
            <family val="34"/>
          </rPr>
          <t xml:space="preserve">1805: Jüdisch
</t>
        </r>
        <r>
          <rPr>
            <sz val="14"/>
            <color rgb="FF000000"/>
            <rFont val="Calibri"/>
            <family val="34"/>
          </rPr>
          <t xml:space="preserve">1806: </t>
        </r>
        <r>
          <rPr>
            <sz val="14"/>
            <color rgb="FF000000"/>
            <rFont val="Calibri"/>
            <family val="2"/>
          </rPr>
          <t xml:space="preserve"> </t>
        </r>
        <r>
          <rPr>
            <sz val="14"/>
            <color rgb="FF000000"/>
            <rFont val="Calibri"/>
            <family val="34"/>
          </rPr>
          <t>Katolisch (detto)</t>
        </r>
      </text>
    </comment>
    <comment ref="BF990" authorId="0" shapeId="0" xr:uid="{4FC8E23D-EADB-0C42-9703-C9077E93B172}">
      <text>
        <r>
          <rPr>
            <sz val="14"/>
            <color rgb="FF000000"/>
            <rFont val="Times New Roman"/>
            <family val="18"/>
          </rPr>
          <t xml:space="preserve">17/11/1805 </t>
        </r>
        <r>
          <rPr>
            <i/>
            <sz val="14"/>
            <color rgb="FF000000"/>
            <rFont val="Times New Roman"/>
            <family val="18"/>
          </rPr>
          <t>Zu Kielce a 3Fl mit 10 jähriger Capitulation von Domenien gestellt und in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06/01/1806 </t>
        </r>
        <r>
          <rPr>
            <i/>
            <sz val="14"/>
            <color rgb="FF000000"/>
            <rFont val="Times New Roman"/>
            <family val="18"/>
          </rPr>
          <t>In Spital in Krakau krank</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Comp.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als Unwissend verloren in Abgang gebracht</t>
        </r>
        <r>
          <rPr>
            <sz val="14"/>
            <color rgb="FF000000"/>
            <rFont val="Times New Roman"/>
            <family val="18"/>
          </rPr>
          <t xml:space="preserve"> [ML 1806]</t>
        </r>
        <r>
          <rPr>
            <sz val="14"/>
            <color rgb="FF000000"/>
            <rFont val="Calibri"/>
            <family val="34"/>
          </rPr>
          <t xml:space="preserve">
</t>
        </r>
      </text>
    </comment>
    <comment ref="BG990" authorId="0" shapeId="0" xr:uid="{54043AAC-7B18-8042-809C-19BDDC1C0F8B}">
      <text>
        <r>
          <rPr>
            <sz val="14"/>
            <color rgb="FF000000"/>
            <rFont val="Times New Roman"/>
            <family val="18"/>
          </rPr>
          <t>ML 5017/8 IR 59 (1806) – 16. Fus. Komp. Nr. 289 (Freistadt 22/12/1816) &amp; Reserve Division Zuwachs &amp; Abgang (Wells 06/07/1807) &amp; Cons.‘Unwissend verloren‘ Nr. 391 (Linz 10/07/1807)</t>
        </r>
        <r>
          <rPr>
            <sz val="14"/>
            <color rgb="FF000000"/>
            <rFont val="Calibri"/>
            <family val="34"/>
          </rPr>
          <t xml:space="preserve">
</t>
        </r>
        <r>
          <rPr>
            <sz val="14"/>
            <color rgb="FF000000"/>
            <rFont val="Times New Roman"/>
            <family val="18"/>
          </rPr>
          <t>ML 5067 IR 59 (1805) – AL. Nr. 192 (Kielce 17/11/1805)</t>
        </r>
        <r>
          <rPr>
            <sz val="14"/>
            <color rgb="FF000000"/>
            <rFont val="Calibri"/>
            <family val="34"/>
          </rPr>
          <t xml:space="preserve">
</t>
        </r>
      </text>
    </comment>
    <comment ref="BH990" authorId="0" shapeId="0" xr:uid="{D107C5B6-B1A5-DF48-B1DD-3F1F5993DA9A}">
      <text>
        <r>
          <rPr>
            <sz val="14"/>
            <color rgb="FF000000"/>
            <rFont val="Calibri"/>
            <family val="34"/>
          </rPr>
          <t>IR 59 (1805-1806)</t>
        </r>
      </text>
    </comment>
    <comment ref="BF991" authorId="0" shapeId="0" xr:uid="{B5D1AC53-ACCB-6D4F-BEAF-4F8783D4523C}">
      <text>
        <r>
          <rPr>
            <sz val="14"/>
            <color rgb="FF000000"/>
            <rFont val="Times New Roman"/>
            <family val="18"/>
          </rPr>
          <t xml:space="preserve">17/11/1805 </t>
        </r>
        <r>
          <rPr>
            <i/>
            <sz val="14"/>
            <color rgb="FF000000"/>
            <rFont val="Times New Roman"/>
            <family val="18"/>
          </rPr>
          <t>Von Ständen gegen 3 Fl Handgeld mit 10 jährigen Capitulation zum IR 4 gestellt und zum Haupt Siegel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15/10/1806 </t>
        </r>
        <r>
          <rPr>
            <i/>
            <sz val="14"/>
            <color rgb="FF000000"/>
            <rFont val="Times New Roman"/>
            <family val="18"/>
          </rPr>
          <t>Als auf bestimmten Urlaub verbliebene wegen vermog hoher Verordnung als unwissend verloren in Abgang gebracht</t>
        </r>
        <r>
          <rPr>
            <sz val="14"/>
            <color rgb="FF000000"/>
            <rFont val="Times New Roman"/>
            <family val="18"/>
          </rPr>
          <t xml:space="preserve"> [ML 1806]</t>
        </r>
        <r>
          <rPr>
            <sz val="14"/>
            <color rgb="FF000000"/>
            <rFont val="Calibri"/>
            <family val="34"/>
          </rPr>
          <t xml:space="preserve">
</t>
        </r>
      </text>
    </comment>
    <comment ref="BG991" authorId="0" shapeId="0" xr:uid="{B80BE990-C9B0-2443-8935-D3BF835E6E71}">
      <text>
        <r>
          <rPr>
            <sz val="14"/>
            <color rgb="FF000000"/>
            <rFont val="Times New Roman"/>
            <family val="18"/>
          </rPr>
          <t>ML 31/2 IR 1 (1806) – Haupt Siegel Komp. Zuwachs &amp; Abgang (Proßnitz 17/12/1806)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text>
    </comment>
    <comment ref="BH991" authorId="0" shapeId="0" xr:uid="{8546CEE6-199B-5C40-9DC1-3288ACEDE2CC}">
      <text>
        <r>
          <rPr>
            <sz val="14"/>
            <color rgb="FF000000"/>
            <rFont val="Calibri"/>
            <family val="34"/>
          </rPr>
          <t>IR 1 (1805-1806)</t>
        </r>
      </text>
    </comment>
    <comment ref="BJ991" authorId="0" shapeId="0" xr:uid="{085D84A7-4110-8241-860A-A7B67AFC1CB3}">
      <text>
        <r>
          <rPr>
            <i/>
            <sz val="14"/>
            <color rgb="FF000000"/>
            <rFont val="Times New Roman"/>
            <family val="18"/>
          </rPr>
          <t>Angebliche Beinbruch</t>
        </r>
        <r>
          <rPr>
            <sz val="14"/>
            <color rgb="FF000000"/>
            <rFont val="Times New Roman"/>
            <family val="18"/>
          </rPr>
          <t xml:space="preserve"> [AL Nov 1805]</t>
        </r>
        <r>
          <rPr>
            <sz val="14"/>
            <color rgb="FF000000"/>
            <rFont val="Calibri"/>
            <family val="2"/>
          </rPr>
          <t xml:space="preserve"> </t>
        </r>
      </text>
    </comment>
    <comment ref="BF992" authorId="0" shapeId="0" xr:uid="{198C986D-AB19-DC4B-82B9-B81D4B973A94}">
      <text>
        <r>
          <rPr>
            <sz val="14"/>
            <color rgb="FF000000"/>
            <rFont val="Times New Roman"/>
            <family val="18"/>
          </rPr>
          <t xml:space="preserve">17/11/1805 </t>
        </r>
        <r>
          <rPr>
            <i/>
            <sz val="14"/>
            <color rgb="FF000000"/>
            <rFont val="Times New Roman"/>
            <family val="18"/>
          </rPr>
          <t>Zu Kielce on von Dominien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01/01/1806 </t>
        </r>
        <r>
          <rPr>
            <i/>
            <sz val="14"/>
            <color rgb="FF000000"/>
            <rFont val="Times New Roman"/>
            <family val="18"/>
          </rPr>
          <t>Krank in Garnisons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unwissend verloren in Abgang gebracht</t>
        </r>
        <r>
          <rPr>
            <sz val="14"/>
            <color rgb="FF000000"/>
            <rFont val="Times New Roman"/>
            <family val="18"/>
          </rPr>
          <t xml:space="preserve"> [ML 1806]</t>
        </r>
        <r>
          <rPr>
            <sz val="14"/>
            <color rgb="FF000000"/>
            <rFont val="Calibri"/>
            <family val="34"/>
          </rPr>
          <t xml:space="preserve">
</t>
        </r>
      </text>
    </comment>
    <comment ref="BG992" authorId="0" shapeId="0" xr:uid="{5A27A5EB-4BE5-714E-B7C0-3A1BE04B1BF4}">
      <text>
        <r>
          <rPr>
            <sz val="14"/>
            <color rgb="FF000000"/>
            <rFont val="Times New Roman"/>
            <family val="18"/>
          </rPr>
          <t>ML 5017/8 IR 59 (1806) – 16. Fus. Komp. Nr. 289 (Freistadt 22/12/1816) &amp; Reserve Division Zuwachs &amp; Abgang (Wells 06/07/1807) &amp; Cons.‚Unwissend verlohren‘ Nr. 750 (Linz 10/07/1807)</t>
        </r>
        <r>
          <rPr>
            <sz val="14"/>
            <color rgb="FF000000"/>
            <rFont val="Calibri"/>
            <family val="34"/>
          </rPr>
          <t xml:space="preserve">
</t>
        </r>
        <r>
          <rPr>
            <sz val="14"/>
            <color rgb="FF000000"/>
            <rFont val="Times New Roman"/>
            <family val="18"/>
          </rPr>
          <t>ML 5067 IR 59 (1805) – AL. Nr. 161 (Kielce 17/11/1805)</t>
        </r>
        <r>
          <rPr>
            <sz val="14"/>
            <color rgb="FF000000"/>
            <rFont val="Calibri"/>
            <family val="34"/>
          </rPr>
          <t xml:space="preserve">
</t>
        </r>
      </text>
    </comment>
    <comment ref="BH992" authorId="0" shapeId="0" xr:uid="{6DE6122A-3CCF-9C43-8889-058D20988D54}">
      <text>
        <r>
          <rPr>
            <sz val="14"/>
            <color rgb="FF000000"/>
            <rFont val="Calibri"/>
            <family val="34"/>
          </rPr>
          <t>IR 59 (1805-1806)</t>
        </r>
      </text>
    </comment>
    <comment ref="O993" authorId="0" shapeId="0" xr:uid="{9D8F8CE3-E0AA-0A42-BCA1-2EDE0114A897}">
      <text>
        <r>
          <rPr>
            <sz val="14"/>
            <color rgb="FF000000"/>
            <rFont val="Times New Roman"/>
            <family val="18"/>
          </rPr>
          <t>Lebel (1801)</t>
        </r>
      </text>
    </comment>
    <comment ref="P993" authorId="0" shapeId="0" xr:uid="{599FCD0A-7D3C-504D-991E-52DA4F265855}">
      <text>
        <r>
          <rPr>
            <sz val="14"/>
            <color rgb="FF000000"/>
            <rFont val="Times New Roman"/>
            <family val="18"/>
          </rPr>
          <t>Mara (1799)</t>
        </r>
      </text>
    </comment>
    <comment ref="BF993" authorId="0" shapeId="0" xr:uid="{865AA648-B0AF-BF4F-93F3-19D648115928}">
      <text>
        <r>
          <rPr>
            <sz val="14"/>
            <color rgb="FF000000"/>
            <rFont val="Times New Roman"/>
            <family val="18"/>
          </rPr>
          <t xml:space="preserve">17/11/1805 </t>
        </r>
        <r>
          <rPr>
            <i/>
            <sz val="14"/>
            <color rgb="FF000000"/>
            <rFont val="Times New Roman"/>
            <family val="18"/>
          </rPr>
          <t>Zu Fröhlich Infanterie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16/07/1808 </t>
        </r>
        <r>
          <rPr>
            <i/>
            <sz val="14"/>
            <color rgb="FF000000"/>
            <rFont val="Times New Roman"/>
            <family val="18"/>
          </rPr>
          <t>Zum Krainer-Kärntischer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Inner-Österreichischen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18/09/1810 Revision: GK IÖ 4. Komp. Nr. 54</t>
        </r>
        <r>
          <rPr>
            <sz val="14"/>
            <color rgb="FF000000"/>
            <rFont val="Calibri"/>
            <family val="34"/>
          </rPr>
          <t xml:space="preserve">
</t>
        </r>
        <r>
          <rPr>
            <sz val="14"/>
            <color rgb="FF000000"/>
            <rFont val="Times New Roman"/>
            <family val="18"/>
          </rPr>
          <t>12/09/1811 Muster: GK IÖ 4. Komp. Nr. 75</t>
        </r>
        <r>
          <rPr>
            <sz val="14"/>
            <color rgb="FF000000"/>
            <rFont val="Calibri"/>
            <family val="34"/>
          </rPr>
          <t xml:space="preserve">
</t>
        </r>
        <r>
          <rPr>
            <sz val="14"/>
            <color rgb="FF000000"/>
            <rFont val="Times New Roman"/>
            <family val="18"/>
          </rPr>
          <t>13/09/1812 Revision: GK IÖ 4. Komp. Nr. 53</t>
        </r>
        <r>
          <rPr>
            <sz val="14"/>
            <color rgb="FF000000"/>
            <rFont val="Calibri"/>
            <family val="34"/>
          </rPr>
          <t xml:space="preserve">
</t>
        </r>
        <r>
          <rPr>
            <sz val="14"/>
            <color rgb="FF000000"/>
            <rFont val="Times New Roman"/>
            <family val="18"/>
          </rPr>
          <t xml:space="preserve">20/08/1816 </t>
        </r>
        <r>
          <rPr>
            <i/>
            <sz val="14"/>
            <color rgb="FF000000"/>
            <rFont val="Times New Roman"/>
            <family val="18"/>
          </rPr>
          <t>In Folge höhe Kriegsratlichen Reskript deto Wien unf 25/04/1816 litt nr. 1992 und hohe Illyrischen Inner-Österreichischen commando detto Mai 1816 Lit. K Nr. 3974 als Ausgedienter Inländischer Capitulanten mit Abschied entlassen</t>
        </r>
        <r>
          <rPr>
            <sz val="14"/>
            <color rgb="FF000000"/>
            <rFont val="Times New Roman"/>
            <family val="18"/>
          </rPr>
          <t xml:space="preserve"> [ML 1817]</t>
        </r>
        <r>
          <rPr>
            <sz val="14"/>
            <color rgb="FF000000"/>
            <rFont val="Calibri"/>
            <family val="34"/>
          </rPr>
          <t xml:space="preserve">
</t>
        </r>
        <r>
          <rPr>
            <sz val="14"/>
            <color rgb="FF000000"/>
            <rFont val="Times New Roman"/>
            <family val="18"/>
          </rPr>
          <t>Nie Desertiert (1811) &amp; Capitulant 1815 (1811)</t>
        </r>
        <r>
          <rPr>
            <sz val="14"/>
            <color rgb="FF000000"/>
            <rFont val="Calibri"/>
            <family val="34"/>
          </rPr>
          <t xml:space="preserve">
</t>
        </r>
      </text>
    </comment>
    <comment ref="BG993" authorId="0" shapeId="0" xr:uid="{1DCC34AA-B8B0-104A-BA93-EC6CC58D45F0}">
      <text>
        <r>
          <rPr>
            <sz val="14"/>
            <color rgb="FF000000"/>
            <rFont val="Times New Roman"/>
            <family val="18"/>
          </rPr>
          <t>ML 8750 GK IÖ (1810) – RL 4. Komp. [Haupt. Heibel] Nr. 54 (Cilly 18/09/1810); ML 4. Komp. [Haupt. von Braunitzer] Nr. 75 &amp; Zuwachs (Cilly 12/09/1811); RL 4. Komp. [Haupt. von Braunitzer] Nr. 53 (Tiefern 13/09/1812); ML 4. Komp. [Haupt. Rang] Abgang (Triest 17/10/1817)</t>
        </r>
        <r>
          <rPr>
            <sz val="14"/>
            <color rgb="FF000000"/>
            <rFont val="Calibri"/>
            <family val="34"/>
          </rPr>
          <t xml:space="preserve">
</t>
        </r>
      </text>
    </comment>
    <comment ref="BH993" authorId="0" shapeId="0" xr:uid="{1A693761-BE26-F346-A86A-E5FF0D4174D5}">
      <text>
        <r>
          <rPr>
            <sz val="14"/>
            <color rgb="FF000000"/>
            <rFont val="Calibri"/>
            <family val="34"/>
          </rPr>
          <t xml:space="preserve">IR 28 (1805-1808)
</t>
        </r>
        <r>
          <rPr>
            <sz val="14"/>
            <color rgb="FF000000"/>
            <rFont val="Calibri"/>
            <family val="34"/>
          </rPr>
          <t xml:space="preserve">GK Kr-Kär (1808-1809)
</t>
        </r>
        <r>
          <rPr>
            <sz val="14"/>
            <color rgb="FF000000"/>
            <rFont val="Calibri"/>
            <family val="34"/>
          </rPr>
          <t xml:space="preserve">GK IÖ (1809-1816)
</t>
        </r>
      </text>
    </comment>
    <comment ref="T994" authorId="0" shapeId="0" xr:uid="{07253CA6-45EA-FD4B-A08C-BB4E2386176B}">
      <text>
        <r>
          <rPr>
            <b/>
            <sz val="14"/>
            <color rgb="FF000000"/>
            <rFont val="Calibri"/>
            <family val="34"/>
          </rPr>
          <t xml:space="preserve">5.0.2 [158.44 (AL 1805)]
</t>
        </r>
        <r>
          <rPr>
            <sz val="14"/>
            <color rgb="FF000000"/>
            <rFont val="Calibri"/>
            <family val="34"/>
          </rPr>
          <t>5.2 [163.26 (ML 1806)</t>
        </r>
      </text>
    </comment>
    <comment ref="BF994" authorId="0" shapeId="0" xr:uid="{4FD508F4-612A-0D44-8094-90353CAA5900}">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16/03/1806 </t>
        </r>
        <r>
          <rPr>
            <i/>
            <sz val="14"/>
            <color rgb="FF000000"/>
            <rFont val="Times New Roman"/>
            <family val="18"/>
          </rPr>
          <t xml:space="preserve">Von Dissolvierte Reserve Division zum 8.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15/12/1806 Muster: IR 1 Haupt Hardy Komp. Nr. 108 [</t>
        </r>
        <r>
          <rPr>
            <i/>
            <sz val="14"/>
            <color rgb="FF000000"/>
            <rFont val="Times New Roman"/>
            <family val="18"/>
          </rPr>
          <t>Commandiert in Spital zu Oberwitz</t>
        </r>
        <r>
          <rPr>
            <sz val="14"/>
            <color rgb="FF000000"/>
            <rFont val="Times New Roman"/>
            <family val="18"/>
          </rPr>
          <t>]</t>
        </r>
        <r>
          <rPr>
            <sz val="14"/>
            <color rgb="FF000000"/>
            <rFont val="Calibri"/>
            <family val="34"/>
          </rPr>
          <t xml:space="preserve">
</t>
        </r>
        <r>
          <rPr>
            <sz val="14"/>
            <color rgb="FF000000"/>
            <rFont val="Times New Roman"/>
            <family val="18"/>
          </rPr>
          <t xml:space="preserve">01/01/1807 </t>
        </r>
        <r>
          <rPr>
            <i/>
            <sz val="14"/>
            <color rgb="FF000000"/>
            <rFont val="Times New Roman"/>
            <family val="18"/>
          </rPr>
          <t>Bei der Armee Spital zu Obrowitz kommandiert</t>
        </r>
        <r>
          <rPr>
            <sz val="14"/>
            <color rgb="FF000000"/>
            <rFont val="Times New Roman"/>
            <family val="18"/>
          </rPr>
          <t xml:space="preserve"> [ST Jan 1807]</t>
        </r>
        <r>
          <rPr>
            <sz val="14"/>
            <color rgb="FF000000"/>
            <rFont val="Calibri"/>
            <family val="34"/>
          </rPr>
          <t xml:space="preserve">
</t>
        </r>
        <r>
          <rPr>
            <sz val="14"/>
            <color rgb="FF000000"/>
            <rFont val="Times New Roman"/>
            <family val="18"/>
          </rPr>
          <t xml:space="preserve">11/04/1807 </t>
        </r>
        <r>
          <rPr>
            <i/>
            <sz val="14"/>
            <color rgb="FF000000"/>
            <rFont val="Times New Roman"/>
            <family val="18"/>
          </rPr>
          <t>In Kompanie eingerückt</t>
        </r>
        <r>
          <rPr>
            <sz val="14"/>
            <color rgb="FF000000"/>
            <rFont val="Times New Roman"/>
            <family val="18"/>
          </rPr>
          <t xml:space="preserve"> [ST April 1807]</t>
        </r>
        <r>
          <rPr>
            <sz val="14"/>
            <color rgb="FF000000"/>
            <rFont val="Calibri"/>
            <family val="34"/>
          </rPr>
          <t xml:space="preserve">
</t>
        </r>
        <r>
          <rPr>
            <sz val="14"/>
            <color rgb="FF000000"/>
            <rFont val="Times New Roman"/>
            <family val="18"/>
          </rPr>
          <t xml:space="preserve">04/06 1807 </t>
        </r>
        <r>
          <rPr>
            <i/>
            <sz val="14"/>
            <color rgb="FF000000"/>
            <rFont val="Times New Roman"/>
            <family val="18"/>
          </rPr>
          <t>Krank in Armee Spital in Obrowitz</t>
        </r>
        <r>
          <rPr>
            <sz val="14"/>
            <color rgb="FF000000"/>
            <rFont val="Times New Roman"/>
            <family val="18"/>
          </rPr>
          <t xml:space="preserve"> [ST June 1807]</t>
        </r>
        <r>
          <rPr>
            <sz val="14"/>
            <color rgb="FF000000"/>
            <rFont val="Calibri"/>
            <family val="34"/>
          </rPr>
          <t xml:space="preserve">
</t>
        </r>
        <r>
          <rPr>
            <sz val="14"/>
            <color rgb="FF000000"/>
            <rFont val="Times New Roman"/>
            <family val="18"/>
          </rPr>
          <t xml:space="preserve">16/06/1807 </t>
        </r>
        <r>
          <rPr>
            <i/>
            <sz val="14"/>
            <color rgb="FF000000"/>
            <rFont val="Times New Roman"/>
            <family val="18"/>
          </rPr>
          <t>Rekonvalesziert</t>
        </r>
        <r>
          <rPr>
            <sz val="14"/>
            <color rgb="FF000000"/>
            <rFont val="Times New Roman"/>
            <family val="18"/>
          </rPr>
          <t xml:space="preserve"> [ST June 1807]</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c. 03/1810 </t>
        </r>
        <r>
          <rPr>
            <i/>
            <sz val="14"/>
            <color rgb="FF000000"/>
            <rFont val="Times New Roman"/>
            <family val="18"/>
          </rPr>
          <t>Von Gefangenschaft Ranzioniert</t>
        </r>
        <r>
          <rPr>
            <sz val="14"/>
            <color rgb="FF000000"/>
            <rFont val="Times New Roman"/>
            <family val="18"/>
          </rPr>
          <t xml:space="preserve">
</t>
        </r>
        <r>
          <rPr>
            <sz val="14"/>
            <color rgb="FF000000"/>
            <rFont val="Times New Roman"/>
            <family val="18"/>
          </rPr>
          <t xml:space="preserve">29/11/1810 </t>
        </r>
        <r>
          <rPr>
            <i/>
            <sz val="14"/>
            <color rgb="FF000000"/>
            <rFont val="Times New Roman"/>
            <family val="18"/>
          </rPr>
          <t xml:space="preserve">Krank in Kloster Hradisch </t>
        </r>
        <r>
          <rPr>
            <sz val="14"/>
            <color rgb="FF000000"/>
            <rFont val="Times New Roman"/>
            <family val="18"/>
          </rPr>
          <t>[ST Nov 1810]</t>
        </r>
        <r>
          <rPr>
            <sz val="14"/>
            <color rgb="FF000000"/>
            <rFont val="Calibri"/>
            <family val="34"/>
          </rPr>
          <t xml:space="preserve">
</t>
        </r>
        <r>
          <rPr>
            <sz val="14"/>
            <color rgb="FF000000"/>
            <rFont val="Times New Roman"/>
            <family val="18"/>
          </rPr>
          <t xml:space="preserve">21/12/1810 </t>
        </r>
        <r>
          <rPr>
            <i/>
            <sz val="14"/>
            <color rgb="FF000000"/>
            <rFont val="Times New Roman"/>
            <family val="18"/>
          </rPr>
          <t>Rekonvalesziert</t>
        </r>
        <r>
          <rPr>
            <sz val="14"/>
            <color rgb="FF000000"/>
            <rFont val="Times New Roman"/>
            <family val="18"/>
          </rPr>
          <t xml:space="preserve"> [ST Dec 1810]</t>
        </r>
        <r>
          <rPr>
            <sz val="14"/>
            <color rgb="FF000000"/>
            <rFont val="Calibri"/>
            <family val="34"/>
          </rPr>
          <t xml:space="preserve">
</t>
        </r>
        <r>
          <rPr>
            <sz val="14"/>
            <color rgb="FF000000"/>
            <rFont val="Times New Roman"/>
            <family val="18"/>
          </rPr>
          <t xml:space="preserve">31/08/1811 </t>
        </r>
        <r>
          <rPr>
            <i/>
            <sz val="14"/>
            <color rgb="FF000000"/>
            <rFont val="Times New Roman"/>
            <family val="18"/>
          </rPr>
          <t>Laut Besondere Verordnung als Angehöriger der angetretenen Provinzen mit Abschied entlassen</t>
        </r>
        <r>
          <rPr>
            <sz val="14"/>
            <color rgb="FF000000"/>
            <rFont val="Times New Roman"/>
            <family val="18"/>
          </rPr>
          <t xml:space="preserve"> [ML 1811] </t>
        </r>
      </text>
    </comment>
    <comment ref="BG994" authorId="0" shapeId="0" xr:uid="{510FE213-0D12-E442-BACC-5B58B85E107F}">
      <text>
        <r>
          <rPr>
            <sz val="14"/>
            <color rgb="FF000000"/>
            <rFont val="Times New Roman"/>
            <family val="18"/>
          </rPr>
          <t>ML 31/2 IR 1 (1806) – Haupt Hardy Komp. Nr. 108 (Brünn 15/12/1806)</t>
        </r>
        <r>
          <rPr>
            <sz val="14"/>
            <color rgb="FF000000"/>
            <rFont val="Calibri"/>
            <family val="34"/>
          </rPr>
          <t xml:space="preserve">
</t>
        </r>
        <r>
          <rPr>
            <sz val="14"/>
            <color rgb="FF000000"/>
            <rFont val="Times New Roman"/>
            <family val="18"/>
          </rPr>
          <t>ML 33 IR 1 (1811) – 5. Fus. Komp. Abgang (Olmütz 13/09/1811)</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87 IR 1 (1807) – ST Jan (Brünn 19/07/1807), April (Brünn 28/07/1807), June (Brünn 27/08/1807)</t>
        </r>
        <r>
          <rPr>
            <sz val="14"/>
            <color rgb="FF000000"/>
            <rFont val="Calibri"/>
            <family val="34"/>
          </rPr>
          <t xml:space="preserve">
</t>
        </r>
        <r>
          <rPr>
            <sz val="14"/>
            <color rgb="FF000000"/>
            <rFont val="Times New Roman"/>
            <family val="18"/>
          </rPr>
          <t>ML 91 IR 1 (1809) – ST April (Proßnitz 26/07/1810)</t>
        </r>
        <r>
          <rPr>
            <sz val="14"/>
            <color rgb="FF000000"/>
            <rFont val="Calibri"/>
            <family val="34"/>
          </rPr>
          <t xml:space="preserve">
</t>
        </r>
        <r>
          <rPr>
            <sz val="14"/>
            <color rgb="FF000000"/>
            <rFont val="Times New Roman"/>
            <family val="18"/>
          </rPr>
          <t>ML 94 IR 1 (1810) – ST Nov (Proßnitz 06/04/1811), Dec (12/04/1811)</t>
        </r>
        <r>
          <rPr>
            <sz val="14"/>
            <color rgb="FF000000"/>
            <rFont val="Calibri"/>
            <family val="34"/>
          </rPr>
          <t xml:space="preserve">
</t>
        </r>
        <r>
          <rPr>
            <sz val="14"/>
            <color rgb="FF000000"/>
            <rFont val="Times New Roman"/>
            <family val="18"/>
          </rPr>
          <t>ML 96 IR 1 (1811) – ST Sept (Proßnitz 12/11/1811)</t>
        </r>
        <r>
          <rPr>
            <sz val="14"/>
            <color rgb="FF000000"/>
            <rFont val="Calibri"/>
            <family val="34"/>
          </rPr>
          <t xml:space="preserve">
</t>
        </r>
      </text>
    </comment>
    <comment ref="BH994" authorId="0" shapeId="0" xr:uid="{C2F4848A-DAFE-DD4D-B904-22FAFC4DC84E}">
      <text>
        <r>
          <rPr>
            <sz val="14"/>
            <color rgb="FF000000"/>
            <rFont val="Calibri"/>
            <family val="34"/>
          </rPr>
          <t>IR 1 (1805-1811)</t>
        </r>
      </text>
    </comment>
    <comment ref="I995" authorId="0" shapeId="0" xr:uid="{DC4D00CB-4A65-D345-92E8-689A5DC0CC6F}">
      <text>
        <r>
          <rPr>
            <b/>
            <sz val="14"/>
            <color rgb="FF000000"/>
            <rFont val="Calibri"/>
            <family val="34"/>
          </rPr>
          <t xml:space="preserve">1789 [16 (SUP Sept 1806)]
</t>
        </r>
        <r>
          <rPr>
            <sz val="14"/>
            <color rgb="FF000000"/>
            <rFont val="Calibri"/>
            <family val="34"/>
          </rPr>
          <t xml:space="preserve">OR 
</t>
        </r>
        <r>
          <rPr>
            <sz val="14"/>
            <color rgb="FF000000"/>
            <rFont val="Calibri"/>
            <family val="34"/>
          </rPr>
          <t>1788 [18 (ML 1806)]</t>
        </r>
      </text>
    </comment>
    <comment ref="BF995" authorId="0" shapeId="0" xr:uid="{840506F3-7519-3543-969F-BEA20E5B7F6B}">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16/03/1806 </t>
        </r>
        <r>
          <rPr>
            <i/>
            <sz val="14"/>
            <color rgb="FF000000"/>
            <rFont val="Times New Roman"/>
            <family val="18"/>
          </rPr>
          <t xml:space="preserve">Von Dissolvierte Reserve Division zum 8.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14/09/1806 Als Angehöriger von Hardy Komp. wegen Schwache und Krummheit superarbietriert: </t>
        </r>
        <r>
          <rPr>
            <i/>
            <sz val="14"/>
            <color rgb="FF000000"/>
            <rFont val="Times New Roman"/>
            <family val="18"/>
          </rPr>
          <t>mit Laufpaß zu entlassen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10/11/1806 </t>
        </r>
        <r>
          <rPr>
            <i/>
            <sz val="14"/>
            <color rgb="FF000000"/>
            <rFont val="Times New Roman"/>
            <family val="18"/>
          </rPr>
          <t>Als Reale Invalid mit Laufpaß entlassen</t>
        </r>
        <r>
          <rPr>
            <sz val="14"/>
            <color rgb="FF000000"/>
            <rFont val="Times New Roman"/>
            <family val="18"/>
          </rPr>
          <t xml:space="preserve"> [ML 1806]</t>
        </r>
        <r>
          <rPr>
            <sz val="14"/>
            <color rgb="FF000000"/>
            <rFont val="Calibri"/>
            <family val="34"/>
          </rPr>
          <t xml:space="preserve">
</t>
        </r>
      </text>
    </comment>
    <comment ref="BG995" authorId="0" shapeId="0" xr:uid="{BF8A01D0-7BDE-F840-B9A2-40C0A0B159AF}">
      <text>
        <r>
          <rPr>
            <sz val="14"/>
            <color rgb="FF000000"/>
            <rFont val="Times New Roman"/>
            <family val="18"/>
          </rPr>
          <t>ML 31/2 IR 1 (1806) – Haupt Hardy Komp. Abgang (Brünn 15/12/1806)</t>
        </r>
        <r>
          <rPr>
            <sz val="14"/>
            <color rgb="FF000000"/>
            <rFont val="Calibri"/>
            <family val="34"/>
          </rPr>
          <t xml:space="preserve">
</t>
        </r>
        <r>
          <rPr>
            <sz val="14"/>
            <color rgb="FF000000"/>
            <rFont val="Times New Roman"/>
            <family val="18"/>
          </rPr>
          <t>ML 86 IR 1 (1806) – AL unumbered (Brzezan 25/11/1805); SUP Nr. 6 (Brünn 14/09/1806)</t>
        </r>
        <r>
          <rPr>
            <sz val="14"/>
            <color rgb="FF000000"/>
            <rFont val="Calibri"/>
            <family val="34"/>
          </rPr>
          <t xml:space="preserve">
</t>
        </r>
        <r>
          <rPr>
            <b/>
            <sz val="14"/>
            <color rgb="FF000000"/>
            <rFont val="Times New Roman"/>
            <family val="18"/>
          </rPr>
          <t> </t>
        </r>
        <r>
          <rPr>
            <sz val="14"/>
            <color rgb="FF000000"/>
            <rFont val="Calibri"/>
            <family val="34"/>
          </rPr>
          <t xml:space="preserve">
</t>
        </r>
      </text>
    </comment>
    <comment ref="BH995" authorId="0" shapeId="0" xr:uid="{A10AF37A-02E3-2946-B0F9-F0216AD40913}">
      <text>
        <r>
          <rPr>
            <sz val="14"/>
            <color rgb="FF000000"/>
            <rFont val="Calibri"/>
            <family val="34"/>
          </rPr>
          <t>IR 1 (1805-1806)</t>
        </r>
      </text>
    </comment>
    <comment ref="BI995" authorId="0" shapeId="0" xr:uid="{941BB5B1-4891-3E44-AC71-163068813153}">
      <text>
        <r>
          <rPr>
            <i/>
            <sz val="14"/>
            <color rgb="FF000000"/>
            <rFont val="Times New Roman"/>
            <family val="18"/>
          </rPr>
          <t>Gut</t>
        </r>
        <r>
          <rPr>
            <sz val="14"/>
            <color rgb="FF000000"/>
            <rFont val="Times New Roman"/>
            <family val="18"/>
          </rPr>
          <t xml:space="preserve"> [SUP Sept 1806]</t>
        </r>
        <r>
          <rPr>
            <sz val="14"/>
            <color rgb="FF000000"/>
            <rFont val="Calibri"/>
            <family val="2"/>
          </rPr>
          <t xml:space="preserve"> </t>
        </r>
      </text>
    </comment>
    <comment ref="BJ995" authorId="0" shapeId="0" xr:uid="{9BBCB0BC-EDC4-5B40-80D0-13622A72A8FC}">
      <text>
        <r>
          <rPr>
            <i/>
            <sz val="14"/>
            <color rgb="FF000000"/>
            <rFont val="Times New Roman"/>
            <family val="18"/>
          </rPr>
          <t xml:space="preserve">Schwach und krumm </t>
        </r>
        <r>
          <rPr>
            <sz val="14"/>
            <color rgb="FF000000"/>
            <rFont val="Times New Roman"/>
            <family val="18"/>
          </rPr>
          <t>(Schwächliche und sehr ungleiche Körperbau, Fehlerhaftes Zustands des ganzen Lymphysteines, daher Anlage zu fräßen Aufschwellungen und Lymphenschwasten Fahler im linken Kniegelenkes von hohe davon gewinkt fur scropuloeser Diathesis dies hat nur frischer auch in der Folge kein Wachshaut und körperliche Statur)</t>
        </r>
        <r>
          <rPr>
            <i/>
            <sz val="14"/>
            <color rgb="FF000000"/>
            <rFont val="Times New Roman"/>
            <family val="18"/>
          </rPr>
          <t xml:space="preserve"> </t>
        </r>
        <r>
          <rPr>
            <sz val="14"/>
            <color rgb="FF000000"/>
            <rFont val="Times New Roman"/>
            <family val="18"/>
          </rPr>
          <t xml:space="preserve">[SUP Sept 1806] </t>
        </r>
      </text>
    </comment>
    <comment ref="BF996" authorId="0" shapeId="0" xr:uid="{894E98F9-E157-7A45-90C4-40F41C1A4ACF}">
      <text>
        <r>
          <rPr>
            <sz val="14"/>
            <color rgb="FF000000"/>
            <rFont val="Times New Roman"/>
            <family val="18"/>
          </rPr>
          <t xml:space="preserve">18/11/1805 </t>
        </r>
        <r>
          <rPr>
            <i/>
            <sz val="14"/>
            <color rgb="FF000000"/>
            <rFont val="Times New Roman"/>
            <family val="18"/>
          </rPr>
          <t>Zu Konskie als Inländer und Werbbezirk recrout Land gegen 3Fl zum IR 20 gestellt und zur 5. Fus. Komp. Schreyer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25/08/1806 </t>
        </r>
        <r>
          <rPr>
            <i/>
            <sz val="14"/>
            <color rgb="FF000000"/>
            <rFont val="Times New Roman"/>
            <family val="18"/>
          </rPr>
          <t>Wegen kurzer Dienstzeit und sonst anhabenden Defekten zu Folge Hohe General Commando Verordenung deto brunn 24/ July 1806 Litt. R nr. 6098 mit Laufpass entlassen</t>
        </r>
        <r>
          <rPr>
            <sz val="14"/>
            <color rgb="FF000000"/>
            <rFont val="Calibri"/>
            <family val="34"/>
          </rPr>
          <t xml:space="preserve"> </t>
        </r>
        <r>
          <rPr>
            <sz val="14"/>
            <color rgb="FF000000"/>
            <rFont val="Times New Roman"/>
            <family val="18"/>
          </rPr>
          <t>[ML 1806]</t>
        </r>
        <r>
          <rPr>
            <sz val="14"/>
            <color rgb="FF000000"/>
            <rFont val="Calibri"/>
            <family val="34"/>
          </rPr>
          <t xml:space="preserve">
</t>
        </r>
      </text>
    </comment>
    <comment ref="BG996" authorId="0" shapeId="0" xr:uid="{E883458E-52AA-B645-8A15-458EBD1F5C1E}">
      <text>
        <r>
          <rPr>
            <sz val="14"/>
            <color rgb="FF000000"/>
            <rFont val="Times New Roman"/>
            <family val="18"/>
          </rPr>
          <t>ML 1623/5 IR 20 (1806) – 7. Fus. Komp. Abgang (Olmütz 15/12/1806)</t>
        </r>
        <r>
          <rPr>
            <sz val="14"/>
            <color rgb="FF000000"/>
            <rFont val="Calibri"/>
            <family val="34"/>
          </rPr>
          <t xml:space="preserve">
</t>
        </r>
        <r>
          <rPr>
            <sz val="14"/>
            <color rgb="FF000000"/>
            <rFont val="Times New Roman"/>
            <family val="18"/>
          </rPr>
          <t>ML 1661 IR 20 (1806) – AL. Nr. 191 (Konskie 07/01/1806)</t>
        </r>
        <r>
          <rPr>
            <sz val="14"/>
            <color rgb="FF000000"/>
            <rFont val="Calibri"/>
            <family val="34"/>
          </rPr>
          <t xml:space="preserve">
</t>
        </r>
      </text>
    </comment>
    <comment ref="BH996" authorId="0" shapeId="0" xr:uid="{EA136944-EE0C-0547-877E-AFF82BCFACEE}">
      <text>
        <r>
          <rPr>
            <sz val="14"/>
            <color rgb="FF000000"/>
            <rFont val="Calibri"/>
            <family val="34"/>
          </rPr>
          <t>IR 20 (1805-1806)</t>
        </r>
      </text>
    </comment>
    <comment ref="BF997" authorId="0" shapeId="0" xr:uid="{04EC118A-D507-CC40-8C10-4CFF754E207F}">
      <text>
        <r>
          <rPr>
            <sz val="14"/>
            <color rgb="FF000000"/>
            <rFont val="Times New Roman"/>
            <family val="18"/>
          </rPr>
          <t xml:space="preserve">18/11/1805 </t>
        </r>
        <r>
          <rPr>
            <i/>
            <sz val="14"/>
            <color rgb="FF000000"/>
            <rFont val="Times New Roman"/>
            <family val="18"/>
          </rPr>
          <t>In Lemberg assentiert</t>
        </r>
        <r>
          <rPr>
            <sz val="14"/>
            <color rgb="FF000000"/>
            <rFont val="Times New Roman"/>
            <family val="18"/>
          </rPr>
          <t xml:space="preserve"> [SUP 1806]</t>
        </r>
        <r>
          <rPr>
            <sz val="14"/>
            <color rgb="FF000000"/>
            <rFont val="Calibri"/>
            <family val="34"/>
          </rPr>
          <t xml:space="preserve">
</t>
        </r>
        <r>
          <rPr>
            <sz val="14"/>
            <color rgb="FF000000"/>
            <rFont val="Times New Roman"/>
            <family val="18"/>
          </rPr>
          <t>21/04/1804 Superarbitrierung: 2 Reserve Komp. (Zum Chaveux Comp Zugeteilt) [</t>
        </r>
        <r>
          <rPr>
            <i/>
            <sz val="14"/>
            <color rgb="FF000000"/>
            <rFont val="Times New Roman"/>
            <family val="18"/>
          </rPr>
          <t>Zu Beurlauben</t>
        </r>
        <r>
          <rPr>
            <sz val="14"/>
            <color rgb="FF000000"/>
            <rFont val="Times New Roman"/>
            <family val="18"/>
          </rPr>
          <t>]</t>
        </r>
        <r>
          <rPr>
            <sz val="14"/>
            <color rgb="FF000000"/>
            <rFont val="Calibri"/>
            <family val="34"/>
          </rPr>
          <t xml:space="preserve">
</t>
        </r>
        <r>
          <rPr>
            <sz val="14"/>
            <color rgb="FF000000"/>
            <rFont val="Times New Roman"/>
            <family val="18"/>
          </rPr>
          <t xml:space="preserve">30/08/1808 </t>
        </r>
        <r>
          <rPr>
            <i/>
            <sz val="14"/>
            <color rgb="FF000000"/>
            <rFont val="Times New Roman"/>
            <family val="18"/>
          </rPr>
          <t>von Urlaub Desertiert</t>
        </r>
        <r>
          <rPr>
            <sz val="14"/>
            <color rgb="FF000000"/>
            <rFont val="Times New Roman"/>
            <family val="18"/>
          </rPr>
          <t xml:space="preserve"> [RL 1808]</t>
        </r>
        <r>
          <rPr>
            <sz val="14"/>
            <color rgb="FF000000"/>
            <rFont val="Calibri"/>
            <family val="34"/>
          </rPr>
          <t xml:space="preserve">
</t>
        </r>
      </text>
    </comment>
    <comment ref="BG997" authorId="0" shapeId="0" xr:uid="{F4F5F45C-EF35-CE49-A7B1-D97D83563337}">
      <text>
        <r>
          <rPr>
            <sz val="14"/>
            <color rgb="FF000000"/>
            <rFont val="Times New Roman"/>
            <family val="18"/>
          </rPr>
          <t>ML 2632 IR 30 (1806) – SUP 6. Battalion &amp; Reserve Division Nr. 97 (Lemberg 21/04/1806); RL 16. Fus Komp. – Abgang (Lemberg 05/09/1808)</t>
        </r>
        <r>
          <rPr>
            <sz val="14"/>
            <color rgb="FF000000"/>
            <rFont val="Calibri"/>
            <family val="34"/>
          </rPr>
          <t xml:space="preserve">
</t>
        </r>
      </text>
    </comment>
    <comment ref="BH997" authorId="0" shapeId="0" xr:uid="{B9B2DA46-0A69-2F48-83CC-9D17EFF0EA08}">
      <text>
        <r>
          <rPr>
            <sz val="14"/>
            <color rgb="FF000000"/>
            <rFont val="Calibri"/>
            <family val="34"/>
          </rPr>
          <t>IR 30 (1805-1808)</t>
        </r>
      </text>
    </comment>
    <comment ref="BJ997" authorId="0" shapeId="0" xr:uid="{845161D8-03BA-8B41-8B7E-30BD86A1D3C4}">
      <text>
        <r>
          <rPr>
            <i/>
            <sz val="14"/>
            <color rgb="FF000000"/>
            <rFont val="Times New Roman"/>
            <family val="18"/>
          </rPr>
          <t>Blode Augen, engbrüstig, Plattfüßig, und gleiderschwache</t>
        </r>
        <r>
          <rPr>
            <sz val="14"/>
            <color rgb="FF000000"/>
            <rFont val="Times New Roman"/>
            <family val="18"/>
          </rPr>
          <t xml:space="preserve"> ; Durch Krankheit [SUP 1806]</t>
        </r>
        <r>
          <rPr>
            <sz val="14"/>
            <color rgb="FF000000"/>
            <rFont val="Calibri"/>
            <family val="2"/>
          </rPr>
          <t xml:space="preserve"> </t>
        </r>
      </text>
    </comment>
    <comment ref="BF998" authorId="0" shapeId="0" xr:uid="{D5B25BF2-330B-8E4B-A337-FD245CAA36FC}">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01/05/1806 </t>
        </r>
        <r>
          <rPr>
            <i/>
            <sz val="14"/>
            <color rgb="FF000000"/>
            <rFont val="Times New Roman"/>
            <family val="18"/>
          </rPr>
          <t>Von Haupt Galler zum 15.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17/12/1806 Muster: IR 1 Haupt Vanderbank Komp. Nr. 172 [</t>
        </r>
        <r>
          <rPr>
            <i/>
            <sz val="14"/>
            <color rgb="FF000000"/>
            <rFont val="Times New Roman"/>
            <family val="18"/>
          </rPr>
          <t>Auf Matazier Wacht zu Boskowitz</t>
        </r>
        <r>
          <rPr>
            <sz val="14"/>
            <color rgb="FF000000"/>
            <rFont val="Times New Roman"/>
            <family val="18"/>
          </rPr>
          <t>]</t>
        </r>
        <r>
          <rPr>
            <sz val="14"/>
            <color rgb="FF000000"/>
            <rFont val="Calibri"/>
            <family val="34"/>
          </rPr>
          <t xml:space="preserve">
</t>
        </r>
        <r>
          <rPr>
            <sz val="14"/>
            <color rgb="FF000000"/>
            <rFont val="Times New Roman"/>
            <family val="18"/>
          </rPr>
          <t xml:space="preserve">06/03/1807 </t>
        </r>
        <r>
          <rPr>
            <i/>
            <sz val="14"/>
            <color rgb="FF000000"/>
            <rFont val="Times New Roman"/>
            <family val="18"/>
          </rPr>
          <t>Wegen Taubheit in Brünn Superarbitriert</t>
        </r>
        <r>
          <rPr>
            <sz val="14"/>
            <color rgb="FF000000"/>
            <rFont val="Times New Roman"/>
            <family val="18"/>
          </rPr>
          <t xml:space="preserve">: </t>
        </r>
        <r>
          <rPr>
            <i/>
            <sz val="14"/>
            <color rgb="FF000000"/>
            <rFont val="Times New Roman"/>
            <family val="18"/>
          </rPr>
          <t>Taub uns nachteiliger Körperbau</t>
        </r>
        <r>
          <rPr>
            <sz val="14"/>
            <color rgb="FF000000"/>
            <rFont val="Times New Roman"/>
            <family val="18"/>
          </rPr>
          <t>; Mit Laufpaß zu entlassen [SUP March 1807]</t>
        </r>
        <r>
          <rPr>
            <sz val="14"/>
            <color rgb="FF000000"/>
            <rFont val="Calibri"/>
            <family val="34"/>
          </rPr>
          <t xml:space="preserve">
</t>
        </r>
        <r>
          <rPr>
            <sz val="14"/>
            <color rgb="FF000000"/>
            <rFont val="Times New Roman"/>
            <family val="18"/>
          </rPr>
          <t xml:space="preserve">30/04/1807 </t>
        </r>
        <r>
          <rPr>
            <i/>
            <sz val="14"/>
            <color rgb="FF000000"/>
            <rFont val="Times New Roman"/>
            <family val="18"/>
          </rPr>
          <t>Zu Folge hoher General Kommando Verordnung ddt. Brünn den 23. März R: 1794 und der mit derselbe am 7. März zu Brünn vorhergenommene Superarbietreirung als untauglich mit Laufpaß entlassen</t>
        </r>
        <r>
          <rPr>
            <sz val="14"/>
            <color rgb="FF000000"/>
            <rFont val="Times New Roman"/>
            <family val="18"/>
          </rPr>
          <t xml:space="preserve"> [ST April 1807]</t>
        </r>
        <r>
          <rPr>
            <sz val="14"/>
            <color rgb="FF000000"/>
            <rFont val="Calibri"/>
            <family val="2"/>
          </rPr>
          <t xml:space="preserve"> </t>
        </r>
      </text>
    </comment>
    <comment ref="BG998" authorId="0" shapeId="0" xr:uid="{34FECD63-3029-1C46-A4D4-ACE9602CF963}">
      <text>
        <r>
          <rPr>
            <sz val="14"/>
            <color rgb="FF000000"/>
            <rFont val="Times New Roman"/>
            <family val="18"/>
          </rPr>
          <t>ML 31/2 IR 1 (1806) – Haupt Vanderbank Komp. Nr. 172 (Proßnitz 17/12/1806)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87 IR 1 (1807) – ST April (Brünn 28/07/1807)</t>
        </r>
        <r>
          <rPr>
            <sz val="14"/>
            <color rgb="FF000000"/>
            <rFont val="Calibri"/>
            <family val="34"/>
          </rPr>
          <t xml:space="preserve">
</t>
        </r>
        <r>
          <rPr>
            <sz val="14"/>
            <color rgb="FF000000"/>
            <rFont val="Times New Roman"/>
            <family val="18"/>
          </rPr>
          <t>ML 88 IR 1 (1807) – SUP Nr. 43 (Brünn 06/03/1807)</t>
        </r>
        <r>
          <rPr>
            <sz val="14"/>
            <color rgb="FF000000"/>
            <rFont val="Calibri"/>
            <family val="34"/>
          </rPr>
          <t xml:space="preserve">
</t>
        </r>
        <r>
          <rPr>
            <sz val="14"/>
            <color rgb="FF000000"/>
            <rFont val="Calibri"/>
            <family val="34"/>
          </rPr>
          <t xml:space="preserve">
</t>
        </r>
      </text>
    </comment>
    <comment ref="BH998" authorId="0" shapeId="0" xr:uid="{60262874-F3F7-9545-89BF-D3EBB63F906F}">
      <text>
        <r>
          <rPr>
            <sz val="14"/>
            <color rgb="FF000000"/>
            <rFont val="Calibri"/>
            <family val="34"/>
          </rPr>
          <t>IR 1 (1805-1807)</t>
        </r>
      </text>
    </comment>
    <comment ref="BJ998" authorId="0" shapeId="0" xr:uid="{A248CA16-85A8-D746-9BC4-30131E84A3CA}">
      <text>
        <r>
          <rPr>
            <i/>
            <sz val="14"/>
            <color rgb="FF000000"/>
            <rFont val="Times New Roman"/>
            <family val="18"/>
          </rPr>
          <t>Taub uns nachteiliger Körperbau</t>
        </r>
        <r>
          <rPr>
            <sz val="14"/>
            <color rgb="FF000000"/>
            <rFont val="Times New Roman"/>
            <family val="18"/>
          </rPr>
          <t xml:space="preserve"> [SUP March 1807]</t>
        </r>
      </text>
    </comment>
    <comment ref="BF999" authorId="0" shapeId="0" xr:uid="{B1576176-77EC-E14C-B713-3AAE1F737D2E}">
      <text>
        <r>
          <rPr>
            <sz val="14"/>
            <color rgb="FF000000"/>
            <rFont val="Times New Roman"/>
            <family val="18"/>
          </rPr>
          <t xml:space="preserve">18/11/1805 </t>
        </r>
        <r>
          <rPr>
            <i/>
            <sz val="14"/>
            <color rgb="FF000000"/>
            <rFont val="Times New Roman"/>
            <family val="18"/>
          </rPr>
          <t>Zu Konkie West Gallizien als Werbbezirk Recrout a 3Fl zum IR 20 gestellt und zur 5. Fus. Komp. Schreyer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03/08/1806: Superarbietriet: </t>
        </r>
        <r>
          <rPr>
            <i/>
            <sz val="14"/>
            <color rgb="FF000000"/>
            <rFont val="Times New Roman"/>
            <family val="18"/>
          </rPr>
          <t xml:space="preserve">Mit Krankheiten Belastigt </t>
        </r>
        <r>
          <rPr>
            <sz val="14"/>
            <color rgb="FF000000"/>
            <rFont val="Times New Roman"/>
            <family val="18"/>
          </rPr>
          <t>[Angehoriger von 5. Komp.]</t>
        </r>
        <r>
          <rPr>
            <sz val="14"/>
            <color rgb="FF000000"/>
            <rFont val="Calibri"/>
            <family val="34"/>
          </rPr>
          <t xml:space="preserve">
</t>
        </r>
        <r>
          <rPr>
            <sz val="14"/>
            <color rgb="FF000000"/>
            <rFont val="Times New Roman"/>
            <family val="18"/>
          </rPr>
          <t xml:space="preserve">30/09/1806 </t>
        </r>
        <r>
          <rPr>
            <i/>
            <sz val="14"/>
            <color rgb="FF000000"/>
            <rFont val="Times New Roman"/>
            <family val="18"/>
          </rPr>
          <t>Wegen Aufhabenden Defekten du kürzer Dienstzeit mit Laufpass entlassen</t>
        </r>
        <r>
          <rPr>
            <sz val="14"/>
            <color rgb="FF000000"/>
            <rFont val="Times New Roman"/>
            <family val="18"/>
          </rPr>
          <t xml:space="preserve"> [ML 1806]</t>
        </r>
        <r>
          <rPr>
            <sz val="14"/>
            <color rgb="FF000000"/>
            <rFont val="Calibri"/>
            <family val="34"/>
          </rPr>
          <t xml:space="preserve">
</t>
        </r>
      </text>
    </comment>
    <comment ref="BG999" authorId="0" shapeId="0" xr:uid="{3E8A0EEA-92AF-8D40-ADC8-C425F8467E69}">
      <text>
        <r>
          <rPr>
            <sz val="14"/>
            <color rgb="FF000000"/>
            <rFont val="Times New Roman"/>
            <family val="18"/>
          </rPr>
          <t>ML 1623-5 IR 20 (1806) – 7. Fus. Komp. Abgang (Olmütz 15/12/1806)</t>
        </r>
        <r>
          <rPr>
            <sz val="14"/>
            <color rgb="FF000000"/>
            <rFont val="Calibri"/>
            <family val="34"/>
          </rPr>
          <t xml:space="preserve">
</t>
        </r>
        <r>
          <rPr>
            <sz val="14"/>
            <color rgb="FF000000"/>
            <rFont val="Times New Roman"/>
            <family val="18"/>
          </rPr>
          <t>ML 1661 IR 20 (1806) – AL. Nr. 192 (Konskie 07/01/1806); SUP Nr. 3 (Hradisch 03/08/1806)</t>
        </r>
        <r>
          <rPr>
            <sz val="14"/>
            <color rgb="FF000000"/>
            <rFont val="Calibri"/>
            <family val="34"/>
          </rPr>
          <t xml:space="preserve">
</t>
        </r>
      </text>
    </comment>
    <comment ref="BH999" authorId="0" shapeId="0" xr:uid="{FA9C927D-41D6-F047-A6CC-89CB57C13B6A}">
      <text>
        <r>
          <rPr>
            <sz val="14"/>
            <color rgb="FF000000"/>
            <rFont val="Calibri"/>
            <family val="34"/>
          </rPr>
          <t>IR 20 (1805-1806)</t>
        </r>
      </text>
    </comment>
    <comment ref="BF1000" authorId="0" shapeId="0" xr:uid="{AC550357-224D-1C4E-B5F0-BF08A9AD3A5E}">
      <text>
        <r>
          <rPr>
            <sz val="14"/>
            <color rgb="FF000000"/>
            <rFont val="Times New Roman"/>
            <family val="18"/>
          </rPr>
          <t xml:space="preserve">18/11/1805 </t>
        </r>
        <r>
          <rPr>
            <i/>
            <sz val="14"/>
            <color rgb="FF000000"/>
            <rFont val="Times New Roman"/>
            <family val="18"/>
          </rPr>
          <t>Als ständische Rekrut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01/12/1806 </t>
        </r>
        <r>
          <rPr>
            <i/>
            <sz val="14"/>
            <color rgb="FF000000"/>
            <rFont val="Times New Roman"/>
            <family val="18"/>
          </rPr>
          <t>Von der 3. zur 14.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14. Fus. Komp. Nr. 220 [</t>
        </r>
        <r>
          <rPr>
            <i/>
            <sz val="14"/>
            <color rgb="FF000000"/>
            <rFont val="Times New Roman"/>
            <family val="18"/>
          </rPr>
          <t>Krank zu Spital in Theresienstadt</t>
        </r>
        <r>
          <rPr>
            <sz val="14"/>
            <color rgb="FF000000"/>
            <rFont val="Times New Roman"/>
            <family val="18"/>
          </rPr>
          <t>]</t>
        </r>
        <r>
          <rPr>
            <sz val="14"/>
            <color rgb="FF000000"/>
            <rFont val="Calibri"/>
            <family val="34"/>
          </rPr>
          <t xml:space="preserve">
</t>
        </r>
        <r>
          <rPr>
            <sz val="14"/>
            <color rgb="FF000000"/>
            <rFont val="Times New Roman"/>
            <family val="18"/>
          </rPr>
          <t xml:space="preserve">??/XX/1807 Superarbitriert: </t>
        </r>
        <r>
          <rPr>
            <i/>
            <sz val="14"/>
            <color rgb="FF000000"/>
            <rFont val="Times New Roman"/>
            <family val="18"/>
          </rPr>
          <t>Wegen Blattfussigkeit fur k.k. Kriegsdient Untaglich</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25/04/1807 </t>
        </r>
        <r>
          <rPr>
            <i/>
            <sz val="14"/>
            <color rgb="FF000000"/>
            <rFont val="Times New Roman"/>
            <family val="18"/>
          </rPr>
          <t>Wegen Untauglichkeit und kurzer Dienstzeit mit Laufpaß entlassen</t>
        </r>
        <r>
          <rPr>
            <sz val="14"/>
            <color rgb="FF000000"/>
            <rFont val="Times New Roman"/>
            <family val="18"/>
          </rPr>
          <t xml:space="preserve"> [ML 1808]</t>
        </r>
        <r>
          <rPr>
            <sz val="14"/>
            <color rgb="FF000000"/>
            <rFont val="Calibri"/>
            <family val="34"/>
          </rPr>
          <t xml:space="preserve">
</t>
        </r>
      </text>
    </comment>
    <comment ref="BG1000" authorId="0" shapeId="0" xr:uid="{CD0A83EE-C58C-184B-8E59-1969D57AC506}">
      <text>
        <r>
          <rPr>
            <sz val="14"/>
            <color rgb="FF000000"/>
            <rFont val="Times New Roman"/>
            <family val="18"/>
          </rPr>
          <t>ML 3772 IR 42 (1806) –14. Füsilier Komp. Nr. 220 &amp; Zuwachs (Thersienstadt 22/12/1806)</t>
        </r>
        <r>
          <rPr>
            <sz val="14"/>
            <color rgb="FF000000"/>
            <rFont val="Calibri"/>
            <family val="34"/>
          </rPr>
          <t xml:space="preserve">
</t>
        </r>
        <r>
          <rPr>
            <sz val="14"/>
            <color rgb="FF000000"/>
            <rFont val="Times New Roman"/>
            <family val="18"/>
          </rPr>
          <t>ML 3831 IR 42 (1807) – SUP von Ständischen Rekrouten Nr. 19 (04/1807)</t>
        </r>
        <r>
          <rPr>
            <sz val="14"/>
            <color rgb="FF000000"/>
            <rFont val="Calibri"/>
            <family val="34"/>
          </rPr>
          <t xml:space="preserve">
</t>
        </r>
        <r>
          <rPr>
            <sz val="14"/>
            <color rgb="FF000000"/>
            <rFont val="Times New Roman"/>
            <family val="18"/>
          </rPr>
          <t>ML 3774 IR 42 (1808) –14. Fus. Komp. Abgang (Lobositz 16/09/1808)</t>
        </r>
        <r>
          <rPr>
            <sz val="14"/>
            <color rgb="FF000000"/>
            <rFont val="Calibri"/>
            <family val="34"/>
          </rPr>
          <t xml:space="preserve">
</t>
        </r>
      </text>
    </comment>
    <comment ref="BH1000" authorId="0" shapeId="0" xr:uid="{72634891-200B-884D-A168-26F215D63A93}">
      <text>
        <r>
          <rPr>
            <sz val="14"/>
            <color rgb="FF000000"/>
            <rFont val="Calibri"/>
            <family val="34"/>
          </rPr>
          <t>IR 20 (1805-1807)</t>
        </r>
      </text>
    </comment>
    <comment ref="BI1000" authorId="0" shapeId="0" xr:uid="{A3BB3BA6-1BA3-E849-8650-2AE192742F05}">
      <text>
        <r>
          <rPr>
            <sz val="14"/>
            <color rgb="FF000000"/>
            <rFont val="Calibri"/>
            <family val="34"/>
          </rPr>
          <t>Gut [SUP April 1807]</t>
        </r>
      </text>
    </comment>
    <comment ref="BJ1000" authorId="0" shapeId="0" xr:uid="{DB7CF075-942A-564D-B830-1BA3523BCB94}">
      <text>
        <r>
          <rPr>
            <i/>
            <sz val="14"/>
            <color rgb="FF000000"/>
            <rFont val="Times New Roman"/>
            <family val="18"/>
          </rPr>
          <t>Plattfüßig</t>
        </r>
        <r>
          <rPr>
            <sz val="14"/>
            <color rgb="FF000000"/>
            <rFont val="Calibri"/>
            <family val="2"/>
          </rPr>
          <t xml:space="preserve"> </t>
        </r>
        <r>
          <rPr>
            <sz val="14"/>
            <color rgb="FF000000"/>
            <rFont val="Times New Roman"/>
            <family val="18"/>
          </rPr>
          <t>[SUP April 1807]</t>
        </r>
        <r>
          <rPr>
            <sz val="14"/>
            <color rgb="FF000000"/>
            <rFont val="Calibri"/>
            <family val="2"/>
          </rPr>
          <t xml:space="preserve"> </t>
        </r>
      </text>
    </comment>
    <comment ref="BF1001" authorId="0" shapeId="0" xr:uid="{B8532BF4-9B99-7440-ADB5-0B4EE21F0ACD}">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15/10/1806 </t>
        </r>
        <r>
          <rPr>
            <i/>
            <sz val="14"/>
            <color rgb="FF000000"/>
            <rFont val="Times New Roman"/>
            <family val="18"/>
          </rPr>
          <t>Als auf Anmarsch verbliebene vermog hoher Verordnung als unwissend verloren in Abgang gebracht</t>
        </r>
        <r>
          <rPr>
            <sz val="14"/>
            <color rgb="FF000000"/>
            <rFont val="Times New Roman"/>
            <family val="18"/>
          </rPr>
          <t xml:space="preserve"> [ML 1806]</t>
        </r>
        <r>
          <rPr>
            <sz val="14"/>
            <color rgb="FF000000"/>
            <rFont val="Calibri"/>
            <family val="34"/>
          </rPr>
          <t xml:space="preserve">
</t>
        </r>
        <r>
          <rPr>
            <sz val="14"/>
            <color rgb="FF000000"/>
            <rFont val="Calibri"/>
            <family val="34"/>
          </rPr>
          <t xml:space="preserve">
</t>
        </r>
      </text>
    </comment>
    <comment ref="BG1001" authorId="0" shapeId="0" xr:uid="{9DE9301B-420D-DF41-800F-947489DD3795}">
      <text>
        <r>
          <rPr>
            <sz val="14"/>
            <color rgb="FF000000"/>
            <rFont val="Times New Roman"/>
            <family val="18"/>
          </rPr>
          <t>ML 31/2 IR 1 (1806) – Haupt Einiselli Komp. Nr. 118 (Brünn 15/12/1806)</t>
        </r>
        <r>
          <rPr>
            <sz val="14"/>
            <color rgb="FF000000"/>
            <rFont val="Calibri"/>
            <family val="34"/>
          </rPr>
          <t xml:space="preserve">
</t>
        </r>
        <r>
          <rPr>
            <sz val="14"/>
            <color rgb="FF000000"/>
            <rFont val="Times New Roman"/>
            <family val="18"/>
          </rPr>
          <t>ML 85 IR 1 (1806) – ST Oct 1807 (Brünn 09/07/1807)</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text>
    </comment>
    <comment ref="BH1001" authorId="0" shapeId="0" xr:uid="{EFE18717-B0B0-FA4E-817B-1CB96A12B688}">
      <text>
        <r>
          <rPr>
            <sz val="14"/>
            <color rgb="FF000000"/>
            <rFont val="Calibri"/>
            <family val="34"/>
          </rPr>
          <t>IR 1 (1805-1806)</t>
        </r>
      </text>
    </comment>
    <comment ref="BF1002" authorId="0" shapeId="0" xr:uid="{256565E8-754C-0043-AB9D-94BA12E55388}">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13/02/1806 </t>
        </r>
        <r>
          <rPr>
            <i/>
            <sz val="14"/>
            <color rgb="FF000000"/>
            <rFont val="Times New Roman"/>
            <family val="18"/>
          </rPr>
          <t>Zu Caschau gestorben</t>
        </r>
        <r>
          <rPr>
            <sz val="14"/>
            <color rgb="FF000000"/>
            <rFont val="Times New Roman"/>
            <family val="18"/>
          </rPr>
          <t xml:space="preserve"> [ML 1806]</t>
        </r>
        <r>
          <rPr>
            <sz val="14"/>
            <color rgb="FF000000"/>
            <rFont val="Calibri"/>
            <family val="34"/>
          </rPr>
          <t xml:space="preserve">
</t>
        </r>
      </text>
    </comment>
    <comment ref="BG1002" authorId="0" shapeId="0" xr:uid="{A3801160-E9F0-6A4F-A648-CD02409348EF}">
      <text>
        <r>
          <rPr>
            <sz val="14"/>
            <color rgb="FF000000"/>
            <rFont val="Times New Roman"/>
            <family val="18"/>
          </rPr>
          <t>ML 31/2 IR 1 (1806) – Haupt Einiselli Komp. Nr. 118 (Brünn 15/12/1806)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text>
    </comment>
    <comment ref="BH1002" authorId="0" shapeId="0" xr:uid="{38862298-E252-D346-84AA-9DBE901D04C2}">
      <text>
        <r>
          <rPr>
            <sz val="14"/>
            <color rgb="FF000000"/>
            <rFont val="Calibri"/>
            <family val="34"/>
          </rPr>
          <t>IR 1 (1805-1806)</t>
        </r>
      </text>
    </comment>
    <comment ref="T1003" authorId="0" shapeId="0" xr:uid="{DB767380-DAD9-5345-A3A7-CB107BCF9B08}">
      <text>
        <r>
          <rPr>
            <sz val="14"/>
            <color rgb="FF000000"/>
            <rFont val="Calibri"/>
            <family val="34"/>
          </rPr>
          <t xml:space="preserve">4.11 [155.33 (TL 1808)]
</t>
        </r>
        <r>
          <rPr>
            <b/>
            <sz val="14"/>
            <color rgb="FF000000"/>
            <rFont val="Calibri"/>
            <family val="34"/>
          </rPr>
          <t>5.1 [160.63 cm (AL 1805)]</t>
        </r>
      </text>
    </comment>
    <comment ref="BF1003" authorId="0" shapeId="0" xr:uid="{FC787A70-AB60-D843-8D5F-826D08E16C8D}">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5. Fus. Komp zur Reserve Division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16/03/1806 </t>
        </r>
        <r>
          <rPr>
            <i/>
            <sz val="14"/>
            <color rgb="FF000000"/>
            <rFont val="Times New Roman"/>
            <family val="18"/>
          </rPr>
          <t xml:space="preserve">Von Dissolvierte Reserve Division zum 8.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15/12/1806 Muster: IR 1 Haupt Hardy Komp. Nr. 110 [</t>
        </r>
        <r>
          <rPr>
            <i/>
            <sz val="14"/>
            <color rgb="FF000000"/>
            <rFont val="Times New Roman"/>
            <family val="18"/>
          </rPr>
          <t>Commandiert in Spital zu Oberwitz</t>
        </r>
        <r>
          <rPr>
            <sz val="14"/>
            <color rgb="FF000000"/>
            <rFont val="Times New Roman"/>
            <family val="18"/>
          </rPr>
          <t>]</t>
        </r>
        <r>
          <rPr>
            <sz val="14"/>
            <color rgb="FF000000"/>
            <rFont val="Calibri"/>
            <family val="34"/>
          </rPr>
          <t xml:space="preserve">
</t>
        </r>
        <r>
          <rPr>
            <sz val="14"/>
            <color rgb="FF000000"/>
            <rFont val="Times New Roman"/>
            <family val="18"/>
          </rPr>
          <t xml:space="preserve">26/01/1807 </t>
        </r>
        <r>
          <rPr>
            <i/>
            <sz val="14"/>
            <color rgb="FF000000"/>
            <rFont val="Times New Roman"/>
            <family val="18"/>
          </rPr>
          <t xml:space="preserve">Bei der mährische Artillerie Reserve kommandiert </t>
        </r>
        <r>
          <rPr>
            <sz val="14"/>
            <color rgb="FF000000"/>
            <rFont val="Times New Roman"/>
            <family val="18"/>
          </rPr>
          <t>[ST Jan 1807]</t>
        </r>
        <r>
          <rPr>
            <sz val="14"/>
            <color rgb="FF000000"/>
            <rFont val="Calibri"/>
            <family val="34"/>
          </rPr>
          <t xml:space="preserve">
</t>
        </r>
        <r>
          <rPr>
            <sz val="14"/>
            <color rgb="FF000000"/>
            <rFont val="Times New Roman"/>
            <family val="18"/>
          </rPr>
          <t xml:space="preserve">01/04/1807 </t>
        </r>
        <r>
          <rPr>
            <i/>
            <sz val="14"/>
            <color rgb="FF000000"/>
            <rFont val="Times New Roman"/>
            <family val="18"/>
          </rPr>
          <t>Bei Staab zugeteilt als bei der mährische Artillerie Reserve kommandierte Handlanger</t>
        </r>
        <r>
          <rPr>
            <sz val="14"/>
            <color rgb="FF000000"/>
            <rFont val="Times New Roman"/>
            <family val="18"/>
          </rPr>
          <t xml:space="preserve"> [ST April 1807]</t>
        </r>
        <r>
          <rPr>
            <sz val="14"/>
            <color rgb="FF000000"/>
            <rFont val="Calibri"/>
            <family val="34"/>
          </rPr>
          <t xml:space="preserve">
</t>
        </r>
        <r>
          <rPr>
            <sz val="14"/>
            <color rgb="FF000000"/>
            <rFont val="Times New Roman"/>
            <family val="18"/>
          </rPr>
          <t xml:space="preserve">02/02/1808 </t>
        </r>
        <r>
          <rPr>
            <i/>
            <sz val="14"/>
            <color rgb="FF000000"/>
            <rFont val="Times New Roman"/>
            <family val="18"/>
          </rPr>
          <t xml:space="preserve">Wieder in Kompanie </t>
        </r>
        <r>
          <rPr>
            <sz val="14"/>
            <color rgb="FF000000"/>
            <rFont val="Times New Roman"/>
            <family val="18"/>
          </rPr>
          <t>[ST Feb 1808]</t>
        </r>
        <r>
          <rPr>
            <sz val="14"/>
            <color rgb="FF000000"/>
            <rFont val="Calibri"/>
            <family val="34"/>
          </rPr>
          <t xml:space="preserve">
</t>
        </r>
        <r>
          <rPr>
            <sz val="14"/>
            <color rgb="FF000000"/>
            <rFont val="Times New Roman"/>
            <family val="18"/>
          </rPr>
          <t xml:space="preserve">06/04/1808 </t>
        </r>
        <r>
          <rPr>
            <i/>
            <sz val="14"/>
            <color rgb="FF000000"/>
            <rFont val="Times New Roman"/>
            <family val="18"/>
          </rPr>
          <t>Kommandiert in Garnison Spital zu Obrowitz</t>
        </r>
        <r>
          <rPr>
            <sz val="14"/>
            <color rgb="FF000000"/>
            <rFont val="Times New Roman"/>
            <family val="18"/>
          </rPr>
          <t xml:space="preserve"> [ST April]</t>
        </r>
        <r>
          <rPr>
            <sz val="14"/>
            <color rgb="FF000000"/>
            <rFont val="Calibri"/>
            <family val="34"/>
          </rPr>
          <t xml:space="preserve">
</t>
        </r>
        <r>
          <rPr>
            <sz val="14"/>
            <color rgb="FF000000"/>
            <rFont val="Times New Roman"/>
            <family val="18"/>
          </rPr>
          <t xml:space="preserve">31/08/1808 </t>
        </r>
        <r>
          <rPr>
            <i/>
            <sz val="14"/>
            <color rgb="FF000000"/>
            <rFont val="Times New Roman"/>
            <family val="18"/>
          </rPr>
          <t>Von IR 1 Haupt Hardy [8. Fus.] Komp. zum GK Krain transferiert</t>
        </r>
        <r>
          <rPr>
            <sz val="14"/>
            <color rgb="FF000000"/>
            <rFont val="Times New Roman"/>
            <family val="18"/>
          </rPr>
          <t xml:space="preserve"> [TL Oct 1808 &amp; ST Sept 1808]</t>
        </r>
      </text>
    </comment>
    <comment ref="BG1003" authorId="0" shapeId="0" xr:uid="{8EEC5748-1394-A24E-B217-B45F4EBBB46E}">
      <text>
        <r>
          <rPr>
            <sz val="14"/>
            <color rgb="FF000000"/>
            <rFont val="Times New Roman"/>
            <family val="18"/>
          </rPr>
          <t>ML 31/2 IR 1 (1806) – Haupt Hardy Komp. Nr. 110 (Brünn 15/12/1806)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87 IR 1 (1807) – ST Jan (Brünn 19/07/1807), April (Brünn 28/07/1807)</t>
        </r>
        <r>
          <rPr>
            <sz val="14"/>
            <color rgb="FF000000"/>
            <rFont val="Calibri"/>
            <family val="34"/>
          </rPr>
          <t xml:space="preserve">
</t>
        </r>
        <r>
          <rPr>
            <sz val="14"/>
            <color rgb="FF000000"/>
            <rFont val="Times New Roman"/>
            <family val="18"/>
          </rPr>
          <t>ML 89 IR 1 (1808) – ST Feb (Brünn 10/04/1808), April (Brünn 04/06/1808), Sept (1809)</t>
        </r>
        <r>
          <rPr>
            <sz val="14"/>
            <color rgb="FF000000"/>
            <rFont val="Calibri"/>
            <family val="34"/>
          </rPr>
          <t xml:space="preserve">
</t>
        </r>
        <r>
          <rPr>
            <sz val="14"/>
            <color rgb="FF000000"/>
            <rFont val="Times New Roman"/>
            <family val="18"/>
          </rPr>
          <t>ML 90 IR 1 (1808) – TL IR 1-&gt; GK Krain Nr. 23 (Olmütz 02/10/1808)</t>
        </r>
        <r>
          <rPr>
            <sz val="14"/>
            <color rgb="FF000000"/>
            <rFont val="Calibri"/>
            <family val="34"/>
          </rPr>
          <t xml:space="preserve">
</t>
        </r>
      </text>
    </comment>
    <comment ref="BH1003" authorId="0" shapeId="0" xr:uid="{DD3323F2-476F-3842-BF77-3A5E68D9FE24}">
      <text>
        <r>
          <rPr>
            <sz val="14"/>
            <color rgb="FF000000"/>
            <rFont val="Calibri"/>
            <family val="34"/>
          </rPr>
          <t xml:space="preserve">IR 1 (1805-1808)
</t>
        </r>
        <r>
          <rPr>
            <sz val="14"/>
            <color rgb="FF000000"/>
            <rFont val="Calibri"/>
            <family val="34"/>
          </rPr>
          <t>GK Krain (1808)</t>
        </r>
      </text>
    </comment>
    <comment ref="BI1003" authorId="0" shapeId="0" xr:uid="{7282D488-93DB-F448-B4E5-A8FDD13676A5}">
      <text>
        <r>
          <rPr>
            <i/>
            <sz val="14"/>
            <color rgb="FF000000"/>
            <rFont val="Times New Roman"/>
            <family val="18"/>
          </rPr>
          <t>Gut</t>
        </r>
        <r>
          <rPr>
            <sz val="14"/>
            <color rgb="FF000000"/>
            <rFont val="Times New Roman"/>
            <family val="18"/>
          </rPr>
          <t xml:space="preserve"> [TL Oct 1808]</t>
        </r>
        <r>
          <rPr>
            <sz val="14"/>
            <color rgb="FF000000"/>
            <rFont val="Calibri"/>
            <family val="2"/>
          </rPr>
          <t xml:space="preserve"> </t>
        </r>
      </text>
    </comment>
    <comment ref="I1004" authorId="0" shapeId="0" xr:uid="{27379537-EBC4-A14E-B7F5-CF065F85B3E6}">
      <text>
        <r>
          <rPr>
            <b/>
            <sz val="14"/>
            <color rgb="FF000000"/>
            <rFont val="Calibri"/>
            <family val="34"/>
          </rPr>
          <t xml:space="preserve">1787 [18 (AL 1805)]
</t>
        </r>
        <r>
          <rPr>
            <sz val="14"/>
            <color rgb="FF000000"/>
            <rFont val="Calibri"/>
            <family val="34"/>
          </rPr>
          <t xml:space="preserve">OR 
</t>
        </r>
        <r>
          <rPr>
            <sz val="14"/>
            <color rgb="FF000000"/>
            <rFont val="Calibri"/>
            <family val="34"/>
          </rPr>
          <t>1788 [23 (ML 1811)]</t>
        </r>
      </text>
    </comment>
    <comment ref="J1004" authorId="0" shapeId="0" xr:uid="{61BC1898-F281-8C4D-848C-7F8641B5A080}">
      <text>
        <r>
          <rPr>
            <sz val="14"/>
            <color rgb="FF000000"/>
            <rFont val="Calibri"/>
            <family val="34"/>
          </rPr>
          <t xml:space="preserve">Ledig (1805)
</t>
        </r>
        <r>
          <rPr>
            <sz val="14"/>
            <color rgb="FF000000"/>
            <rFont val="Calibri"/>
            <family val="34"/>
          </rPr>
          <t>Veheiratet (1811)</t>
        </r>
      </text>
    </comment>
    <comment ref="T1004" authorId="0" shapeId="0" xr:uid="{D4BEB197-00AE-D64E-B36F-F1405580A4D0}">
      <text>
        <r>
          <rPr>
            <b/>
            <sz val="14"/>
            <color rgb="FF000000"/>
            <rFont val="Calibri"/>
            <family val="34"/>
          </rPr>
          <t xml:space="preserve">5.1 [160.63 cm (AL 1805)]
</t>
        </r>
        <r>
          <rPr>
            <sz val="14"/>
            <color rgb="FF000000"/>
            <rFont val="Calibri"/>
            <family val="34"/>
          </rPr>
          <t>5.3.2 [166.33 cm (ML 1811)]</t>
        </r>
      </text>
    </comment>
    <comment ref="BF1004" authorId="0" shapeId="0" xr:uid="{E70B36C3-CBFD-FA40-A8A5-7217D3BDBCFB}">
      <text>
        <r>
          <rPr>
            <sz val="14"/>
            <color rgb="FF000000"/>
            <rFont val="Times New Roman"/>
            <family val="18"/>
          </rPr>
          <t xml:space="preserve">18/11/1805 </t>
        </r>
        <r>
          <rPr>
            <i/>
            <sz val="14"/>
            <color rgb="FF000000"/>
            <rFont val="Times New Roman"/>
            <family val="18"/>
          </rPr>
          <t>Von Ständen gegen 3 Fl Handgeld mit 10 jährigen Capitulation zum IR 4 gestellt und zum Haupt Ciniselly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5. Fus. Komp zur Reserve Division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16/03/1806 </t>
        </r>
        <r>
          <rPr>
            <i/>
            <sz val="14"/>
            <color rgb="FF000000"/>
            <rFont val="Times New Roman"/>
            <family val="18"/>
          </rPr>
          <t xml:space="preserve">Von Dissolvierte Reserve Division zum 8.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15/12/1806 Muster: IR 1 Haupt Hardy Komp. Nr. 103</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1.</t>
        </r>
        <r>
          <rPr>
            <sz val="14"/>
            <color rgb="FF000000"/>
            <rFont val="Times New Roman"/>
            <family val="18"/>
          </rPr>
          <t xml:space="preserve"> [13.] </t>
        </r>
        <r>
          <rPr>
            <i/>
            <sz val="14"/>
            <color rgb="FF000000"/>
            <rFont val="Times New Roman"/>
            <family val="18"/>
          </rPr>
          <t>zum 6. Fus. Komp. transferiert</t>
        </r>
        <r>
          <rPr>
            <sz val="14"/>
            <color rgb="FF000000"/>
            <rFont val="Times New Roman"/>
            <family val="18"/>
          </rPr>
          <t xml:space="preserve"> [ST May 1809] </t>
        </r>
        <r>
          <rPr>
            <sz val="14"/>
            <color rgb="FF000000"/>
            <rFont val="Calibri"/>
            <family val="34"/>
          </rPr>
          <t xml:space="preserve">
</t>
        </r>
        <r>
          <rPr>
            <sz val="14"/>
            <color rgb="FF000000"/>
            <rFont val="Times New Roman"/>
            <family val="18"/>
          </rPr>
          <t xml:space="preserve">28/10/1810 </t>
        </r>
        <r>
          <rPr>
            <i/>
            <sz val="14"/>
            <color rgb="FF000000"/>
            <rFont val="Times New Roman"/>
            <family val="18"/>
          </rPr>
          <t>Beurlaubt bis zur Einberufung</t>
        </r>
        <r>
          <rPr>
            <sz val="14"/>
            <color rgb="FF000000"/>
            <rFont val="Times New Roman"/>
            <family val="18"/>
          </rPr>
          <t xml:space="preserve"> [ST Oct 1810]</t>
        </r>
        <r>
          <rPr>
            <sz val="14"/>
            <color rgb="FF000000"/>
            <rFont val="Calibri"/>
            <family val="34"/>
          </rPr>
          <t xml:space="preserve">
</t>
        </r>
        <r>
          <rPr>
            <sz val="14"/>
            <color rgb="FF000000"/>
            <rFont val="Times New Roman"/>
            <family val="18"/>
          </rPr>
          <t>08/09/1811 Muster: IR 1 12. Fus. Komp. Nr. 36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31/10/1812 </t>
        </r>
        <r>
          <rPr>
            <i/>
            <sz val="14"/>
            <color rgb="FF000000"/>
            <rFont val="Times New Roman"/>
            <family val="18"/>
          </rPr>
          <t>Mit unbewusste Datum von Urlaub in Galizien desertiert</t>
        </r>
        <r>
          <rPr>
            <sz val="14"/>
            <color rgb="FF000000"/>
            <rFont val="Times New Roman"/>
            <family val="18"/>
          </rPr>
          <t xml:space="preserve"> [ST Oct 1812] 
</t>
        </r>
        <r>
          <rPr>
            <sz val="14"/>
            <color rgb="FF000000"/>
            <rFont val="Times New Roman"/>
            <family val="18"/>
          </rPr>
          <t xml:space="preserve">27/11/1818 </t>
        </r>
        <r>
          <rPr>
            <i/>
            <sz val="14"/>
            <color rgb="FF000000"/>
            <rFont val="Times New Roman"/>
            <family val="18"/>
          </rPr>
          <t>Sich selbst gemeldet und zu Zloczow präsentiert, seitdem auf anhero Marsch der Kriegsrechtliche Sentenz ist nicht vorhanden</t>
        </r>
        <r>
          <rPr>
            <sz val="14"/>
            <color rgb="FF000000"/>
            <rFont val="Times New Roman"/>
            <family val="18"/>
          </rPr>
          <t xml:space="preserve"> [ML 1819 &amp; ST July 1819]</t>
        </r>
        <r>
          <rPr>
            <sz val="14"/>
            <color rgb="FF000000"/>
            <rFont val="Calibri"/>
            <family val="34"/>
          </rPr>
          <t xml:space="preserve">
</t>
        </r>
        <r>
          <rPr>
            <sz val="14"/>
            <color rgb="FF000000"/>
            <rFont val="Times New Roman"/>
            <family val="18"/>
          </rPr>
          <t>14/09/1819 Muster: IR 1 12. Fus. Komp. Nr. 84 [</t>
        </r>
        <r>
          <rPr>
            <i/>
            <sz val="14"/>
            <color rgb="FF000000"/>
            <rFont val="Times New Roman"/>
            <family val="18"/>
          </rPr>
          <t>Bei der Abrichtung in Lemberg</t>
        </r>
        <r>
          <rPr>
            <sz val="14"/>
            <color rgb="FF000000"/>
            <rFont val="Times New Roman"/>
            <family val="18"/>
          </rPr>
          <t>]</t>
        </r>
        <r>
          <rPr>
            <sz val="14"/>
            <color rgb="FF000000"/>
            <rFont val="Calibri"/>
            <family val="34"/>
          </rPr>
          <t xml:space="preserve">
</t>
        </r>
        <r>
          <rPr>
            <sz val="14"/>
            <color rgb="FF000000"/>
            <rFont val="Times New Roman"/>
            <family val="18"/>
          </rPr>
          <t xml:space="preserve">05/08/1819 </t>
        </r>
        <r>
          <rPr>
            <i/>
            <sz val="14"/>
            <color rgb="FF000000"/>
            <rFont val="Times New Roman"/>
            <family val="18"/>
          </rPr>
          <t>Gemäß vorausgezogenener Superarbietrierung und hoher General Kommando Verordnung dttp Lemberg am 18. July 819 R. 6830 wegen Militär Dienstens Untauglichkeit mit Laufpass entlassen</t>
        </r>
        <r>
          <rPr>
            <sz val="14"/>
            <color rgb="FF000000"/>
            <rFont val="Times New Roman"/>
            <family val="18"/>
          </rPr>
          <t xml:space="preserve"> [ST Sept 1819]</t>
        </r>
        <r>
          <rPr>
            <sz val="14"/>
            <color rgb="FF000000"/>
            <rFont val="Calibri"/>
            <family val="34"/>
          </rPr>
          <t xml:space="preserve">
</t>
        </r>
        <r>
          <rPr>
            <sz val="14"/>
            <color rgb="FF000000"/>
            <rFont val="Calibri"/>
            <family val="34"/>
          </rPr>
          <t xml:space="preserve">
</t>
        </r>
      </text>
    </comment>
    <comment ref="BG1004" authorId="0" shapeId="0" xr:uid="{26BF4445-8858-DC42-A934-1EB3E9470EED}">
      <text>
        <r>
          <rPr>
            <sz val="14"/>
            <color rgb="FF000000"/>
            <rFont val="Times New Roman"/>
            <family val="18"/>
          </rPr>
          <t>ML 31/2 IR 1 (1806) – Haupt Hardy Komp. Nr. 103 (Brünn 15/12/1806)</t>
        </r>
        <r>
          <rPr>
            <sz val="14"/>
            <color rgb="FF000000"/>
            <rFont val="Calibri"/>
            <family val="34"/>
          </rPr>
          <t xml:space="preserve">
</t>
        </r>
        <r>
          <rPr>
            <sz val="14"/>
            <color rgb="FF000000"/>
            <rFont val="Times New Roman"/>
            <family val="18"/>
          </rPr>
          <t>ML 33 IR 1 (1811) – 12. Fus. Komp. Nr. 36 (Prossnitz 08/09/1811)</t>
        </r>
        <r>
          <rPr>
            <sz val="14"/>
            <color rgb="FF000000"/>
            <rFont val="Calibri"/>
            <family val="34"/>
          </rPr>
          <t xml:space="preserve">
</t>
        </r>
        <r>
          <rPr>
            <sz val="14"/>
            <color rgb="FF000000"/>
            <rFont val="Times New Roman"/>
            <family val="18"/>
          </rPr>
          <t>ML 38/9 IR 1 (1819) – IR 1 12. Fus. Komp. Nr. 84 (Olmütz 14/09/1819)</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91 IR 1 (1809) – ST May (Proßnitz 09/1810), Oct (Brünn 30/04/1811)</t>
        </r>
        <r>
          <rPr>
            <sz val="14"/>
            <color rgb="FF000000"/>
            <rFont val="Calibri"/>
            <family val="34"/>
          </rPr>
          <t xml:space="preserve">
</t>
        </r>
        <r>
          <rPr>
            <sz val="14"/>
            <color rgb="FF000000"/>
            <rFont val="Times New Roman"/>
            <family val="18"/>
          </rPr>
          <t>ML 97 IR 1 (1812) – ST Oct (Proßnitz 23/02/1813)</t>
        </r>
        <r>
          <rPr>
            <sz val="14"/>
            <color rgb="FF000000"/>
            <rFont val="Calibri"/>
            <family val="34"/>
          </rPr>
          <t xml:space="preserve">
</t>
        </r>
        <r>
          <rPr>
            <sz val="14"/>
            <color rgb="FF000000"/>
            <rFont val="Times New Roman"/>
            <family val="18"/>
          </rPr>
          <t>ML 113 IR 1 (1819) – ST July (Cremsier 21/08/1819), Sept (20/11/1819)</t>
        </r>
        <r>
          <rPr>
            <sz val="14"/>
            <color rgb="FF000000"/>
            <rFont val="Calibri"/>
            <family val="34"/>
          </rPr>
          <t xml:space="preserve">
</t>
        </r>
      </text>
    </comment>
    <comment ref="BH1004" authorId="0" shapeId="0" xr:uid="{3110C20F-A0F0-8449-ADE7-4104A4F8B23B}">
      <text>
        <r>
          <rPr>
            <sz val="14"/>
            <color rgb="FF000000"/>
            <rFont val="Calibri"/>
            <family val="34"/>
          </rPr>
          <t>IR 1 (1805-1819)</t>
        </r>
      </text>
    </comment>
    <comment ref="I1005" authorId="0" shapeId="0" xr:uid="{7EC78562-F5D9-E044-96FA-2B2A65F7B11A}">
      <text>
        <r>
          <rPr>
            <sz val="14"/>
            <color rgb="FF000000"/>
            <rFont val="Calibri"/>
            <family val="34"/>
          </rPr>
          <t xml:space="preserve">1786 [34 (ML 1820]
</t>
        </r>
        <r>
          <rPr>
            <sz val="14"/>
            <color rgb="FF000000"/>
            <rFont val="Calibri"/>
            <family val="34"/>
          </rPr>
          <t xml:space="preserve">OR
</t>
        </r>
        <r>
          <rPr>
            <b/>
            <sz val="14"/>
            <color rgb="FF000000"/>
            <rFont val="Calibri"/>
            <family val="34"/>
          </rPr>
          <t>1787 [24 (ML 1811)]</t>
        </r>
      </text>
    </comment>
    <comment ref="BF1005" authorId="0" shapeId="0" xr:uid="{E80322EB-56F9-6042-A4AC-12ACCCEC6091}">
      <text>
        <r>
          <rPr>
            <sz val="14"/>
            <color rgb="FF000000"/>
            <rFont val="Times New Roman"/>
            <family val="18"/>
          </rPr>
          <t xml:space="preserve">18/11/1805 </t>
        </r>
        <r>
          <rPr>
            <i/>
            <sz val="14"/>
            <color rgb="FF000000"/>
            <rFont val="Times New Roman"/>
            <family val="18"/>
          </rPr>
          <t>A 3Fl Handgeld von Ständen gestellt</t>
        </r>
        <r>
          <rPr>
            <sz val="14"/>
            <color rgb="FF000000"/>
            <rFont val="Times New Roman"/>
            <family val="18"/>
          </rPr>
          <t xml:space="preserve"> [TL Oct 1810]</t>
        </r>
        <r>
          <rPr>
            <sz val="14"/>
            <color rgb="FF000000"/>
            <rFont val="Calibri"/>
            <family val="34"/>
          </rPr>
          <t xml:space="preserve">
</t>
        </r>
        <r>
          <rPr>
            <sz val="14"/>
            <color rgb="FFFF0000"/>
            <rFont val="Times New Roman"/>
            <family val="18"/>
          </rPr>
          <t xml:space="preserve">18/11/1805 </t>
        </r>
        <r>
          <rPr>
            <i/>
            <sz val="14"/>
            <color rgb="FFFF0000"/>
            <rFont val="Times New Roman"/>
            <family val="18"/>
          </rPr>
          <t>Von denen West Galizischen Landständen a 3Fl Handgeld zu Jordis hat gestellt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21/03/1807 </t>
        </r>
        <r>
          <rPr>
            <i/>
            <sz val="14"/>
            <color rgb="FF000000"/>
            <rFont val="Times New Roman"/>
            <family val="18"/>
          </rPr>
          <t>Von IR 49 Kerpen zum IR 59 Jordis 3.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25/12/1807 </t>
        </r>
        <r>
          <rPr>
            <i/>
            <sz val="14"/>
            <color rgb="FF000000"/>
            <rFont val="Times New Roman"/>
            <family val="18"/>
          </rPr>
          <t>Von IR 59 3. Komp. zum Grenz Cordon Ober Österreich transferiert</t>
        </r>
        <r>
          <rPr>
            <sz val="14"/>
            <color rgb="FF000000"/>
            <rFont val="Times New Roman"/>
            <family val="18"/>
          </rPr>
          <t xml:space="preserve"> [TL Oct]</t>
        </r>
        <r>
          <rPr>
            <sz val="14"/>
            <color rgb="FF000000"/>
            <rFont val="Calibri"/>
            <family val="34"/>
          </rPr>
          <t xml:space="preserve">
</t>
        </r>
        <r>
          <rPr>
            <sz val="14"/>
            <color rgb="FF000000"/>
            <rFont val="Times New Roman"/>
            <family val="18"/>
          </rPr>
          <t xml:space="preserve">01/04/1809 </t>
        </r>
        <r>
          <rPr>
            <i/>
            <sz val="14"/>
            <color rgb="FF000000"/>
            <rFont val="Times New Roman"/>
            <family val="18"/>
          </rPr>
          <t xml:space="preserve">Von GK OÖ 2. Komp. zum SänC 5 transferiert </t>
        </r>
        <r>
          <rPr>
            <sz val="14"/>
            <color rgb="FF000000"/>
            <rFont val="Times New Roman"/>
            <family val="18"/>
          </rPr>
          <t>[TL Aug 1810]</t>
        </r>
        <r>
          <rPr>
            <sz val="14"/>
            <color rgb="FF000000"/>
            <rFont val="Calibri"/>
            <family val="34"/>
          </rPr>
          <t xml:space="preserve">
</t>
        </r>
        <r>
          <rPr>
            <sz val="14"/>
            <color rgb="FF000000"/>
            <rFont val="Times New Roman"/>
            <family val="18"/>
          </rPr>
          <t xml:space="preserve">21/07/1809 </t>
        </r>
        <r>
          <rPr>
            <i/>
            <sz val="14"/>
            <color rgb="FF000000"/>
            <rFont val="Times New Roman"/>
            <family val="18"/>
          </rPr>
          <t>Kommandiert zu Iglau</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Auf Kranken Transport und in Spitalern kommandiert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26/07/1809 </t>
        </r>
        <r>
          <rPr>
            <i/>
            <sz val="14"/>
            <color rgb="FF000000"/>
            <rFont val="Times New Roman"/>
            <family val="18"/>
          </rPr>
          <t>Eingerückt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09/08/1809 </t>
        </r>
        <r>
          <rPr>
            <i/>
            <sz val="14"/>
            <color rgb="FF000000"/>
            <rFont val="Times New Roman"/>
            <family val="18"/>
          </rPr>
          <t>Krank in Kremsier</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24/09/1809 </t>
        </r>
        <r>
          <rPr>
            <i/>
            <sz val="14"/>
            <color rgb="FF000000"/>
            <rFont val="Times New Roman"/>
            <family val="18"/>
          </rPr>
          <t>Rekonvalesziert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Im Spital Nr. 3 in Neutra kommandiert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01/02/1810 </t>
        </r>
        <r>
          <rPr>
            <i/>
            <sz val="14"/>
            <color rgb="FF000000"/>
            <rFont val="Times New Roman"/>
            <family val="18"/>
          </rPr>
          <t>In Kompanie eingerückt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28/02/1810 </t>
        </r>
        <r>
          <rPr>
            <i/>
            <sz val="14"/>
            <color rgb="FF000000"/>
            <rFont val="Times New Roman"/>
            <family val="18"/>
          </rPr>
          <t>Von SänC 5 zum GK OÖ transferiert</t>
        </r>
        <r>
          <rPr>
            <sz val="14"/>
            <color rgb="FF000000"/>
            <rFont val="Times New Roman"/>
            <family val="18"/>
          </rPr>
          <t xml:space="preserve"> [TL Oct 1810]</t>
        </r>
        <r>
          <rPr>
            <sz val="14"/>
            <color rgb="FF000000"/>
            <rFont val="Calibri"/>
            <family val="34"/>
          </rPr>
          <t xml:space="preserve">
</t>
        </r>
        <r>
          <rPr>
            <sz val="14"/>
            <color rgb="FF000000"/>
            <rFont val="Times New Roman"/>
            <family val="18"/>
          </rPr>
          <t>10/09/1811 Muster: GK OÖ 2. Komp. Nr. 89</t>
        </r>
        <r>
          <rPr>
            <sz val="14"/>
            <color rgb="FF000000"/>
            <rFont val="Calibri"/>
            <family val="34"/>
          </rPr>
          <t xml:space="preserve">
</t>
        </r>
        <r>
          <rPr>
            <sz val="14"/>
            <color rgb="FF000000"/>
            <rFont val="Times New Roman"/>
            <family val="18"/>
          </rPr>
          <t>26/09/1812 Revision: GK OÖ 2. Komp. Nr. 99</t>
        </r>
        <r>
          <rPr>
            <sz val="14"/>
            <color rgb="FF000000"/>
            <rFont val="Calibri"/>
            <family val="34"/>
          </rPr>
          <t xml:space="preserve">
</t>
        </r>
        <r>
          <rPr>
            <sz val="14"/>
            <color rgb="FF000000"/>
            <rFont val="Times New Roman"/>
            <family val="18"/>
          </rPr>
          <t>27-8/09/1817 Muster: GK OÖ 2. Komp. Nr. 133 [</t>
        </r>
        <r>
          <rPr>
            <i/>
            <sz val="14"/>
            <color rgb="FF000000"/>
            <rFont val="Times New Roman"/>
            <family val="18"/>
          </rPr>
          <t>Salzburg</t>
        </r>
        <r>
          <rPr>
            <sz val="14"/>
            <color rgb="FF000000"/>
            <rFont val="Times New Roman"/>
            <family val="18"/>
          </rPr>
          <t>]</t>
        </r>
        <r>
          <rPr>
            <sz val="14"/>
            <color rgb="FF000000"/>
            <rFont val="Calibri"/>
            <family val="34"/>
          </rPr>
          <t xml:space="preserve">
</t>
        </r>
        <r>
          <rPr>
            <sz val="14"/>
            <color rgb="FF000000"/>
            <rFont val="Times New Roman"/>
            <family val="18"/>
          </rPr>
          <t>14/09/1818 Muster: GK OÖ 2. Komp. Nr. 118</t>
        </r>
        <r>
          <rPr>
            <sz val="14"/>
            <color rgb="FF000000"/>
            <rFont val="Calibri"/>
            <family val="34"/>
          </rPr>
          <t xml:space="preserve">
</t>
        </r>
        <r>
          <rPr>
            <sz val="14"/>
            <color rgb="FF000000"/>
            <rFont val="Times New Roman"/>
            <family val="18"/>
          </rPr>
          <t>10/09/1819 Muster: GK OÖ 2. Komp. Nr. 78</t>
        </r>
        <r>
          <rPr>
            <sz val="14"/>
            <color rgb="FF000000"/>
            <rFont val="Calibri"/>
            <family val="34"/>
          </rPr>
          <t xml:space="preserve">
</t>
        </r>
        <r>
          <rPr>
            <sz val="14"/>
            <color rgb="FF000000"/>
            <rFont val="Times New Roman"/>
            <family val="18"/>
          </rPr>
          <t>05/09/1820 Muster: GK OÖ 2. Komp. Nr. 58</t>
        </r>
      </text>
    </comment>
    <comment ref="BG1005" authorId="0" shapeId="0" xr:uid="{5BB12B6E-9C6F-7441-A51C-50D34FA27FE1}">
      <text>
        <r>
          <rPr>
            <sz val="14"/>
            <color rgb="FF000000"/>
            <rFont val="Times New Roman"/>
            <family val="18"/>
          </rPr>
          <t>ML 5019 IR 59 (1808-10) – RL 3. Fus. Komp. Abgang (Enns 05/09/1808)</t>
        </r>
        <r>
          <rPr>
            <sz val="14"/>
            <color rgb="FF000000"/>
            <rFont val="Calibri"/>
            <family val="34"/>
          </rPr>
          <t xml:space="preserve">
</t>
        </r>
        <r>
          <rPr>
            <sz val="14"/>
            <color rgb="FF000000"/>
            <rFont val="Times New Roman"/>
            <family val="18"/>
          </rPr>
          <t>ML 5072 IR 59 (1808) – ST Jan (04/03/1808)</t>
        </r>
        <r>
          <rPr>
            <sz val="14"/>
            <color rgb="FF000000"/>
            <rFont val="Calibri"/>
            <family val="34"/>
          </rPr>
          <t xml:space="preserve">
</t>
        </r>
        <r>
          <rPr>
            <sz val="14"/>
            <color rgb="FF000000"/>
            <rFont val="Times New Roman"/>
            <family val="18"/>
          </rPr>
          <t>ML 9954 SänC (1809) – TL GK OÖ -&gt;SänC 5 Nr. 171 (18/08/1810); ST April (Iglau 26/09/1809), June (Tyrnau 10/09/1809), July (Tyrnau 04/10/1809); Aug (Tyrnau 16/09/1809); Sept (03/01/1810), Nov (30/07/1810)</t>
        </r>
        <r>
          <rPr>
            <sz val="14"/>
            <color rgb="FF000000"/>
            <rFont val="Calibri"/>
            <family val="34"/>
          </rPr>
          <t xml:space="preserve">
</t>
        </r>
        <r>
          <rPr>
            <sz val="14"/>
            <color rgb="FF000000"/>
            <rFont val="Times New Roman"/>
            <family val="18"/>
          </rPr>
          <t>ML 9955 SänC (1810) – TL SänC 5. -&gt; GK OÖ Nr. 133 (Vienna 09/10/1810); ST Feb (30/06/1810)</t>
        </r>
        <r>
          <rPr>
            <sz val="14"/>
            <color rgb="FF000000"/>
            <rFont val="Calibri"/>
            <family val="34"/>
          </rPr>
          <t xml:space="preserve">
</t>
        </r>
        <r>
          <rPr>
            <sz val="14"/>
            <color rgb="FF000000"/>
            <rFont val="Times New Roman"/>
            <family val="18"/>
          </rPr>
          <t>ML 8765 GK OÖ (1811-17) – ML 1811 2. Komp Nr. 104 (Gmunden 10/09/1811), RL 1812 2. Komp. Nr. 99 (Gmunden 26/09/1812), ML 1817 2. Komp. Nr. 133 (Gmunden 27/08/1817) und (Bad Ischel 28/08/1817)</t>
        </r>
        <r>
          <rPr>
            <sz val="14"/>
            <color rgb="FF000000"/>
            <rFont val="Calibri"/>
            <family val="34"/>
          </rPr>
          <t xml:space="preserve">
</t>
        </r>
        <r>
          <rPr>
            <sz val="14"/>
            <color rgb="FF000000"/>
            <rFont val="Times New Roman"/>
            <family val="18"/>
          </rPr>
          <t>ML 8766 GK OÖ (1818) – 2. Komp. Nr. 118 (Salzburg, 14/09/1818)</t>
        </r>
        <r>
          <rPr>
            <sz val="14"/>
            <color rgb="FF000000"/>
            <rFont val="Calibri"/>
            <family val="34"/>
          </rPr>
          <t xml:space="preserve">
</t>
        </r>
        <r>
          <rPr>
            <sz val="14"/>
            <color rgb="FF000000"/>
            <rFont val="Times New Roman"/>
            <family val="18"/>
          </rPr>
          <t>ML 8767 GK OÖ (1819/20) – ML 2. Komp. Nr. 78 (Salzburg, 10/09/1819), ML 2. Komp. Nr. 58 (Salzburg 05/09/1820)</t>
        </r>
        <r>
          <rPr>
            <sz val="14"/>
            <color rgb="FF000000"/>
            <rFont val="Calibri"/>
            <family val="34"/>
          </rPr>
          <t xml:space="preserve">
</t>
        </r>
      </text>
    </comment>
    <comment ref="BH1005" authorId="0" shapeId="0" xr:uid="{6BD6A8B4-19B4-2C42-B7BA-ABF05AAF5CBD}">
      <text>
        <r>
          <rPr>
            <sz val="14"/>
            <color rgb="FF000000"/>
            <rFont val="Calibri"/>
            <family val="34"/>
          </rPr>
          <t xml:space="preserve">IR 49 (1805-1807)
</t>
        </r>
        <r>
          <rPr>
            <sz val="14"/>
            <color rgb="FF000000"/>
            <rFont val="Calibri"/>
            <family val="34"/>
          </rPr>
          <t xml:space="preserve">IR 59 (1807)
</t>
        </r>
        <r>
          <rPr>
            <sz val="14"/>
            <color rgb="FF000000"/>
            <rFont val="Calibri"/>
            <family val="34"/>
          </rPr>
          <t xml:space="preserve">GK OÖ (1807-1809)
</t>
        </r>
        <r>
          <rPr>
            <sz val="14"/>
            <color rgb="FF000000"/>
            <rFont val="Calibri"/>
            <family val="34"/>
          </rPr>
          <t xml:space="preserve">SänC (1809-1810)
</t>
        </r>
        <r>
          <rPr>
            <sz val="14"/>
            <color rgb="FF000000"/>
            <rFont val="Calibri"/>
            <family val="34"/>
          </rPr>
          <t xml:space="preserve">GK OÖ (1810-1820)
</t>
        </r>
      </text>
    </comment>
    <comment ref="CR1005" authorId="0" shapeId="0" xr:uid="{95F94115-6385-824D-BB30-A326B6EBCF80}">
      <text>
        <r>
          <rPr>
            <sz val="14"/>
            <color rgb="FF000000"/>
            <rFont val="Calibri"/>
            <family val="34"/>
          </rPr>
          <t>1806-19: Jüdisch</t>
        </r>
        <r>
          <rPr>
            <sz val="14"/>
            <color rgb="FF000000"/>
            <rFont val="Calibri"/>
            <family val="2"/>
          </rPr>
          <t xml:space="preserve"> </t>
        </r>
        <r>
          <rPr>
            <sz val="14"/>
            <color rgb="FF000000"/>
            <rFont val="Calibri"/>
            <family val="34"/>
          </rPr>
          <t xml:space="preserve">
</t>
        </r>
        <r>
          <rPr>
            <sz val="14"/>
            <color rgb="FF000000"/>
            <rFont val="Calibri"/>
            <family val="34"/>
          </rPr>
          <t xml:space="preserve">1820: 'detto' [Katolisch]  </t>
        </r>
      </text>
    </comment>
    <comment ref="BF1006" authorId="0" shapeId="0" xr:uid="{18AD88C4-4BBA-E840-B16A-CE30D4B7E679}">
      <text>
        <r>
          <rPr>
            <sz val="14"/>
            <color rgb="FF000000"/>
            <rFont val="Times New Roman"/>
            <family val="18"/>
          </rPr>
          <t xml:space="preserve">19/11/1805 </t>
        </r>
        <r>
          <rPr>
            <i/>
            <sz val="14"/>
            <color rgb="FF000000"/>
            <rFont val="Times New Roman"/>
            <family val="18"/>
          </rPr>
          <t>Von Ständen gegen 3 Fl Handgeld mit 10 jährigen Capitulation zum IR 4 gestellt und zum Haupt Vanderbank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17/12/1806 Muster: IR 1 Haupt Vanderbank Komp. Nr. 87</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2"/>
          </rPr>
          <t xml:space="preserve"> </t>
        </r>
      </text>
    </comment>
    <comment ref="BG1006" authorId="0" shapeId="0" xr:uid="{EC512EA8-1D00-3E4C-92CC-E67370C8E576}">
      <text>
        <r>
          <rPr>
            <sz val="14"/>
            <color rgb="FF000000"/>
            <rFont val="Times New Roman"/>
            <family val="18"/>
          </rPr>
          <t>ML 31/2 IR 1 (1806) – Haupt Vanderbank Komp. Nr. 87 (Proßnitz 17/12/1806)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91 IR 1 (1809) – ST April (Proßnitz 26/07/1810)</t>
        </r>
        <r>
          <rPr>
            <sz val="14"/>
            <color rgb="FF000000"/>
            <rFont val="Calibri"/>
            <family val="34"/>
          </rPr>
          <t xml:space="preserve">
</t>
        </r>
      </text>
    </comment>
    <comment ref="BH1006" authorId="0" shapeId="0" xr:uid="{AF6F9E10-B6AC-A747-8CC1-9E89534DA844}">
      <text>
        <r>
          <rPr>
            <sz val="14"/>
            <color rgb="FF000000"/>
            <rFont val="Calibri"/>
            <family val="34"/>
          </rPr>
          <t>IR 1 (1805-1809)</t>
        </r>
      </text>
    </comment>
    <comment ref="BF1007" authorId="0" shapeId="0" xr:uid="{68AD8560-CE1A-F44C-9AFD-BD443795ECA9}">
      <text>
        <r>
          <rPr>
            <sz val="14"/>
            <color rgb="FF000000"/>
            <rFont val="Times New Roman"/>
            <family val="18"/>
          </rPr>
          <t xml:space="preserve">19/11/1805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Zu Slomnik gestorben</t>
        </r>
        <r>
          <rPr>
            <sz val="14"/>
            <color rgb="FF000000"/>
            <rFont val="Times New Roman"/>
            <family val="18"/>
          </rPr>
          <t xml:space="preserve"> [ML 1806]</t>
        </r>
        <r>
          <rPr>
            <sz val="14"/>
            <color rgb="FF000000"/>
            <rFont val="Calibri"/>
            <family val="34"/>
          </rPr>
          <t xml:space="preserve">
</t>
        </r>
      </text>
    </comment>
    <comment ref="BG1007" authorId="0" shapeId="0" xr:uid="{9F7B386C-0A46-CB41-95EB-05ED0D1C84D6}">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79 (Siedlce 30/11/1805)</t>
        </r>
        <r>
          <rPr>
            <sz val="14"/>
            <color rgb="FF000000"/>
            <rFont val="Calibri"/>
            <family val="34"/>
          </rPr>
          <t xml:space="preserve">
</t>
        </r>
      </text>
    </comment>
    <comment ref="BH1007" authorId="0" shapeId="0" xr:uid="{948FDBA1-7B46-2D4A-A771-FDDE11746FF4}">
      <text>
        <r>
          <rPr>
            <sz val="14"/>
            <color rgb="FF000000"/>
            <rFont val="Calibri"/>
            <family val="34"/>
          </rPr>
          <t>IR 59 (1805-1806)</t>
        </r>
      </text>
    </comment>
    <comment ref="BF1008" authorId="0" shapeId="0" xr:uid="{9A0985B6-E8FF-C943-BCA7-C4B54EFC971D}">
      <text>
        <r>
          <rPr>
            <sz val="14"/>
            <color rgb="FF000000"/>
            <rFont val="Times New Roman"/>
            <family val="18"/>
          </rPr>
          <t xml:space="preserve">19/11/1805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zur Exercierzeit zu Zelechow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r>
          <rPr>
            <sz val="14"/>
            <color rgb="FF000000"/>
            <rFont val="Calibri"/>
            <family val="34"/>
          </rPr>
          <t xml:space="preserve">
</t>
        </r>
      </text>
    </comment>
    <comment ref="BG1008" authorId="0" shapeId="0" xr:uid="{759A5733-4C02-8E49-A377-5CA49B040BB5}">
      <text>
        <r>
          <rPr>
            <sz val="14"/>
            <color rgb="FF000000"/>
            <rFont val="Times New Roman"/>
            <family val="18"/>
          </rPr>
          <t>ML 5017/8 IR 59 (1806) – 16. Fus. Komp. Nr. 263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78 (Siedlce 30/11/1805)</t>
        </r>
        <r>
          <rPr>
            <sz val="14"/>
            <color rgb="FF000000"/>
            <rFont val="Calibri"/>
            <family val="34"/>
          </rPr>
          <t xml:space="preserve">
</t>
        </r>
      </text>
    </comment>
    <comment ref="BH1008" authorId="0" shapeId="0" xr:uid="{C179B94E-A769-804A-A21D-BD0CE2E52A35}">
      <text>
        <r>
          <rPr>
            <sz val="14"/>
            <color rgb="FF000000"/>
            <rFont val="Calibri"/>
            <family val="34"/>
          </rPr>
          <t>IR 59 (1805-1808)</t>
        </r>
      </text>
    </comment>
    <comment ref="T1009" authorId="0" shapeId="0" xr:uid="{BD2C7FA9-4940-214B-986A-BADB9935C832}">
      <text>
        <r>
          <rPr>
            <b/>
            <sz val="14"/>
            <color rgb="FF000000"/>
            <rFont val="Calibri"/>
            <family val="34"/>
          </rPr>
          <t xml:space="preserve">5.0.2 [158.44 cm (ML 1806)]
</t>
        </r>
        <r>
          <rPr>
            <sz val="14"/>
            <color rgb="FF000000"/>
            <rFont val="Calibri"/>
            <family val="34"/>
          </rPr>
          <t>5.1 [160.63 cm (ML 1811)]</t>
        </r>
      </text>
    </comment>
    <comment ref="BF1009" authorId="0" shapeId="0" xr:uid="{DF4650E1-D3D1-EF4D-AF42-8CA64EF08C66}">
      <text>
        <r>
          <rPr>
            <sz val="14"/>
            <color rgb="FF000000"/>
            <rFont val="Times New Roman"/>
            <family val="18"/>
          </rPr>
          <t xml:space="preserve">19/11/1805 </t>
        </r>
        <r>
          <rPr>
            <i/>
            <sz val="14"/>
            <color rgb="FF000000"/>
            <rFont val="Times New Roman"/>
            <family val="18"/>
          </rPr>
          <t>Von Galizier Ständen a 3Fl Handgeld gestellt und zum IR 38 2. Reserve Komp.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01/01/1806 </t>
        </r>
        <r>
          <rPr>
            <i/>
            <sz val="14"/>
            <color rgb="FF000000"/>
            <rFont val="Times New Roman"/>
            <family val="18"/>
          </rPr>
          <t>Von 2. Reserve zum 10.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04/12/1806 Muster: IR 38 10. Fus. Komp. Nr. 54</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IR 38 zum Staabsinfanterie 3. Komp. transferiert</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06/01/1810 </t>
        </r>
        <r>
          <rPr>
            <i/>
            <sz val="14"/>
            <color rgb="FF000000"/>
            <rFont val="Times New Roman"/>
            <family val="18"/>
          </rPr>
          <t>Von 3. Komp. der dissolvierten Staabsinfanterie zum IR 4 transferiert und zum 5. Fus. Komp. eingeteilt</t>
        </r>
        <r>
          <rPr>
            <sz val="14"/>
            <color rgb="FF000000"/>
            <rFont val="Times New Roman"/>
            <family val="18"/>
          </rPr>
          <t xml:space="preserve"> [ST Jan 1810]  </t>
        </r>
        <r>
          <rPr>
            <sz val="14"/>
            <color rgb="FF000000"/>
            <rFont val="Calibri"/>
            <family val="34"/>
          </rPr>
          <t xml:space="preserve">
</t>
        </r>
        <r>
          <rPr>
            <sz val="14"/>
            <color rgb="FF000000"/>
            <rFont val="Times New Roman"/>
            <family val="18"/>
          </rPr>
          <t xml:space="preserve">05/03/1811 </t>
        </r>
        <r>
          <rPr>
            <i/>
            <sz val="14"/>
            <color rgb="FF000000"/>
            <rFont val="Times New Roman"/>
            <family val="18"/>
          </rPr>
          <t>Als Untertan der durch den Wiener Frieden Übertretenen Provinzen laut Verordnung ddt Wien am 21. May 810 R 8001 mit Abschied entlassen</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06/03/1811 </t>
        </r>
        <r>
          <rPr>
            <i/>
            <sz val="14"/>
            <color rgb="FF000000"/>
            <rFont val="Times New Roman"/>
            <family val="18"/>
          </rPr>
          <t>Statt zu entlassen bewilligte Gefreiter Heinrich Schönherr ohne Entgeld des Araray als Ausländer auf Zehn Jahr in loco assentiert</t>
        </r>
        <r>
          <rPr>
            <sz val="14"/>
            <color rgb="FF000000"/>
            <rFont val="Times New Roman"/>
            <family val="18"/>
          </rPr>
          <t xml:space="preserve"> [ML 1811]</t>
        </r>
        <r>
          <rPr>
            <sz val="14"/>
            <color rgb="FF000000"/>
            <rFont val="Calibri"/>
            <family val="34"/>
          </rPr>
          <t xml:space="preserve">
</t>
        </r>
      </text>
    </comment>
    <comment ref="BG1009" authorId="0" shapeId="0" xr:uid="{39F96C89-605C-E24A-BBA9-2FFEB651F9DB}">
      <text>
        <r>
          <rPr>
            <sz val="14"/>
            <color rgb="FF000000"/>
            <rFont val="Times New Roman"/>
            <family val="18"/>
          </rPr>
          <t>ML 10.208/9 IR 38 (1806) – 10. Fus. Komp. Nr. 54 (Fulneck 04/12/1806)</t>
        </r>
        <r>
          <rPr>
            <sz val="14"/>
            <color rgb="FF000000"/>
            <rFont val="Calibri"/>
            <family val="34"/>
          </rPr>
          <t xml:space="preserve">
</t>
        </r>
        <r>
          <rPr>
            <sz val="14"/>
            <color rgb="FF000000"/>
            <rFont val="Times New Roman"/>
            <family val="18"/>
          </rPr>
          <t>ML 351/2 IR 4 (1811) – 5. Fus. Komp. Nr. 118 (Vienna 06/09/1811)</t>
        </r>
        <r>
          <rPr>
            <sz val="14"/>
            <color rgb="FF000000"/>
            <rFont val="Calibri"/>
            <family val="34"/>
          </rPr>
          <t xml:space="preserve">
</t>
        </r>
        <r>
          <rPr>
            <sz val="14"/>
            <color rgb="FF000000"/>
            <rFont val="Times New Roman"/>
            <family val="18"/>
          </rPr>
          <t xml:space="preserve">ML 403 IR 4 (1810) AL/TL I-VI – SI 3. Komp.-&gt;IR 4 Nr. 10 (Graz 08/1810) </t>
        </r>
        <r>
          <rPr>
            <sz val="14"/>
            <color rgb="FF000000"/>
            <rFont val="Calibri"/>
            <family val="34"/>
          </rPr>
          <t xml:space="preserve">
</t>
        </r>
        <r>
          <rPr>
            <sz val="14"/>
            <color rgb="FF000000"/>
            <rFont val="Times New Roman"/>
            <family val="18"/>
          </rPr>
          <t xml:space="preserve">ML 402 IR 4 (1810) – ST Jan (Vienna 03/10/1810) </t>
        </r>
        <r>
          <rPr>
            <sz val="14"/>
            <color rgb="FF000000"/>
            <rFont val="Calibri"/>
            <family val="34"/>
          </rPr>
          <t xml:space="preserve">
</t>
        </r>
      </text>
    </comment>
    <comment ref="BH1009" authorId="0" shapeId="0" xr:uid="{C6D59987-9CDC-9C4C-BCA4-CF829C282017}">
      <text>
        <r>
          <rPr>
            <sz val="14"/>
            <color rgb="FF000000"/>
            <rFont val="Calibri"/>
            <family val="34"/>
          </rPr>
          <t xml:space="preserve">IR 38 (1805-1809)
</t>
        </r>
        <r>
          <rPr>
            <sz val="14"/>
            <color rgb="FF000000"/>
            <rFont val="Calibri"/>
            <family val="34"/>
          </rPr>
          <t xml:space="preserve">SInf 3 Komp. (1809-1810)
</t>
        </r>
        <r>
          <rPr>
            <sz val="14"/>
            <color rgb="FF000000"/>
            <rFont val="Calibri"/>
            <family val="34"/>
          </rPr>
          <t xml:space="preserve">IR 4 (1810-1811)
</t>
        </r>
      </text>
    </comment>
    <comment ref="BF1010" authorId="0" shapeId="0" xr:uid="{DA07D822-511B-1442-9144-7D4C692C02C9}">
      <text>
        <r>
          <rPr>
            <sz val="14"/>
            <color rgb="FF000000"/>
            <rFont val="Times New Roman"/>
            <family val="18"/>
          </rPr>
          <t xml:space="preserve">19/11/1805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zur Exercierzeit zu Kaluszyn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25/12/1807 </t>
        </r>
        <r>
          <rPr>
            <i/>
            <sz val="14"/>
            <color rgb="FF000000"/>
            <rFont val="Times New Roman"/>
            <family val="18"/>
          </rPr>
          <t>In Folge gaalizische General Commando Verordnung det. Lemberg von 8. Octr. 808 R. N. 9484 als Real Invalid gegen Renuncierung mit Abschied entlassen</t>
        </r>
        <r>
          <rPr>
            <sz val="14"/>
            <color rgb="FF000000"/>
            <rFont val="Times New Roman"/>
            <family val="18"/>
          </rPr>
          <t xml:space="preserve"> [RL 1808]</t>
        </r>
      </text>
    </comment>
    <comment ref="BG1010" authorId="0" shapeId="0" xr:uid="{3F32302B-109F-FE43-8F36-172EC6705B08}">
      <text>
        <r>
          <rPr>
            <sz val="14"/>
            <color rgb="FF000000"/>
            <rFont val="Times New Roman"/>
            <family val="18"/>
          </rPr>
          <t>ML 5017/8 IR 59 (1806) – 16. Fus. Komp. Nr. 265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88 (Siedlce 30/11/1805)</t>
        </r>
        <r>
          <rPr>
            <sz val="14"/>
            <color rgb="FF000000"/>
            <rFont val="Calibri"/>
            <family val="34"/>
          </rPr>
          <t xml:space="preserve">
</t>
        </r>
      </text>
    </comment>
    <comment ref="BH1010" authorId="0" shapeId="0" xr:uid="{15AF2013-AF48-754D-93CF-136C70BED640}">
      <text>
        <r>
          <rPr>
            <sz val="14"/>
            <color rgb="FF000000"/>
            <rFont val="Calibri"/>
            <family val="34"/>
          </rPr>
          <t>IR 59 (1805-1807)</t>
        </r>
      </text>
    </comment>
    <comment ref="BF1011" authorId="0" shapeId="0" xr:uid="{5F0F4F84-80E3-0946-9853-F0879367940C}">
      <text>
        <r>
          <rPr>
            <sz val="14"/>
            <color rgb="FF000000"/>
            <rFont val="Times New Roman"/>
            <family val="18"/>
          </rPr>
          <t xml:space="preserve">19/11/1805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12. Fus. Komp. Nr. 248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011" authorId="0" shapeId="0" xr:uid="{518AF1BC-9EF1-E54A-A394-2A8F5DEB8424}">
      <text>
        <r>
          <rPr>
            <sz val="14"/>
            <color rgb="FF000000"/>
            <rFont val="Times New Roman"/>
            <family val="18"/>
          </rPr>
          <t xml:space="preserve">IR 544 IR 8 (1811) – 12. Fus. Komp. Nr. 248 (Iglau 12/09/1811) </t>
        </r>
      </text>
    </comment>
    <comment ref="BH1011" authorId="0" shapeId="0" xr:uid="{B32BD0FF-4C09-C046-AF7D-2DCDD99386A6}">
      <text>
        <r>
          <rPr>
            <sz val="14"/>
            <color rgb="FF000000"/>
            <rFont val="Calibri"/>
            <family val="34"/>
          </rPr>
          <t>IR 8 (1805-1811)</t>
        </r>
      </text>
    </comment>
    <comment ref="T1012" authorId="0" shapeId="0" xr:uid="{DDAF6BCA-A2CB-E042-AA6B-0EB4A37EDD02}">
      <text>
        <r>
          <rPr>
            <b/>
            <sz val="14"/>
            <color rgb="FF000000"/>
            <rFont val="Calibri"/>
            <family val="34"/>
          </rPr>
          <t xml:space="preserve">5 [158 cm (AL 1805)]
</t>
        </r>
        <r>
          <rPr>
            <sz val="14"/>
            <color rgb="FF000000"/>
            <rFont val="Calibri"/>
            <family val="34"/>
          </rPr>
          <t>5.1 [160.63 cm (ML 1806)]</t>
        </r>
      </text>
    </comment>
    <comment ref="BF1012" authorId="0" shapeId="0" xr:uid="{B70282AD-BDB0-C841-B919-004C672843A9}">
      <text>
        <r>
          <rPr>
            <sz val="14"/>
            <color rgb="FF000000"/>
            <rFont val="Times New Roman"/>
            <family val="18"/>
          </rPr>
          <t xml:space="preserve">19/11/1805 </t>
        </r>
        <r>
          <rPr>
            <i/>
            <sz val="14"/>
            <color rgb="FF000000"/>
            <rFont val="Times New Roman"/>
            <family val="18"/>
          </rPr>
          <t xml:space="preserve">Zu Konskie als </t>
        </r>
        <r>
          <rPr>
            <i/>
            <sz val="14"/>
            <color rgb="FF000000"/>
            <rFont val="Times New Roman"/>
            <family val="18"/>
          </rPr>
          <t>Inländer und Werbbezirk recrout</t>
        </r>
        <r>
          <rPr>
            <i/>
            <sz val="14"/>
            <color rgb="FF000000"/>
            <rFont val="Times New Roman"/>
            <family val="18"/>
          </rPr>
          <t xml:space="preserve">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15/12/1806 Muster: IR 20 1. Fus. Komp. Nr. 87</t>
        </r>
        <r>
          <rPr>
            <sz val="14"/>
            <color rgb="FF000000"/>
            <rFont val="Calibri"/>
            <family val="34"/>
          </rPr>
          <t xml:space="preserve">
</t>
        </r>
      </text>
    </comment>
    <comment ref="BG1012" authorId="0" shapeId="0" xr:uid="{61E45FE2-0D3D-4948-AC35-3BD067F5211C}">
      <text>
        <r>
          <rPr>
            <sz val="14"/>
            <color rgb="FF000000"/>
            <rFont val="Times New Roman"/>
            <family val="18"/>
          </rPr>
          <t>ML 1623/5 IR 20 (1806) – 1. Fus. Komp. Nr. 87 (Olmütz 15/12/1806)</t>
        </r>
        <r>
          <rPr>
            <sz val="14"/>
            <color rgb="FF000000"/>
            <rFont val="Calibri"/>
            <family val="34"/>
          </rPr>
          <t xml:space="preserve">
</t>
        </r>
        <r>
          <rPr>
            <sz val="14"/>
            <color rgb="FF000000"/>
            <rFont val="Times New Roman"/>
            <family val="18"/>
          </rPr>
          <t>ML 1661 IR 20 (1806) – AL. Nr. 229 (Konskie 07/01/1806)</t>
        </r>
      </text>
    </comment>
    <comment ref="BH1012" authorId="0" shapeId="0" xr:uid="{76173314-6756-3447-8F7E-602520FD66F4}">
      <text>
        <r>
          <rPr>
            <sz val="14"/>
            <color rgb="FF000000"/>
            <rFont val="Calibri"/>
            <family val="34"/>
          </rPr>
          <t>IR 20 (1805-1806)</t>
        </r>
      </text>
    </comment>
    <comment ref="BF1013" authorId="0" shapeId="0" xr:uid="{94A5FDAA-AED1-6B4E-A234-C759D4DBF99C}">
      <text>
        <r>
          <rPr>
            <sz val="14"/>
            <color rgb="FF000000"/>
            <rFont val="Times New Roman"/>
            <family val="18"/>
          </rPr>
          <t xml:space="preserve">19/11/1805 </t>
        </r>
        <r>
          <rPr>
            <i/>
            <sz val="14"/>
            <color rgb="FF000000"/>
            <rFont val="Times New Roman"/>
            <family val="18"/>
          </rPr>
          <t>A 3Fl Handgeld von deren galizischen Ständen gestellt und zu Chelm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 xml:space="preserve">Von dissolvierte 2. Reserve Komp.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30/12/1806 Muster: IR 4 12. Fus. Komp. Nr. 109</t>
        </r>
        <r>
          <rPr>
            <sz val="14"/>
            <color rgb="FF000000"/>
            <rFont val="Calibri"/>
            <family val="34"/>
          </rPr>
          <t xml:space="preserve">
</t>
        </r>
      </text>
    </comment>
    <comment ref="BG1013" authorId="0" shapeId="0" xr:uid="{BDC2AECA-B01D-FB44-B5B0-2DDCA785B0B6}">
      <text>
        <r>
          <rPr>
            <sz val="14"/>
            <color rgb="FF000000"/>
            <rFont val="Times New Roman"/>
            <family val="18"/>
          </rPr>
          <t>ML 349/50 IR 4 (1806) – 12. Fus. Komp. Nr. 125 (Baden 30/12/1806)</t>
        </r>
        <r>
          <rPr>
            <sz val="14"/>
            <color rgb="FF000000"/>
            <rFont val="Calibri"/>
            <family val="34"/>
          </rPr>
          <t xml:space="preserve">
</t>
        </r>
      </text>
    </comment>
    <comment ref="BH1013" authorId="0" shapeId="0" xr:uid="{99D9CE5D-D5CE-2941-BF98-FD8227079F2A}">
      <text>
        <r>
          <rPr>
            <sz val="14"/>
            <color rgb="FF000000"/>
            <rFont val="Calibri"/>
            <family val="34"/>
          </rPr>
          <t>IR 4 (1805-1806)</t>
        </r>
      </text>
    </comment>
    <comment ref="BF1014" authorId="0" shapeId="0" xr:uid="{18C58511-0BF9-EC4C-A4CE-54C2776F0215}">
      <text>
        <r>
          <rPr>
            <sz val="14"/>
            <color rgb="FF000000"/>
            <rFont val="Times New Roman"/>
            <family val="18"/>
          </rPr>
          <t xml:space="preserve">19/11/1805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i/>
            <sz val="14"/>
            <color rgb="FF000000"/>
            <rFont val="Times New Roman"/>
            <family val="18"/>
          </rPr>
          <t>War 1 mal gefangen und hat sich lebst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2. Fus. Komp. Nr. 240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014" authorId="0" shapeId="0" xr:uid="{4166B23A-B716-AC46-8EF7-7EC82B7D5146}">
      <text>
        <r>
          <rPr>
            <sz val="14"/>
            <color rgb="FF000000"/>
            <rFont val="Times New Roman"/>
            <family val="18"/>
          </rPr>
          <t>IR 544 IR 8 (1811) – 2. Fus. Komp. Nr. 240 (Iglau 12/09/1811)</t>
        </r>
        <r>
          <rPr>
            <sz val="14"/>
            <color rgb="FF000000"/>
            <rFont val="Calibri"/>
            <family val="34"/>
          </rPr>
          <t xml:space="preserve">
</t>
        </r>
      </text>
    </comment>
    <comment ref="BH1014" authorId="0" shapeId="0" xr:uid="{93D4D60D-EB1B-4D41-8D30-6E7796631A7C}">
      <text>
        <r>
          <rPr>
            <sz val="14"/>
            <color rgb="FF000000"/>
            <rFont val="Calibri"/>
            <family val="34"/>
          </rPr>
          <t>IR 8 (1805-1811)</t>
        </r>
      </text>
    </comment>
    <comment ref="BF1015" authorId="0" shapeId="0" xr:uid="{884BD177-0DD3-704D-A8B4-5A85391E9530}">
      <text>
        <r>
          <rPr>
            <sz val="14"/>
            <color rgb="FF000000"/>
            <rFont val="Times New Roman"/>
            <family val="18"/>
          </rPr>
          <t xml:space="preserve">20/11/1805 </t>
        </r>
        <r>
          <rPr>
            <i/>
            <sz val="14"/>
            <color rgb="FF000000"/>
            <rFont val="Times New Roman"/>
            <family val="18"/>
          </rPr>
          <t xml:space="preserve">A 3Fl Handgeld zu Jos: Mittrowsky Infanterie Regiment </t>
        </r>
        <r>
          <rPr>
            <b/>
            <sz val="14"/>
            <color rgb="FF000000"/>
            <rFont val="Times New Roman"/>
            <family val="18"/>
          </rPr>
          <t>[IR 40]</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Feb 1811]
</t>
        </r>
        <r>
          <rPr>
            <sz val="14"/>
            <color rgb="FF000000"/>
            <rFont val="Times New Roman"/>
            <family val="18"/>
          </rPr>
          <t xml:space="preserve">16/07/1808 </t>
        </r>
        <r>
          <rPr>
            <i/>
            <sz val="14"/>
            <color rgb="FF000000"/>
            <rFont val="Times New Roman"/>
            <family val="18"/>
          </rPr>
          <t>Von da</t>
        </r>
        <r>
          <rPr>
            <sz val="14"/>
            <color rgb="FF000000"/>
            <rFont val="Times New Roman"/>
            <family val="18"/>
          </rPr>
          <t xml:space="preserve"> [IR 40] z</t>
        </r>
        <r>
          <rPr>
            <i/>
            <sz val="14"/>
            <color rgb="FF000000"/>
            <rFont val="Times New Roman"/>
            <family val="18"/>
          </rPr>
          <t xml:space="preserve">um Artillerie Handlanger transferiert </t>
        </r>
        <r>
          <rPr>
            <sz val="14"/>
            <color rgb="FF000000"/>
            <rFont val="Times New Roman"/>
            <family val="18"/>
          </rPr>
          <t xml:space="preserve">[TL Feb 1811]
</t>
        </r>
        <r>
          <rPr>
            <sz val="14"/>
            <color rgb="FF000000"/>
            <rFont val="Times New Roman"/>
            <family val="18"/>
          </rPr>
          <t xml:space="preserve">XX/02/1810 </t>
        </r>
        <r>
          <rPr>
            <i/>
            <sz val="14"/>
            <color rgb="FF000000"/>
            <rFont val="Times New Roman"/>
            <family val="18"/>
          </rPr>
          <t>Von Artillerie Handlanger Korps zum IR 40 zurück transferiert</t>
        </r>
        <r>
          <rPr>
            <sz val="14"/>
            <color rgb="FF000000"/>
            <rFont val="Times New Roman"/>
            <family val="18"/>
          </rPr>
          <t xml:space="preserve"> [TL Feb 1811]
</t>
        </r>
      </text>
    </comment>
    <comment ref="BG1015" authorId="0" shapeId="0" xr:uid="{87ED3590-DDD9-914E-8BDD-8FAE628CD159}">
      <text>
        <r>
          <rPr>
            <sz val="14"/>
            <color rgb="FF000000"/>
            <rFont val="Times New Roman"/>
            <family val="18"/>
          </rPr>
          <t>ML 11.865 AtHandK (1810) AL/TL – TL ArtHandK-&gt;IR 40 Nr. 2 (Vienna 08/02/1811)</t>
        </r>
        <r>
          <rPr>
            <sz val="14"/>
            <color rgb="FF000000"/>
            <rFont val="Aptos"/>
            <family val="34"/>
          </rPr>
          <t xml:space="preserve">
</t>
        </r>
      </text>
    </comment>
    <comment ref="BH1015" authorId="0" shapeId="0" xr:uid="{BF383F65-D92C-1740-B700-9335DFF74734}">
      <text>
        <r>
          <rPr>
            <sz val="14"/>
            <color rgb="FF000000"/>
            <rFont val="Calibri"/>
            <family val="34"/>
          </rPr>
          <t xml:space="preserve">IR 40 (1805-1808)
</t>
        </r>
        <r>
          <rPr>
            <sz val="14"/>
            <color rgb="FF000000"/>
            <rFont val="Calibri"/>
            <family val="34"/>
          </rPr>
          <t xml:space="preserve">ArtHandK (1808-1810)
</t>
        </r>
        <r>
          <rPr>
            <sz val="14"/>
            <color rgb="FF000000"/>
            <rFont val="Calibri"/>
            <family val="34"/>
          </rPr>
          <t>IR 40 (1810)</t>
        </r>
      </text>
    </comment>
    <comment ref="BF1016" authorId="0" shapeId="0" xr:uid="{168FA9A7-48B4-514A-9745-7AF4013A8D42}">
      <text>
        <r>
          <rPr>
            <sz val="14"/>
            <color rgb="FF000000"/>
            <rFont val="Times New Roman"/>
            <family val="18"/>
          </rPr>
          <t xml:space="preserve">20/11/1805 </t>
        </r>
        <r>
          <rPr>
            <i/>
            <sz val="14"/>
            <color rgb="FF000000"/>
            <rFont val="Times New Roman"/>
            <family val="18"/>
          </rPr>
          <t>in Reserve Division als Werbbezirk Recrout a 3Fl Handgeld gestellt und in Troppau assentiert</t>
        </r>
        <r>
          <rPr>
            <sz val="14"/>
            <color rgb="FF000000"/>
            <rFont val="Times New Roman"/>
            <family val="18"/>
          </rPr>
          <t xml:space="preserve"> [ML 1806]
</t>
        </r>
        <r>
          <rPr>
            <sz val="14"/>
            <color rgb="FF000000"/>
            <rFont val="Times New Roman"/>
            <family val="18"/>
          </rPr>
          <t xml:space="preserve">30/11/1805 </t>
        </r>
        <r>
          <rPr>
            <i/>
            <sz val="14"/>
            <color rgb="FF000000"/>
            <rFont val="Times New Roman"/>
            <family val="18"/>
          </rPr>
          <t>von Regiment Depot in Troappu in loco desertiert</t>
        </r>
        <r>
          <rPr>
            <sz val="14"/>
            <color rgb="FF000000"/>
            <rFont val="Times New Roman"/>
            <family val="18"/>
          </rPr>
          <t xml:space="preserve"> [ML 1806]
</t>
        </r>
      </text>
    </comment>
    <comment ref="BG1016" authorId="0" shapeId="0" xr:uid="{79FC27A3-79B3-6842-B39E-5631D6497E27}">
      <text>
        <r>
          <rPr>
            <sz val="14"/>
            <color rgb="FF000000"/>
            <rFont val="Times New Roman"/>
            <family val="18"/>
          </rPr>
          <t xml:space="preserve">ML 1623-5 IR 20 (1806) – Reserve Division Zuwachs &amp; Abgang (Olmütz 15/12/1806)
</t>
        </r>
        <r>
          <rPr>
            <sz val="14"/>
            <color rgb="FF000000"/>
            <rFont val="Times New Roman"/>
            <family val="18"/>
          </rPr>
          <t xml:space="preserve">ML 1659 IR 20 (1805) – AL/TL pro Nr. 773 (Troppau 01/12/1805)
</t>
        </r>
      </text>
    </comment>
    <comment ref="BH1016" authorId="0" shapeId="0" xr:uid="{286C205E-4F86-C640-A487-FE25A405681E}">
      <text>
        <r>
          <rPr>
            <sz val="14"/>
            <color rgb="FF000000"/>
            <rFont val="Calibri"/>
            <family val="34"/>
          </rPr>
          <t>IR 59 (1805)</t>
        </r>
      </text>
    </comment>
    <comment ref="BF1017" authorId="0" shapeId="0" xr:uid="{9D76A877-D42F-0A40-A681-457BF5E94DD8}">
      <text>
        <r>
          <rPr>
            <sz val="14"/>
            <color rgb="FF000000"/>
            <rFont val="Times New Roman"/>
            <family val="18"/>
          </rPr>
          <t xml:space="preserve">20/11/1805 </t>
        </r>
        <r>
          <rPr>
            <i/>
            <sz val="14"/>
            <color rgb="FF000000"/>
            <rFont val="Times New Roman"/>
            <family val="18"/>
          </rPr>
          <t xml:space="preserve">Als landständischer Recrout für Czeke </t>
        </r>
        <r>
          <rPr>
            <b/>
            <sz val="14"/>
            <color rgb="FF000000"/>
            <rFont val="Times New Roman"/>
            <family val="18"/>
          </rPr>
          <t>[</t>
        </r>
        <r>
          <rPr>
            <b/>
            <u/>
            <sz val="14"/>
            <color rgb="FF0563C1"/>
            <rFont val="Times New Roman"/>
            <family val="18"/>
          </rPr>
          <t>Cejkov, Slovakia</t>
        </r>
        <r>
          <rPr>
            <b/>
            <sz val="14"/>
            <color rgb="FF000000"/>
            <rFont val="Times New Roman"/>
            <family val="18"/>
          </rPr>
          <t>]</t>
        </r>
        <r>
          <rPr>
            <i/>
            <sz val="14"/>
            <color rgb="FF000000"/>
            <rFont val="Times New Roman"/>
            <family val="18"/>
          </rPr>
          <t>,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Comp zu, 1. Fus Comp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 Fus. Komp. Nr. 120</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1017" authorId="0" shapeId="0" xr:uid="{56E64F8C-DFD9-5C4C-A5D9-B6BD812AA029}">
      <text>
        <r>
          <rPr>
            <sz val="14"/>
            <color rgb="FF000000"/>
            <rFont val="Times New Roman"/>
            <family val="18"/>
          </rPr>
          <t>ML 3499 IR 39 (1807) – 1. Fus. Komp. Nr. 120 (Letschau 23/01/1807)</t>
        </r>
        <r>
          <rPr>
            <sz val="14"/>
            <color rgb="FF000000"/>
            <rFont val="Calibri"/>
            <family val="34"/>
          </rPr>
          <t xml:space="preserve">
</t>
        </r>
        <r>
          <rPr>
            <sz val="14"/>
            <color rgb="FF000000"/>
            <rFont val="Times New Roman"/>
            <family val="18"/>
          </rPr>
          <t>ML 3500 IR 39 (1808-10) – RL 1808 1. Fus. Komp. – Abgang (Comorn 19/09/1808)</t>
        </r>
        <r>
          <rPr>
            <sz val="14"/>
            <color rgb="FF000000"/>
            <rFont val="Calibri"/>
            <family val="34"/>
          </rPr>
          <t xml:space="preserve">
</t>
        </r>
        <r>
          <rPr>
            <sz val="14"/>
            <color rgb="FF000000"/>
            <rFont val="Times New Roman"/>
            <family val="18"/>
          </rPr>
          <t>ML 3546 IR 39 (1805) – AL Nr. 65 (Sátoraljaújhely 24/11/1805)</t>
        </r>
        <r>
          <rPr>
            <sz val="14"/>
            <color rgb="FF000000"/>
            <rFont val="Calibri"/>
            <family val="34"/>
          </rPr>
          <t xml:space="preserve">
</t>
        </r>
      </text>
    </comment>
    <comment ref="BH1017" authorId="0" shapeId="0" xr:uid="{B6A5E5E9-24E7-AE4D-A0FD-206D877D49D7}">
      <text>
        <r>
          <rPr>
            <sz val="14"/>
            <color rgb="FF000000"/>
            <rFont val="Calibri"/>
            <family val="34"/>
          </rPr>
          <t>IR 39 (1805-1807)</t>
        </r>
      </text>
    </comment>
    <comment ref="BF1018" authorId="0" shapeId="0" xr:uid="{54341FDF-251E-9349-A985-6A0AA6DF21F4}">
      <text>
        <r>
          <rPr>
            <sz val="14"/>
            <color rgb="FF000000"/>
            <rFont val="Times New Roman"/>
            <family val="18"/>
          </rPr>
          <t xml:space="preserve">21/11/1805 </t>
        </r>
        <r>
          <rPr>
            <i/>
            <sz val="14"/>
            <color rgb="FF000000"/>
            <rFont val="Times New Roman"/>
            <family val="18"/>
          </rPr>
          <t xml:space="preserve">Als landständischer Recrout für Szecskerestur </t>
        </r>
        <r>
          <rPr>
            <b/>
            <sz val="14"/>
            <color rgb="FF000000"/>
            <rFont val="Times New Roman"/>
            <family val="18"/>
          </rPr>
          <t>[</t>
        </r>
        <r>
          <rPr>
            <b/>
            <u/>
            <sz val="14"/>
            <color rgb="FF0563C1"/>
            <rFont val="Times New Roman"/>
            <family val="18"/>
          </rPr>
          <t>Zemplínska Teplica</t>
        </r>
        <r>
          <rPr>
            <b/>
            <sz val="14"/>
            <color rgb="FF000000"/>
            <rFont val="Times New Roman"/>
            <family val="18"/>
          </rPr>
          <t>]</t>
        </r>
        <r>
          <rPr>
            <i/>
            <sz val="14"/>
            <color rgb="FF000000"/>
            <rFont val="Times New Roman"/>
            <family val="18"/>
          </rPr>
          <t>,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zwei anderen Manner mit Abschied entlassen</t>
        </r>
        <r>
          <rPr>
            <sz val="14"/>
            <color rgb="FF000000"/>
            <rFont val="Times New Roman"/>
            <family val="18"/>
          </rPr>
          <t xml:space="preserve"> [RL 1808]</t>
        </r>
      </text>
    </comment>
    <comment ref="BG1018" authorId="0" shapeId="0" xr:uid="{C1C9070C-A0A8-2A4C-8332-C48EA1C13A18}">
      <text>
        <r>
          <rPr>
            <sz val="14"/>
            <color rgb="FF000000"/>
            <rFont val="Times New Roman"/>
            <family val="18"/>
          </rPr>
          <t>ML 3500 IR 39 (1808-10) – RL 1808 5. Komp. – Abgang (Comorn 19/09/1808)</t>
        </r>
        <r>
          <rPr>
            <sz val="14"/>
            <color rgb="FF000000"/>
            <rFont val="Calibri"/>
            <family val="34"/>
          </rPr>
          <t xml:space="preserve">
</t>
        </r>
        <r>
          <rPr>
            <sz val="14"/>
            <color rgb="FF000000"/>
            <rFont val="Times New Roman"/>
            <family val="18"/>
          </rPr>
          <t>ML 3546 IR 39 (1805) – AL Nr. 66 (Sátoraljaújhely 24/11/1805)</t>
        </r>
        <r>
          <rPr>
            <sz val="14"/>
            <color rgb="FF000000"/>
            <rFont val="Calibri"/>
            <family val="34"/>
          </rPr>
          <t xml:space="preserve">
</t>
        </r>
      </text>
    </comment>
    <comment ref="BH1018" authorId="0" shapeId="0" xr:uid="{8B619E8A-44FF-C841-A14A-1CF8BCDAD11A}">
      <text>
        <r>
          <rPr>
            <sz val="14"/>
            <color rgb="FF000000"/>
            <rFont val="Calibri"/>
            <family val="34"/>
          </rPr>
          <t>IR 39 (1805-1806)</t>
        </r>
      </text>
    </comment>
    <comment ref="K1019" authorId="0" shapeId="0" xr:uid="{7F45AB98-951D-6045-9209-DD0AAC09644F}">
      <text>
        <r>
          <rPr>
            <sz val="14"/>
            <color rgb="FF000000"/>
            <rFont val="Calibri"/>
            <family val="34"/>
          </rPr>
          <t xml:space="preserve">Ohne (1806)
</t>
        </r>
        <r>
          <rPr>
            <sz val="14"/>
            <color rgb="FF000000"/>
            <rFont val="Calibri"/>
            <family val="34"/>
          </rPr>
          <t>Schneider  (1808)</t>
        </r>
      </text>
    </comment>
    <comment ref="BF1019" authorId="0" shapeId="0" xr:uid="{0BFB2E67-CE25-9F42-8C48-505ED855D9F9}">
      <text>
        <r>
          <rPr>
            <sz val="14"/>
            <color rgb="FFFF0000"/>
            <rFont val="Times New Roman"/>
            <family val="18"/>
          </rPr>
          <t xml:space="preserve">11/08/1805 </t>
        </r>
        <r>
          <rPr>
            <i/>
            <sz val="14"/>
            <color rgb="FFFF0000"/>
            <rFont val="Times New Roman"/>
            <family val="18"/>
          </rPr>
          <t xml:space="preserve">Dienst Seit </t>
        </r>
        <r>
          <rPr>
            <sz val="14"/>
            <color rgb="FFFF0000"/>
            <rFont val="Times New Roman"/>
            <family val="18"/>
          </rPr>
          <t>[TL July 1810]</t>
        </r>
        <r>
          <rPr>
            <sz val="14"/>
            <color rgb="FFFF0000"/>
            <rFont val="Times New Roman"/>
            <family val="18"/>
          </rPr>
          <t xml:space="preserve">
</t>
        </r>
        <r>
          <rPr>
            <sz val="14"/>
            <color rgb="FF000000"/>
            <rFont val="Times New Roman"/>
            <family val="18"/>
          </rPr>
          <t xml:space="preserve">21/11/1805 </t>
        </r>
        <r>
          <rPr>
            <i/>
            <sz val="14"/>
            <color rgb="FF000000"/>
            <rFont val="Times New Roman"/>
            <family val="18"/>
          </rPr>
          <t xml:space="preserve">Von Dominien gestellt und zu Rzeszów in Galizien a 3Fl in IR 11assentiert und zur 2. Fus. Komp. eingeteilt </t>
        </r>
        <r>
          <rPr>
            <sz val="14"/>
            <color rgb="FF000000"/>
            <rFont val="Times New Roman"/>
            <family val="18"/>
          </rPr>
          <t>[ML 1806]</t>
        </r>
        <r>
          <rPr>
            <sz val="14"/>
            <color rgb="FF000000"/>
            <rFont val="Times New Roman"/>
            <family val="18"/>
          </rPr>
          <t xml:space="preserve">
</t>
        </r>
        <r>
          <rPr>
            <sz val="14"/>
            <color rgb="FF000000"/>
            <rFont val="Times New Roman"/>
            <family val="18"/>
          </rPr>
          <t xml:space="preserve">23/09/1806 </t>
        </r>
        <r>
          <rPr>
            <i/>
            <sz val="14"/>
            <color rgb="FF000000"/>
            <rFont val="Times New Roman"/>
            <family val="18"/>
          </rPr>
          <t>Von 2. zu 11. Fus. Komp. transferiert</t>
        </r>
        <r>
          <rPr>
            <sz val="14"/>
            <color rgb="FF000000"/>
            <rFont val="Times New Roman"/>
            <family val="18"/>
          </rPr>
          <t xml:space="preserve"> [ML 1806] </t>
        </r>
        <r>
          <rPr>
            <sz val="14"/>
            <color rgb="FF000000"/>
            <rFont val="Times New Roman"/>
            <family val="18"/>
          </rPr>
          <t xml:space="preserve">
</t>
        </r>
        <r>
          <rPr>
            <sz val="14"/>
            <color rgb="FF000000"/>
            <rFont val="Times New Roman"/>
            <family val="18"/>
          </rPr>
          <t>23/12/1806 Muster: IR 11 11. Fus. Komp. Nr. 154 [</t>
        </r>
        <r>
          <rPr>
            <i/>
            <sz val="14"/>
            <color rgb="FF000000"/>
            <rFont val="Times New Roman"/>
            <family val="18"/>
          </rPr>
          <t>Auf Magazin Wache zu Schlaun</t>
        </r>
        <r>
          <rPr>
            <sz val="14"/>
            <color rgb="FF000000"/>
            <rFont val="Times New Roman"/>
            <family val="18"/>
          </rPr>
          <t>]</t>
        </r>
        <r>
          <rPr>
            <sz val="14"/>
            <color rgb="FF000000"/>
            <rFont val="Times New Roman"/>
            <family val="18"/>
          </rPr>
          <t xml:space="preserve">
</t>
        </r>
        <r>
          <rPr>
            <sz val="14"/>
            <color rgb="FF000000"/>
            <rFont val="Times New Roman"/>
            <family val="18"/>
          </rPr>
          <t xml:space="preserve">15/07/1808 </t>
        </r>
        <r>
          <rPr>
            <i/>
            <sz val="14"/>
            <color rgb="FF000000"/>
            <rFont val="Times New Roman"/>
            <family val="18"/>
          </rPr>
          <t>Von IR 11 11. Fus. Komp. zum ArtHandK transferiert</t>
        </r>
        <r>
          <rPr>
            <sz val="14"/>
            <color rgb="FF000000"/>
            <rFont val="Times New Roman"/>
            <family val="18"/>
          </rPr>
          <t xml:space="preserve"> [TL July 1810]</t>
        </r>
        <r>
          <rPr>
            <sz val="14"/>
            <color rgb="FF000000"/>
            <rFont val="Times New Roman"/>
            <family val="18"/>
          </rPr>
          <t xml:space="preserve">
</t>
        </r>
        <r>
          <rPr>
            <sz val="14"/>
            <color rgb="FF000000"/>
            <rFont val="Times New Roman"/>
            <family val="18"/>
          </rPr>
          <t xml:space="preserve">16/07/1808 Durchgestrichen: </t>
        </r>
        <r>
          <rPr>
            <i/>
            <sz val="14"/>
            <color rgb="FF000000"/>
            <rFont val="Times New Roman"/>
            <family val="18"/>
          </rPr>
          <t xml:space="preserve">Nicht Tauglich befunden </t>
        </r>
        <r>
          <rPr>
            <sz val="14"/>
            <color rgb="FF000000"/>
            <rFont val="Times New Roman"/>
            <family val="18"/>
          </rPr>
          <t>[TL July 1810]</t>
        </r>
      </text>
    </comment>
    <comment ref="BG1019" authorId="0" shapeId="0" xr:uid="{B0E84907-551F-1944-88B3-F0A42ADEF0E8}">
      <text>
        <r>
          <rPr>
            <sz val="14"/>
            <color rgb="FF000000"/>
            <rFont val="Times New Roman"/>
            <family val="18"/>
          </rPr>
          <t xml:space="preserve">ML 807/8 IR 11 (1806) – 11. Fus. Komp. Nr. 154 (Prague 23/12/1806)
</t>
        </r>
        <r>
          <rPr>
            <sz val="14"/>
            <color rgb="FF000000"/>
            <rFont val="Times New Roman"/>
            <family val="18"/>
          </rPr>
          <t>ML 11.861 AtHandK (1808) – TL IR 11-&gt; ArtHandK Zwischen Nr. 12 und 13. (Prague 30/07/1808)</t>
        </r>
        <r>
          <rPr>
            <sz val="14"/>
            <color rgb="FF000000"/>
            <rFont val="Aptos"/>
            <family val="34"/>
          </rPr>
          <t xml:space="preserve">
</t>
        </r>
      </text>
    </comment>
    <comment ref="BH1019" authorId="0" shapeId="0" xr:uid="{54551D9C-CECC-DC4D-811E-7BCA4AD6B2C7}">
      <text>
        <r>
          <rPr>
            <sz val="14"/>
            <color rgb="FF000000"/>
            <rFont val="Calibri"/>
            <family val="34"/>
          </rPr>
          <t xml:space="preserve">IR 11 (1805-1808) ArtHandK (1808)
</t>
        </r>
        <r>
          <rPr>
            <sz val="14"/>
            <color rgb="FF000000"/>
            <rFont val="Calibri"/>
            <family val="34"/>
          </rPr>
          <t>IR 11 (1808)</t>
        </r>
      </text>
    </comment>
    <comment ref="BI1019" authorId="0" shapeId="0" xr:uid="{510AB965-97DE-3C45-9AAF-A67D8A3FAE52}">
      <text>
        <r>
          <rPr>
            <i/>
            <sz val="14"/>
            <color rgb="FF000000"/>
            <rFont val="Times New Roman"/>
            <family val="18"/>
          </rPr>
          <t>Gute</t>
        </r>
        <r>
          <rPr>
            <sz val="14"/>
            <color rgb="FF000000"/>
            <rFont val="Times New Roman"/>
            <family val="18"/>
          </rPr>
          <t xml:space="preserve"> [TL July 1808]</t>
        </r>
      </text>
    </comment>
    <comment ref="BF1020" authorId="0" shapeId="0" xr:uid="{97880C11-865B-DE44-AA0F-695F1437179D}">
      <text>
        <r>
          <rPr>
            <sz val="14"/>
            <color rgb="FF000000"/>
            <rFont val="Times New Roman"/>
            <family val="18"/>
          </rPr>
          <t xml:space="preserve">21/11/1805 </t>
        </r>
        <r>
          <rPr>
            <i/>
            <sz val="14"/>
            <color rgb="FF000000"/>
            <rFont val="Times New Roman"/>
            <family val="18"/>
          </rPr>
          <t>Als landständischer Recrout Samogy</t>
        </r>
        <r>
          <rPr>
            <sz val="14"/>
            <color rgb="FF000000"/>
            <rFont val="Times New Roman"/>
            <family val="18"/>
          </rPr>
          <t xml:space="preserve"> </t>
        </r>
        <r>
          <rPr>
            <b/>
            <sz val="14"/>
            <color rgb="FF000000"/>
            <rFont val="Times New Roman"/>
            <family val="18"/>
          </rPr>
          <t>[</t>
        </r>
        <r>
          <rPr>
            <b/>
            <u/>
            <sz val="14"/>
            <color rgb="FF0563C1"/>
            <rFont val="Times New Roman"/>
            <family val="18"/>
          </rPr>
          <t>Šamudovce, Slovakia</t>
        </r>
        <r>
          <rPr>
            <b/>
            <sz val="14"/>
            <color rgb="FF000000"/>
            <rFont val="Times New Roman"/>
            <family val="18"/>
          </rPr>
          <t>]</t>
        </r>
        <r>
          <rPr>
            <i/>
            <sz val="14"/>
            <color rgb="FF000000"/>
            <rFont val="Times New Roman"/>
            <family val="18"/>
          </rPr>
          <t>, Zempliner Komität gestellt, in Ujhely zum IR 39 a 3Fl assentiert und in 18.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18. Fus. zum 6. Fus. Komp. transferier</t>
        </r>
        <r>
          <rPr>
            <sz val="14"/>
            <color rgb="FF000000"/>
            <rFont val="Times New Roman"/>
            <family val="18"/>
          </rPr>
          <t>t [RL 1807]</t>
        </r>
        <r>
          <rPr>
            <sz val="14"/>
            <color rgb="FF000000"/>
            <rFont val="Calibri"/>
            <family val="34"/>
          </rPr>
          <t xml:space="preserve">
</t>
        </r>
        <r>
          <rPr>
            <sz val="14"/>
            <color rgb="FF000000"/>
            <rFont val="Times New Roman"/>
            <family val="18"/>
          </rPr>
          <t>24/01/1807 Revision: IR 39 6. Fus. Komp. Nr. 69 [</t>
        </r>
        <r>
          <rPr>
            <i/>
            <sz val="14"/>
            <color rgb="FF000000"/>
            <rFont val="Times New Roman"/>
            <family val="18"/>
          </rPr>
          <t xml:space="preserve">Commandiert in Stammersdorf </t>
        </r>
        <r>
          <rPr>
            <b/>
            <sz val="14"/>
            <color rgb="FF000000"/>
            <rFont val="Times New Roman"/>
            <family val="18"/>
          </rPr>
          <t>[</t>
        </r>
        <r>
          <rPr>
            <b/>
            <u/>
            <sz val="14"/>
            <color rgb="FF0563C1"/>
            <rFont val="Times New Roman"/>
            <family val="18"/>
          </rPr>
          <t>Stammersdorf, Austria</t>
        </r>
        <r>
          <rPr>
            <b/>
            <sz val="14"/>
            <color rgb="FF000000"/>
            <rFont val="Times New Roman"/>
            <family val="18"/>
          </rPr>
          <t xml:space="preserve">] </t>
        </r>
        <r>
          <rPr>
            <i/>
            <sz val="14"/>
            <color rgb="FF000000"/>
            <rFont val="Times New Roman"/>
            <family val="18"/>
          </rPr>
          <t>in Österreich</t>
        </r>
        <r>
          <rPr>
            <sz val="14"/>
            <color rgb="FF000000"/>
            <rFont val="Times New Roman"/>
            <family val="18"/>
          </rPr>
          <t>]</t>
        </r>
        <r>
          <rPr>
            <sz val="14"/>
            <color rgb="FF000000"/>
            <rFont val="Calibri"/>
            <family val="34"/>
          </rPr>
          <t xml:space="preserve">
</t>
        </r>
        <r>
          <rPr>
            <sz val="14"/>
            <color rgb="FF000000"/>
            <rFont val="Times New Roman"/>
            <family val="18"/>
          </rPr>
          <t xml:space="preserve">30/11/1807 </t>
        </r>
        <r>
          <rPr>
            <i/>
            <sz val="14"/>
            <color rgb="FF000000"/>
            <rFont val="Times New Roman"/>
            <family val="18"/>
          </rPr>
          <t xml:space="preserve">Gegen Stellung ein anderer Mann. mit Abschied entlassen </t>
        </r>
        <r>
          <rPr>
            <sz val="14"/>
            <color rgb="FF000000"/>
            <rFont val="Times New Roman"/>
            <family val="18"/>
          </rPr>
          <t>[RL 1808]</t>
        </r>
      </text>
    </comment>
    <comment ref="BG1020" authorId="0" shapeId="0" xr:uid="{C7F5AF18-16A5-B04C-874C-34936BBD0E9F}">
      <text>
        <r>
          <rPr>
            <sz val="14"/>
            <color rgb="FF000000"/>
            <rFont val="Times New Roman"/>
            <family val="18"/>
          </rPr>
          <t>ML 3499 IR 39 (1807) – 6. Fus. Komp. Nr. 89 (Kesmark 24/01/1807)</t>
        </r>
        <r>
          <rPr>
            <sz val="14"/>
            <color rgb="FF000000"/>
            <rFont val="Calibri"/>
            <family val="34"/>
          </rPr>
          <t xml:space="preserve">
</t>
        </r>
        <r>
          <rPr>
            <sz val="14"/>
            <color rgb="FF000000"/>
            <rFont val="Times New Roman"/>
            <family val="18"/>
          </rPr>
          <t>ML 3500 IR 39 (1808-10) – RL 1808 10. Fus. Komp. – Abgang (Comorn 19/09/1808)</t>
        </r>
        <r>
          <rPr>
            <sz val="14"/>
            <color rgb="FF000000"/>
            <rFont val="Calibri"/>
            <family val="34"/>
          </rPr>
          <t xml:space="preserve">
</t>
        </r>
        <r>
          <rPr>
            <sz val="14"/>
            <color rgb="FF000000"/>
            <rFont val="Times New Roman"/>
            <family val="18"/>
          </rPr>
          <t>ML 3546 IR 39 (1805) – AL Nr. 67 (Sátoraljaújhely 24/11/1805)</t>
        </r>
        <r>
          <rPr>
            <sz val="14"/>
            <color rgb="FF000000"/>
            <rFont val="Calibri"/>
            <family val="34"/>
          </rPr>
          <t xml:space="preserve">
</t>
        </r>
      </text>
    </comment>
    <comment ref="BH1020" authorId="0" shapeId="0" xr:uid="{993AFDB0-3737-0344-9A3E-988B69D05AE4}">
      <text>
        <r>
          <rPr>
            <sz val="14"/>
            <color rgb="FF000000"/>
            <rFont val="Calibri"/>
            <family val="34"/>
          </rPr>
          <t>IR 39 (1805-1807)</t>
        </r>
      </text>
    </comment>
    <comment ref="BF1021" authorId="0" shapeId="0" xr:uid="{5F817FD4-3560-C74C-A8E7-1F3867F68D6C}">
      <text>
        <r>
          <rPr>
            <sz val="14"/>
            <color rgb="FF000000"/>
            <rFont val="Times New Roman"/>
            <family val="18"/>
          </rPr>
          <t xml:space="preserve">21/11/1805 </t>
        </r>
        <r>
          <rPr>
            <i/>
            <sz val="14"/>
            <color rgb="FF000000"/>
            <rFont val="Times New Roman"/>
            <family val="18"/>
          </rPr>
          <t xml:space="preserve">Als landständischer Rekrut Gegen 3Fl Handgeld und 10 Jährige Capitulation von Werbbezirk zum IR 17 gestellt  und zum 1. Reserve Abteilung eingeheilt  </t>
        </r>
        <r>
          <rPr>
            <sz val="14"/>
            <color rgb="FF000000"/>
            <rFont val="Times New Roman"/>
            <family val="18"/>
          </rPr>
          <t>[AL Dec 1805]</t>
        </r>
        <r>
          <rPr>
            <sz val="14"/>
            <color rgb="FF000000"/>
            <rFont val="Aptos"/>
            <family val="34"/>
          </rPr>
          <t xml:space="preserve">
</t>
        </r>
        <r>
          <rPr>
            <sz val="14"/>
            <color rgb="FF000000"/>
            <rFont val="Times New Roman"/>
            <family val="18"/>
          </rPr>
          <t xml:space="preserve">01/01/1806 </t>
        </r>
        <r>
          <rPr>
            <i/>
            <sz val="14"/>
            <color rgb="FF000000"/>
            <rFont val="Times New Roman"/>
            <family val="18"/>
          </rPr>
          <t>Gestorben</t>
        </r>
        <r>
          <rPr>
            <sz val="14"/>
            <color rgb="FF000000"/>
            <rFont val="Times New Roman"/>
            <family val="18"/>
          </rPr>
          <t xml:space="preserve"> [AL Dec 1805]</t>
        </r>
      </text>
    </comment>
    <comment ref="BG1021" authorId="0" shapeId="0" xr:uid="{EB4EF80B-D0C9-5F4B-BBD0-9DD85ABB9114}">
      <text>
        <r>
          <rPr>
            <sz val="14"/>
            <color rgb="FF000000"/>
            <rFont val="Times New Roman"/>
            <family val="18"/>
          </rPr>
          <t>ML 1369 IR 17 (1806) AL/TL – AL Nr. 316 (Jaslo 16/12/1805)</t>
        </r>
        <r>
          <rPr>
            <sz val="14"/>
            <color rgb="FF000000"/>
            <rFont val="Aptos"/>
            <family val="34"/>
          </rPr>
          <t xml:space="preserve">
</t>
        </r>
      </text>
    </comment>
    <comment ref="BH1021" authorId="0" shapeId="0" xr:uid="{55EC2FBB-7062-E24E-85D7-A41DB2C16B7C}">
      <text>
        <r>
          <rPr>
            <sz val="14"/>
            <color rgb="FF000000"/>
            <rFont val="Calibri"/>
            <family val="34"/>
          </rPr>
          <t>IR 17 (1805-1806)</t>
        </r>
      </text>
    </comment>
    <comment ref="T1022" authorId="0" shapeId="0" xr:uid="{298E8A8E-3BCB-FD48-B905-EE6012EE084F}">
      <text>
        <r>
          <rPr>
            <sz val="14"/>
            <color rgb="FF000000"/>
            <rFont val="Calibri"/>
            <family val="34"/>
          </rPr>
          <t xml:space="preserve">5.1.1 [160.85 cm (ML 1806)]
</t>
        </r>
        <r>
          <rPr>
            <sz val="14"/>
            <color rgb="FF000000"/>
            <rFont val="Calibri"/>
            <family val="34"/>
          </rPr>
          <t xml:space="preserve">OR
</t>
        </r>
        <r>
          <rPr>
            <b/>
            <sz val="14"/>
            <color rgb="FF000000"/>
            <rFont val="Calibri"/>
            <family val="34"/>
          </rPr>
          <t xml:space="preserve">5.5 [171.15 cm (ML 1811)]
</t>
        </r>
        <r>
          <rPr>
            <sz val="14"/>
            <color rgb="FF000000"/>
            <rFont val="Calibri"/>
            <family val="34"/>
          </rPr>
          <t xml:space="preserve">OR
</t>
        </r>
        <r>
          <rPr>
            <sz val="14"/>
            <color rgb="FF000000"/>
            <rFont val="Calibri"/>
            <family val="34"/>
          </rPr>
          <t>5.5.2 [171.59 cm (ML 1817-9)]</t>
        </r>
      </text>
    </comment>
    <comment ref="BF1022" authorId="0" shapeId="0" xr:uid="{6248EBF8-57D1-DF44-A8FB-A5E522F91EAB}">
      <text>
        <r>
          <rPr>
            <sz val="14"/>
            <color rgb="FF000000"/>
            <rFont val="Times New Roman"/>
            <family val="18"/>
          </rPr>
          <t xml:space="preserve">22/11/1805 </t>
        </r>
        <r>
          <rPr>
            <i/>
            <sz val="14"/>
            <color rgb="FF000000"/>
            <rFont val="Times New Roman"/>
            <family val="18"/>
          </rPr>
          <t>Zu Chelm in Gallizien a 3Fl Handgeld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 xml:space="preserve">Von dissolvierte 2. Reserve Komp.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31/12/1806 Muster: IR 4 16. Fus. Komp. Nr. 125 [</t>
        </r>
        <r>
          <rPr>
            <i/>
            <sz val="14"/>
            <color rgb="FF000000"/>
            <rFont val="Times New Roman"/>
            <family val="18"/>
          </rPr>
          <t>Kommandiert beurlaubt beim Kanalbau</t>
        </r>
        <r>
          <rPr>
            <sz val="14"/>
            <color rgb="FF000000"/>
            <rFont val="Times New Roman"/>
            <family val="18"/>
          </rPr>
          <t>]</t>
        </r>
        <r>
          <rPr>
            <sz val="14"/>
            <color rgb="FF000000"/>
            <rFont val="Calibri"/>
            <family val="34"/>
          </rPr>
          <t xml:space="preserve">
</t>
        </r>
        <r>
          <rPr>
            <sz val="14"/>
            <color rgb="FF000000"/>
            <rFont val="Times New Roman"/>
            <family val="18"/>
          </rPr>
          <t xml:space="preserve">17/03/1811 </t>
        </r>
        <r>
          <rPr>
            <i/>
            <sz val="14"/>
            <color rgb="FF000000"/>
            <rFont val="Times New Roman"/>
            <family val="18"/>
          </rPr>
          <t>Als Untertan der durch den Wiener Frieden übertretenen Provinzen mit Abschied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18/03/1811 </t>
        </r>
        <r>
          <rPr>
            <i/>
            <sz val="14"/>
            <color rgb="FF000000"/>
            <rFont val="Times New Roman"/>
            <family val="18"/>
          </rPr>
          <t>Statt des zu entlassenen bewilligten Regiments Gemeinen Johann Kuk ohne Entgeld der Arary auf zehn Jahre zum Regiment in Wien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07/09/1811 Muster: IR 4 11. Fus. Komp. Nr. 110 [</t>
        </r>
        <r>
          <rPr>
            <i/>
            <sz val="14"/>
            <color rgb="FF000000"/>
            <rFont val="Times New Roman"/>
            <family val="18"/>
          </rPr>
          <t>Auf Minkendorfer Wacht</t>
        </r>
        <r>
          <rPr>
            <sz val="14"/>
            <color rgb="FF000000"/>
            <rFont val="Times New Roman"/>
            <family val="18"/>
          </rPr>
          <t>]</t>
        </r>
        <r>
          <rPr>
            <sz val="14"/>
            <color rgb="FF000000"/>
            <rFont val="Calibri"/>
            <family val="34"/>
          </rPr>
          <t xml:space="preserve">
</t>
        </r>
        <r>
          <rPr>
            <sz val="14"/>
            <color rgb="FF000000"/>
            <rFont val="Times New Roman"/>
            <family val="18"/>
          </rPr>
          <t>01/10/1817 Muster: IR 4 1. Gren. Komp. Nr. 133</t>
        </r>
        <r>
          <rPr>
            <sz val="14"/>
            <color rgb="FF000000"/>
            <rFont val="Calibri"/>
            <family val="34"/>
          </rPr>
          <t xml:space="preserve">
</t>
        </r>
        <r>
          <rPr>
            <sz val="14"/>
            <color rgb="FF000000"/>
            <rFont val="Times New Roman"/>
            <family val="18"/>
          </rPr>
          <t>21/09/1818 Muster: IR 4 1. Gren. Komp. Nr. 115</t>
        </r>
        <r>
          <rPr>
            <sz val="14"/>
            <color rgb="FF000000"/>
            <rFont val="Calibri"/>
            <family val="34"/>
          </rPr>
          <t xml:space="preserve">
</t>
        </r>
        <r>
          <rPr>
            <sz val="14"/>
            <color rgb="FF000000"/>
            <rFont val="Times New Roman"/>
            <family val="18"/>
          </rPr>
          <t>21/09/1818 Muster: IR 4 1. Gren. Komp. Nr. 115</t>
        </r>
        <r>
          <rPr>
            <sz val="14"/>
            <color rgb="FF000000"/>
            <rFont val="Calibri"/>
            <family val="34"/>
          </rPr>
          <t xml:space="preserve">
</t>
        </r>
        <r>
          <rPr>
            <sz val="14"/>
            <color rgb="FF000000"/>
            <rFont val="Times New Roman"/>
            <family val="18"/>
          </rPr>
          <t>15/09/1819 Muster: IR 4 1. Gren. Komp. Nr. 102</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 IR 4 1. Gren Komp.</t>
        </r>
        <r>
          <rPr>
            <sz val="14"/>
            <color rgb="FF000000"/>
            <rFont val="Times New Roman"/>
            <family val="18"/>
          </rPr>
          <t xml:space="preserve"> [ST Oct 1820]</t>
        </r>
        <r>
          <rPr>
            <sz val="14"/>
            <color rgb="FF000000"/>
            <rFont val="Calibri"/>
            <family val="34"/>
          </rPr>
          <t xml:space="preserve">
</t>
        </r>
      </text>
    </comment>
    <comment ref="BG1022" authorId="0" shapeId="0" xr:uid="{9D34C1C1-43F2-7447-ABB2-BFDEB8E78B04}">
      <text>
        <r>
          <rPr>
            <sz val="14"/>
            <color rgb="FF000000"/>
            <rFont val="Times New Roman"/>
            <family val="18"/>
          </rPr>
          <t>ML 349/50 IR 4 (1806) – 2. Fus. Komp. Nr. 125 (Wiener Neustadt 30/12/1806)</t>
        </r>
        <r>
          <rPr>
            <sz val="14"/>
            <color rgb="FF000000"/>
            <rFont val="Calibri"/>
            <family val="34"/>
          </rPr>
          <t xml:space="preserve">
</t>
        </r>
        <r>
          <rPr>
            <sz val="14"/>
            <color rgb="FF000000"/>
            <rFont val="Times New Roman"/>
            <family val="18"/>
          </rPr>
          <t>ML 351/2 IR 4 (1811) – 11. Fus. Komp. Nr. 110 (Mauer 07/09/1811)</t>
        </r>
        <r>
          <rPr>
            <sz val="14"/>
            <color rgb="FF000000"/>
            <rFont val="Calibri"/>
            <family val="34"/>
          </rPr>
          <t xml:space="preserve">
</t>
        </r>
        <r>
          <rPr>
            <sz val="14"/>
            <color rgb="FF000000"/>
            <rFont val="Times New Roman"/>
            <family val="18"/>
          </rPr>
          <t>ML 353/4 IR 4 (1817) – 1. Gren. Komp. Nr. 133 (Vienna 01/10/1817)</t>
        </r>
        <r>
          <rPr>
            <sz val="14"/>
            <color rgb="FF000000"/>
            <rFont val="Calibri"/>
            <family val="34"/>
          </rPr>
          <t xml:space="preserve">
</t>
        </r>
        <r>
          <rPr>
            <sz val="14"/>
            <color rgb="FF000000"/>
            <rFont val="Times New Roman"/>
            <family val="18"/>
          </rPr>
          <t>ML 355 IR 4 (1818) – 1. Gren. Komp. Nr. 115 (Vienna 21/09/1818)</t>
        </r>
        <r>
          <rPr>
            <sz val="14"/>
            <color rgb="FF000000"/>
            <rFont val="Calibri"/>
            <family val="34"/>
          </rPr>
          <t xml:space="preserve">
</t>
        </r>
        <r>
          <rPr>
            <sz val="14"/>
            <color rgb="FF000000"/>
            <rFont val="Times New Roman"/>
            <family val="18"/>
          </rPr>
          <t>ML 356/7 IR 4 (1819) – 1. Gren. Komp. Nr. 115 (Vienna 15/09/1819)</t>
        </r>
        <r>
          <rPr>
            <sz val="14"/>
            <color rgb="FF000000"/>
            <rFont val="Calibri"/>
            <family val="34"/>
          </rPr>
          <t xml:space="preserve">
</t>
        </r>
        <r>
          <rPr>
            <sz val="14"/>
            <color rgb="FF000000"/>
            <rFont val="Times New Roman"/>
            <family val="18"/>
          </rPr>
          <t>ML 429 IR 4 (1820) – ST Oct (St. Pölten 05/02/1820)</t>
        </r>
        <r>
          <rPr>
            <sz val="14"/>
            <color rgb="FF000000"/>
            <rFont val="Calibri"/>
            <family val="34"/>
          </rPr>
          <t xml:space="preserve">
</t>
        </r>
      </text>
    </comment>
    <comment ref="BH1022" authorId="0" shapeId="0" xr:uid="{95C063E9-D9BB-1B4F-AEDD-7AD7F0F62934}">
      <text>
        <r>
          <rPr>
            <sz val="14"/>
            <color rgb="FF000000"/>
            <rFont val="Calibri"/>
            <family val="34"/>
          </rPr>
          <t>IR 4 (1805-1820)</t>
        </r>
      </text>
    </comment>
    <comment ref="BF1023" authorId="0" shapeId="0" xr:uid="{B36A5558-41EF-BA40-BD7B-8C72DF2ECBCD}">
      <text>
        <r>
          <rPr>
            <sz val="14"/>
            <color rgb="FF000000"/>
            <rFont val="Times New Roman"/>
            <family val="18"/>
          </rPr>
          <t xml:space="preserve">22/11/1805 </t>
        </r>
        <r>
          <rPr>
            <i/>
            <sz val="14"/>
            <color rgb="FF000000"/>
            <rFont val="Times New Roman"/>
            <family val="18"/>
          </rPr>
          <t xml:space="preserve">Von Ständen gegen 3 Fl Handgeld mit 10 jährigen Capitulation für Kozowa </t>
        </r>
        <r>
          <rPr>
            <b/>
            <sz val="14"/>
            <color rgb="FF000000"/>
            <rFont val="Times New Roman"/>
            <family val="18"/>
          </rPr>
          <t>[</t>
        </r>
        <r>
          <rPr>
            <b/>
            <u/>
            <sz val="14"/>
            <color rgb="FF0563C1"/>
            <rFont val="Times New Roman"/>
            <family val="18"/>
          </rPr>
          <t>Kozova, Ukraine</t>
        </r>
        <r>
          <rPr>
            <b/>
            <sz val="14"/>
            <color rgb="FF000000"/>
            <rFont val="Times New Roman"/>
            <family val="18"/>
          </rPr>
          <t>]</t>
        </r>
        <r>
          <rPr>
            <i/>
            <sz val="14"/>
            <color rgb="FF000000"/>
            <rFont val="Times New Roman"/>
            <family val="18"/>
          </rPr>
          <t xml:space="preserve"> zum IR 4 gestellt und zum Haupt Lowuen Komp. eingeteilt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15/12/1806 Muster: IR 1 Haupt Guttwill Komp. Nr. 146</t>
        </r>
        <r>
          <rPr>
            <sz val="14"/>
            <color rgb="FF000000"/>
            <rFont val="Calibri"/>
            <family val="34"/>
          </rPr>
          <t xml:space="preserve">
</t>
        </r>
        <r>
          <rPr>
            <sz val="14"/>
            <color rgb="FF000000"/>
            <rFont val="Times New Roman"/>
            <family val="18"/>
          </rPr>
          <t xml:space="preserve">21/02/1807 </t>
        </r>
        <r>
          <rPr>
            <i/>
            <sz val="14"/>
            <color rgb="FF000000"/>
            <rFont val="Times New Roman"/>
            <family val="18"/>
          </rPr>
          <t>Von 10. Zum 11. Fus. Komp. transferiert</t>
        </r>
        <r>
          <rPr>
            <sz val="14"/>
            <color rgb="FF000000"/>
            <rFont val="Times New Roman"/>
            <family val="18"/>
          </rPr>
          <t xml:space="preserve"> [ST Feb 1807]</t>
        </r>
        <r>
          <rPr>
            <sz val="14"/>
            <color rgb="FF000000"/>
            <rFont val="Calibri"/>
            <family val="34"/>
          </rPr>
          <t xml:space="preserve">
</t>
        </r>
        <r>
          <rPr>
            <sz val="14"/>
            <color rgb="FF000000"/>
            <rFont val="Times New Roman"/>
            <family val="18"/>
          </rPr>
          <t xml:space="preserve">17/04/1807 </t>
        </r>
        <r>
          <rPr>
            <i/>
            <sz val="14"/>
            <color rgb="FF000000"/>
            <rFont val="Times New Roman"/>
            <family val="18"/>
          </rPr>
          <t>Kommandiert in Armée Aufnahme Spital zu Obrowitz</t>
        </r>
        <r>
          <rPr>
            <sz val="14"/>
            <color rgb="FF000000"/>
            <rFont val="Times New Roman"/>
            <family val="18"/>
          </rPr>
          <t xml:space="preserve"> [ST April]</t>
        </r>
        <r>
          <rPr>
            <sz val="14"/>
            <color rgb="FF000000"/>
            <rFont val="Calibri"/>
            <family val="34"/>
          </rPr>
          <t xml:space="preserve">
</t>
        </r>
        <r>
          <rPr>
            <sz val="14"/>
            <color rgb="FF000000"/>
            <rFont val="Times New Roman"/>
            <family val="18"/>
          </rPr>
          <t xml:space="preserve">31/07 1807 </t>
        </r>
        <r>
          <rPr>
            <i/>
            <sz val="14"/>
            <color rgb="FF000000"/>
            <rFont val="Times New Roman"/>
            <family val="18"/>
          </rPr>
          <t>Wieder in Kompanie</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07/02/1810</t>
        </r>
        <r>
          <rPr>
            <i/>
            <sz val="14"/>
            <color rgb="FF000000"/>
            <rFont val="Times New Roman"/>
            <family val="18"/>
          </rPr>
          <t xml:space="preserve"> Wegen Schussverletzung durch die rechte Vorderfuß Brünn superarbietriert: Als zeitlicher Invalid zu entlassen </t>
        </r>
        <r>
          <rPr>
            <sz val="14"/>
            <color rgb="FF000000"/>
            <rFont val="Times New Roman"/>
            <family val="18"/>
          </rPr>
          <t>[SUP Feb 1810]</t>
        </r>
        <r>
          <rPr>
            <sz val="14"/>
            <color rgb="FF000000"/>
            <rFont val="Calibri"/>
            <family val="34"/>
          </rPr>
          <t xml:space="preserve">
</t>
        </r>
        <r>
          <rPr>
            <i/>
            <sz val="14"/>
            <color rgb="FF000000"/>
            <rFont val="Times New Roman"/>
            <family val="18"/>
          </rPr>
          <t>Unter unbewusste Datum sich selbst ranzioniert und seitdem als angehoriger von 4. Fus. Komp/ auf anhero Marsch</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15/02/1810 </t>
        </r>
        <r>
          <rPr>
            <i/>
            <sz val="14"/>
            <color rgb="FF000000"/>
            <rFont val="Times New Roman"/>
            <family val="18"/>
          </rPr>
          <t>Zu Folge hohe General Kommando Verordnung dd.t Brünn von 7. Februar und unter 7. Dicti daselbst gehaltene Superarbietrierung als Reale Invalid mit Abschied entlassen</t>
        </r>
        <r>
          <rPr>
            <sz val="14"/>
            <color rgb="FF000000"/>
            <rFont val="Times New Roman"/>
            <family val="18"/>
          </rPr>
          <t xml:space="preserve"> [ST April 1810] </t>
        </r>
      </text>
    </comment>
    <comment ref="BG1023" authorId="0" shapeId="0" xr:uid="{C11B79D9-3456-D443-B44C-BF76CF93E17D}">
      <text>
        <r>
          <rPr>
            <sz val="14"/>
            <color rgb="FF000000"/>
            <rFont val="Times New Roman"/>
            <family val="18"/>
          </rPr>
          <t>ML 31/2 IR 1 (1806) – Haupt Gutwill Komp. Nr. 146 (Brünn 15/12/1806)</t>
        </r>
        <r>
          <rPr>
            <sz val="14"/>
            <color rgb="FF000000"/>
            <rFont val="Calibri"/>
            <family val="34"/>
          </rPr>
          <t xml:space="preserve">
</t>
        </r>
        <r>
          <rPr>
            <sz val="14"/>
            <color rgb="FF000000"/>
            <rFont val="Times New Roman"/>
            <family val="18"/>
          </rPr>
          <t>ML 86 IR 1 (1806) – AL unumbered (Brzezan 25/11/1805)</t>
        </r>
        <r>
          <rPr>
            <sz val="14"/>
            <color rgb="FF000000"/>
            <rFont val="Calibri"/>
            <family val="34"/>
          </rPr>
          <t xml:space="preserve">
</t>
        </r>
        <r>
          <rPr>
            <sz val="14"/>
            <color rgb="FF000000"/>
            <rFont val="Times New Roman"/>
            <family val="18"/>
          </rPr>
          <t>ML 87 IR 1 (1807) – ST Feb (Brünn 23/07/1807), April (Brünn 28/07/1807), August (Brünn 29/09/1807)</t>
        </r>
        <r>
          <rPr>
            <sz val="14"/>
            <color rgb="FF000000"/>
            <rFont val="Calibri"/>
            <family val="34"/>
          </rPr>
          <t xml:space="preserve">
</t>
        </r>
        <r>
          <rPr>
            <sz val="14"/>
            <color rgb="FF000000"/>
            <rFont val="Times New Roman"/>
            <family val="18"/>
          </rPr>
          <t>ML 91 IR 1 (1809) – ST April (Proßnitz 26/07/1810)</t>
        </r>
        <r>
          <rPr>
            <sz val="14"/>
            <color rgb="FF000000"/>
            <rFont val="Calibri"/>
            <family val="34"/>
          </rPr>
          <t xml:space="preserve">
</t>
        </r>
        <r>
          <rPr>
            <sz val="14"/>
            <color rgb="FF000000"/>
            <rFont val="Times New Roman"/>
            <family val="18"/>
          </rPr>
          <t>ML 94 IR 1 (1810) – ST April (Brünn 10/03/1811)</t>
        </r>
        <r>
          <rPr>
            <sz val="14"/>
            <color rgb="FF000000"/>
            <rFont val="Calibri"/>
            <family val="34"/>
          </rPr>
          <t xml:space="preserve">
</t>
        </r>
        <r>
          <rPr>
            <sz val="14"/>
            <color rgb="FF000000"/>
            <rFont val="Times New Roman"/>
            <family val="18"/>
          </rPr>
          <t>ML 95 IR 1 (1810) AL/TL – SUP Nr. 1 (Brünn 07/02/1810)</t>
        </r>
        <r>
          <rPr>
            <sz val="14"/>
            <color rgb="FF000000"/>
            <rFont val="Calibri"/>
            <family val="34"/>
          </rPr>
          <t xml:space="preserve">
</t>
        </r>
      </text>
    </comment>
    <comment ref="BH1023" authorId="0" shapeId="0" xr:uid="{894C4510-2796-4146-AF0F-B8DF6DEF217F}">
      <text>
        <r>
          <rPr>
            <sz val="14"/>
            <color rgb="FF000000"/>
            <rFont val="Calibri"/>
            <family val="34"/>
          </rPr>
          <t>IR 1 (1805-1810)</t>
        </r>
      </text>
    </comment>
    <comment ref="BI1023" authorId="0" shapeId="0" xr:uid="{C9E5DFF4-93A9-4F45-8285-0265C85BAD62}">
      <text>
        <r>
          <rPr>
            <i/>
            <sz val="14"/>
            <color rgb="FF000000"/>
            <rFont val="Times New Roman"/>
            <family val="18"/>
          </rPr>
          <t>Unbewusst</t>
        </r>
        <r>
          <rPr>
            <sz val="14"/>
            <color rgb="FF000000"/>
            <rFont val="Times New Roman"/>
            <family val="18"/>
          </rPr>
          <t xml:space="preserve"> [SUP Feb 1810]</t>
        </r>
        <r>
          <rPr>
            <sz val="14"/>
            <color rgb="FF000000"/>
            <rFont val="Calibri"/>
            <family val="2"/>
          </rPr>
          <t xml:space="preserve"> </t>
        </r>
      </text>
    </comment>
    <comment ref="BJ1023" authorId="0" shapeId="0" xr:uid="{344DCB01-5019-664A-8B84-378BA1DC4949}">
      <text>
        <r>
          <rPr>
            <i/>
            <sz val="14"/>
            <color rgb="FF000000"/>
            <rFont val="Times New Roman"/>
            <family val="18"/>
          </rPr>
          <t>Blessur durch rechte Vorderfuß dauern nicht austrunken, dahero kein Foricierten Marsch nachher kam</t>
        </r>
        <r>
          <rPr>
            <sz val="14"/>
            <color rgb="FF000000"/>
            <rFont val="Times New Roman"/>
            <family val="18"/>
          </rPr>
          <t xml:space="preserve"> [SUP Feb 1810]</t>
        </r>
      </text>
    </comment>
    <comment ref="BF1024" authorId="0" shapeId="0" xr:uid="{D23773C2-4BE3-3942-A928-AC5F893EE553}">
      <text>
        <r>
          <rPr>
            <sz val="14"/>
            <color rgb="FF000000"/>
            <rFont val="Times New Roman"/>
            <family val="18"/>
          </rPr>
          <t xml:space="preserve">22/11/1805 </t>
        </r>
        <r>
          <rPr>
            <i/>
            <sz val="14"/>
            <color rgb="FF000000"/>
            <rFont val="Times New Roman"/>
            <family val="18"/>
          </rPr>
          <t xml:space="preserve">Als Webbezirk Rekrut von Land gestellt und zum IR 11 10. Fus. Komp. eingeteilt </t>
        </r>
        <r>
          <rPr>
            <sz val="14"/>
            <color rgb="FF000000"/>
            <rFont val="Times New Roman"/>
            <family val="18"/>
          </rPr>
          <t>[ML 1806]</t>
        </r>
        <r>
          <rPr>
            <sz val="14"/>
            <color rgb="FF000000"/>
            <rFont val="Times New Roman"/>
            <family val="18"/>
          </rPr>
          <t xml:space="preserve">
</t>
        </r>
        <r>
          <rPr>
            <sz val="14"/>
            <color rgb="FF000000"/>
            <rFont val="Times New Roman"/>
            <family val="18"/>
          </rPr>
          <t>23/12/1806 Muster: IR 11 10. Fus. Komp. Nr. 227 [</t>
        </r>
        <r>
          <rPr>
            <i/>
            <sz val="14"/>
            <color rgb="FF000000"/>
            <rFont val="Times New Roman"/>
            <family val="18"/>
          </rPr>
          <t>Beurlaubt bis zur Einberufung</t>
        </r>
        <r>
          <rPr>
            <sz val="14"/>
            <color rgb="FF000000"/>
            <rFont val="Times New Roman"/>
            <family val="18"/>
          </rPr>
          <t>]</t>
        </r>
        <r>
          <rPr>
            <sz val="14"/>
            <color rgb="FF000000"/>
            <rFont val="Times New Roman"/>
            <family val="18"/>
          </rPr>
          <t xml:space="preserve">
</t>
        </r>
      </text>
    </comment>
    <comment ref="BG1024" authorId="0" shapeId="0" xr:uid="{BFD8B0B7-8624-6247-AD9C-481429AEB959}">
      <text>
        <r>
          <rPr>
            <sz val="14"/>
            <color rgb="FF000000"/>
            <rFont val="Times New Roman"/>
            <family val="18"/>
          </rPr>
          <t>ML 807/8 IR 11 (1806) – 10. Fus. Komp. Nr. 227 (Prague 23/12/1806)</t>
        </r>
        <r>
          <rPr>
            <sz val="14"/>
            <color rgb="FF000000"/>
            <rFont val="Times New Roman"/>
            <family val="18"/>
          </rPr>
          <t xml:space="preserve">
</t>
        </r>
      </text>
    </comment>
    <comment ref="BH1024" authorId="0" shapeId="0" xr:uid="{4E6DEB5B-7304-B74C-BF91-C0A93AFBA51E}">
      <text>
        <r>
          <rPr>
            <sz val="14"/>
            <color rgb="FF000000"/>
            <rFont val="Calibri"/>
            <family val="34"/>
          </rPr>
          <t>IR 1 (1805-1806)</t>
        </r>
      </text>
    </comment>
    <comment ref="BF1025" authorId="0" shapeId="0" xr:uid="{E976FA2B-82D9-3147-A799-FD7328FC401D}">
      <text>
        <r>
          <rPr>
            <sz val="14"/>
            <color rgb="FF000000"/>
            <rFont val="Times New Roman"/>
            <family val="18"/>
          </rPr>
          <t xml:space="preserve">22/11/1805 </t>
        </r>
        <r>
          <rPr>
            <i/>
            <sz val="14"/>
            <color rgb="FF000000"/>
            <rFont val="Times New Roman"/>
            <family val="18"/>
          </rPr>
          <t>Zum Brzezan zum 9. Fus. Komp ausgehoben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 xml:space="preserve">Von Haupt Penater zum 10.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15/12/1806 Muster: IR 1 Haupt Guttwill Komp. Nr. 134</t>
        </r>
        <r>
          <rPr>
            <sz val="14"/>
            <color rgb="FF000000"/>
            <rFont val="Calibri"/>
            <family val="34"/>
          </rPr>
          <t xml:space="preserve">
</t>
        </r>
        <r>
          <rPr>
            <sz val="14"/>
            <color rgb="FF000000"/>
            <rFont val="Times New Roman"/>
            <family val="18"/>
          </rPr>
          <t xml:space="preserve">06/03/1807 </t>
        </r>
        <r>
          <rPr>
            <i/>
            <sz val="14"/>
            <color rgb="FF000000"/>
            <rFont val="Times New Roman"/>
            <family val="18"/>
          </rPr>
          <t>Wegen Schwache Körperbau in Brünn Superarbitriert</t>
        </r>
        <r>
          <rPr>
            <sz val="14"/>
            <color rgb="FF000000"/>
            <rFont val="Times New Roman"/>
            <family val="18"/>
          </rPr>
          <t xml:space="preserve">: </t>
        </r>
        <r>
          <rPr>
            <i/>
            <sz val="14"/>
            <color rgb="FF000000"/>
            <rFont val="Times New Roman"/>
            <family val="18"/>
          </rPr>
          <t>Ist zu Zweckmassige militärdienstliche Verwendung zu Schwach und unverwundbar</t>
        </r>
        <r>
          <rPr>
            <sz val="14"/>
            <color rgb="FF000000"/>
            <rFont val="Times New Roman"/>
            <family val="18"/>
          </rPr>
          <t>; Mit Laufpaß zu entlassen [SUP March 1807]</t>
        </r>
        <r>
          <rPr>
            <sz val="14"/>
            <color rgb="FF000000"/>
            <rFont val="Calibri"/>
            <family val="34"/>
          </rPr>
          <t xml:space="preserve">
</t>
        </r>
        <r>
          <rPr>
            <sz val="14"/>
            <color rgb="FF000000"/>
            <rFont val="Times New Roman"/>
            <family val="18"/>
          </rPr>
          <t xml:space="preserve">30/04/1807 </t>
        </r>
        <r>
          <rPr>
            <i/>
            <sz val="14"/>
            <color rgb="FF000000"/>
            <rFont val="Times New Roman"/>
            <family val="18"/>
          </rPr>
          <t>Zu Folge hoher General Kommando Verordnung ddt. Brünn den 23. März R: 1794 und der mit derselbe am 7. März zu Brünn vorhergenommene Superarbietreirung als untauglich mit Laufpaß entlassen</t>
        </r>
        <r>
          <rPr>
            <sz val="14"/>
            <color rgb="FF000000"/>
            <rFont val="Times New Roman"/>
            <family val="18"/>
          </rPr>
          <t xml:space="preserve"> [ST April 1807]</t>
        </r>
        <r>
          <rPr>
            <sz val="14"/>
            <color rgb="FF000000"/>
            <rFont val="Calibri"/>
            <family val="2"/>
          </rPr>
          <t xml:space="preserve"> </t>
        </r>
      </text>
    </comment>
    <comment ref="BG1025" authorId="0" shapeId="0" xr:uid="{7DD29293-1926-0148-85C4-54137EDF67A3}">
      <text>
        <r>
          <rPr>
            <sz val="14"/>
            <color rgb="FF000000"/>
            <rFont val="Times New Roman"/>
            <family val="18"/>
          </rPr>
          <t>ML 31/2 IR 1 (1806) – Haupt Gutwill Komp. Nr. 134 (Brünn 15/12/1806)</t>
        </r>
        <r>
          <rPr>
            <sz val="14"/>
            <color rgb="FF000000"/>
            <rFont val="Calibri"/>
            <family val="34"/>
          </rPr>
          <t xml:space="preserve">
</t>
        </r>
        <r>
          <rPr>
            <sz val="14"/>
            <color rgb="FF000000"/>
            <rFont val="Times New Roman"/>
            <family val="18"/>
          </rPr>
          <t>ML 87 IR 1 (1807) – ST April (Brünn 28/07/1807)</t>
        </r>
        <r>
          <rPr>
            <sz val="14"/>
            <color rgb="FF000000"/>
            <rFont val="Calibri"/>
            <family val="34"/>
          </rPr>
          <t xml:space="preserve">
</t>
        </r>
        <r>
          <rPr>
            <sz val="14"/>
            <color rgb="FF000000"/>
            <rFont val="Times New Roman"/>
            <family val="18"/>
          </rPr>
          <t>ML 88 IR 1 (1807) – SUP Nr. 21 (Brünn 06/03/1807)</t>
        </r>
        <r>
          <rPr>
            <sz val="14"/>
            <color rgb="FF000000"/>
            <rFont val="Calibri"/>
            <family val="34"/>
          </rPr>
          <t xml:space="preserve">
</t>
        </r>
      </text>
    </comment>
    <comment ref="BH1025" authorId="0" shapeId="0" xr:uid="{D9802E6A-34C0-B94A-B688-7BD1A65F3059}">
      <text>
        <r>
          <rPr>
            <sz val="14"/>
            <color rgb="FF000000"/>
            <rFont val="Calibri"/>
            <family val="34"/>
          </rPr>
          <t>IR 1 (1805-1807)</t>
        </r>
      </text>
    </comment>
    <comment ref="BJ1025" authorId="0" shapeId="0" xr:uid="{C98A0ED9-2D4C-FF4D-B665-F3B75C1F760D}">
      <text>
        <r>
          <rPr>
            <i/>
            <sz val="14"/>
            <color rgb="FF000000"/>
            <rFont val="Times New Roman"/>
            <family val="18"/>
          </rPr>
          <t xml:space="preserve">Wegen Schwache Körperbau ist zu Zweckmassige militärdienstliche Verwendung zu Schwach und unverwundbar </t>
        </r>
        <r>
          <rPr>
            <sz val="14"/>
            <color rgb="FF000000"/>
            <rFont val="Times New Roman"/>
            <family val="18"/>
          </rPr>
          <t>[SUP March 1807]</t>
        </r>
      </text>
    </comment>
    <comment ref="BF1026" authorId="0" shapeId="0" xr:uid="{9FE8C07B-D11E-884D-829C-17635BC980AC}">
      <text>
        <r>
          <rPr>
            <sz val="14"/>
            <color rgb="FF000000"/>
            <rFont val="Times New Roman"/>
            <family val="18"/>
          </rPr>
          <t xml:space="preserve">03/10/1805 </t>
        </r>
        <r>
          <rPr>
            <i/>
            <sz val="14"/>
            <color rgb="FF000000"/>
            <rFont val="Times New Roman"/>
            <family val="18"/>
          </rPr>
          <t>Als landständischer Recrout für Gombosfalva</t>
        </r>
        <r>
          <rPr>
            <sz val="14"/>
            <color rgb="FF000000"/>
            <rFont val="Times New Roman"/>
            <family val="18"/>
          </rPr>
          <t xml:space="preserve"> </t>
        </r>
        <r>
          <rPr>
            <b/>
            <sz val="14"/>
            <color rgb="FF000000"/>
            <rFont val="Times New Roman"/>
            <family val="18"/>
          </rPr>
          <t>[</t>
        </r>
        <r>
          <rPr>
            <b/>
            <u/>
            <sz val="14"/>
            <color rgb="FF0563C1"/>
            <rFont val="Times New Roman"/>
            <family val="18"/>
          </rPr>
          <t>Hubošovce,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16.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16. Fus. Komp. Nr. 62</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anderer Leute mit Abschied entlassen</t>
        </r>
        <r>
          <rPr>
            <sz val="14"/>
            <color rgb="FF000000"/>
            <rFont val="Times New Roman"/>
            <family val="18"/>
          </rPr>
          <t xml:space="preserve"> [RL 1808]</t>
        </r>
      </text>
    </comment>
    <comment ref="BG1026" authorId="0" shapeId="0" xr:uid="{283FE2DE-B05F-A44E-873F-E21C1C844183}">
      <text>
        <r>
          <rPr>
            <sz val="14"/>
            <color rgb="FF000000"/>
            <rFont val="Times New Roman"/>
            <family val="18"/>
          </rPr>
          <t>ML 3499 IR 39 (1807) – 13. Fus. Komp. Nr. 66 (Letschau 23/01/1807)</t>
        </r>
        <r>
          <rPr>
            <sz val="14"/>
            <color rgb="FF000000"/>
            <rFont val="Calibri"/>
            <family val="34"/>
          </rPr>
          <t xml:space="preserve">
</t>
        </r>
        <r>
          <rPr>
            <sz val="14"/>
            <color rgb="FF000000"/>
            <rFont val="Times New Roman"/>
            <family val="18"/>
          </rPr>
          <t>ML 3500 IR 39 (1808-10) – RL 1808 6. Fus. Komp. – Abgang (Comorn 19/09/1808)</t>
        </r>
        <r>
          <rPr>
            <sz val="14"/>
            <color rgb="FF000000"/>
            <rFont val="Calibri"/>
            <family val="34"/>
          </rPr>
          <t xml:space="preserve">
</t>
        </r>
        <r>
          <rPr>
            <sz val="14"/>
            <color rgb="FF000000"/>
            <rFont val="Times New Roman"/>
            <family val="18"/>
          </rPr>
          <t>ML 3546 IR 39 (1805) – AL Nr. 68 (Sátoraljaújhely 24/11/1805)</t>
        </r>
        <r>
          <rPr>
            <sz val="14"/>
            <color rgb="FF000000"/>
            <rFont val="Calibri"/>
            <family val="34"/>
          </rPr>
          <t xml:space="preserve">
</t>
        </r>
      </text>
    </comment>
    <comment ref="BH1026" authorId="0" shapeId="0" xr:uid="{35C60875-8416-E746-B7FE-EEBB93608A0E}">
      <text>
        <r>
          <rPr>
            <sz val="14"/>
            <color rgb="FF000000"/>
            <rFont val="Calibri"/>
            <family val="34"/>
          </rPr>
          <t>IR 39 (1805-1807)</t>
        </r>
      </text>
    </comment>
    <comment ref="BF1027" authorId="0" shapeId="0" xr:uid="{0A713371-2A38-024C-9C0C-F437A3517E02}">
      <text>
        <r>
          <rPr>
            <sz val="14"/>
            <color rgb="FF000000"/>
            <rFont val="Times New Roman"/>
            <family val="18"/>
          </rPr>
          <t xml:space="preserve">22/11/1805 </t>
        </r>
        <r>
          <rPr>
            <i/>
            <sz val="14"/>
            <color rgb="FF000000"/>
            <rFont val="Times New Roman"/>
            <family val="18"/>
          </rPr>
          <t>Von Landstände gestellt und a 3Fl auf Zehn Jahre zu Chelm assentiert und zum IR 4 1. Reserve Komp. eingeteilt</t>
        </r>
        <r>
          <rPr>
            <sz val="14"/>
            <color rgb="FF000000"/>
            <rFont val="Times New Roman"/>
            <family val="18"/>
          </rPr>
          <t xml:space="preserve"> [ML 1811 &amp; ST Dec 1805]</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1. Reserve Zum 5. Fus. Komp.</t>
        </r>
        <r>
          <rPr>
            <sz val="14"/>
            <color rgb="FF000000"/>
            <rFont val="Times New Roman"/>
            <family val="18"/>
          </rPr>
          <t xml:space="preserve"> [CaptLt Mehlführer] </t>
        </r>
        <r>
          <rPr>
            <i/>
            <sz val="14"/>
            <color rgb="FF000000"/>
            <rFont val="Times New Roman"/>
            <family val="18"/>
          </rPr>
          <t xml:space="preserve">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Marsch verbliebene wegen unbekannter Existenz als unwissend verloren in Abgang</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12/03/1807 </t>
        </r>
        <r>
          <rPr>
            <i/>
            <sz val="14"/>
            <color rgb="FF000000"/>
            <rFont val="Times New Roman"/>
            <family val="18"/>
          </rPr>
          <t>In Regiment eingerückt und zum 9. Fus. Komp. eigeteilt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9. Komp. Fus. zum neu errichtete 6. Staabs Infanterie Komp. transferiert</t>
        </r>
        <r>
          <rPr>
            <sz val="14"/>
            <color rgb="FF000000"/>
            <rFont val="Times New Roman"/>
            <family val="18"/>
          </rPr>
          <t xml:space="preserve"> [ST March 1809] </t>
        </r>
        <r>
          <rPr>
            <sz val="14"/>
            <color rgb="FF000000"/>
            <rFont val="Calibri"/>
            <family val="34"/>
          </rPr>
          <t xml:space="preserve">
</t>
        </r>
        <r>
          <rPr>
            <sz val="14"/>
            <color rgb="FF000000"/>
            <rFont val="Times New Roman"/>
            <family val="18"/>
          </rPr>
          <t xml:space="preserve">09/01/1810 </t>
        </r>
        <r>
          <rPr>
            <i/>
            <sz val="14"/>
            <color rgb="FF000000"/>
            <rFont val="Times New Roman"/>
            <family val="18"/>
          </rPr>
          <t>Von 6. Komp. von dissolvierten Staabs Infanterie zum IR 4 transferiert und zum 3. Fus. Komp. eingeteilt</t>
        </r>
        <r>
          <rPr>
            <sz val="14"/>
            <color rgb="FF000000"/>
            <rFont val="Times New Roman"/>
            <family val="18"/>
          </rPr>
          <t xml:space="preserve"> [ST Jan 1810] </t>
        </r>
        <r>
          <rPr>
            <sz val="14"/>
            <color rgb="FF000000"/>
            <rFont val="Calibri"/>
            <family val="34"/>
          </rPr>
          <t xml:space="preserve">
</t>
        </r>
        <r>
          <rPr>
            <sz val="14"/>
            <color rgb="FF000000"/>
            <rFont val="Times New Roman"/>
            <family val="18"/>
          </rPr>
          <t>06/09/1811 Muster: IR 4 3. Fus. Komp. Nr. 109 [</t>
        </r>
        <r>
          <rPr>
            <i/>
            <sz val="14"/>
            <color rgb="FF000000"/>
            <rFont val="Times New Roman"/>
            <family val="18"/>
          </rPr>
          <t>Commandiert zu Garnisonspital</t>
        </r>
        <r>
          <rPr>
            <sz val="14"/>
            <color rgb="FF000000"/>
            <rFont val="Times New Roman"/>
            <family val="18"/>
          </rPr>
          <t xml:space="preserve">] </t>
        </r>
        <r>
          <rPr>
            <sz val="14"/>
            <color rgb="FF000000"/>
            <rFont val="Calibri"/>
            <family val="34"/>
          </rPr>
          <t xml:space="preserve">
</t>
        </r>
      </text>
    </comment>
    <comment ref="BG1027" authorId="0" shapeId="0" xr:uid="{F53A4B16-1CD0-0F45-BE2D-42D246EF41B1}">
      <text>
        <r>
          <rPr>
            <sz val="14"/>
            <color rgb="FF000000"/>
            <rFont val="Times New Roman"/>
            <family val="18"/>
          </rPr>
          <t>ML 349/50 IR 4 (1806) – 5. Fus. Komp. Abgang (Baden 30/12/1806)</t>
        </r>
        <r>
          <rPr>
            <sz val="14"/>
            <color rgb="FF000000"/>
            <rFont val="Calibri"/>
            <family val="34"/>
          </rPr>
          <t xml:space="preserve">
</t>
        </r>
        <r>
          <rPr>
            <sz val="14"/>
            <color rgb="FF000000"/>
            <rFont val="Times New Roman"/>
            <family val="18"/>
          </rPr>
          <t>ML 351/2 IR 4 (1811) – 3. Fus. Komp. Nr. 109 (Vienna 06/09/1811)</t>
        </r>
        <r>
          <rPr>
            <sz val="14"/>
            <color rgb="FF000000"/>
            <rFont val="Calibri"/>
            <family val="34"/>
          </rPr>
          <t xml:space="preserve">
</t>
        </r>
        <r>
          <rPr>
            <sz val="14"/>
            <color rgb="FF000000"/>
            <rFont val="Times New Roman"/>
            <family val="18"/>
          </rPr>
          <t>ML 385 IR 4 (1805) – ST Dec (Vienna 14/12/1806)</t>
        </r>
        <r>
          <rPr>
            <sz val="14"/>
            <color rgb="FF000000"/>
            <rFont val="Calibri"/>
            <family val="34"/>
          </rPr>
          <t xml:space="preserve">
</t>
        </r>
        <r>
          <rPr>
            <sz val="14"/>
            <color rgb="FF000000"/>
            <rFont val="Times New Roman"/>
            <family val="18"/>
          </rPr>
          <t>ML 392 IR 4 (1807) – ST March (Wiener Neustadt 23/06/1807)</t>
        </r>
        <r>
          <rPr>
            <sz val="14"/>
            <color rgb="FF000000"/>
            <rFont val="Calibri"/>
            <family val="34"/>
          </rPr>
          <t xml:space="preserve">
</t>
        </r>
        <r>
          <rPr>
            <sz val="14"/>
            <color rgb="FF000000"/>
            <rFont val="Times New Roman"/>
            <family val="18"/>
          </rPr>
          <t>ML 398 IR 4 (1809) ST I-VI – March (01/06/1810)</t>
        </r>
        <r>
          <rPr>
            <sz val="14"/>
            <color rgb="FF000000"/>
            <rFont val="Calibri"/>
            <family val="34"/>
          </rPr>
          <t xml:space="preserve">
</t>
        </r>
        <r>
          <rPr>
            <sz val="14"/>
            <color rgb="FF000000"/>
            <rFont val="Times New Roman"/>
            <family val="18"/>
          </rPr>
          <t>ML 402 IR 4 (1810) – ST Jan (Vienna 03/12/1810)</t>
        </r>
        <r>
          <rPr>
            <sz val="14"/>
            <color rgb="FF000000"/>
            <rFont val="Calibri"/>
            <family val="34"/>
          </rPr>
          <t xml:space="preserve">
</t>
        </r>
      </text>
    </comment>
    <comment ref="BH1027" authorId="0" shapeId="0" xr:uid="{9881035B-8C9F-B949-8E6F-976EFC337CE8}">
      <text>
        <r>
          <rPr>
            <sz val="14"/>
            <color rgb="FF000000"/>
            <rFont val="Calibri"/>
            <family val="34"/>
          </rPr>
          <t>IR 4 (1805-1811)</t>
        </r>
      </text>
    </comment>
    <comment ref="BF1028" authorId="0" shapeId="0" xr:uid="{30D84910-81A7-D74F-A0EE-E2120D29E78E}">
      <text>
        <r>
          <rPr>
            <sz val="14"/>
            <color rgb="FF000000"/>
            <rFont val="Times New Roman"/>
            <family val="18"/>
          </rPr>
          <t xml:space="preserve">22/11/1805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12/01/1806 </t>
        </r>
        <r>
          <rPr>
            <i/>
            <sz val="14"/>
            <color rgb="FF000000"/>
            <rFont val="Times New Roman"/>
            <family val="18"/>
          </rPr>
          <t>Auf Station Slomnik desertiert</t>
        </r>
        <r>
          <rPr>
            <sz val="14"/>
            <color rgb="FF000000"/>
            <rFont val="Times New Roman"/>
            <family val="18"/>
          </rPr>
          <t xml:space="preserve"> [ML 1806]</t>
        </r>
        <r>
          <rPr>
            <sz val="14"/>
            <color rgb="FF000000"/>
            <rFont val="Calibri"/>
            <family val="34"/>
          </rPr>
          <t xml:space="preserve">
</t>
        </r>
      </text>
    </comment>
    <comment ref="BG1028" authorId="0" shapeId="0" xr:uid="{4CACD32C-4D6F-8D4F-A6A8-2D2162002A73}">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113 (Siedlce 30/11/1805)</t>
        </r>
        <r>
          <rPr>
            <sz val="14"/>
            <color rgb="FF000000"/>
            <rFont val="Calibri"/>
            <family val="34"/>
          </rPr>
          <t xml:space="preserve">
</t>
        </r>
      </text>
    </comment>
    <comment ref="BH1028" authorId="0" shapeId="0" xr:uid="{B0025B71-759E-2049-8898-A1AAEC3128E3}">
      <text>
        <r>
          <rPr>
            <sz val="14"/>
            <color rgb="FF000000"/>
            <rFont val="Calibri"/>
            <family val="34"/>
          </rPr>
          <t>IR 59 (1805-1806)</t>
        </r>
      </text>
    </comment>
    <comment ref="BF1029" authorId="0" shapeId="0" xr:uid="{83E33308-AAB9-1948-A483-1AD81D42FE70}">
      <text>
        <r>
          <rPr>
            <sz val="14"/>
            <color rgb="FF000000"/>
            <rFont val="Times New Roman"/>
            <family val="18"/>
          </rPr>
          <t xml:space="preserve">22/11/1805 </t>
        </r>
        <r>
          <rPr>
            <i/>
            <sz val="14"/>
            <color rgb="FF000000"/>
            <rFont val="Times New Roman"/>
            <family val="18"/>
          </rPr>
          <t>Als landständischer Recrout für Nagy Tarkany</t>
        </r>
        <r>
          <rPr>
            <sz val="14"/>
            <color rgb="FF000000"/>
            <rFont val="Times New Roman"/>
            <family val="18"/>
          </rPr>
          <t xml:space="preserve"> </t>
        </r>
        <r>
          <rPr>
            <b/>
            <sz val="14"/>
            <color rgb="FF000000"/>
            <rFont val="Times New Roman"/>
            <family val="18"/>
          </rPr>
          <t>[</t>
        </r>
        <r>
          <rPr>
            <b/>
            <u/>
            <sz val="14"/>
            <color rgb="FF0563C1"/>
            <rFont val="Times New Roman"/>
            <family val="18"/>
          </rPr>
          <t>Veľké Trakany, Slovakia</t>
        </r>
        <r>
          <rPr>
            <b/>
            <sz val="14"/>
            <color rgb="FF000000"/>
            <rFont val="Times New Roman"/>
            <family val="18"/>
          </rPr>
          <t xml:space="preserve">] </t>
        </r>
        <r>
          <rPr>
            <i/>
            <sz val="14"/>
            <color rgb="FF000000"/>
            <rFont val="Times New Roman"/>
            <family val="18"/>
          </rPr>
          <t xml:space="preserve"> 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07/02/1806 </t>
        </r>
        <r>
          <rPr>
            <i/>
            <sz val="14"/>
            <color rgb="FF000000"/>
            <rFont val="Times New Roman"/>
            <family val="18"/>
          </rPr>
          <t xml:space="preserve">Zu Pest </t>
        </r>
        <r>
          <rPr>
            <b/>
            <sz val="14"/>
            <color rgb="FF000000"/>
            <rFont val="Times New Roman"/>
            <family val="18"/>
          </rPr>
          <t>[</t>
        </r>
        <r>
          <rPr>
            <b/>
            <u/>
            <sz val="14"/>
            <color rgb="FF0563C1"/>
            <rFont val="Times New Roman"/>
            <family val="18"/>
          </rPr>
          <t>Pest (Part of Budapest), Hungary</t>
        </r>
        <r>
          <rPr>
            <b/>
            <sz val="14"/>
            <color rgb="FF000000"/>
            <rFont val="Times New Roman"/>
            <family val="18"/>
          </rPr>
          <t>]</t>
        </r>
        <r>
          <rPr>
            <sz val="14"/>
            <color rgb="FF000000"/>
            <rFont val="Times New Roman"/>
            <family val="18"/>
          </rPr>
          <t xml:space="preserve"> </t>
        </r>
        <r>
          <rPr>
            <i/>
            <sz val="14"/>
            <color rgb="FF000000"/>
            <rFont val="Times New Roman"/>
            <family val="18"/>
          </rPr>
          <t>gestorben</t>
        </r>
        <r>
          <rPr>
            <sz val="14"/>
            <color rgb="FF000000"/>
            <rFont val="Times New Roman"/>
            <family val="18"/>
          </rPr>
          <t xml:space="preserve"> [RL 1807]</t>
        </r>
      </text>
    </comment>
    <comment ref="BG1029" authorId="0" shapeId="0" xr:uid="{22D90108-833E-2443-B4BA-668746669493}">
      <text>
        <r>
          <rPr>
            <sz val="14"/>
            <color rgb="FF000000"/>
            <rFont val="Times New Roman"/>
            <family val="18"/>
          </rPr>
          <t>ML 3499 IR 39 (1807) – 20. Fus. Komp. Abgang (Letschau 23/01/1807)</t>
        </r>
        <r>
          <rPr>
            <sz val="14"/>
            <color rgb="FF000000"/>
            <rFont val="Calibri"/>
            <family val="34"/>
          </rPr>
          <t xml:space="preserve">
</t>
        </r>
        <r>
          <rPr>
            <sz val="14"/>
            <color rgb="FF000000"/>
            <rFont val="Times New Roman"/>
            <family val="18"/>
          </rPr>
          <t>ML 3546 IR 39 (1805) – AL Nr. 69 (Sátoraljaújhely 24/11/1805)</t>
        </r>
        <r>
          <rPr>
            <sz val="14"/>
            <color rgb="FF000000"/>
            <rFont val="Calibri"/>
            <family val="34"/>
          </rPr>
          <t xml:space="preserve">
</t>
        </r>
      </text>
    </comment>
    <comment ref="BH1029" authorId="0" shapeId="0" xr:uid="{A0B75327-44CD-F94A-9698-720638D6D2D8}">
      <text>
        <r>
          <rPr>
            <sz val="14"/>
            <color rgb="FF000000"/>
            <rFont val="Calibri"/>
            <family val="34"/>
          </rPr>
          <t>IR 39 (1805-1806)</t>
        </r>
      </text>
    </comment>
    <comment ref="BF1030" authorId="0" shapeId="0" xr:uid="{5D4591EE-0E55-974D-81DF-C41F06C37263}">
      <text>
        <r>
          <rPr>
            <sz val="14"/>
            <color rgb="FF000000"/>
            <rFont val="Times New Roman"/>
            <family val="18"/>
          </rPr>
          <t xml:space="preserve">23/11/1805 </t>
        </r>
        <r>
          <rPr>
            <i/>
            <sz val="14"/>
            <color rgb="FF000000"/>
            <rFont val="Times New Roman"/>
            <family val="18"/>
          </rPr>
          <t xml:space="preserve">Als landständischer Recrout für Hommona </t>
        </r>
        <r>
          <rPr>
            <b/>
            <sz val="14"/>
            <color rgb="FF000000"/>
            <rFont val="Times New Roman"/>
            <family val="18"/>
          </rPr>
          <t>[</t>
        </r>
        <r>
          <rPr>
            <b/>
            <u/>
            <sz val="14"/>
            <color rgb="FF0563C1"/>
            <rFont val="Times New Roman"/>
            <family val="18"/>
          </rPr>
          <t>Humenné, Slovakia</t>
        </r>
        <r>
          <rPr>
            <b/>
            <sz val="14"/>
            <color rgb="FF000000"/>
            <rFont val="Times New Roman"/>
            <family val="18"/>
          </rPr>
          <t>]</t>
        </r>
        <r>
          <rPr>
            <sz val="14"/>
            <color rgb="FF000000"/>
            <rFont val="Times New Roman"/>
            <family val="18"/>
          </rPr>
          <t xml:space="preserve"> </t>
        </r>
        <r>
          <rPr>
            <b/>
            <sz val="14"/>
            <color rgb="FF000000"/>
            <rFont val="Times New Roman"/>
            <family val="18"/>
          </rPr>
          <t xml:space="preserve"> </t>
        </r>
        <r>
          <rPr>
            <i/>
            <sz val="14"/>
            <color rgb="FF000000"/>
            <rFont val="Times New Roman"/>
            <family val="18"/>
          </rPr>
          <t>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20. Fus. zur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11/08/1806 </t>
        </r>
        <r>
          <rPr>
            <i/>
            <sz val="14"/>
            <color rgb="FF000000"/>
            <rFont val="Times New Roman"/>
            <family val="18"/>
          </rPr>
          <t>Auf 2 Monat nach Homonauin</t>
        </r>
        <r>
          <rPr>
            <sz val="14"/>
            <color rgb="FF000000"/>
            <rFont val="Times New Roman"/>
            <family val="18"/>
          </rPr>
          <t xml:space="preserve"> </t>
        </r>
        <r>
          <rPr>
            <b/>
            <u/>
            <sz val="14"/>
            <color rgb="FF0563C1"/>
            <rFont val="Times New Roman"/>
            <family val="18"/>
          </rPr>
          <t>Humenné, Slovakia</t>
        </r>
        <r>
          <rPr>
            <b/>
            <sz val="14"/>
            <color rgb="FF000000"/>
            <rFont val="Times New Roman"/>
            <family val="18"/>
          </rPr>
          <t xml:space="preserve">] </t>
        </r>
        <r>
          <rPr>
            <i/>
            <sz val="14"/>
            <color rgb="FF000000"/>
            <rFont val="Times New Roman"/>
            <family val="18"/>
          </rPr>
          <t>Zempliner Comitat 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15. Fus. Komp. Nr. 74 [</t>
        </r>
        <r>
          <rPr>
            <i/>
            <sz val="14"/>
            <color rgb="FF000000"/>
            <rFont val="Times New Roman"/>
            <family val="18"/>
          </rPr>
          <t>Den 11. August 1806 auf 2 Monath nach Homonauin Zempliner Comitat</t>
        </r>
        <r>
          <rPr>
            <sz val="14"/>
            <color rgb="FF000000"/>
            <rFont val="Times New Roman"/>
            <family val="18"/>
          </rPr>
          <t>]</t>
        </r>
        <r>
          <rPr>
            <sz val="14"/>
            <color rgb="FF000000"/>
            <rFont val="Calibri"/>
            <family val="34"/>
          </rPr>
          <t xml:space="preserve">
</t>
        </r>
        <r>
          <rPr>
            <sz val="14"/>
            <color rgb="FF000000"/>
            <rFont val="Times New Roman"/>
            <family val="18"/>
          </rPr>
          <t xml:space="preserve">31/12/1806 </t>
        </r>
        <r>
          <rPr>
            <i/>
            <sz val="14"/>
            <color rgb="FF000000"/>
            <rFont val="Times New Roman"/>
            <family val="18"/>
          </rPr>
          <t xml:space="preserve">Vermog hoh. Verord. Ddt. Ofen am 15. Oct a:c: gegen Stellung Andere Leute mit Abschied entlassen </t>
        </r>
        <r>
          <rPr>
            <sz val="14"/>
            <color rgb="FF000000"/>
            <rFont val="Times New Roman"/>
            <family val="18"/>
          </rPr>
          <t>[RL 1808]</t>
        </r>
      </text>
    </comment>
    <comment ref="BG1030" authorId="0" shapeId="0" xr:uid="{F79099DD-1A50-8044-B592-5D59FD8917B6}">
      <text>
        <r>
          <rPr>
            <sz val="14"/>
            <color rgb="FF000000"/>
            <rFont val="Times New Roman"/>
            <family val="18"/>
          </rPr>
          <t>ML 3499 IR 39 (1807) – 15. Fus. Komp. Nr. 74 (Kesmark 24/01/1807)</t>
        </r>
        <r>
          <rPr>
            <sz val="14"/>
            <color rgb="FF000000"/>
            <rFont val="Calibri"/>
            <family val="34"/>
          </rPr>
          <t xml:space="preserve">
</t>
        </r>
        <r>
          <rPr>
            <sz val="14"/>
            <color rgb="FF000000"/>
            <rFont val="Times New Roman"/>
            <family val="18"/>
          </rPr>
          <t>ML 3500 IR 39 (1808-10) – RL 1808 8. Fus. Komp. – Abgang (Comorn 19/09/1808)</t>
        </r>
        <r>
          <rPr>
            <sz val="14"/>
            <color rgb="FF000000"/>
            <rFont val="Calibri"/>
            <family val="34"/>
          </rPr>
          <t xml:space="preserve">
</t>
        </r>
        <r>
          <rPr>
            <sz val="14"/>
            <color rgb="FF000000"/>
            <rFont val="Times New Roman"/>
            <family val="18"/>
          </rPr>
          <t>ML 3546 IR 39 (1805) – AL Nr. 74 (Sátoraljaújhely 24/11/1805)</t>
        </r>
        <r>
          <rPr>
            <sz val="14"/>
            <color rgb="FF000000"/>
            <rFont val="Calibri"/>
            <family val="34"/>
          </rPr>
          <t xml:space="preserve">
</t>
        </r>
      </text>
    </comment>
    <comment ref="BH1030" authorId="0" shapeId="0" xr:uid="{E9C01A45-85B5-8648-B66A-94818447A432}">
      <text>
        <r>
          <rPr>
            <sz val="14"/>
            <color rgb="FF000000"/>
            <rFont val="Calibri"/>
            <family val="34"/>
          </rPr>
          <t>IR 39 (1805-1806)</t>
        </r>
      </text>
    </comment>
    <comment ref="BF1031" authorId="0" shapeId="0" xr:uid="{F95963C4-6909-2E4C-8C7D-FA3BA214AD5C}">
      <text>
        <r>
          <rPr>
            <sz val="14"/>
            <color rgb="FF000000"/>
            <rFont val="Times New Roman"/>
            <family val="18"/>
          </rPr>
          <t xml:space="preserve">23/11/1805 </t>
        </r>
        <r>
          <rPr>
            <i/>
            <sz val="14"/>
            <color rgb="FF000000"/>
            <rFont val="Times New Roman"/>
            <family val="18"/>
          </rPr>
          <t xml:space="preserve">Als landständischer Recrout für Hommona </t>
        </r>
        <r>
          <rPr>
            <b/>
            <sz val="14"/>
            <color rgb="FF000000"/>
            <rFont val="Times New Roman"/>
            <family val="18"/>
          </rPr>
          <t>[</t>
        </r>
        <r>
          <rPr>
            <b/>
            <u/>
            <sz val="14"/>
            <color rgb="FF0563C1"/>
            <rFont val="Times New Roman"/>
            <family val="18"/>
          </rPr>
          <t>Humenné, Slovakia</t>
        </r>
        <r>
          <rPr>
            <b/>
            <sz val="14"/>
            <color rgb="FF000000"/>
            <rFont val="Times New Roman"/>
            <family val="18"/>
          </rPr>
          <t>]</t>
        </r>
        <r>
          <rPr>
            <i/>
            <sz val="14"/>
            <color rgb="FF000000"/>
            <rFont val="Times New Roman"/>
            <family val="18"/>
          </rPr>
          <t xml:space="preserve">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eines anderen Mannes mit Abschied entlassen</t>
        </r>
        <r>
          <rPr>
            <sz val="14"/>
            <color rgb="FF000000"/>
            <rFont val="Times New Roman"/>
            <family val="18"/>
          </rPr>
          <t xml:space="preserve"> [RL 1808]</t>
        </r>
      </text>
    </comment>
    <comment ref="BG1031" authorId="0" shapeId="0" xr:uid="{B123F24E-2A0C-BB43-9D57-C8ADAD3B76BC}">
      <text>
        <r>
          <rPr>
            <sz val="14"/>
            <color rgb="FF000000"/>
            <rFont val="Times New Roman"/>
            <family val="18"/>
          </rPr>
          <t>ML 3546 IR 39 (1805) – AL Nr. 75 (Sátoraljaújhely 24/11/1805)</t>
        </r>
        <r>
          <rPr>
            <sz val="14"/>
            <color rgb="FF000000"/>
            <rFont val="Calibri"/>
            <family val="34"/>
          </rPr>
          <t xml:space="preserve">
</t>
        </r>
        <r>
          <rPr>
            <sz val="14"/>
            <color rgb="FF000000"/>
            <rFont val="Times New Roman"/>
            <family val="18"/>
          </rPr>
          <t>ML 3500 IR 39 (1808-10) – RL 1808 5. Komp. – Abgang (Comorn 19/09/1808)</t>
        </r>
        <r>
          <rPr>
            <sz val="14"/>
            <color rgb="FF000000"/>
            <rFont val="Calibri"/>
            <family val="34"/>
          </rPr>
          <t xml:space="preserve">
</t>
        </r>
      </text>
    </comment>
    <comment ref="BH1031" authorId="0" shapeId="0" xr:uid="{A8B32414-3AC8-BC42-B234-9B73840FFF27}">
      <text>
        <r>
          <rPr>
            <sz val="14"/>
            <color rgb="FF000000"/>
            <rFont val="Calibri"/>
            <family val="34"/>
          </rPr>
          <t>IR 39 (1805-1806)</t>
        </r>
      </text>
    </comment>
    <comment ref="BF1032" authorId="0" shapeId="0" xr:uid="{B2799071-532F-7B40-AFDA-0C04CDB6178A}">
      <text>
        <r>
          <rPr>
            <sz val="14"/>
            <color rgb="FF000000"/>
            <rFont val="Times New Roman"/>
            <family val="18"/>
          </rPr>
          <t xml:space="preserve">23/11/1805 </t>
        </r>
        <r>
          <rPr>
            <i/>
            <sz val="14"/>
            <color rgb="FF000000"/>
            <rFont val="Times New Roman"/>
            <family val="18"/>
          </rPr>
          <t xml:space="preserve">Als landständischer Recrout für Morva </t>
        </r>
        <r>
          <rPr>
            <b/>
            <sz val="14"/>
            <color rgb="FF000000"/>
            <rFont val="Times New Roman"/>
            <family val="18"/>
          </rPr>
          <t>[</t>
        </r>
        <r>
          <rPr>
            <b/>
            <u/>
            <sz val="14"/>
            <color rgb="FF0563C1"/>
            <rFont val="Times New Roman"/>
            <family val="18"/>
          </rPr>
          <t>Moravany, Slovakia</t>
        </r>
        <r>
          <rPr>
            <b/>
            <sz val="14"/>
            <color rgb="FF000000"/>
            <rFont val="Times New Roman"/>
            <family val="18"/>
          </rPr>
          <t xml:space="preserve">] </t>
        </r>
        <r>
          <rPr>
            <sz val="14"/>
            <color rgb="FF000000"/>
            <rFont val="Times New Roman"/>
            <family val="18"/>
          </rPr>
          <t xml:space="preserve"> </t>
        </r>
        <r>
          <rPr>
            <i/>
            <sz val="14"/>
            <color rgb="FF000000"/>
            <rFont val="Times New Roman"/>
            <family val="18"/>
          </rPr>
          <t>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16/05/1806 </t>
        </r>
        <r>
          <rPr>
            <i/>
            <sz val="14"/>
            <color rgb="FF000000"/>
            <rFont val="Times New Roman"/>
            <family val="18"/>
          </rPr>
          <t xml:space="preserve">Von 7. Fus. zum 5. Fus. Komp transferiert </t>
        </r>
        <r>
          <rPr>
            <sz val="14"/>
            <color rgb="FF000000"/>
            <rFont val="Times New Roman"/>
            <family val="18"/>
          </rPr>
          <t>[RL 1807]</t>
        </r>
        <r>
          <rPr>
            <sz val="14"/>
            <color rgb="FF000000"/>
            <rFont val="Calibri"/>
            <family val="34"/>
          </rPr>
          <t xml:space="preserve">
</t>
        </r>
        <r>
          <rPr>
            <sz val="14"/>
            <color rgb="FF000000"/>
            <rFont val="Times New Roman"/>
            <family val="18"/>
          </rPr>
          <t xml:space="preserve">11/01/1807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5. Fus. Komp. Nr. 106 [</t>
        </r>
        <r>
          <rPr>
            <i/>
            <sz val="14"/>
            <color rgb="FF000000"/>
            <rFont val="Times New Roman"/>
            <family val="18"/>
          </rPr>
          <t>von 11. Hujus auf Urlaub</t>
        </r>
        <r>
          <rPr>
            <sz val="14"/>
            <color rgb="FF000000"/>
            <rFont val="Times New Roman"/>
            <family val="18"/>
          </rPr>
          <t>]</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1032" authorId="0" shapeId="0" xr:uid="{03BC7B48-AA3C-0642-86CA-F660A1D8E275}">
      <text>
        <r>
          <rPr>
            <sz val="14"/>
            <color rgb="FF000000"/>
            <rFont val="Times New Roman"/>
            <family val="18"/>
          </rPr>
          <t>ML 3499 IR 39 (1807) – 5. Fus. Komp. Nr. 106 (Kesmark 24/01/1807)</t>
        </r>
        <r>
          <rPr>
            <sz val="14"/>
            <color rgb="FF000000"/>
            <rFont val="Calibri"/>
            <family val="34"/>
          </rPr>
          <t xml:space="preserve">
</t>
        </r>
        <r>
          <rPr>
            <sz val="14"/>
            <color rgb="FF000000"/>
            <rFont val="Times New Roman"/>
            <family val="18"/>
          </rPr>
          <t>ML 3500 IR 39 (1808-10) – RL 1808 11. Fus. Komp. – Abgang (Comorn 19/09/1808)</t>
        </r>
        <r>
          <rPr>
            <sz val="14"/>
            <color rgb="FF000000"/>
            <rFont val="Calibri"/>
            <family val="34"/>
          </rPr>
          <t xml:space="preserve">
</t>
        </r>
        <r>
          <rPr>
            <sz val="14"/>
            <color rgb="FF000000"/>
            <rFont val="Times New Roman"/>
            <family val="18"/>
          </rPr>
          <t>ML 3546 IR 39 (1805) – AL Nr. 70 (Sátoraljaújhely 24/11/1805)</t>
        </r>
        <r>
          <rPr>
            <sz val="14"/>
            <color rgb="FF000000"/>
            <rFont val="Calibri"/>
            <family val="34"/>
          </rPr>
          <t xml:space="preserve">
</t>
        </r>
      </text>
    </comment>
    <comment ref="BH1032" authorId="0" shapeId="0" xr:uid="{603A961C-1AE2-1A44-8518-0DF3FFBF66DD}">
      <text>
        <r>
          <rPr>
            <sz val="14"/>
            <color rgb="FF000000"/>
            <rFont val="Calibri"/>
            <family val="34"/>
          </rPr>
          <t>IR 39 (1805-1807)</t>
        </r>
      </text>
    </comment>
    <comment ref="BF1033" authorId="0" shapeId="0" xr:uid="{93BC28E5-C128-994D-BFC4-3B5C5DB45E4B}">
      <text>
        <r>
          <rPr>
            <sz val="14"/>
            <color rgb="FF000000"/>
            <rFont val="Times New Roman"/>
            <family val="18"/>
          </rPr>
          <t xml:space="preserve">23/11/1805 </t>
        </r>
        <r>
          <rPr>
            <i/>
            <sz val="14"/>
            <color rgb="FF000000"/>
            <rFont val="Times New Roman"/>
            <family val="18"/>
          </rPr>
          <t>Als landständischer Recrout für Ruszka</t>
        </r>
        <r>
          <rPr>
            <sz val="14"/>
            <color rgb="FF000000"/>
            <rFont val="Times New Roman"/>
            <family val="18"/>
          </rPr>
          <t xml:space="preserve"> </t>
        </r>
        <r>
          <rPr>
            <b/>
            <sz val="14"/>
            <color rgb="FF000000"/>
            <rFont val="Times New Roman"/>
            <family val="18"/>
          </rPr>
          <t>[</t>
        </r>
        <r>
          <rPr>
            <b/>
            <u/>
            <sz val="14"/>
            <color rgb="FF0563C1"/>
            <rFont val="Times New Roman"/>
            <family val="18"/>
          </rPr>
          <t>Ruská, Slovakia</t>
        </r>
        <r>
          <rPr>
            <b/>
            <sz val="14"/>
            <color rgb="FF000000"/>
            <rFont val="Times New Roman"/>
            <family val="18"/>
          </rPr>
          <t xml:space="preserve">] </t>
        </r>
        <r>
          <rPr>
            <i/>
            <sz val="14"/>
            <color rgb="FF000000"/>
            <rFont val="Times New Roman"/>
            <family val="18"/>
          </rPr>
          <t>Ungvarer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??/??/1806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andere Leute mit Abschied entlassen</t>
        </r>
        <r>
          <rPr>
            <sz val="14"/>
            <color rgb="FF000000"/>
            <rFont val="Times New Roman"/>
            <family val="18"/>
          </rPr>
          <t xml:space="preserve"> [RL 1807]</t>
        </r>
      </text>
    </comment>
    <comment ref="BG1033" authorId="0" shapeId="0" xr:uid="{452873FA-1801-9C40-9063-648E86721219}">
      <text>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3546 IR 39 (1805) – AL Nr. 73 (Sátoraljaújhely 24/11/1805)</t>
        </r>
        <r>
          <rPr>
            <sz val="14"/>
            <color rgb="FF000000"/>
            <rFont val="Calibri"/>
            <family val="34"/>
          </rPr>
          <t xml:space="preserve">
</t>
        </r>
      </text>
    </comment>
    <comment ref="BH1033" authorId="0" shapeId="0" xr:uid="{389A5B92-5EC6-9148-BDBE-D5D30224680B}">
      <text>
        <r>
          <rPr>
            <sz val="14"/>
            <color rgb="FF000000"/>
            <rFont val="Calibri"/>
            <family val="34"/>
          </rPr>
          <t>IR 39 (1805-1806)</t>
        </r>
      </text>
    </comment>
    <comment ref="BF1034" authorId="0" shapeId="0" xr:uid="{ED22EA1B-E5D0-3D43-A27B-BF641B9153F8}">
      <text>
        <r>
          <rPr>
            <sz val="14"/>
            <color rgb="FF000000"/>
            <rFont val="Times New Roman"/>
            <family val="18"/>
          </rPr>
          <t xml:space="preserve">23/11/1805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 </t>
        </r>
      </text>
    </comment>
    <comment ref="BG1034" authorId="0" shapeId="0" xr:uid="{F1770E0A-E0F4-B248-A623-2F9D414FEF76}">
      <text>
        <r>
          <rPr>
            <sz val="14"/>
            <color rgb="FF000000"/>
            <rFont val="Times New Roman"/>
            <family val="18"/>
          </rPr>
          <t>ML 5017/8 IR 59 (1806) – 16. Fus. Komp. Nr. 289 (Freistadt 22/12/1816) &amp; Reserve Division Zuwachs &amp; Abgang (Wells 06/07/1807) &amp; Cons.‘Unwissend verloren‘ Nr. 398 (Linz 10/07/1807)</t>
        </r>
        <r>
          <rPr>
            <sz val="14"/>
            <color rgb="FF000000"/>
            <rFont val="Calibri"/>
            <family val="34"/>
          </rPr>
          <t xml:space="preserve">
</t>
        </r>
        <r>
          <rPr>
            <sz val="14"/>
            <color rgb="FF000000"/>
            <rFont val="Times New Roman"/>
            <family val="18"/>
          </rPr>
          <t>ML 5067 IR 59 (1805) – AL. Nr. 117 (Siedlce 30/11/1805)</t>
        </r>
        <r>
          <rPr>
            <sz val="14"/>
            <color rgb="FF000000"/>
            <rFont val="Calibri"/>
            <family val="34"/>
          </rPr>
          <t xml:space="preserve">
</t>
        </r>
      </text>
    </comment>
    <comment ref="BH1034" authorId="0" shapeId="0" xr:uid="{718DBB4E-6679-9741-AF9B-78D22B078C3F}">
      <text>
        <r>
          <rPr>
            <sz val="14"/>
            <color rgb="FF000000"/>
            <rFont val="Calibri"/>
            <family val="34"/>
          </rPr>
          <t>IR 59 (1805-1806)</t>
        </r>
      </text>
    </comment>
    <comment ref="BF1035" authorId="0" shapeId="0" xr:uid="{59AD0B46-1B17-F44C-B131-BAD9762D721B}">
      <text>
        <r>
          <rPr>
            <sz val="14"/>
            <color rgb="FF000000"/>
            <rFont val="Times New Roman"/>
            <family val="18"/>
          </rPr>
          <t xml:space="preserve">23/11/1805 </t>
        </r>
        <r>
          <rPr>
            <i/>
            <sz val="14"/>
            <color rgb="FF000000"/>
            <rFont val="Times New Roman"/>
            <family val="18"/>
          </rPr>
          <t>Als landständischer Recrout für Izbagya Hoza Meszo</t>
        </r>
        <r>
          <rPr>
            <sz val="14"/>
            <color rgb="FF000000"/>
            <rFont val="Times New Roman"/>
            <family val="18"/>
          </rPr>
          <t xml:space="preserve"> </t>
        </r>
        <r>
          <rPr>
            <b/>
            <sz val="14"/>
            <color rgb="FF000000"/>
            <rFont val="Times New Roman"/>
            <family val="18"/>
          </rPr>
          <t>[</t>
        </r>
        <r>
          <rPr>
            <b/>
            <u/>
            <sz val="14"/>
            <color rgb="FF0563C1"/>
            <rFont val="Times New Roman"/>
            <family val="18"/>
          </rPr>
          <t>Zbudské Dlhé, Slovakia</t>
        </r>
        <r>
          <rPr>
            <b/>
            <sz val="14"/>
            <color rgb="FF000000"/>
            <rFont val="Times New Roman"/>
            <family val="18"/>
          </rPr>
          <t xml:space="preserve">] </t>
        </r>
        <r>
          <rPr>
            <sz val="14"/>
            <color rgb="FF000000"/>
            <rFont val="Times New Roman"/>
            <family val="18"/>
          </rPr>
          <t xml:space="preserve"> </t>
        </r>
        <r>
          <rPr>
            <i/>
            <sz val="14"/>
            <color rgb="FF000000"/>
            <rFont val="Times New Roman"/>
            <family val="18"/>
          </rPr>
          <t>Zempliner Komität gestellt, in Ujhely zum IR 39 a 3Fl assentiert und in 18.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Komp zum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7. Fus. Komp Nr. 92</t>
        </r>
        <r>
          <rPr>
            <sz val="14"/>
            <color rgb="FF000000"/>
            <rFont val="Calibri"/>
            <family val="34"/>
          </rPr>
          <t xml:space="preserve">
</t>
        </r>
        <r>
          <rPr>
            <sz val="14"/>
            <color rgb="FF000000"/>
            <rFont val="Times New Roman"/>
            <family val="18"/>
          </rPr>
          <t xml:space="preserve">15/03/1807 </t>
        </r>
        <r>
          <rPr>
            <i/>
            <sz val="14"/>
            <color rgb="FF000000"/>
            <rFont val="Times New Roman"/>
            <family val="18"/>
          </rPr>
          <t xml:space="preserve">Vermog hoh. Verord. Ddt. Ofen am 14. Februar a:c: gegen Stellung andere Leute mit Abschied entlassen </t>
        </r>
        <r>
          <rPr>
            <sz val="14"/>
            <color rgb="FF000000"/>
            <rFont val="Times New Roman"/>
            <family val="18"/>
          </rPr>
          <t>[RL 1808]</t>
        </r>
      </text>
    </comment>
    <comment ref="BG1035" authorId="0" shapeId="0" xr:uid="{7DFCFE36-BA5F-1B49-880C-34BC6A9BF835}">
      <text>
        <r>
          <rPr>
            <sz val="14"/>
            <color rgb="FF000000"/>
            <rFont val="Times New Roman"/>
            <family val="18"/>
          </rPr>
          <t>ML 3499 IR 39 (1807) – 7. Fus. Komp. Nr. 192 (Kesmark 24/01/1807)</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3546 IR 39 (1805) – AL Nr. 71 (Sátoraljaújhely 24/11/1805)</t>
        </r>
        <r>
          <rPr>
            <sz val="14"/>
            <color rgb="FF000000"/>
            <rFont val="Calibri"/>
            <family val="34"/>
          </rPr>
          <t xml:space="preserve">
</t>
        </r>
      </text>
    </comment>
    <comment ref="BH1035" authorId="0" shapeId="0" xr:uid="{BA474ECB-13E3-264A-B608-D3839AA93927}">
      <text>
        <r>
          <rPr>
            <sz val="14"/>
            <color rgb="FF000000"/>
            <rFont val="Calibri"/>
            <family val="34"/>
          </rPr>
          <t>IR 39 (1805-1807)</t>
        </r>
      </text>
    </comment>
    <comment ref="T1036" authorId="0" shapeId="0" xr:uid="{7654D897-B8E1-564B-9791-21C75E13844B}">
      <text>
        <r>
          <rPr>
            <sz val="14"/>
            <color rgb="FF000000"/>
            <rFont val="Calibri"/>
            <family val="34"/>
          </rPr>
          <t xml:space="preserve">166.11 [5.3.1 (TL Mai 1808)]
</t>
        </r>
        <r>
          <rPr>
            <sz val="14"/>
            <color rgb="FF000000"/>
            <rFont val="Calibri"/>
            <family val="34"/>
          </rPr>
          <t>168.96 [5.4.2 (AL Dez 1805)]</t>
        </r>
      </text>
    </comment>
    <comment ref="BF1036" authorId="0" shapeId="0" xr:uid="{B0ADCB45-9847-3948-912A-A7C9265F079A}">
      <text>
        <r>
          <rPr>
            <sz val="14"/>
            <color rgb="FFFF0000"/>
            <rFont val="Times New Roman"/>
            <family val="18"/>
          </rPr>
          <t xml:space="preserve">23/11/1805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24/11/1805 </t>
        </r>
        <r>
          <rPr>
            <i/>
            <sz val="14"/>
            <color rgb="FF000000"/>
            <rFont val="Times New Roman"/>
            <family val="18"/>
          </rPr>
          <t>Als landständischer Recrout für Czebinye</t>
        </r>
        <r>
          <rPr>
            <sz val="14"/>
            <color rgb="FF000000"/>
            <rFont val="Times New Roman"/>
            <family val="18"/>
          </rPr>
          <t xml:space="preserve"> [</t>
        </r>
        <r>
          <rPr>
            <b/>
            <u/>
            <sz val="14"/>
            <color rgb="FF0563C1"/>
            <rFont val="Times New Roman"/>
            <family val="18"/>
          </rPr>
          <t>Čabiny, Slovakia</t>
        </r>
        <r>
          <rPr>
            <b/>
            <sz val="14"/>
            <color rgb="FF000000"/>
            <rFont val="Times New Roman"/>
            <family val="18"/>
          </rPr>
          <t xml:space="preserve">] </t>
        </r>
        <r>
          <rPr>
            <i/>
            <sz val="14"/>
            <color rgb="FF000000"/>
            <rFont val="Times New Roman"/>
            <family val="18"/>
          </rPr>
          <t>Zempliner Komität gestellt, in Ujhely zum IR 39 a 3Fl assentiert und in 19.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64</t>
        </r>
        <r>
          <rPr>
            <sz val="14"/>
            <color rgb="FF000000"/>
            <rFont val="Calibri"/>
            <family val="34"/>
          </rPr>
          <t xml:space="preserve">
</t>
        </r>
        <r>
          <rPr>
            <sz val="14"/>
            <color rgb="FF000000"/>
            <rFont val="Times New Roman"/>
            <family val="18"/>
          </rPr>
          <t xml:space="preserve">21/05/1808 Vermog General Comando Verordnung ddt. Lemberg am 22 März 808 </t>
        </r>
        <r>
          <rPr>
            <i/>
            <sz val="14"/>
            <color rgb="FF000000"/>
            <rFont val="Times New Roman"/>
            <family val="18"/>
          </rPr>
          <t xml:space="preserve">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13.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12/09/1808 Revision: IR 9 14. Fus. Komp. Nr. 186</t>
        </r>
        <r>
          <rPr>
            <sz val="14"/>
            <color rgb="FF000000"/>
            <rFont val="Calibri"/>
            <family val="34"/>
          </rPr>
          <t xml:space="preserve">
</t>
        </r>
        <r>
          <rPr>
            <sz val="14"/>
            <color rgb="FF000000"/>
            <rFont val="Times New Roman"/>
            <family val="18"/>
          </rPr>
          <t xml:space="preserve">11/12/1808 </t>
        </r>
        <r>
          <rPr>
            <i/>
            <sz val="14"/>
            <color rgb="FF000000"/>
            <rFont val="Times New Roman"/>
            <family val="18"/>
          </rPr>
          <t>Bestimmt Beurlaubt</t>
        </r>
        <r>
          <rPr>
            <sz val="14"/>
            <color rgb="FF000000"/>
            <rFont val="Times New Roman"/>
            <family val="18"/>
          </rPr>
          <t xml:space="preserve"> [ST Dez 1808]</t>
        </r>
        <r>
          <rPr>
            <sz val="14"/>
            <color rgb="FF000000"/>
            <rFont val="Calibri"/>
            <family val="34"/>
          </rPr>
          <t xml:space="preserve">
</t>
        </r>
        <r>
          <rPr>
            <sz val="14"/>
            <color rgb="FF000000"/>
            <rFont val="Times New Roman"/>
            <family val="18"/>
          </rPr>
          <t xml:space="preserve">05/01/1809 </t>
        </r>
        <r>
          <rPr>
            <i/>
            <sz val="14"/>
            <color rgb="FF000000"/>
            <rFont val="Times New Roman"/>
            <family val="18"/>
          </rPr>
          <t>Von Bestimmte Urlaub eingerückt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21/04/1809 </t>
        </r>
        <r>
          <rPr>
            <i/>
            <sz val="14"/>
            <color rgb="FF000000"/>
            <rFont val="Times New Roman"/>
            <family val="18"/>
          </rPr>
          <t>Auf Marsch zum Regiment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Während Marsch zum Regiment desertiert</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Vom Militär attrappiert zum 8FL Taglia eingebracht, zum Lager am Neusiedel präsentiert, und zu, 15. Fus. Komp. transferiert</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13/07/1809 </t>
        </r>
        <r>
          <rPr>
            <i/>
            <sz val="14"/>
            <color rgb="FF000000"/>
            <rFont val="Times New Roman"/>
            <family val="18"/>
          </rPr>
          <t>Krank in Feldspital</t>
        </r>
        <r>
          <rPr>
            <sz val="14"/>
            <color rgb="FF000000"/>
            <rFont val="Times New Roman"/>
            <family val="18"/>
          </rPr>
          <t xml:space="preserve"> [ST Juli 1809] </t>
        </r>
        <r>
          <rPr>
            <sz val="14"/>
            <color rgb="FFFF0000"/>
            <rFont val="Times New Roman"/>
            <family val="18"/>
          </rPr>
          <t>[Together with 4 other people – wounded in Znaym ?]</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13. Fus. Zum 7. Fus Komp transferiert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31/03/1810 </t>
        </r>
        <r>
          <rPr>
            <i/>
            <sz val="14"/>
            <color rgb="FF000000"/>
            <rFont val="Times New Roman"/>
            <family val="18"/>
          </rPr>
          <t>Rekonvalesziert und zur Komp. eingerückt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31/07/1811 </t>
        </r>
        <r>
          <rPr>
            <i/>
            <sz val="14"/>
            <color rgb="FF000000"/>
            <rFont val="Times New Roman"/>
            <family val="18"/>
          </rPr>
          <t>Als anerkannter Reale Invalid gegen Renuncierung mit Abschied entlassen</t>
        </r>
        <r>
          <rPr>
            <sz val="14"/>
            <color rgb="FF000000"/>
            <rFont val="Times New Roman"/>
            <family val="18"/>
          </rPr>
          <t xml:space="preserve"> [ML 1811]</t>
        </r>
      </text>
    </comment>
    <comment ref="BG1036" authorId="0" shapeId="0" xr:uid="{6865E44D-9A4A-4D40-83E7-343F9086C495}">
      <text>
        <r>
          <rPr>
            <sz val="14"/>
            <color rgb="FF000000"/>
            <rFont val="Times New Roman"/>
            <family val="18"/>
          </rPr>
          <t>ML 3499 IR 39 (1807) – 10. Fus. Komp. Nr. 128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24 (Sátoraljaújhely 12/12/1805)</t>
        </r>
        <r>
          <rPr>
            <sz val="14"/>
            <color rgb="FF000000"/>
            <rFont val="Calibri"/>
            <family val="34"/>
          </rPr>
          <t xml:space="preserve">
</t>
        </r>
        <r>
          <rPr>
            <sz val="14"/>
            <color rgb="FF000000"/>
            <rFont val="Times New Roman"/>
            <family val="18"/>
          </rPr>
          <t>ML 3549 IR 39 (1808) – TL IR 39-&gt;IR 9 Nr. 1 (Neu Sandez 20/05/1808)</t>
        </r>
        <r>
          <rPr>
            <sz val="14"/>
            <color rgb="FF000000"/>
            <rFont val="Calibri"/>
            <family val="34"/>
          </rPr>
          <t xml:space="preserve">
</t>
        </r>
        <r>
          <rPr>
            <sz val="14"/>
            <color rgb="FF000000"/>
            <rFont val="Times New Roman"/>
            <family val="18"/>
          </rPr>
          <t>ML 633 IR 9 (1808) – 15. Fus. Komp. Nr. 186 (Jaroslau 12/09/1808)</t>
        </r>
        <r>
          <rPr>
            <sz val="14"/>
            <color rgb="FF000000"/>
            <rFont val="Calibri"/>
            <family val="34"/>
          </rPr>
          <t xml:space="preserve">
</t>
        </r>
        <r>
          <rPr>
            <sz val="14"/>
            <color rgb="FF000000"/>
            <rFont val="Times New Roman"/>
            <family val="18"/>
          </rPr>
          <t>ML 669 IR 9 (1808) – ST Juli (Krakau 02/11/1808), ST Dez (12/05/1809)</t>
        </r>
        <r>
          <rPr>
            <sz val="14"/>
            <color rgb="FF000000"/>
            <rFont val="Calibri"/>
            <family val="34"/>
          </rPr>
          <t xml:space="preserve">
</t>
        </r>
        <r>
          <rPr>
            <sz val="14"/>
            <color rgb="FF000000"/>
            <rFont val="Times New Roman"/>
            <family val="18"/>
          </rPr>
          <t>ML 634 IR 9 (1811) – 7. Fus. Komp. Abgang (Caschau 19/09/1811)</t>
        </r>
        <r>
          <rPr>
            <sz val="14"/>
            <color rgb="FF000000"/>
            <rFont val="Calibri"/>
            <family val="34"/>
          </rPr>
          <t xml:space="preserve">
</t>
        </r>
        <r>
          <rPr>
            <sz val="14"/>
            <color rgb="FF000000"/>
            <rFont val="Times New Roman"/>
            <family val="18"/>
          </rPr>
          <t>ML 671 IR 9 (1809) – ST Jan (15/05/1809), April (Caschau 31/07/1810), ST Juni (15/09/1810), ST Juli (Caschau 01/10/1810), ST August (Caschau 15/10/1810)</t>
        </r>
        <r>
          <rPr>
            <sz val="14"/>
            <color rgb="FF000000"/>
            <rFont val="Calibri"/>
            <family val="34"/>
          </rPr>
          <t xml:space="preserve">
</t>
        </r>
        <r>
          <rPr>
            <sz val="14"/>
            <color rgb="FF000000"/>
            <rFont val="Times New Roman"/>
            <family val="18"/>
          </rPr>
          <t>ML 672 IR 9 (1810) – ST April (20/02/1811)</t>
        </r>
        <r>
          <rPr>
            <sz val="14"/>
            <color rgb="FF000000"/>
            <rFont val="Calibri"/>
            <family val="34"/>
          </rPr>
          <t xml:space="preserve">
</t>
        </r>
      </text>
    </comment>
    <comment ref="BH1036" authorId="0" shapeId="0" xr:uid="{52530282-879A-5C45-B4C5-88CADE00B451}">
      <text>
        <r>
          <rPr>
            <sz val="14"/>
            <color rgb="FF000000"/>
            <rFont val="Calibri"/>
            <family val="34"/>
          </rPr>
          <t xml:space="preserve">IR 39 (1805-1808)
</t>
        </r>
        <r>
          <rPr>
            <sz val="14"/>
            <color rgb="FF000000"/>
            <rFont val="Calibri"/>
            <family val="34"/>
          </rPr>
          <t>IR 9 (1808-1811)</t>
        </r>
      </text>
    </comment>
    <comment ref="BF1037" authorId="0" shapeId="0" xr:uid="{20D53799-ACDF-E845-8618-00F71FE2E665}">
      <text>
        <r>
          <rPr>
            <sz val="14"/>
            <color rgb="FF000000"/>
            <rFont val="Times New Roman"/>
            <family val="18"/>
          </rPr>
          <t xml:space="preserve">25/11/1805 </t>
        </r>
        <r>
          <rPr>
            <i/>
            <sz val="14"/>
            <color rgb="FF000000"/>
            <rFont val="Times New Roman"/>
            <family val="18"/>
          </rPr>
          <t>A 3Fl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10. Fus. Komp. Nr. 192 [</t>
        </r>
        <r>
          <rPr>
            <i/>
            <sz val="14"/>
            <color rgb="FF000000"/>
            <rFont val="Times New Roman"/>
            <family val="18"/>
          </rPr>
          <t>Beurlaubt in seiner Heimat auf Bestimmte Zeit</t>
        </r>
        <r>
          <rPr>
            <sz val="14"/>
            <color rgb="FF000000"/>
            <rFont val="Times New Roman"/>
            <family val="18"/>
          </rPr>
          <t>]</t>
        </r>
        <r>
          <rPr>
            <sz val="14"/>
            <color rgb="FF000000"/>
            <rFont val="Calibri"/>
            <family val="34"/>
          </rPr>
          <t xml:space="preserve">
</t>
        </r>
      </text>
    </comment>
    <comment ref="BG1037" authorId="0" shapeId="0" xr:uid="{56E30990-840A-AC48-8613-DC89795E1141}">
      <text>
        <r>
          <rPr>
            <sz val="14"/>
            <color rgb="FF000000"/>
            <rFont val="Times New Roman"/>
            <family val="18"/>
          </rPr>
          <t>ML 634 IR 9 (1811) – 10. Fus. Komp. Nr. 97 (Caschau 19/09/1811)</t>
        </r>
        <r>
          <rPr>
            <sz val="14"/>
            <color rgb="FF000000"/>
            <rFont val="Calibri"/>
            <family val="34"/>
          </rPr>
          <t xml:space="preserve">
</t>
        </r>
      </text>
    </comment>
    <comment ref="BH1037" authorId="0" shapeId="0" xr:uid="{E303BFF5-9045-D040-9546-78FC21B1150F}">
      <text>
        <r>
          <rPr>
            <sz val="14"/>
            <color rgb="FF000000"/>
            <rFont val="Calibri"/>
            <family val="34"/>
          </rPr>
          <t>IR 39 (1805-1811)</t>
        </r>
      </text>
    </comment>
    <comment ref="BF1038" authorId="0" shapeId="0" xr:uid="{72DF6A73-183C-6641-9239-45B3CCAE8637}">
      <text>
        <r>
          <rPr>
            <sz val="14"/>
            <color rgb="FF000000"/>
            <rFont val="Times New Roman"/>
            <family val="18"/>
          </rPr>
          <t xml:space="preserve">25/11/1805 </t>
        </r>
        <r>
          <rPr>
            <i/>
            <sz val="14"/>
            <color rgb="FF000000"/>
            <rFont val="Times New Roman"/>
            <family val="18"/>
          </rPr>
          <t>Zu Strauch Infanterie</t>
        </r>
        <r>
          <rPr>
            <sz val="14"/>
            <color rgb="FF000000"/>
            <rFont val="Times New Roman"/>
            <family val="18"/>
          </rPr>
          <t xml:space="preserve"> </t>
        </r>
        <r>
          <rPr>
            <b/>
            <sz val="14"/>
            <color rgb="FF000000"/>
            <rFont val="Times New Roman"/>
            <family val="18"/>
          </rPr>
          <t>[IR 24]</t>
        </r>
        <r>
          <rPr>
            <sz val="14"/>
            <color rgb="FF000000"/>
            <rFont val="Times New Roman"/>
            <family val="18"/>
          </rPr>
          <t xml:space="preserve"> </t>
        </r>
        <r>
          <rPr>
            <i/>
            <sz val="14"/>
            <color rgb="FF000000"/>
            <rFont val="Times New Roman"/>
            <family val="18"/>
          </rPr>
          <t>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16/05/1808 </t>
        </r>
        <r>
          <rPr>
            <i/>
            <sz val="14"/>
            <color rgb="FF000000"/>
            <rFont val="Times New Roman"/>
            <family val="18"/>
          </rPr>
          <t>Bei bestansdischen Galizischen Cordon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01/07/1808 </t>
        </r>
        <r>
          <rPr>
            <i/>
            <sz val="14"/>
            <color rgb="FF000000"/>
            <rFont val="Times New Roman"/>
            <family val="18"/>
          </rPr>
          <t>Anhero</t>
        </r>
        <r>
          <rPr>
            <sz val="14"/>
            <color rgb="FF000000"/>
            <rFont val="Times New Roman"/>
            <family val="18"/>
          </rPr>
          <t xml:space="preserve"> </t>
        </r>
        <r>
          <rPr>
            <b/>
            <sz val="14"/>
            <color rgb="FF000000"/>
            <rFont val="Times New Roman"/>
            <family val="18"/>
          </rPr>
          <t xml:space="preserve">[GK Gal 2. Abt.] </t>
        </r>
        <r>
          <rPr>
            <i/>
            <sz val="14"/>
            <color rgb="FF000000"/>
            <rFont val="Times New Roman"/>
            <family val="18"/>
          </rPr>
          <t xml:space="preserve">transferiert </t>
        </r>
        <r>
          <rPr>
            <sz val="14"/>
            <color rgb="FF000000"/>
            <rFont val="Times New Roman"/>
            <family val="18"/>
          </rPr>
          <t xml:space="preserve">[ML 1811] </t>
        </r>
        <r>
          <rPr>
            <sz val="14"/>
            <color rgb="FF000000"/>
            <rFont val="Calibri"/>
            <family val="34"/>
          </rPr>
          <t xml:space="preserve">
</t>
        </r>
        <r>
          <rPr>
            <sz val="14"/>
            <color rgb="FF000000"/>
            <rFont val="Times New Roman"/>
            <family val="18"/>
          </rPr>
          <t>03/09/ 1810 Revision: GK Gal 2. Abt. 1. Komp. Nr. 63 [</t>
        </r>
        <r>
          <rPr>
            <i/>
            <sz val="14"/>
            <color rgb="FF000000"/>
            <rFont val="Times New Roman"/>
            <family val="18"/>
          </rPr>
          <t>Praesent</t>
        </r>
        <r>
          <rPr>
            <sz val="14"/>
            <color rgb="FF000000"/>
            <rFont val="Times New Roman"/>
            <family val="18"/>
          </rPr>
          <t>]</t>
        </r>
        <r>
          <rPr>
            <sz val="14"/>
            <color rgb="FF000000"/>
            <rFont val="Calibri"/>
            <family val="34"/>
          </rPr>
          <t xml:space="preserve">
</t>
        </r>
        <r>
          <rPr>
            <sz val="14"/>
            <color rgb="FF000000"/>
            <rFont val="Times New Roman"/>
            <family val="18"/>
          </rPr>
          <t>14/09/1811 Revision: GK Gal 2. Abt. 1. Komp. Nr. 66</t>
        </r>
        <r>
          <rPr>
            <sz val="14"/>
            <color rgb="FF000000"/>
            <rFont val="Calibri"/>
            <family val="34"/>
          </rPr>
          <t xml:space="preserve">
</t>
        </r>
        <r>
          <rPr>
            <sz val="14"/>
            <color rgb="FF000000"/>
            <rFont val="Times New Roman"/>
            <family val="18"/>
          </rPr>
          <t>10/10/1812 Revision: GK Gal 2. Abt. 1. Komp. Nr. 52 [</t>
        </r>
        <r>
          <rPr>
            <i/>
            <sz val="14"/>
            <color rgb="FF000000"/>
            <rFont val="Times New Roman"/>
            <family val="18"/>
          </rPr>
          <t>Nach Abschluss der Revisions Liste im Podkamiener Abtheilungspital gestorben</t>
        </r>
        <r>
          <rPr>
            <sz val="14"/>
            <color rgb="FF000000"/>
            <rFont val="Times New Roman"/>
            <family val="18"/>
          </rPr>
          <t>]</t>
        </r>
      </text>
    </comment>
    <comment ref="BG1038" authorId="0" shapeId="0" xr:uid="{CCD9E949-2F9C-E24A-AC80-3120E9A75201}">
      <text>
        <r>
          <rPr>
            <sz val="14"/>
            <color rgb="FF000000"/>
            <rFont val="Times New Roman"/>
            <family val="18"/>
          </rPr>
          <t>ML 8823 (1810) – 2. Komp. Haupt Boulange Nr. 63 (Zalosce 03/09/1810)</t>
        </r>
        <r>
          <rPr>
            <sz val="14"/>
            <color rgb="FF000000"/>
            <rFont val="Calibri"/>
            <family val="34"/>
          </rPr>
          <t xml:space="preserve">
</t>
        </r>
        <r>
          <rPr>
            <sz val="14"/>
            <color rgb="FF000000"/>
            <rFont val="Times New Roman"/>
            <family val="18"/>
          </rPr>
          <t>ML 8823 (1811) – 2. Komp. Haupt Boulange Nr. 66 (Zalosce 14/09/1811)</t>
        </r>
        <r>
          <rPr>
            <sz val="14"/>
            <color rgb="FF000000"/>
            <rFont val="Calibri"/>
            <family val="34"/>
          </rPr>
          <t xml:space="preserve">
</t>
        </r>
        <r>
          <rPr>
            <sz val="14"/>
            <color rgb="FF000000"/>
            <rFont val="Times New Roman"/>
            <family val="18"/>
          </rPr>
          <t>ML 8823 (1812) – 2 Komp. Abgang Nr. 52 (Zalosce 29/10/1812)</t>
        </r>
        <r>
          <rPr>
            <sz val="14"/>
            <color rgb="FF000000"/>
            <rFont val="Calibri"/>
            <family val="34"/>
          </rPr>
          <t xml:space="preserve">
</t>
        </r>
      </text>
    </comment>
    <comment ref="BH1038" authorId="0" shapeId="0" xr:uid="{751733AF-3135-1045-BDA2-390490475ED7}">
      <text>
        <r>
          <rPr>
            <sz val="14"/>
            <color rgb="FF000000"/>
            <rFont val="Calibri"/>
            <family val="34"/>
          </rPr>
          <t xml:space="preserve">IR 24 (1805-1808)
</t>
        </r>
        <r>
          <rPr>
            <sz val="14"/>
            <color rgb="FF000000"/>
            <rFont val="Calibri"/>
            <family val="34"/>
          </rPr>
          <t xml:space="preserve">GK Gal (1808)
</t>
        </r>
        <r>
          <rPr>
            <sz val="14"/>
            <color rgb="FF000000"/>
            <rFont val="Calibri"/>
            <family val="34"/>
          </rPr>
          <t>GK Gal 2. Abt (1808-1812)</t>
        </r>
      </text>
    </comment>
    <comment ref="BF1039" authorId="0" shapeId="0" xr:uid="{386CAF5F-9404-6841-87DC-FCB937D9D0D8}">
      <text>
        <r>
          <rPr>
            <sz val="14"/>
            <color rgb="FF000000"/>
            <rFont val="Times New Roman"/>
            <family val="18"/>
          </rPr>
          <t xml:space="preserve">26/11/1805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zur Exercierzeit zu Zyczyn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In Aug 1807 </t>
        </r>
        <r>
          <rPr>
            <i/>
            <sz val="14"/>
            <color rgb="FF000000"/>
            <rFont val="Times New Roman"/>
            <family val="18"/>
          </rPr>
          <t>Unter unbewusste datum in Galizien gegen Renuncierung als Reale Invalid mit Abschied entlassen</t>
        </r>
        <r>
          <rPr>
            <sz val="14"/>
            <color rgb="FF000000"/>
            <rFont val="Times New Roman"/>
            <family val="18"/>
          </rPr>
          <t xml:space="preserve"> [RL 1808] </t>
        </r>
      </text>
    </comment>
    <comment ref="BG1039" authorId="0" shapeId="0" xr:uid="{633DEEDC-ED5E-E74A-BC00-B4EF773DCC24}">
      <text>
        <r>
          <rPr>
            <sz val="14"/>
            <color rgb="FF000000"/>
            <rFont val="Times New Roman"/>
            <family val="18"/>
          </rPr>
          <t>ML 5017/8 IR 59 (1806) – 16. Fus. Komp. Nr. 278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130 (Siedlce 30/11/1805)</t>
        </r>
        <r>
          <rPr>
            <sz val="14"/>
            <color rgb="FF000000"/>
            <rFont val="Calibri"/>
            <family val="34"/>
          </rPr>
          <t xml:space="preserve">
</t>
        </r>
      </text>
    </comment>
    <comment ref="BH1039" authorId="0" shapeId="0" xr:uid="{F22CC0DC-3F84-464B-837C-0950914911AF}">
      <text>
        <r>
          <rPr>
            <sz val="14"/>
            <color rgb="FF000000"/>
            <rFont val="Calibri"/>
            <family val="34"/>
          </rPr>
          <t>IR 59 (1805-1807)</t>
        </r>
      </text>
    </comment>
    <comment ref="I1040" authorId="0" shapeId="0" xr:uid="{21443948-4D09-0E45-A931-5C22E791678B}">
      <text>
        <r>
          <rPr>
            <sz val="14"/>
            <color rgb="FF000000"/>
            <rFont val="Calibri"/>
            <family val="34"/>
          </rPr>
          <t xml:space="preserve">1784 [24 (TL Mai 1808)]
</t>
        </r>
        <r>
          <rPr>
            <sz val="14"/>
            <color rgb="FF000000"/>
            <rFont val="Calibri"/>
            <family val="34"/>
          </rPr>
          <t xml:space="preserve">OR 
</t>
        </r>
        <r>
          <rPr>
            <sz val="14"/>
            <color rgb="FF000000"/>
            <rFont val="Calibri"/>
            <family val="34"/>
          </rPr>
          <t>1785 [20 (AL Dez 1805)]</t>
        </r>
      </text>
    </comment>
    <comment ref="T1040" authorId="0" shapeId="0" xr:uid="{C8E1D937-2D83-8F4E-B329-96CDFD50025B}">
      <text>
        <r>
          <rPr>
            <sz val="14"/>
            <color rgb="FF000000"/>
            <rFont val="Calibri"/>
            <family val="34"/>
          </rPr>
          <t xml:space="preserve">163.7 [5.2.2. (AL Dez 1805)]
</t>
        </r>
        <r>
          <rPr>
            <sz val="14"/>
            <color rgb="FF000000"/>
            <rFont val="Calibri"/>
            <family val="34"/>
          </rPr>
          <t>168.96 [5.4.2 (TL Mai 1808)]</t>
        </r>
      </text>
    </comment>
    <comment ref="BF1040" authorId="0" shapeId="0" xr:uid="{878853DC-05AB-E34E-B3BC-3171F0711266}">
      <text>
        <r>
          <rPr>
            <sz val="14"/>
            <color rgb="FF000000"/>
            <rFont val="Times New Roman"/>
            <family val="18"/>
          </rPr>
          <t xml:space="preserve">29/11/1805 </t>
        </r>
        <r>
          <rPr>
            <i/>
            <sz val="14"/>
            <color rgb="FF000000"/>
            <rFont val="Times New Roman"/>
            <family val="18"/>
          </rPr>
          <t>Als landständischer Recrout für Samogy</t>
        </r>
        <r>
          <rPr>
            <sz val="14"/>
            <color rgb="FF000000"/>
            <rFont val="Times New Roman"/>
            <family val="18"/>
          </rPr>
          <t xml:space="preserve"> </t>
        </r>
        <r>
          <rPr>
            <b/>
            <sz val="14"/>
            <color rgb="FF000000"/>
            <rFont val="Times New Roman"/>
            <family val="18"/>
          </rPr>
          <t>[</t>
        </r>
        <r>
          <rPr>
            <b/>
            <u/>
            <sz val="14"/>
            <color rgb="FF0563C1"/>
            <rFont val="Times New Roman"/>
            <family val="18"/>
          </rPr>
          <t>Šamudovce, Slovakia</t>
        </r>
        <r>
          <rPr>
            <b/>
            <sz val="14"/>
            <color rgb="FF000000"/>
            <rFont val="Times New Roman"/>
            <family val="18"/>
          </rPr>
          <t>]</t>
        </r>
        <r>
          <rPr>
            <i/>
            <sz val="14"/>
            <color rgb="FF000000"/>
            <rFont val="Times New Roman"/>
            <family val="18"/>
          </rPr>
          <t>,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FF0000"/>
            <rFont val="Times New Roman"/>
            <family val="18"/>
          </rPr>
          <t xml:space="preserve">11/03/1806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zur 10.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130</t>
        </r>
        <r>
          <rPr>
            <sz val="14"/>
            <color rgb="FF000000"/>
            <rFont val="Calibri"/>
            <family val="34"/>
          </rPr>
          <t xml:space="preserve">
</t>
        </r>
        <r>
          <rPr>
            <sz val="14"/>
            <color rgb="FF000000"/>
            <rFont val="Times New Roman"/>
            <family val="18"/>
          </rPr>
          <t xml:space="preserve">21/05/1808 </t>
        </r>
        <r>
          <rPr>
            <i/>
            <sz val="14"/>
            <color rgb="FF000000"/>
            <rFont val="Times New Roman"/>
            <family val="18"/>
          </rPr>
          <t xml:space="preserve">Vermog General Comando Verordnung ddt. Lemberg am 22 März 808 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14.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10/09/1808 Revision: IR 9 15. Fus. Komp. Nr. 187 [</t>
        </r>
        <r>
          <rPr>
            <i/>
            <sz val="14"/>
            <color rgb="FF000000"/>
            <rFont val="Times New Roman"/>
            <family val="18"/>
          </rPr>
          <t>Auf Kommando nach 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24/05/1809 </t>
        </r>
        <r>
          <rPr>
            <i/>
            <sz val="14"/>
            <color rgb="FF000000"/>
            <rFont val="Times New Roman"/>
            <family val="18"/>
          </rPr>
          <t>Krank in auswärtiger Feld Spital</t>
        </r>
        <r>
          <rPr>
            <sz val="14"/>
            <color rgb="FF000000"/>
            <rFont val="Times New Roman"/>
            <family val="18"/>
          </rPr>
          <t xml:space="preserve"> [ST Mai 1809] </t>
        </r>
        <r>
          <rPr>
            <sz val="14"/>
            <color rgb="FFFF0000"/>
            <rFont val="Times New Roman"/>
            <family val="18"/>
          </rPr>
          <t>[Together with 41 men on the same day – wounded in Aspern-Essling?]</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14. Fus. Zum 4. Fus Komp transferiert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01/11/1809 </t>
        </r>
        <r>
          <rPr>
            <i/>
            <sz val="14"/>
            <color rgb="FF000000"/>
            <rFont val="Times New Roman"/>
            <family val="18"/>
          </rPr>
          <t>Ohne zum Regiment zurückzukehren in Feldspital gestorben</t>
        </r>
        <r>
          <rPr>
            <sz val="14"/>
            <color rgb="FF000000"/>
            <rFont val="Times New Roman"/>
            <family val="18"/>
          </rPr>
          <t xml:space="preserve"> [ST Mai 1809]</t>
        </r>
      </text>
    </comment>
    <comment ref="BG1040" authorId="0" shapeId="0" xr:uid="{CE0F612F-4F68-B649-A775-26ADD8327C48}">
      <text>
        <r>
          <rPr>
            <sz val="14"/>
            <color rgb="FF000000"/>
            <rFont val="Times New Roman"/>
            <family val="18"/>
          </rPr>
          <t>ML 3499 IR 39 (1807) – 10. Fus. Komp. Nr. 130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22 (Sátoraljaújhely 12/12/1805)</t>
        </r>
        <r>
          <rPr>
            <sz val="14"/>
            <color rgb="FF000000"/>
            <rFont val="Calibri"/>
            <family val="34"/>
          </rPr>
          <t xml:space="preserve">
</t>
        </r>
        <r>
          <rPr>
            <sz val="14"/>
            <color rgb="FF000000"/>
            <rFont val="Times New Roman"/>
            <family val="18"/>
          </rPr>
          <t>ML 3549 IR 39 (1808) – TL IR 39-&gt;IR 9 Nr. 2 (Neu Sandez 20/05/1808)</t>
        </r>
        <r>
          <rPr>
            <sz val="14"/>
            <color rgb="FF000000"/>
            <rFont val="Calibri"/>
            <family val="34"/>
          </rPr>
          <t xml:space="preserve">
</t>
        </r>
        <r>
          <rPr>
            <sz val="14"/>
            <color rgb="FF000000"/>
            <rFont val="Times New Roman"/>
            <family val="18"/>
          </rPr>
          <t>ML 633 IR 9 (1808) – 14. Fus. Komp. Nr. 187 (Przemysl 12/09/1808)</t>
        </r>
        <r>
          <rPr>
            <sz val="14"/>
            <color rgb="FF000000"/>
            <rFont val="Calibri"/>
            <family val="34"/>
          </rPr>
          <t xml:space="preserve">
</t>
        </r>
        <r>
          <rPr>
            <sz val="14"/>
            <color rgb="FF000000"/>
            <rFont val="Times New Roman"/>
            <family val="18"/>
          </rPr>
          <t>ML 669 IR 9 (1808) – ST Juli (Krakau 02/11/1808)</t>
        </r>
        <r>
          <rPr>
            <sz val="14"/>
            <color rgb="FF000000"/>
            <rFont val="Calibri"/>
            <family val="34"/>
          </rPr>
          <t xml:space="preserve">
</t>
        </r>
        <r>
          <rPr>
            <sz val="14"/>
            <color rgb="FF000000"/>
            <rFont val="Times New Roman"/>
            <family val="18"/>
          </rPr>
          <t>ML 671 IR 9 (1809) – ST Mai (Caschau 03/08/1810)</t>
        </r>
        <r>
          <rPr>
            <sz val="14"/>
            <color rgb="FF000000"/>
            <rFont val="Calibri"/>
            <family val="34"/>
          </rPr>
          <t xml:space="preserve">
</t>
        </r>
        <r>
          <rPr>
            <sz val="14"/>
            <color rgb="FF000000"/>
            <rFont val="Times New Roman"/>
            <family val="18"/>
          </rPr>
          <t>ML 671 IR 9 (1809) – ST August (Caschau 15/10/1810)</t>
        </r>
        <r>
          <rPr>
            <sz val="14"/>
            <color rgb="FF000000"/>
            <rFont val="Calibri"/>
            <family val="34"/>
          </rPr>
          <t xml:space="preserve">
</t>
        </r>
        <r>
          <rPr>
            <sz val="14"/>
            <color rgb="FF000000"/>
            <rFont val="Times New Roman"/>
            <family val="18"/>
          </rPr>
          <t>ML 672 IR 9 (1810) – ST Mai (Caschau 04/03/1811)</t>
        </r>
        <r>
          <rPr>
            <sz val="14"/>
            <color rgb="FF000000"/>
            <rFont val="Calibri"/>
            <family val="34"/>
          </rPr>
          <t xml:space="preserve">
</t>
        </r>
      </text>
    </comment>
    <comment ref="BH1040" authorId="0" shapeId="0" xr:uid="{D8958407-4D75-4149-9A69-4C9B1DAE6D79}">
      <text>
        <r>
          <rPr>
            <sz val="14"/>
            <color rgb="FF000000"/>
            <rFont val="Calibri"/>
            <family val="34"/>
          </rPr>
          <t xml:space="preserve">IR 39 (1805-1808)
</t>
        </r>
        <r>
          <rPr>
            <sz val="14"/>
            <color rgb="FF000000"/>
            <rFont val="Calibri"/>
            <family val="34"/>
          </rPr>
          <t>IR 9 (1808-1809)</t>
        </r>
      </text>
    </comment>
    <comment ref="BF1041" authorId="0" shapeId="0" xr:uid="{37EC9F8C-90E1-3440-B089-AC83256523D9}">
      <text>
        <r>
          <rPr>
            <sz val="14"/>
            <color rgb="FF000000"/>
            <rFont val="Times New Roman"/>
            <family val="18"/>
          </rPr>
          <t xml:space="preserve">29/11/1805 </t>
        </r>
        <r>
          <rPr>
            <i/>
            <sz val="14"/>
            <color rgb="FF000000"/>
            <rFont val="Times New Roman"/>
            <family val="18"/>
          </rPr>
          <t xml:space="preserve">Als landständischer Recrout für Vasertheil </t>
        </r>
        <r>
          <rPr>
            <b/>
            <sz val="14"/>
            <color rgb="FF000000"/>
            <rFont val="Times New Roman"/>
            <family val="18"/>
          </rPr>
          <t>[</t>
        </r>
        <r>
          <rPr>
            <b/>
            <u/>
            <sz val="14"/>
            <color rgb="FF0563C1"/>
            <rFont val="Times New Roman"/>
            <family val="18"/>
          </rPr>
          <t>Trhovište, Slovakia</t>
        </r>
        <r>
          <rPr>
            <b/>
            <sz val="14"/>
            <color rgb="FF000000"/>
            <rFont val="Times New Roman"/>
            <family val="18"/>
          </rPr>
          <t>]</t>
        </r>
        <r>
          <rPr>
            <sz val="14"/>
            <color rgb="FF000000"/>
            <rFont val="Times New Roman"/>
            <family val="18"/>
          </rPr>
          <t>,</t>
        </r>
        <r>
          <rPr>
            <i/>
            <sz val="14"/>
            <color rgb="FF000000"/>
            <rFont val="Times New Roman"/>
            <family val="18"/>
          </rPr>
          <t xml:space="preserve">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zur 10.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125</t>
        </r>
        <r>
          <rPr>
            <sz val="14"/>
            <color rgb="FF000000"/>
            <rFont val="Calibri"/>
            <family val="34"/>
          </rPr>
          <t xml:space="preserve">
</t>
        </r>
        <r>
          <rPr>
            <sz val="14"/>
            <color rgb="FF000000"/>
            <rFont val="Times New Roman"/>
            <family val="18"/>
          </rPr>
          <t xml:space="preserve">01/12/1807 </t>
        </r>
        <r>
          <rPr>
            <i/>
            <sz val="14"/>
            <color rgb="FF000000"/>
            <rFont val="Times New Roman"/>
            <family val="18"/>
          </rPr>
          <t>ex loco desertiert</t>
        </r>
        <r>
          <rPr>
            <sz val="14"/>
            <color rgb="FF000000"/>
            <rFont val="Times New Roman"/>
            <family val="18"/>
          </rPr>
          <t xml:space="preserve">  [RL 1808]</t>
        </r>
      </text>
    </comment>
    <comment ref="BG1041" authorId="0" shapeId="0" xr:uid="{1173F7E8-DDB9-8945-8612-786D1D7977E6}">
      <text>
        <r>
          <rPr>
            <sz val="14"/>
            <color rgb="FF000000"/>
            <rFont val="Times New Roman"/>
            <family val="18"/>
          </rPr>
          <t>ML 3499 IR 39 (1807) – 10. Fus. Komp. Nr. 125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23 (Sátoraljaújhely 12/12/1805)</t>
        </r>
        <r>
          <rPr>
            <sz val="14"/>
            <color rgb="FF000000"/>
            <rFont val="Calibri"/>
            <family val="34"/>
          </rPr>
          <t xml:space="preserve">
</t>
        </r>
      </text>
    </comment>
    <comment ref="BH1041" authorId="0" shapeId="0" xr:uid="{BEECA339-7213-F34C-A8F8-DE2382CA1F10}">
      <text>
        <r>
          <rPr>
            <sz val="14"/>
            <color rgb="FF000000"/>
            <rFont val="Calibri"/>
            <family val="34"/>
          </rPr>
          <t>IR 39 (1805-1807)</t>
        </r>
      </text>
    </comment>
    <comment ref="BF1042" authorId="0" shapeId="0" xr:uid="{6967D201-36EB-C14C-B605-14D49FC5024E}">
      <text>
        <r>
          <rPr>
            <sz val="14"/>
            <color rgb="FF000000"/>
            <rFont val="Times New Roman"/>
            <family val="18"/>
          </rPr>
          <t xml:space="preserve">29/11/1805 </t>
        </r>
        <r>
          <rPr>
            <i/>
            <sz val="14"/>
            <color rgb="FF000000"/>
            <rFont val="Times New Roman"/>
            <family val="18"/>
          </rPr>
          <t>Als landständischer Recrout für Matza</t>
        </r>
        <r>
          <rPr>
            <sz val="14"/>
            <color rgb="FF000000"/>
            <rFont val="Times New Roman"/>
            <family val="18"/>
          </rPr>
          <t xml:space="preserve"> </t>
        </r>
        <r>
          <rPr>
            <b/>
            <sz val="14"/>
            <color rgb="FF000000"/>
            <rFont val="Times New Roman"/>
            <family val="18"/>
          </rPr>
          <t>[</t>
        </r>
        <r>
          <rPr>
            <b/>
            <u/>
            <sz val="14"/>
            <color rgb="FF0563C1"/>
            <rFont val="Times New Roman"/>
            <family val="18"/>
          </rPr>
          <t>Malčice, Slovakia</t>
        </r>
        <r>
          <rPr>
            <b/>
            <sz val="14"/>
            <color rgb="FF000000"/>
            <rFont val="Times New Roman"/>
            <family val="18"/>
          </rPr>
          <t>]</t>
        </r>
        <r>
          <rPr>
            <i/>
            <sz val="14"/>
            <color rgb="FF000000"/>
            <rFont val="Times New Roman"/>
            <family val="18"/>
          </rPr>
          <t>, Zempliner Komität gestellt, in Ujhely a 3Fl in IR 39 assentiert und in 20.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20. Fus. zum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31/08/1806 </t>
        </r>
        <r>
          <rPr>
            <i/>
            <sz val="14"/>
            <color rgb="FF000000"/>
            <rFont val="Times New Roman"/>
            <family val="18"/>
          </rPr>
          <t>Von 7. zum 11. Fusilier comp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7. Fus Komp. Nr. 120 [</t>
        </r>
        <r>
          <rPr>
            <i/>
            <sz val="14"/>
            <color rgb="FF000000"/>
            <rFont val="Times New Roman"/>
            <family val="18"/>
          </rPr>
          <t xml:space="preserve">Krank zu Miskoltz </t>
        </r>
        <r>
          <rPr>
            <sz val="14"/>
            <color rgb="FF000000"/>
            <rFont val="Times New Roman"/>
            <family val="18"/>
          </rPr>
          <t>(</t>
        </r>
        <r>
          <rPr>
            <b/>
            <u/>
            <sz val="14"/>
            <color rgb="FF0563C1"/>
            <rFont val="Times New Roman"/>
            <family val="18"/>
          </rPr>
          <t>Miskolc, Hungary</t>
        </r>
        <r>
          <rPr>
            <sz val="14"/>
            <color rgb="FF000000"/>
            <rFont val="Times New Roman"/>
            <family val="18"/>
          </rPr>
          <t>)] oder 11/ Fus. Komp. Nr. 137</t>
        </r>
        <r>
          <rPr>
            <sz val="14"/>
            <color rgb="FF000000"/>
            <rFont val="Calibri"/>
            <family val="34"/>
          </rPr>
          <t xml:space="preserve">
</t>
        </r>
        <r>
          <rPr>
            <sz val="14"/>
            <color rgb="FF000000"/>
            <rFont val="Times New Roman"/>
            <family val="18"/>
          </rPr>
          <t xml:space="preserve">06/08/1808 </t>
        </r>
        <r>
          <rPr>
            <i/>
            <sz val="14"/>
            <color rgb="FF000000"/>
            <rFont val="Times New Roman"/>
            <family val="18"/>
          </rPr>
          <t>Krank mit auswärtiger Gebühr</t>
        </r>
        <r>
          <rPr>
            <sz val="14"/>
            <color rgb="FF000000"/>
            <rFont val="Times New Roman"/>
            <family val="18"/>
          </rPr>
          <t xml:space="preserve"> [ST Aug 1808]</t>
        </r>
        <r>
          <rPr>
            <sz val="14"/>
            <color rgb="FF000000"/>
            <rFont val="Calibri"/>
            <family val="34"/>
          </rPr>
          <t xml:space="preserve">
</t>
        </r>
        <r>
          <rPr>
            <sz val="14"/>
            <color rgb="FF000000"/>
            <rFont val="Times New Roman"/>
            <family val="18"/>
          </rPr>
          <t xml:space="preserve">05/09/1808 </t>
        </r>
        <r>
          <rPr>
            <i/>
            <sz val="14"/>
            <color rgb="FF000000"/>
            <rFont val="Times New Roman"/>
            <family val="18"/>
          </rPr>
          <t>Rekonvalesziert</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15. Fus. Komp. Nr. 114</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Gemeinen zum Tambour mutiert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26/05/1809 </t>
        </r>
        <r>
          <rPr>
            <i/>
            <sz val="14"/>
            <color rgb="FF000000"/>
            <rFont val="Times New Roman"/>
            <family val="18"/>
          </rPr>
          <t>Krank mit auswärtiger Gebühr</t>
        </r>
        <r>
          <rPr>
            <sz val="14"/>
            <color rgb="FF000000"/>
            <rFont val="Times New Roman"/>
            <family val="18"/>
          </rPr>
          <t xml:space="preserve"> </t>
        </r>
        <r>
          <rPr>
            <b/>
            <sz val="14"/>
            <color rgb="FF000000"/>
            <rFont val="Times New Roman"/>
            <family val="18"/>
          </rPr>
          <t>[</t>
        </r>
        <r>
          <rPr>
            <sz val="14"/>
            <color rgb="FF000000"/>
            <rFont val="Times New Roman"/>
            <family val="18"/>
          </rPr>
          <t>ST May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Tambour zur Gemeinen mutiert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t>
        </r>
        <r>
          <rPr>
            <sz val="14"/>
            <color rgb="FF000000"/>
            <rFont val="Times New Roman"/>
            <family val="18"/>
          </rPr>
          <t>[ML 1811]</t>
        </r>
      </text>
    </comment>
    <comment ref="BG1042" authorId="0" shapeId="0" xr:uid="{4C12C459-D77E-AC40-BAF9-2F591CF955C1}">
      <text>
        <r>
          <rPr>
            <sz val="14"/>
            <color rgb="FF000000"/>
            <rFont val="Times New Roman"/>
            <family val="18"/>
          </rPr>
          <t>ML 3499 IR 39 (1807) – 7. Fus. Komp. Nr. 120 (Kesmark 24/01/1807) oder 11. Fus. Komp. Nr. 137 (Kesmark 24/01/1807)</t>
        </r>
        <r>
          <rPr>
            <sz val="14"/>
            <color rgb="FF000000"/>
            <rFont val="Calibri"/>
            <family val="34"/>
          </rPr>
          <t xml:space="preserve">
</t>
        </r>
        <r>
          <rPr>
            <sz val="14"/>
            <color rgb="FF000000"/>
            <rFont val="Times New Roman"/>
            <family val="18"/>
          </rPr>
          <t>ML 3500 IR 39 (1808) – 15. Fus. Komp. Nr. 114 (Comorn 19/09/1808)</t>
        </r>
        <r>
          <rPr>
            <sz val="14"/>
            <color rgb="FF000000"/>
            <rFont val="Calibri"/>
            <family val="34"/>
          </rPr>
          <t xml:space="preserve">
</t>
        </r>
        <r>
          <rPr>
            <sz val="14"/>
            <color rgb="FF000000"/>
            <rFont val="Times New Roman"/>
            <family val="18"/>
          </rPr>
          <t>ML 3501/2 IR 39 (1811) – 15. Fus. Komp. Abgang (Gran 16/09/1811)</t>
        </r>
        <r>
          <rPr>
            <sz val="14"/>
            <color rgb="FF000000"/>
            <rFont val="Calibri"/>
            <family val="34"/>
          </rPr>
          <t xml:space="preserve">
</t>
        </r>
        <r>
          <rPr>
            <sz val="14"/>
            <color rgb="FF000000"/>
            <rFont val="Times New Roman"/>
            <family val="18"/>
          </rPr>
          <t>ML 3546 IR 39 (1805) – AL Nr. 21 (Sátoraljaújhely 12/12/1805)</t>
        </r>
        <r>
          <rPr>
            <sz val="14"/>
            <color rgb="FF000000"/>
            <rFont val="Calibri"/>
            <family val="34"/>
          </rPr>
          <t xml:space="preserve">
</t>
        </r>
        <r>
          <rPr>
            <sz val="14"/>
            <color rgb="FF000000"/>
            <rFont val="Times New Roman"/>
            <family val="18"/>
          </rPr>
          <t>ML 3549 IR 39 (1808) – ST Aug (Pest 10/07/1810), Sept (Ofen 10/10/1810)</t>
        </r>
        <r>
          <rPr>
            <sz val="14"/>
            <color rgb="FF000000"/>
            <rFont val="Calibri"/>
            <family val="34"/>
          </rPr>
          <t xml:space="preserve">
</t>
        </r>
        <r>
          <rPr>
            <sz val="14"/>
            <color rgb="FF000000"/>
            <rFont val="Times New Roman"/>
            <family val="18"/>
          </rPr>
          <t>ML 3550 IR 39 (1810) – ST April (Ofen 20/06/1810), May (Ofen 20/06/1810), Nov (Ofen 28/04/1809)</t>
        </r>
        <r>
          <rPr>
            <sz val="14"/>
            <color rgb="FF000000"/>
            <rFont val="Calibri"/>
            <family val="34"/>
          </rPr>
          <t xml:space="preserve">
</t>
        </r>
      </text>
    </comment>
    <comment ref="BH1042" authorId="0" shapeId="0" xr:uid="{A8E8D73F-BE38-B74D-83F3-4EF25B501D95}">
      <text>
        <r>
          <rPr>
            <sz val="14"/>
            <color rgb="FF000000"/>
            <rFont val="Calibri"/>
            <family val="34"/>
          </rPr>
          <t>IR 39 (1805-1810)</t>
        </r>
      </text>
    </comment>
    <comment ref="BF1043" authorId="0" shapeId="0" xr:uid="{2213CE03-E0C0-104F-86AA-50C68409499A}">
      <text>
        <r>
          <rPr>
            <sz val="14"/>
            <color rgb="FF000000"/>
            <rFont val="Times New Roman"/>
            <family val="18"/>
          </rPr>
          <t xml:space="preserve">29/11/1805 </t>
        </r>
        <r>
          <rPr>
            <i/>
            <sz val="14"/>
            <color rgb="FF000000"/>
            <rFont val="Times New Roman"/>
            <family val="18"/>
          </rPr>
          <t xml:space="preserve">Als landständischer Recrout für Hegyi </t>
        </r>
        <r>
          <rPr>
            <b/>
            <sz val="14"/>
            <color rgb="FF000000"/>
            <rFont val="Times New Roman"/>
            <family val="18"/>
          </rPr>
          <t>[</t>
        </r>
        <r>
          <rPr>
            <b/>
            <u/>
            <sz val="14"/>
            <color rgb="FF0563C1"/>
            <rFont val="Times New Roman"/>
            <family val="18"/>
          </rPr>
          <t>Zemplínske Kopčany, Slovakia</t>
        </r>
        <r>
          <rPr>
            <b/>
            <sz val="14"/>
            <color rgb="FF000000"/>
            <rFont val="Times New Roman"/>
            <family val="18"/>
          </rPr>
          <t>]</t>
        </r>
        <r>
          <rPr>
            <i/>
            <sz val="14"/>
            <color rgb="FF000000"/>
            <rFont val="Times New Roman"/>
            <family val="18"/>
          </rPr>
          <t>, Zempliner Komität gestellt, in Ujhely zum IR 39 1 3Fl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12.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12. Fus. Komp Nr. 93</t>
        </r>
        <r>
          <rPr>
            <sz val="14"/>
            <color rgb="FF000000"/>
            <rFont val="Calibri"/>
            <family val="34"/>
          </rPr>
          <t xml:space="preserve">
</t>
        </r>
        <r>
          <rPr>
            <sz val="14"/>
            <color rgb="FF000000"/>
            <rFont val="Times New Roman"/>
            <family val="18"/>
          </rPr>
          <t xml:space="preserve">15/06/1807 </t>
        </r>
        <r>
          <rPr>
            <i/>
            <sz val="14"/>
            <color rgb="FF000000"/>
            <rFont val="Times New Roman"/>
            <family val="18"/>
          </rPr>
          <t>Gegen Stellung andere mit Abschied entlassen</t>
        </r>
        <r>
          <rPr>
            <sz val="14"/>
            <color rgb="FF000000"/>
            <rFont val="Times New Roman"/>
            <family val="18"/>
          </rPr>
          <t xml:space="preserve"> [RL 1808]</t>
        </r>
      </text>
    </comment>
    <comment ref="BG1043" authorId="0" shapeId="0" xr:uid="{06DFDC2A-1CE5-DE4B-8564-F17A19B7ED97}">
      <text>
        <r>
          <rPr>
            <sz val="14"/>
            <color rgb="FF000000"/>
            <rFont val="Times New Roman"/>
            <family val="18"/>
          </rPr>
          <t>ML 3499 IR 39 (1807) –12. Fus. Komp. Nr. 93 (Kesmark 24/01/1807)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20 (Sátoraljaújhely 12/12/1805)</t>
        </r>
        <r>
          <rPr>
            <sz val="14"/>
            <color rgb="FF000000"/>
            <rFont val="Calibri"/>
            <family val="34"/>
          </rPr>
          <t xml:space="preserve">
</t>
        </r>
      </text>
    </comment>
    <comment ref="BH1043" authorId="0" shapeId="0" xr:uid="{6ED357DA-6EA1-3C4A-8F3E-503096BAA5DF}">
      <text>
        <r>
          <rPr>
            <sz val="14"/>
            <color rgb="FF000000"/>
            <rFont val="Calibri"/>
            <family val="34"/>
          </rPr>
          <t>IR 39 (1805-1807)</t>
        </r>
      </text>
    </comment>
    <comment ref="BF1044" authorId="0" shapeId="0" xr:uid="{904405FE-6F76-4D43-85D8-E9BED27BDBAE}">
      <text>
        <r>
          <rPr>
            <sz val="14"/>
            <color rgb="FF000000"/>
            <rFont val="Times New Roman"/>
            <family val="18"/>
          </rPr>
          <t xml:space="preserve">29/11/1805 </t>
        </r>
        <r>
          <rPr>
            <i/>
            <sz val="14"/>
            <color rgb="FF000000"/>
            <rFont val="Times New Roman"/>
            <family val="18"/>
          </rPr>
          <t>Auf 3Fl zu Würzburg Inf Regiment</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06/04/1810 </t>
        </r>
        <r>
          <rPr>
            <i/>
            <sz val="14"/>
            <color rgb="FF000000"/>
            <rFont val="Times New Roman"/>
            <family val="18"/>
          </rPr>
          <t xml:space="preserve">Von da </t>
        </r>
        <r>
          <rPr>
            <b/>
            <sz val="14"/>
            <color rgb="FF000000"/>
            <rFont val="Times New Roman"/>
            <family val="18"/>
          </rPr>
          <t>[IR 23]</t>
        </r>
        <r>
          <rPr>
            <i/>
            <sz val="14"/>
            <color rgb="FF000000"/>
            <rFont val="Times New Roman"/>
            <family val="18"/>
          </rPr>
          <t xml:space="preserve"> zu Klebek Inf Regiment</t>
        </r>
        <r>
          <rPr>
            <sz val="14"/>
            <color rgb="FF000000"/>
            <rFont val="Times New Roman"/>
            <family val="18"/>
          </rPr>
          <t xml:space="preserve"> </t>
        </r>
        <r>
          <rPr>
            <b/>
            <sz val="14"/>
            <color rgb="FF000000"/>
            <rFont val="Times New Roman"/>
            <family val="18"/>
          </rPr>
          <t xml:space="preserve">[IR 14]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26/11/1810 Von da </t>
        </r>
        <r>
          <rPr>
            <b/>
            <sz val="14"/>
            <color rgb="FF000000"/>
            <rFont val="Times New Roman"/>
            <family val="18"/>
          </rPr>
          <t>[IR 14]</t>
        </r>
        <r>
          <rPr>
            <sz val="14"/>
            <color rgb="FF000000"/>
            <rFont val="Times New Roman"/>
            <family val="18"/>
          </rPr>
          <t xml:space="preserve"> </t>
        </r>
        <r>
          <rPr>
            <i/>
            <sz val="14"/>
            <color rgb="FF000000"/>
            <rFont val="Times New Roman"/>
            <family val="18"/>
          </rPr>
          <t>zu Ober Österreich Grenzcordon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24/09/1811 Muster: GK OÖ 1. Komp. Nr. 137 [</t>
        </r>
        <r>
          <rPr>
            <i/>
            <sz val="14"/>
            <color rgb="FF000000"/>
            <rFont val="Times New Roman"/>
            <family val="18"/>
          </rPr>
          <t>Real Invalid &amp; auf Einmarsch in das Tyrnauer Invalidenhaus</t>
        </r>
        <r>
          <rPr>
            <sz val="14"/>
            <color rgb="FF000000"/>
            <rFont val="Times New Roman"/>
            <family val="18"/>
          </rPr>
          <t>]</t>
        </r>
        <r>
          <rPr>
            <sz val="14"/>
            <color rgb="FF000000"/>
            <rFont val="Calibri"/>
            <family val="34"/>
          </rPr>
          <t xml:space="preserve">
</t>
        </r>
        <r>
          <rPr>
            <sz val="14"/>
            <color rgb="FF000000"/>
            <rFont val="Times New Roman"/>
            <family val="18"/>
          </rPr>
          <t xml:space="preserve">19/10/1811 </t>
        </r>
        <r>
          <rPr>
            <i/>
            <sz val="14"/>
            <color rgb="FF000000"/>
            <rFont val="Times New Roman"/>
            <family val="18"/>
          </rPr>
          <t>In</t>
        </r>
        <r>
          <rPr>
            <sz val="14"/>
            <color rgb="FF000000"/>
            <rFont val="Times New Roman"/>
            <family val="18"/>
          </rPr>
          <t xml:space="preserve"> </t>
        </r>
        <r>
          <rPr>
            <i/>
            <sz val="14"/>
            <color rgb="FF000000"/>
            <rFont val="Times New Roman"/>
            <family val="18"/>
          </rPr>
          <t xml:space="preserve">das Tyrnauer Invlidenhaus al real Invalid übersetzt </t>
        </r>
        <r>
          <rPr>
            <sz val="14"/>
            <color rgb="FF000000"/>
            <rFont val="Times New Roman"/>
            <family val="18"/>
          </rPr>
          <t>[ML 1812]</t>
        </r>
        <r>
          <rPr>
            <sz val="14"/>
            <color rgb="FF000000"/>
            <rFont val="Calibri"/>
            <family val="34"/>
          </rPr>
          <t xml:space="preserve">
</t>
        </r>
      </text>
    </comment>
    <comment ref="BG1044" authorId="0" shapeId="0" xr:uid="{45BE5D64-4B65-A24E-8279-1E687A664C78}">
      <text>
        <r>
          <rPr>
            <sz val="14"/>
            <color rgb="FF000000"/>
            <rFont val="Times New Roman"/>
            <family val="18"/>
          </rPr>
          <t>ML 8765 GK OÖ (1811) – Heft von Haupt. Kielbach 1. Comp. nr. 137 &amp; Zuwachs (Aigen 24/09/1811)</t>
        </r>
        <r>
          <rPr>
            <sz val="14"/>
            <color rgb="FF000000"/>
            <rFont val="Calibri"/>
            <family val="34"/>
          </rPr>
          <t xml:space="preserve">
</t>
        </r>
        <r>
          <rPr>
            <sz val="14"/>
            <color rgb="FF000000"/>
            <rFont val="Times New Roman"/>
            <family val="18"/>
          </rPr>
          <t>ML 8765 GK OÖ (1812) – Heft von Haupt. Kielbach 1. Comp. Abgang (23/09/1812)</t>
        </r>
        <r>
          <rPr>
            <sz val="14"/>
            <color rgb="FF000000"/>
            <rFont val="Calibri"/>
            <family val="34"/>
          </rPr>
          <t xml:space="preserve">
</t>
        </r>
      </text>
    </comment>
    <comment ref="BH1044" authorId="0" shapeId="0" xr:uid="{9266A697-0AD8-CE4B-8334-CC2DD4DD6B1D}">
      <text>
        <r>
          <rPr>
            <sz val="14"/>
            <color rgb="FF000000"/>
            <rFont val="Calibri"/>
            <family val="34"/>
          </rPr>
          <t xml:space="preserve">IR 23 (1805-1810)
</t>
        </r>
        <r>
          <rPr>
            <sz val="14"/>
            <color rgb="FF000000"/>
            <rFont val="Calibri"/>
            <family val="34"/>
          </rPr>
          <t xml:space="preserve">IR 14 (1810)
</t>
        </r>
        <r>
          <rPr>
            <sz val="14"/>
            <color rgb="FF000000"/>
            <rFont val="Calibri"/>
            <family val="34"/>
          </rPr>
          <t xml:space="preserve">GK </t>
        </r>
        <r>
          <rPr>
            <sz val="14"/>
            <color rgb="FF000000"/>
            <rFont val="+mn-lt"/>
            <charset val="1"/>
          </rPr>
          <t xml:space="preserve">OÖ (1810-1811)
</t>
        </r>
        <r>
          <rPr>
            <sz val="14"/>
            <color rgb="FF000000"/>
            <rFont val="+mn-lt"/>
            <charset val="1"/>
          </rPr>
          <t>InvH Turn (1811)</t>
        </r>
      </text>
    </comment>
    <comment ref="BF1045" authorId="0" shapeId="0" xr:uid="{C50F5C06-0BDC-5949-BAF0-D57F7ABF02C9}">
      <text>
        <r>
          <rPr>
            <sz val="14"/>
            <color rgb="FF000000"/>
            <rFont val="Times New Roman"/>
            <family val="18"/>
          </rPr>
          <t xml:space="preserve">06/12/1805 </t>
        </r>
        <r>
          <rPr>
            <i/>
            <sz val="14"/>
            <color rgb="FF000000"/>
            <rFont val="Times New Roman"/>
            <family val="18"/>
          </rPr>
          <t xml:space="preserve">Als landständischer Rekrut Gegen 3Fl Handgeld und 10 Jährige Capitulation von Werbbezirk zum IR 17 gestellt und zum 2. Reserve Abteilung eingeheilt </t>
        </r>
        <r>
          <rPr>
            <sz val="14"/>
            <color rgb="FF000000"/>
            <rFont val="Times New Roman"/>
            <family val="18"/>
          </rPr>
          <t>[AL Dec 1805]</t>
        </r>
        <r>
          <rPr>
            <sz val="14"/>
            <color rgb="FF000000"/>
            <rFont val="Aptos"/>
            <family val="34"/>
          </rPr>
          <t xml:space="preserve">
</t>
        </r>
        <r>
          <rPr>
            <sz val="14"/>
            <color rgb="FF000000"/>
            <rFont val="Times New Roman"/>
            <family val="18"/>
          </rPr>
          <t xml:space="preserve">05/07/1806 </t>
        </r>
        <r>
          <rPr>
            <i/>
            <sz val="14"/>
            <color rgb="FF000000"/>
            <rFont val="Times New Roman"/>
            <family val="18"/>
          </rPr>
          <t>Von IR 17 14. Fus. Komp</t>
        </r>
        <r>
          <rPr>
            <sz val="14"/>
            <color rgb="FF000000"/>
            <rFont val="Times New Roman"/>
            <family val="18"/>
          </rPr>
          <t xml:space="preserve"> [Haupt Donck] </t>
        </r>
        <r>
          <rPr>
            <i/>
            <sz val="14"/>
            <color rgb="FF000000"/>
            <rFont val="Times New Roman"/>
            <family val="18"/>
          </rPr>
          <t>zum IR 36 transferiert</t>
        </r>
        <r>
          <rPr>
            <sz val="14"/>
            <color rgb="FF000000"/>
            <rFont val="Times New Roman"/>
            <family val="18"/>
          </rPr>
          <t xml:space="preserve"> [TL July 1806]</t>
        </r>
      </text>
    </comment>
    <comment ref="BG1045" authorId="0" shapeId="0" xr:uid="{7BEA7F90-5344-9D4C-8B2C-4E04980EAC07}">
      <text>
        <r>
          <rPr>
            <sz val="14"/>
            <color rgb="FF000000"/>
            <rFont val="Times New Roman"/>
            <family val="18"/>
          </rPr>
          <t xml:space="preserve">ML 1369 IR 17 (1806) AL/TL – AL Nr. 452 (Jaslo 16/12/1805), TL IR 17-&gt;IR 36 Nr. 117 (Leitmeritz 07/1806)
</t>
        </r>
      </text>
    </comment>
    <comment ref="BH1045" authorId="0" shapeId="0" xr:uid="{DB692D82-FA91-814F-9180-E0577A076907}">
      <text>
        <r>
          <rPr>
            <sz val="14"/>
            <color rgb="FF000000"/>
            <rFont val="Calibri"/>
            <family val="34"/>
          </rPr>
          <t xml:space="preserve">IR 17 (1805-1806)
</t>
        </r>
        <r>
          <rPr>
            <sz val="14"/>
            <color rgb="FF000000"/>
            <rFont val="Calibri"/>
            <family val="34"/>
          </rPr>
          <t>IR 36 (1806)</t>
        </r>
      </text>
    </comment>
    <comment ref="BI1045" authorId="0" shapeId="0" xr:uid="{3D0679B1-1E57-6D4B-BF39-D834E6D0462C}">
      <text>
        <r>
          <rPr>
            <i/>
            <sz val="14"/>
            <color rgb="FF000000"/>
            <rFont val="Times New Roman"/>
            <family val="18"/>
          </rPr>
          <t>Gute</t>
        </r>
        <r>
          <rPr>
            <sz val="14"/>
            <color rgb="FF000000"/>
            <rFont val="Times New Roman"/>
            <family val="18"/>
          </rPr>
          <t xml:space="preserve"> [TL July 1809]</t>
        </r>
        <r>
          <rPr>
            <sz val="14"/>
            <color rgb="FF000000"/>
            <rFont val="Calibri"/>
            <family val="2"/>
          </rPr>
          <t xml:space="preserve"> </t>
        </r>
      </text>
    </comment>
    <comment ref="T1046" authorId="0" shapeId="0" xr:uid="{DD2D3298-D01B-EB4C-880D-31F60700DCED}">
      <text>
        <r>
          <rPr>
            <b/>
            <sz val="14"/>
            <color rgb="FF000000"/>
            <rFont val="Calibri"/>
            <family val="34"/>
          </rPr>
          <t xml:space="preserve">5 [158 cm (AL Dec 1805)]
</t>
        </r>
        <r>
          <rPr>
            <sz val="14"/>
            <color rgb="FF000000"/>
            <rFont val="Calibri"/>
            <family val="34"/>
          </rPr>
          <t xml:space="preserve">5.1 [160.63 cm (ML 1806)] </t>
        </r>
      </text>
    </comment>
    <comment ref="BF1046" authorId="0" shapeId="0" xr:uid="{18382708-7434-D94C-A26E-1988C470D766}">
      <text>
        <r>
          <rPr>
            <sz val="14"/>
            <color rgb="FF000000"/>
            <rFont val="Times New Roman"/>
            <family val="18"/>
          </rPr>
          <t xml:space="preserve">07/12/1805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zur Exercierzeit zu Wegrow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31/08/1808 [Bevor] </t>
        </r>
        <r>
          <rPr>
            <i/>
            <sz val="14"/>
            <color rgb="FF000000"/>
            <rFont val="Times New Roman"/>
            <family val="18"/>
          </rPr>
          <t>Am Unbewusste Datum in Galizien von Urlaub in desertiert</t>
        </r>
        <r>
          <rPr>
            <sz val="14"/>
            <color rgb="FF000000"/>
            <rFont val="Times New Roman"/>
            <family val="18"/>
          </rPr>
          <t xml:space="preserve"> [RL 1808]</t>
        </r>
      </text>
    </comment>
    <comment ref="BG1046" authorId="0" shapeId="0" xr:uid="{621D84F9-CDAD-4940-A6DD-2D5022FA17B1}">
      <text>
        <r>
          <rPr>
            <sz val="14"/>
            <color rgb="FF000000"/>
            <rFont val="Times New Roman"/>
            <family val="18"/>
          </rPr>
          <t>ML 5017/8 IR 59 (1806) – 16. Fus. Komp. Nr. 286 (Freistadt 22/12/1816)</t>
        </r>
        <r>
          <rPr>
            <sz val="14"/>
            <color rgb="FF000000"/>
            <rFont val="Calibri"/>
            <family val="34"/>
          </rPr>
          <t xml:space="preserve">
</t>
        </r>
        <r>
          <rPr>
            <sz val="14"/>
            <color rgb="FF000000"/>
            <rFont val="Times New Roman"/>
            <family val="18"/>
          </rPr>
          <t>ML 5019 IR 59 (1808-10) – RL 16. Fus. Komp. Abgang (Enns 05/09/1808)</t>
        </r>
        <r>
          <rPr>
            <sz val="14"/>
            <color rgb="FF000000"/>
            <rFont val="Calibri"/>
            <family val="34"/>
          </rPr>
          <t xml:space="preserve">
</t>
        </r>
        <r>
          <rPr>
            <sz val="14"/>
            <color rgb="FF000000"/>
            <rFont val="Times New Roman"/>
            <family val="18"/>
          </rPr>
          <t>ML 5067 IR 59 (1805) – AL. Nr. 29 (Siedlce 31/12/1805)</t>
        </r>
        <r>
          <rPr>
            <sz val="14"/>
            <color rgb="FF000000"/>
            <rFont val="Calibri"/>
            <family val="34"/>
          </rPr>
          <t xml:space="preserve">
</t>
        </r>
      </text>
    </comment>
    <comment ref="BH1046" authorId="0" shapeId="0" xr:uid="{19F93B3B-EA96-9645-A386-C2D3CC3990D6}">
      <text>
        <r>
          <rPr>
            <sz val="14"/>
            <color rgb="FF000000"/>
            <rFont val="Calibri"/>
            <family val="34"/>
          </rPr>
          <t>IR 59 (1805-1808)</t>
        </r>
      </text>
    </comment>
    <comment ref="BF1047" authorId="0" shapeId="0" xr:uid="{1380CE77-C24F-4E44-97ED-64B63E084717}">
      <text>
        <r>
          <rPr>
            <sz val="14"/>
            <color rgb="FF000000"/>
            <rFont val="Times New Roman"/>
            <family val="18"/>
          </rPr>
          <t xml:space="preserve">07/12/1805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26/02/1806 </t>
        </r>
        <r>
          <rPr>
            <i/>
            <sz val="14"/>
            <color rgb="FF000000"/>
            <rFont val="Times New Roman"/>
            <family val="18"/>
          </rPr>
          <t>Zu Selkowicze gestorben</t>
        </r>
        <r>
          <rPr>
            <sz val="14"/>
            <color rgb="FF000000"/>
            <rFont val="Times New Roman"/>
            <family val="18"/>
          </rPr>
          <t xml:space="preserve"> [ML 1806]</t>
        </r>
      </text>
    </comment>
    <comment ref="BG1047" authorId="0" shapeId="0" xr:uid="{DA654C24-21AD-054F-AA27-59E1C46176F8}">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28 (Siedlce 31/12/1805)</t>
        </r>
        <r>
          <rPr>
            <sz val="14"/>
            <color rgb="FF000000"/>
            <rFont val="Calibri"/>
            <family val="34"/>
          </rPr>
          <t xml:space="preserve">
</t>
        </r>
      </text>
    </comment>
    <comment ref="BH1047" authorId="0" shapeId="0" xr:uid="{1D677F8B-F427-4C47-AC12-2CDBAEAAC568}">
      <text>
        <r>
          <rPr>
            <sz val="14"/>
            <color rgb="FF000000"/>
            <rFont val="Calibri"/>
            <family val="34"/>
          </rPr>
          <t>IR 39 (1805-1806)</t>
        </r>
      </text>
    </comment>
    <comment ref="BF1048" authorId="0" shapeId="0" xr:uid="{BBC15716-F861-8645-A110-F07C99ECC2C0}">
      <text>
        <r>
          <rPr>
            <sz val="14"/>
            <color rgb="FF000000"/>
            <rFont val="Times New Roman"/>
            <family val="18"/>
          </rPr>
          <t xml:space="preserve">13/12/1805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t>
        </r>
        <r>
          <rPr>
            <b/>
            <sz val="14"/>
            <color rgb="FF000000"/>
            <rFont val="Times New Roman"/>
            <family val="18"/>
          </rPr>
          <t xml:space="preserve"> </t>
        </r>
      </text>
    </comment>
    <comment ref="BG1048" authorId="0" shapeId="0" xr:uid="{C9538DF3-B227-104D-94C7-25E202E1E1C3}">
      <text>
        <r>
          <rPr>
            <sz val="14"/>
            <color rgb="FF000000"/>
            <rFont val="Times New Roman"/>
            <family val="18"/>
          </rPr>
          <t>ML 5017/8 IR 59 (1806) –Reserve Division Zuwachs &amp; Abgang (Wells 06/07/1807) &amp; Cons.‚Unwissend verlohren‘ Nr. 678 (Linz 10/07/1807)</t>
        </r>
        <r>
          <rPr>
            <sz val="14"/>
            <color rgb="FF000000"/>
            <rFont val="Calibri"/>
            <family val="34"/>
          </rPr>
          <t xml:space="preserve">
</t>
        </r>
        <r>
          <rPr>
            <sz val="14"/>
            <color rgb="FF000000"/>
            <rFont val="Times New Roman"/>
            <family val="18"/>
          </rPr>
          <t>ML 5067 IR 59 (1805) – AL. Nr. 51 (Siedlce 31/12/1805)</t>
        </r>
        <r>
          <rPr>
            <sz val="14"/>
            <color rgb="FF000000"/>
            <rFont val="Calibri"/>
            <family val="34"/>
          </rPr>
          <t xml:space="preserve">
</t>
        </r>
      </text>
    </comment>
    <comment ref="BH1048" authorId="0" shapeId="0" xr:uid="{8A9E2D3E-1409-AC47-9B01-C881EFF4DCD8}">
      <text>
        <r>
          <rPr>
            <sz val="14"/>
            <color rgb="FF000000"/>
            <rFont val="Calibri"/>
            <family val="34"/>
          </rPr>
          <t>IR 39 (1805-1806)</t>
        </r>
      </text>
    </comment>
    <comment ref="BF1049" authorId="0" shapeId="0" xr:uid="{9A817EA4-A76E-8340-83FC-CD012E978203}">
      <text>
        <r>
          <rPr>
            <sz val="14"/>
            <color rgb="FF000000"/>
            <rFont val="Times New Roman"/>
            <family val="18"/>
          </rPr>
          <t xml:space="preserve">15/12/1805 </t>
        </r>
        <r>
          <rPr>
            <i/>
            <sz val="14"/>
            <color rgb="FF000000"/>
            <rFont val="Times New Roman"/>
            <family val="18"/>
          </rPr>
          <t xml:space="preserve">auf 10 Jahr bei IR 50 Stein gestellt </t>
        </r>
        <r>
          <rPr>
            <sz val="14"/>
            <color rgb="FF000000"/>
            <rFont val="Times New Roman"/>
            <family val="18"/>
          </rPr>
          <t>[ML 1811]</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IR 50 Stein</t>
        </r>
        <r>
          <rPr>
            <sz val="14"/>
            <color rgb="FF000000"/>
            <rFont val="Times New Roman"/>
            <family val="18"/>
          </rPr>
          <t xml:space="preserve"> </t>
        </r>
        <r>
          <rPr>
            <i/>
            <sz val="14"/>
            <color rgb="FF000000"/>
            <rFont val="Times New Roman"/>
            <family val="18"/>
          </rPr>
          <t>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Bei der Musterung: IR 30 2. Fus Comp Nr. 205</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von 1. Fus Comp vermog hoher galizische Militär Commando Verordnung det. Lemberg am 5. Mai 1817 R 4943 als West Galizier mit Abschied entlassen</t>
        </r>
      </text>
    </comment>
    <comment ref="BG1049" authorId="0" shapeId="0" xr:uid="{22E90C19-1B5D-6C4F-9764-61B58CC5D401}">
      <text>
        <r>
          <rPr>
            <sz val="14"/>
            <color rgb="FF000000"/>
            <rFont val="Times New Roman"/>
            <family val="18"/>
          </rPr>
          <t xml:space="preserve">ML 2633 IR 30 (1811) – Heft von 2. Fus Comp Nr. 205 (Stanislau 21/09/1811) </t>
        </r>
        <r>
          <rPr>
            <sz val="14"/>
            <color rgb="FF000000"/>
            <rFont val="Calibri"/>
            <family val="34"/>
          </rPr>
          <t xml:space="preserve">
</t>
        </r>
        <r>
          <rPr>
            <sz val="14"/>
            <color rgb="FF000000"/>
            <rFont val="Times New Roman"/>
            <family val="18"/>
          </rPr>
          <t>ML 2635 IR 30 (1817) – Heft von 1. Fus Comp – Abgang (Stry 15/10/1817)</t>
        </r>
        <r>
          <rPr>
            <sz val="14"/>
            <color rgb="FF000000"/>
            <rFont val="Calibri"/>
            <family val="34"/>
          </rPr>
          <t xml:space="preserve">
</t>
        </r>
      </text>
    </comment>
    <comment ref="BH1049" authorId="0" shapeId="0" xr:uid="{E47F926C-FB55-5047-A21D-B5C92EDFB06B}">
      <text>
        <r>
          <rPr>
            <sz val="14"/>
            <color rgb="FF000000"/>
            <rFont val="Calibri"/>
            <family val="34"/>
          </rPr>
          <t xml:space="preserve">IR 50 (1805-1810)
</t>
        </r>
        <r>
          <rPr>
            <sz val="14"/>
            <color rgb="FF000000"/>
            <rFont val="Calibri"/>
            <family val="34"/>
          </rPr>
          <t>IR 30 (1810-1817)</t>
        </r>
      </text>
    </comment>
    <comment ref="BF1050" authorId="0" shapeId="0" xr:uid="{8A5332A6-3679-574C-BB85-1EFA742F880D}">
      <text>
        <r>
          <rPr>
            <sz val="14"/>
            <color rgb="FF000000"/>
            <rFont val="Times New Roman"/>
            <family val="18"/>
          </rPr>
          <t xml:space="preserve">19/12/1805 </t>
        </r>
        <r>
          <rPr>
            <i/>
            <sz val="14"/>
            <color rgb="FF000000"/>
            <rFont val="Times New Roman"/>
            <family val="18"/>
          </rPr>
          <t xml:space="preserve">Als landständischer Recrout für Varano </t>
        </r>
        <r>
          <rPr>
            <b/>
            <sz val="14"/>
            <color rgb="FF000000"/>
            <rFont val="Times New Roman"/>
            <family val="18"/>
          </rPr>
          <t>[</t>
        </r>
        <r>
          <rPr>
            <b/>
            <u/>
            <sz val="14"/>
            <color rgb="FF0563C1"/>
            <rFont val="Times New Roman"/>
            <family val="18"/>
          </rPr>
          <t>Vranov nad Topľou, Slovakia</t>
        </r>
        <r>
          <rPr>
            <b/>
            <sz val="14"/>
            <color rgb="FF000000"/>
            <rFont val="Times New Roman"/>
            <family val="18"/>
          </rPr>
          <t>]</t>
        </r>
        <r>
          <rPr>
            <i/>
            <sz val="14"/>
            <color rgb="FF000000"/>
            <rFont val="Times New Roman"/>
            <family val="18"/>
          </rPr>
          <t xml:space="preserve"> Zempliner Komität in gestellt, in Ujhaly zum IR 39 a 3Fl assentiert und in 18. Komp. zugeheilt</t>
        </r>
        <r>
          <rPr>
            <sz val="14"/>
            <color rgb="FF000000"/>
            <rFont val="Times New Roman"/>
            <family val="18"/>
          </rPr>
          <t xml:space="preserve"> [AL Jän 1806]</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Zur 3. Komp. transferiert</t>
        </r>
        <r>
          <rPr>
            <sz val="14"/>
            <color rgb="FF000000"/>
            <rFont val="Times New Roman"/>
            <family val="18"/>
          </rPr>
          <t xml:space="preserve"> [RL Jan 1817]</t>
        </r>
        <r>
          <rPr>
            <sz val="14"/>
            <color rgb="FF000000"/>
            <rFont val="Calibri"/>
            <family val="34"/>
          </rPr>
          <t xml:space="preserve">
</t>
        </r>
        <r>
          <rPr>
            <sz val="14"/>
            <color rgb="FF000000"/>
            <rFont val="Times New Roman"/>
            <family val="18"/>
          </rPr>
          <t>23/01/1807 Revision: IR 39 3. Fus. Komp. Nr. 98</t>
        </r>
        <r>
          <rPr>
            <sz val="14"/>
            <color rgb="FF000000"/>
            <rFont val="Calibri"/>
            <family val="34"/>
          </rPr>
          <t xml:space="preserve">
</t>
        </r>
        <r>
          <rPr>
            <sz val="14"/>
            <color rgb="FF000000"/>
            <rFont val="Times New Roman"/>
            <family val="18"/>
          </rPr>
          <t xml:space="preserve">02/08/1808 </t>
        </r>
        <r>
          <rPr>
            <i/>
            <sz val="14"/>
            <color rgb="FF000000"/>
            <rFont val="Times New Roman"/>
            <family val="18"/>
          </rPr>
          <t xml:space="preserve">Krank mit auswärtiger Gebühr </t>
        </r>
        <r>
          <rPr>
            <sz val="14"/>
            <color rgb="FF000000"/>
            <rFont val="Times New Roman"/>
            <family val="18"/>
          </rPr>
          <t>[ST Aug 1808]</t>
        </r>
        <r>
          <rPr>
            <sz val="14"/>
            <color rgb="FF000000"/>
            <rFont val="Calibri"/>
            <family val="34"/>
          </rPr>
          <t xml:space="preserve">
</t>
        </r>
        <r>
          <rPr>
            <sz val="14"/>
            <color rgb="FF000000"/>
            <rFont val="Times New Roman"/>
            <family val="18"/>
          </rPr>
          <t>10/09/1808 R</t>
        </r>
        <r>
          <rPr>
            <i/>
            <sz val="14"/>
            <color rgb="FF000000"/>
            <rFont val="Times New Roman"/>
            <family val="18"/>
          </rPr>
          <t xml:space="preserve">ekonvalesziert </t>
        </r>
        <r>
          <rPr>
            <sz val="14"/>
            <color rgb="FF000000"/>
            <rFont val="Times New Roman"/>
            <family val="18"/>
          </rPr>
          <t>[ST Sept 108]</t>
        </r>
        <r>
          <rPr>
            <sz val="14"/>
            <color rgb="FF000000"/>
            <rFont val="Calibri"/>
            <family val="34"/>
          </rPr>
          <t xml:space="preserve">
</t>
        </r>
        <r>
          <rPr>
            <sz val="14"/>
            <color rgb="FF000000"/>
            <rFont val="Times New Roman"/>
            <family val="18"/>
          </rPr>
          <t>19/09/1808 Revision: IR 39 3. Fus. Komp. Nr. 88 [</t>
        </r>
        <r>
          <rPr>
            <i/>
            <sz val="14"/>
            <color rgb="FF000000"/>
            <rFont val="Times New Roman"/>
            <family val="18"/>
          </rPr>
          <t>Krank in Comorn</t>
        </r>
        <r>
          <rPr>
            <sz val="14"/>
            <color rgb="FF000000"/>
            <rFont val="Times New Roman"/>
            <family val="18"/>
          </rPr>
          <t>]</t>
        </r>
        <r>
          <rPr>
            <sz val="14"/>
            <color rgb="FF000000"/>
            <rFont val="Calibri"/>
            <family val="34"/>
          </rPr>
          <t xml:space="preserve">
</t>
        </r>
        <r>
          <rPr>
            <sz val="14"/>
            <color rgb="FF000000"/>
            <rFont val="Times New Roman"/>
            <family val="18"/>
          </rPr>
          <t xml:space="preserve">22/05/1809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[Schlacht von Aspern-Essling]</t>
        </r>
        <r>
          <rPr>
            <sz val="14"/>
            <color rgb="FF000000"/>
            <rFont val="Times New Roman"/>
            <family val="18"/>
          </rPr>
          <t xml:space="preserve"> [ML 1811]</t>
        </r>
      </text>
    </comment>
    <comment ref="BG1050" authorId="0" shapeId="0" xr:uid="{BC1C9414-E1EC-3049-92F0-1E9E9611286D}">
      <text>
        <r>
          <rPr>
            <sz val="14"/>
            <color rgb="FF000000"/>
            <rFont val="Times New Roman"/>
            <family val="18"/>
          </rPr>
          <t>ML 3499 IR 39 (1807) – 3. Fus. Komp. Nr. 98 (Leutschau 23/01/1807)</t>
        </r>
        <r>
          <rPr>
            <sz val="14"/>
            <color rgb="FF000000"/>
            <rFont val="Calibri"/>
            <family val="34"/>
          </rPr>
          <t xml:space="preserve">
</t>
        </r>
        <r>
          <rPr>
            <sz val="14"/>
            <color rgb="FF000000"/>
            <rFont val="Times New Roman"/>
            <family val="18"/>
          </rPr>
          <t>ML 3500 IR 39 (1808-10) – RL 1808 3. Fus. Komp. Nr. 88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3547 IR 39 (1806) – AL Nr. 2 (Ujhaly 14/03/1806); ST Aug 1808 (Pest 10/07/1810), ST Sept (Ofern 10/10/1810)</t>
        </r>
        <r>
          <rPr>
            <sz val="14"/>
            <color rgb="FF000000"/>
            <rFont val="Calibri"/>
            <family val="34"/>
          </rPr>
          <t xml:space="preserve">
</t>
        </r>
      </text>
    </comment>
    <comment ref="BH1050" authorId="0" shapeId="0" xr:uid="{2F84E55E-70DB-BC4B-94B6-06FCFD90347A}">
      <text>
        <r>
          <rPr>
            <sz val="14"/>
            <color rgb="FF000000"/>
            <rFont val="Calibri"/>
            <family val="34"/>
          </rPr>
          <t>IR 39 (1805-1809)</t>
        </r>
      </text>
    </comment>
    <comment ref="BF1051" authorId="0" shapeId="0" xr:uid="{B1D82723-9911-6642-B930-1F1B7111F9E7}">
      <text>
        <r>
          <rPr>
            <sz val="14"/>
            <color rgb="FF000000"/>
            <rFont val="Times New Roman"/>
            <family val="18"/>
          </rPr>
          <t xml:space="preserve">20/12/1805 </t>
        </r>
        <r>
          <rPr>
            <i/>
            <sz val="14"/>
            <color rgb="FF000000"/>
            <rFont val="Times New Roman"/>
            <family val="18"/>
          </rPr>
          <t>A 3Fl Handgeld zu Aloys Lichtenstein Inf Regt Nr. 12 auf 10 Jahre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15/01/1809 </t>
        </r>
        <r>
          <rPr>
            <i/>
            <sz val="14"/>
            <color rgb="FF000000"/>
            <rFont val="Times New Roman"/>
            <family val="18"/>
          </rPr>
          <t xml:space="preserve">Zum Pionier Corps transferiert </t>
        </r>
        <r>
          <rPr>
            <sz val="14"/>
            <color rgb="FF000000"/>
            <rFont val="Times New Roman"/>
            <family val="18"/>
          </rPr>
          <t>[ML 1817]</t>
        </r>
        <r>
          <rPr>
            <sz val="14"/>
            <color rgb="FF000000"/>
            <rFont val="Calibri"/>
            <family val="34"/>
          </rPr>
          <t xml:space="preserve">
</t>
        </r>
        <r>
          <rPr>
            <sz val="14"/>
            <color rgb="FF000000"/>
            <rFont val="Times New Roman"/>
            <family val="18"/>
          </rPr>
          <t xml:space="preserve">01/02/1810 </t>
        </r>
        <r>
          <rPr>
            <i/>
            <sz val="14"/>
            <color rgb="FF000000"/>
            <rFont val="Times New Roman"/>
            <family val="18"/>
          </rPr>
          <t>Zum Aloys Lichtenstein Infanterie Regiment Nr. 12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26/08/1811 </t>
        </r>
        <r>
          <rPr>
            <i/>
            <sz val="14"/>
            <color rgb="FF000000"/>
            <rFont val="Times New Roman"/>
            <family val="18"/>
          </rPr>
          <t xml:space="preserve">Von IR 12 zum GK Gal 2. Abt transferiert und zur 4. Komp eingeteilt </t>
        </r>
        <r>
          <rPr>
            <sz val="14"/>
            <color rgb="FF000000"/>
            <rFont val="Times New Roman"/>
            <family val="18"/>
          </rPr>
          <t>[RL 1812]</t>
        </r>
        <r>
          <rPr>
            <sz val="14"/>
            <color rgb="FF000000"/>
            <rFont val="Calibri"/>
            <family val="34"/>
          </rPr>
          <t xml:space="preserve">
</t>
        </r>
        <r>
          <rPr>
            <sz val="14"/>
            <color rgb="FF000000"/>
            <rFont val="Times New Roman"/>
            <family val="18"/>
          </rPr>
          <t xml:space="preserve">08/12/1811 </t>
        </r>
        <r>
          <rPr>
            <i/>
            <sz val="14"/>
            <color rgb="FF000000"/>
            <rFont val="Times New Roman"/>
            <family val="18"/>
          </rPr>
          <t xml:space="preserve">Von. 4. Zum 2. Komp. transferiert </t>
        </r>
        <r>
          <rPr>
            <sz val="14"/>
            <color rgb="FF000000"/>
            <rFont val="Times New Roman"/>
            <family val="18"/>
          </rPr>
          <t>[RL 1812]</t>
        </r>
        <r>
          <rPr>
            <sz val="14"/>
            <color rgb="FF000000"/>
            <rFont val="Calibri"/>
            <family val="34"/>
          </rPr>
          <t xml:space="preserve">
</t>
        </r>
        <r>
          <rPr>
            <sz val="14"/>
            <color rgb="FF000000"/>
            <rFont val="Times New Roman"/>
            <family val="18"/>
          </rPr>
          <t xml:space="preserve">20/06/1812 </t>
        </r>
        <r>
          <rPr>
            <i/>
            <sz val="14"/>
            <color rgb="FF000000"/>
            <rFont val="Times New Roman"/>
            <family val="18"/>
          </rPr>
          <t>Zur Fleisch Regie der Feldspitäler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 xml:space="preserve">[15/10]/1814 </t>
        </r>
        <r>
          <rPr>
            <i/>
            <sz val="14"/>
            <color rgb="FF000000"/>
            <rFont val="Times New Roman"/>
            <family val="18"/>
          </rPr>
          <t>Von Fleischregie der deutsche Arme wieder zum GK Gal 2. Abt transferiert</t>
        </r>
        <r>
          <rPr>
            <sz val="14"/>
            <color rgb="FF000000"/>
            <rFont val="Times New Roman"/>
            <family val="18"/>
          </rPr>
          <t xml:space="preserve"> [ST Oct 1814]</t>
        </r>
        <r>
          <rPr>
            <sz val="14"/>
            <color rgb="FF000000"/>
            <rFont val="Calibri"/>
            <family val="34"/>
          </rPr>
          <t xml:space="preserve">
</t>
        </r>
        <r>
          <rPr>
            <sz val="14"/>
            <color rgb="FF000000"/>
            <rFont val="Times New Roman"/>
            <family val="18"/>
          </rPr>
          <t>04/10/1817 Muster: GK Gal. 2. Abt 2. Komp. Nr. 201 [</t>
        </r>
        <r>
          <rPr>
            <i/>
            <sz val="14"/>
            <color rgb="FF000000"/>
            <rFont val="Times New Roman"/>
            <family val="18"/>
          </rPr>
          <t>Auf Posto zu Tarnoruda</t>
        </r>
        <r>
          <rPr>
            <sz val="14"/>
            <color rgb="FF000000"/>
            <rFont val="Times New Roman"/>
            <family val="18"/>
          </rPr>
          <t>]</t>
        </r>
        <r>
          <rPr>
            <sz val="14"/>
            <color rgb="FF000000"/>
            <rFont val="Calibri"/>
            <family val="34"/>
          </rPr>
          <t xml:space="preserve">
</t>
        </r>
        <r>
          <rPr>
            <sz val="14"/>
            <color rgb="FF000000"/>
            <rFont val="Times New Roman"/>
            <family val="18"/>
          </rPr>
          <t xml:space="preserve">10/01/1818 </t>
        </r>
        <r>
          <rPr>
            <i/>
            <sz val="14"/>
            <color rgb="FF000000"/>
            <rFont val="Times New Roman"/>
            <family val="18"/>
          </rPr>
          <t>Als Ausgediente Inländische Capitulant mit Abschied entlassen</t>
        </r>
        <r>
          <rPr>
            <sz val="14"/>
            <color rgb="FF000000"/>
            <rFont val="Times New Roman"/>
            <family val="18"/>
          </rPr>
          <t xml:space="preserve"> [ML 1818]</t>
        </r>
        <r>
          <rPr>
            <sz val="14"/>
            <color rgb="FF000000"/>
            <rFont val="Calibri"/>
            <family val="34"/>
          </rPr>
          <t xml:space="preserve">
</t>
        </r>
      </text>
    </comment>
    <comment ref="BG1051" authorId="0" shapeId="0" xr:uid="{A33333B6-2682-8849-9648-16F848E3C91F}">
      <text>
        <r>
          <rPr>
            <sz val="14"/>
            <color rgb="FF000000"/>
            <rFont val="Times New Roman"/>
            <family val="18"/>
          </rPr>
          <t>ML 8823 GK Gal 2. Abt (1811/2) – 2. (Haupt Boulange) Komp. Zuwachs &amp; Abgang (Zloce 29/10/1812), 4. (Haupt Rühn) Zuwachs &amp; Abgang (Rodzichow 31/10/1812)</t>
        </r>
        <r>
          <rPr>
            <sz val="14"/>
            <color rgb="FF000000"/>
            <rFont val="Calibri"/>
            <family val="34"/>
          </rPr>
          <t xml:space="preserve">
</t>
        </r>
        <r>
          <rPr>
            <sz val="14"/>
            <color rgb="FF000000"/>
            <rFont val="Times New Roman"/>
            <family val="18"/>
          </rPr>
          <t>ML 8824 GK Gal 2. Abt (1817/8) – 2. (Haupt Winter) Komp. Nr. 201 (Zloce 04/10/1817); 2. (Haupt Winter) Komp. Abgang (Zloce 19/10/1818)</t>
        </r>
        <r>
          <rPr>
            <sz val="14"/>
            <color rgb="FF000000"/>
            <rFont val="Calibri"/>
            <family val="34"/>
          </rPr>
          <t xml:space="preserve">
</t>
        </r>
        <r>
          <rPr>
            <sz val="14"/>
            <color rgb="FF000000"/>
            <rFont val="Times New Roman"/>
            <family val="18"/>
          </rPr>
          <t>ML 8831 GK Gal 2. Abt (1813-6) – ST 1814 Oct (Zalosche 20/05/1814)</t>
        </r>
        <r>
          <rPr>
            <sz val="14"/>
            <color rgb="FF000000"/>
            <rFont val="Calibri"/>
            <family val="34"/>
          </rPr>
          <t xml:space="preserve">
</t>
        </r>
      </text>
    </comment>
    <comment ref="BH1051" authorId="0" shapeId="0" xr:uid="{3971AA13-F532-F24D-9650-B5AEECC5D3B1}">
      <text>
        <r>
          <rPr>
            <sz val="14"/>
            <color rgb="FF000000"/>
            <rFont val="Calibri"/>
            <family val="34"/>
          </rPr>
          <t xml:space="preserve">IR 12 (1805-1809)
</t>
        </r>
        <r>
          <rPr>
            <sz val="14"/>
            <color rgb="FF000000"/>
            <rFont val="Calibri"/>
            <family val="34"/>
          </rPr>
          <t xml:space="preserve">Pionier Korps (1809-1810)
</t>
        </r>
        <r>
          <rPr>
            <sz val="14"/>
            <color rgb="FF000000"/>
            <rFont val="Calibri"/>
            <family val="34"/>
          </rPr>
          <t xml:space="preserve">IR 12 (1810-1811)
</t>
        </r>
        <r>
          <rPr>
            <sz val="14"/>
            <color rgb="FF000000"/>
            <rFont val="Calibri"/>
            <family val="34"/>
          </rPr>
          <t>GK Gal 2. Abt</t>
        </r>
        <r>
          <rPr>
            <sz val="14"/>
            <color rgb="FF000000"/>
            <rFont val="+mn-lt"/>
            <charset val="1"/>
          </rPr>
          <t xml:space="preserve"> (1811-1812)
</t>
        </r>
        <r>
          <rPr>
            <sz val="14"/>
            <color rgb="FF000000"/>
            <rFont val="+mn-lt"/>
            <charset val="1"/>
          </rPr>
          <t xml:space="preserve">Fleischregie (1812-1814)
</t>
        </r>
        <r>
          <rPr>
            <sz val="14"/>
            <color rgb="FF000000"/>
            <rFont val="+mn-lt"/>
            <charset val="1"/>
          </rPr>
          <t>GK Gal 2. Abt (1814-1818)</t>
        </r>
      </text>
    </comment>
    <comment ref="BF1052" authorId="0" shapeId="0" xr:uid="{B5B86360-C7ED-C846-B088-0C47C5E090F4}">
      <text>
        <r>
          <rPr>
            <sz val="14"/>
            <color rgb="FF000000"/>
            <rFont val="Times New Roman"/>
            <family val="18"/>
          </rPr>
          <t xml:space="preserve">23/12/1805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5.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30/08/1806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34"/>
          </rPr>
          <t xml:space="preserve">
</t>
        </r>
      </text>
    </comment>
    <comment ref="BG1052" authorId="0" shapeId="0" xr:uid="{3E11BD7B-078F-3540-998C-4E29F328EFF6}">
      <text>
        <r>
          <rPr>
            <sz val="14"/>
            <color rgb="FF000000"/>
            <rFont val="Times New Roman"/>
            <family val="18"/>
          </rPr>
          <t>ML 5017/8 IR 59 (1806) – 5. Fus. Komp. Abgang (Linz 20/12/1806)</t>
        </r>
        <r>
          <rPr>
            <sz val="14"/>
            <color rgb="FF000000"/>
            <rFont val="Calibri"/>
            <family val="34"/>
          </rPr>
          <t xml:space="preserve">
</t>
        </r>
        <r>
          <rPr>
            <sz val="14"/>
            <color rgb="FF000000"/>
            <rFont val="Times New Roman"/>
            <family val="18"/>
          </rPr>
          <t>ML 5067 IR 59 (1805) – AL. Nr. 72 (Siedlce 31/12/1805)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1052" authorId="0" shapeId="0" xr:uid="{9F106D42-C443-A246-8E47-6EAC858673B0}">
      <text>
        <r>
          <rPr>
            <sz val="14"/>
            <color rgb="FF000000"/>
            <rFont val="Calibri"/>
            <family val="34"/>
          </rPr>
          <t>IR 39 (1805-1806)</t>
        </r>
      </text>
    </comment>
    <comment ref="BF1053" authorId="0" shapeId="0" xr:uid="{DB173137-FBD4-9F48-B02C-63E784EC0A3B}">
      <text>
        <r>
          <rPr>
            <sz val="14"/>
            <color rgb="FF000000"/>
            <rFont val="Times New Roman"/>
            <family val="18"/>
          </rPr>
          <t xml:space="preserve">In Jahr 1806 </t>
        </r>
        <r>
          <rPr>
            <i/>
            <sz val="14"/>
            <color rgb="FF000000"/>
            <rFont val="Times New Roman"/>
            <family val="18"/>
          </rPr>
          <t xml:space="preserve">zu Chasteler </t>
        </r>
        <r>
          <rPr>
            <b/>
            <sz val="14"/>
            <color rgb="FF000000"/>
            <rFont val="Times New Roman"/>
            <family val="18"/>
          </rPr>
          <t>IR 46</t>
        </r>
        <r>
          <rPr>
            <i/>
            <sz val="14"/>
            <color rgb="FF000000"/>
            <rFont val="Times New Roman"/>
            <family val="18"/>
          </rPr>
          <t xml:space="preserve">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01/03/1809 zum Artillerie Handleger transferiert [ML 1811]</t>
        </r>
        <r>
          <rPr>
            <sz val="14"/>
            <color rgb="FF000000"/>
            <rFont val="Calibri"/>
            <family val="34"/>
          </rPr>
          <t xml:space="preserve">
</t>
        </r>
        <r>
          <rPr>
            <sz val="14"/>
            <color rgb="FF000000"/>
            <rFont val="Times New Roman"/>
            <family val="18"/>
          </rPr>
          <t>16/05/1810 Von Artillerie Handlanger Corps zum IR 30 De Ligne transferiert</t>
        </r>
        <r>
          <rPr>
            <sz val="14"/>
            <color rgb="FF000000"/>
            <rFont val="Calibri"/>
            <family val="34"/>
          </rPr>
          <t xml:space="preserve">
</t>
        </r>
        <r>
          <rPr>
            <sz val="14"/>
            <color rgb="FF000000"/>
            <rFont val="Times New Roman"/>
            <family val="18"/>
          </rPr>
          <t>11/09/1811 Beim Musterung: IR 30 7. Inf Komp Nr. 249</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1053" authorId="0" shapeId="0" xr:uid="{099F99A4-9BAC-104B-9FC5-F9EC7817947A}">
      <text>
        <r>
          <rPr>
            <sz val="14"/>
            <color rgb="FF000000"/>
            <rFont val="Times New Roman"/>
            <family val="18"/>
          </rPr>
          <t>ML 2633 IR 30 (1811) – Heft von 7. Comp Nr. 249 (Czernowitz 11/09/1811)</t>
        </r>
        <r>
          <rPr>
            <sz val="14"/>
            <color rgb="FF000000"/>
            <rFont val="Calibri"/>
            <family val="34"/>
          </rPr>
          <t xml:space="preserve">
</t>
        </r>
        <r>
          <rPr>
            <sz val="14"/>
            <color rgb="FF000000"/>
            <rFont val="Times New Roman"/>
            <family val="18"/>
          </rPr>
          <t>ML 2635 IR 30 (1817) – Heft von 3. Fus Comp – Abgang (Stry 15/10/1817)</t>
        </r>
        <r>
          <rPr>
            <sz val="14"/>
            <color rgb="FF000000"/>
            <rFont val="Calibri"/>
            <family val="34"/>
          </rPr>
          <t xml:space="preserve">
</t>
        </r>
      </text>
    </comment>
    <comment ref="BH1053" authorId="0" shapeId="0" xr:uid="{CAE69BB8-6BD4-1B4B-ADAE-9B1BE3F104E8}">
      <text>
        <r>
          <rPr>
            <sz val="14"/>
            <color rgb="FF000000"/>
            <rFont val="Calibri"/>
            <family val="34"/>
          </rPr>
          <t xml:space="preserve">IR 46 (1806-1809)
</t>
        </r>
        <r>
          <rPr>
            <sz val="14"/>
            <color rgb="FF000000"/>
            <rFont val="Calibri"/>
            <family val="34"/>
          </rPr>
          <t xml:space="preserve">ArtHand (1809-1810)
</t>
        </r>
        <r>
          <rPr>
            <sz val="14"/>
            <color rgb="FF000000"/>
            <rFont val="Calibri"/>
            <family val="34"/>
          </rPr>
          <t>IR 30 (1810-1817)</t>
        </r>
      </text>
    </comment>
    <comment ref="BF1054" authorId="0" shapeId="0" xr:uid="{2859D73C-79DA-D141-8D92-B4D63BD0C7E7}">
      <text>
        <r>
          <rPr>
            <sz val="14"/>
            <color rgb="FF000000"/>
            <rFont val="Times New Roman"/>
            <family val="18"/>
          </rPr>
          <t xml:space="preserve">In 01/1806 </t>
        </r>
        <r>
          <rPr>
            <i/>
            <sz val="14"/>
            <color rgb="FF000000"/>
            <rFont val="Times New Roman"/>
            <family val="18"/>
          </rPr>
          <t>als Landstandische Recrouten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 </t>
        </r>
        <r>
          <rPr>
            <i/>
            <sz val="14"/>
            <color rgb="FF000000"/>
            <rFont val="Times New Roman"/>
            <family val="18"/>
          </rPr>
          <t xml:space="preserve">Kriegsgefangen </t>
        </r>
        <r>
          <rPr>
            <sz val="14"/>
            <color rgb="FF000000"/>
            <rFont val="Times New Roman"/>
            <family val="18"/>
          </rPr>
          <t>[ML 1806]</t>
        </r>
        <r>
          <rPr>
            <sz val="14"/>
            <color rgb="FF000000"/>
            <rFont val="Calibri"/>
            <family val="34"/>
          </rPr>
          <t xml:space="preserve">
</t>
        </r>
        <r>
          <rPr>
            <sz val="14"/>
            <color rgb="FF000000"/>
            <rFont val="Times New Roman"/>
            <family val="18"/>
          </rPr>
          <t xml:space="preserve">In 05/1806 </t>
        </r>
        <r>
          <rPr>
            <i/>
            <sz val="14"/>
            <color rgb="FF000000"/>
            <rFont val="Times New Roman"/>
            <family val="18"/>
          </rPr>
          <t>Ranzioniert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11/06/1806 Superarbietriert Defekten: Wegen Masschwach und Krankheiten [Klein Schwach und immer Krank]</t>
        </r>
        <r>
          <rPr>
            <sz val="14"/>
            <color rgb="FF000000"/>
            <rFont val="Calibri"/>
            <family val="34"/>
          </rPr>
          <t xml:space="preserve">
</t>
        </r>
        <r>
          <rPr>
            <sz val="14"/>
            <color rgb="FF000000"/>
            <rFont val="Times New Roman"/>
            <family val="18"/>
          </rPr>
          <t>Reale Invaliden mit Laufpass zu entlassen</t>
        </r>
        <r>
          <rPr>
            <sz val="14"/>
            <color rgb="FF000000"/>
            <rFont val="Calibri"/>
            <family val="34"/>
          </rPr>
          <t xml:space="preserve">
</t>
        </r>
        <r>
          <rPr>
            <sz val="14"/>
            <color rgb="FF000000"/>
            <rFont val="Times New Roman"/>
            <family val="18"/>
          </rPr>
          <t xml:space="preserve">25/07/1806 </t>
        </r>
        <r>
          <rPr>
            <i/>
            <sz val="14"/>
            <color rgb="FF000000"/>
            <rFont val="Times New Roman"/>
            <family val="18"/>
          </rPr>
          <t>Wegen Schwäche sonstigen aufhabenden Defekten zu Folge Hohe General Commando Verordnung deto Brünn den 28. Juni 1806 mit Laugpaß entlassen</t>
        </r>
        <r>
          <rPr>
            <sz val="14"/>
            <color rgb="FF000000"/>
            <rFont val="Times New Roman"/>
            <family val="18"/>
          </rPr>
          <t xml:space="preserve"> [ML 1806]</t>
        </r>
        <r>
          <rPr>
            <sz val="14"/>
            <color rgb="FF000000"/>
            <rFont val="Calibri"/>
            <family val="34"/>
          </rPr>
          <t xml:space="preserve">
</t>
        </r>
      </text>
    </comment>
    <comment ref="BG1054" authorId="0" shapeId="0" xr:uid="{A45A4937-3E3C-3E4C-B00B-6F22F3E6E8B7}">
      <text>
        <r>
          <rPr>
            <sz val="14"/>
            <color rgb="FF000000"/>
            <rFont val="Times New Roman"/>
            <family val="18"/>
          </rPr>
          <t>ML 1623-5 IR 20 (1806) – 11. Fus. Komp. Abgang (Olmütz 15/12/1806)</t>
        </r>
        <r>
          <rPr>
            <sz val="14"/>
            <color rgb="FF000000"/>
            <rFont val="Calibri"/>
            <family val="34"/>
          </rPr>
          <t xml:space="preserve">
</t>
        </r>
        <r>
          <rPr>
            <sz val="14"/>
            <color rgb="FF000000"/>
            <rFont val="Times New Roman"/>
            <family val="18"/>
          </rPr>
          <t>ML 1661 IR 20 (1806) –SUP Nr. 37 (Troppau 11/06/1806)</t>
        </r>
        <r>
          <rPr>
            <sz val="14"/>
            <color rgb="FF000000"/>
            <rFont val="Calibri"/>
            <family val="34"/>
          </rPr>
          <t xml:space="preserve">
</t>
        </r>
      </text>
    </comment>
    <comment ref="BH1054" authorId="0" shapeId="0" xr:uid="{A9297E09-ACF8-2148-9104-A88BEA8690B6}">
      <text>
        <r>
          <rPr>
            <sz val="14"/>
            <color rgb="FF000000"/>
            <rFont val="Calibri"/>
            <family val="34"/>
          </rPr>
          <t>IR 20 (1806)</t>
        </r>
      </text>
    </comment>
    <comment ref="BF1055" authorId="0" shapeId="0" xr:uid="{E2B5F1FB-4DA6-9D4C-ADB0-2E0A51CA4359}">
      <text>
        <r>
          <rPr>
            <sz val="14"/>
            <color rgb="FF000000"/>
            <rFont val="Times New Roman"/>
            <family val="18"/>
          </rPr>
          <t xml:space="preserve">13/01/1806 </t>
        </r>
        <r>
          <rPr>
            <i/>
            <sz val="14"/>
            <color rgb="FF000000"/>
            <rFont val="Times New Roman"/>
            <family val="18"/>
          </rPr>
          <t>auf 10 Jahre zu Stain Inf</t>
        </r>
        <r>
          <rPr>
            <sz val="14"/>
            <color rgb="FF000000"/>
            <rFont val="Times New Roman"/>
            <family val="18"/>
          </rPr>
          <t xml:space="preserve"> </t>
        </r>
        <r>
          <rPr>
            <b/>
            <sz val="14"/>
            <color rgb="FF000000"/>
            <rFont val="Times New Roman"/>
            <family val="18"/>
          </rPr>
          <t xml:space="preserve">[IR 50] </t>
        </r>
        <r>
          <rPr>
            <i/>
            <sz val="14"/>
            <color rgb="FF000000"/>
            <rFont val="Times New Roman"/>
            <family val="18"/>
          </rPr>
          <t>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IR 50 Stein zum IR 30 De Ligne ahnero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bei der Musterung: IR 30 2. Fus Comp Nr. 194 [</t>
        </r>
        <r>
          <rPr>
            <i/>
            <sz val="14"/>
            <color rgb="FF000000"/>
            <rFont val="Times New Roman"/>
            <family val="18"/>
          </rPr>
          <t>Auf Wache zu Monastirska</t>
        </r>
        <r>
          <rPr>
            <sz val="14"/>
            <color rgb="FF000000"/>
            <rFont val="Times New Roman"/>
            <family val="18"/>
          </rPr>
          <t>]</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von 1. Fus Comp 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1055" authorId="0" shapeId="0" xr:uid="{6B2543BF-17F5-2547-82A8-112E05B3C6DC}">
      <text>
        <r>
          <rPr>
            <sz val="14"/>
            <color rgb="FF000000"/>
            <rFont val="Times New Roman"/>
            <family val="18"/>
          </rPr>
          <t>ML 2633 IR 30 (1811) – 2. Komp. Nr. 194 (Stanislau 21/09/1811)</t>
        </r>
        <r>
          <rPr>
            <sz val="14"/>
            <color rgb="FF000000"/>
            <rFont val="Calibri"/>
            <family val="34"/>
          </rPr>
          <t xml:space="preserve">
</t>
        </r>
        <r>
          <rPr>
            <sz val="14"/>
            <color rgb="FF000000"/>
            <rFont val="Times New Roman"/>
            <family val="18"/>
          </rPr>
          <t>ML 2635 IR 30 (1817) – 1. Fus Komp. Abgang (Stry 15/10/1817)</t>
        </r>
        <r>
          <rPr>
            <sz val="14"/>
            <color rgb="FF000000"/>
            <rFont val="Calibri"/>
            <family val="34"/>
          </rPr>
          <t xml:space="preserve">
</t>
        </r>
      </text>
    </comment>
    <comment ref="BH1055" authorId="0" shapeId="0" xr:uid="{32D05D88-56D6-DD46-865A-A7B51EE0F330}">
      <text>
        <r>
          <rPr>
            <sz val="14"/>
            <color rgb="FF000000"/>
            <rFont val="Calibri"/>
            <family val="34"/>
          </rPr>
          <t xml:space="preserve">IR 50 (1806-1810)
</t>
        </r>
        <r>
          <rPr>
            <sz val="14"/>
            <color rgb="FF000000"/>
            <rFont val="Calibri"/>
            <family val="34"/>
          </rPr>
          <t>IR 30 (1810-1817)</t>
        </r>
      </text>
    </comment>
    <comment ref="F1056" authorId="0" shapeId="0" xr:uid="{A0E1C9DB-522B-8843-851E-EB928ABACEB8}">
      <text>
        <r>
          <rPr>
            <sz val="14"/>
            <color rgb="FF000000"/>
            <rFont val="Times New Roman"/>
            <family val="18"/>
          </rPr>
          <t xml:space="preserve">Given in the sources as Kreis </t>
        </r>
        <r>
          <rPr>
            <i/>
            <sz val="14"/>
            <color rgb="FF000000"/>
            <rFont val="Times New Roman"/>
            <family val="18"/>
          </rPr>
          <t xml:space="preserve">Bukowina </t>
        </r>
        <r>
          <rPr>
            <sz val="14"/>
            <color rgb="FF000000"/>
            <rFont val="Times New Roman"/>
            <family val="18"/>
          </rPr>
          <t xml:space="preserve">in </t>
        </r>
        <r>
          <rPr>
            <i/>
            <sz val="14"/>
            <color rgb="FF000000"/>
            <rFont val="Times New Roman"/>
            <family val="18"/>
          </rPr>
          <t>Ost Galizien</t>
        </r>
      </text>
    </comment>
    <comment ref="T1056" authorId="0" shapeId="0" xr:uid="{F4DB9844-EA1E-7745-A88E-22F1B9A729C1}">
      <text>
        <r>
          <rPr>
            <b/>
            <sz val="14"/>
            <color rgb="FF000000"/>
            <rFont val="Calibri"/>
            <family val="34"/>
          </rPr>
          <t xml:space="preserve">5.1 [ 160. 63 cm (ML 1806)]
</t>
        </r>
        <r>
          <rPr>
            <sz val="14"/>
            <color rgb="FF000000"/>
            <rFont val="Calibri"/>
            <family val="34"/>
          </rPr>
          <t xml:space="preserve">5.3 [165.89 cm (AL 1806)]
</t>
        </r>
      </text>
    </comment>
    <comment ref="BF1056" authorId="0" shapeId="0" xr:uid="{F58DDCB5-00A0-C647-A285-DC5E65FDAD04}">
      <text>
        <r>
          <rPr>
            <sz val="14"/>
            <color rgb="FF000000"/>
            <rFont val="Times New Roman"/>
            <family val="18"/>
          </rPr>
          <t xml:space="preserve">16/01/1806 </t>
        </r>
        <r>
          <rPr>
            <i/>
            <sz val="14"/>
            <color rgb="FF000000"/>
            <rFont val="Times New Roman"/>
            <family val="18"/>
          </rPr>
          <t>Von Land gegen 3Fl zum IR 20 gestellt und zur 15. Fus. Komp.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15/12/1806 Muster: IR 20 15. Fus. Komp. Nr. 84</t>
        </r>
        <r>
          <rPr>
            <sz val="14"/>
            <color rgb="FF000000"/>
            <rFont val="Calibri"/>
            <family val="34"/>
          </rPr>
          <t xml:space="preserve">
</t>
        </r>
      </text>
    </comment>
    <comment ref="BG1056" authorId="0" shapeId="0" xr:uid="{CAF82F78-0DBE-AD4B-92E5-85A6F50777FA}">
      <text>
        <r>
          <rPr>
            <sz val="14"/>
            <color rgb="FF000000"/>
            <rFont val="Times New Roman"/>
            <family val="18"/>
          </rPr>
          <t>ML 1623-5 IR 20 (1806) – 15. Fus. Komp. Nr. 84 (Olmütz 15/12/1806)</t>
        </r>
        <r>
          <rPr>
            <sz val="14"/>
            <color rgb="FF000000"/>
            <rFont val="Calibri"/>
            <family val="34"/>
          </rPr>
          <t xml:space="preserve">
</t>
        </r>
        <r>
          <rPr>
            <sz val="14"/>
            <color rgb="FF000000"/>
            <rFont val="Times New Roman"/>
            <family val="18"/>
          </rPr>
          <t>ML 1661 IR 20 (1806) – AL. Nr. 2 (Czernowitz 16/01/1806)</t>
        </r>
        <r>
          <rPr>
            <sz val="14"/>
            <color rgb="FF000000"/>
            <rFont val="Calibri"/>
            <family val="34"/>
          </rPr>
          <t xml:space="preserve">
</t>
        </r>
      </text>
    </comment>
    <comment ref="BH1056" authorId="0" shapeId="0" xr:uid="{8687D032-A250-184F-9456-45573ACF268B}">
      <text>
        <r>
          <rPr>
            <sz val="14"/>
            <color rgb="FF000000"/>
            <rFont val="Calibri"/>
            <family val="34"/>
          </rPr>
          <t>IR 20 (1806)</t>
        </r>
      </text>
    </comment>
    <comment ref="I1057" authorId="0" shapeId="0" xr:uid="{38CC55C6-22D5-D748-99D7-CBCCFEC990BE}">
      <text>
        <r>
          <rPr>
            <sz val="14"/>
            <color rgb="FF000000"/>
            <rFont val="Calibri"/>
            <family val="34"/>
          </rPr>
          <t xml:space="preserve">1778 [28 (AL 1806)]
</t>
        </r>
        <r>
          <rPr>
            <sz val="14"/>
            <color rgb="FF000000"/>
            <rFont val="Calibri"/>
            <family val="34"/>
          </rPr>
          <t xml:space="preserve">OR
</t>
        </r>
        <r>
          <rPr>
            <sz val="14"/>
            <color rgb="FF000000"/>
            <rFont val="Calibri"/>
            <family val="34"/>
          </rPr>
          <t xml:space="preserve">1782 [32 (TL 1814)
</t>
        </r>
        <r>
          <rPr>
            <sz val="14"/>
            <color rgb="FF000000"/>
            <rFont val="Calibri"/>
            <family val="34"/>
          </rPr>
          <t xml:space="preserve">OR
</t>
        </r>
        <r>
          <rPr>
            <sz val="14"/>
            <color rgb="FF000000"/>
            <rFont val="Calibri"/>
            <family val="34"/>
          </rPr>
          <t xml:space="preserve">1784 [24 (TL 1808)]
</t>
        </r>
        <r>
          <rPr>
            <sz val="14"/>
            <color rgb="FF000000"/>
            <rFont val="Calibri"/>
            <family val="34"/>
          </rPr>
          <t xml:space="preserve">OR
</t>
        </r>
        <r>
          <rPr>
            <b/>
            <sz val="14"/>
            <color rgb="FF000000"/>
            <rFont val="Calibri"/>
            <family val="34"/>
          </rPr>
          <t xml:space="preserve">1787 [19 (ML 1806)/ 27 (SUP TL 1814]
</t>
        </r>
        <r>
          <rPr>
            <sz val="14"/>
            <color rgb="FF000000"/>
            <rFont val="Calibri"/>
            <family val="34"/>
          </rPr>
          <t xml:space="preserve">OR
</t>
        </r>
        <r>
          <rPr>
            <sz val="14"/>
            <color rgb="FF000000"/>
            <rFont val="Calibri"/>
            <family val="34"/>
          </rPr>
          <t>1788 (23 (ML 1811)</t>
        </r>
      </text>
    </comment>
    <comment ref="J1057" authorId="0" shapeId="0" xr:uid="{8BC6A988-F96C-084C-A48B-AD59486739F4}">
      <text>
        <r>
          <rPr>
            <sz val="14"/>
            <color rgb="FF000000"/>
            <rFont val="Calibri"/>
            <family val="34"/>
          </rPr>
          <t xml:space="preserve">Ledig (1805-1811/ TL 1814)
</t>
        </r>
        <r>
          <rPr>
            <sz val="14"/>
            <color rgb="FF000000"/>
            <rFont val="Calibri"/>
            <family val="34"/>
          </rPr>
          <t>Veheiratet (SUP 1814)</t>
        </r>
      </text>
    </comment>
    <comment ref="K1057" authorId="0" shapeId="0" xr:uid="{875AEF07-9133-354D-8960-1E9A91552477}">
      <text>
        <r>
          <rPr>
            <sz val="14"/>
            <color rgb="FF000000"/>
            <rFont val="Calibri"/>
            <family val="34"/>
          </rPr>
          <t xml:space="preserve">Ohne (1805-1811/ TL 1814)
</t>
        </r>
        <r>
          <rPr>
            <sz val="14"/>
            <color rgb="FF000000"/>
            <rFont val="Calibri"/>
            <family val="34"/>
          </rPr>
          <t>Weber  (SUP Nov 1814)</t>
        </r>
      </text>
    </comment>
    <comment ref="T1057" authorId="0" shapeId="0" xr:uid="{FEA39184-4553-B94F-9EC8-486D361142E2}">
      <text>
        <r>
          <rPr>
            <sz val="14"/>
            <color rgb="FF000000"/>
            <rFont val="Calibri"/>
            <family val="34"/>
          </rPr>
          <t xml:space="preserve">5.0.1 [158.22 cm (TL March 1808)]
</t>
        </r>
        <r>
          <rPr>
            <b/>
            <sz val="14"/>
            <color rgb="FF000000"/>
            <rFont val="Calibri"/>
            <family val="34"/>
          </rPr>
          <t xml:space="preserve">5.0.2 [ 158. 66 cm (TL Nov 1808)]
</t>
        </r>
        <r>
          <rPr>
            <sz val="14"/>
            <color rgb="FF000000"/>
            <rFont val="Calibri"/>
            <family val="34"/>
          </rPr>
          <t xml:space="preserve">5.1.2 [161.07 cm (ML 1811)] 
</t>
        </r>
        <r>
          <rPr>
            <sz val="14"/>
            <color rgb="FF000000"/>
            <rFont val="Calibri"/>
            <family val="34"/>
          </rPr>
          <t xml:space="preserve">5.3 [165.89 cm (AL 1806)]
</t>
        </r>
      </text>
    </comment>
    <comment ref="BF1057" authorId="0" shapeId="0" xr:uid="{3623AEB6-4B80-B641-91A5-EE19B92EF836}">
      <text>
        <r>
          <rPr>
            <sz val="14"/>
            <color rgb="FFFF0000"/>
            <rFont val="Times New Roman"/>
            <family val="18"/>
          </rPr>
          <t xml:space="preserve">20/08/1805 </t>
        </r>
        <r>
          <rPr>
            <i/>
            <sz val="14"/>
            <color rgb="FFFF0000"/>
            <rFont val="Times New Roman"/>
            <family val="18"/>
          </rPr>
          <t>Gegen 3 Fl Handgeld und 10 jähriger Capitlation assentiert</t>
        </r>
        <r>
          <rPr>
            <sz val="14"/>
            <color rgb="FFFF0000"/>
            <rFont val="Times New Roman"/>
            <family val="18"/>
          </rPr>
          <t xml:space="preserve"> [TL Dec 1814]</t>
        </r>
        <r>
          <rPr>
            <sz val="14"/>
            <color rgb="FF000000"/>
            <rFont val="Calibri"/>
            <family val="34"/>
          </rPr>
          <t xml:space="preserve">
</t>
        </r>
        <r>
          <rPr>
            <sz val="14"/>
            <color rgb="FF000000"/>
            <rFont val="Times New Roman"/>
            <family val="18"/>
          </rPr>
          <t xml:space="preserve">01/02/1806 </t>
        </r>
        <r>
          <rPr>
            <i/>
            <sz val="14"/>
            <color rgb="FF000000"/>
            <rFont val="Times New Roman"/>
            <family val="18"/>
          </rPr>
          <t>Statt dem als untauglich entlassenen von Brzezan gebürtiger Kaiser Infanterie Regt Rekrout Moise Alt gegen 3Fl Handgeld zum IR 4 Reserve Division als landständischer Rekrut gestellt</t>
        </r>
        <r>
          <rPr>
            <sz val="14"/>
            <color rgb="FF000000"/>
            <rFont val="Times New Roman"/>
            <family val="18"/>
          </rPr>
          <t xml:space="preserve"> [AL Feb 1806 &amp; TL March 1808]</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Reserve Division zum 12.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12. Fus. zum Haupt Gutwill</t>
        </r>
        <r>
          <rPr>
            <sz val="14"/>
            <color rgb="FF000000"/>
            <rFont val="Times New Roman"/>
            <family val="18"/>
          </rPr>
          <t xml:space="preserve"> [Fus] </t>
        </r>
        <r>
          <rPr>
            <i/>
            <sz val="14"/>
            <color rgb="FF000000"/>
            <rFont val="Times New Roman"/>
            <family val="18"/>
          </rPr>
          <t>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15/12/1806 Muster: IR 1 Haupt Guttwill Komp. Nr. 147</t>
        </r>
        <r>
          <rPr>
            <sz val="14"/>
            <color rgb="FF000000"/>
            <rFont val="Calibri"/>
            <family val="34"/>
          </rPr>
          <t xml:space="preserve">
</t>
        </r>
        <r>
          <rPr>
            <sz val="14"/>
            <color rgb="FF000000"/>
            <rFont val="Times New Roman"/>
            <family val="18"/>
          </rPr>
          <t xml:space="preserve">21/02/1807 </t>
        </r>
        <r>
          <rPr>
            <i/>
            <sz val="14"/>
            <color rgb="FF000000"/>
            <rFont val="Times New Roman"/>
            <family val="18"/>
          </rPr>
          <t>Von 10. Zum 11. Fus. Komp. transferiert</t>
        </r>
        <r>
          <rPr>
            <sz val="14"/>
            <color rgb="FF000000"/>
            <rFont val="Times New Roman"/>
            <family val="18"/>
          </rPr>
          <t xml:space="preserve"> [ST Feb 1807]</t>
        </r>
        <r>
          <rPr>
            <sz val="14"/>
            <color rgb="FF000000"/>
            <rFont val="Calibri"/>
            <family val="34"/>
          </rPr>
          <t xml:space="preserve">
</t>
        </r>
        <r>
          <rPr>
            <sz val="14"/>
            <color rgb="FF000000"/>
            <rFont val="Times New Roman"/>
            <family val="18"/>
          </rPr>
          <t xml:space="preserve">26/02/1807 </t>
        </r>
        <r>
          <rPr>
            <i/>
            <sz val="14"/>
            <color rgb="FF000000"/>
            <rFont val="Times New Roman"/>
            <family val="18"/>
          </rPr>
          <t>Krank in Armee Spital zu Obrowitz</t>
        </r>
        <r>
          <rPr>
            <sz val="14"/>
            <color rgb="FF000000"/>
            <rFont val="Times New Roman"/>
            <family val="18"/>
          </rPr>
          <t xml:space="preserve"> [ST Feb 1807]</t>
        </r>
        <r>
          <rPr>
            <sz val="14"/>
            <color rgb="FF000000"/>
            <rFont val="Calibri"/>
            <family val="34"/>
          </rPr>
          <t xml:space="preserve">
</t>
        </r>
        <r>
          <rPr>
            <sz val="14"/>
            <color rgb="FF000000"/>
            <rFont val="Times New Roman"/>
            <family val="18"/>
          </rPr>
          <t>06/03/1807</t>
        </r>
        <r>
          <rPr>
            <i/>
            <sz val="14"/>
            <color rgb="FF000000"/>
            <rFont val="Times New Roman"/>
            <family val="18"/>
          </rPr>
          <t xml:space="preserve"> Rekonvalesziert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17/04/1807 </t>
        </r>
        <r>
          <rPr>
            <i/>
            <sz val="14"/>
            <color rgb="FF000000"/>
            <rFont val="Times New Roman"/>
            <family val="18"/>
          </rPr>
          <t>Kommandiert in Armée Aufnahme Spital zu Obrowitz</t>
        </r>
        <r>
          <rPr>
            <sz val="14"/>
            <color rgb="FF000000"/>
            <rFont val="Times New Roman"/>
            <family val="18"/>
          </rPr>
          <t xml:space="preserve"> [ST April]</t>
        </r>
        <r>
          <rPr>
            <sz val="14"/>
            <color rgb="FF000000"/>
            <rFont val="Calibri"/>
            <family val="34"/>
          </rPr>
          <t xml:space="preserve">
</t>
        </r>
        <r>
          <rPr>
            <sz val="14"/>
            <color rgb="FF000000"/>
            <rFont val="Times New Roman"/>
            <family val="18"/>
          </rPr>
          <t xml:space="preserve">05/08 1807 </t>
        </r>
        <r>
          <rPr>
            <i/>
            <sz val="14"/>
            <color rgb="FF000000"/>
            <rFont val="Times New Roman"/>
            <family val="18"/>
          </rPr>
          <t>Wieder in Kompanie</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25/03/1808 </t>
        </r>
        <r>
          <rPr>
            <i/>
            <sz val="14"/>
            <color rgb="FF000000"/>
            <rFont val="Times New Roman"/>
            <family val="18"/>
          </rPr>
          <t>Von IR 1 Haupt Janda Komp. zum Mährisch. Schlesichen Gränz Cordon transferiert</t>
        </r>
        <r>
          <rPr>
            <sz val="14"/>
            <color rgb="FF000000"/>
            <rFont val="Times New Roman"/>
            <family val="18"/>
          </rPr>
          <t xml:space="preserve"> [TL March 1808 &amp; ST March 1808]</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GK Mäh-Schl. Zum IR 1 4. Komp. zum IR 1 1. Depot Komp. transferiert, seitdem auf anhero Marsch</t>
        </r>
        <r>
          <rPr>
            <sz val="14"/>
            <color rgb="FF000000"/>
            <rFont val="Times New Roman"/>
            <family val="18"/>
          </rPr>
          <t xml:space="preserve"> [TL Feb 1809 &amp; ST March 1809]</t>
        </r>
        <r>
          <rPr>
            <sz val="14"/>
            <color rgb="FF000000"/>
            <rFont val="Calibri"/>
            <family val="34"/>
          </rPr>
          <t xml:space="preserve">
</t>
        </r>
        <r>
          <rPr>
            <sz val="14"/>
            <color rgb="FF000000"/>
            <rFont val="Times New Roman"/>
            <family val="18"/>
          </rPr>
          <t xml:space="preserve">02/04/1809 </t>
        </r>
        <r>
          <rPr>
            <i/>
            <sz val="14"/>
            <color rgb="FF000000"/>
            <rFont val="Times New Roman"/>
            <family val="18"/>
          </rPr>
          <t>In Kompanie eingerückt</t>
        </r>
        <r>
          <rPr>
            <sz val="14"/>
            <color rgb="FF000000"/>
            <rFont val="Times New Roman"/>
            <family val="18"/>
          </rPr>
          <t xml:space="preserve"> [ST April]</t>
        </r>
        <r>
          <rPr>
            <sz val="14"/>
            <color rgb="FF000000"/>
            <rFont val="Calibri"/>
            <family val="34"/>
          </rPr>
          <t xml:space="preserve">
</t>
        </r>
        <r>
          <rPr>
            <sz val="14"/>
            <color rgb="FF000000"/>
            <rFont val="Times New Roman"/>
            <family val="18"/>
          </rPr>
          <t xml:space="preserve">21/05/1809 </t>
        </r>
        <r>
          <rPr>
            <i/>
            <sz val="14"/>
            <color rgb="FF000000"/>
            <rFont val="Times New Roman"/>
            <family val="18"/>
          </rPr>
          <t>Von 1. Depot Komp. zum 12. Fus. Komp. transferiert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In der 6.</t>
        </r>
        <r>
          <rPr>
            <sz val="14"/>
            <color rgb="FF000000"/>
            <rFont val="Times New Roman"/>
            <family val="18"/>
          </rPr>
          <t xml:space="preserve"> [12.] </t>
        </r>
        <r>
          <rPr>
            <i/>
            <sz val="14"/>
            <color rgb="FF000000"/>
            <rFont val="Times New Roman"/>
            <family val="18"/>
          </rPr>
          <t>Fus. Komp. eingerückt und seitdem Krank in Armeespital</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17/06/1809 </t>
        </r>
        <r>
          <rPr>
            <i/>
            <sz val="14"/>
            <color rgb="FF000000"/>
            <rFont val="Times New Roman"/>
            <family val="18"/>
          </rPr>
          <t xml:space="preserve">Rekonvalesziert </t>
        </r>
        <r>
          <rPr>
            <sz val="14"/>
            <color rgb="FF000000"/>
            <rFont val="Times New Roman"/>
            <family val="18"/>
          </rPr>
          <t>[ST June]</t>
        </r>
        <r>
          <rPr>
            <sz val="14"/>
            <color rgb="FF000000"/>
            <rFont val="Calibri"/>
            <family val="34"/>
          </rPr>
          <t xml:space="preserve">
</t>
        </r>
        <r>
          <rPr>
            <sz val="14"/>
            <color rgb="FF000000"/>
            <rFont val="Times New Roman"/>
            <family val="18"/>
          </rPr>
          <t xml:space="preserve">06/07/1809 </t>
        </r>
        <r>
          <rPr>
            <i/>
            <sz val="14"/>
            <color rgb="FF000000"/>
            <rFont val="Times New Roman"/>
            <family val="18"/>
          </rPr>
          <t xml:space="preserve">In der </t>
        </r>
        <r>
          <rPr>
            <b/>
            <i/>
            <sz val="14"/>
            <color rgb="FF000000"/>
            <rFont val="Times New Roman"/>
            <family val="18"/>
          </rPr>
          <t>Schlacht bei Deutsch Wagram</t>
        </r>
        <r>
          <rPr>
            <i/>
            <sz val="14"/>
            <color rgb="FF000000"/>
            <rFont val="Times New Roman"/>
            <family val="18"/>
          </rPr>
          <t xml:space="preserve"> in die Kriegsgefangenschaft geraten</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11/08/1809 </t>
        </r>
        <r>
          <rPr>
            <i/>
            <sz val="14"/>
            <color rgb="FF000000"/>
            <rFont val="Times New Roman"/>
            <family val="18"/>
          </rPr>
          <t>Auf unbewusste dato als selbst ranzionierter präsentiert und zum 1. Depot Komp. zugeteilt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17/08/1809 </t>
        </r>
        <r>
          <rPr>
            <i/>
            <sz val="14"/>
            <color rgb="FF000000"/>
            <rFont val="Times New Roman"/>
            <family val="18"/>
          </rPr>
          <t xml:space="preserve">Krank in Armée Spital </t>
        </r>
        <r>
          <rPr>
            <sz val="14"/>
            <color rgb="FF000000"/>
            <rFont val="Times New Roman"/>
            <family val="18"/>
          </rPr>
          <t>[ST Aug 1809]</t>
        </r>
        <r>
          <rPr>
            <sz val="14"/>
            <color rgb="FF000000"/>
            <rFont val="Calibri"/>
            <family val="34"/>
          </rPr>
          <t xml:space="preserve">
</t>
        </r>
        <r>
          <rPr>
            <sz val="14"/>
            <color rgb="FF000000"/>
            <rFont val="Times New Roman"/>
            <family val="18"/>
          </rPr>
          <t xml:space="preserve">05/09/1809 </t>
        </r>
        <r>
          <rPr>
            <i/>
            <sz val="14"/>
            <color rgb="FF000000"/>
            <rFont val="Times New Roman"/>
            <family val="18"/>
          </rPr>
          <t>Rekonvalesziert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16/09/1809 </t>
        </r>
        <r>
          <rPr>
            <i/>
            <sz val="14"/>
            <color rgb="FF000000"/>
            <rFont val="Times New Roman"/>
            <family val="18"/>
          </rPr>
          <t>Von 6. Zum 9.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16/11/1809 </t>
        </r>
        <r>
          <rPr>
            <i/>
            <sz val="14"/>
            <color rgb="FF000000"/>
            <rFont val="Times New Roman"/>
            <family val="18"/>
          </rPr>
          <t>In Arrest wegen Diebstahl</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26/11/1809 </t>
        </r>
        <r>
          <rPr>
            <i/>
            <sz val="14"/>
            <color rgb="FF000000"/>
            <rFont val="Times New Roman"/>
            <family val="18"/>
          </rPr>
          <t>Von Arrest Befreit</t>
        </r>
        <r>
          <rPr>
            <sz val="14"/>
            <color rgb="FF000000"/>
            <rFont val="Times New Roman"/>
            <family val="18"/>
          </rPr>
          <t xml:space="preserve"> [ST Nov 1809] </t>
        </r>
        <r>
          <rPr>
            <sz val="14"/>
            <color rgb="FF000000"/>
            <rFont val="Calibri"/>
            <family val="34"/>
          </rPr>
          <t xml:space="preserve">
</t>
        </r>
        <r>
          <rPr>
            <sz val="14"/>
            <color rgb="FF000000"/>
            <rFont val="Times New Roman"/>
            <family val="18"/>
          </rPr>
          <t xml:space="preserve">14/03/1810 </t>
        </r>
        <r>
          <rPr>
            <i/>
            <sz val="14"/>
            <color rgb="FF000000"/>
            <rFont val="Times New Roman"/>
            <family val="18"/>
          </rPr>
          <t>Krank in Armée Spital</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31/03/1810 </t>
        </r>
        <r>
          <rPr>
            <i/>
            <sz val="14"/>
            <color rgb="FF000000"/>
            <rFont val="Times New Roman"/>
            <family val="18"/>
          </rPr>
          <t>Rekonvalesziert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02/04/1810 </t>
        </r>
        <r>
          <rPr>
            <i/>
            <sz val="14"/>
            <color rgb="FF000000"/>
            <rFont val="Times New Roman"/>
            <family val="18"/>
          </rPr>
          <t xml:space="preserve">In Arrest wegen Diebstahl </t>
        </r>
        <r>
          <rPr>
            <sz val="14"/>
            <color rgb="FF000000"/>
            <rFont val="Times New Roman"/>
            <family val="18"/>
          </rPr>
          <t>[ST May 1810]</t>
        </r>
        <r>
          <rPr>
            <sz val="14"/>
            <color rgb="FF000000"/>
            <rFont val="Calibri"/>
            <family val="34"/>
          </rPr>
          <t xml:space="preserve">
</t>
        </r>
        <r>
          <rPr>
            <sz val="14"/>
            <color rgb="FF000000"/>
            <rFont val="Times New Roman"/>
            <family val="18"/>
          </rPr>
          <t xml:space="preserve">20/04/1810 </t>
        </r>
        <r>
          <rPr>
            <i/>
            <sz val="14"/>
            <color rgb="FF000000"/>
            <rFont val="Times New Roman"/>
            <family val="18"/>
          </rPr>
          <t>Von Arrest Befreit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21/04/1810 </t>
        </r>
        <r>
          <rPr>
            <i/>
            <sz val="14"/>
            <color rgb="FF000000"/>
            <rFont val="Times New Roman"/>
            <family val="18"/>
          </rPr>
          <t>Von 9. Zum 16. Komp. transferiert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16. zum 11.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08/09/1811 Muster: IR 1 11. Fus. Komp. Nr. 208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31/10/1812 </t>
        </r>
        <r>
          <rPr>
            <i/>
            <sz val="14"/>
            <color rgb="FF000000"/>
            <rFont val="Times New Roman"/>
            <family val="18"/>
          </rPr>
          <t>Mit unbewusste Datum von Urlaub in Galizien desertiert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25/04/1813 </t>
        </r>
        <r>
          <rPr>
            <i/>
            <sz val="14"/>
            <color rgb="FF000000"/>
            <rFont val="Times New Roman"/>
            <family val="18"/>
          </rPr>
          <t>Von Militär Ohne Taglia eingebracht und zu Brezeczan zurück mutiert, seitdem auf anhero Marsch</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03/08/1813 </t>
        </r>
        <r>
          <rPr>
            <i/>
            <sz val="14"/>
            <color rgb="FF000000"/>
            <rFont val="Times New Roman"/>
            <family val="18"/>
          </rPr>
          <t>In Kompanie eingerückt und ab sofort in Arrest</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18/08/1813 </t>
        </r>
        <r>
          <rPr>
            <i/>
            <sz val="14"/>
            <color rgb="FF000000"/>
            <rFont val="Times New Roman"/>
            <family val="18"/>
          </rPr>
          <t>Von Arrest befreit</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31/01/1814 </t>
        </r>
        <r>
          <rPr>
            <i/>
            <sz val="14"/>
            <color rgb="FF000000"/>
            <rFont val="Times New Roman"/>
            <family val="18"/>
          </rPr>
          <t>Krank in Armee Spital</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12/03/1814 </t>
        </r>
        <r>
          <rPr>
            <i/>
            <sz val="14"/>
            <color rgb="FF000000"/>
            <rFont val="Times New Roman"/>
            <family val="18"/>
          </rPr>
          <t>Rekonvalesziert</t>
        </r>
        <r>
          <rPr>
            <sz val="14"/>
            <color rgb="FF000000"/>
            <rFont val="Times New Roman"/>
            <family val="18"/>
          </rPr>
          <t xml:space="preserve"> [ST March 1814]</t>
        </r>
        <r>
          <rPr>
            <sz val="14"/>
            <color rgb="FF000000"/>
            <rFont val="Calibri"/>
            <family val="34"/>
          </rPr>
          <t xml:space="preserve">
</t>
        </r>
        <r>
          <rPr>
            <sz val="14"/>
            <color rgb="FF000000"/>
            <rFont val="Times New Roman"/>
            <family val="18"/>
          </rPr>
          <t xml:space="preserve">24/04/1814 </t>
        </r>
        <r>
          <rPr>
            <i/>
            <sz val="14"/>
            <color rgb="FF000000"/>
            <rFont val="Times New Roman"/>
            <family val="18"/>
          </rPr>
          <t>Krank in Armee Spital</t>
        </r>
        <r>
          <rPr>
            <sz val="14"/>
            <color rgb="FF000000"/>
            <rFont val="Times New Roman"/>
            <family val="18"/>
          </rPr>
          <t xml:space="preserve"> [ST April 1814]</t>
        </r>
        <r>
          <rPr>
            <sz val="14"/>
            <color rgb="FF000000"/>
            <rFont val="Calibri"/>
            <family val="34"/>
          </rPr>
          <t xml:space="preserve">
</t>
        </r>
        <r>
          <rPr>
            <sz val="14"/>
            <color rgb="FF000000"/>
            <rFont val="Times New Roman"/>
            <family val="18"/>
          </rPr>
          <t xml:space="preserve">01/05/1814 </t>
        </r>
        <r>
          <rPr>
            <i/>
            <sz val="14"/>
            <color rgb="FF000000"/>
            <rFont val="Times New Roman"/>
            <family val="18"/>
          </rPr>
          <t>Von 11. zum 18. Fus. Komp. transferiert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20/07/1814 </t>
        </r>
        <r>
          <rPr>
            <i/>
            <sz val="14"/>
            <color rgb="FF000000"/>
            <rFont val="Times New Roman"/>
            <family val="18"/>
          </rPr>
          <t>Rekonvalesziert</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26/08/1814 </t>
        </r>
        <r>
          <rPr>
            <i/>
            <sz val="14"/>
            <color rgb="FF000000"/>
            <rFont val="Times New Roman"/>
            <family val="18"/>
          </rPr>
          <t>Von 18. zum 11. Fus. Komp. transferiert</t>
        </r>
        <r>
          <rPr>
            <sz val="14"/>
            <color rgb="FF000000"/>
            <rFont val="Times New Roman"/>
            <family val="18"/>
          </rPr>
          <t xml:space="preserve"> [ST Aug 1814]</t>
        </r>
        <r>
          <rPr>
            <sz val="14"/>
            <color rgb="FF000000"/>
            <rFont val="Calibri"/>
            <family val="34"/>
          </rPr>
          <t xml:space="preserve">
</t>
        </r>
        <r>
          <rPr>
            <sz val="14"/>
            <color rgb="FF000000"/>
            <rFont val="Times New Roman"/>
            <family val="18"/>
          </rPr>
          <t xml:space="preserve">20/09/1814 </t>
        </r>
        <r>
          <rPr>
            <i/>
            <sz val="14"/>
            <color rgb="FF000000"/>
            <rFont val="Times New Roman"/>
            <family val="18"/>
          </rPr>
          <t>Wegen Verletzung am linken Schulterblatt zu Proßnitz superarbietriert</t>
        </r>
        <r>
          <rPr>
            <sz val="14"/>
            <color rgb="FF000000"/>
            <rFont val="Times New Roman"/>
            <family val="18"/>
          </rPr>
          <t>: Mit Blessur durch das rechte Schulterblatt und davon arm steif; Nach Assentirung im Dienst ohne Verschuld</t>
        </r>
        <r>
          <rPr>
            <sz val="14"/>
            <color rgb="FF000000"/>
            <rFont val="Calibri"/>
            <family val="34"/>
          </rPr>
          <t xml:space="preserve">
</t>
        </r>
        <r>
          <rPr>
            <sz val="14"/>
            <color rgb="FF000000"/>
            <rFont val="Times New Roman"/>
            <family val="18"/>
          </rPr>
          <t>Wurde in den jetzigen Krieg blessier und wurden alle Heilmittel fruchtlos angewendet worden; Als Reale Invalid in tyrnauer Invalidenhaus zu Versorgung [SUP Sept 1814]</t>
        </r>
        <r>
          <rPr>
            <sz val="14"/>
            <color rgb="FF000000"/>
            <rFont val="Calibri"/>
            <family val="34"/>
          </rPr>
          <t xml:space="preserve">
</t>
        </r>
        <r>
          <rPr>
            <sz val="14"/>
            <color rgb="FF000000"/>
            <rFont val="Times New Roman"/>
            <family val="18"/>
          </rPr>
          <t xml:space="preserve">01/11/1814 </t>
        </r>
        <r>
          <rPr>
            <i/>
            <sz val="14"/>
            <color rgb="FF000000"/>
            <rFont val="Times New Roman"/>
            <family val="18"/>
          </rPr>
          <t>Auf dem Marsch in Tyrnauer Invaliden Haus</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12/11/1814 </t>
        </r>
        <r>
          <rPr>
            <i/>
            <sz val="14"/>
            <color rgb="FF000000"/>
            <rFont val="Times New Roman"/>
            <family val="18"/>
          </rPr>
          <t>Vermog G:M:C Verordnung dato Brünn am 16. Oktober 814 R: 9290 und der selbe in Olmütz am 30. September gehaltene Superarbietreirung von IR 1 11. Fus. Komp. in das k:k: Miltair Tyrnauer Invalidenhaus zur Versorgung</t>
        </r>
        <r>
          <rPr>
            <sz val="14"/>
            <color rgb="FF000000"/>
            <rFont val="Times New Roman"/>
            <family val="18"/>
          </rPr>
          <t xml:space="preserve"> [ST Nov 1814]</t>
        </r>
        <r>
          <rPr>
            <sz val="14"/>
            <color rgb="FF000000"/>
            <rFont val="Calibri"/>
            <family val="2"/>
          </rPr>
          <t xml:space="preserve"> </t>
        </r>
      </text>
    </comment>
    <comment ref="BG1057" authorId="0" shapeId="0" xr:uid="{DDFAD7ED-C5E9-D74F-BC7B-7EED3D911E23}">
      <text>
        <r>
          <rPr>
            <sz val="14"/>
            <color rgb="FF000000"/>
            <rFont val="Times New Roman"/>
            <family val="18"/>
          </rPr>
          <t>ML 31/2 IR 1 (1806) – Haupt Gutwill Komp. Nr. 146 (Brünn 15/12/1806)</t>
        </r>
        <r>
          <rPr>
            <sz val="14"/>
            <color rgb="FF000000"/>
            <rFont val="Calibri"/>
            <family val="34"/>
          </rPr>
          <t xml:space="preserve">
</t>
        </r>
        <r>
          <rPr>
            <sz val="14"/>
            <color rgb="FF000000"/>
            <rFont val="Times New Roman"/>
            <family val="18"/>
          </rPr>
          <t>ML 33 IR 1 (1811) – 11. Fus. Komp. Nr. 208 (Proßnitz 08/09/1811)</t>
        </r>
        <r>
          <rPr>
            <sz val="14"/>
            <color rgb="FF000000"/>
            <rFont val="Calibri"/>
            <family val="34"/>
          </rPr>
          <t xml:space="preserve">
</t>
        </r>
        <r>
          <rPr>
            <sz val="14"/>
            <color rgb="FF000000"/>
            <rFont val="Times New Roman"/>
            <family val="18"/>
          </rPr>
          <t>ML 86 IR 1 (1806) – AL Nr. 1 (Brzezan 20/02/1806)</t>
        </r>
        <r>
          <rPr>
            <sz val="14"/>
            <color rgb="FF000000"/>
            <rFont val="Calibri"/>
            <family val="34"/>
          </rPr>
          <t xml:space="preserve">
</t>
        </r>
        <r>
          <rPr>
            <sz val="14"/>
            <color rgb="FF000000"/>
            <rFont val="Times New Roman"/>
            <family val="18"/>
          </rPr>
          <t>ML 87 IR 1 (1807) – ST Feb (Brünn 23/07/1807), March (Brünn 28/07/1807), April (Brünn 28/07/1807), August (Brünn 29/09/1807)</t>
        </r>
        <r>
          <rPr>
            <sz val="14"/>
            <color rgb="FF000000"/>
            <rFont val="Calibri"/>
            <family val="34"/>
          </rPr>
          <t xml:space="preserve">
</t>
        </r>
        <r>
          <rPr>
            <sz val="14"/>
            <color rgb="FF000000"/>
            <rFont val="Times New Roman"/>
            <family val="18"/>
          </rPr>
          <t>ML 89 IR 1 (1808) – ST March (Brünn 08/05/1808)</t>
        </r>
        <r>
          <rPr>
            <sz val="14"/>
            <color rgb="FF000000"/>
            <rFont val="Calibri"/>
            <family val="34"/>
          </rPr>
          <t xml:space="preserve">
</t>
        </r>
        <r>
          <rPr>
            <sz val="14"/>
            <color rgb="FF000000"/>
            <rFont val="Times New Roman"/>
            <family val="18"/>
          </rPr>
          <t>ML 90 IR 1 (1808) – TL IR 1-&gt;</t>
        </r>
        <r>
          <rPr>
            <sz val="14"/>
            <color rgb="FF000000"/>
            <rFont val="Calibri"/>
            <family val="34"/>
          </rPr>
          <t xml:space="preserve"> </t>
        </r>
        <r>
          <rPr>
            <sz val="14"/>
            <color rgb="FF000000"/>
            <rFont val="Times New Roman"/>
            <family val="18"/>
          </rPr>
          <t>GK Mäh-Schl Nr. 5 (Brünn 31/03/1808)</t>
        </r>
        <r>
          <rPr>
            <sz val="14"/>
            <color rgb="FF000000"/>
            <rFont val="Calibri"/>
            <family val="34"/>
          </rPr>
          <t xml:space="preserve">
</t>
        </r>
        <r>
          <rPr>
            <sz val="14"/>
            <color rgb="FF000000"/>
            <rFont val="Times New Roman"/>
            <family val="18"/>
          </rPr>
          <t>ML 91 IR 1 (1809) – ST March (Proßnitz 22/11/1809), April (Proßnitz 26/07/1810), May (Proßnitz 09/1810), June (Proßnitz 18/10/1810), July (Proßnitz 21/10/1810), Aug (Proßnitz 15/11/1810), Sept (Proßnitz 23/11/1810), Nov (20/12/1810)</t>
        </r>
        <r>
          <rPr>
            <sz val="14"/>
            <color rgb="FF000000"/>
            <rFont val="Calibri"/>
            <family val="34"/>
          </rPr>
          <t xml:space="preserve">
</t>
        </r>
        <r>
          <rPr>
            <sz val="14"/>
            <color rgb="FF000000"/>
            <rFont val="Times New Roman"/>
            <family val="18"/>
          </rPr>
          <t>ML 92 IR 1 (1809) AL/TL – TL GK Mäh-Schl Nr. 1 (Troppau 28/02/1809)</t>
        </r>
        <r>
          <rPr>
            <sz val="14"/>
            <color rgb="FF000000"/>
            <rFont val="Calibri"/>
            <family val="34"/>
          </rPr>
          <t xml:space="preserve">
</t>
        </r>
        <r>
          <rPr>
            <sz val="14"/>
            <color rgb="FF000000"/>
            <rFont val="Times New Roman"/>
            <family val="18"/>
          </rPr>
          <t>ML 94 IR 1 (1810) – ST March (Proßnitz 28/02/1811), April (Brünn 20/03/1811), May (Brünn 20/03/1811), Sept (01/04/1811)</t>
        </r>
        <r>
          <rPr>
            <sz val="14"/>
            <color rgb="FF000000"/>
            <rFont val="Calibri"/>
            <family val="34"/>
          </rPr>
          <t xml:space="preserve">
</t>
        </r>
        <r>
          <rPr>
            <sz val="14"/>
            <color rgb="FF000000"/>
            <rFont val="Times New Roman"/>
            <family val="18"/>
          </rPr>
          <t xml:space="preserve">ML 97 IR 1 (1812) – ST Oct (Proßnitz 23/02/1813)
</t>
        </r>
        <r>
          <rPr>
            <sz val="14"/>
            <color rgb="FF000000"/>
            <rFont val="Times New Roman"/>
            <family val="18"/>
          </rPr>
          <t>ML 99 IR 1 (1813) – ST Aug (Proßnitz 15/12/1813</t>
        </r>
        <r>
          <rPr>
            <sz val="14"/>
            <color rgb="FF000000"/>
            <rFont val="Calibri"/>
            <family val="34"/>
          </rPr>
          <t xml:space="preserve">
</t>
        </r>
        <r>
          <rPr>
            <sz val="14"/>
            <color rgb="FF000000"/>
            <rFont val="Times New Roman"/>
            <family val="18"/>
          </rPr>
          <t>ML 102 IR 1 (1814) – ST Jan (Proßnitz 01/07/1814), ST March (Proßnitz 01/10/1814), April (Proßnitz 30/11/1814), May (Proßnitz 02/01/1815)</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July (Proßnitz 20/03/1815), Aug (Proßnitz 16/04/1815), Nov (Proßnitz 25/05/1815)</t>
        </r>
        <r>
          <rPr>
            <sz val="14"/>
            <color rgb="FF000000"/>
            <rFont val="Calibri"/>
            <family val="34"/>
          </rPr>
          <t xml:space="preserve">
</t>
        </r>
        <r>
          <rPr>
            <sz val="14"/>
            <color rgb="FF000000"/>
            <rFont val="Times New Roman"/>
            <family val="18"/>
          </rPr>
          <t>ML 104 IR 1 (1814) AL/TL – SUP Nr. 6 (Proßnitz 20/09/1814), TL IR 1-&gt;InvH Tyrnau Nr. 2 (Proßnitz 26/12/1814)</t>
        </r>
        <r>
          <rPr>
            <sz val="14"/>
            <color rgb="FF000000"/>
            <rFont val="Calibri"/>
            <family val="34"/>
          </rPr>
          <t xml:space="preserve">
</t>
        </r>
      </text>
    </comment>
    <comment ref="BH1057" authorId="0" shapeId="0" xr:uid="{54F42EEC-6CE9-B642-B89E-5CB4930A5A46}">
      <text>
        <r>
          <rPr>
            <sz val="14"/>
            <color rgb="FF000000"/>
            <rFont val="Calibri"/>
            <family val="34"/>
          </rPr>
          <t xml:space="preserve">IR 1 (1806-1808)
</t>
        </r>
        <r>
          <rPr>
            <sz val="14"/>
            <color rgb="FF000000"/>
            <rFont val="Calibri"/>
            <family val="34"/>
          </rPr>
          <t xml:space="preserve">GK Mäh-Schl (1808-1809)
</t>
        </r>
        <r>
          <rPr>
            <sz val="14"/>
            <color rgb="FF000000"/>
            <rFont val="Calibri"/>
            <family val="34"/>
          </rPr>
          <t xml:space="preserve">IR 1 (1809-1814)
</t>
        </r>
        <r>
          <rPr>
            <sz val="14"/>
            <color rgb="FF000000"/>
            <rFont val="Calibri"/>
            <family val="34"/>
          </rPr>
          <t>InvH Tyrnau (1814)</t>
        </r>
      </text>
    </comment>
    <comment ref="BI1057" authorId="0" shapeId="0" xr:uid="{EDBAD514-EDAB-C84E-9ED8-B7D47C232908}">
      <text>
        <r>
          <rPr>
            <i/>
            <sz val="14"/>
            <color rgb="FF000000"/>
            <rFont val="Times New Roman"/>
            <family val="18"/>
          </rPr>
          <t>Gut</t>
        </r>
        <r>
          <rPr>
            <sz val="14"/>
            <color rgb="FF000000"/>
            <rFont val="Times New Roman"/>
            <family val="18"/>
          </rPr>
          <t xml:space="preserve"> [TL March 1808/ SUP Nov 1814]
</t>
        </r>
        <r>
          <rPr>
            <i/>
            <sz val="14"/>
            <color rgb="FF000000"/>
            <rFont val="Times New Roman"/>
            <family val="18"/>
          </rPr>
          <t>Schlecht</t>
        </r>
        <r>
          <rPr>
            <sz val="14"/>
            <color rgb="FF000000"/>
            <rFont val="Times New Roman"/>
            <family val="18"/>
          </rPr>
          <t xml:space="preserve"> [SUP Dec 1814]</t>
        </r>
        <r>
          <rPr>
            <sz val="14"/>
            <color rgb="FF000000"/>
            <rFont val="Calibri"/>
            <family val="2"/>
            <scheme val="minor"/>
          </rPr>
          <t xml:space="preserve"> </t>
        </r>
        <r>
          <rPr>
            <sz val="14"/>
            <color rgb="FF000000"/>
            <rFont val="Calibri"/>
            <family val="2"/>
          </rPr>
          <t xml:space="preserve"> </t>
        </r>
      </text>
    </comment>
    <comment ref="BJ1057" authorId="0" shapeId="0" xr:uid="{0879F258-5583-DB4B-97F2-1B23A320F7E8}">
      <text>
        <r>
          <rPr>
            <i/>
            <sz val="14"/>
            <color rgb="FF000000"/>
            <rFont val="Times New Roman"/>
            <family val="18"/>
          </rPr>
          <t>Kleiner Statur und Schwächlich</t>
        </r>
        <r>
          <rPr>
            <sz val="14"/>
            <color rgb="FF000000"/>
            <rFont val="Times New Roman"/>
            <family val="18"/>
          </rPr>
          <t xml:space="preserve"> [TL March 1808] 
</t>
        </r>
        <r>
          <rPr>
            <i/>
            <sz val="14"/>
            <color rgb="FF000000"/>
            <rFont val="Times New Roman"/>
            <family val="18"/>
          </rPr>
          <t xml:space="preserve">Blesiert am Linken Schulterblatt </t>
        </r>
        <r>
          <rPr>
            <sz val="14"/>
            <color rgb="FF000000"/>
            <rFont val="Times New Roman"/>
            <family val="18"/>
          </rPr>
          <t xml:space="preserve">[SUP Sept 1814] </t>
        </r>
      </text>
    </comment>
    <comment ref="CR1057" authorId="0" shapeId="0" xr:uid="{79DCB561-6E57-BC4A-8A6D-E1FF4A05006A}">
      <text>
        <r>
          <rPr>
            <sz val="14"/>
            <color rgb="FF000000"/>
            <rFont val="Calibri"/>
            <family val="34"/>
          </rPr>
          <t>1806-8/ 1814: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1811: 'detto'/Katholisch  </t>
        </r>
      </text>
    </comment>
    <comment ref="BF1058" authorId="0" shapeId="0" xr:uid="{D499D45F-1F09-F140-9E66-D74B97989DC0}">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t>
        </r>
        <r>
          <rPr>
            <i/>
            <sz val="14"/>
            <color rgb="FF000000"/>
            <rFont val="Times New Roman"/>
            <family val="18"/>
          </rPr>
          <t>Seitdem absent zum Asst: platz zu Bartfeld</t>
        </r>
        <r>
          <rPr>
            <sz val="14"/>
            <color rgb="FF000000"/>
            <rFont val="Times New Roman"/>
            <family val="18"/>
          </rPr>
          <t xml:space="preserve"> [AL April 1806, ST May 1805]</t>
        </r>
        <r>
          <rPr>
            <sz val="14"/>
            <color rgb="FF000000"/>
            <rFont val="Calibri"/>
            <family val="34"/>
          </rPr>
          <t xml:space="preserve">
</t>
        </r>
        <r>
          <rPr>
            <sz val="14"/>
            <color rgb="FF000000"/>
            <rFont val="Times New Roman"/>
            <family val="18"/>
          </rPr>
          <t xml:space="preserve">05/07/1806 </t>
        </r>
        <r>
          <rPr>
            <i/>
            <sz val="14"/>
            <color rgb="FF000000"/>
            <rFont val="Times New Roman"/>
            <family val="18"/>
          </rPr>
          <t>In Kompanie eingerückt</t>
        </r>
        <r>
          <rPr>
            <sz val="14"/>
            <color rgb="FF000000"/>
            <rFont val="Times New Roman"/>
            <family val="18"/>
          </rPr>
          <t xml:space="preserve"> [ST Juli 1806]</t>
        </r>
        <r>
          <rPr>
            <sz val="14"/>
            <color rgb="FF000000"/>
            <rFont val="Calibri"/>
            <family val="34"/>
          </rPr>
          <t xml:space="preserve">
</t>
        </r>
        <r>
          <rPr>
            <sz val="14"/>
            <color rgb="FF000000"/>
            <rFont val="Times New Roman"/>
            <family val="18"/>
          </rPr>
          <t xml:space="preserve">01/08/1806 </t>
        </r>
        <r>
          <rPr>
            <i/>
            <sz val="14"/>
            <color rgb="FF000000"/>
            <rFont val="Times New Roman"/>
            <family val="18"/>
          </rPr>
          <t>Von 4.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01/11/1806 </t>
        </r>
        <r>
          <rPr>
            <i/>
            <sz val="14"/>
            <color rgb="FF000000"/>
            <rFont val="Times New Roman"/>
            <family val="18"/>
          </rPr>
          <t>Auf bestimmte Zeit beurlaubt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15/01/1807 </t>
        </r>
        <r>
          <rPr>
            <i/>
            <sz val="14"/>
            <color rgb="FF000000"/>
            <rFont val="Times New Roman"/>
            <family val="18"/>
          </rPr>
          <t>Gegen Stellung anderen Mannes und Erlag des Montur Geldes mit Abschied entlassen</t>
        </r>
        <r>
          <rPr>
            <sz val="14"/>
            <color rgb="FF000000"/>
            <rFont val="Times New Roman"/>
            <family val="18"/>
          </rPr>
          <t xml:space="preserve"> [RL 1807]</t>
        </r>
      </text>
    </comment>
    <comment ref="BG1058" authorId="0" shapeId="0" xr:uid="{8BAC0CF0-059A-A04D-969F-46636A1035AE}">
      <text>
        <r>
          <rPr>
            <sz val="14"/>
            <color rgb="FF000000"/>
            <rFont val="Times New Roman"/>
            <family val="18"/>
          </rPr>
          <t xml:space="preserve">ML 3499 IR 39 (1807) – 7. Fus. Komp. Nr. 119 </t>
        </r>
        <r>
          <rPr>
            <sz val="14"/>
            <color rgb="FF000000"/>
            <rFont val="Times New Roman"/>
            <family val="18"/>
          </rPr>
          <t xml:space="preserve">(Kesmark 24/01/1807) </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3547 IR 39 (1806) – AL Nr. 2 (Ujhaly 14/03/1806)</t>
        </r>
        <r>
          <rPr>
            <sz val="14"/>
            <color rgb="FF000000"/>
            <rFont val="Calibri"/>
            <family val="34"/>
          </rPr>
          <t xml:space="preserve">
</t>
        </r>
      </text>
    </comment>
    <comment ref="BH1058" authorId="0" shapeId="0" xr:uid="{E7F81A02-D908-6E49-9793-3FBD82487FCA}">
      <text>
        <r>
          <rPr>
            <sz val="14"/>
            <color rgb="FF000000"/>
            <rFont val="Calibri"/>
            <family val="34"/>
          </rPr>
          <t>IR 39 (1806-1807)</t>
        </r>
      </text>
    </comment>
    <comment ref="BF1059" authorId="0" shapeId="0" xr:uid="{FE0C6019-2C5B-174E-B380-6350377D8ACE}">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t>
        </r>
        <r>
          <rPr>
            <i/>
            <sz val="14"/>
            <color rgb="FF000000"/>
            <rFont val="Times New Roman"/>
            <family val="18"/>
          </rPr>
          <t>Seitdem absent zum Asst: platz zu Bartfeld</t>
        </r>
        <r>
          <rPr>
            <sz val="14"/>
            <color rgb="FF000000"/>
            <rFont val="Times New Roman"/>
            <family val="18"/>
          </rPr>
          <t xml:space="preserve"> [AL April 1806, ST May 1805]</t>
        </r>
        <r>
          <rPr>
            <sz val="14"/>
            <color rgb="FF000000"/>
            <rFont val="Calibri"/>
            <family val="34"/>
          </rPr>
          <t xml:space="preserve">
</t>
        </r>
        <r>
          <rPr>
            <sz val="14"/>
            <color rgb="FF000000"/>
            <rFont val="Times New Roman"/>
            <family val="18"/>
          </rPr>
          <t xml:space="preserve">05/07/1806 </t>
        </r>
        <r>
          <rPr>
            <i/>
            <sz val="14"/>
            <color rgb="FF000000"/>
            <rFont val="Times New Roman"/>
            <family val="18"/>
          </rPr>
          <t>In Kompanie eingerückt</t>
        </r>
        <r>
          <rPr>
            <sz val="14"/>
            <color rgb="FF000000"/>
            <rFont val="Times New Roman"/>
            <family val="18"/>
          </rPr>
          <t xml:space="preserve"> [ST Juli 1806]</t>
        </r>
        <r>
          <rPr>
            <sz val="14"/>
            <color rgb="FF000000"/>
            <rFont val="Calibri"/>
            <family val="34"/>
          </rPr>
          <t xml:space="preserve">
</t>
        </r>
        <r>
          <rPr>
            <sz val="14"/>
            <color rgb="FF000000"/>
            <rFont val="Times New Roman"/>
            <family val="18"/>
          </rPr>
          <t xml:space="preserve">01/08/1806 </t>
        </r>
        <r>
          <rPr>
            <i/>
            <sz val="14"/>
            <color rgb="FF000000"/>
            <rFont val="Times New Roman"/>
            <family val="18"/>
          </rPr>
          <t>Von 4.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01/11/1806 </t>
        </r>
        <r>
          <rPr>
            <i/>
            <sz val="14"/>
            <color rgb="FF000000"/>
            <rFont val="Times New Roman"/>
            <family val="18"/>
          </rPr>
          <t>Auf bestimmte Zeit beurlaubt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15/01/1807 </t>
        </r>
        <r>
          <rPr>
            <i/>
            <sz val="14"/>
            <color rgb="FF000000"/>
            <rFont val="Times New Roman"/>
            <family val="18"/>
          </rPr>
          <t>Gegen Stellung anderen Mannes und Erlag des Montur Geldes mit Abschied entlassen</t>
        </r>
        <r>
          <rPr>
            <sz val="14"/>
            <color rgb="FF000000"/>
            <rFont val="Times New Roman"/>
            <family val="18"/>
          </rPr>
          <t xml:space="preserve"> [RL 1807]</t>
        </r>
      </text>
    </comment>
    <comment ref="BG1059" authorId="0" shapeId="0" xr:uid="{529F3AEF-EBC6-C946-B373-B169DE0B447B}">
      <text>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3547 IR 39 (1806) – AL Nr. 8 (Bartfeld 08/04/1806), ST Mai (Caschau 23/05/1807), ST Juli (Caschau 30/05/1807), ST Nov (Caschau 02/07/1807)</t>
        </r>
        <r>
          <rPr>
            <sz val="14"/>
            <color rgb="FF000000"/>
            <rFont val="Calibri"/>
            <family val="34"/>
          </rPr>
          <t xml:space="preserve">
</t>
        </r>
      </text>
    </comment>
    <comment ref="BH1059" authorId="0" shapeId="0" xr:uid="{E2D91738-3AAD-1D4E-9BB3-BA7EA80F868B}">
      <text>
        <r>
          <rPr>
            <sz val="14"/>
            <color rgb="FF000000"/>
            <rFont val="Calibri"/>
            <family val="34"/>
          </rPr>
          <t>IR 39 (1806-1807)</t>
        </r>
      </text>
    </comment>
    <comment ref="BF1060" authorId="0" shapeId="0" xr:uid="{490896F6-9B03-744D-9CDC-8E7C9C41646F}">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[AL April 1806]</t>
        </r>
        <r>
          <rPr>
            <sz val="14"/>
            <color rgb="FF000000"/>
            <rFont val="Calibri"/>
            <family val="34"/>
          </rPr>
          <t xml:space="preserve">
</t>
        </r>
        <r>
          <rPr>
            <sz val="14"/>
            <color rgb="FF000000"/>
            <rFont val="Times New Roman"/>
            <family val="18"/>
          </rPr>
          <t>01/11/1806 Auf bestimmte Zeit Beurlaubt [ST Nov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Vermog Verordenung deto den 15/11/1806 gegen Stellung anderer mit abschied entlassen</t>
        </r>
        <r>
          <rPr>
            <sz val="14"/>
            <color rgb="FF000000"/>
            <rFont val="Times New Roman"/>
            <family val="18"/>
          </rPr>
          <t xml:space="preserve"> [RL 1807]</t>
        </r>
      </text>
    </comment>
    <comment ref="BG1060" authorId="0" shapeId="0" xr:uid="{2318C303-08B0-FD41-9C10-6271AE6ADCFF}">
      <text>
        <r>
          <rPr>
            <sz val="14"/>
            <color rgb="FF000000"/>
            <rFont val="Times New Roman"/>
            <family val="18"/>
          </rPr>
          <t>ML 3499 IR 39 (1807) – 4. Fus. Komp. Abgang (Letschau 23/01/807)</t>
        </r>
        <r>
          <rPr>
            <sz val="14"/>
            <color rgb="FF000000"/>
            <rFont val="Calibri"/>
            <family val="34"/>
          </rPr>
          <t xml:space="preserve">
</t>
        </r>
        <r>
          <rPr>
            <sz val="14"/>
            <color rgb="FF000000"/>
            <rFont val="Times New Roman"/>
            <family val="18"/>
          </rPr>
          <t>ML 3547 IR 39 (1806) – AL Nr. 8 (Bartfeld 08/04/1806), ST Nov (Caschau 02/07/1807)</t>
        </r>
        <r>
          <rPr>
            <sz val="14"/>
            <color rgb="FF000000"/>
            <rFont val="Calibri"/>
            <family val="34"/>
          </rPr>
          <t xml:space="preserve">
</t>
        </r>
      </text>
    </comment>
    <comment ref="BH1060" authorId="0" shapeId="0" xr:uid="{B041965B-1444-FB47-BEC2-FF596B574A92}">
      <text>
        <r>
          <rPr>
            <sz val="14"/>
            <color rgb="FF000000"/>
            <rFont val="Calibri"/>
            <family val="34"/>
          </rPr>
          <t>IR 39 (1806)</t>
        </r>
      </text>
    </comment>
    <comment ref="BF1061" authorId="0" shapeId="0" xr:uid="{D61704E4-F786-1343-8C1D-B4F97B7615D5}">
      <text>
        <r>
          <rPr>
            <sz val="14"/>
            <color rgb="FF000000"/>
            <rFont val="Times New Roman"/>
            <family val="18"/>
          </rPr>
          <t xml:space="preserve">04/06/1806 </t>
        </r>
        <r>
          <rPr>
            <i/>
            <sz val="14"/>
            <color rgb="FF000000"/>
            <rFont val="Times New Roman"/>
            <family val="18"/>
          </rPr>
          <t xml:space="preserve">Als landständischer Recrout für Szalog </t>
        </r>
        <r>
          <rPr>
            <b/>
            <sz val="14"/>
            <color rgb="FF000000"/>
            <rFont val="Times New Roman"/>
            <family val="18"/>
          </rPr>
          <t>[?]</t>
        </r>
        <r>
          <rPr>
            <i/>
            <sz val="14"/>
            <color rgb="FF000000"/>
            <rFont val="Times New Roman"/>
            <family val="18"/>
          </rPr>
          <t>, Zempliner Komität in gestellt, in Sátoraljaújhely zum IR 39 a 3Fl assentiert und in 9. Komp. zugeheilt</t>
        </r>
        <r>
          <rPr>
            <sz val="14"/>
            <color rgb="FF000000"/>
            <rFont val="Times New Roman"/>
            <family val="18"/>
          </rPr>
          <t xml:space="preserve"> [AL Juni 1806]</t>
        </r>
        <r>
          <rPr>
            <sz val="14"/>
            <color rgb="FF000000"/>
            <rFont val="Calibri"/>
            <family val="34"/>
          </rPr>
          <t xml:space="preserve">
</t>
        </r>
        <r>
          <rPr>
            <sz val="14"/>
            <color rgb="FF000000"/>
            <rFont val="Times New Roman"/>
            <family val="18"/>
          </rPr>
          <t>24/01/1807 Revision: IR 39 9. Fus. Komp. Nr. 117</t>
        </r>
        <r>
          <rPr>
            <sz val="14"/>
            <color rgb="FF000000"/>
            <rFont val="Calibri"/>
            <family val="34"/>
          </rPr>
          <t xml:space="preserve">
</t>
        </r>
        <r>
          <rPr>
            <sz val="14"/>
            <color rgb="FF000000"/>
            <rFont val="Times New Roman"/>
            <family val="18"/>
          </rPr>
          <t xml:space="preserve">15/05/1807 </t>
        </r>
        <r>
          <rPr>
            <i/>
            <sz val="14"/>
            <color rgb="FF000000"/>
            <rFont val="Times New Roman"/>
            <family val="18"/>
          </rPr>
          <t xml:space="preserve">Gegen Stellung andere Leute mit Abschied entlassen </t>
        </r>
        <r>
          <rPr>
            <sz val="14"/>
            <color rgb="FF000000"/>
            <rFont val="Times New Roman"/>
            <family val="18"/>
          </rPr>
          <t>[RL 1808]</t>
        </r>
      </text>
    </comment>
    <comment ref="BG1061" authorId="0" shapeId="0" xr:uid="{FFAF5C81-1C16-3F4A-84FB-B16659A1D9A9}">
      <text>
        <r>
          <rPr>
            <sz val="14"/>
            <color rgb="FF000000"/>
            <rFont val="Times New Roman"/>
            <family val="18"/>
          </rPr>
          <t>ML 3499 IR 39 (1807) – 9. Fus. Komp. Nr. 118 (Kesmark 24/01/1805)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3547 IR 39 (1806) – AL Nr. 3 (Ujhaly 08/04/1806)</t>
        </r>
        <r>
          <rPr>
            <sz val="14"/>
            <color rgb="FF000000"/>
            <rFont val="Calibri"/>
            <family val="34"/>
          </rPr>
          <t xml:space="preserve">
</t>
        </r>
      </text>
    </comment>
    <comment ref="BH1061" authorId="0" shapeId="0" xr:uid="{72AD07E2-E95F-CF48-A504-C107200C84AB}">
      <text>
        <r>
          <rPr>
            <sz val="14"/>
            <color rgb="FF000000"/>
            <rFont val="Calibri"/>
            <family val="34"/>
          </rPr>
          <t>IR 39 (1806-1807)</t>
        </r>
      </text>
    </comment>
    <comment ref="BF1062" authorId="0" shapeId="0" xr:uid="{B80DD510-C78E-3E46-8944-48113C8EB58F}">
      <text>
        <r>
          <rPr>
            <i/>
            <sz val="14"/>
            <color rgb="FF000000"/>
            <rFont val="Times New Roman"/>
            <family val="18"/>
          </rPr>
          <t>in gestellt, in Sátoraljaújhely zum IR 39 a 3Fl assentiert und in 1. Komp. zugeheilt</t>
        </r>
        <r>
          <rPr>
            <sz val="14"/>
            <color rgb="FF000000"/>
            <rFont val="Times New Roman"/>
            <family val="18"/>
          </rPr>
          <t xml:space="preserve"> [AL Juni 1806]</t>
        </r>
        <r>
          <rPr>
            <sz val="14"/>
            <color rgb="FF000000"/>
            <rFont val="Calibri"/>
            <family val="34"/>
          </rPr>
          <t xml:space="preserve">
</t>
        </r>
        <r>
          <rPr>
            <sz val="14"/>
            <color rgb="FF000000"/>
            <rFont val="Times New Roman"/>
            <family val="18"/>
          </rPr>
          <t>23/01/1807 Revision: IR 39 1. Fus. Komp. Nr. 137</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1062" authorId="0" shapeId="0" xr:uid="{237A1F26-CFBC-8A4A-847B-55206E2FA44A}">
      <text>
        <r>
          <rPr>
            <sz val="14"/>
            <color rgb="FF000000"/>
            <rFont val="Times New Roman"/>
            <family val="18"/>
          </rPr>
          <t>ML 3499 IR 39 (1807) – 1. Fus. Komp. Nr. 137 (Letschau 23/01/1807)</t>
        </r>
        <r>
          <rPr>
            <sz val="14"/>
            <color rgb="FF000000"/>
            <rFont val="Calibri"/>
            <family val="34"/>
          </rPr>
          <t xml:space="preserve">
</t>
        </r>
        <r>
          <rPr>
            <sz val="14"/>
            <color rgb="FF000000"/>
            <rFont val="Times New Roman"/>
            <family val="18"/>
          </rPr>
          <t>ML 3500 IR 39 (1808-10) – RL 1808 1. Fus. Komp. – Abgang (Comorn 19/09/1808)</t>
        </r>
        <r>
          <rPr>
            <sz val="14"/>
            <color rgb="FF000000"/>
            <rFont val="Calibri"/>
            <family val="34"/>
          </rPr>
          <t xml:space="preserve">
</t>
        </r>
        <r>
          <rPr>
            <sz val="14"/>
            <color rgb="FF000000"/>
            <rFont val="Times New Roman"/>
            <family val="18"/>
          </rPr>
          <t>ML 3547 IR 39 (1806) – AL Nr. 4 (Ujhaly 08/04/1806)</t>
        </r>
        <r>
          <rPr>
            <sz val="14"/>
            <color rgb="FF000000"/>
            <rFont val="Calibri"/>
            <family val="34"/>
          </rPr>
          <t xml:space="preserve">
</t>
        </r>
      </text>
    </comment>
    <comment ref="BH1062" authorId="0" shapeId="0" xr:uid="{CA5BA33F-84B5-A041-8640-79E54ED8D912}">
      <text>
        <r>
          <rPr>
            <sz val="14"/>
            <color rgb="FF000000"/>
            <rFont val="Calibri"/>
            <family val="34"/>
          </rPr>
          <t>IR 39 (1805-1806)</t>
        </r>
      </text>
    </comment>
    <comment ref="BF1063" authorId="0" shapeId="0" xr:uid="{F129A7BB-C600-B140-9C0B-B4F50718A7EA}">
      <text>
        <r>
          <rPr>
            <sz val="14"/>
            <color rgb="FF000000"/>
            <rFont val="Times New Roman"/>
            <family val="18"/>
          </rPr>
          <t xml:space="preserve">28/02/1807 </t>
        </r>
        <r>
          <rPr>
            <i/>
            <sz val="14"/>
            <color rgb="FF000000"/>
            <rFont val="Times New Roman"/>
            <family val="18"/>
          </rPr>
          <t>mit 10-jähriger Capitulation zum Przmysl von Galizischen Ständen gestellt, seitdem auf anhero Marsch</t>
        </r>
        <r>
          <rPr>
            <sz val="14"/>
            <color rgb="FF000000"/>
            <rFont val="Times New Roman"/>
            <family val="18"/>
          </rPr>
          <t xml:space="preserve"> [ST Mai 1807]</t>
        </r>
        <r>
          <rPr>
            <sz val="14"/>
            <color rgb="FF000000"/>
            <rFont val="Calibri"/>
            <family val="34"/>
          </rPr>
          <t xml:space="preserve">
</t>
        </r>
        <r>
          <rPr>
            <sz val="14"/>
            <color rgb="FF000000"/>
            <rFont val="Times New Roman"/>
            <family val="18"/>
          </rPr>
          <t xml:space="preserve">15/05/1807 </t>
        </r>
        <r>
          <rPr>
            <i/>
            <sz val="14"/>
            <color rgb="FF000000"/>
            <rFont val="Times New Roman"/>
            <family val="18"/>
          </rPr>
          <t>In die 13. Fus Companie eingerückt</t>
        </r>
        <r>
          <rPr>
            <sz val="14"/>
            <color rgb="FF000000"/>
            <rFont val="Times New Roman"/>
            <family val="18"/>
          </rPr>
          <t xml:space="preserve"> [ST Mai 1807]</t>
        </r>
        <r>
          <rPr>
            <sz val="14"/>
            <color rgb="FF000000"/>
            <rFont val="Calibri"/>
            <family val="34"/>
          </rPr>
          <t xml:space="preserve">
</t>
        </r>
        <r>
          <rPr>
            <sz val="14"/>
            <color rgb="FF000000"/>
            <rFont val="Times New Roman"/>
            <family val="18"/>
          </rPr>
          <t>06/09/1808 Revision: IR 43 13. Fus Komp. Nr. 137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 xml:space="preserve">08/05/1809 </t>
        </r>
        <r>
          <rPr>
            <b/>
            <i/>
            <sz val="14"/>
            <color rgb="FF000000"/>
            <rFont val="Times New Roman"/>
            <family val="18"/>
          </rPr>
          <t xml:space="preserve">Bey der Piave </t>
        </r>
        <r>
          <rPr>
            <i/>
            <sz val="14"/>
            <color rgb="FF000000"/>
            <rFont val="Times New Roman"/>
            <family val="18"/>
          </rPr>
          <t>Kriegsgefangen</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12/05/1809 </t>
        </r>
        <r>
          <rPr>
            <i/>
            <sz val="14"/>
            <color rgb="FF000000"/>
            <rFont val="Times New Roman"/>
            <family val="18"/>
          </rPr>
          <t>Selbst ranzioniert</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10/09/1809 </t>
        </r>
        <r>
          <rPr>
            <i/>
            <sz val="14"/>
            <color rgb="FF000000"/>
            <rFont val="Times New Roman"/>
            <family val="18"/>
          </rPr>
          <t>Krank in Armee Spitaler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30/11/1809 </t>
        </r>
        <r>
          <rPr>
            <i/>
            <sz val="14"/>
            <color rgb="FF000000"/>
            <rFont val="Times New Roman"/>
            <family val="18"/>
          </rPr>
          <t>Rekonvaleszieret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25/02/1810 Revision: 13. Fus Comp Nr. 76 [Z</t>
        </r>
        <r>
          <rPr>
            <i/>
            <sz val="14"/>
            <color rgb="FF000000"/>
            <rFont val="Times New Roman"/>
            <family val="18"/>
          </rPr>
          <t>u IR 9 Czartorysky eingeteilt</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13. Fus Comp des Dissolvierte IR 43 zum IR 9 Czartoryski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09/09/1811 Muster: IR 9 6. Fus. Komp. Nr. 147 [</t>
        </r>
        <r>
          <rPr>
            <i/>
            <sz val="14"/>
            <color rgb="FF000000"/>
            <rFont val="Times New Roman"/>
            <family val="18"/>
          </rPr>
          <t>Auf Urlaub in seinem Heimat, bestimmt</t>
        </r>
        <r>
          <rPr>
            <sz val="14"/>
            <color rgb="FF000000"/>
            <rFont val="Times New Roman"/>
            <family val="18"/>
          </rPr>
          <t>]</t>
        </r>
        <r>
          <rPr>
            <sz val="14"/>
            <color rgb="FF000000"/>
            <rFont val="Calibri"/>
            <family val="34"/>
          </rPr>
          <t xml:space="preserve">
</t>
        </r>
        <r>
          <rPr>
            <sz val="14"/>
            <color rgb="FF000000"/>
            <rFont val="Times New Roman"/>
            <family val="18"/>
          </rPr>
          <t xml:space="preserve">01/04/1812 </t>
        </r>
        <r>
          <rPr>
            <i/>
            <sz val="14"/>
            <color rgb="FF000000"/>
            <rFont val="Times New Roman"/>
            <family val="18"/>
          </rPr>
          <t>Von 6. Zum. 14. Fus. Komp transferiert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14. Fus. Komp. zum neu errichtete 1. Reserve Div.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31/03/1813 </t>
        </r>
        <r>
          <rPr>
            <i/>
            <sz val="14"/>
            <color rgb="FF000000"/>
            <rFont val="Times New Roman"/>
            <family val="18"/>
          </rPr>
          <t>Als auf Urlaub ausgebliebene als Deserteur ins Abgang gebracht</t>
        </r>
        <r>
          <rPr>
            <sz val="14"/>
            <color rgb="FF000000"/>
            <rFont val="Times New Roman"/>
            <family val="18"/>
          </rPr>
          <t xml:space="preserve"> [St June 1813]</t>
        </r>
        <r>
          <rPr>
            <sz val="14"/>
            <color rgb="FF000000"/>
            <rFont val="Calibri"/>
            <family val="34"/>
          </rPr>
          <t xml:space="preserve">
</t>
        </r>
      </text>
    </comment>
    <comment ref="BG1063" authorId="0" shapeId="0" xr:uid="{867C13C1-F117-3E47-8CEE-4241561EF039}">
      <text>
        <r>
          <rPr>
            <sz val="14"/>
            <color rgb="FF000000"/>
            <rFont val="Times New Roman"/>
            <family val="18"/>
          </rPr>
          <t>ML 10.279 IR 43 (1808-10) – RL 13. Fus Comp Nr. 137 (Neustadt 02/09/1808) &amp; DL 13. Fus Comp Nr. 76 (Vordenberg 25/02/1810)</t>
        </r>
        <r>
          <rPr>
            <sz val="14"/>
            <color rgb="FF000000"/>
            <rFont val="Calibri"/>
            <family val="34"/>
          </rPr>
          <t xml:space="preserve">
</t>
        </r>
        <r>
          <rPr>
            <sz val="14"/>
            <color rgb="FF000000"/>
            <rFont val="Times New Roman"/>
            <family val="18"/>
          </rPr>
          <t>ML 10.319 IR 43 (1807) – ST Mai (15/06/1807)</t>
        </r>
        <r>
          <rPr>
            <sz val="14"/>
            <color rgb="FF000000"/>
            <rFont val="Calibri"/>
            <family val="34"/>
          </rPr>
          <t xml:space="preserve">
</t>
        </r>
        <r>
          <rPr>
            <sz val="14"/>
            <color rgb="FF000000"/>
            <rFont val="Times New Roman"/>
            <family val="18"/>
          </rPr>
          <t>ML 10.323 IR 43 (1809) – ST September (25/12/1810)</t>
        </r>
        <r>
          <rPr>
            <sz val="14"/>
            <color rgb="FF000000"/>
            <rFont val="Calibri"/>
            <family val="34"/>
          </rPr>
          <t xml:space="preserve">
</t>
        </r>
        <r>
          <rPr>
            <sz val="14"/>
            <color rgb="FF000000"/>
            <rFont val="Times New Roman"/>
            <family val="18"/>
          </rPr>
          <t>ML 10.325 IR 43 (1810) – ST März (11/30/1811)</t>
        </r>
        <r>
          <rPr>
            <sz val="14"/>
            <color rgb="FF000000"/>
            <rFont val="Calibri"/>
            <family val="34"/>
          </rPr>
          <t xml:space="preserve">
</t>
        </r>
        <r>
          <rPr>
            <sz val="14"/>
            <color rgb="FF000000"/>
            <rFont val="Times New Roman"/>
            <family val="18"/>
          </rPr>
          <t>ML 10.326 IR 43 (1810) – AL/TL (Klagenfurt 06/16/1811)</t>
        </r>
        <r>
          <rPr>
            <sz val="14"/>
            <color rgb="FF000000"/>
            <rFont val="Calibri"/>
            <family val="34"/>
          </rPr>
          <t xml:space="preserve">
</t>
        </r>
        <r>
          <rPr>
            <sz val="14"/>
            <color rgb="FF000000"/>
            <rFont val="Times New Roman"/>
            <family val="18"/>
          </rPr>
          <t>ML 634 IR 9 (1811) – Muster: IR 9 6. Fus. Comp Nr. 147 (Eperies 09/09/1811)</t>
        </r>
        <r>
          <rPr>
            <sz val="14"/>
            <color rgb="FF000000"/>
            <rFont val="Calibri"/>
            <family val="34"/>
          </rPr>
          <t xml:space="preserve">
</t>
        </r>
        <r>
          <rPr>
            <sz val="14"/>
            <color rgb="FF000000"/>
            <rFont val="Times New Roman"/>
            <family val="18"/>
          </rPr>
          <t>ML 675 IR 9 (1812) – ST April (Przmysl 14/08/1812), Nov (Jaroslau 19/05/1813)</t>
        </r>
        <r>
          <rPr>
            <sz val="14"/>
            <color rgb="FF000000"/>
            <rFont val="Calibri"/>
            <family val="34"/>
          </rPr>
          <t xml:space="preserve">
</t>
        </r>
        <r>
          <rPr>
            <sz val="14"/>
            <color rgb="FF000000"/>
            <rFont val="Times New Roman"/>
            <family val="18"/>
          </rPr>
          <t>ML 677 IR 9 (1813) – June (Jaroslau 22/11/1813)</t>
        </r>
      </text>
    </comment>
    <comment ref="BH1063" authorId="0" shapeId="0" xr:uid="{543F3744-9F20-9E47-80D5-5F6E28F0C4A7}">
      <text>
        <r>
          <rPr>
            <sz val="14"/>
            <color rgb="FF000000"/>
            <rFont val="Calibri"/>
            <family val="34"/>
          </rPr>
          <t xml:space="preserve">IR 43 (1807-1810)
</t>
        </r>
        <r>
          <rPr>
            <sz val="14"/>
            <color rgb="FF000000"/>
            <rFont val="Calibri"/>
            <family val="34"/>
          </rPr>
          <t>IR 9 (1810-1813)</t>
        </r>
      </text>
    </comment>
    <comment ref="BI1063" authorId="0" shapeId="0" xr:uid="{54113FEA-5B0C-E041-870B-20830E2853B6}">
      <text>
        <r>
          <rPr>
            <sz val="14"/>
            <color rgb="FF000000"/>
            <rFont val="Calibri"/>
            <family val="34"/>
          </rPr>
          <t>1810: Gut</t>
        </r>
      </text>
    </comment>
    <comment ref="BF1064" authorId="0" shapeId="0" xr:uid="{CC8A46DF-6E40-194E-9CF8-1177C5789395}">
      <text>
        <r>
          <rPr>
            <sz val="14"/>
            <color rgb="FF000000"/>
            <rFont val="Times New Roman"/>
            <family val="18"/>
          </rPr>
          <t xml:space="preserve">28/02/1807 </t>
        </r>
        <r>
          <rPr>
            <i/>
            <sz val="14"/>
            <color rgb="FF000000"/>
            <rFont val="Times New Roman"/>
            <family val="18"/>
          </rPr>
          <t>Landständisch gestellt und gegen 3 Fl Handgeld auf 10 Jahr zu Tarnow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9. Fus. Komp. Nr. 117</t>
        </r>
        <r>
          <rPr>
            <sz val="14"/>
            <color rgb="FF000000"/>
            <rFont val="Calibri"/>
            <family val="34"/>
          </rPr>
          <t xml:space="preserve">
</t>
        </r>
        <r>
          <rPr>
            <sz val="14"/>
            <color rgb="FF000000"/>
            <rFont val="Times New Roman"/>
            <family val="18"/>
          </rPr>
          <t>20/09/1811 Muster: IR 44 9. Fus. Komp. Nr. 71</t>
        </r>
        <r>
          <rPr>
            <sz val="14"/>
            <color rgb="FF000000"/>
            <rFont val="Calibri"/>
            <family val="34"/>
          </rPr>
          <t xml:space="preserve">
</t>
        </r>
        <r>
          <rPr>
            <sz val="14"/>
            <color rgb="FF000000"/>
            <rFont val="Times New Roman"/>
            <family val="18"/>
          </rPr>
          <t xml:space="preserve">01/08/1812 </t>
        </r>
        <r>
          <rPr>
            <i/>
            <sz val="14"/>
            <color rgb="FF000000"/>
            <rFont val="Times New Roman"/>
            <family val="18"/>
          </rPr>
          <t xml:space="preserve">Von. 9. Zur 15. Fus. Komp. transferiert </t>
        </r>
        <r>
          <rPr>
            <sz val="14"/>
            <color rgb="FF000000"/>
            <rFont val="Times New Roman"/>
            <family val="18"/>
          </rPr>
          <t>[RL 1812]</t>
        </r>
        <r>
          <rPr>
            <sz val="14"/>
            <color rgb="FF000000"/>
            <rFont val="Calibri"/>
            <family val="34"/>
          </rPr>
          <t xml:space="preserve">
</t>
        </r>
        <r>
          <rPr>
            <sz val="14"/>
            <color rgb="FF000000"/>
            <rFont val="Times New Roman"/>
            <family val="18"/>
          </rPr>
          <t>19/09/1812 Revision: IR 44 15. Fus. Komp. Nr. 74</t>
        </r>
        <r>
          <rPr>
            <sz val="14"/>
            <color rgb="FF000000"/>
            <rFont val="Calibri"/>
            <family val="34"/>
          </rPr>
          <t xml:space="preserve">
</t>
        </r>
        <r>
          <rPr>
            <sz val="14"/>
            <color rgb="FF000000"/>
            <rFont val="Times New Roman"/>
            <family val="18"/>
          </rPr>
          <t xml:space="preserve">26/12/1814 </t>
        </r>
        <r>
          <rPr>
            <i/>
            <sz val="14"/>
            <color rgb="FF000000"/>
            <rFont val="Times New Roman"/>
            <family val="18"/>
          </rPr>
          <t>Von Gemeiner zum fourierschütz mutiert</t>
        </r>
        <r>
          <rPr>
            <sz val="14"/>
            <color rgb="FF000000"/>
            <rFont val="Times New Roman"/>
            <family val="18"/>
          </rPr>
          <t xml:space="preserve"> [ST Dec 1814]</t>
        </r>
        <r>
          <rPr>
            <sz val="14"/>
            <color rgb="FF000000"/>
            <rFont val="Calibri"/>
            <family val="34"/>
          </rPr>
          <t xml:space="preserve">
</t>
        </r>
        <r>
          <rPr>
            <sz val="14"/>
            <color rgb="FF000000"/>
            <rFont val="Times New Roman"/>
            <family val="18"/>
          </rPr>
          <t xml:space="preserve">10/06/1817 </t>
        </r>
        <r>
          <rPr>
            <i/>
            <sz val="14"/>
            <color rgb="FF000000"/>
            <rFont val="Times New Roman"/>
            <family val="18"/>
          </rPr>
          <t>Als Real Invalid Gegen Renuncierung mit Abschied entlassen</t>
        </r>
        <r>
          <rPr>
            <sz val="14"/>
            <color rgb="FF000000"/>
            <rFont val="Times New Roman"/>
            <family val="18"/>
          </rPr>
          <t xml:space="preserve"> [ML 1818]</t>
        </r>
        <r>
          <rPr>
            <sz val="14"/>
            <color rgb="FF000000"/>
            <rFont val="Calibri"/>
            <family val="34"/>
          </rPr>
          <t xml:space="preserve">
</t>
        </r>
      </text>
    </comment>
    <comment ref="BG1064" authorId="0" shapeId="0" xr:uid="{59FA3679-F852-8C49-8A68-5EF68FAB32A6}">
      <text>
        <r>
          <rPr>
            <sz val="14"/>
            <color rgb="FF000000"/>
            <rFont val="Times New Roman"/>
            <family val="18"/>
          </rPr>
          <t>ML 3911 IR 44 (1808-10) – 9. Fus. Komp. Nr. 117 (Pappa 28/09/1810)</t>
        </r>
        <r>
          <rPr>
            <sz val="14"/>
            <color rgb="FF000000"/>
            <rFont val="Calibri"/>
            <family val="34"/>
          </rPr>
          <t xml:space="preserve">
</t>
        </r>
        <r>
          <rPr>
            <sz val="14"/>
            <color rgb="FF000000"/>
            <rFont val="Times New Roman"/>
            <family val="18"/>
          </rPr>
          <t>ML 3912/3 IR 44 (1811) – 9. Fus. Komp. Nr. 71 (Sthulweissenburg 20/09/1811)</t>
        </r>
        <r>
          <rPr>
            <sz val="14"/>
            <color rgb="FF000000"/>
            <rFont val="Calibri"/>
            <family val="34"/>
          </rPr>
          <t xml:space="preserve">
</t>
        </r>
        <r>
          <rPr>
            <sz val="14"/>
            <color rgb="FF000000"/>
            <rFont val="Times New Roman"/>
            <family val="18"/>
          </rPr>
          <t>ML 3914 IR 44 (1812/6) – 15. Fus. Komp. Nr. 74 (Drohobyz 18/09/1812)</t>
        </r>
        <r>
          <rPr>
            <sz val="14"/>
            <color rgb="FF000000"/>
            <rFont val="Calibri"/>
            <family val="34"/>
          </rPr>
          <t xml:space="preserve">
</t>
        </r>
        <r>
          <rPr>
            <sz val="14"/>
            <color rgb="FF000000"/>
            <rFont val="Times New Roman"/>
            <family val="18"/>
          </rPr>
          <t>ML 3915/6 IR 44 (1818) – 15. Fus. Komp. Abgang (Pavia 05/01/1818)</t>
        </r>
        <r>
          <rPr>
            <sz val="14"/>
            <color rgb="FF000000"/>
            <rFont val="Calibri"/>
            <family val="34"/>
          </rPr>
          <t xml:space="preserve">
</t>
        </r>
        <r>
          <rPr>
            <sz val="14"/>
            <color rgb="FF000000"/>
            <rFont val="Times New Roman"/>
            <family val="18"/>
          </rPr>
          <t>ML 3970 IR 44 (1814) – ST Dez (Lemberg 30/06/1816)</t>
        </r>
        <r>
          <rPr>
            <sz val="14"/>
            <color rgb="FF000000"/>
            <rFont val="Calibri"/>
            <family val="34"/>
          </rPr>
          <t xml:space="preserve">
</t>
        </r>
      </text>
    </comment>
    <comment ref="BH1064" authorId="0" shapeId="0" xr:uid="{19E8F79F-0709-AA4D-BEF3-61D33B9B0A02}">
      <text>
        <r>
          <rPr>
            <sz val="14"/>
            <color rgb="FF000000"/>
            <rFont val="Calibri"/>
            <family val="34"/>
          </rPr>
          <t>IR 44 (1807-1817)</t>
        </r>
      </text>
    </comment>
    <comment ref="BF1065" authorId="0" shapeId="0" xr:uid="{4A82B9DC-8ADD-904F-A1FB-A69F800F438A}">
      <text>
        <r>
          <rPr>
            <sz val="14"/>
            <color rgb="FF000000"/>
            <rFont val="Times New Roman"/>
            <family val="18"/>
          </rPr>
          <t xml:space="preserve">02/03/1807 </t>
        </r>
        <r>
          <rPr>
            <i/>
            <sz val="14"/>
            <color rgb="FF000000"/>
            <rFont val="Times New Roman"/>
            <family val="18"/>
          </rPr>
          <t>Landständisch gestellt und gegen 3 Fl Handgeld auf 10 Jahr zu Neu Sandetz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2. Reserve zur 7.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27/09/1810 Revision: IR 44 7. Fus. Komp. Nr. 200 [</t>
        </r>
        <r>
          <rPr>
            <i/>
            <sz val="14"/>
            <color rgb="FF000000"/>
            <rFont val="Times New Roman"/>
            <family val="18"/>
          </rPr>
          <t>Commandiert bei der Triangulierung</t>
        </r>
        <r>
          <rPr>
            <sz val="14"/>
            <color rgb="FF000000"/>
            <rFont val="Times New Roman"/>
            <family val="18"/>
          </rPr>
          <t xml:space="preserve">] </t>
        </r>
        <r>
          <rPr>
            <sz val="14"/>
            <color rgb="FF000000"/>
            <rFont val="Calibri"/>
            <family val="34"/>
          </rPr>
          <t xml:space="preserve">
</t>
        </r>
        <r>
          <rPr>
            <sz val="14"/>
            <color rgb="FF000000"/>
            <rFont val="Times New Roman"/>
            <family val="18"/>
          </rPr>
          <t>20/09/1811 Muster: IR 44 7. Fus. Komp. Nr. 126 [</t>
        </r>
        <r>
          <rPr>
            <i/>
            <sz val="14"/>
            <color rgb="FF000000"/>
            <rFont val="Times New Roman"/>
            <family val="18"/>
          </rPr>
          <t>Beim Hauptwerbbezierk zu Sambor in Gallizien Commandiert</t>
        </r>
        <r>
          <rPr>
            <sz val="14"/>
            <color rgb="FF000000"/>
            <rFont val="Times New Roman"/>
            <family val="18"/>
          </rPr>
          <t>]</t>
        </r>
        <r>
          <rPr>
            <sz val="14"/>
            <color rgb="FF000000"/>
            <rFont val="Calibri"/>
            <family val="34"/>
          </rPr>
          <t xml:space="preserve">
</t>
        </r>
        <r>
          <rPr>
            <sz val="14"/>
            <color rgb="FF000000"/>
            <rFont val="Times New Roman"/>
            <family val="18"/>
          </rPr>
          <t>19/09/1812 Revision: IR 44 7. Fus. Komp. Nr. 90 [</t>
        </r>
        <r>
          <rPr>
            <i/>
            <sz val="14"/>
            <color rgb="FF000000"/>
            <rFont val="Times New Roman"/>
            <family val="18"/>
          </rPr>
          <t>Auf conscription Commandiert</t>
        </r>
        <r>
          <rPr>
            <sz val="14"/>
            <color rgb="FF000000"/>
            <rFont val="Times New Roman"/>
            <family val="18"/>
          </rPr>
          <t>]</t>
        </r>
        <r>
          <rPr>
            <sz val="14"/>
            <color rgb="FF000000"/>
            <rFont val="Calibri"/>
            <family val="34"/>
          </rPr>
          <t xml:space="preserve">
</t>
        </r>
      </text>
    </comment>
    <comment ref="BG1065" authorId="0" shapeId="0" xr:uid="{54065950-FEAB-B841-AD5B-A2E2D540A3DF}">
      <text>
        <r>
          <rPr>
            <sz val="14"/>
            <color rgb="FF000000"/>
            <rFont val="Times New Roman"/>
            <family val="18"/>
          </rPr>
          <t>ML 3911 IR 44 (1808-10) – 7. Fus. Komp. Nr. 200 (Papa 27/09/1810)</t>
        </r>
        <r>
          <rPr>
            <sz val="14"/>
            <color rgb="FF000000"/>
            <rFont val="Calibri"/>
            <family val="34"/>
          </rPr>
          <t xml:space="preserve">
</t>
        </r>
        <r>
          <rPr>
            <sz val="14"/>
            <color rgb="FF000000"/>
            <rFont val="Times New Roman"/>
            <family val="18"/>
          </rPr>
          <t>ML 3912-3 IR 44 (1810-11) – 7. Fus. Komp. Nr. 126 (Sthulweissenburg 20/09/1811)</t>
        </r>
        <r>
          <rPr>
            <sz val="14"/>
            <color rgb="FF000000"/>
            <rFont val="Calibri"/>
            <family val="34"/>
          </rPr>
          <t xml:space="preserve">
</t>
        </r>
        <r>
          <rPr>
            <sz val="14"/>
            <color rgb="FF000000"/>
            <rFont val="Times New Roman"/>
            <family val="18"/>
          </rPr>
          <t>ML 3914 IR 44 (1812/6) – 7. Fus. Komp. Nr. 90 (Pest 19/09/1812)</t>
        </r>
        <r>
          <rPr>
            <sz val="14"/>
            <color rgb="FF000000"/>
            <rFont val="Calibri"/>
            <family val="34"/>
          </rPr>
          <t xml:space="preserve">
</t>
        </r>
        <r>
          <rPr>
            <sz val="14"/>
            <color rgb="FF000000"/>
            <rFont val="Times New Roman"/>
            <family val="18"/>
          </rPr>
          <t>ML 3960 IR 44 (1809) – Sept (Ofen 20/05/1811)</t>
        </r>
        <r>
          <rPr>
            <sz val="14"/>
            <color rgb="FF000000"/>
            <rFont val="Calibri"/>
            <family val="34"/>
          </rPr>
          <t xml:space="preserve">
</t>
        </r>
      </text>
    </comment>
    <comment ref="BH1065" authorId="0" shapeId="0" xr:uid="{695C2057-D116-094A-A862-879DDB80884B}">
      <text>
        <r>
          <rPr>
            <sz val="14"/>
            <color rgb="FF000000"/>
            <rFont val="Calibri"/>
            <family val="34"/>
          </rPr>
          <t>IR 44 (1807-1812)</t>
        </r>
      </text>
    </comment>
    <comment ref="BF1066" authorId="0" shapeId="0" xr:uid="{93D07632-EF3D-594C-BF56-D32326304067}">
      <text>
        <r>
          <rPr>
            <sz val="14"/>
            <color rgb="FF000000"/>
            <rFont val="Times New Roman"/>
            <family val="18"/>
          </rPr>
          <t xml:space="preserve">02/03/1807 </t>
        </r>
        <r>
          <rPr>
            <i/>
            <sz val="14"/>
            <color rgb="FF000000"/>
            <rFont val="Times New Roman"/>
            <family val="18"/>
          </rPr>
          <t>Landständisch gestellt und gegen 3 Fl Handgeld auf 10 Jahr zu Neu Sandetz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101</t>
        </r>
        <r>
          <rPr>
            <sz val="14"/>
            <color rgb="FF000000"/>
            <rFont val="Calibri"/>
            <family val="34"/>
          </rPr>
          <t xml:space="preserve">
</t>
        </r>
        <r>
          <rPr>
            <sz val="14"/>
            <color rgb="FF000000"/>
            <rFont val="Times New Roman"/>
            <family val="18"/>
          </rPr>
          <t>20/09/1811 Muster: IR 44 7. Fus. Komp. Nr. 57</t>
        </r>
        <r>
          <rPr>
            <sz val="14"/>
            <color rgb="FF000000"/>
            <rFont val="Calibri"/>
            <family val="34"/>
          </rPr>
          <t xml:space="preserve">
</t>
        </r>
        <r>
          <rPr>
            <sz val="14"/>
            <color rgb="FF000000"/>
            <rFont val="Times New Roman"/>
            <family val="18"/>
          </rPr>
          <t xml:space="preserve">10/07/1812 </t>
        </r>
        <r>
          <rPr>
            <i/>
            <sz val="14"/>
            <color rgb="FF000000"/>
            <rFont val="Times New Roman"/>
            <family val="18"/>
          </rPr>
          <t xml:space="preserve">Von. IR 44 7. Fus. Komp. zur IR 58 transferiert </t>
        </r>
        <r>
          <rPr>
            <sz val="14"/>
            <color rgb="FF000000"/>
            <rFont val="Times New Roman"/>
            <family val="18"/>
          </rPr>
          <t>[RL 1812]</t>
        </r>
        <r>
          <rPr>
            <sz val="14"/>
            <color rgb="FF000000"/>
            <rFont val="Calibri"/>
            <family val="34"/>
          </rPr>
          <t xml:space="preserve">
</t>
        </r>
      </text>
    </comment>
    <comment ref="BG1066" authorId="0" shapeId="0" xr:uid="{60DADD92-CEEC-D34B-BD18-B08A06D6BB58}">
      <text>
        <r>
          <rPr>
            <sz val="14"/>
            <color rgb="FF000000"/>
            <rFont val="Times New Roman"/>
            <family val="18"/>
          </rPr>
          <t>ML 3911 IR 44 (1808-10) – 7. Fus. Komp. Nr. 101 (Papa 27/09/1810)</t>
        </r>
        <r>
          <rPr>
            <sz val="14"/>
            <color rgb="FF000000"/>
            <rFont val="Calibri"/>
            <family val="34"/>
          </rPr>
          <t xml:space="preserve">
</t>
        </r>
        <r>
          <rPr>
            <sz val="14"/>
            <color rgb="FF000000"/>
            <rFont val="Times New Roman"/>
            <family val="18"/>
          </rPr>
          <t>ML 3912-3 IR 44 (1810-11) – 7. Fus. Komp. Nr. 57 (Sthulweissenburg 20/09/1811)</t>
        </r>
        <r>
          <rPr>
            <sz val="14"/>
            <color rgb="FF000000"/>
            <rFont val="Calibri"/>
            <family val="34"/>
          </rPr>
          <t xml:space="preserve">
</t>
        </r>
        <r>
          <rPr>
            <sz val="14"/>
            <color rgb="FF000000"/>
            <rFont val="Times New Roman"/>
            <family val="18"/>
          </rPr>
          <t>ML 3914 IR 44 (1812/6) – 7. Fus. Komp. Abgang (Pest 19/09/1812)</t>
        </r>
      </text>
    </comment>
    <comment ref="BH1066" authorId="0" shapeId="0" xr:uid="{727428F4-12E4-3D4C-B4CF-AB57D94F91B7}">
      <text>
        <r>
          <rPr>
            <sz val="14"/>
            <color rgb="FF000000"/>
            <rFont val="Calibri"/>
            <family val="34"/>
          </rPr>
          <t xml:space="preserve">IR 44 (1807-1812)
</t>
        </r>
        <r>
          <rPr>
            <sz val="14"/>
            <color rgb="FF000000"/>
            <rFont val="Calibri"/>
            <family val="34"/>
          </rPr>
          <t>IR 58 (1812)</t>
        </r>
      </text>
    </comment>
    <comment ref="BF1067" authorId="0" shapeId="0" xr:uid="{7D1C5021-BCC6-264C-8986-998CC1CDAF5F}">
      <text>
        <r>
          <rPr>
            <sz val="14"/>
            <color rgb="FF000000"/>
            <rFont val="Times New Roman"/>
            <family val="18"/>
          </rPr>
          <t xml:space="preserve">02/03/1807 </t>
        </r>
        <r>
          <rPr>
            <i/>
            <sz val="14"/>
            <color rgb="FF000000"/>
            <rFont val="Times New Roman"/>
            <family val="18"/>
          </rPr>
          <t>Als Landständischer Rekrut mit 3Fl Handgeld zu Lublin in IR 55 assentiert und zur 8. Fus. Komp. ungeteilt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28/03/1807 </t>
        </r>
        <r>
          <rPr>
            <i/>
            <sz val="14"/>
            <color rgb="FF000000"/>
            <rFont val="Times New Roman"/>
            <family val="18"/>
          </rPr>
          <t>Als angehöriger von 8. Fus Komp. Superarbietriert: Defekt: Raschgründ: ein andere Mann zu stellen, der Unkosten Ersatz durch das Werbbezirk herumzubringen und der untauglicher Rekrout mit Laupaß zu entlassen</t>
        </r>
        <r>
          <rPr>
            <sz val="14"/>
            <color rgb="FF000000"/>
            <rFont val="Calibri"/>
            <family val="34"/>
          </rPr>
          <t xml:space="preserve">
</t>
        </r>
        <r>
          <rPr>
            <sz val="14"/>
            <color rgb="FF000000"/>
            <rFont val="Times New Roman"/>
            <family val="18"/>
          </rPr>
          <t xml:space="preserve">20/04/1807 </t>
        </r>
        <r>
          <rPr>
            <i/>
            <sz val="14"/>
            <color rgb="FF000000"/>
            <rFont val="Times New Roman"/>
            <family val="18"/>
          </rPr>
          <t>in Folge Hoher Superarbietrierung von 28. Marz und Löhnung und Verpflegung bis 25. Hujus mit Laufpass entlassen</t>
        </r>
        <r>
          <rPr>
            <sz val="14"/>
            <color rgb="FF000000"/>
            <rFont val="Times New Roman"/>
            <family val="18"/>
          </rPr>
          <t xml:space="preserve"> [ST April 1807]</t>
        </r>
        <r>
          <rPr>
            <sz val="14"/>
            <color rgb="FF000000"/>
            <rFont val="Calibri"/>
            <family val="2"/>
          </rPr>
          <t xml:space="preserve"> </t>
        </r>
      </text>
    </comment>
    <comment ref="BG1067" authorId="0" shapeId="0" xr:uid="{7B984D54-A603-E34E-A179-6F91395A9CE4}">
      <text>
        <r>
          <rPr>
            <sz val="14"/>
            <color rgb="FF000000"/>
            <rFont val="Times New Roman"/>
            <family val="18"/>
          </rPr>
          <t>ML 10.697 IR 55 (1807): SUP Nr. 2 (Krakow 28/03/1807); ST March (Krakau 12/05/1807), April (Krakau 31/07/1807)</t>
        </r>
        <r>
          <rPr>
            <sz val="14"/>
            <color rgb="FF000000"/>
            <rFont val="Calibri"/>
            <family val="34"/>
          </rPr>
          <t xml:space="preserve">
</t>
        </r>
      </text>
    </comment>
    <comment ref="BH1067" authorId="0" shapeId="0" xr:uid="{C72E3348-04E9-C244-A354-F04E70F2146C}">
      <text>
        <r>
          <rPr>
            <sz val="14"/>
            <color rgb="FF000000"/>
            <rFont val="Calibri"/>
            <family val="34"/>
          </rPr>
          <t>IR 55 (1807)</t>
        </r>
      </text>
    </comment>
    <comment ref="BJ1067" authorId="0" shapeId="0" xr:uid="{5AD51B34-38B9-1B40-AF53-373479B1E927}">
      <text>
        <r>
          <rPr>
            <i/>
            <sz val="14"/>
            <color rgb="FF000000"/>
            <rFont val="Times New Roman"/>
            <family val="18"/>
          </rPr>
          <t>Raschgründ</t>
        </r>
        <r>
          <rPr>
            <sz val="14"/>
            <color rgb="FF000000"/>
            <rFont val="Calibri"/>
            <family val="2"/>
          </rPr>
          <t xml:space="preserve"> </t>
        </r>
        <r>
          <rPr>
            <i/>
            <sz val="14"/>
            <color rgb="FF000000"/>
            <rFont val="Times New Roman"/>
            <family val="18"/>
          </rPr>
          <t xml:space="preserve"> </t>
        </r>
        <r>
          <rPr>
            <sz val="14"/>
            <color rgb="FF000000"/>
            <rFont val="Times New Roman"/>
            <family val="18"/>
          </rPr>
          <t>[SUP March 1807]</t>
        </r>
      </text>
    </comment>
    <comment ref="I1068" authorId="0" shapeId="0" xr:uid="{0EAC8890-F6B9-2144-87DE-4681CBBF5304}">
      <text>
        <r>
          <rPr>
            <b/>
            <sz val="14"/>
            <color rgb="FF000000"/>
            <rFont val="Calibri"/>
            <family val="34"/>
          </rPr>
          <t xml:space="preserve">1787 [24 (ML 1811)]
</t>
        </r>
        <r>
          <rPr>
            <sz val="14"/>
            <color rgb="FF000000"/>
            <rFont val="Calibri"/>
            <family val="34"/>
          </rPr>
          <t xml:space="preserve">OR
</t>
        </r>
        <r>
          <rPr>
            <sz val="14"/>
            <color rgb="FF000000"/>
            <rFont val="Calibri"/>
            <family val="34"/>
          </rPr>
          <t>1785 [28 (SUP 1813)]</t>
        </r>
      </text>
    </comment>
    <comment ref="BF1068" authorId="0" shapeId="0" xr:uid="{C415D0ED-B548-1C4E-936E-5B9D6F773447}">
      <text>
        <r>
          <rPr>
            <sz val="14"/>
            <color rgb="FF000000"/>
            <rFont val="Times New Roman"/>
            <family val="18"/>
          </rPr>
          <t xml:space="preserve">03/03/1807 </t>
        </r>
        <r>
          <rPr>
            <i/>
            <sz val="14"/>
            <color rgb="FF000000"/>
            <rFont val="Times New Roman"/>
            <family val="18"/>
          </rPr>
          <t xml:space="preserve">Zu Olmütz mit Capitulation auf 10 Jahr zum IR 1 assentiert und zum 2. Fus. Komp. Haupt Gall eingeteilt, seitdem zu, Werbbezirk Revisiorat zugeteilt </t>
        </r>
        <r>
          <rPr>
            <sz val="14"/>
            <color rgb="FF000000"/>
            <rFont val="Times New Roman"/>
            <family val="18"/>
          </rPr>
          <t>[ST March 1807]</t>
        </r>
        <r>
          <rPr>
            <sz val="14"/>
            <color rgb="FF000000"/>
            <rFont val="Calibri"/>
            <family val="34"/>
          </rPr>
          <t xml:space="preserve">
</t>
        </r>
        <r>
          <rPr>
            <sz val="14"/>
            <color rgb="FF000000"/>
            <rFont val="Times New Roman"/>
            <family val="18"/>
          </rPr>
          <t xml:space="preserve">19/03/1807 </t>
        </r>
        <r>
          <rPr>
            <i/>
            <sz val="14"/>
            <color rgb="FF000000"/>
            <rFont val="Times New Roman"/>
            <family val="18"/>
          </rPr>
          <t>In Kompanie eingerückt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05/01/1809 </t>
        </r>
        <r>
          <rPr>
            <i/>
            <sz val="14"/>
            <color rgb="FF000000"/>
            <rFont val="Times New Roman"/>
            <family val="18"/>
          </rPr>
          <t>In Arrest wegen Diebstahl</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14/01/1809 </t>
        </r>
        <r>
          <rPr>
            <i/>
            <sz val="14"/>
            <color rgb="FF000000"/>
            <rFont val="Times New Roman"/>
            <family val="18"/>
          </rPr>
          <t>Von Arrest befreit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21/01/1809 </t>
        </r>
        <r>
          <rPr>
            <i/>
            <sz val="14"/>
            <color rgb="FF000000"/>
            <rFont val="Times New Roman"/>
            <family val="18"/>
          </rPr>
          <t>Von 2. zum 11. Fus. Komp. transferiert, bleibt beim Staab zugeheilt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26/02/1809 </t>
        </r>
        <r>
          <rPr>
            <i/>
            <sz val="14"/>
            <color rgb="FF000000"/>
            <rFont val="Times New Roman"/>
            <family val="18"/>
          </rPr>
          <t>Von 11. Fus. Komp. zum 1. Depot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1. Depot zum 3. Komp transferiert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3. zum neu errichtete 16.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14/02/1810 </t>
        </r>
        <r>
          <rPr>
            <i/>
            <sz val="14"/>
            <color rgb="FF000000"/>
            <rFont val="Times New Roman"/>
            <family val="18"/>
          </rPr>
          <t>Beurlaubt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16. Zum 12.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08/09/1811 Muster: IR 1 12. Fus. Komp. Nr. 210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29/12/1811 </t>
        </r>
        <r>
          <rPr>
            <i/>
            <sz val="14"/>
            <color rgb="FF000000"/>
            <rFont val="Times New Roman"/>
            <family val="18"/>
          </rPr>
          <t>Von Urlaub eingerückt und sofort in Arrest wegen Diebstahl</t>
        </r>
        <r>
          <rPr>
            <sz val="14"/>
            <color rgb="FF000000"/>
            <rFont val="Times New Roman"/>
            <family val="18"/>
          </rPr>
          <t xml:space="preserve"> [ST Dec 1811]</t>
        </r>
        <r>
          <rPr>
            <sz val="14"/>
            <color rgb="FF000000"/>
            <rFont val="Calibri"/>
            <family val="34"/>
          </rPr>
          <t xml:space="preserve">
</t>
        </r>
        <r>
          <rPr>
            <sz val="14"/>
            <color rgb="FF000000"/>
            <rFont val="Times New Roman"/>
            <family val="18"/>
          </rPr>
          <t xml:space="preserve">06/01/1812 </t>
        </r>
        <r>
          <rPr>
            <i/>
            <sz val="14"/>
            <color rgb="FF000000"/>
            <rFont val="Times New Roman"/>
            <family val="18"/>
          </rPr>
          <t>Von Arrest Befreit</t>
        </r>
        <r>
          <rPr>
            <sz val="14"/>
            <color rgb="FF000000"/>
            <rFont val="Times New Roman"/>
            <family val="18"/>
          </rPr>
          <t xml:space="preserve"> [ST Jan 1812]</t>
        </r>
        <r>
          <rPr>
            <sz val="14"/>
            <color rgb="FF000000"/>
            <rFont val="Calibri"/>
            <family val="34"/>
          </rPr>
          <t xml:space="preserve">
</t>
        </r>
        <r>
          <rPr>
            <sz val="14"/>
            <color rgb="FF000000"/>
            <rFont val="Times New Roman"/>
            <family val="18"/>
          </rPr>
          <t xml:space="preserve">29/01/1812 </t>
        </r>
        <r>
          <rPr>
            <i/>
            <sz val="14"/>
            <color rgb="FF000000"/>
            <rFont val="Times New Roman"/>
            <family val="18"/>
          </rPr>
          <t>Beurlaubt bis zur Einberufung</t>
        </r>
        <r>
          <rPr>
            <sz val="14"/>
            <color rgb="FF000000"/>
            <rFont val="Times New Roman"/>
            <family val="18"/>
          </rPr>
          <t xml:space="preserve"> [ST Jan 1812]</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9. Zum 16.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14/05/1812 </t>
        </r>
        <r>
          <rPr>
            <i/>
            <sz val="14"/>
            <color rgb="FF000000"/>
            <rFont val="Times New Roman"/>
            <family val="18"/>
          </rPr>
          <t>Von unbestimmte Urlaub eingerückt</t>
        </r>
        <r>
          <rPr>
            <sz val="14"/>
            <color rgb="FF000000"/>
            <rFont val="Times New Roman"/>
            <family val="18"/>
          </rPr>
          <t xml:space="preserve"> [ST June 1812]</t>
        </r>
        <r>
          <rPr>
            <sz val="14"/>
            <color rgb="FF000000"/>
            <rFont val="Calibri"/>
            <family val="34"/>
          </rPr>
          <t xml:space="preserve">
</t>
        </r>
        <r>
          <rPr>
            <sz val="14"/>
            <color rgb="FF000000"/>
            <rFont val="Times New Roman"/>
            <family val="18"/>
          </rPr>
          <t xml:space="preserve">10/08/1812 </t>
        </r>
        <r>
          <rPr>
            <i/>
            <sz val="14"/>
            <color rgb="FF000000"/>
            <rFont val="Times New Roman"/>
            <family val="18"/>
          </rPr>
          <t>Bis Exercierzeit beurlaubt</t>
        </r>
        <r>
          <rPr>
            <sz val="14"/>
            <color rgb="FF000000"/>
            <rFont val="Times New Roman"/>
            <family val="18"/>
          </rPr>
          <t xml:space="preserve"> [ST Aug 1812]</t>
        </r>
        <r>
          <rPr>
            <sz val="14"/>
            <color rgb="FF000000"/>
            <rFont val="Calibri"/>
            <family val="34"/>
          </rPr>
          <t xml:space="preserve">
</t>
        </r>
        <r>
          <rPr>
            <sz val="14"/>
            <color rgb="FF000000"/>
            <rFont val="Times New Roman"/>
            <family val="18"/>
          </rPr>
          <t xml:space="preserve">03/09/1812 </t>
        </r>
        <r>
          <rPr>
            <i/>
            <sz val="14"/>
            <color rgb="FF000000"/>
            <rFont val="Times New Roman"/>
            <family val="18"/>
          </rPr>
          <t>Von bestimmte Urlaub eingerückt</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 xml:space="preserve">20/03/1813 </t>
        </r>
        <r>
          <rPr>
            <i/>
            <sz val="14"/>
            <color rgb="FF000000"/>
            <rFont val="Times New Roman"/>
            <family val="18"/>
          </rPr>
          <t>In Olmütz wegen Blutstrutzt superarbietreirt: Gegen Renuncierung als Reale Invalid zu entlassen</t>
        </r>
        <r>
          <rPr>
            <sz val="14"/>
            <color rgb="FF000000"/>
            <rFont val="Times New Roman"/>
            <family val="18"/>
          </rPr>
          <t xml:space="preserve">; </t>
        </r>
        <r>
          <rPr>
            <i/>
            <sz val="14"/>
            <color rgb="FF000000"/>
            <rFont val="Times New Roman"/>
            <family val="18"/>
          </rPr>
          <t>das Amtlich bestätigte Unterhalts Zeugnis liegt dabay</t>
        </r>
        <r>
          <rPr>
            <sz val="14"/>
            <color rgb="FF000000"/>
            <rFont val="Times New Roman"/>
            <family val="18"/>
          </rPr>
          <t xml:space="preserve"> [SUP 1813]</t>
        </r>
        <r>
          <rPr>
            <sz val="14"/>
            <color rgb="FF000000"/>
            <rFont val="Calibri"/>
            <family val="34"/>
          </rPr>
          <t xml:space="preserve">
</t>
        </r>
        <r>
          <rPr>
            <sz val="14"/>
            <color rgb="FF000000"/>
            <rFont val="Times New Roman"/>
            <family val="18"/>
          </rPr>
          <t xml:space="preserve">10/04/1813 </t>
        </r>
        <r>
          <rPr>
            <i/>
            <sz val="14"/>
            <color rgb="FF000000"/>
            <rFont val="Times New Roman"/>
            <family val="18"/>
          </rPr>
          <t>Als Real Invalid zu Folge hoher Verordnung ddt. Brünn von 29. März 813 Litt R. Nro. 2-54 und der mit Selbe erhaltene 20. März zu Olmütz Superarbietrierung als Reale Invalid Gegen Renuncierung mit Abschied entlassen</t>
        </r>
        <r>
          <rPr>
            <sz val="14"/>
            <color rgb="FF000000"/>
            <rFont val="Times New Roman"/>
            <family val="18"/>
          </rPr>
          <t xml:space="preserve"> [ST April 1813]</t>
        </r>
        <r>
          <rPr>
            <sz val="14"/>
            <color rgb="FF000000"/>
            <rFont val="Calibri"/>
            <family val="2"/>
          </rPr>
          <t xml:space="preserve"> </t>
        </r>
      </text>
    </comment>
    <comment ref="BG1068" authorId="0" shapeId="0" xr:uid="{7BD86FC4-14E4-3441-95F2-41AD90C86E7A}">
      <text>
        <r>
          <rPr>
            <sz val="14"/>
            <color rgb="FF000000"/>
            <rFont val="Times New Roman"/>
            <family val="18"/>
          </rPr>
          <t>ML 87 IR 1 (1807) – ST March (Brünn 23/07/1807)</t>
        </r>
        <r>
          <rPr>
            <sz val="14"/>
            <color rgb="FF000000"/>
            <rFont val="Calibri"/>
            <family val="34"/>
          </rPr>
          <t xml:space="preserve">
</t>
        </r>
        <r>
          <rPr>
            <sz val="14"/>
            <color rgb="FF000000"/>
            <rFont val="Times New Roman"/>
            <family val="18"/>
          </rPr>
          <t>ML 33 IR 1 (1811) – 12. Fus. Komp. Nr. 210 (Prossnitz 08/09/1811)</t>
        </r>
        <r>
          <rPr>
            <sz val="14"/>
            <color rgb="FF000000"/>
            <rFont val="Calibri"/>
            <family val="34"/>
          </rPr>
          <t xml:space="preserve">
</t>
        </r>
        <r>
          <rPr>
            <sz val="14"/>
            <color rgb="FF000000"/>
            <rFont val="Times New Roman"/>
            <family val="18"/>
          </rPr>
          <t>ML 91 IR 1 (1809) – ST Jan (Olmütz 17/04/1809), Feb (Olmütz 20/07/1809), Aug (Proßnitz 15/11/1810), Dec (Proßnitz 15/01/1811)</t>
        </r>
        <r>
          <rPr>
            <sz val="14"/>
            <color rgb="FF000000"/>
            <rFont val="Calibri"/>
            <family val="34"/>
          </rPr>
          <t xml:space="preserve">
</t>
        </r>
        <r>
          <rPr>
            <sz val="14"/>
            <color rgb="FF000000"/>
            <rFont val="Times New Roman"/>
            <family val="18"/>
          </rPr>
          <t>ML 94 IR (1810) – ST Feb (Proßnitz 15/02/1811), Sept (Brünn 17/04/1811)</t>
        </r>
        <r>
          <rPr>
            <sz val="14"/>
            <color rgb="FF000000"/>
            <rFont val="Calibri"/>
            <family val="34"/>
          </rPr>
          <t xml:space="preserve">
</t>
        </r>
        <r>
          <rPr>
            <sz val="14"/>
            <color rgb="FF000000"/>
            <rFont val="Times New Roman"/>
            <family val="18"/>
          </rPr>
          <t>ML 96 IR 1 (1811) – ST Dec (Proßnitz 01/02/1812)</t>
        </r>
        <r>
          <rPr>
            <sz val="14"/>
            <color rgb="FF000000"/>
            <rFont val="Calibri"/>
            <family val="34"/>
          </rPr>
          <t xml:space="preserve">
</t>
        </r>
        <r>
          <rPr>
            <sz val="14"/>
            <color rgb="FF000000"/>
            <rFont val="Times New Roman"/>
            <family val="18"/>
          </rPr>
          <t>ML 97 IR 1 (1812) – ST Jan (Proßnitz 01/03/1812), May (Proßnitz 24/08/1812), June (Proßnitz 14/09/1812),  Aug (Proßnitz 24/10/1812), Sept (Proßnitz 24/10/1812)</t>
        </r>
        <r>
          <rPr>
            <sz val="14"/>
            <color rgb="FF000000"/>
            <rFont val="Calibri"/>
            <family val="34"/>
          </rPr>
          <t xml:space="preserve">
</t>
        </r>
        <r>
          <rPr>
            <sz val="14"/>
            <color rgb="FF000000"/>
            <rFont val="Times New Roman"/>
            <family val="18"/>
          </rPr>
          <t>ML 99 IR 1 (1813) – ST April (Proßnitz 31/07/1813)</t>
        </r>
        <r>
          <rPr>
            <sz val="14"/>
            <color rgb="FF000000"/>
            <rFont val="Calibri"/>
            <family val="34"/>
          </rPr>
          <t xml:space="preserve">
</t>
        </r>
        <r>
          <rPr>
            <sz val="14"/>
            <color rgb="FF000000"/>
            <rFont val="Times New Roman"/>
            <family val="18"/>
          </rPr>
          <t>ML 100 IR 1 (1813) AL/TL – SUP Nr. 11 (Proßnitz 27/02/1813)</t>
        </r>
      </text>
    </comment>
    <comment ref="BH1068" authorId="0" shapeId="0" xr:uid="{38CD8726-5DBF-2148-9090-46FBF3861F9C}">
      <text>
        <r>
          <rPr>
            <sz val="14"/>
            <color rgb="FF000000"/>
            <rFont val="Calibri"/>
            <family val="34"/>
          </rPr>
          <t>IR 1 (1807-1813)</t>
        </r>
      </text>
    </comment>
    <comment ref="BJ1068" authorId="0" shapeId="0" xr:uid="{AC722024-A71C-C74D-99C8-8BB888AAF683}">
      <text>
        <r>
          <rPr>
            <i/>
            <sz val="14"/>
            <color rgb="FF000000"/>
            <rFont val="Times New Roman"/>
            <family val="18"/>
          </rPr>
          <t>Blutstrutzt</t>
        </r>
        <r>
          <rPr>
            <sz val="14"/>
            <color rgb="FF000000"/>
            <rFont val="Times New Roman"/>
            <family val="18"/>
          </rPr>
          <t xml:space="preserve">; Befund: </t>
        </r>
        <r>
          <rPr>
            <i/>
            <sz val="14"/>
            <color rgb="FF000000"/>
            <rFont val="Times New Roman"/>
            <family val="18"/>
          </rPr>
          <t xml:space="preserve">Durch einen Fall von Heubahn, sich ein Rippe gebrochen, davon ein eines Lungen Schwache und Blut husten erhalten; Nach Assentierung Ohne Verschuld: Sind Alle Heilmittel Fruchtlos angewendet worden und ist sechs Mal in Spital zu Obrowitz gelegt </t>
        </r>
        <r>
          <rPr>
            <sz val="14"/>
            <color rgb="FF000000"/>
            <rFont val="Times New Roman"/>
            <family val="18"/>
          </rPr>
          <t>[SUP Feb 1813]</t>
        </r>
      </text>
    </comment>
    <comment ref="BF1069" authorId="0" shapeId="0" xr:uid="{03F53735-8F51-A347-ACF9-A5EBEE54061F}">
      <text>
        <r>
          <rPr>
            <sz val="14"/>
            <color rgb="FF000000"/>
            <rFont val="Times New Roman"/>
            <family val="18"/>
          </rPr>
          <t xml:space="preserve">05/03/1807 </t>
        </r>
        <r>
          <rPr>
            <i/>
            <sz val="14"/>
            <color rgb="FF000000"/>
            <rFont val="Times New Roman"/>
            <family val="18"/>
          </rPr>
          <t>Als Landständischer Recrout mit 3Fl Handgeld zu Lublin in IR 55 assentiert und zur 11. Fus. Komp. eingeteilt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28/03/1807 Superarbietriert: Defekt: Ist zu Schwach und nun schlechtes Leibes Constitution; Defekt vor dienst bekommen: </t>
        </r>
        <r>
          <rPr>
            <i/>
            <sz val="14"/>
            <color rgb="FF000000"/>
            <rFont val="Times New Roman"/>
            <family val="18"/>
          </rPr>
          <t>ein andere Mann zu stellen, der Unkosten Ersatz durch das Werbbezirk herumzubringen und der untauglicher Rekrout mit Laupaß zu entlassen</t>
        </r>
        <r>
          <rPr>
            <sz val="14"/>
            <color rgb="FF000000"/>
            <rFont val="Calibri"/>
            <family val="34"/>
          </rPr>
          <t xml:space="preserve">
</t>
        </r>
        <r>
          <rPr>
            <sz val="14"/>
            <color rgb="FF000000"/>
            <rFont val="Times New Roman"/>
            <family val="18"/>
          </rPr>
          <t xml:space="preserve">20/04/1807 </t>
        </r>
        <r>
          <rPr>
            <i/>
            <sz val="14"/>
            <color rgb="FF000000"/>
            <rFont val="Times New Roman"/>
            <family val="18"/>
          </rPr>
          <t>in Folge Hoher Superarbietrierung von 28. Marz und Löhnung und Verpflegung bis 25. Hujus mit Laufpass entlassen</t>
        </r>
        <r>
          <rPr>
            <sz val="14"/>
            <color rgb="FF000000"/>
            <rFont val="Times New Roman"/>
            <family val="18"/>
          </rPr>
          <t xml:space="preserve"> [ST April 1807]</t>
        </r>
        <r>
          <rPr>
            <b/>
            <sz val="14"/>
            <color rgb="FF000000"/>
            <rFont val="Times New Roman"/>
            <family val="18"/>
          </rPr>
          <t xml:space="preserve"> </t>
        </r>
      </text>
    </comment>
    <comment ref="BG1069" authorId="0" shapeId="0" xr:uid="{A5EC2CE9-3D9A-8745-8EBD-94ED6737E1AF}">
      <text>
        <r>
          <rPr>
            <sz val="14"/>
            <color rgb="FF000000"/>
            <rFont val="Times New Roman"/>
            <family val="18"/>
          </rPr>
          <t>ML 10.697 IR 55 (1807): SUP Nr. 6 (Krakow 28/03/1807); ST March (Krakau 12/05/1807), April (Krakau 31/07/1807)</t>
        </r>
        <r>
          <rPr>
            <sz val="14"/>
            <color rgb="FF000000"/>
            <rFont val="Calibri"/>
            <family val="34"/>
          </rPr>
          <t xml:space="preserve">
</t>
        </r>
      </text>
    </comment>
    <comment ref="BH1069" authorId="0" shapeId="0" xr:uid="{E4F6B995-28F8-FD48-9AAC-3DDECD8AF413}">
      <text>
        <r>
          <rPr>
            <sz val="14"/>
            <color rgb="FF000000"/>
            <rFont val="Calibri"/>
            <family val="34"/>
          </rPr>
          <t>IR 55 (1807)</t>
        </r>
      </text>
    </comment>
    <comment ref="BJ1069" authorId="0" shapeId="0" xr:uid="{31AE2642-55AB-A942-9F63-7FC769774763}">
      <text>
        <r>
          <rPr>
            <i/>
            <sz val="14"/>
            <color rgb="FF000000"/>
            <rFont val="Times New Roman"/>
            <family val="18"/>
          </rPr>
          <t>Ist zu Schwach und nun schlechtes Leibes Constitution; Defekt vor dienst bekommen</t>
        </r>
        <r>
          <rPr>
            <i/>
            <sz val="14"/>
            <color rgb="FF000000"/>
            <rFont val="Calibri"/>
            <family val="2"/>
          </rPr>
          <t xml:space="preserve"> </t>
        </r>
        <r>
          <rPr>
            <i/>
            <sz val="14"/>
            <color rgb="FF000000"/>
            <rFont val="Times New Roman"/>
            <family val="18"/>
          </rPr>
          <t xml:space="preserve"> </t>
        </r>
        <r>
          <rPr>
            <sz val="14"/>
            <color rgb="FF000000"/>
            <rFont val="Times New Roman"/>
            <family val="18"/>
          </rPr>
          <t>[SUP March 1807]</t>
        </r>
      </text>
    </comment>
    <comment ref="BF1070" authorId="0" shapeId="0" xr:uid="{E43F13EA-B2CA-8E42-AB2A-C97FDE5FDEA1}">
      <text>
        <r>
          <rPr>
            <sz val="14"/>
            <color rgb="FF000000"/>
            <rFont val="Times New Roman"/>
            <family val="18"/>
          </rPr>
          <t xml:space="preserve">05/03/1807 </t>
        </r>
        <r>
          <rPr>
            <i/>
            <sz val="14"/>
            <color rgb="FF000000"/>
            <rFont val="Times New Roman"/>
            <family val="18"/>
          </rPr>
          <t>A 3Fl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12. Fus. Komp. Nr. 115 [</t>
        </r>
        <r>
          <rPr>
            <i/>
            <sz val="14"/>
            <color rgb="FF000000"/>
            <rFont val="Times New Roman"/>
            <family val="18"/>
          </rPr>
          <t>Beurlaubt in seinem Heimat bis zur Einberufung</t>
        </r>
        <r>
          <rPr>
            <sz val="14"/>
            <color rgb="FF000000"/>
            <rFont val="Times New Roman"/>
            <family val="18"/>
          </rPr>
          <t>]</t>
        </r>
        <r>
          <rPr>
            <sz val="14"/>
            <color rgb="FF000000"/>
            <rFont val="Calibri"/>
            <family val="34"/>
          </rPr>
          <t xml:space="preserve">
</t>
        </r>
      </text>
    </comment>
    <comment ref="BG1070" authorId="0" shapeId="0" xr:uid="{767DE238-1DB8-BC42-9B12-6D3B78EA6421}">
      <text>
        <r>
          <rPr>
            <sz val="14"/>
            <color rgb="FF000000"/>
            <rFont val="Times New Roman"/>
            <family val="18"/>
          </rPr>
          <t>ML 634 IR 9 (1811) – 12. Fus. Komp. Nr. 115 (Caschau 19/09/1811)</t>
        </r>
        <r>
          <rPr>
            <sz val="14"/>
            <color rgb="FF000000"/>
            <rFont val="Calibri"/>
            <family val="34"/>
          </rPr>
          <t xml:space="preserve">
</t>
        </r>
      </text>
    </comment>
    <comment ref="BH1070" authorId="0" shapeId="0" xr:uid="{A4A97997-0F3D-1247-9A70-DC81C208E7FC}">
      <text>
        <r>
          <rPr>
            <sz val="14"/>
            <color rgb="FF000000"/>
            <rFont val="Calibri"/>
            <family val="34"/>
          </rPr>
          <t>IR 9 (1807-1811)</t>
        </r>
      </text>
    </comment>
    <comment ref="I1071" authorId="0" shapeId="0" xr:uid="{DEA3CEEF-A254-4343-B38C-D7A6562947CD}">
      <text>
        <r>
          <rPr>
            <sz val="14"/>
            <color rgb="FF000000"/>
            <rFont val="Calibri"/>
            <family val="34"/>
          </rPr>
          <t xml:space="preserve">1780 [30 (TL 1810)]
</t>
        </r>
        <r>
          <rPr>
            <sz val="14"/>
            <color rgb="FF000000"/>
            <rFont val="Calibri"/>
            <family val="34"/>
          </rPr>
          <t xml:space="preserve">OR
</t>
        </r>
        <r>
          <rPr>
            <b/>
            <sz val="14"/>
            <color rgb="FF000000"/>
            <rFont val="Calibri"/>
            <family val="34"/>
          </rPr>
          <t>1787 [22 (TL 1809)]</t>
        </r>
      </text>
    </comment>
    <comment ref="T1071" authorId="0" shapeId="0" xr:uid="{9C1AC942-B6E7-E448-B7B8-4F954A69232E}">
      <text>
        <r>
          <rPr>
            <b/>
            <sz val="14"/>
            <color rgb="FF000000"/>
            <rFont val="Calibri"/>
            <family val="34"/>
          </rPr>
          <t xml:space="preserve">5.2.1 [163.48 cm (TL 1809)]
</t>
        </r>
        <r>
          <rPr>
            <sz val="14"/>
            <color rgb="FF000000"/>
            <rFont val="Calibri"/>
            <family val="34"/>
          </rPr>
          <t xml:space="preserve">5.3.2 [166.33 cm (TL 1811)] 
</t>
        </r>
      </text>
    </comment>
    <comment ref="BF1071" authorId="0" shapeId="0" xr:uid="{96AD7977-3101-274F-96F3-78305278B5BB}">
      <text>
        <r>
          <rPr>
            <sz val="14"/>
            <color rgb="FF000000"/>
            <rFont val="Times New Roman"/>
            <family val="18"/>
          </rPr>
          <t xml:space="preserve">06/03/1807 </t>
        </r>
        <r>
          <rPr>
            <i/>
            <sz val="14"/>
            <color rgb="FF000000"/>
            <rFont val="Times New Roman"/>
            <family val="18"/>
          </rPr>
          <t>A 3Fl von Land gestellt</t>
        </r>
        <r>
          <rPr>
            <sz val="14"/>
            <color rgb="FF000000"/>
            <rFont val="Times New Roman"/>
            <family val="18"/>
          </rPr>
          <t xml:space="preserve"> [RL 1808 &amp; TL Nov 1810] 
</t>
        </r>
        <r>
          <rPr>
            <i/>
            <sz val="14"/>
            <color rgb="FFFF0000"/>
            <rFont val="Times New Roman"/>
            <family val="18"/>
          </rPr>
          <t>Wegen Mangel des Zuwachs Dokumenten Assentierungstag unbekannt</t>
        </r>
        <r>
          <rPr>
            <sz val="14"/>
            <color rgb="FFFF0000"/>
            <rFont val="Times New Roman"/>
            <family val="18"/>
          </rPr>
          <t xml:space="preserve"> [TL Dec 1810]</t>
        </r>
        <r>
          <rPr>
            <sz val="14"/>
            <color rgb="FF000000"/>
            <rFont val="Times New Roman"/>
            <family val="18"/>
          </rPr>
          <t xml:space="preserve">
</t>
        </r>
        <r>
          <rPr>
            <sz val="14"/>
            <color rgb="FF000000"/>
            <rFont val="Times New Roman"/>
            <family val="18"/>
          </rPr>
          <t>19/09/1808 Revision: IR 63 7. Fus [Haupt Prefamme] Komp. Nr. 149 [</t>
        </r>
        <r>
          <rPr>
            <i/>
            <sz val="14"/>
            <color rgb="FF000000"/>
            <rFont val="Times New Roman"/>
            <family val="18"/>
          </rPr>
          <t>Bei der Regiments Artillerie Bespannung zugeheilt</t>
        </r>
        <r>
          <rPr>
            <sz val="14"/>
            <color rgb="FF000000"/>
            <rFont val="Times New Roman"/>
            <family val="18"/>
          </rPr>
          <t xml:space="preserve">]
</t>
        </r>
        <r>
          <rPr>
            <sz val="14"/>
            <color rgb="FF000000"/>
            <rFont val="Times New Roman"/>
            <family val="18"/>
          </rPr>
          <t xml:space="preserve">01/04/1809 </t>
        </r>
        <r>
          <rPr>
            <i/>
            <sz val="14"/>
            <color rgb="FF000000"/>
            <rFont val="Times New Roman"/>
            <family val="18"/>
          </rPr>
          <t>Von IR 63 7. Fus. Komp. zum ArtHandK transferiert und zum 13. Batterie Komp. eingeheilt</t>
        </r>
        <r>
          <rPr>
            <sz val="14"/>
            <color rgb="FF000000"/>
            <rFont val="Times New Roman"/>
            <family val="18"/>
          </rPr>
          <t xml:space="preserve"> [TL Nov 1810 &amp; ST April 1809]
</t>
        </r>
        <r>
          <rPr>
            <sz val="14"/>
            <color rgb="FF000000"/>
            <rFont val="Times New Roman"/>
            <family val="18"/>
          </rPr>
          <t xml:space="preserve">26/04/1809 </t>
        </r>
        <r>
          <rPr>
            <i/>
            <sz val="14"/>
            <color rgb="FF000000"/>
            <rFont val="Times New Roman"/>
            <family val="18"/>
          </rPr>
          <t>Krank in auswärtiger Spital</t>
        </r>
        <r>
          <rPr>
            <sz val="14"/>
            <color rgb="FF000000"/>
            <rFont val="Times New Roman"/>
            <family val="18"/>
          </rPr>
          <t xml:space="preserve"> [ST April 1809]
</t>
        </r>
        <r>
          <rPr>
            <sz val="14"/>
            <color rgb="FF000000"/>
            <rFont val="Times New Roman"/>
            <family val="18"/>
          </rPr>
          <t xml:space="preserve">25/06/1809 </t>
        </r>
        <r>
          <rPr>
            <i/>
            <sz val="14"/>
            <color rgb="FF000000"/>
            <rFont val="Times New Roman"/>
            <family val="18"/>
          </rPr>
          <t>Rekonvalesziert</t>
        </r>
        <r>
          <rPr>
            <sz val="14"/>
            <color rgb="FF000000"/>
            <rFont val="Times New Roman"/>
            <family val="18"/>
          </rPr>
          <t xml:space="preserve"> [ST June 1809]
</t>
        </r>
        <r>
          <rPr>
            <sz val="14"/>
            <color rgb="FF000000"/>
            <rFont val="Times New Roman"/>
            <family val="18"/>
          </rPr>
          <t xml:space="preserve">26/08/1809 </t>
        </r>
        <r>
          <rPr>
            <i/>
            <sz val="14"/>
            <color rgb="FF000000"/>
            <rFont val="Times New Roman"/>
            <family val="18"/>
          </rPr>
          <t>Von 11. Zum 13. Batterie Komp. transferiert</t>
        </r>
        <r>
          <rPr>
            <sz val="14"/>
            <color rgb="FF000000"/>
            <rFont val="Times New Roman"/>
            <family val="18"/>
          </rPr>
          <t xml:space="preserve"> [Georg KANDL] [ST Aug 1809]
</t>
        </r>
        <r>
          <rPr>
            <sz val="14"/>
            <color rgb="FF000000"/>
            <rFont val="Times New Roman"/>
            <family val="18"/>
          </rPr>
          <t xml:space="preserve">01/02/1810 </t>
        </r>
        <r>
          <rPr>
            <i/>
            <sz val="14"/>
            <color rgb="FF000000"/>
            <rFont val="Times New Roman"/>
            <family val="18"/>
          </rPr>
          <t>Von ArtHandK 13. Batterie Zum IR 63 transferiert seitdem auf Anhero Marsch</t>
        </r>
        <r>
          <rPr>
            <sz val="14"/>
            <color rgb="FF000000"/>
            <rFont val="Times New Roman"/>
            <family val="18"/>
          </rPr>
          <t xml:space="preserve"> [TL Dec 1810 &amp; ST Feb 1810]
</t>
        </r>
        <r>
          <rPr>
            <sz val="14"/>
            <color rgb="FF000000"/>
            <rFont val="Times New Roman"/>
            <family val="18"/>
          </rPr>
          <t xml:space="preserve">03/02/1810 </t>
        </r>
        <r>
          <rPr>
            <i/>
            <sz val="14"/>
            <color rgb="FF000000"/>
            <rFont val="Times New Roman"/>
            <family val="18"/>
          </rPr>
          <t>In Regiment eingerückt und zum 8. Fus. Komp. eingeteilt</t>
        </r>
        <r>
          <rPr>
            <sz val="14"/>
            <color rgb="FF000000"/>
            <rFont val="Times New Roman"/>
            <family val="18"/>
          </rPr>
          <t xml:space="preserve"> [ST Feb 1810]
</t>
        </r>
        <r>
          <rPr>
            <sz val="14"/>
            <color rgb="FF000000"/>
            <rFont val="Times New Roman"/>
            <family val="18"/>
          </rPr>
          <t xml:space="preserve">30/08/1810 [Als in Zamoc Kreis Gebürtig] </t>
        </r>
        <r>
          <rPr>
            <i/>
            <sz val="14"/>
            <color rgb="FF000000"/>
            <rFont val="Times New Roman"/>
            <family val="18"/>
          </rPr>
          <t>Mit Abschied entlassen</t>
        </r>
        <r>
          <rPr>
            <sz val="14"/>
            <color rgb="FF000000"/>
            <rFont val="Times New Roman"/>
            <family val="18"/>
          </rPr>
          <t xml:space="preserve"> [ST Oct 1810]</t>
        </r>
      </text>
    </comment>
    <comment ref="BG1071" authorId="0" shapeId="0" xr:uid="{362CA36C-E0A2-DA46-AC3D-0D8E3453FBC4}">
      <text>
        <r>
          <rPr>
            <sz val="14"/>
            <color rgb="FF000000"/>
            <rFont val="Times New Roman"/>
            <family val="18"/>
          </rPr>
          <t>ML 11.862 AtHandK (1809) AL/TL – ST April (15/05/1810), June (Vienna 01/09/1810), Aug (Vienna 30/11/1810)</t>
        </r>
        <r>
          <rPr>
            <sz val="14"/>
            <color rgb="FF000000"/>
            <rFont val="Calibri"/>
            <family val="34"/>
          </rPr>
          <t xml:space="preserve">
</t>
        </r>
        <r>
          <rPr>
            <sz val="14"/>
            <color rgb="FF000000"/>
            <rFont val="Times New Roman"/>
            <family val="18"/>
          </rPr>
          <t>ML 11.865 AtHandK (1810) AL/TL – TL ArtHandK-&gt;IR 63 Nr. 5 (Vienna 30/12/1811)</t>
        </r>
        <r>
          <rPr>
            <sz val="14"/>
            <color rgb="FF000000"/>
            <rFont val="Calibri"/>
            <family val="34"/>
          </rPr>
          <t xml:space="preserve">
</t>
        </r>
        <r>
          <rPr>
            <sz val="14"/>
            <color rgb="FF000000"/>
            <rFont val="Times New Roman"/>
            <family val="18"/>
          </rPr>
          <t>ML 5261 IR 63 (1808-10) – RL 7. Fus. Komp. Nr. (Comorn 19/09/1808)</t>
        </r>
        <r>
          <rPr>
            <sz val="14"/>
            <color rgb="FF000000"/>
            <rFont val="Calibri"/>
            <family val="34"/>
          </rPr>
          <t xml:space="preserve">
</t>
        </r>
        <r>
          <rPr>
            <sz val="14"/>
            <color rgb="FF000000"/>
            <rFont val="Times New Roman"/>
            <family val="18"/>
          </rPr>
          <t>ML 5291 IR 63 (1809) – TL IR 63-&gt;ArtHandK Nr. 2 (Preßburg 26/11/1810)</t>
        </r>
        <r>
          <rPr>
            <sz val="14"/>
            <color rgb="FF000000"/>
            <rFont val="Calibri"/>
            <family val="34"/>
          </rPr>
          <t xml:space="preserve">
</t>
        </r>
        <r>
          <rPr>
            <sz val="14"/>
            <color rgb="FF000000"/>
            <rFont val="Times New Roman"/>
            <family val="18"/>
          </rPr>
          <t>ML 5292 IR 63 (1810) – ST Feb (Preßburg 26/07/1810), Sept (Brünn 12/11/1811)</t>
        </r>
        <r>
          <rPr>
            <sz val="14"/>
            <color rgb="FF000000"/>
            <rFont val="Calibri"/>
            <family val="34"/>
          </rPr>
          <t xml:space="preserve">
</t>
        </r>
      </text>
    </comment>
    <comment ref="BH1071" authorId="0" shapeId="0" xr:uid="{1D25296D-CD33-D048-89AB-F18E3F283139}">
      <text>
        <r>
          <rPr>
            <sz val="14"/>
            <color rgb="FF000000"/>
            <rFont val="Calibri"/>
            <family val="34"/>
          </rPr>
          <t xml:space="preserve">IR 63 (1807-1809)
</t>
        </r>
        <r>
          <rPr>
            <sz val="14"/>
            <color rgb="FF000000"/>
            <rFont val="Calibri"/>
            <family val="34"/>
          </rPr>
          <t xml:space="preserve">ArtHandK (1809-1810)
</t>
        </r>
        <r>
          <rPr>
            <sz val="14"/>
            <color rgb="FF000000"/>
            <rFont val="Calibri"/>
            <family val="34"/>
          </rPr>
          <t>IR 63 (1810)</t>
        </r>
      </text>
    </comment>
    <comment ref="I1072" authorId="0" shapeId="0" xr:uid="{296E3C87-E3CD-224D-83C8-2EA1F8E03177}">
      <text>
        <r>
          <rPr>
            <sz val="14"/>
            <color rgb="FF000000"/>
            <rFont val="Calibri"/>
            <family val="34"/>
          </rPr>
          <t xml:space="preserve">1785 [26 (ML 1811)]
</t>
        </r>
        <r>
          <rPr>
            <sz val="14"/>
            <color rgb="FF000000"/>
            <rFont val="Calibri"/>
            <family val="34"/>
          </rPr>
          <t xml:space="preserve">OR 
</t>
        </r>
        <r>
          <rPr>
            <sz val="14"/>
            <color rgb="FF000000"/>
            <rFont val="Calibri"/>
            <family val="34"/>
          </rPr>
          <t>1783 [35 (ML 1818)</t>
        </r>
      </text>
    </comment>
    <comment ref="T1072" authorId="0" shapeId="0" xr:uid="{5C6424AE-7B22-DC4C-930C-4844C477D844}">
      <text>
        <r>
          <rPr>
            <sz val="14"/>
            <color rgb="FF000000"/>
            <rFont val="Calibri"/>
            <family val="34"/>
          </rPr>
          <t xml:space="preserve">163.7 [5.2.2. (ML 1811)]
</t>
        </r>
        <r>
          <rPr>
            <sz val="14"/>
            <color rgb="FF000000"/>
            <rFont val="Calibri"/>
            <family val="34"/>
          </rPr>
          <t>166.33 [5.3.2 (ML 1817)]</t>
        </r>
      </text>
    </comment>
    <comment ref="BF1072" authorId="0" shapeId="0" xr:uid="{E82C5625-5365-B449-80F2-E04D07F73F8D}">
      <text>
        <r>
          <rPr>
            <sz val="14"/>
            <color rgb="FFFF0000"/>
            <rFont val="Times New Roman"/>
            <family val="18"/>
          </rPr>
          <t xml:space="preserve">In 03/1807 </t>
        </r>
        <r>
          <rPr>
            <i/>
            <sz val="14"/>
            <color rgb="FFFF0000"/>
            <rFont val="Times New Roman"/>
            <family val="18"/>
          </rPr>
          <t>Nach Aufgabe des Mannes Gegen 3Fl Handgeld auf 10 Jahr assentiert</t>
        </r>
        <r>
          <rPr>
            <sz val="14"/>
            <color rgb="FFFF0000"/>
            <rFont val="Times New Roman"/>
            <family val="18"/>
          </rPr>
          <t xml:space="preserve"> [ML 1811]</t>
        </r>
        <r>
          <rPr>
            <sz val="14"/>
            <color rgb="FF000000"/>
            <rFont val="Times New Roman"/>
            <family val="18"/>
          </rPr>
          <t xml:space="preserve">
</t>
        </r>
        <r>
          <rPr>
            <sz val="14"/>
            <color rgb="FF000000"/>
            <rFont val="Times New Roman"/>
            <family val="18"/>
          </rPr>
          <t xml:space="preserve">08/03/1807 </t>
        </r>
        <r>
          <rPr>
            <i/>
            <sz val="14"/>
            <color rgb="FF000000"/>
            <rFont val="Times New Roman"/>
            <family val="18"/>
          </rPr>
          <t>Zu Rzeszow gegen 3Fl Handgeld auf 10 Jaren Assentiert</t>
        </r>
        <r>
          <rPr>
            <sz val="14"/>
            <color rgb="FF000000"/>
            <rFont val="Times New Roman"/>
            <family val="18"/>
          </rPr>
          <t xml:space="preserve"> [ML 1818]
</t>
        </r>
        <r>
          <rPr>
            <sz val="14"/>
            <color rgb="FF000000"/>
            <rFont val="Times New Roman"/>
            <family val="18"/>
          </rPr>
          <t xml:space="preserve">01/09/1810 </t>
        </r>
        <r>
          <rPr>
            <i/>
            <sz val="14"/>
            <color rgb="FF000000"/>
            <rFont val="Times New Roman"/>
            <family val="18"/>
          </rPr>
          <t>Von 4. Zur 6. Fus. Komp. transferiert</t>
        </r>
        <r>
          <rPr>
            <sz val="14"/>
            <color rgb="FF000000"/>
            <rFont val="Times New Roman"/>
            <family val="18"/>
          </rPr>
          <t xml:space="preserve"> [ML 1811] 
</t>
        </r>
        <r>
          <rPr>
            <sz val="14"/>
            <color rgb="FF000000"/>
            <rFont val="Times New Roman"/>
            <family val="18"/>
          </rPr>
          <t xml:space="preserve">25/09/1810 Revision: IR 44 6. Fus. Komp. Nr. 118
</t>
        </r>
        <r>
          <rPr>
            <sz val="14"/>
            <color rgb="FF000000"/>
            <rFont val="Times New Roman"/>
            <family val="18"/>
          </rPr>
          <t xml:space="preserve">18/09/1811 Muster: IR 44 6. Fus. Komp. Nr. 118
</t>
        </r>
        <r>
          <rPr>
            <sz val="14"/>
            <color rgb="FF000000"/>
            <rFont val="Times New Roman"/>
            <family val="18"/>
          </rPr>
          <t>19/09/1812 Revision: IR 44 6. Fus. Komp. Nr. 103 [</t>
        </r>
        <r>
          <rPr>
            <i/>
            <sz val="14"/>
            <color rgb="FF000000"/>
            <rFont val="Times New Roman"/>
            <family val="18"/>
          </rPr>
          <t>Auf Commando nach Esegg</t>
        </r>
        <r>
          <rPr>
            <sz val="14"/>
            <color rgb="FF000000"/>
            <rFont val="Times New Roman"/>
            <family val="18"/>
          </rPr>
          <t xml:space="preserve">]
</t>
        </r>
        <r>
          <rPr>
            <sz val="14"/>
            <color rgb="FF000000"/>
            <rFont val="Times New Roman"/>
            <family val="18"/>
          </rPr>
          <t>07/01/1818 Muster: IR 44 1. Fus. Komp. [</t>
        </r>
        <r>
          <rPr>
            <i/>
            <sz val="14"/>
            <color rgb="FF000000"/>
            <rFont val="Times New Roman"/>
            <family val="18"/>
          </rPr>
          <t>Bei Werbbezirk in Sambor</t>
        </r>
        <r>
          <rPr>
            <sz val="14"/>
            <color rgb="FF000000"/>
            <rFont val="Times New Roman"/>
            <family val="18"/>
          </rPr>
          <t xml:space="preserve">]
</t>
        </r>
        <r>
          <rPr>
            <sz val="14"/>
            <color rgb="FF000000"/>
            <rFont val="Times New Roman"/>
            <family val="18"/>
          </rPr>
          <t xml:space="preserve">30/01/1818 </t>
        </r>
        <r>
          <rPr>
            <i/>
            <sz val="14"/>
            <color rgb="FF000000"/>
            <rFont val="Times New Roman"/>
            <family val="18"/>
          </rPr>
          <t>Als ausgedienter Capitulant Mit Abschied entlassen</t>
        </r>
        <r>
          <rPr>
            <sz val="14"/>
            <color rgb="FF000000"/>
            <rFont val="Times New Roman"/>
            <family val="18"/>
          </rPr>
          <t xml:space="preserve"> [ML 1818]
</t>
        </r>
      </text>
    </comment>
    <comment ref="BG1072" authorId="0" shapeId="0" xr:uid="{5E6853E8-A9EE-4C41-8A7C-DDBFF158BF2A}">
      <text>
        <r>
          <rPr>
            <sz val="14"/>
            <color rgb="FF000000"/>
            <rFont val="Times New Roman"/>
            <family val="18"/>
          </rPr>
          <t>ML 3911 IR 44 (1808-10) – 6. Fus. Komp. Nr. 118 (Sthulweissenburg 25/09/1810)</t>
        </r>
        <r>
          <rPr>
            <sz val="14"/>
            <color rgb="FF000000"/>
            <rFont val="Calibri"/>
            <family val="34"/>
          </rPr>
          <t xml:space="preserve">
</t>
        </r>
        <r>
          <rPr>
            <sz val="14"/>
            <color rgb="FF000000"/>
            <rFont val="Times New Roman"/>
            <family val="18"/>
          </rPr>
          <t>ML 3912/3 IR 44 (1811) – 6. Fus. Komp. Nr. 192 (Pappa 18/09/1811)</t>
        </r>
        <r>
          <rPr>
            <sz val="14"/>
            <color rgb="FF000000"/>
            <rFont val="Calibri"/>
            <family val="34"/>
          </rPr>
          <t xml:space="preserve">
</t>
        </r>
        <r>
          <rPr>
            <sz val="14"/>
            <color rgb="FF000000"/>
            <rFont val="Times New Roman"/>
            <family val="18"/>
          </rPr>
          <t>ML 3914 IR 44 (1812/6) – 6. Fus. Komp. Nr. 103 (Pest 19/09/1812)</t>
        </r>
        <r>
          <rPr>
            <sz val="14"/>
            <color rgb="FF000000"/>
            <rFont val="Calibri"/>
            <family val="34"/>
          </rPr>
          <t xml:space="preserve">
</t>
        </r>
        <r>
          <rPr>
            <sz val="14"/>
            <color rgb="FF000000"/>
            <rFont val="Times New Roman"/>
            <family val="18"/>
          </rPr>
          <t>ML 3915/7 IR 44 (1818) – 1 Fus. Komp. Nr. 51 (Lodi 07/01/1818); 1. Fus. Komp. Abgang (Lodi 26/10/1818)</t>
        </r>
        <r>
          <rPr>
            <sz val="14"/>
            <color rgb="FF000000"/>
            <rFont val="Calibri"/>
            <family val="34"/>
          </rPr>
          <t xml:space="preserve">
</t>
        </r>
      </text>
    </comment>
    <comment ref="BH1072" authorId="0" shapeId="0" xr:uid="{8176F67A-113D-9E4D-B14E-90E957BFA875}">
      <text>
        <r>
          <rPr>
            <sz val="14"/>
            <color rgb="FF000000"/>
            <rFont val="Calibri"/>
            <family val="34"/>
          </rPr>
          <t>IR 44 (1807-1818)</t>
        </r>
      </text>
    </comment>
    <comment ref="BF1073" authorId="0" shapeId="0" xr:uid="{36D5752B-FE44-C143-928E-68C0D26651C6}">
      <text>
        <r>
          <rPr>
            <sz val="14"/>
            <color rgb="FF000000"/>
            <rFont val="Times New Roman"/>
            <family val="18"/>
          </rPr>
          <t xml:space="preserve">08/03/1807 </t>
        </r>
        <r>
          <rPr>
            <i/>
            <sz val="14"/>
            <color rgb="FF000000"/>
            <rFont val="Times New Roman"/>
            <family val="18"/>
          </rPr>
          <t>Als Landständischer Recrout a 3Fl Handgeld zu Stanislau assentiert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5. Fus. Kompanie zum IR 63 transferiert und zur 10. Fus. Komp. eingeheilt</t>
        </r>
        <r>
          <rPr>
            <sz val="14"/>
            <color rgb="FF000000"/>
            <rFont val="Times New Roman"/>
            <family val="18"/>
          </rPr>
          <t xml:space="preserve"> [TL Sept 1810 &amp; ST March 1810] </t>
        </r>
        <r>
          <rPr>
            <sz val="14"/>
            <color rgb="FF000000"/>
            <rFont val="Calibri"/>
            <family val="34"/>
          </rPr>
          <t xml:space="preserve">
</t>
        </r>
        <r>
          <rPr>
            <sz val="14"/>
            <color rgb="FF000000"/>
            <rFont val="Times New Roman"/>
            <family val="18"/>
          </rPr>
          <t xml:space="preserve">07/04/1810 </t>
        </r>
        <r>
          <rPr>
            <i/>
            <sz val="14"/>
            <color rgb="FF000000"/>
            <rFont val="Times New Roman"/>
            <family val="18"/>
          </rPr>
          <t xml:space="preserve">Krank in auswärtigen Spital </t>
        </r>
        <r>
          <rPr>
            <sz val="14"/>
            <color rgb="FF000000"/>
            <rFont val="Times New Roman"/>
            <family val="18"/>
          </rPr>
          <t>[ST April 1810]</t>
        </r>
        <r>
          <rPr>
            <sz val="14"/>
            <color rgb="FF000000"/>
            <rFont val="Calibri"/>
            <family val="34"/>
          </rPr>
          <t xml:space="preserve">
</t>
        </r>
        <r>
          <rPr>
            <sz val="14"/>
            <color rgb="FF000000"/>
            <rFont val="Times New Roman"/>
            <family val="18"/>
          </rPr>
          <t xml:space="preserve">01/06/1810 </t>
        </r>
        <r>
          <rPr>
            <i/>
            <sz val="14"/>
            <color rgb="FF000000"/>
            <rFont val="Times New Roman"/>
            <family val="18"/>
          </rPr>
          <t>Zum Regimentsspital übersetzt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17/06/1810 </t>
        </r>
        <r>
          <rPr>
            <i/>
            <sz val="14"/>
            <color rgb="FF000000"/>
            <rFont val="Times New Roman"/>
            <family val="18"/>
          </rPr>
          <t>Rekonvalesziert und seitdem beim Staab und anderen Fusilier Komp zugeteilt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01/07/1810 </t>
        </r>
        <r>
          <rPr>
            <i/>
            <sz val="14"/>
            <color rgb="FF000000"/>
            <rFont val="Times New Roman"/>
            <family val="18"/>
          </rPr>
          <t>Auf Marsch ins Pattauer Invalidenhaus</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31/10/1810 </t>
        </r>
        <r>
          <rPr>
            <i/>
            <sz val="14"/>
            <color rgb="FF000000"/>
            <rFont val="Times New Roman"/>
            <family val="18"/>
          </rPr>
          <t>Als unwissend verloren in Abgang gebracht</t>
        </r>
        <r>
          <rPr>
            <sz val="14"/>
            <color rgb="FF000000"/>
            <rFont val="Times New Roman"/>
            <family val="18"/>
          </rPr>
          <t xml:space="preserve"> [ST Oct 1810]</t>
        </r>
        <r>
          <rPr>
            <sz val="14"/>
            <color rgb="FF000000"/>
            <rFont val="Calibri"/>
            <family val="34"/>
          </rPr>
          <t xml:space="preserve">
</t>
        </r>
      </text>
    </comment>
    <comment ref="BG1073" authorId="0" shapeId="0" xr:uid="{E2FFA722-D6F4-B444-9BEE-9DA36C4DB8DA}">
      <text>
        <r>
          <rPr>
            <sz val="14"/>
            <color rgb="FF000000"/>
            <rFont val="Times New Roman"/>
            <family val="18"/>
          </rPr>
          <t>ML 5292 IR 63 (1810) – März (Preßburg 16/07/1811), April (26/07/1811), Mai (30/09/1811), Sept (Br</t>
        </r>
        <r>
          <rPr>
            <sz val="14"/>
            <color rgb="FF000000"/>
            <rFont val="german"/>
            <charset val="1"/>
          </rPr>
          <t xml:space="preserve">ünn </t>
        </r>
        <r>
          <rPr>
            <sz val="14"/>
            <color rgb="FF000000"/>
            <rFont val="Times New Roman"/>
            <family val="18"/>
          </rPr>
          <t>12/11/1811), October (Br</t>
        </r>
        <r>
          <rPr>
            <sz val="14"/>
            <color rgb="FF000000"/>
            <rFont val="german"/>
            <charset val="1"/>
          </rPr>
          <t xml:space="preserve">ünn </t>
        </r>
        <r>
          <rPr>
            <sz val="14"/>
            <color rgb="FF000000"/>
            <rFont val="Times New Roman"/>
            <family val="18"/>
          </rPr>
          <t>20/11/1811)</t>
        </r>
        <r>
          <rPr>
            <sz val="14"/>
            <color rgb="FF000000"/>
            <rFont val="Calibri"/>
            <family val="34"/>
          </rPr>
          <t xml:space="preserve">
</t>
        </r>
        <r>
          <rPr>
            <sz val="14"/>
            <color rgb="FF000000"/>
            <rFont val="Times New Roman"/>
            <family val="18"/>
          </rPr>
          <t>ML 5293 IR 63 (1810) AL/TL – TL IR 13-&gt;IR 63 Nr. 41 (Graz 02/09/1810)</t>
        </r>
        <r>
          <rPr>
            <sz val="14"/>
            <color rgb="FF000000"/>
            <rFont val="Calibri"/>
            <family val="34"/>
          </rPr>
          <t xml:space="preserve">
</t>
        </r>
      </text>
    </comment>
    <comment ref="BH1073" authorId="0" shapeId="0" xr:uid="{5575264C-1A22-EA42-9F66-1219E6759129}">
      <text>
        <r>
          <rPr>
            <sz val="14"/>
            <color rgb="FF000000"/>
            <rFont val="Calibri"/>
            <family val="34"/>
          </rPr>
          <t xml:space="preserve">IR 13 (1807-1810)
</t>
        </r>
        <r>
          <rPr>
            <sz val="14"/>
            <color rgb="FF000000"/>
            <rFont val="Calibri"/>
            <family val="34"/>
          </rPr>
          <t>IR 63 (1810)</t>
        </r>
      </text>
    </comment>
    <comment ref="I1074" authorId="0" shapeId="0" xr:uid="{0965F672-34C7-9F4B-B3ED-68A106F4DBB7}">
      <text>
        <r>
          <rPr>
            <sz val="14"/>
            <color rgb="FF000000"/>
            <rFont val="Calibri"/>
            <family val="34"/>
          </rPr>
          <t xml:space="preserve">1782 [35 (ML 1817)]
</t>
        </r>
        <r>
          <rPr>
            <sz val="14"/>
            <color rgb="FF000000"/>
            <rFont val="Calibri"/>
            <family val="34"/>
          </rPr>
          <t xml:space="preserve">OR
</t>
        </r>
        <r>
          <rPr>
            <sz val="14"/>
            <color rgb="FF000000"/>
            <rFont val="Calibri"/>
            <family val="34"/>
          </rPr>
          <t>1785 [26 (ML 1811)]</t>
        </r>
      </text>
    </comment>
    <comment ref="T1074" authorId="0" shapeId="0" xr:uid="{0D89FDDF-C60D-FB49-B50D-0F6C57BF17EE}">
      <text>
        <r>
          <rPr>
            <sz val="14"/>
            <color rgb="FF000000"/>
            <rFont val="Calibri"/>
            <family val="34"/>
          </rPr>
          <t xml:space="preserve">163.7 [5.2.2. (ML 1811)]
</t>
        </r>
        <r>
          <rPr>
            <sz val="14"/>
            <color rgb="FF000000"/>
            <rFont val="Calibri"/>
            <family val="34"/>
          </rPr>
          <t>166.33 [5.3.2 (ML 1817)]</t>
        </r>
      </text>
    </comment>
    <comment ref="BF1074" authorId="0" shapeId="0" xr:uid="{AB3A6D8B-82F0-864B-9B53-7D2754375561}">
      <text>
        <r>
          <rPr>
            <sz val="14"/>
            <color rgb="FF000000"/>
            <rFont val="Times New Roman"/>
            <family val="18"/>
          </rPr>
          <t xml:space="preserve">10/03/1807 </t>
        </r>
        <r>
          <rPr>
            <i/>
            <sz val="14"/>
            <color rgb="FF000000"/>
            <rFont val="Times New Roman"/>
            <family val="18"/>
          </rPr>
          <t>a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3. Fus. Komp. Nr. 184</t>
        </r>
        <r>
          <rPr>
            <sz val="14"/>
            <color rgb="FF000000"/>
            <rFont val="Calibri"/>
            <family val="34"/>
          </rPr>
          <t xml:space="preserve">
</t>
        </r>
        <r>
          <rPr>
            <sz val="14"/>
            <color rgb="FF000000"/>
            <rFont val="Times New Roman"/>
            <family val="18"/>
          </rPr>
          <t>18/09/1811 Muster: IR 44 3. Fus. Komp. Nr. 53</t>
        </r>
        <r>
          <rPr>
            <sz val="14"/>
            <color rgb="FF000000"/>
            <rFont val="Calibri"/>
            <family val="34"/>
          </rPr>
          <t xml:space="preserve">
</t>
        </r>
        <r>
          <rPr>
            <sz val="14"/>
            <color rgb="FF000000"/>
            <rFont val="Times New Roman"/>
            <family val="18"/>
          </rPr>
          <t xml:space="preserve">11/07/1812 </t>
        </r>
        <r>
          <rPr>
            <i/>
            <sz val="14"/>
            <color rgb="FF000000"/>
            <rFont val="Times New Roman"/>
            <family val="18"/>
          </rPr>
          <t xml:space="preserve">Von. IR 44 4. Fus. Komp. zur IR 58 transferiert </t>
        </r>
        <r>
          <rPr>
            <sz val="14"/>
            <color rgb="FF000000"/>
            <rFont val="Times New Roman"/>
            <family val="18"/>
          </rPr>
          <t>[RL 1812]</t>
        </r>
        <r>
          <rPr>
            <sz val="14"/>
            <color rgb="FF000000"/>
            <rFont val="Calibri"/>
            <family val="34"/>
          </rPr>
          <t xml:space="preserve">
</t>
        </r>
        <r>
          <rPr>
            <sz val="14"/>
            <color rgb="FF000000"/>
            <rFont val="Times New Roman"/>
            <family val="18"/>
          </rPr>
          <t>11/09/1817 Muster: IR 58 3. Fus. Komp. Nr. 52</t>
        </r>
        <r>
          <rPr>
            <sz val="14"/>
            <color rgb="FF000000"/>
            <rFont val="Calibri"/>
            <family val="34"/>
          </rPr>
          <t xml:space="preserve">
</t>
        </r>
        <r>
          <rPr>
            <sz val="14"/>
            <color rgb="FF000000"/>
            <rFont val="Times New Roman"/>
            <family val="18"/>
          </rPr>
          <t xml:space="preserve">25/12/1817 </t>
        </r>
        <r>
          <rPr>
            <i/>
            <sz val="14"/>
            <color rgb="FF000000"/>
            <rFont val="Times New Roman"/>
            <family val="18"/>
          </rPr>
          <t xml:space="preserve">Als Ausgedienter Capitulant mit Abschied entlassen </t>
        </r>
        <r>
          <rPr>
            <sz val="14"/>
            <color rgb="FF000000"/>
            <rFont val="Times New Roman"/>
            <family val="18"/>
          </rPr>
          <t>[ML 1818]</t>
        </r>
        <r>
          <rPr>
            <sz val="14"/>
            <color rgb="FF000000"/>
            <rFont val="Calibri"/>
            <family val="34"/>
          </rPr>
          <t xml:space="preserve">
</t>
        </r>
      </text>
    </comment>
    <comment ref="BG1074" authorId="0" shapeId="0" xr:uid="{6AA71930-B49F-174D-AF91-6C86F01BA7F9}">
      <text>
        <r>
          <rPr>
            <sz val="14"/>
            <color rgb="FF000000"/>
            <rFont val="Times New Roman"/>
            <family val="18"/>
          </rPr>
          <t>ML 3911 IR 44 (1808-10) – RL 3. Fus. Komp. Nr. 71 (Sthulweissenburg 25/09/1810)</t>
        </r>
        <r>
          <rPr>
            <sz val="14"/>
            <color rgb="FF000000"/>
            <rFont val="Calibri"/>
            <family val="34"/>
          </rPr>
          <t xml:space="preserve">
</t>
        </r>
        <r>
          <rPr>
            <sz val="14"/>
            <color rgb="FF000000"/>
            <rFont val="Times New Roman"/>
            <family val="18"/>
          </rPr>
          <t>ML 3912-3 IR 44 (1811) – 3. Fus. Komp. Nr. 53 (Pappa 18/09/1811)</t>
        </r>
        <r>
          <rPr>
            <sz val="14"/>
            <color rgb="FF000000"/>
            <rFont val="Calibri"/>
            <family val="34"/>
          </rPr>
          <t xml:space="preserve">
</t>
        </r>
        <r>
          <rPr>
            <sz val="14"/>
            <color rgb="FF000000"/>
            <rFont val="Times New Roman"/>
            <family val="18"/>
          </rPr>
          <t>ML 3914 IR 44 (1812/6) – 3. Fus. Komp. Abgang (Pest 19/09/1812)</t>
        </r>
        <r>
          <rPr>
            <sz val="14"/>
            <color rgb="FF000000"/>
            <rFont val="Calibri"/>
            <family val="34"/>
          </rPr>
          <t xml:space="preserve">
</t>
        </r>
        <r>
          <rPr>
            <sz val="14"/>
            <color rgb="FF000000"/>
            <rFont val="Times New Roman"/>
            <family val="18"/>
          </rPr>
          <t>ML 3924 IR 58 (1817) – 3. Fus. Komp. Nr. 52 (Ofen 11/09/1817)</t>
        </r>
        <r>
          <rPr>
            <sz val="14"/>
            <color rgb="FF000000"/>
            <rFont val="Calibri"/>
            <family val="34"/>
          </rPr>
          <t xml:space="preserve">
</t>
        </r>
        <r>
          <rPr>
            <sz val="14"/>
            <color rgb="FF000000"/>
            <rFont val="Times New Roman"/>
            <family val="18"/>
          </rPr>
          <t xml:space="preserve">ML 3925/6 IR 58 (1818) – 3. Fus. Komp. Abgang (Ofen 24/09/1818) </t>
        </r>
        <r>
          <rPr>
            <sz val="14"/>
            <color rgb="FF000000"/>
            <rFont val="Calibri"/>
            <family val="34"/>
          </rPr>
          <t xml:space="preserve">
</t>
        </r>
        <r>
          <rPr>
            <sz val="14"/>
            <color rgb="FF000000"/>
            <rFont val="Calibri"/>
            <family val="34"/>
          </rPr>
          <t xml:space="preserve">
</t>
        </r>
      </text>
    </comment>
    <comment ref="BH1074" authorId="0" shapeId="0" xr:uid="{CFCE3A16-F598-2947-B667-64A35595720D}">
      <text>
        <r>
          <rPr>
            <sz val="14"/>
            <color rgb="FF000000"/>
            <rFont val="Calibri"/>
            <family val="34"/>
          </rPr>
          <t xml:space="preserve">IR 44 (1807-1812)
</t>
        </r>
        <r>
          <rPr>
            <sz val="14"/>
            <color rgb="FF000000"/>
            <rFont val="Calibri"/>
            <family val="34"/>
          </rPr>
          <t>IR 58 (1812-1817)</t>
        </r>
      </text>
    </comment>
    <comment ref="T1075" authorId="0" shapeId="0" xr:uid="{17273297-6873-0C49-9F52-77DE330A1B15}">
      <text>
        <r>
          <rPr>
            <sz val="14"/>
            <color rgb="FF000000"/>
            <rFont val="Calibri"/>
            <family val="34"/>
          </rPr>
          <t xml:space="preserve">168.74 [5.4.1. (ML 1811)]
</t>
        </r>
        <r>
          <rPr>
            <sz val="14"/>
            <color rgb="FF000000"/>
            <rFont val="Calibri"/>
            <family val="34"/>
          </rPr>
          <t>179.04 [5.8 (ML 1818-20)]</t>
        </r>
      </text>
    </comment>
    <comment ref="BF1075" authorId="0" shapeId="0" xr:uid="{AAA61BE0-599B-B249-977B-0792D657B8BF}">
      <text>
        <r>
          <rPr>
            <sz val="14"/>
            <color rgb="FF000000"/>
            <rFont val="Times New Roman"/>
            <family val="18"/>
          </rPr>
          <t xml:space="preserve">11/03/1807 </t>
        </r>
        <r>
          <rPr>
            <i/>
            <sz val="14"/>
            <color rgb="FF000000"/>
            <rFont val="Times New Roman"/>
            <family val="18"/>
          </rPr>
          <t>Zu Reszow auf 10 Jahren zu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Gefreyter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12. Fus. Komp. Nr. 45</t>
        </r>
        <r>
          <rPr>
            <sz val="14"/>
            <color rgb="FF000000"/>
            <rFont val="Calibri"/>
            <family val="34"/>
          </rPr>
          <t xml:space="preserve">
</t>
        </r>
        <r>
          <rPr>
            <sz val="14"/>
            <color rgb="FF000000"/>
            <rFont val="Times New Roman"/>
            <family val="18"/>
          </rPr>
          <t>20/09/1811 Muster: IR 44 12. Fus. Komp. Nr. 32</t>
        </r>
        <r>
          <rPr>
            <sz val="14"/>
            <color rgb="FF000000"/>
            <rFont val="Calibri"/>
            <family val="34"/>
          </rPr>
          <t xml:space="preserve">
</t>
        </r>
        <r>
          <rPr>
            <sz val="14"/>
            <color rgb="FF000000"/>
            <rFont val="Times New Roman"/>
            <family val="18"/>
          </rPr>
          <t>19/09/1812 Revision: IR 44 12. Fus. Komp. Nr. 24</t>
        </r>
        <r>
          <rPr>
            <sz val="14"/>
            <color rgb="FF000000"/>
            <rFont val="Calibri"/>
            <family val="34"/>
          </rPr>
          <t xml:space="preserve">
</t>
        </r>
        <r>
          <rPr>
            <sz val="14"/>
            <color rgb="FF000000"/>
            <rFont val="Times New Roman"/>
            <family val="18"/>
          </rPr>
          <t xml:space="preserve">30/08/1813 </t>
        </r>
        <r>
          <rPr>
            <b/>
            <i/>
            <sz val="14"/>
            <color rgb="FF000000"/>
            <rFont val="Times New Roman"/>
            <family val="18"/>
          </rPr>
          <t xml:space="preserve">Bey Dresden </t>
        </r>
        <r>
          <rPr>
            <i/>
            <sz val="14"/>
            <color rgb="FF000000"/>
            <rFont val="Times New Roman"/>
            <family val="18"/>
          </rPr>
          <t>vor den Feind vermisst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11/04/1814 </t>
        </r>
        <r>
          <rPr>
            <i/>
            <sz val="14"/>
            <color rgb="FF000000"/>
            <rFont val="Times New Roman"/>
            <family val="18"/>
          </rPr>
          <t>Eingerückt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17/10/1817 </t>
        </r>
        <r>
          <rPr>
            <i/>
            <sz val="14"/>
            <color rgb="FF000000"/>
            <rFont val="Times New Roman"/>
            <family val="18"/>
          </rPr>
          <t>Gegen 20 Fl auf fernere 10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20</t>
        </r>
        <r>
          <rPr>
            <sz val="14"/>
            <color rgb="FF000000"/>
            <rFont val="Calibri"/>
            <family val="34"/>
          </rPr>
          <t xml:space="preserve">
</t>
        </r>
        <r>
          <rPr>
            <sz val="14"/>
            <color rgb="FF000000"/>
            <rFont val="Times New Roman"/>
            <family val="18"/>
          </rPr>
          <t>24/10/1818 Muster: IR 44 12. Fus. Komp. Nr. 14</t>
        </r>
        <r>
          <rPr>
            <sz val="14"/>
            <color rgb="FF000000"/>
            <rFont val="Calibri"/>
            <family val="34"/>
          </rPr>
          <t xml:space="preserve">
</t>
        </r>
        <r>
          <rPr>
            <sz val="14"/>
            <color rgb="FF000000"/>
            <rFont val="Times New Roman"/>
            <family val="18"/>
          </rPr>
          <t>18/10/1819 Muster: IR 44 12. Fus. Komp. Nr. 16</t>
        </r>
        <r>
          <rPr>
            <sz val="14"/>
            <color rgb="FF000000"/>
            <rFont val="Calibri"/>
            <family val="34"/>
          </rPr>
          <t xml:space="preserve">
</t>
        </r>
        <r>
          <rPr>
            <sz val="14"/>
            <color rgb="FF000000"/>
            <rFont val="Times New Roman"/>
            <family val="18"/>
          </rPr>
          <t>25/09/1820 Muster: IR 44 12. Fus. Komp. Nr. 14</t>
        </r>
        <r>
          <rPr>
            <sz val="14"/>
            <color rgb="FF000000"/>
            <rFont val="Calibri"/>
            <family val="34"/>
          </rPr>
          <t xml:space="preserve">
</t>
        </r>
      </text>
    </comment>
    <comment ref="BG1075" authorId="0" shapeId="0" xr:uid="{B25DA0F4-BF51-7745-90CB-BE9E3B1BF3CB}">
      <text>
        <r>
          <rPr>
            <sz val="14"/>
            <color rgb="FF000000"/>
            <rFont val="Times New Roman"/>
            <family val="18"/>
          </rPr>
          <t>ML 3911 IR 44 (1808-10) – 12. Fus. Komp. Nr. 45 (Pappa 27/09/1810)</t>
        </r>
        <r>
          <rPr>
            <sz val="14"/>
            <color rgb="FF000000"/>
            <rFont val="Calibri"/>
            <family val="34"/>
          </rPr>
          <t xml:space="preserve">
</t>
        </r>
        <r>
          <rPr>
            <sz val="14"/>
            <color rgb="FF000000"/>
            <rFont val="Times New Roman"/>
            <family val="18"/>
          </rPr>
          <t>ML 3912/3 IR 44 (1811) – 12. Fus. Komp. Nr. 32 (Sthulweissenburg 20/09/1811)</t>
        </r>
        <r>
          <rPr>
            <sz val="14"/>
            <color rgb="FF000000"/>
            <rFont val="Calibri"/>
            <family val="34"/>
          </rPr>
          <t xml:space="preserve">
</t>
        </r>
        <r>
          <rPr>
            <sz val="14"/>
            <color rgb="FF000000"/>
            <rFont val="Times New Roman"/>
            <family val="18"/>
          </rPr>
          <t>ML 3914 IR 44 (1812/6) – 12. Fus. Komp. Nr. 24 (Pest 19/09/1812)</t>
        </r>
        <r>
          <rPr>
            <sz val="14"/>
            <color rgb="FF000000"/>
            <rFont val="Calibri"/>
            <family val="34"/>
          </rPr>
          <t xml:space="preserve">
</t>
        </r>
        <r>
          <rPr>
            <sz val="14"/>
            <color rgb="FF000000"/>
            <rFont val="Times New Roman"/>
            <family val="18"/>
          </rPr>
          <t>ML 3915/6 IR 44 (1818) – 12. Fus. Komp. Nr. 20 (Pavia 05/01/1818); 12. Fus. Komp. Nr. 12 (Pavia 24/10/1818)</t>
        </r>
        <r>
          <rPr>
            <sz val="14"/>
            <color rgb="FF000000"/>
            <rFont val="Calibri"/>
            <family val="34"/>
          </rPr>
          <t xml:space="preserve">
</t>
        </r>
        <r>
          <rPr>
            <sz val="14"/>
            <color rgb="FF000000"/>
            <rFont val="Times New Roman"/>
            <family val="18"/>
          </rPr>
          <t>ML 3918/9 IR 44 (1819) – 12. Fus. Komp. Nr. 16 (Pavia 18/10/1819)</t>
        </r>
        <r>
          <rPr>
            <sz val="14"/>
            <color rgb="FF000000"/>
            <rFont val="Calibri"/>
            <family val="34"/>
          </rPr>
          <t xml:space="preserve">
</t>
        </r>
        <r>
          <rPr>
            <sz val="14"/>
            <color rgb="FF000000"/>
            <rFont val="Times New Roman"/>
            <family val="18"/>
          </rPr>
          <t>ML 3920 IR 44 (1820) – 12. Fus. Komp. Nr. 14 Milan 25/09/1820)</t>
        </r>
        <r>
          <rPr>
            <sz val="14"/>
            <color rgb="FF000000"/>
            <rFont val="Calibri"/>
            <family val="34"/>
          </rPr>
          <t xml:space="preserve">
</t>
        </r>
      </text>
    </comment>
    <comment ref="BH1075" authorId="0" shapeId="0" xr:uid="{EB90F599-CC36-7545-8342-C6108ED79CC6}">
      <text>
        <r>
          <rPr>
            <sz val="14"/>
            <color rgb="FF000000"/>
            <rFont val="Calibri"/>
            <family val="34"/>
          </rPr>
          <t>IR 44 (1807-1820)</t>
        </r>
      </text>
    </comment>
    <comment ref="CR1075" authorId="0" shapeId="0" xr:uid="{3D06DE39-17EB-EF4A-8025-1D8413F358BA}">
      <text>
        <r>
          <rPr>
            <sz val="14"/>
            <color rgb="FF000000"/>
            <rFont val="Calibri"/>
            <family val="34"/>
          </rPr>
          <t>1811/8: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1818-20: 'detto'/Katolisch  </t>
        </r>
      </text>
    </comment>
    <comment ref="BF1076" authorId="0" shapeId="0" xr:uid="{4653FF32-17A7-6A42-8B1A-9F9621A88271}">
      <text>
        <r>
          <rPr>
            <sz val="14"/>
            <color rgb="FF000000"/>
            <rFont val="Times New Roman"/>
            <family val="18"/>
          </rPr>
          <t xml:space="preserve">11/03/1807 </t>
        </r>
        <r>
          <rPr>
            <i/>
            <sz val="14"/>
            <color rgb="FF000000"/>
            <rFont val="Times New Roman"/>
            <family val="18"/>
          </rPr>
          <t>Als Landständischer Recrout a 3Fl Handgeld zu IR 13 zu Stanislau assentiert</t>
        </r>
        <r>
          <rPr>
            <sz val="14"/>
            <color rgb="FF000000"/>
            <rFont val="Times New Roman"/>
            <family val="18"/>
          </rPr>
          <t xml:space="preserve"> [TL Sept 1810]</t>
        </r>
        <r>
          <rPr>
            <sz val="14"/>
            <color rgb="FF000000"/>
            <rFont val="Calibri"/>
            <family val="34"/>
          </rPr>
          <t xml:space="preserve">
</t>
        </r>
        <r>
          <rPr>
            <sz val="14"/>
            <color rgb="FFFF0000"/>
            <rFont val="Times New Roman"/>
            <family val="18"/>
          </rPr>
          <t xml:space="preserve">11/03/1807 </t>
        </r>
        <r>
          <rPr>
            <i/>
            <sz val="14"/>
            <color rgb="FFFF0000"/>
            <rFont val="Times New Roman"/>
            <family val="18"/>
          </rPr>
          <t>A 3Fl Handgeld zu Bianchi Inf.</t>
        </r>
        <r>
          <rPr>
            <sz val="14"/>
            <color rgb="FFFF0000"/>
            <rFont val="Times New Roman"/>
            <family val="18"/>
          </rPr>
          <t xml:space="preserve"> </t>
        </r>
        <r>
          <rPr>
            <b/>
            <sz val="14"/>
            <color rgb="FFFF0000"/>
            <rFont val="Times New Roman"/>
            <family val="18"/>
          </rPr>
          <t xml:space="preserve">[IR 63] </t>
        </r>
        <r>
          <rPr>
            <sz val="14"/>
            <color rgb="FFFF0000"/>
            <rFont val="Times New Roman"/>
            <family val="18"/>
          </rPr>
          <t>assentiert [ML 1817]</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6. Fus. Kompanie zum IR 63 transferiert und zur 7. Fus. Komp. eingeheilt</t>
        </r>
        <r>
          <rPr>
            <sz val="14"/>
            <color rgb="FF000000"/>
            <rFont val="Times New Roman"/>
            <family val="18"/>
          </rPr>
          <t xml:space="preserve"> [TL Sept 1810] </t>
        </r>
        <r>
          <rPr>
            <sz val="14"/>
            <color rgb="FF000000"/>
            <rFont val="Calibri"/>
            <family val="34"/>
          </rPr>
          <t xml:space="preserve">
</t>
        </r>
        <r>
          <rPr>
            <sz val="14"/>
            <color rgb="FF000000"/>
            <rFont val="Times New Roman"/>
            <family val="18"/>
          </rPr>
          <t xml:space="preserve">01/08/1810 </t>
        </r>
        <r>
          <rPr>
            <i/>
            <sz val="14"/>
            <color rgb="FF000000"/>
            <rFont val="Times New Roman"/>
            <family val="18"/>
          </rPr>
          <t>Auf Arbeit zu Wiener Neustadt Auf Arbeit commandiert beurlaubt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11/09/1811 </t>
        </r>
        <r>
          <rPr>
            <i/>
            <sz val="14"/>
            <color rgb="FF000000"/>
            <rFont val="Times New Roman"/>
            <family val="18"/>
          </rPr>
          <t>Von IR 63 zum 1. Garnison Battalion</t>
        </r>
        <r>
          <rPr>
            <sz val="14"/>
            <color rgb="FF000000"/>
            <rFont val="Times New Roman"/>
            <family val="18"/>
          </rPr>
          <t xml:space="preserve"> </t>
        </r>
        <r>
          <rPr>
            <b/>
            <sz val="14"/>
            <color rgb="FF000000"/>
            <rFont val="Times New Roman"/>
            <family val="18"/>
          </rPr>
          <t xml:space="preserve">[GB 1]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01/01/1812 </t>
        </r>
        <r>
          <rPr>
            <i/>
            <sz val="14"/>
            <color rgb="FF000000"/>
            <rFont val="Times New Roman"/>
            <family val="18"/>
          </rPr>
          <t>Von GB 1 zum GK 1. Gal.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26/10/1812 Revision: GK 1. Gal. 4. Komp. Nr. 225 [</t>
        </r>
        <r>
          <rPr>
            <i/>
            <sz val="14"/>
            <color rgb="FF000000"/>
            <rFont val="Times New Roman"/>
            <family val="18"/>
          </rPr>
          <t>Zu Perzevloky</t>
        </r>
        <r>
          <rPr>
            <sz val="14"/>
            <color rgb="FF000000"/>
            <rFont val="Times New Roman"/>
            <family val="18"/>
          </rPr>
          <t>]</t>
        </r>
        <r>
          <rPr>
            <sz val="14"/>
            <color rgb="FF000000"/>
            <rFont val="Calibri"/>
            <family val="34"/>
          </rPr>
          <t xml:space="preserve">
</t>
        </r>
        <r>
          <rPr>
            <sz val="14"/>
            <color rgb="FF000000"/>
            <rFont val="Times New Roman"/>
            <family val="18"/>
          </rPr>
          <t>18/09/1817 Muster: GK 1. Gal. 4. Komp. Nr. 121 [</t>
        </r>
        <r>
          <rPr>
            <i/>
            <sz val="14"/>
            <color rgb="FF000000"/>
            <rFont val="Times New Roman"/>
            <family val="18"/>
          </rPr>
          <t>In Loco</t>
        </r>
        <r>
          <rPr>
            <sz val="14"/>
            <color rgb="FF000000"/>
            <rFont val="Times New Roman"/>
            <family val="18"/>
          </rPr>
          <t>]</t>
        </r>
        <r>
          <rPr>
            <sz val="14"/>
            <color rgb="FF000000"/>
            <rFont val="Calibri"/>
            <family val="34"/>
          </rPr>
          <t xml:space="preserve">
</t>
        </r>
      </text>
    </comment>
    <comment ref="BG1076" authorId="0" shapeId="0" xr:uid="{96A847F5-948C-5449-9CF4-35D8F8D064DE}">
      <text>
        <r>
          <rPr>
            <sz val="14"/>
            <color rgb="FF000000"/>
            <rFont val="Times New Roman"/>
            <family val="18"/>
          </rPr>
          <t>ML 5292 IR 63 –Aug (31/10/1811)</t>
        </r>
        <r>
          <rPr>
            <sz val="14"/>
            <color rgb="FF000000"/>
            <rFont val="Calibri"/>
            <family val="34"/>
          </rPr>
          <t xml:space="preserve">
</t>
        </r>
        <r>
          <rPr>
            <sz val="14"/>
            <color rgb="FF000000"/>
            <rFont val="Times New Roman"/>
            <family val="18"/>
          </rPr>
          <t>ML 5293 IR 63 (1810) AL/TL – TL IR 13-&gt;IR 63 Nr. 43 (Graz 02/09/1810)</t>
        </r>
        <r>
          <rPr>
            <sz val="14"/>
            <color rgb="FF000000"/>
            <rFont val="Calibri"/>
            <family val="34"/>
          </rPr>
          <t xml:space="preserve">
</t>
        </r>
        <r>
          <rPr>
            <sz val="14"/>
            <color rgb="FF000000"/>
            <rFont val="Times New Roman"/>
            <family val="18"/>
          </rPr>
          <t>ML 8809 GK 1. Gal. 1 (1807-17) – RL 1812 4. Komp. Nr. 225 (Buczacz 26/10/1812); ML 1817 4. Komp. Nr. 121 (Sereth 18/09/1817)</t>
        </r>
        <r>
          <rPr>
            <sz val="14"/>
            <color rgb="FF000000"/>
            <rFont val="Calibri"/>
            <family val="34"/>
          </rPr>
          <t xml:space="preserve">
</t>
        </r>
      </text>
    </comment>
    <comment ref="BH1076" authorId="0" shapeId="0" xr:uid="{70B889A6-C29B-994B-99C2-E72C540261CD}">
      <text>
        <r>
          <rPr>
            <sz val="14"/>
            <color rgb="FF000000"/>
            <rFont val="Calibri"/>
            <family val="34"/>
          </rPr>
          <t xml:space="preserve">IR 13 (1807-1810)
</t>
        </r>
        <r>
          <rPr>
            <sz val="14"/>
            <color rgb="FF000000"/>
            <rFont val="Calibri"/>
            <family val="34"/>
          </rPr>
          <t xml:space="preserve">IR 63 (1810-1811)
</t>
        </r>
        <r>
          <rPr>
            <sz val="14"/>
            <color rgb="FF000000"/>
            <rFont val="Calibri"/>
            <family val="34"/>
          </rPr>
          <t xml:space="preserve">GB 1 (1811)
</t>
        </r>
        <r>
          <rPr>
            <sz val="14"/>
            <color rgb="FF000000"/>
            <rFont val="Calibri"/>
            <family val="34"/>
          </rPr>
          <t xml:space="preserve">GK 1. Gal. (1812-17)
</t>
        </r>
      </text>
    </comment>
    <comment ref="T1077" authorId="0" shapeId="0" xr:uid="{338099B7-5C99-C046-A524-7AD010730BCE}">
      <text>
        <r>
          <rPr>
            <sz val="14"/>
            <color rgb="FF000000"/>
            <rFont val="Calibri"/>
            <family val="34"/>
          </rPr>
          <t xml:space="preserve">171.59 [5.5.2. (ML 1811)]
</t>
        </r>
        <r>
          <rPr>
            <sz val="14"/>
            <color rgb="FF000000"/>
            <rFont val="Calibri"/>
            <family val="34"/>
          </rPr>
          <t>168.96 [5.4.2 (ML 1818)]</t>
        </r>
      </text>
    </comment>
    <comment ref="BF1077" authorId="0" shapeId="0" xr:uid="{E99B5FB4-D367-AA44-8E9C-608153589EDA}">
      <text>
        <r>
          <rPr>
            <sz val="14"/>
            <color rgb="FFFF0000"/>
            <rFont val="Times New Roman"/>
            <family val="18"/>
          </rPr>
          <t xml:space="preserve">??/03/1807 </t>
        </r>
        <r>
          <rPr>
            <i/>
            <sz val="14"/>
            <color rgb="FFFF0000"/>
            <rFont val="Times New Roman"/>
            <family val="18"/>
          </rPr>
          <t>In Monat März 1807 gegen 3Fl Handgeld aud 10 Jahr assentiert</t>
        </r>
        <r>
          <rPr>
            <sz val="14"/>
            <color rgb="FFFF0000"/>
            <rFont val="Times New Roman"/>
            <family val="18"/>
          </rPr>
          <t xml:space="preserve"> [Nach Aussaage des Mannes] [ML 1811]</t>
        </r>
        <r>
          <rPr>
            <sz val="14"/>
            <color rgb="FF000000"/>
            <rFont val="Calibri"/>
            <family val="34"/>
          </rPr>
          <t xml:space="preserve">
</t>
        </r>
        <r>
          <rPr>
            <sz val="14"/>
            <color rgb="FF000000"/>
            <rFont val="Times New Roman"/>
            <family val="18"/>
          </rPr>
          <t xml:space="preserve">15/03/1807 </t>
        </r>
        <r>
          <rPr>
            <i/>
            <sz val="14"/>
            <color rgb="FF000000"/>
            <rFont val="Times New Roman"/>
            <family val="18"/>
          </rPr>
          <t xml:space="preserve">Gegen 3Fl auf 10 Jahren zu Chesteler inf. Regiment </t>
        </r>
        <r>
          <rPr>
            <b/>
            <i/>
            <sz val="14"/>
            <color rgb="FF000000"/>
            <rFont val="Times New Roman"/>
            <family val="18"/>
          </rPr>
          <t>nr. 46</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01/12/1807 </t>
        </r>
        <r>
          <rPr>
            <i/>
            <sz val="14"/>
            <color rgb="FF000000"/>
            <rFont val="Times New Roman"/>
            <family val="18"/>
          </rPr>
          <t>Von IR 46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44 zum Stabs infantrie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Staabs Infanterie wieder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21/02/1811 </t>
        </r>
        <r>
          <rPr>
            <i/>
            <sz val="14"/>
            <color rgb="FF000000"/>
            <rFont val="Times New Roman"/>
            <family val="18"/>
          </rPr>
          <t>Von den 7. Fousilier Companie zur 1. Gren. Komp. trasnferiert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02/09/1811 Muster: IR 44 10. Fus. Komp. Nr. 21</t>
        </r>
        <r>
          <rPr>
            <sz val="14"/>
            <color rgb="FF000000"/>
            <rFont val="Calibri"/>
            <family val="34"/>
          </rPr>
          <t xml:space="preserve">
</t>
        </r>
        <r>
          <rPr>
            <sz val="14"/>
            <color rgb="FF000000"/>
            <rFont val="Times New Roman"/>
            <family val="18"/>
          </rPr>
          <t>19/09/1812 Revision: IR 44 Gren. Komp. Nr. 72</t>
        </r>
        <r>
          <rPr>
            <sz val="14"/>
            <color rgb="FF000000"/>
            <rFont val="Calibri"/>
            <family val="34"/>
          </rPr>
          <t xml:space="preserve">
</t>
        </r>
        <r>
          <rPr>
            <sz val="14"/>
            <color rgb="FF000000"/>
            <rFont val="Times New Roman"/>
            <family val="18"/>
          </rPr>
          <t xml:space="preserve">28/08/1813 </t>
        </r>
        <r>
          <rPr>
            <i/>
            <sz val="14"/>
            <color rgb="FF000000"/>
            <rFont val="Times New Roman"/>
            <family val="18"/>
          </rPr>
          <t>Vor Feind Vermisst</t>
        </r>
        <r>
          <rPr>
            <sz val="14"/>
            <color rgb="FF000000"/>
            <rFont val="Times New Roman"/>
            <family val="18"/>
          </rPr>
          <t xml:space="preserve"> </t>
        </r>
        <r>
          <rPr>
            <b/>
            <sz val="14"/>
            <color rgb="FF000000"/>
            <rFont val="Times New Roman"/>
            <family val="18"/>
          </rPr>
          <t>[Battle of Dresden]</t>
        </r>
        <r>
          <rPr>
            <sz val="14"/>
            <color rgb="FF000000"/>
            <rFont val="Calibri"/>
            <family val="34"/>
          </rPr>
          <t xml:space="preserve">
</t>
        </r>
        <r>
          <rPr>
            <sz val="14"/>
            <color rgb="FF000000"/>
            <rFont val="Times New Roman"/>
            <family val="18"/>
          </rPr>
          <t xml:space="preserve">16/10/1813 </t>
        </r>
        <r>
          <rPr>
            <i/>
            <sz val="14"/>
            <color rgb="FF000000"/>
            <rFont val="Times New Roman"/>
            <family val="18"/>
          </rPr>
          <t>Wieder Anhero</t>
        </r>
        <r>
          <rPr>
            <sz val="14"/>
            <color rgb="FF000000"/>
            <rFont val="Calibri"/>
            <family val="34"/>
          </rPr>
          <t xml:space="preserve">
</t>
        </r>
        <r>
          <rPr>
            <sz val="14"/>
            <color rgb="FF000000"/>
            <rFont val="Times New Roman"/>
            <family val="18"/>
          </rPr>
          <t>05/01/1818 Muster: IR 44 1. Gren. Komp. Nr. 129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31/03/1818 </t>
        </r>
        <r>
          <rPr>
            <i/>
            <sz val="14"/>
            <color rgb="FF000000"/>
            <rFont val="Times New Roman"/>
            <family val="18"/>
          </rPr>
          <t>Als Ausgedienter Capitulant mit Absehid entlassen</t>
        </r>
        <r>
          <rPr>
            <sz val="14"/>
            <color rgb="FF000000"/>
            <rFont val="Times New Roman"/>
            <family val="18"/>
          </rPr>
          <t xml:space="preserve"> [ML 1818]</t>
        </r>
      </text>
    </comment>
    <comment ref="BG1077" authorId="0" shapeId="0" xr:uid="{B06146D8-518D-314B-853C-541D8484A845}">
      <text>
        <r>
          <rPr>
            <sz val="14"/>
            <color rgb="FF000000"/>
            <rFont val="Times New Roman"/>
            <family val="18"/>
          </rPr>
          <t>ML 3911 IR 44 (1808-10) – 7. Fus. Komp. Nr. 71 (Papa 27/09/1810)</t>
        </r>
        <r>
          <rPr>
            <sz val="14"/>
            <color rgb="FF000000"/>
            <rFont val="Calibri"/>
            <family val="34"/>
          </rPr>
          <t xml:space="preserve">
</t>
        </r>
        <r>
          <rPr>
            <sz val="14"/>
            <color rgb="FF000000"/>
            <rFont val="Times New Roman"/>
            <family val="18"/>
          </rPr>
          <t>ML 3912-3 IR 44 (1811) – 1. Gren. Komp. Nr. 84 (Pest 02/09/1811)</t>
        </r>
        <r>
          <rPr>
            <sz val="14"/>
            <color rgb="FF000000"/>
            <rFont val="Calibri"/>
            <family val="34"/>
          </rPr>
          <t xml:space="preserve">
</t>
        </r>
        <r>
          <rPr>
            <sz val="14"/>
            <color rgb="FF000000"/>
            <rFont val="Times New Roman"/>
            <family val="18"/>
          </rPr>
          <t>ML 3914 IR 44 (1812-16) – 1. Gren. Komp. Nr. 72 (Pest 19/09/1812)</t>
        </r>
        <r>
          <rPr>
            <sz val="14"/>
            <color rgb="FF000000"/>
            <rFont val="Calibri"/>
            <family val="34"/>
          </rPr>
          <t xml:space="preserve">
</t>
        </r>
        <r>
          <rPr>
            <sz val="14"/>
            <color rgb="FF000000"/>
            <rFont val="Times New Roman"/>
            <family val="18"/>
          </rPr>
          <t>ML 3915/7 IR 44 (1818) – 1. Gren. Komp. Nr. 129 (Lemberg 05/01/1818). 1. Gren. Komp. Abgang (Stuhlweißenburg 25/09/1818)</t>
        </r>
        <r>
          <rPr>
            <sz val="14"/>
            <color rgb="FF000000"/>
            <rFont val="Calibri"/>
            <family val="34"/>
          </rPr>
          <t xml:space="preserve">
</t>
        </r>
      </text>
    </comment>
    <comment ref="BH1077" authorId="0" shapeId="0" xr:uid="{B4C15F5F-8373-D54C-BB5A-A984C8BC9EA0}">
      <text>
        <r>
          <rPr>
            <sz val="14"/>
            <color rgb="FF000000"/>
            <rFont val="Calibri"/>
            <family val="34"/>
          </rPr>
          <t xml:space="preserve">IR 46 (1807)
</t>
        </r>
        <r>
          <rPr>
            <sz val="14"/>
            <color rgb="FF000000"/>
            <rFont val="Calibri"/>
            <family val="34"/>
          </rPr>
          <t xml:space="preserve">IR 44 (1807-1809)
</t>
        </r>
        <r>
          <rPr>
            <sz val="14"/>
            <color rgb="FF000000"/>
            <rFont val="Calibri"/>
            <family val="34"/>
          </rPr>
          <t xml:space="preserve">SInf (1809)
</t>
        </r>
        <r>
          <rPr>
            <sz val="14"/>
            <color rgb="FF000000"/>
            <rFont val="Calibri"/>
            <family val="34"/>
          </rPr>
          <t xml:space="preserve">IR 44 (1809-1818)
</t>
        </r>
      </text>
    </comment>
    <comment ref="BF1078" authorId="0" shapeId="0" xr:uid="{0100A28C-8913-D042-B655-E74D1FCD4320}">
      <text>
        <r>
          <rPr>
            <sz val="14"/>
            <color rgb="FF000000"/>
            <rFont val="Times New Roman"/>
            <family val="18"/>
          </rPr>
          <t xml:space="preserve">16/03/1807 </t>
        </r>
        <r>
          <rPr>
            <i/>
            <sz val="14"/>
            <color rgb="FF000000"/>
            <rFont val="Times New Roman"/>
            <family val="18"/>
          </rPr>
          <t>Landständisch gestellt und gegen 3Fl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Gefryeter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5. Zum 1. Fousilier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07/08/1809 </t>
        </r>
        <r>
          <rPr>
            <i/>
            <sz val="14"/>
            <color rgb="FF000000"/>
            <rFont val="Times New Roman"/>
            <family val="18"/>
          </rPr>
          <t>In Marsche zur Reserve zur Abholung der Recourten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Kommandiert zur Reserve Division in Caschau</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31/09/1809 </t>
        </r>
        <r>
          <rPr>
            <i/>
            <sz val="14"/>
            <color rgb="FF000000"/>
            <rFont val="Times New Roman"/>
            <family val="18"/>
          </rPr>
          <t>Wieder in Kompanie</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25/09/1810 Revision: IR 44 1. Fus Komp Nr. 39</t>
        </r>
        <r>
          <rPr>
            <sz val="14"/>
            <color rgb="FF000000"/>
            <rFont val="Calibri"/>
            <family val="34"/>
          </rPr>
          <t xml:space="preserve">
</t>
        </r>
        <r>
          <rPr>
            <sz val="14"/>
            <color rgb="FF000000"/>
            <rFont val="Times New Roman"/>
            <family val="18"/>
          </rPr>
          <t>18/09/1811 Muster: IR 44 1. Fus. Komp. Nr. 30</t>
        </r>
        <r>
          <rPr>
            <sz val="14"/>
            <color rgb="FF000000"/>
            <rFont val="Calibri"/>
            <family val="34"/>
          </rPr>
          <t xml:space="preserve">
</t>
        </r>
        <r>
          <rPr>
            <sz val="14"/>
            <color rgb="FF000000"/>
            <rFont val="Times New Roman"/>
            <family val="18"/>
          </rPr>
          <t>19/09/1812 Revision: IR 44 1. Fus. Komp. Nr. 18</t>
        </r>
        <r>
          <rPr>
            <sz val="14"/>
            <color rgb="FF000000"/>
            <rFont val="Calibri"/>
            <family val="34"/>
          </rPr>
          <t xml:space="preserve">
</t>
        </r>
      </text>
    </comment>
    <comment ref="BG1078" authorId="0" shapeId="0" xr:uid="{5D15E959-D4D7-EB4B-A647-5BE39DEF997D}">
      <text>
        <r>
          <rPr>
            <sz val="14"/>
            <color rgb="FF000000"/>
            <rFont val="Times New Roman"/>
            <family val="18"/>
          </rPr>
          <t>ML 3911 IR 44 (1808-10) – 1. Fus. Komp. Nr. 39 (Stuhlwissenburg 25/09/1810)</t>
        </r>
        <r>
          <rPr>
            <sz val="14"/>
            <color rgb="FF000000"/>
            <rFont val="Calibri"/>
            <family val="34"/>
          </rPr>
          <t xml:space="preserve">
</t>
        </r>
        <r>
          <rPr>
            <sz val="14"/>
            <color rgb="FF000000"/>
            <rFont val="Times New Roman"/>
            <family val="18"/>
          </rPr>
          <t>ML 3912-3 IR 44 (1811) – 1. Fus. Komp. Nr. 30 (Pappa 18/09/1811)</t>
        </r>
        <r>
          <rPr>
            <sz val="14"/>
            <color rgb="FF000000"/>
            <rFont val="Calibri"/>
            <family val="34"/>
          </rPr>
          <t xml:space="preserve">
</t>
        </r>
        <r>
          <rPr>
            <sz val="14"/>
            <color rgb="FF000000"/>
            <rFont val="Times New Roman"/>
            <family val="18"/>
          </rPr>
          <t>ML 3914 IR 44 (1812-16) – 1. Fus. Komp. Nr. 18 (Pest 19/09/1812)</t>
        </r>
        <r>
          <rPr>
            <sz val="14"/>
            <color rgb="FF000000"/>
            <rFont val="Calibri"/>
            <family val="34"/>
          </rPr>
          <t xml:space="preserve">
</t>
        </r>
        <r>
          <rPr>
            <sz val="14"/>
            <color rgb="FF000000"/>
            <rFont val="Times New Roman"/>
            <family val="18"/>
          </rPr>
          <t>ML 3960 IR 44 (1809) – Aug (Ofen 25/06/1811), Sept (Ofen 20/05/1811)</t>
        </r>
        <r>
          <rPr>
            <sz val="14"/>
            <color rgb="FF000000"/>
            <rFont val="Calibri"/>
            <family val="34"/>
          </rPr>
          <t xml:space="preserve">
</t>
        </r>
      </text>
    </comment>
    <comment ref="BH1078" authorId="0" shapeId="0" xr:uid="{C0A7823B-B7F6-4C46-8417-E7C29503E4BB}">
      <text>
        <r>
          <rPr>
            <sz val="14"/>
            <color rgb="FF000000"/>
            <rFont val="Calibri"/>
            <family val="34"/>
          </rPr>
          <t>IR 44 (1807-1812)</t>
        </r>
      </text>
    </comment>
    <comment ref="BF1079" authorId="0" shapeId="0" xr:uid="{B2C85C96-C1A3-B842-884E-EC8AF92B8959}">
      <text>
        <r>
          <rPr>
            <sz val="14"/>
            <color rgb="FF000000"/>
            <rFont val="Times New Roman"/>
            <family val="18"/>
          </rPr>
          <t xml:space="preserve">19/03/1807 </t>
        </r>
        <r>
          <rPr>
            <i/>
            <sz val="14"/>
            <color rgb="FF000000"/>
            <rFont val="Times New Roman"/>
            <family val="18"/>
          </rPr>
          <t>A 3Fl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07/04/1809 </t>
        </r>
        <r>
          <rPr>
            <i/>
            <sz val="14"/>
            <color rgb="FF000000"/>
            <rFont val="Times New Roman"/>
            <family val="18"/>
          </rPr>
          <t>Desertiert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26/01/1810 </t>
        </r>
        <r>
          <rPr>
            <i/>
            <sz val="14"/>
            <color rgb="FF000000"/>
            <rFont val="Times New Roman"/>
            <family val="18"/>
          </rPr>
          <t xml:space="preserve">Zurückgelegt </t>
        </r>
        <r>
          <rPr>
            <sz val="14"/>
            <color rgb="FF000000"/>
            <rFont val="Times New Roman"/>
            <family val="18"/>
          </rPr>
          <t>[ML 1811]</t>
        </r>
        <r>
          <rPr>
            <sz val="14"/>
            <color rgb="FF000000"/>
            <rFont val="Calibri"/>
            <family val="34"/>
          </rPr>
          <t xml:space="preserve">
</t>
        </r>
        <r>
          <rPr>
            <sz val="14"/>
            <color rgb="FF000000"/>
            <rFont val="Times New Roman"/>
            <family val="18"/>
          </rPr>
          <t xml:space="preserve">21/02/1810 </t>
        </r>
        <r>
          <rPr>
            <i/>
            <sz val="14"/>
            <color rgb="FF000000"/>
            <rFont val="Times New Roman"/>
            <family val="18"/>
          </rPr>
          <t>Von dissolvierte Chasteler IR 46 zum IR 9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6. Fus. Komp. Nr. 71 [</t>
        </r>
        <r>
          <rPr>
            <i/>
            <sz val="14"/>
            <color rgb="FF000000"/>
            <rFont val="Times New Roman"/>
            <family val="18"/>
          </rPr>
          <t>Auf Stehenden Commando in Großvardein</t>
        </r>
        <r>
          <rPr>
            <sz val="14"/>
            <color rgb="FF000000"/>
            <rFont val="Times New Roman"/>
            <family val="18"/>
          </rPr>
          <t>]</t>
        </r>
        <r>
          <rPr>
            <sz val="14"/>
            <color rgb="FF000000"/>
            <rFont val="Calibri"/>
            <family val="34"/>
          </rPr>
          <t xml:space="preserve">
</t>
        </r>
      </text>
    </comment>
    <comment ref="BG1079" authorId="0" shapeId="0" xr:uid="{3B0CD0CE-E5F6-FB4B-8E9E-944E6DAC6D77}">
      <text>
        <r>
          <rPr>
            <sz val="14"/>
            <color rgb="FF000000"/>
            <rFont val="Times New Roman"/>
            <family val="18"/>
          </rPr>
          <t>ML 634 IR 9 (1811) – 6. Fus. Komp. Nr. 71 (Eperies, 09/09/1811)</t>
        </r>
        <r>
          <rPr>
            <sz val="14"/>
            <color rgb="FF000000"/>
            <rFont val="Calibri"/>
            <family val="2"/>
            <scheme val="minor"/>
          </rPr>
          <t xml:space="preserve"> </t>
        </r>
      </text>
    </comment>
    <comment ref="BH1079" authorId="0" shapeId="0" xr:uid="{7F3D4A99-508F-984E-B629-5B3D30FE9BF7}">
      <text>
        <r>
          <rPr>
            <sz val="14"/>
            <color rgb="FF000000"/>
            <rFont val="Calibri"/>
            <family val="34"/>
          </rPr>
          <t xml:space="preserve">IR 46 (1807-1810)
</t>
        </r>
        <r>
          <rPr>
            <sz val="14"/>
            <color rgb="FF000000"/>
            <rFont val="Calibri"/>
            <family val="34"/>
          </rPr>
          <t>IR 9 (1810-1811)</t>
        </r>
      </text>
    </comment>
    <comment ref="BF1080" authorId="0" shapeId="0" xr:uid="{241D3187-AC3D-8C41-B66A-70943441D476}">
      <text>
        <r>
          <rPr>
            <sz val="14"/>
            <color rgb="FF000000"/>
            <rFont val="Times New Roman"/>
            <family val="18"/>
          </rPr>
          <t xml:space="preserve">25/03/1807 </t>
        </r>
        <r>
          <rPr>
            <i/>
            <sz val="14"/>
            <color rgb="FF000000"/>
            <rFont val="Times New Roman"/>
            <family val="18"/>
          </rPr>
          <t>Ländstandisch gestellt und gegen 3Fl H.g.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22/04/1809 </t>
        </r>
        <r>
          <rPr>
            <i/>
            <sz val="14"/>
            <color rgb="FF000000"/>
            <rFont val="Times New Roman"/>
            <family val="18"/>
          </rPr>
          <t>Bey Regensburg 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Ohne Zwachs Dokumenten als 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07/08/1809 </t>
        </r>
        <r>
          <rPr>
            <i/>
            <sz val="14"/>
            <color rgb="FF000000"/>
            <rFont val="Times New Roman"/>
            <family val="18"/>
          </rPr>
          <t>In Marsche zur Reserve zur Abholung der Recourten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Kommandiert zur Reserve Division in Caschau</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31/09/1809 </t>
        </r>
        <r>
          <rPr>
            <i/>
            <sz val="14"/>
            <color rgb="FF000000"/>
            <rFont val="Times New Roman"/>
            <family val="18"/>
          </rPr>
          <t>Wieder in Kompanie</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25/09/1810 Revision: IR 44 1. Fus Komp Nr. 116 [</t>
        </r>
        <r>
          <rPr>
            <i/>
            <sz val="14"/>
            <color rgb="FF000000"/>
            <rFont val="Times New Roman"/>
            <family val="18"/>
          </rPr>
          <t>Commandiert auf Arbeit in Comorn</t>
        </r>
        <r>
          <rPr>
            <sz val="14"/>
            <color rgb="FF000000"/>
            <rFont val="Times New Roman"/>
            <family val="18"/>
          </rPr>
          <t>]</t>
        </r>
        <r>
          <rPr>
            <sz val="14"/>
            <color rgb="FF000000"/>
            <rFont val="Calibri"/>
            <family val="34"/>
          </rPr>
          <t xml:space="preserve">
</t>
        </r>
        <r>
          <rPr>
            <sz val="14"/>
            <color rgb="FF000000"/>
            <rFont val="Times New Roman"/>
            <family val="18"/>
          </rPr>
          <t>18/09/1811 Muster: IR 44 1. Fus. Komp. Nr. 89</t>
        </r>
        <r>
          <rPr>
            <sz val="14"/>
            <color rgb="FF000000"/>
            <rFont val="Calibri"/>
            <family val="34"/>
          </rPr>
          <t xml:space="preserve">
</t>
        </r>
        <r>
          <rPr>
            <sz val="14"/>
            <color rgb="FF000000"/>
            <rFont val="Times New Roman"/>
            <family val="18"/>
          </rPr>
          <t>31/12/1811 Von 1. Fus. zum 1. Gren. Komp. transferiert [RL 1812]</t>
        </r>
        <r>
          <rPr>
            <sz val="14"/>
            <color rgb="FF000000"/>
            <rFont val="Calibri"/>
            <family val="34"/>
          </rPr>
          <t xml:space="preserve">
</t>
        </r>
        <r>
          <rPr>
            <sz val="14"/>
            <color rgb="FF000000"/>
            <rFont val="Times New Roman"/>
            <family val="18"/>
          </rPr>
          <t xml:space="preserve">30/09/1812 </t>
        </r>
        <r>
          <rPr>
            <i/>
            <sz val="14"/>
            <color rgb="FF000000"/>
            <rFont val="Times New Roman"/>
            <family val="18"/>
          </rPr>
          <t>Unter Unbekannten Dato von Urlaub desertiert</t>
        </r>
        <r>
          <rPr>
            <sz val="14"/>
            <color rgb="FF000000"/>
            <rFont val="Times New Roman"/>
            <family val="18"/>
          </rPr>
          <t xml:space="preserve"> [RL 1812]</t>
        </r>
        <r>
          <rPr>
            <sz val="14"/>
            <color rgb="FF000000"/>
            <rFont val="Calibri"/>
            <family val="34"/>
          </rPr>
          <t xml:space="preserve">
</t>
        </r>
      </text>
    </comment>
    <comment ref="BG1080" authorId="0" shapeId="0" xr:uid="{91F1606E-5550-0B42-A8A9-37D874770FA8}">
      <text>
        <r>
          <rPr>
            <sz val="14"/>
            <color rgb="FF000000"/>
            <rFont val="Times New Roman"/>
            <family val="18"/>
          </rPr>
          <t>ML 3911 IR 44 (1808-10) – 1. Us. Komp. Nr. 116 (Stuhlwissenburg 25.09/1810)</t>
        </r>
        <r>
          <rPr>
            <sz val="14"/>
            <color rgb="FF000000"/>
            <rFont val="Calibri"/>
            <family val="34"/>
          </rPr>
          <t xml:space="preserve">
</t>
        </r>
        <r>
          <rPr>
            <sz val="14"/>
            <color rgb="FF000000"/>
            <rFont val="Times New Roman"/>
            <family val="18"/>
          </rPr>
          <t>ML 3912-3 IR 44 (1811) – 1. Fus. Komp. Nr. 89 (Pappa 18/09/1811)</t>
        </r>
        <r>
          <rPr>
            <sz val="14"/>
            <color rgb="FF000000"/>
            <rFont val="Calibri"/>
            <family val="34"/>
          </rPr>
          <t xml:space="preserve">
</t>
        </r>
        <r>
          <rPr>
            <sz val="14"/>
            <color rgb="FF000000"/>
            <rFont val="Times New Roman"/>
            <family val="18"/>
          </rPr>
          <t>ML 3914 IR 44 (1812-16) – 1. Gren. Komp. Abgang (Pest 19/09/1812)</t>
        </r>
        <r>
          <rPr>
            <sz val="14"/>
            <color rgb="FF000000"/>
            <rFont val="Calibri"/>
            <family val="34"/>
          </rPr>
          <t xml:space="preserve">
</t>
        </r>
        <r>
          <rPr>
            <sz val="14"/>
            <color rgb="FF000000"/>
            <rFont val="Times New Roman"/>
            <family val="18"/>
          </rPr>
          <t>ML 3960 IR 44 (1809) – Aug (Ofen 25/06/1811), Sept (Ofen 20/05/1811)</t>
        </r>
      </text>
    </comment>
    <comment ref="BH1080" authorId="0" shapeId="0" xr:uid="{D6EA8A92-1D78-0147-B7BD-58C5DC326285}">
      <text>
        <r>
          <rPr>
            <sz val="14"/>
            <color rgb="FF000000"/>
            <rFont val="Calibri"/>
            <family val="34"/>
          </rPr>
          <t>IR 44 (1807-1812)</t>
        </r>
      </text>
    </comment>
    <comment ref="BF1081" authorId="0" shapeId="0" xr:uid="{0AB2772E-B3D8-7747-8670-5F5F6D1A0706}">
      <text>
        <r>
          <rPr>
            <sz val="14"/>
            <color rgb="FF000000"/>
            <rFont val="Times New Roman"/>
            <family val="18"/>
          </rPr>
          <t xml:space="preserve">28/03/1807 </t>
        </r>
        <r>
          <rPr>
            <i/>
            <sz val="14"/>
            <color rgb="FF000000"/>
            <rFont val="Times New Roman"/>
            <family val="18"/>
          </rPr>
          <t>Landständisch gestellt und gegen 3 Fl Handgeld auf 10 Jahr zu Neu Sandetz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7. Fus. Komp. Nr. 206 [</t>
        </r>
        <r>
          <rPr>
            <i/>
            <sz val="14"/>
            <color rgb="FF000000"/>
            <rFont val="Times New Roman"/>
            <family val="18"/>
          </rPr>
          <t>Commandiert bei der Triangulierung</t>
        </r>
        <r>
          <rPr>
            <sz val="14"/>
            <color rgb="FF000000"/>
            <rFont val="Times New Roman"/>
            <family val="18"/>
          </rPr>
          <t xml:space="preserve">] </t>
        </r>
        <r>
          <rPr>
            <sz val="14"/>
            <color rgb="FF000000"/>
            <rFont val="Calibri"/>
            <family val="34"/>
          </rPr>
          <t xml:space="preserve">
</t>
        </r>
        <r>
          <rPr>
            <sz val="14"/>
            <color rgb="FF000000"/>
            <rFont val="Times New Roman"/>
            <family val="18"/>
          </rPr>
          <t>20/09/1811 Muster: IR 44 7. Fus. Komp. Nr. 130 [</t>
        </r>
        <r>
          <rPr>
            <i/>
            <sz val="14"/>
            <color rgb="FF000000"/>
            <rFont val="Times New Roman"/>
            <family val="18"/>
          </rPr>
          <t>Zu Fünfkirchen kommandiert</t>
        </r>
        <r>
          <rPr>
            <sz val="14"/>
            <color rgb="FF000000"/>
            <rFont val="Times New Roman"/>
            <family val="18"/>
          </rPr>
          <t>]</t>
        </r>
        <r>
          <rPr>
            <sz val="14"/>
            <color rgb="FF000000"/>
            <rFont val="Calibri"/>
            <family val="34"/>
          </rPr>
          <t xml:space="preserve">
</t>
        </r>
        <r>
          <rPr>
            <sz val="14"/>
            <color rgb="FF000000"/>
            <rFont val="Times New Roman"/>
            <family val="18"/>
          </rPr>
          <t xml:space="preserve">15/07/1812 </t>
        </r>
        <r>
          <rPr>
            <i/>
            <sz val="14"/>
            <color rgb="FF000000"/>
            <rFont val="Times New Roman"/>
            <family val="18"/>
          </rPr>
          <t xml:space="preserve">Von. IR 44 7. Fus. Komp. zur Inf </t>
        </r>
        <r>
          <rPr>
            <sz val="14"/>
            <color rgb="FF000000"/>
            <rFont val="Times New Roman"/>
            <family val="18"/>
          </rPr>
          <t>[</t>
        </r>
        <r>
          <rPr>
            <b/>
            <sz val="14"/>
            <color rgb="FF000000"/>
            <rFont val="Times New Roman"/>
            <family val="18"/>
          </rPr>
          <t>IR 22]</t>
        </r>
        <r>
          <rPr>
            <i/>
            <sz val="14"/>
            <color rgb="FF000000"/>
            <rFont val="Times New Roman"/>
            <family val="18"/>
          </rPr>
          <t xml:space="preserve"> transferiert </t>
        </r>
        <r>
          <rPr>
            <sz val="14"/>
            <color rgb="FF000000"/>
            <rFont val="Times New Roman"/>
            <family val="18"/>
          </rPr>
          <t>[RL 1812]</t>
        </r>
        <r>
          <rPr>
            <sz val="14"/>
            <color rgb="FF000000"/>
            <rFont val="Calibri"/>
            <family val="34"/>
          </rPr>
          <t xml:space="preserve">
</t>
        </r>
        <r>
          <rPr>
            <sz val="14"/>
            <color rgb="FF000000"/>
            <rFont val="Calibri"/>
            <family val="34"/>
          </rPr>
          <t xml:space="preserve">
</t>
        </r>
      </text>
    </comment>
    <comment ref="BG1081" authorId="0" shapeId="0" xr:uid="{B433CD92-AB3A-744C-A6C7-70A695E5827B}">
      <text>
        <r>
          <rPr>
            <sz val="14"/>
            <color rgb="FF000000"/>
            <rFont val="Times New Roman"/>
            <family val="18"/>
          </rPr>
          <t>ML 3911 IR 44 (1808-10) – 7. Fus. Komp. Nr. 206 (Papa 27/09/1810)</t>
        </r>
        <r>
          <rPr>
            <sz val="14"/>
            <color rgb="FF000000"/>
            <rFont val="Calibri"/>
            <family val="34"/>
          </rPr>
          <t xml:space="preserve">
</t>
        </r>
        <r>
          <rPr>
            <sz val="14"/>
            <color rgb="FF000000"/>
            <rFont val="Times New Roman"/>
            <family val="18"/>
          </rPr>
          <t>ML 3912-3 IR 44 (1810-11) – 7. Fus. Komp. Nr. 130 (Sthulweissenburg 20/09/1811)</t>
        </r>
        <r>
          <rPr>
            <sz val="14"/>
            <color rgb="FF000000"/>
            <rFont val="Calibri"/>
            <family val="34"/>
          </rPr>
          <t xml:space="preserve">
</t>
        </r>
        <r>
          <rPr>
            <sz val="14"/>
            <color rgb="FF000000"/>
            <rFont val="Times New Roman"/>
            <family val="18"/>
          </rPr>
          <t>ML 3914 IR 44 (1812/6) – 7. Fus. Komp. Abgang (Pest 19/09/1812)</t>
        </r>
        <r>
          <rPr>
            <sz val="14"/>
            <color rgb="FF000000"/>
            <rFont val="Calibri"/>
            <family val="34"/>
          </rPr>
          <t xml:space="preserve">
</t>
        </r>
      </text>
    </comment>
    <comment ref="BH1081" authorId="0" shapeId="0" xr:uid="{3A9630E8-FCBA-C340-9EA6-DC51303AF79C}">
      <text>
        <r>
          <rPr>
            <sz val="14"/>
            <color rgb="FF000000"/>
            <rFont val="Calibri"/>
            <family val="34"/>
          </rPr>
          <t xml:space="preserve">IR 44 (1807-1812)
</t>
        </r>
        <r>
          <rPr>
            <sz val="14"/>
            <color rgb="FF000000"/>
            <rFont val="Calibri"/>
            <family val="34"/>
          </rPr>
          <t>IR 22 (1812)</t>
        </r>
      </text>
    </comment>
    <comment ref="BF1082" authorId="0" shapeId="0" xr:uid="{F2614361-3D4D-4A44-9037-0BFD07D974F3}">
      <text>
        <r>
          <rPr>
            <sz val="14"/>
            <color rgb="FF000000"/>
            <rFont val="Times New Roman"/>
            <family val="18"/>
          </rPr>
          <t xml:space="preserve">08/04/1807 </t>
        </r>
        <r>
          <rPr>
            <i/>
            <sz val="14"/>
            <color rgb="FF000000"/>
            <rFont val="Times New Roman"/>
            <family val="18"/>
          </rPr>
          <t>A 3 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9. Fus. Komp. Nr. 192 [</t>
        </r>
        <r>
          <rPr>
            <i/>
            <sz val="14"/>
            <color rgb="FF000000"/>
            <rFont val="Times New Roman"/>
            <family val="18"/>
          </rPr>
          <t>Beurlaubt in seiner Heimat auf Bestimmte Zeit</t>
        </r>
        <r>
          <rPr>
            <sz val="14"/>
            <color rgb="FF000000"/>
            <rFont val="Times New Roman"/>
            <family val="18"/>
          </rPr>
          <t>]</t>
        </r>
        <r>
          <rPr>
            <sz val="14"/>
            <color rgb="FF000000"/>
            <rFont val="Calibri"/>
            <family val="34"/>
          </rPr>
          <t xml:space="preserve">
</t>
        </r>
      </text>
    </comment>
    <comment ref="BG1082" authorId="0" shapeId="0" xr:uid="{0176816D-8324-EE42-8E1E-F7E5C3084FBE}">
      <text>
        <r>
          <rPr>
            <sz val="14"/>
            <color rgb="FF000000"/>
            <rFont val="Times New Roman"/>
            <family val="18"/>
          </rPr>
          <t>ML 634 IR 9 (1811) – 9. Fus. Komp. Nr. 192 (Caschau 19/09/1811)</t>
        </r>
      </text>
    </comment>
    <comment ref="BH1082" authorId="0" shapeId="0" xr:uid="{463FAF8A-49E2-2149-9969-30AC9B953745}">
      <text>
        <r>
          <rPr>
            <sz val="14"/>
            <color rgb="FF000000"/>
            <rFont val="Calibri"/>
            <family val="34"/>
          </rPr>
          <t>IR 9 (1807-1811)</t>
        </r>
      </text>
    </comment>
    <comment ref="BF1083" authorId="0" shapeId="0" xr:uid="{604ABC29-ABB0-7941-8A30-501169B1FBE0}">
      <text>
        <r>
          <rPr>
            <sz val="14"/>
            <color rgb="FF000000"/>
            <rFont val="Times New Roman"/>
            <family val="18"/>
          </rPr>
          <t xml:space="preserve">10/04/1807 </t>
        </r>
        <r>
          <rPr>
            <i/>
            <sz val="14"/>
            <color rgb="FF000000"/>
            <rFont val="Times New Roman"/>
            <family val="18"/>
          </rPr>
          <t>Freiwillig ohne entgelt angeworben</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9. Fus. Komp. Nr. 179 [</t>
        </r>
        <r>
          <rPr>
            <i/>
            <sz val="14"/>
            <color rgb="FF000000"/>
            <rFont val="Times New Roman"/>
            <family val="18"/>
          </rPr>
          <t>Beurlaubt in seiner Heimat auf Bestimmte Zeit</t>
        </r>
        <r>
          <rPr>
            <sz val="14"/>
            <color rgb="FF000000"/>
            <rFont val="Times New Roman"/>
            <family val="18"/>
          </rPr>
          <t>]</t>
        </r>
        <r>
          <rPr>
            <sz val="14"/>
            <color rgb="FF000000"/>
            <rFont val="Calibri"/>
            <family val="34"/>
          </rPr>
          <t xml:space="preserve">
</t>
        </r>
      </text>
    </comment>
    <comment ref="BG1083" authorId="0" shapeId="0" xr:uid="{FC19BBA5-F8D8-F74B-A032-817ED22B677E}">
      <text>
        <r>
          <rPr>
            <sz val="14"/>
            <color rgb="FF000000"/>
            <rFont val="Times New Roman"/>
            <family val="18"/>
          </rPr>
          <t>ML 634 IR 9 (1811) – 9. Fus. Komp. Nr. 179 (Caschau 19/09/1811)</t>
        </r>
      </text>
    </comment>
    <comment ref="BH1083" authorId="0" shapeId="0" xr:uid="{7295122B-1F99-BE48-8546-D1FC6908B743}">
      <text>
        <r>
          <rPr>
            <sz val="14"/>
            <color rgb="FF000000"/>
            <rFont val="Calibri"/>
            <family val="34"/>
          </rPr>
          <t>IR 9 (1807-1811)</t>
        </r>
      </text>
    </comment>
    <comment ref="BF1084" authorId="0" shapeId="0" xr:uid="{4C930CDB-F2DF-9E48-B0FB-7DD60DF202B1}">
      <text>
        <r>
          <rPr>
            <i/>
            <sz val="14"/>
            <color rgb="FF000000"/>
            <rFont val="Times New Roman"/>
            <family val="18"/>
          </rPr>
          <t>1 Jahr bei der EH Rainer</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 xml:space="preserve">gedient </t>
        </r>
        <r>
          <rPr>
            <sz val="14"/>
            <color rgb="FF000000"/>
            <rFont val="Times New Roman"/>
            <family val="18"/>
          </rPr>
          <t xml:space="preserve">[TL Juli 1809] </t>
        </r>
        <r>
          <rPr>
            <sz val="14"/>
            <color rgb="FF000000"/>
            <rFont val="Calibri"/>
            <family val="34"/>
          </rPr>
          <t xml:space="preserve">
</t>
        </r>
        <r>
          <rPr>
            <sz val="14"/>
            <color rgb="FF000000"/>
            <rFont val="Times New Roman"/>
            <family val="18"/>
          </rPr>
          <t xml:space="preserve">16/01/1809 </t>
        </r>
        <r>
          <rPr>
            <i/>
            <sz val="14"/>
            <color rgb="FF000000"/>
            <rFont val="Times New Roman"/>
            <family val="18"/>
          </rPr>
          <t xml:space="preserve">Von ständen gestellt und zum CL 6 assentiert </t>
        </r>
        <r>
          <rPr>
            <sz val="14"/>
            <color rgb="FF000000"/>
            <rFont val="Times New Roman"/>
            <family val="18"/>
          </rPr>
          <t>[TL Juli 1809 &amp; ML 1811]</t>
        </r>
        <r>
          <rPr>
            <sz val="14"/>
            <color rgb="FF000000"/>
            <rFont val="Calibri"/>
            <family val="34"/>
          </rPr>
          <t xml:space="preserve">
</t>
        </r>
        <r>
          <rPr>
            <sz val="14"/>
            <color rgb="FF000000"/>
            <rFont val="Times New Roman"/>
            <family val="18"/>
          </rPr>
          <t xml:space="preserve">26/05/1809 </t>
        </r>
        <r>
          <rPr>
            <i/>
            <sz val="14"/>
            <color rgb="FF000000"/>
            <rFont val="Times New Roman"/>
            <family val="18"/>
          </rPr>
          <t xml:space="preserve">Von CL 6 zum Militär-Fuhrwesen Corps transferiert </t>
        </r>
        <r>
          <rPr>
            <sz val="14"/>
            <color rgb="FF000000"/>
            <rFont val="Times New Roman"/>
            <family val="18"/>
          </rPr>
          <t>[TL Aug 1811]</t>
        </r>
        <r>
          <rPr>
            <sz val="14"/>
            <color rgb="FF000000"/>
            <rFont val="Calibri"/>
            <family val="34"/>
          </rPr>
          <t xml:space="preserve">
</t>
        </r>
        <r>
          <rPr>
            <sz val="14"/>
            <color rgb="FFFF0000"/>
            <rFont val="Times New Roman"/>
            <family val="18"/>
          </rPr>
          <t xml:space="preserve">29/05/1809 </t>
        </r>
        <r>
          <rPr>
            <i/>
            <sz val="14"/>
            <color rgb="FFFF0000"/>
            <rFont val="Times New Roman"/>
            <family val="18"/>
          </rPr>
          <t>Zum militär Fuhrwesen Corps und darselbst 1809 bis zum Corporal avanciert</t>
        </r>
        <r>
          <rPr>
            <sz val="14"/>
            <color rgb="FFFF0000"/>
            <rFont val="Times New Roman"/>
            <family val="18"/>
          </rPr>
          <t xml:space="preserve"> [TL Juni 1809 &amp; ML 1811]</t>
        </r>
        <r>
          <rPr>
            <sz val="14"/>
            <color rgb="FF000000"/>
            <rFont val="Calibri"/>
            <family val="34"/>
          </rPr>
          <t xml:space="preserve">
</t>
        </r>
        <r>
          <rPr>
            <sz val="14"/>
            <color rgb="FF000000"/>
            <rFont val="Times New Roman"/>
            <family val="18"/>
          </rPr>
          <t xml:space="preserve">06/06/1809 </t>
        </r>
        <r>
          <rPr>
            <i/>
            <sz val="14"/>
            <color rgb="FF000000"/>
            <rFont val="Times New Roman"/>
            <family val="18"/>
          </rPr>
          <t>Zum Gefreyter avanciert</t>
        </r>
        <r>
          <rPr>
            <sz val="14"/>
            <color rgb="FF000000"/>
            <rFont val="Times New Roman"/>
            <family val="18"/>
          </rPr>
          <t xml:space="preserve"> [TL Aug 1811]</t>
        </r>
        <r>
          <rPr>
            <sz val="14"/>
            <color rgb="FF000000"/>
            <rFont val="Calibri"/>
            <family val="34"/>
          </rPr>
          <t xml:space="preserve">
</t>
        </r>
        <r>
          <rPr>
            <sz val="14"/>
            <color rgb="FF000000"/>
            <rFont val="Times New Roman"/>
            <family val="18"/>
          </rPr>
          <t xml:space="preserve">16/09/1809 </t>
        </r>
        <r>
          <rPr>
            <i/>
            <sz val="14"/>
            <color rgb="FF000000"/>
            <rFont val="Times New Roman"/>
            <family val="18"/>
          </rPr>
          <t>Zum Corporal avanciert</t>
        </r>
        <r>
          <rPr>
            <sz val="14"/>
            <color rgb="FF000000"/>
            <rFont val="Times New Roman"/>
            <family val="18"/>
          </rPr>
          <t xml:space="preserve"> [TL Aug 1811]</t>
        </r>
        <r>
          <rPr>
            <sz val="14"/>
            <color rgb="FF000000"/>
            <rFont val="Calibri"/>
            <family val="34"/>
          </rPr>
          <t xml:space="preserve">
</t>
        </r>
        <r>
          <rPr>
            <sz val="14"/>
            <color rgb="FF000000"/>
            <rFont val="Times New Roman"/>
            <family val="18"/>
          </rPr>
          <t xml:space="preserve">16/04/1810 </t>
        </r>
        <r>
          <rPr>
            <i/>
            <sz val="14"/>
            <color rgb="FF000000"/>
            <rFont val="Times New Roman"/>
            <family val="18"/>
          </rPr>
          <t xml:space="preserve">Von MFWK zum CL 6 1. Major 2. Esk transferiert </t>
        </r>
        <r>
          <rPr>
            <sz val="14"/>
            <color rgb="FF000000"/>
            <rFont val="Times New Roman"/>
            <family val="18"/>
          </rPr>
          <t>[TL Aug 1811 &amp; ST Mai 1810]</t>
        </r>
        <r>
          <rPr>
            <sz val="14"/>
            <color rgb="FF000000"/>
            <rFont val="Calibri"/>
            <family val="34"/>
          </rPr>
          <t xml:space="preserve">
</t>
        </r>
        <r>
          <rPr>
            <sz val="14"/>
            <color rgb="FFFF0000"/>
            <rFont val="Times New Roman"/>
            <family val="18"/>
          </rPr>
          <t xml:space="preserve">10/05/1810 </t>
        </r>
        <r>
          <rPr>
            <i/>
            <sz val="14"/>
            <color rgb="FFFF0000"/>
            <rFont val="Times New Roman"/>
            <family val="18"/>
          </rPr>
          <t xml:space="preserve">Von MFWK zum CL 6 1. Major 2. Esk transferiert </t>
        </r>
        <r>
          <rPr>
            <sz val="14"/>
            <color rgb="FFFF0000"/>
            <rFont val="Times New Roman"/>
            <family val="18"/>
          </rPr>
          <t>[ST Mai 1810]</t>
        </r>
        <r>
          <rPr>
            <sz val="14"/>
            <color rgb="FF000000"/>
            <rFont val="Calibri"/>
            <family val="34"/>
          </rPr>
          <t xml:space="preserve">
</t>
        </r>
        <r>
          <rPr>
            <sz val="14"/>
            <color rgb="FF000000"/>
            <rFont val="Times New Roman"/>
            <family val="18"/>
          </rPr>
          <t xml:space="preserve">01/07/1810 </t>
        </r>
        <r>
          <rPr>
            <i/>
            <sz val="14"/>
            <color rgb="FF000000"/>
            <rFont val="Times New Roman"/>
            <family val="18"/>
          </rPr>
          <t>In Arrest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 xml:space="preserve">17/07/1810 </t>
        </r>
        <r>
          <rPr>
            <i/>
            <sz val="14"/>
            <color rgb="FF000000"/>
            <rFont val="Times New Roman"/>
            <family val="18"/>
          </rPr>
          <t>Befreit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 xml:space="preserve">18/07/1810 </t>
        </r>
        <r>
          <rPr>
            <i/>
            <sz val="14"/>
            <color rgb="FF000000"/>
            <rFont val="Times New Roman"/>
            <family val="18"/>
          </rPr>
          <t>Vermog Regiments Befehl det. Klattau unbestimmte Zeit zu Gemeiner suspendiert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12/09/1811 Muster: CL 6 1. Major 2. Esk. Nr. 85 [</t>
        </r>
        <r>
          <rPr>
            <i/>
            <sz val="14"/>
            <color rgb="FF000000"/>
            <rFont val="Times New Roman"/>
            <family val="18"/>
          </rPr>
          <t>Führt das Pferd des Beurlaubten Corporal Stespal</t>
        </r>
        <r>
          <rPr>
            <sz val="14"/>
            <color rgb="FF000000"/>
            <rFont val="Times New Roman"/>
            <family val="18"/>
          </rPr>
          <t>]</t>
        </r>
        <r>
          <rPr>
            <sz val="14"/>
            <color rgb="FF000000"/>
            <rFont val="Calibri"/>
            <family val="34"/>
          </rPr>
          <t xml:space="preserve">
</t>
        </r>
        <r>
          <rPr>
            <sz val="14"/>
            <color rgb="FF000000"/>
            <rFont val="Times New Roman"/>
            <family val="18"/>
          </rPr>
          <t>04/09/1812 Revision: CL 6 1. Major 2. Esk. Nr. 96</t>
        </r>
      </text>
    </comment>
    <comment ref="BG1084" authorId="0" shapeId="0" xr:uid="{0B88E94C-1656-EF49-8E5E-4D1AA53930E3}">
      <text>
        <r>
          <rPr>
            <sz val="14"/>
            <color rgb="FF000000"/>
            <rFont val="Times New Roman"/>
            <family val="18"/>
          </rPr>
          <t>ML 7250 CL 6 (1811-12) –ML 1811 1. Major 2. Esk. Nr. 85 (Jasberény 12/9/1811); RL 1812 1. Major 2. Esk. Nr. 96 (Jasberény 04/9/1811)</t>
        </r>
        <r>
          <rPr>
            <sz val="14"/>
            <color rgb="FF000000"/>
            <rFont val="Calibri"/>
            <family val="34"/>
          </rPr>
          <t xml:space="preserve">
</t>
        </r>
        <r>
          <rPr>
            <sz val="14"/>
            <color rgb="FF000000"/>
            <rFont val="Times New Roman"/>
            <family val="18"/>
          </rPr>
          <t xml:space="preserve">ML 7267 CL 6 (1810-11) – TL MFWK-&gt;CL 6 Nr. 2 (Vienna 16/10/1811); ST Mai 1810 (01/11/1810), ST Juli 1810 (01/01/1811) </t>
        </r>
      </text>
    </comment>
    <comment ref="BH1084" authorId="0" shapeId="0" xr:uid="{CA9C1319-7F2B-B447-8C0F-A08030B4C93D}">
      <text>
        <r>
          <rPr>
            <sz val="14"/>
            <color rgb="FF000000"/>
            <rFont val="Calibri"/>
            <family val="34"/>
          </rPr>
          <t xml:space="preserve">IR 11 (18??-18??)
</t>
        </r>
        <r>
          <rPr>
            <sz val="14"/>
            <color rgb="FF000000"/>
            <rFont val="Calibri"/>
            <family val="34"/>
          </rPr>
          <t xml:space="preserve">CL 6 (1809)
</t>
        </r>
        <r>
          <rPr>
            <sz val="14"/>
            <color rgb="FF000000"/>
            <rFont val="Calibri"/>
            <family val="34"/>
          </rPr>
          <t xml:space="preserve">MFWK (1809-10)
</t>
        </r>
        <r>
          <rPr>
            <sz val="14"/>
            <color rgb="FF000000"/>
            <rFont val="Calibri"/>
            <family val="34"/>
          </rPr>
          <t>CL 6 (1810-1812)</t>
        </r>
      </text>
    </comment>
    <comment ref="BF1085" authorId="0" shapeId="0" xr:uid="{1C64348B-282A-6F43-9433-B034AEFC694B}">
      <text>
        <r>
          <rPr>
            <sz val="14"/>
            <color rgb="FF000000"/>
            <rFont val="Times New Roman"/>
            <family val="18"/>
          </rPr>
          <t xml:space="preserve">02/03/1808 </t>
        </r>
        <r>
          <rPr>
            <i/>
            <sz val="14"/>
            <color rgb="FF000000"/>
            <rFont val="Times New Roman"/>
            <family val="18"/>
          </rPr>
          <t>Von Ugosca Komität gestellt, gegen 3FL zum IR 39 assentiert, und zur 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2. Fus. Komp. Nr. 188</t>
        </r>
        <r>
          <rPr>
            <sz val="14"/>
            <color rgb="FF000000"/>
            <rFont val="Calibri"/>
            <family val="34"/>
          </rPr>
          <t xml:space="preserve">
</t>
        </r>
        <r>
          <rPr>
            <sz val="14"/>
            <color rgb="FF000000"/>
            <rFont val="Times New Roman"/>
            <family val="18"/>
          </rPr>
          <t xml:space="preserve">25/09/1810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085" authorId="0" shapeId="0" xr:uid="{0EF03754-4FF3-BA4E-A2B1-8DEAA61402A2}">
      <text>
        <r>
          <rPr>
            <sz val="14"/>
            <color rgb="FF000000"/>
            <rFont val="Times New Roman"/>
            <family val="18"/>
          </rPr>
          <t>ML 3500 IR 39 (1808-10) – RL 1808 2. Fus. Komp. Nr. 188 (Comorn 19/09/1808)</t>
        </r>
        <r>
          <rPr>
            <sz val="14"/>
            <color rgb="FF000000"/>
            <rFont val="Calibri"/>
            <family val="34"/>
          </rPr>
          <t xml:space="preserve">
</t>
        </r>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3549 IR 39 (1808) – AL Ugosca Komität Nr. 24 (Munkats 31/03/1808)</t>
        </r>
        <r>
          <rPr>
            <sz val="14"/>
            <color rgb="FF000000"/>
            <rFont val="Calibri"/>
            <family val="34"/>
          </rPr>
          <t xml:space="preserve">
</t>
        </r>
      </text>
    </comment>
    <comment ref="BH1085" authorId="0" shapeId="0" xr:uid="{788F27F3-AA56-4A48-A85F-BAAE8A963A7D}">
      <text>
        <r>
          <rPr>
            <sz val="14"/>
            <color rgb="FF000000"/>
            <rFont val="Calibri"/>
            <family val="34"/>
          </rPr>
          <t>IR 39 (1808-1810)</t>
        </r>
      </text>
    </comment>
    <comment ref="BF1086" authorId="0" shapeId="0" xr:uid="{07CFBD25-0172-AF46-8757-FE91C69203B0}">
      <text>
        <r>
          <rPr>
            <sz val="14"/>
            <color rgb="FF000000"/>
            <rFont val="Times New Roman"/>
            <family val="18"/>
          </rPr>
          <t xml:space="preserve">04/03/1808 </t>
        </r>
        <r>
          <rPr>
            <i/>
            <sz val="14"/>
            <color rgb="FF000000"/>
            <rFont val="Times New Roman"/>
            <family val="18"/>
          </rPr>
          <t>Von Ung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192</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5. zum neu errichtete 15.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15. zum 13.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05/05/1810 </t>
        </r>
        <r>
          <rPr>
            <i/>
            <sz val="14"/>
            <color rgb="FF000000"/>
            <rFont val="Times New Roman"/>
            <family val="18"/>
          </rPr>
          <t>In Gran gestorben</t>
        </r>
        <r>
          <rPr>
            <sz val="14"/>
            <color rgb="FF000000"/>
            <rFont val="Times New Roman"/>
            <family val="18"/>
          </rPr>
          <t xml:space="preserve"> [ST May 1810] </t>
        </r>
      </text>
    </comment>
    <comment ref="BG1086" authorId="0" shapeId="0" xr:uid="{B0A07ACF-F7F8-9142-90D5-D53AA7BF20C3}">
      <text>
        <r>
          <rPr>
            <sz val="14"/>
            <color rgb="FF000000"/>
            <rFont val="Times New Roman"/>
            <family val="18"/>
          </rPr>
          <t>ML 3500 IR 39 (1808-10) – RL 1808 5. Fus. Komp. Nr. 192 (Comorn 19/09/1808)</t>
        </r>
        <r>
          <rPr>
            <sz val="14"/>
            <color rgb="FF000000"/>
            <rFont val="Calibri"/>
            <family val="34"/>
          </rPr>
          <t xml:space="preserve">
</t>
        </r>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3549 IR 39 (1808) – AL Ung Komität Nr. 84 (Munkats 31/03/1808)</t>
        </r>
        <r>
          <rPr>
            <sz val="14"/>
            <color rgb="FF000000"/>
            <rFont val="Calibri"/>
            <family val="34"/>
          </rPr>
          <t xml:space="preserve">
</t>
        </r>
        <r>
          <rPr>
            <sz val="14"/>
            <color rgb="FF000000"/>
            <rFont val="Times New Roman"/>
            <family val="18"/>
          </rPr>
          <t>ML 3551 IR 39 (1810) – ST May</t>
        </r>
        <r>
          <rPr>
            <sz val="14"/>
            <color rgb="FF000000"/>
            <rFont val="Calibri"/>
            <family val="34"/>
          </rPr>
          <t xml:space="preserve">
</t>
        </r>
      </text>
    </comment>
    <comment ref="BH1086" authorId="0" shapeId="0" xr:uid="{7E13AA4E-3454-7345-A67D-E54B7511D24B}">
      <text>
        <r>
          <rPr>
            <sz val="14"/>
            <color rgb="FF000000"/>
            <rFont val="Calibri"/>
            <family val="34"/>
          </rPr>
          <t>IR 39 (1808-1810)</t>
        </r>
      </text>
    </comment>
    <comment ref="BF1087" authorId="0" shapeId="0" xr:uid="{6F24D386-6239-1E4E-B1CD-278C67CEC1A5}">
      <text>
        <r>
          <rPr>
            <sz val="14"/>
            <color rgb="FF000000"/>
            <rFont val="Times New Roman"/>
            <family val="18"/>
          </rPr>
          <t xml:space="preserve">04/03/1808 </t>
        </r>
        <r>
          <rPr>
            <i/>
            <sz val="14"/>
            <color rgb="FF000000"/>
            <rFont val="Times New Roman"/>
            <family val="18"/>
          </rPr>
          <t>Von Ung Komität gestellt, gegen 3FL zum IR 39 assentiert, und zur 16. Komp. eingeheilt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7. Fus. Komp. Nr. 199 [</t>
        </r>
        <r>
          <rPr>
            <i/>
            <sz val="14"/>
            <color rgb="FF000000"/>
            <rFont val="Times New Roman"/>
            <family val="18"/>
          </rPr>
          <t>Krank zu Komorn</t>
        </r>
        <r>
          <rPr>
            <sz val="14"/>
            <color rgb="FF000000"/>
            <rFont val="Times New Roman"/>
            <family val="18"/>
          </rPr>
          <t>]</t>
        </r>
        <r>
          <rPr>
            <sz val="14"/>
            <color rgb="FF000000"/>
            <rFont val="Calibri"/>
            <family val="34"/>
          </rPr>
          <t xml:space="preserve">
</t>
        </r>
        <r>
          <rPr>
            <sz val="14"/>
            <color rgb="FF000000"/>
            <rFont val="Times New Roman"/>
            <family val="18"/>
          </rPr>
          <t xml:space="preserve">11/12/1808 </t>
        </r>
        <r>
          <rPr>
            <i/>
            <sz val="14"/>
            <color rgb="FF000000"/>
            <rFont val="Times New Roman"/>
            <family val="18"/>
          </rPr>
          <t>Von 7. zum 9. Komp. transferiert und zum Privat Diener mutirt</t>
        </r>
        <r>
          <rPr>
            <sz val="14"/>
            <color rgb="FF000000"/>
            <rFont val="Times New Roman"/>
            <family val="18"/>
          </rPr>
          <t xml:space="preserve"> [ML 1811 &amp; ST Jan 1809]</t>
        </r>
        <r>
          <rPr>
            <sz val="14"/>
            <color rgb="FF000000"/>
            <rFont val="Calibri"/>
            <family val="34"/>
          </rPr>
          <t xml:space="preserve">
</t>
        </r>
        <r>
          <rPr>
            <sz val="14"/>
            <color rgb="FF000000"/>
            <rFont val="Times New Roman"/>
            <family val="18"/>
          </rPr>
          <t xml:space="preserve">06/04/1809 </t>
        </r>
        <r>
          <rPr>
            <i/>
            <sz val="14"/>
            <color rgb="FF000000"/>
            <rFont val="Times New Roman"/>
            <family val="18"/>
          </rPr>
          <t>von 9. zum 17.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26/04/1809 </t>
        </r>
        <r>
          <rPr>
            <i/>
            <sz val="14"/>
            <color rgb="FF000000"/>
            <rFont val="Times New Roman"/>
            <family val="18"/>
          </rPr>
          <t>Krank mit auswärtiger Gebühr</t>
        </r>
        <r>
          <rPr>
            <sz val="14"/>
            <color rgb="FF000000"/>
            <rFont val="Times New Roman"/>
            <family val="18"/>
          </rPr>
          <t xml:space="preserve"> [ST April 1809] </t>
        </r>
        <r>
          <rPr>
            <sz val="14"/>
            <color rgb="FF000000"/>
            <rFont val="Calibri"/>
            <family val="34"/>
          </rPr>
          <t xml:space="preserve">
</t>
        </r>
        <r>
          <rPr>
            <sz val="14"/>
            <color rgb="FF000000"/>
            <rFont val="Times New Roman"/>
            <family val="18"/>
          </rPr>
          <t xml:space="preserve">01/08/1809 </t>
        </r>
        <r>
          <rPr>
            <i/>
            <sz val="14"/>
            <color rgb="FF000000"/>
            <rFont val="Times New Roman"/>
            <family val="18"/>
          </rPr>
          <t>Rekonvalesziert und seitdem auf anhero Marsch</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26/09/1809 </t>
        </r>
        <r>
          <rPr>
            <i/>
            <sz val="14"/>
            <color rgb="FF000000"/>
            <rFont val="Times New Roman"/>
            <family val="18"/>
          </rPr>
          <t>In Loco gekommen und wieder Krank mit auswärtiger Gebühr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Rekonvalesziert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26/11/1809 </t>
        </r>
        <r>
          <rPr>
            <i/>
            <sz val="14"/>
            <color rgb="FF000000"/>
            <rFont val="Times New Roman"/>
            <family val="18"/>
          </rPr>
          <t>Von 12. zum 9.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9.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05/09/1810 </t>
        </r>
        <r>
          <rPr>
            <i/>
            <sz val="14"/>
            <color rgb="FF000000"/>
            <rFont val="Times New Roman"/>
            <family val="18"/>
          </rPr>
          <t>Als Kriegs Capitulant mit Abschied entlassen</t>
        </r>
        <r>
          <rPr>
            <sz val="14"/>
            <color rgb="FF000000"/>
            <rFont val="Times New Roman"/>
            <family val="18"/>
          </rPr>
          <t xml:space="preserve"> [ML 1811] </t>
        </r>
        <r>
          <rPr>
            <sz val="14"/>
            <color rgb="FF000000"/>
            <rFont val="Calibri"/>
            <family val="34"/>
          </rPr>
          <t xml:space="preserve">
</t>
        </r>
      </text>
    </comment>
    <comment ref="BG1087" authorId="0" shapeId="0" xr:uid="{C6BCD503-3FC4-3540-945C-AAF5FECD1452}">
      <text>
        <r>
          <rPr>
            <sz val="14"/>
            <color rgb="FF000000"/>
            <rFont val="Times New Roman"/>
            <family val="18"/>
          </rPr>
          <t>ML 3500 IR 39 (1808) – 7. Fus. Komp. Nr. 199 (Lager bei Comorn 19/09/1808)</t>
        </r>
        <r>
          <rPr>
            <sz val="14"/>
            <color rgb="FF000000"/>
            <rFont val="Calibri"/>
            <family val="34"/>
          </rPr>
          <t xml:space="preserve">
</t>
        </r>
        <r>
          <rPr>
            <sz val="14"/>
            <color rgb="FF000000"/>
            <rFont val="Times New Roman"/>
            <family val="18"/>
          </rPr>
          <t>ML 3501/2 IR 39 (1811) – 7. Fus. Komp. Abgang (Ofen 19/09/1811)</t>
        </r>
        <r>
          <rPr>
            <sz val="14"/>
            <color rgb="FF000000"/>
            <rFont val="Calibri"/>
            <family val="34"/>
          </rPr>
          <t xml:space="preserve">
</t>
        </r>
        <r>
          <rPr>
            <sz val="14"/>
            <color rgb="FF000000"/>
            <rFont val="Times New Roman"/>
            <family val="18"/>
          </rPr>
          <t>ML 3549 IR 39 (1808) – AL Ung Komität Nr. 85 (Munkats 31/03/1808)</t>
        </r>
        <r>
          <rPr>
            <sz val="14"/>
            <color rgb="FF000000"/>
            <rFont val="Calibri"/>
            <family val="34"/>
          </rPr>
          <t xml:space="preserve">
</t>
        </r>
        <r>
          <rPr>
            <sz val="14"/>
            <color rgb="FF000000"/>
            <rFont val="Times New Roman"/>
            <family val="18"/>
          </rPr>
          <t>ML 3550 IR 30 (1809) – ST Jan, April (Ofen 10/02/1810), Aug (Ofen 20/09/1810), Sept (Ofen 14/04/1811), Oct (Ofen 21/04/1811)</t>
        </r>
        <r>
          <rPr>
            <sz val="14"/>
            <color rgb="FF000000"/>
            <rFont val="Calibri"/>
            <family val="34"/>
          </rPr>
          <t xml:space="preserve">
</t>
        </r>
      </text>
    </comment>
    <comment ref="BH1087" authorId="0" shapeId="0" xr:uid="{98670707-37B6-B247-99C4-3004C6D558F7}">
      <text>
        <r>
          <rPr>
            <sz val="14"/>
            <color rgb="FF000000"/>
            <rFont val="Calibri"/>
            <family val="34"/>
          </rPr>
          <t>IR 39 (1808-1810)</t>
        </r>
      </text>
    </comment>
    <comment ref="BF1088" authorId="0" shapeId="0" xr:uid="{377A4EE0-0AE9-CC40-BA30-D46010F240E5}">
      <text>
        <r>
          <rPr>
            <sz val="14"/>
            <color rgb="FF000000"/>
            <rFont val="Times New Roman"/>
            <family val="18"/>
          </rPr>
          <t>19/09/1808 Revision: IR 39 5. Fus. Komp. Nr. 193</t>
        </r>
        <r>
          <rPr>
            <sz val="14"/>
            <color rgb="FF000000"/>
            <rFont val="Calibri"/>
            <family val="34"/>
          </rPr>
          <t xml:space="preserve">
</t>
        </r>
        <r>
          <rPr>
            <sz val="14"/>
            <color rgb="FF000000"/>
            <rFont val="Times New Roman"/>
            <family val="18"/>
          </rPr>
          <t xml:space="preserve">21/10/1808 </t>
        </r>
        <r>
          <rPr>
            <i/>
            <sz val="14"/>
            <color rgb="FF000000"/>
            <rFont val="Times New Roman"/>
            <family val="18"/>
          </rPr>
          <t>Krank 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04/03/1809 </t>
        </r>
        <r>
          <rPr>
            <i/>
            <sz val="14"/>
            <color rgb="FF000000"/>
            <rFont val="Times New Roman"/>
            <family val="18"/>
          </rPr>
          <t>Krank mit auswärtiger Gebühr</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15/03/1809 </t>
        </r>
        <r>
          <rPr>
            <i/>
            <sz val="14"/>
            <color rgb="FF000000"/>
            <rFont val="Times New Roman"/>
            <family val="18"/>
          </rPr>
          <t xml:space="preserve">Zu Spital in Poysdorf gestorben </t>
        </r>
        <r>
          <rPr>
            <sz val="14"/>
            <color rgb="FF000000"/>
            <rFont val="Times New Roman"/>
            <family val="18"/>
          </rPr>
          <t xml:space="preserve">[ML 1811 &amp; ST April 1809] </t>
        </r>
      </text>
    </comment>
    <comment ref="BG1088" authorId="0" shapeId="0" xr:uid="{7A984D59-AAE1-A14D-B737-9BBF987C6F15}">
      <text>
        <r>
          <rPr>
            <sz val="14"/>
            <color rgb="FF000000"/>
            <rFont val="Times New Roman"/>
            <family val="18"/>
          </rPr>
          <t>ML 3500 IR 39 (1808-10) – RL 1808 5. Fus. Komp. Nr. 193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Ung Komität Nr. 86 (Munkats 31/03/1808); ST Oct (Ofen 15/10/1810), Nov (Ofen 18/10/1810)</t>
        </r>
        <r>
          <rPr>
            <sz val="14"/>
            <color rgb="FF000000"/>
            <rFont val="Calibri"/>
            <family val="34"/>
          </rPr>
          <t xml:space="preserve">
</t>
        </r>
        <r>
          <rPr>
            <sz val="14"/>
            <color rgb="FF000000"/>
            <rFont val="Times New Roman"/>
            <family val="18"/>
          </rPr>
          <t>ML 3550 IR 39 (1809) – ST April (Ofen 10/02/1811)</t>
        </r>
        <r>
          <rPr>
            <sz val="14"/>
            <color rgb="FF000000"/>
            <rFont val="Calibri"/>
            <family val="34"/>
          </rPr>
          <t xml:space="preserve">
</t>
        </r>
      </text>
    </comment>
    <comment ref="BH1088" authorId="0" shapeId="0" xr:uid="{9D7AA362-F6C7-0A4C-A9FE-AF3BD2DB5434}">
      <text>
        <r>
          <rPr>
            <sz val="14"/>
            <color rgb="FF000000"/>
            <rFont val="Calibri"/>
            <family val="34"/>
          </rPr>
          <t>IR 39 (1808-1809)</t>
        </r>
      </text>
    </comment>
    <comment ref="BF1089" authorId="0" shapeId="0" xr:uid="{4300318F-3027-864B-8CB9-F6BAD68A6896}">
      <text>
        <r>
          <rPr>
            <sz val="14"/>
            <color rgb="FF000000"/>
            <rFont val="Times New Roman"/>
            <family val="18"/>
          </rPr>
          <t xml:space="preserve">07/03/1808 </t>
        </r>
        <r>
          <rPr>
            <i/>
            <sz val="14"/>
            <color rgb="FF000000"/>
            <rFont val="Times New Roman"/>
            <family val="18"/>
          </rPr>
          <t xml:space="preserve">Von Siroka </t>
        </r>
        <r>
          <rPr>
            <b/>
            <sz val="14"/>
            <color rgb="FF000000"/>
            <rFont val="Times New Roman"/>
            <family val="18"/>
          </rPr>
          <t>[</t>
        </r>
        <r>
          <rPr>
            <b/>
            <u/>
            <sz val="14"/>
            <color rgb="FF0563C1"/>
            <rFont val="Times New Roman"/>
            <family val="18"/>
          </rPr>
          <t>Široké,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16.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27/05/1808 </t>
        </r>
        <r>
          <rPr>
            <i/>
            <sz val="14"/>
            <color rgb="FF000000"/>
            <rFont val="Times New Roman"/>
            <family val="18"/>
          </rPr>
          <t>Krank mit auswärtiger Gebühr</t>
        </r>
        <r>
          <rPr>
            <sz val="14"/>
            <color rgb="FF000000"/>
            <rFont val="Times New Roman"/>
            <family val="18"/>
          </rPr>
          <t xml:space="preserve"> [ST May 1808]</t>
        </r>
        <r>
          <rPr>
            <sz val="14"/>
            <color rgb="FF000000"/>
            <rFont val="Calibri"/>
            <family val="34"/>
          </rPr>
          <t xml:space="preserve">
</t>
        </r>
        <r>
          <rPr>
            <sz val="14"/>
            <color rgb="FF000000"/>
            <rFont val="Times New Roman"/>
            <family val="18"/>
          </rPr>
          <t xml:space="preserve">19/07/1808 </t>
        </r>
        <r>
          <rPr>
            <i/>
            <sz val="14"/>
            <color rgb="FF000000"/>
            <rFont val="Times New Roman"/>
            <family val="18"/>
          </rPr>
          <t xml:space="preserve">Rekonvalesziert und bei 15. Fus. Komp. Kommandiert </t>
        </r>
        <r>
          <rPr>
            <sz val="14"/>
            <color rgb="FF000000"/>
            <rFont val="Times New Roman"/>
            <family val="18"/>
          </rPr>
          <t>[ST July 1808]</t>
        </r>
        <r>
          <rPr>
            <sz val="14"/>
            <color rgb="FF000000"/>
            <rFont val="Calibri"/>
            <family val="34"/>
          </rPr>
          <t xml:space="preserve">
</t>
        </r>
        <r>
          <rPr>
            <sz val="14"/>
            <color rgb="FF000000"/>
            <rFont val="Times New Roman"/>
            <family val="18"/>
          </rPr>
          <t>19/09/1808 Revision: IR 39 7. Fus. Komp. Nr. 178</t>
        </r>
        <r>
          <rPr>
            <sz val="14"/>
            <color rgb="FF000000"/>
            <rFont val="Calibri"/>
            <family val="34"/>
          </rPr>
          <t xml:space="preserve">
</t>
        </r>
        <r>
          <rPr>
            <sz val="14"/>
            <color rgb="FF000000"/>
            <rFont val="Times New Roman"/>
            <family val="18"/>
          </rPr>
          <t>15/10/1808</t>
        </r>
        <r>
          <rPr>
            <i/>
            <sz val="14"/>
            <color rgb="FF000000"/>
            <rFont val="Times New Roman"/>
            <family val="18"/>
          </rPr>
          <t xml:space="preserve"> Krank mit Auswärtiger Gebühr</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10/12/1808 </t>
        </r>
        <r>
          <rPr>
            <i/>
            <sz val="14"/>
            <color rgb="FF000000"/>
            <rFont val="Times New Roman"/>
            <family val="18"/>
          </rPr>
          <t>rekonvalesziert und seitdem auf anhero Marsch</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22/12/1808 </t>
        </r>
        <r>
          <rPr>
            <i/>
            <sz val="14"/>
            <color rgb="FF000000"/>
            <rFont val="Times New Roman"/>
            <family val="18"/>
          </rPr>
          <t>Zu Prellenkirchen</t>
        </r>
        <r>
          <rPr>
            <sz val="14"/>
            <color rgb="FF000000"/>
            <rFont val="Times New Roman"/>
            <family val="18"/>
          </rPr>
          <t xml:space="preserve"> </t>
        </r>
        <r>
          <rPr>
            <b/>
            <sz val="14"/>
            <color rgb="FF000000"/>
            <rFont val="Times New Roman"/>
            <family val="18"/>
          </rPr>
          <t>[</t>
        </r>
        <r>
          <rPr>
            <b/>
            <u/>
            <sz val="14"/>
            <color rgb="FF0563C1"/>
            <rFont val="Times New Roman"/>
            <family val="18"/>
          </rPr>
          <t>Prellenkirchen, Austria</t>
        </r>
        <r>
          <rPr>
            <b/>
            <sz val="14"/>
            <color rgb="FF000000"/>
            <rFont val="Times New Roman"/>
            <family val="18"/>
          </rPr>
          <t>]</t>
        </r>
        <r>
          <rPr>
            <i/>
            <sz val="14"/>
            <color rgb="FF000000"/>
            <rFont val="Times New Roman"/>
            <family val="18"/>
          </rPr>
          <t xml:space="preserve"> auf anhero Marsch gestorben</t>
        </r>
        <r>
          <rPr>
            <sz val="14"/>
            <color rgb="FF000000"/>
            <rFont val="Times New Roman"/>
            <family val="18"/>
          </rPr>
          <t xml:space="preserve"> [ST Dec 1808]</t>
        </r>
        <r>
          <rPr>
            <sz val="14"/>
            <color rgb="FF000000"/>
            <rFont val="Calibri"/>
            <family val="34"/>
          </rPr>
          <t xml:space="preserve">
</t>
        </r>
      </text>
    </comment>
    <comment ref="BG1089" authorId="0" shapeId="0" xr:uid="{E9D4AAFC-24EE-2F45-B8C1-02C5CFFB2B2D}">
      <text>
        <r>
          <rPr>
            <sz val="14"/>
            <color rgb="FF000000"/>
            <rFont val="Times New Roman"/>
            <family val="18"/>
          </rPr>
          <t>ML 3500 IR 39 (1808) – 8. Fus. Komp. Nr. 178 (Lager bei Comorn 19/09/1808)</t>
        </r>
        <r>
          <rPr>
            <sz val="14"/>
            <color rgb="FF000000"/>
            <rFont val="Calibri"/>
            <family val="34"/>
          </rPr>
          <t xml:space="preserve">
</t>
        </r>
        <r>
          <rPr>
            <sz val="14"/>
            <color rgb="FF000000"/>
            <rFont val="Times New Roman"/>
            <family val="18"/>
          </rPr>
          <t>ML 3549 IR 39 (1808) – AL Sáros Komität Nr. 35 (Eperies 31/03/1808); ST Mai (Pest 14/04/1810); ST Juli (Ofen ??/05/1810); Okt (Ofen 15/10/1810); Dez (??/??/1810)</t>
        </r>
        <r>
          <rPr>
            <sz val="14"/>
            <color rgb="FF000000"/>
            <rFont val="Calibri"/>
            <family val="34"/>
          </rPr>
          <t xml:space="preserve">
</t>
        </r>
        <r>
          <rPr>
            <sz val="14"/>
            <color rgb="FF000000"/>
            <rFont val="Calibri"/>
            <family val="34"/>
          </rPr>
          <t xml:space="preserve">
</t>
        </r>
      </text>
    </comment>
    <comment ref="BH1089" authorId="0" shapeId="0" xr:uid="{830306C8-2218-9F43-B22E-C40DD4764768}">
      <text>
        <r>
          <rPr>
            <sz val="14"/>
            <color rgb="FF000000"/>
            <rFont val="Calibri"/>
            <family val="34"/>
          </rPr>
          <t>IR 39 (1808)</t>
        </r>
      </text>
    </comment>
    <comment ref="BF1090" authorId="0" shapeId="0" xr:uid="{A6976CDF-13CD-1540-9973-CBEE18D469D4}">
      <text>
        <r>
          <rPr>
            <sz val="14"/>
            <color rgb="FF000000"/>
            <rFont val="Times New Roman"/>
            <family val="18"/>
          </rPr>
          <t xml:space="preserve">07/03/1808 </t>
        </r>
        <r>
          <rPr>
            <i/>
            <sz val="14"/>
            <color rgb="FF000000"/>
            <rFont val="Times New Roman"/>
            <family val="18"/>
          </rPr>
          <t xml:space="preserve">Von Ploske </t>
        </r>
        <r>
          <rPr>
            <b/>
            <sz val="14"/>
            <color rgb="FF000000"/>
            <rFont val="Times New Roman"/>
            <family val="18"/>
          </rPr>
          <t>[</t>
        </r>
        <r>
          <rPr>
            <b/>
            <u/>
            <sz val="14"/>
            <color rgb="FF0563C1"/>
            <rFont val="Times New Roman"/>
            <family val="18"/>
          </rPr>
          <t>Ploské,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7.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11/09/1808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9. Fus. Komp. Nr. 172</t>
        </r>
        <r>
          <rPr>
            <sz val="14"/>
            <color rgb="FF000000"/>
            <rFont val="Calibri"/>
            <family val="34"/>
          </rPr>
          <t xml:space="preserve">
</t>
        </r>
        <r>
          <rPr>
            <sz val="14"/>
            <color rgb="FF000000"/>
            <rFont val="Times New Roman"/>
            <family val="18"/>
          </rPr>
          <t xml:space="preserve">15/11/1808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9. zum 16.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20/04/1809 </t>
        </r>
        <r>
          <rPr>
            <b/>
            <sz val="14"/>
            <color rgb="FF000000"/>
            <rFont val="Times New Roman"/>
            <family val="18"/>
          </rPr>
          <t>[Bei Abensberg]</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[ST April 1809] </t>
        </r>
      </text>
    </comment>
    <comment ref="BG1090" authorId="0" shapeId="0" xr:uid="{162F052E-AC0B-EA41-A94E-405E5453CBB0}">
      <text>
        <r>
          <rPr>
            <sz val="14"/>
            <color rgb="FF000000"/>
            <rFont val="Times New Roman"/>
            <family val="18"/>
          </rPr>
          <t>ML 3500 IR 39 (1808) – 9. Fus. Komp. Nr. 172 (Lager bei Comorn 19/09/1808)</t>
        </r>
        <r>
          <rPr>
            <sz val="14"/>
            <color rgb="FF000000"/>
            <rFont val="Calibri"/>
            <family val="34"/>
          </rPr>
          <t xml:space="preserve">
</t>
        </r>
        <r>
          <rPr>
            <sz val="14"/>
            <color rgb="FF000000"/>
            <rFont val="Times New Roman"/>
            <family val="18"/>
          </rPr>
          <t>ML 3501/2 IR 39 (1811) – Neue 16. Fus. Komp. Abgang (Ofen 19/09/1811)</t>
        </r>
        <r>
          <rPr>
            <sz val="14"/>
            <color rgb="FF000000"/>
            <rFont val="Calibri"/>
            <family val="34"/>
          </rPr>
          <t xml:space="preserve">
</t>
        </r>
        <r>
          <rPr>
            <sz val="14"/>
            <color rgb="FF000000"/>
            <rFont val="Times New Roman"/>
            <family val="18"/>
          </rPr>
          <t>ML 3549 IR 39 (1808) – AL Sáros Komität Nr. 64 (Eperies 31/03/1808); ST Sept (Ofen 10/10/1808), Nov (Ofen 18/10/1808)</t>
        </r>
        <r>
          <rPr>
            <sz val="14"/>
            <color rgb="FF000000"/>
            <rFont val="Calibri"/>
            <family val="34"/>
          </rPr>
          <t xml:space="preserve">
</t>
        </r>
        <r>
          <rPr>
            <sz val="14"/>
            <color rgb="FF000000"/>
            <rFont val="Times New Roman"/>
            <family val="18"/>
          </rPr>
          <t>ML 3550 IR 39 (1809) – ST April (Ofen 10/02/1811)</t>
        </r>
        <r>
          <rPr>
            <sz val="14"/>
            <color rgb="FF000000"/>
            <rFont val="Calibri"/>
            <family val="34"/>
          </rPr>
          <t xml:space="preserve">
</t>
        </r>
      </text>
    </comment>
    <comment ref="BH1090" authorId="0" shapeId="0" xr:uid="{27AE171B-E936-B844-80ED-20B85AA3C3C0}">
      <text>
        <r>
          <rPr>
            <sz val="14"/>
            <color rgb="FF000000"/>
            <rFont val="Calibri"/>
            <family val="34"/>
          </rPr>
          <t>IR 39 (1808-1809)</t>
        </r>
      </text>
    </comment>
    <comment ref="BF1091" authorId="0" shapeId="0" xr:uid="{8E79B3B3-2E49-EA45-A4E3-9C29729FBD35}">
      <text>
        <r>
          <rPr>
            <sz val="14"/>
            <color rgb="FF000000"/>
            <rFont val="Times New Roman"/>
            <family val="18"/>
          </rPr>
          <t xml:space="preserve">08/03/1808 </t>
        </r>
        <r>
          <rPr>
            <i/>
            <sz val="14"/>
            <color rgb="FF000000"/>
            <rFont val="Times New Roman"/>
            <family val="18"/>
          </rPr>
          <t xml:space="preserve">Von Hanusovcze </t>
        </r>
        <r>
          <rPr>
            <b/>
            <sz val="14"/>
            <color rgb="FF000000"/>
            <rFont val="Times New Roman"/>
            <family val="18"/>
          </rPr>
          <t>[</t>
        </r>
        <r>
          <rPr>
            <b/>
            <u/>
            <sz val="14"/>
            <color rgb="FF0563C1"/>
            <rFont val="Times New Roman"/>
            <family val="18"/>
          </rPr>
          <t>Hanušovce nad Topľou,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19/09/1808 Revision: IR 39 4. Fus. Komp. Nr. 203 </t>
        </r>
        <r>
          <rPr>
            <sz val="14"/>
            <color rgb="FF000000"/>
            <rFont val="Calibri"/>
            <family val="34"/>
          </rPr>
          <t xml:space="preserve">
</t>
        </r>
        <r>
          <rPr>
            <sz val="14"/>
            <color rgb="FF000000"/>
            <rFont val="Times New Roman"/>
            <family val="18"/>
          </rPr>
          <t xml:space="preserve">05/10/1808 </t>
        </r>
        <r>
          <rPr>
            <i/>
            <sz val="14"/>
            <color rgb="FF000000"/>
            <rFont val="Times New Roman"/>
            <family val="18"/>
          </rPr>
          <t>Krank mit auswärtiger Gebühr</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10/11/1808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05/05/1809 </t>
        </r>
        <r>
          <rPr>
            <i/>
            <sz val="14"/>
            <color rgb="FF000000"/>
            <rFont val="Times New Roman"/>
            <family val="18"/>
          </rPr>
          <t>Gegen Stellung anderen Mannes und Erlag des Monturs Geldes mit Abschied entlassen</t>
        </r>
        <r>
          <rPr>
            <sz val="14"/>
            <color rgb="FF000000"/>
            <rFont val="Times New Roman"/>
            <family val="18"/>
          </rPr>
          <t xml:space="preserve"> [ML 1811]</t>
        </r>
        <r>
          <rPr>
            <sz val="14"/>
            <color rgb="FF000000"/>
            <rFont val="Calibri"/>
            <family val="34"/>
          </rPr>
          <t xml:space="preserve">
</t>
        </r>
      </text>
    </comment>
    <comment ref="BG1091" authorId="0" shapeId="0" xr:uid="{39A5F691-4830-AF4F-9F01-CA7F670E8362}">
      <text>
        <r>
          <rPr>
            <sz val="14"/>
            <color rgb="FF000000"/>
            <rFont val="Times New Roman"/>
            <family val="18"/>
          </rPr>
          <t>ML 3500 IR 39 (1808-10) – RL 1808 4. Fus. Komp. Nr. 203 (Feldlager bei Comorn 19/09/1808)</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Sáros Komität Nr. 87 (Eperies 31/03/1808); ST Oct (Ofen 15/10/1810), Nov (Ofen 18/10/1810)</t>
        </r>
        <r>
          <rPr>
            <sz val="14"/>
            <color rgb="FF000000"/>
            <rFont val="Calibri"/>
            <family val="34"/>
          </rPr>
          <t xml:space="preserve">
</t>
        </r>
      </text>
    </comment>
    <comment ref="BH1091" authorId="0" shapeId="0" xr:uid="{BDEB187E-A853-9F43-AA03-7E59A8DC0394}">
      <text>
        <r>
          <rPr>
            <sz val="14"/>
            <color rgb="FF000000"/>
            <rFont val="Calibri"/>
            <family val="34"/>
          </rPr>
          <t>IR 39 (1808-1809)</t>
        </r>
      </text>
    </comment>
    <comment ref="BF1092" authorId="0" shapeId="0" xr:uid="{E91338E8-3252-074D-8B26-143EBB2115B1}">
      <text>
        <r>
          <rPr>
            <sz val="14"/>
            <color rgb="FF000000"/>
            <rFont val="Times New Roman"/>
            <family val="18"/>
          </rPr>
          <t xml:space="preserve">08/03/1808 </t>
        </r>
        <r>
          <rPr>
            <i/>
            <sz val="14"/>
            <color rgb="FF000000"/>
            <rFont val="Times New Roman"/>
            <family val="18"/>
          </rPr>
          <t xml:space="preserve">Von Nagy Karolly </t>
        </r>
        <r>
          <rPr>
            <b/>
            <sz val="14"/>
            <color rgb="FF000000"/>
            <rFont val="Times New Roman"/>
            <family val="18"/>
          </rPr>
          <t>[</t>
        </r>
        <r>
          <rPr>
            <b/>
            <u/>
            <sz val="14"/>
            <color rgb="FF0563C1"/>
            <rFont val="Times New Roman"/>
            <family val="18"/>
          </rPr>
          <t>Carei,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15.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8. Fus. Komp. Nr. 210 [</t>
        </r>
        <r>
          <rPr>
            <i/>
            <sz val="14"/>
            <color rgb="FF000000"/>
            <rFont val="Times New Roman"/>
            <family val="18"/>
          </rPr>
          <t>Kommandiert zu Bats</t>
        </r>
        <r>
          <rPr>
            <sz val="14"/>
            <color rgb="FF000000"/>
            <rFont val="Times New Roman"/>
            <family val="18"/>
          </rPr>
          <t>]</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Gemeinen zum Tambour mutiert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03/05/1809 </t>
        </r>
        <r>
          <rPr>
            <i/>
            <sz val="14"/>
            <color rgb="FF000000"/>
            <rFont val="Times New Roman"/>
            <family val="18"/>
          </rPr>
          <t xml:space="preserve">In der </t>
        </r>
        <r>
          <rPr>
            <b/>
            <i/>
            <sz val="14"/>
            <color rgb="FF000000"/>
            <rFont val="Times New Roman"/>
            <family val="18"/>
          </rPr>
          <t>Schlacht bei Ebelsberg</t>
        </r>
        <r>
          <rPr>
            <i/>
            <sz val="14"/>
            <color rgb="FF000000"/>
            <rFont val="Times New Roman"/>
            <family val="18"/>
          </rPr>
          <t xml:space="preserve"> Kriegsgefangen</t>
        </r>
        <r>
          <rPr>
            <sz val="14"/>
            <color rgb="FF000000"/>
            <rFont val="Times New Roman"/>
            <family val="18"/>
          </rPr>
          <t xml:space="preserve"> [ML 1811] </t>
        </r>
      </text>
    </comment>
    <comment ref="BG1092" authorId="0" shapeId="0" xr:uid="{878A1093-395A-A445-AE0B-DAAABA3D155E}">
      <text>
        <r>
          <rPr>
            <sz val="14"/>
            <color rgb="FF000000"/>
            <rFont val="Times New Roman"/>
            <family val="18"/>
          </rPr>
          <t>ML 3500 IR 39 (1808) – 8. Fus. Komp. Nr. 210 (Lager bei Comorn 19/09/1808)</t>
        </r>
        <r>
          <rPr>
            <sz val="14"/>
            <color rgb="FF000000"/>
            <rFont val="Calibri"/>
            <family val="34"/>
          </rPr>
          <t xml:space="preserve">
</t>
        </r>
        <r>
          <rPr>
            <sz val="14"/>
            <color rgb="FF000000"/>
            <rFont val="Times New Roman"/>
            <family val="18"/>
          </rPr>
          <t>ML 3501/2 IR 39 (1811) – 8. Fus. Komp. Abgang (Ofen 19/09/1811)</t>
        </r>
        <r>
          <rPr>
            <sz val="14"/>
            <color rgb="FF000000"/>
            <rFont val="Calibri"/>
            <family val="34"/>
          </rPr>
          <t xml:space="preserve">
</t>
        </r>
        <r>
          <rPr>
            <sz val="14"/>
            <color rgb="FF000000"/>
            <rFont val="Times New Roman"/>
            <family val="18"/>
          </rPr>
          <t>ML 3549 IR 39 (1808) – AL Szatmár Komität Nr. 78 (Nagy Karoly 05/04/1808)</t>
        </r>
        <r>
          <rPr>
            <sz val="14"/>
            <color rgb="FF000000"/>
            <rFont val="Calibri"/>
            <family val="34"/>
          </rPr>
          <t xml:space="preserve">
</t>
        </r>
        <r>
          <rPr>
            <sz val="14"/>
            <color rgb="FF000000"/>
            <rFont val="Times New Roman"/>
            <family val="18"/>
          </rPr>
          <t>ML 3550 IR 39 (1809) – ST March (Ofen 12/01/1811)</t>
        </r>
        <r>
          <rPr>
            <sz val="14"/>
            <color rgb="FF000000"/>
            <rFont val="Calibri"/>
            <family val="34"/>
          </rPr>
          <t xml:space="preserve">
</t>
        </r>
      </text>
    </comment>
    <comment ref="BH1092" authorId="0" shapeId="0" xr:uid="{E1BB026B-BDD0-8045-81F8-7B91532D6565}">
      <text>
        <r>
          <rPr>
            <sz val="14"/>
            <color rgb="FF000000"/>
            <rFont val="Calibri"/>
            <family val="34"/>
          </rPr>
          <t>IR 39 (1808-1809)</t>
        </r>
      </text>
    </comment>
    <comment ref="BF1093" authorId="0" shapeId="0" xr:uid="{075861DE-F3DB-D84D-AE4C-6279EC092906}">
      <text>
        <r>
          <rPr>
            <sz val="14"/>
            <color rgb="FF000000"/>
            <rFont val="Times New Roman"/>
            <family val="18"/>
          </rPr>
          <t xml:space="preserve">08/03/1808 </t>
        </r>
        <r>
          <rPr>
            <i/>
            <sz val="14"/>
            <color rgb="FF000000"/>
            <rFont val="Times New Roman"/>
            <family val="18"/>
          </rPr>
          <t xml:space="preserve">Von Makovicza </t>
        </r>
        <r>
          <rPr>
            <b/>
            <sz val="14"/>
            <color rgb="FF000000"/>
            <rFont val="Times New Roman"/>
            <family val="18"/>
          </rPr>
          <t>[</t>
        </r>
        <r>
          <rPr>
            <b/>
            <u/>
            <sz val="14"/>
            <color rgb="FF0563C1"/>
            <rFont val="Times New Roman"/>
            <family val="18"/>
          </rPr>
          <t>Makovce,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3. Komp. eingeteilt</t>
        </r>
        <r>
          <rPr>
            <sz val="14"/>
            <color rgb="FF000000"/>
            <rFont val="Times New Roman"/>
            <family val="18"/>
          </rPr>
          <t xml:space="preserve"> [AL März 1808]
</t>
        </r>
        <r>
          <rPr>
            <sz val="14"/>
            <color rgb="FF000000"/>
            <rFont val="Times New Roman"/>
            <family val="18"/>
          </rPr>
          <t xml:space="preserve">18/09/1808 </t>
        </r>
        <r>
          <rPr>
            <i/>
            <sz val="14"/>
            <color rgb="FF000000"/>
            <rFont val="Times New Roman"/>
            <family val="18"/>
          </rPr>
          <t xml:space="preserve">Krank mit auswärtiger Gebühr </t>
        </r>
        <r>
          <rPr>
            <sz val="14"/>
            <color rgb="FF000000"/>
            <rFont val="Times New Roman"/>
            <family val="18"/>
          </rPr>
          <t xml:space="preserve">[ST Sept 1808]
</t>
        </r>
        <r>
          <rPr>
            <sz val="14"/>
            <color rgb="FF000000"/>
            <rFont val="Times New Roman"/>
            <family val="18"/>
          </rPr>
          <t>19/09/1808 Revision: IR 39 3. Fus. Komp. Nr. 180 [</t>
        </r>
        <r>
          <rPr>
            <i/>
            <sz val="14"/>
            <color rgb="FF000000"/>
            <rFont val="Times New Roman"/>
            <family val="18"/>
          </rPr>
          <t>Krank zu Comorn</t>
        </r>
        <r>
          <rPr>
            <sz val="14"/>
            <color rgb="FF000000"/>
            <rFont val="Times New Roman"/>
            <family val="18"/>
          </rPr>
          <t xml:space="preserve">]
</t>
        </r>
        <r>
          <rPr>
            <sz val="14"/>
            <color rgb="FF000000"/>
            <rFont val="Times New Roman"/>
            <family val="18"/>
          </rPr>
          <t xml:space="preserve">10/12/1808 </t>
        </r>
        <r>
          <rPr>
            <i/>
            <sz val="14"/>
            <color rgb="FF000000"/>
            <rFont val="Times New Roman"/>
            <family val="18"/>
          </rPr>
          <t>Rekonvalesziert</t>
        </r>
        <r>
          <rPr>
            <sz val="14"/>
            <color rgb="FF000000"/>
            <rFont val="Times New Roman"/>
            <family val="18"/>
          </rPr>
          <t xml:space="preserve"> [ST Dec 1810
</t>
        </r>
        <r>
          <rPr>
            <sz val="14"/>
            <color rgb="FF000000"/>
            <rFont val="Times New Roman"/>
            <family val="18"/>
          </rPr>
          <t xml:space="preserve">19/12/1808 </t>
        </r>
        <r>
          <rPr>
            <i/>
            <sz val="14"/>
            <color rgb="FF000000"/>
            <rFont val="Times New Roman"/>
            <family val="18"/>
          </rPr>
          <t xml:space="preserve">Krank mit auswärtiger Gebühr </t>
        </r>
        <r>
          <rPr>
            <sz val="14"/>
            <color rgb="FF000000"/>
            <rFont val="Times New Roman"/>
            <family val="18"/>
          </rPr>
          <t xml:space="preserve">[ST Sept 1808]
</t>
        </r>
        <r>
          <rPr>
            <sz val="14"/>
            <color rgb="FF000000"/>
            <rFont val="Times New Roman"/>
            <family val="18"/>
          </rPr>
          <t xml:space="preserve">01/01/1809 </t>
        </r>
        <r>
          <rPr>
            <i/>
            <sz val="14"/>
            <color rgb="FF000000"/>
            <rFont val="Times New Roman"/>
            <family val="18"/>
          </rPr>
          <t>Rekonvalesziert</t>
        </r>
        <r>
          <rPr>
            <sz val="14"/>
            <color rgb="FF000000"/>
            <rFont val="Times New Roman"/>
            <family val="18"/>
          </rPr>
          <t xml:space="preserve"> [ST Jan 1809]
</t>
        </r>
        <r>
          <rPr>
            <sz val="14"/>
            <color rgb="FF000000"/>
            <rFont val="Times New Roman"/>
            <family val="18"/>
          </rPr>
          <t xml:space="preserve">11/04/1809 </t>
        </r>
        <r>
          <rPr>
            <i/>
            <sz val="14"/>
            <color rgb="FF000000"/>
            <rFont val="Times New Roman"/>
            <family val="18"/>
          </rPr>
          <t xml:space="preserve">Krank mit auswärtiger Gebühr </t>
        </r>
        <r>
          <rPr>
            <sz val="14"/>
            <color rgb="FF000000"/>
            <rFont val="Times New Roman"/>
            <family val="18"/>
          </rPr>
          <t xml:space="preserve">[ST April 1809]
</t>
        </r>
        <r>
          <rPr>
            <sz val="14"/>
            <color rgb="FF000000"/>
            <rFont val="Times New Roman"/>
            <family val="18"/>
          </rPr>
          <t xml:space="preserve">01/05/1809 </t>
        </r>
        <r>
          <rPr>
            <i/>
            <sz val="14"/>
            <color rgb="FF000000"/>
            <rFont val="Times New Roman"/>
            <family val="18"/>
          </rPr>
          <t>Rekonvalesziert</t>
        </r>
        <r>
          <rPr>
            <sz val="14"/>
            <color rgb="FF000000"/>
            <rFont val="Times New Roman"/>
            <family val="18"/>
          </rPr>
          <t xml:space="preserve"> [ST May 1809]
</t>
        </r>
        <r>
          <rPr>
            <sz val="14"/>
            <color rgb="FF000000"/>
            <rFont val="Times New Roman"/>
            <family val="18"/>
          </rPr>
          <t xml:space="preserve">02/06/1809 </t>
        </r>
        <r>
          <rPr>
            <i/>
            <sz val="14"/>
            <color rgb="FF000000"/>
            <rFont val="Times New Roman"/>
            <family val="18"/>
          </rPr>
          <t xml:space="preserve">Krank mit auswärtiger Gebühr </t>
        </r>
        <r>
          <rPr>
            <sz val="14"/>
            <color rgb="FF000000"/>
            <rFont val="Times New Roman"/>
            <family val="18"/>
          </rPr>
          <t xml:space="preserve">[ST June 1809]
</t>
        </r>
        <r>
          <rPr>
            <sz val="14"/>
            <color rgb="FF000000"/>
            <rFont val="Times New Roman"/>
            <family val="18"/>
          </rPr>
          <t xml:space="preserve">31/10/1809 </t>
        </r>
        <r>
          <rPr>
            <i/>
            <sz val="14"/>
            <color rgb="FF000000"/>
            <rFont val="Times New Roman"/>
            <family val="18"/>
          </rPr>
          <t>Rekonvalesziert</t>
        </r>
        <r>
          <rPr>
            <sz val="14"/>
            <color rgb="FF000000"/>
            <rFont val="Times New Roman"/>
            <family val="18"/>
          </rPr>
          <t xml:space="preserve"> [ST Nov 1809]
</t>
        </r>
        <r>
          <rPr>
            <sz val="14"/>
            <color rgb="FFFF0000"/>
            <rFont val="Times New Roman"/>
            <family val="18"/>
          </rPr>
          <t>20/05/1810</t>
        </r>
        <r>
          <rPr>
            <i/>
            <sz val="14"/>
            <color rgb="FFFF0000"/>
            <rFont val="Times New Roman"/>
            <family val="18"/>
          </rPr>
          <t xml:space="preserve"> Kriegscapitulant mit Abschied entlassen</t>
        </r>
        <r>
          <rPr>
            <sz val="14"/>
            <color rgb="FFFF0000"/>
            <rFont val="Times New Roman"/>
            <family val="18"/>
          </rPr>
          <t xml:space="preserve"> [ML 1811]</t>
        </r>
        <r>
          <rPr>
            <sz val="14"/>
            <color rgb="FF000000"/>
            <rFont val="Times New Roman"/>
            <family val="18"/>
          </rPr>
          <t xml:space="preserve">
</t>
        </r>
        <r>
          <rPr>
            <sz val="14"/>
            <color rgb="FF000000"/>
            <rFont val="Times New Roman"/>
            <family val="18"/>
          </rPr>
          <t xml:space="preserve">20/05/1810 </t>
        </r>
        <r>
          <rPr>
            <i/>
            <sz val="14"/>
            <color rgb="FF000000"/>
            <rFont val="Times New Roman"/>
            <family val="18"/>
          </rPr>
          <t>In Folge hoher Verordnung deto Ofen am 31. October 808 Gegen stellung einen anderen Mannes so auf Breit laut Tabelle pro September a:a: bei 14. Fus. Komp. assentiert und Erlaad des Monur Geldes mit Abschied entlassen</t>
        </r>
        <r>
          <rPr>
            <sz val="14"/>
            <color rgb="FF000000"/>
            <rFont val="Times New Roman"/>
            <family val="18"/>
          </rPr>
          <t xml:space="preserve"> [ST May 1810]
</t>
        </r>
      </text>
    </comment>
    <comment ref="BG1093" authorId="0" shapeId="0" xr:uid="{683C88F8-EBDD-854C-B104-C37A743A2A29}">
      <text>
        <r>
          <rPr>
            <sz val="14"/>
            <color rgb="FF000000"/>
            <rFont val="Times New Roman"/>
            <family val="18"/>
          </rPr>
          <t>ML 3500 IR 39 (1808) – RL 3. Fus. Komp. Nr. 180 (Lager bei Comorn 19/09/1808); ST Sept (Ofern 10/10/1810), Dez (Ofen ??/??/1810)</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Sáros Komität Nr. 133 (Eperies 31/03/1808)</t>
        </r>
        <r>
          <rPr>
            <sz val="14"/>
            <color rgb="FF000000"/>
            <rFont val="Calibri"/>
            <family val="34"/>
          </rPr>
          <t xml:space="preserve">
</t>
        </r>
        <r>
          <rPr>
            <sz val="14"/>
            <color rgb="FF000000"/>
            <rFont val="Times New Roman"/>
            <family val="18"/>
          </rPr>
          <t>ML 3550 IR 39 (1809) – ST Jan (Ofen), April (10/02/1811), May (20/06/1810)</t>
        </r>
        <r>
          <rPr>
            <sz val="14"/>
            <color rgb="FF000000"/>
            <rFont val="Calibri"/>
            <family val="34"/>
          </rPr>
          <t xml:space="preserve">
</t>
        </r>
        <r>
          <rPr>
            <sz val="14"/>
            <color rgb="FF000000"/>
            <rFont val="Times New Roman"/>
            <family val="18"/>
          </rPr>
          <t>ML 3551 IR 39 (1810) – ST May, June (Ofen 18/02/1811), Nov (Ofen 28/04/1811)</t>
        </r>
        <r>
          <rPr>
            <sz val="14"/>
            <color rgb="FF000000"/>
            <rFont val="Calibri"/>
            <family val="34"/>
          </rPr>
          <t xml:space="preserve">
</t>
        </r>
      </text>
    </comment>
    <comment ref="BH1093" authorId="0" shapeId="0" xr:uid="{56BD176D-2462-8445-8179-258214403E30}">
      <text>
        <r>
          <rPr>
            <sz val="14"/>
            <color rgb="FF000000"/>
            <rFont val="Calibri"/>
            <family val="34"/>
          </rPr>
          <t>IR 39 (1808-1810)</t>
        </r>
      </text>
    </comment>
    <comment ref="BF1094" authorId="0" shapeId="0" xr:uid="{3DFDD687-067E-7645-83B2-8B5450B10D26}">
      <text>
        <r>
          <rPr>
            <sz val="14"/>
            <color rgb="FF000000"/>
            <rFont val="Times New Roman"/>
            <family val="18"/>
          </rPr>
          <t xml:space="preserve">08/03/1808 </t>
        </r>
        <r>
          <rPr>
            <i/>
            <sz val="14"/>
            <color rgb="FF000000"/>
            <rFont val="Times New Roman"/>
            <family val="18"/>
          </rPr>
          <t xml:space="preserve">Von Orlich </t>
        </r>
        <r>
          <rPr>
            <b/>
            <sz val="14"/>
            <color rgb="FF000000"/>
            <rFont val="Times New Roman"/>
            <family val="18"/>
          </rPr>
          <t>[</t>
        </r>
        <r>
          <rPr>
            <b/>
            <u/>
            <sz val="14"/>
            <color rgb="FF0563C1"/>
            <rFont val="Times New Roman"/>
            <family val="18"/>
          </rPr>
          <t>Vyšný Orlík,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5.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10/09/1808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11. Fus. Komp. Nr. 179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05/11/1808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11/05/1809 </t>
        </r>
        <r>
          <rPr>
            <i/>
            <sz val="14"/>
            <color rgb="FF000000"/>
            <rFont val="Times New Roman"/>
            <family val="18"/>
          </rPr>
          <t>Krank mit auswärtiger 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Rekonvalesziert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Krank mit auswärtiger Gebühr</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08/10/1809 </t>
        </r>
        <r>
          <rPr>
            <i/>
            <sz val="14"/>
            <color rgb="FF000000"/>
            <rFont val="Times New Roman"/>
            <family val="18"/>
          </rPr>
          <t>Rekonvalesziert</t>
        </r>
        <r>
          <rPr>
            <sz val="14"/>
            <color rgb="FF000000"/>
            <rFont val="Times New Roman"/>
            <family val="18"/>
          </rPr>
          <t xml:space="preserve"> [ST Oct1809]</t>
        </r>
        <r>
          <rPr>
            <sz val="14"/>
            <color rgb="FF000000"/>
            <rFont val="Calibri"/>
            <family val="34"/>
          </rPr>
          <t xml:space="preserve">
</t>
        </r>
        <r>
          <rPr>
            <sz val="14"/>
            <color rgb="FF000000"/>
            <rFont val="Times New Roman"/>
            <family val="18"/>
          </rPr>
          <t xml:space="preserve">15/09/1810 </t>
        </r>
        <r>
          <rPr>
            <i/>
            <sz val="14"/>
            <color rgb="FF000000"/>
            <rFont val="Times New Roman"/>
            <family val="18"/>
          </rPr>
          <t>Als Kriegs Capitulant mit Abschied entlassen</t>
        </r>
        <r>
          <rPr>
            <sz val="14"/>
            <color rgb="FF000000"/>
            <rFont val="Times New Roman"/>
            <family val="18"/>
          </rPr>
          <t xml:space="preserve"> [ML 1811]</t>
        </r>
        <r>
          <rPr>
            <sz val="14"/>
            <color rgb="FF000000"/>
            <rFont val="Calibri"/>
            <family val="34"/>
          </rPr>
          <t xml:space="preserve">
</t>
        </r>
      </text>
    </comment>
    <comment ref="BG1094" authorId="0" shapeId="0" xr:uid="{D7F44A2E-A521-6A45-ACA7-69CE3EA9DF55}">
      <text>
        <r>
          <rPr>
            <sz val="14"/>
            <color rgb="FF000000"/>
            <rFont val="Times New Roman"/>
            <family val="18"/>
          </rPr>
          <t>ML 3500 IR 39 (1808) – 11. Fus. Komp. Nr. 179 (Lager bei Comorn 19/09/1808)</t>
        </r>
        <r>
          <rPr>
            <sz val="14"/>
            <color rgb="FF000000"/>
            <rFont val="Calibri"/>
            <family val="34"/>
          </rPr>
          <t xml:space="preserve">
</t>
        </r>
        <r>
          <rPr>
            <sz val="14"/>
            <color rgb="FF000000"/>
            <rFont val="Times New Roman"/>
            <family val="18"/>
          </rPr>
          <t>ML 3501/2 IR 39 (1811) – 11. Fus. Komp. Abgang (Ofen 19/09/1811)</t>
        </r>
        <r>
          <rPr>
            <sz val="14"/>
            <color rgb="FF000000"/>
            <rFont val="Calibri"/>
            <family val="34"/>
          </rPr>
          <t xml:space="preserve">
</t>
        </r>
        <r>
          <rPr>
            <sz val="14"/>
            <color rgb="FF000000"/>
            <rFont val="Times New Roman"/>
            <family val="18"/>
          </rPr>
          <t>ML 3549 IR 39 (1808) – AL Sáros Komität Nr. 115 (Eperies 31/03/1808); ST Sept (Ofen 10/10/1810), Nov (Ofen 18/10/1808)</t>
        </r>
        <r>
          <rPr>
            <sz val="14"/>
            <color rgb="FF000000"/>
            <rFont val="Calibri"/>
            <family val="34"/>
          </rPr>
          <t xml:space="preserve">
</t>
        </r>
        <r>
          <rPr>
            <sz val="14"/>
            <color rgb="FF000000"/>
            <rFont val="Times New Roman"/>
            <family val="18"/>
          </rPr>
          <t>ML 3550 IR 39 (1809) – ST May (Ofen 20/06/1810), June (Ofen 18/02/1810), Oct (Ofeb 21/04/1811)</t>
        </r>
        <r>
          <rPr>
            <sz val="14"/>
            <color rgb="FF000000"/>
            <rFont val="Calibri"/>
            <family val="34"/>
          </rPr>
          <t xml:space="preserve">
</t>
        </r>
      </text>
    </comment>
    <comment ref="BH1094" authorId="0" shapeId="0" xr:uid="{BB47BB69-CDBC-D04A-BD83-82B712E04383}">
      <text>
        <r>
          <rPr>
            <sz val="14"/>
            <color rgb="FF000000"/>
            <rFont val="Calibri"/>
            <family val="34"/>
          </rPr>
          <t>IR 39 (1808-1810)</t>
        </r>
      </text>
    </comment>
    <comment ref="BF1095" authorId="0" shapeId="0" xr:uid="{2A609181-9C6D-204D-8BB0-45F57D6238D3}">
      <text>
        <r>
          <rPr>
            <sz val="14"/>
            <color rgb="FF000000"/>
            <rFont val="Times New Roman"/>
            <family val="18"/>
          </rPr>
          <t xml:space="preserve">09/03/1808 </t>
        </r>
        <r>
          <rPr>
            <i/>
            <sz val="14"/>
            <color rgb="FF000000"/>
            <rFont val="Times New Roman"/>
            <family val="18"/>
          </rPr>
          <t xml:space="preserve">Von Csenger </t>
        </r>
        <r>
          <rPr>
            <b/>
            <sz val="14"/>
            <color rgb="FF000000"/>
            <rFont val="Times New Roman"/>
            <family val="18"/>
          </rPr>
          <t>[</t>
        </r>
        <r>
          <rPr>
            <b/>
            <sz val="14"/>
            <color rgb="FF0563C1"/>
            <rFont val="Times New Roman"/>
            <family val="18"/>
          </rPr>
          <t>Csenger, Hungary</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12.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19/08/1808 Revision: IR 39. 16. Fus. Nr. 162</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18. zum 12.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16/06/1809 </t>
        </r>
        <r>
          <rPr>
            <i/>
            <sz val="14"/>
            <color rgb="FF000000"/>
            <rFont val="Times New Roman"/>
            <family val="18"/>
          </rPr>
          <t>Von Gemeiner zum Corporal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095" authorId="0" shapeId="0" xr:uid="{87844E55-06E3-444F-880C-816D6AA300F8}">
      <text>
        <r>
          <rPr>
            <sz val="14"/>
            <color rgb="FF000000"/>
            <rFont val="Times New Roman"/>
            <family val="18"/>
          </rPr>
          <t>ML 3500 IR 39 (1808-10) – RL 1808 16. Fus. Komp. 162 (Lager bei Comorn 19/09/1808)</t>
        </r>
        <r>
          <rPr>
            <sz val="14"/>
            <color rgb="FF000000"/>
            <rFont val="Calibri"/>
            <family val="34"/>
          </rPr>
          <t xml:space="preserve">
</t>
        </r>
        <r>
          <rPr>
            <sz val="14"/>
            <color rgb="FF000000"/>
            <rFont val="Times New Roman"/>
            <family val="18"/>
          </rPr>
          <t xml:space="preserve">ML 3501/2 IR 39 (1811) – 16. Fus. Komp. Abgang (Gran 16/09/1811)ML 3549 IR 39 (1808) – AL Szatmár Komität Nr. 85 (Nagy Karoly 05/04/1808) </t>
        </r>
        <r>
          <rPr>
            <sz val="14"/>
            <color rgb="FF000000"/>
            <rFont val="Calibri"/>
            <family val="34"/>
          </rPr>
          <t xml:space="preserve">
</t>
        </r>
        <r>
          <rPr>
            <sz val="14"/>
            <color rgb="FF000000"/>
            <rFont val="Times New Roman"/>
            <family val="18"/>
          </rPr>
          <t>ML 3550 IR 39 (1809) – ST June (Ofen 18/02/1811)</t>
        </r>
        <r>
          <rPr>
            <sz val="14"/>
            <color rgb="FF000000"/>
            <rFont val="Calibri"/>
            <family val="34"/>
          </rPr>
          <t xml:space="preserve">
</t>
        </r>
      </text>
    </comment>
    <comment ref="BH1095" authorId="0" shapeId="0" xr:uid="{F78AC083-3D83-BE49-8142-72409EB58454}">
      <text>
        <r>
          <rPr>
            <sz val="14"/>
            <color rgb="FF000000"/>
            <rFont val="Calibri"/>
            <family val="34"/>
          </rPr>
          <t>IR 39 (1808-1810)</t>
        </r>
      </text>
    </comment>
    <comment ref="BF1096" authorId="0" shapeId="0" xr:uid="{A32C61B8-957F-D646-86E3-EFD2B3F6D90D}">
      <text>
        <r>
          <rPr>
            <sz val="14"/>
            <color rgb="FF000000"/>
            <rFont val="Times New Roman"/>
            <family val="18"/>
          </rPr>
          <t xml:space="preserve">09/03/1808 </t>
        </r>
        <r>
          <rPr>
            <i/>
            <sz val="14"/>
            <color rgb="FF000000"/>
            <rFont val="Times New Roman"/>
            <family val="18"/>
          </rPr>
          <t>Von Bereg Komität gestellt, gegen 3FL zum IR 39 assentiert, und zur 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08/05/1808 </t>
        </r>
        <r>
          <rPr>
            <i/>
            <sz val="14"/>
            <color rgb="FF000000"/>
            <rFont val="Times New Roman"/>
            <family val="18"/>
          </rPr>
          <t>Ex Loco desertiert</t>
        </r>
        <r>
          <rPr>
            <sz val="14"/>
            <color rgb="FF000000"/>
            <rFont val="Times New Roman"/>
            <family val="18"/>
          </rPr>
          <t xml:space="preserve"> [ML 1808]</t>
        </r>
        <r>
          <rPr>
            <sz val="14"/>
            <color rgb="FF000000"/>
            <rFont val="Calibri"/>
            <family val="34"/>
          </rPr>
          <t xml:space="preserve">
</t>
        </r>
      </text>
    </comment>
    <comment ref="BG1096" authorId="0" shapeId="0" xr:uid="{35A53A95-65EA-C84D-8AD9-C0004C8FC558}">
      <text>
        <r>
          <rPr>
            <sz val="14"/>
            <color rgb="FF000000"/>
            <rFont val="Times New Roman"/>
            <family val="18"/>
          </rPr>
          <t>ML 3500 IR 39 (1808-10) – RL 1808 4. Fus. Komp. Abgang (Feldlager bei Comorn 19/09/1808)</t>
        </r>
        <r>
          <rPr>
            <sz val="14"/>
            <color rgb="FF000000"/>
            <rFont val="Calibri"/>
            <family val="34"/>
          </rPr>
          <t xml:space="preserve">
</t>
        </r>
        <r>
          <rPr>
            <sz val="14"/>
            <color rgb="FF000000"/>
            <rFont val="Times New Roman"/>
            <family val="18"/>
          </rPr>
          <t>ML 3549 IR 39 (1808) – AL Bereg Komität Nr. 4 (Munkats 31/03/1808)</t>
        </r>
        <r>
          <rPr>
            <sz val="14"/>
            <color rgb="FF000000"/>
            <rFont val="Calibri"/>
            <family val="34"/>
          </rPr>
          <t xml:space="preserve">
</t>
        </r>
        <r>
          <rPr>
            <sz val="14"/>
            <color rgb="FF000000"/>
            <rFont val="Calibri"/>
            <family val="34"/>
          </rPr>
          <t xml:space="preserve">
</t>
        </r>
      </text>
    </comment>
    <comment ref="BH1096" authorId="0" shapeId="0" xr:uid="{17A81A12-A3C6-6B42-9324-A02DABDA8DE7}">
      <text>
        <r>
          <rPr>
            <sz val="14"/>
            <color rgb="FF000000"/>
            <rFont val="Calibri"/>
            <family val="34"/>
          </rPr>
          <t>IR 39 (1808)</t>
        </r>
      </text>
    </comment>
    <comment ref="BF1097" authorId="0" shapeId="0" xr:uid="{29ED30E9-BC85-A448-8ECD-3E152661179A}">
      <text>
        <r>
          <rPr>
            <sz val="14"/>
            <color rgb="FF000000"/>
            <rFont val="Times New Roman"/>
            <family val="18"/>
          </rPr>
          <t xml:space="preserve">09/03/1808 </t>
        </r>
        <r>
          <rPr>
            <i/>
            <sz val="14"/>
            <color rgb="FF000000"/>
            <rFont val="Times New Roman"/>
            <family val="18"/>
          </rPr>
          <t>Von Zalader Comitatt gestellt</t>
        </r>
        <r>
          <rPr>
            <sz val="14"/>
            <color rgb="FF000000"/>
            <rFont val="Times New Roman"/>
            <family val="18"/>
          </rPr>
          <t xml:space="preserve"> [TL April 1809]</t>
        </r>
        <r>
          <rPr>
            <sz val="14"/>
            <color rgb="FF000000"/>
            <rFont val="Calibri"/>
            <family val="34"/>
          </rPr>
          <t xml:space="preserve">
</t>
        </r>
        <r>
          <rPr>
            <sz val="14"/>
            <color rgb="FF000000"/>
            <rFont val="Times New Roman"/>
            <family val="18"/>
          </rPr>
          <t xml:space="preserve">25/01/1809 </t>
        </r>
        <r>
          <rPr>
            <i/>
            <sz val="14"/>
            <color rgb="FF000000"/>
            <rFont val="Times New Roman"/>
            <family val="18"/>
          </rPr>
          <t>Von IR 48 Haupt Papp Komp. zum HR 4 transferiert</t>
        </r>
        <r>
          <rPr>
            <sz val="14"/>
            <color rgb="FF000000"/>
            <rFont val="Times New Roman"/>
            <family val="18"/>
          </rPr>
          <t xml:space="preserve"> [TL April 1809] </t>
        </r>
        <r>
          <rPr>
            <sz val="14"/>
            <color rgb="FF000000"/>
            <rFont val="Calibri"/>
            <family val="34"/>
          </rPr>
          <t xml:space="preserve">
</t>
        </r>
      </text>
    </comment>
    <comment ref="BG1097" authorId="0" shapeId="0" xr:uid="{0EB20FE1-A383-8F46-BC40-AD69E094E456}">
      <text>
        <r>
          <rPr>
            <sz val="14"/>
            <color rgb="FF000000"/>
            <rFont val="Times New Roman"/>
            <family val="18"/>
          </rPr>
          <t>ML 7470 HR 4 (1809) – AL Nr. 1 (Kuheitz 29/04/1809)</t>
        </r>
        <r>
          <rPr>
            <sz val="14"/>
            <color rgb="FF000000"/>
            <rFont val="Calibri"/>
            <family val="34"/>
          </rPr>
          <t xml:space="preserve">
</t>
        </r>
      </text>
    </comment>
    <comment ref="BH1097" authorId="0" shapeId="0" xr:uid="{B3360339-158F-4C48-BEDE-C8E29256A41E}">
      <text>
        <r>
          <rPr>
            <sz val="14"/>
            <color rgb="FF000000"/>
            <rFont val="Calibri"/>
            <family val="34"/>
          </rPr>
          <t xml:space="preserve">IR 48 (1808-1809)
</t>
        </r>
        <r>
          <rPr>
            <sz val="14"/>
            <color rgb="FF000000"/>
            <rFont val="Calibri"/>
            <family val="34"/>
          </rPr>
          <t>HR 4 (1809)</t>
        </r>
      </text>
    </comment>
    <comment ref="BF1098" authorId="0" shapeId="0" xr:uid="{85879325-92BF-3E47-A607-DDD6E449BA5E}">
      <text>
        <r>
          <rPr>
            <sz val="14"/>
            <color rgb="FF000000"/>
            <rFont val="Times New Roman"/>
            <family val="18"/>
          </rPr>
          <t xml:space="preserve">09/03/1808 </t>
        </r>
        <r>
          <rPr>
            <i/>
            <sz val="14"/>
            <color rgb="FF000000"/>
            <rFont val="Times New Roman"/>
            <family val="18"/>
          </rPr>
          <t xml:space="preserve">Von Mocharmann </t>
        </r>
        <r>
          <rPr>
            <b/>
            <sz val="14"/>
            <color rgb="FF000000"/>
            <rFont val="Times New Roman"/>
            <family val="18"/>
          </rPr>
          <t>[</t>
        </r>
        <r>
          <rPr>
            <b/>
            <u/>
            <sz val="14"/>
            <color rgb="FF0563C1"/>
            <rFont val="Times New Roman"/>
            <family val="18"/>
          </rPr>
          <t>Močarmany,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18/09/1808 </t>
        </r>
        <r>
          <rPr>
            <i/>
            <sz val="14"/>
            <color rgb="FF000000"/>
            <rFont val="Times New Roman"/>
            <family val="18"/>
          </rPr>
          <t>Krank mit auswärtiger Gebühr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20/10/1808 </t>
        </r>
        <r>
          <rPr>
            <i/>
            <sz val="14"/>
            <color rgb="FF000000"/>
            <rFont val="Times New Roman"/>
            <family val="18"/>
          </rPr>
          <t>Rekonvalesziert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26/10/1808 </t>
        </r>
        <r>
          <rPr>
            <i/>
            <sz val="14"/>
            <color rgb="FF000000"/>
            <rFont val="Times New Roman"/>
            <family val="18"/>
          </rPr>
          <t>Krank 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19/09/1808 Revision: IR 39 5. Fus. Komp. Nr. 164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25/04/1809 </t>
        </r>
        <r>
          <rPr>
            <i/>
            <sz val="14"/>
            <color rgb="FF000000"/>
            <rFont val="Times New Roman"/>
            <family val="18"/>
          </rPr>
          <t>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11/07/1809 </t>
        </r>
        <r>
          <rPr>
            <i/>
            <sz val="14"/>
            <color rgb="FF000000"/>
            <rFont val="Times New Roman"/>
            <family val="18"/>
          </rPr>
          <t>Aus die Kriegsgefangenschaft 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09/02/1810 </t>
        </r>
        <r>
          <rPr>
            <i/>
            <sz val="14"/>
            <color rgb="FF000000"/>
            <rFont val="Times New Roman"/>
            <family val="18"/>
          </rPr>
          <t>Krank mit auswärtiger Gebühr</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16/02/1808 </t>
        </r>
        <r>
          <rPr>
            <i/>
            <sz val="14"/>
            <color rgb="FF000000"/>
            <rFont val="Times New Roman"/>
            <family val="18"/>
          </rPr>
          <t>Rekonvalesziert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10/09/1810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098" authorId="0" shapeId="0" xr:uid="{F9C24D7F-29FE-474C-8379-2F8A734AC93B}">
      <text>
        <r>
          <rPr>
            <sz val="14"/>
            <color rgb="FF000000"/>
            <rFont val="Times New Roman"/>
            <family val="18"/>
          </rPr>
          <t>ML 3500 IR 39 (1808-10) – RL 1808 5. Fus. Komp. Nr. 169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Sáros Komität Nr. 159 (Eperies 31/03/1808); ST Sept (Ofen 10/10/1810), Oct (Ofen 15/10/1810), Nov (Ofen 18/10/1810)</t>
        </r>
        <r>
          <rPr>
            <sz val="14"/>
            <color rgb="FF000000"/>
            <rFont val="Calibri"/>
            <family val="34"/>
          </rPr>
          <t xml:space="preserve">
</t>
        </r>
        <r>
          <rPr>
            <sz val="14"/>
            <color rgb="FF000000"/>
            <rFont val="Times New Roman"/>
            <family val="18"/>
          </rPr>
          <t>ML 3551 IR 39 (1810) – ST Feb (Ofen 06/06/1810)</t>
        </r>
        <r>
          <rPr>
            <sz val="14"/>
            <color rgb="FF000000"/>
            <rFont val="Calibri"/>
            <family val="34"/>
          </rPr>
          <t xml:space="preserve">
</t>
        </r>
      </text>
    </comment>
    <comment ref="BH1098" authorId="0" shapeId="0" xr:uid="{77178A78-3F33-414F-8C00-937209904FF8}">
      <text>
        <r>
          <rPr>
            <sz val="14"/>
            <color rgb="FF000000"/>
            <rFont val="Calibri"/>
            <family val="34"/>
          </rPr>
          <t>IR 39 (1808-1810)</t>
        </r>
      </text>
    </comment>
    <comment ref="BF1099" authorId="0" shapeId="0" xr:uid="{96C3ED48-48FA-D348-8ECE-0F1DA039E15A}">
      <text>
        <r>
          <rPr>
            <sz val="14"/>
            <color rgb="FF000000"/>
            <rFont val="Times New Roman"/>
            <family val="18"/>
          </rPr>
          <t xml:space="preserve">10/03/1808 </t>
        </r>
        <r>
          <rPr>
            <i/>
            <sz val="14"/>
            <color rgb="FF000000"/>
            <rFont val="Times New Roman"/>
            <family val="18"/>
          </rPr>
          <t>Von Bereg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194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23/09/1808 </t>
        </r>
        <r>
          <rPr>
            <i/>
            <sz val="14"/>
            <color rgb="FF000000"/>
            <rFont val="Times New Roman"/>
            <family val="18"/>
          </rPr>
          <t>Krank mit auswärtiger Gebühr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20/04/1809 </t>
        </r>
        <r>
          <rPr>
            <b/>
            <sz val="14"/>
            <color rgb="FF000000"/>
            <rFont val="Times New Roman"/>
            <family val="18"/>
          </rPr>
          <t>[Bei Abensberg]</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01/01/1810 </t>
        </r>
        <r>
          <rPr>
            <i/>
            <sz val="14"/>
            <color rgb="FF000000"/>
            <rFont val="Times New Roman"/>
            <family val="18"/>
          </rPr>
          <t>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20/03/1811 </t>
        </r>
        <r>
          <rPr>
            <i/>
            <sz val="14"/>
            <color rgb="FF000000"/>
            <rFont val="Times New Roman"/>
            <family val="18"/>
          </rPr>
          <t>Als Kriegscapitulant mit Abschied entlassen</t>
        </r>
        <r>
          <rPr>
            <sz val="14"/>
            <color rgb="FF000000"/>
            <rFont val="Times New Roman"/>
            <family val="18"/>
          </rPr>
          <t xml:space="preserve"> [ML 1811] </t>
        </r>
        <r>
          <rPr>
            <sz val="14"/>
            <color rgb="FF000000"/>
            <rFont val="Calibri"/>
            <family val="34"/>
          </rPr>
          <t xml:space="preserve">
</t>
        </r>
      </text>
    </comment>
    <comment ref="BG1099" authorId="0" shapeId="0" xr:uid="{F1EAC5C5-16A2-5F47-B1D1-17BF55358960}">
      <text>
        <r>
          <rPr>
            <sz val="14"/>
            <color rgb="FF000000"/>
            <rFont val="Times New Roman"/>
            <family val="18"/>
          </rPr>
          <t>ML 3500 IR 39 (1808-10) – RL 1808 5. Fus. Komp. Nr. 200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Bereg Komität Nr. 20 (Munkats 31/03/1808); ST Sept (Ofen 10/10/1810), Nov (Ofen 18/10/1810)</t>
        </r>
        <r>
          <rPr>
            <sz val="14"/>
            <color rgb="FF000000"/>
            <rFont val="Calibri"/>
            <family val="34"/>
          </rPr>
          <t xml:space="preserve">
</t>
        </r>
        <r>
          <rPr>
            <sz val="14"/>
            <color rgb="FF000000"/>
            <rFont val="Times New Roman"/>
            <family val="18"/>
          </rPr>
          <t>ML 3550 IR 39 (1809) – ST April (Ofen 10/02/1811)</t>
        </r>
        <r>
          <rPr>
            <sz val="14"/>
            <color rgb="FF000000"/>
            <rFont val="Calibri"/>
            <family val="34"/>
          </rPr>
          <t xml:space="preserve">
</t>
        </r>
      </text>
    </comment>
    <comment ref="BH1099" authorId="0" shapeId="0" xr:uid="{C964972D-9533-5F4F-804B-F1B0C98FF009}">
      <text>
        <r>
          <rPr>
            <sz val="14"/>
            <color rgb="FF000000"/>
            <rFont val="Calibri"/>
            <family val="34"/>
          </rPr>
          <t xml:space="preserve">IR 39 (1808-1811)
</t>
        </r>
      </text>
    </comment>
    <comment ref="BF1100" authorId="0" shapeId="0" xr:uid="{1D1D915E-3F7B-964B-8B77-93F07EB48CE3}">
      <text>
        <r>
          <rPr>
            <sz val="14"/>
            <color rgb="FF000000"/>
            <rFont val="Times New Roman"/>
            <family val="18"/>
          </rPr>
          <t xml:space="preserve">10/03/1808 </t>
        </r>
        <r>
          <rPr>
            <i/>
            <sz val="14"/>
            <color rgb="FF000000"/>
            <rFont val="Times New Roman"/>
            <family val="18"/>
          </rPr>
          <t xml:space="preserve">Von Bereg Komität gestellt, gegen 3FL zum IR 39 assentiert, und zur 13. Komp. eingeteilt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01/04/1808 </t>
        </r>
        <r>
          <rPr>
            <i/>
            <sz val="14"/>
            <color rgb="FF000000"/>
            <rFont val="Times New Roman"/>
            <family val="18"/>
          </rPr>
          <t>Krank in auswärtigen Spital zu Eperies</t>
        </r>
        <r>
          <rPr>
            <sz val="14"/>
            <color rgb="FF000000"/>
            <rFont val="Times New Roman"/>
            <family val="18"/>
          </rPr>
          <t xml:space="preserve"> [ST April 1808]</t>
        </r>
        <r>
          <rPr>
            <sz val="14"/>
            <color rgb="FF000000"/>
            <rFont val="Calibri"/>
            <family val="34"/>
          </rPr>
          <t xml:space="preserve">
</t>
        </r>
        <r>
          <rPr>
            <sz val="14"/>
            <color rgb="FF000000"/>
            <rFont val="Times New Roman"/>
            <family val="18"/>
          </rPr>
          <t xml:space="preserve">12/04/1808 </t>
        </r>
        <r>
          <rPr>
            <i/>
            <sz val="14"/>
            <color rgb="FF000000"/>
            <rFont val="Times New Roman"/>
            <family val="18"/>
          </rPr>
          <t>In Spital zu Eperies gestorben</t>
        </r>
        <r>
          <rPr>
            <sz val="14"/>
            <color rgb="FF000000"/>
            <rFont val="Times New Roman"/>
            <family val="18"/>
          </rPr>
          <t xml:space="preserve"> [ML 1808]</t>
        </r>
        <r>
          <rPr>
            <sz val="14"/>
            <color rgb="FF000000"/>
            <rFont val="Calibri"/>
            <family val="34"/>
          </rPr>
          <t xml:space="preserve">
</t>
        </r>
      </text>
    </comment>
    <comment ref="BG1100" authorId="0" shapeId="0" xr:uid="{9762BEC3-98D8-FD41-8D44-F98F00D1CB68}">
      <text>
        <r>
          <rPr>
            <sz val="14"/>
            <color rgb="FF000000"/>
            <rFont val="Times New Roman"/>
            <family val="18"/>
          </rPr>
          <t>ML 3500 IR 39 (1808) – 6. Fus. Komp. Abgang (Lager bei Comorn 19/09/1808)</t>
        </r>
        <r>
          <rPr>
            <sz val="14"/>
            <color rgb="FF000000"/>
            <rFont val="Calibri"/>
            <family val="34"/>
          </rPr>
          <t xml:space="preserve">
</t>
        </r>
        <r>
          <rPr>
            <sz val="14"/>
            <color rgb="FF000000"/>
            <rFont val="Times New Roman"/>
            <family val="18"/>
          </rPr>
          <t>ML 3549 IR 39 (1808) – AL Bereg Komität Nr. 21 (Munkats 31/03/1808); ST April (21/12/1808)</t>
        </r>
        <r>
          <rPr>
            <sz val="14"/>
            <color rgb="FF000000"/>
            <rFont val="Calibri"/>
            <family val="34"/>
          </rPr>
          <t xml:space="preserve">
</t>
        </r>
        <r>
          <rPr>
            <sz val="14"/>
            <color rgb="FF000000"/>
            <rFont val="Calibri"/>
            <family val="34"/>
          </rPr>
          <t xml:space="preserve">
</t>
        </r>
      </text>
    </comment>
    <comment ref="BH1100" authorId="0" shapeId="0" xr:uid="{2D6D5E6B-89DA-214C-8456-2D954A034313}">
      <text>
        <r>
          <rPr>
            <sz val="14"/>
            <color rgb="FF000000"/>
            <rFont val="Calibri"/>
            <family val="34"/>
          </rPr>
          <t>IR 39 (1808)</t>
        </r>
      </text>
    </comment>
    <comment ref="BF1101" authorId="0" shapeId="0" xr:uid="{4F873A29-3996-2C4A-8CE1-DCC204076512}">
      <text>
        <r>
          <rPr>
            <sz val="14"/>
            <color rgb="FF000000"/>
            <rFont val="Times New Roman"/>
            <family val="18"/>
          </rPr>
          <t xml:space="preserve">10/03/1808 </t>
        </r>
        <r>
          <rPr>
            <i/>
            <sz val="14"/>
            <color rgb="FF000000"/>
            <rFont val="Times New Roman"/>
            <family val="18"/>
          </rPr>
          <t xml:space="preserve">Von Dortoelyer </t>
        </r>
        <r>
          <rPr>
            <b/>
            <sz val="14"/>
            <color rgb="FF000000"/>
            <rFont val="Times New Roman"/>
            <family val="18"/>
          </rPr>
          <t>[</t>
        </r>
        <r>
          <rPr>
            <b/>
            <u/>
            <sz val="14"/>
            <color rgb="FF0563C1"/>
            <rFont val="Times New Roman"/>
            <family val="18"/>
          </rPr>
          <t>Apateu (Satu Mare),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3.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3. Fus. Komp. Nr. 205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26/04/1809 </t>
        </r>
        <r>
          <rPr>
            <i/>
            <sz val="14"/>
            <color rgb="FF000000"/>
            <rFont val="Times New Roman"/>
            <family val="18"/>
          </rPr>
          <t>Krank mit auswärtiger Gebühr</t>
        </r>
        <r>
          <rPr>
            <sz val="14"/>
            <color rgb="FF000000"/>
            <rFont val="Times New Roman"/>
            <family val="18"/>
          </rPr>
          <t xml:space="preserve"> (mit 11 anderen) </t>
        </r>
        <r>
          <rPr>
            <b/>
            <sz val="14"/>
            <color rgb="FF000000"/>
            <rFont val="Times New Roman"/>
            <family val="18"/>
          </rPr>
          <t xml:space="preserve">[?Verletzt am Neumarkt-Sankt Veit] </t>
        </r>
        <r>
          <rPr>
            <sz val="14"/>
            <color rgb="FF000000"/>
            <rFont val="Times New Roman"/>
            <family val="18"/>
          </rPr>
          <t>[ML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ins Spital Verbliebene unwissend verloren in Abgang </t>
        </r>
        <r>
          <rPr>
            <sz val="14"/>
            <color rgb="FF000000"/>
            <rFont val="Times New Roman"/>
            <family val="18"/>
          </rPr>
          <t xml:space="preserve">[ML 1811 &amp; ST Aug 1810] </t>
        </r>
      </text>
    </comment>
    <comment ref="BG1101" authorId="0" shapeId="0" xr:uid="{80124737-6799-0D48-BECE-3B9A80C270B6}">
      <text>
        <r>
          <rPr>
            <sz val="14"/>
            <color rgb="FF000000"/>
            <rFont val="Times New Roman"/>
            <family val="18"/>
          </rPr>
          <t>ML 3500 IR 39 (1808) – RL 3. Fus. Komp. Nr. 205 (Lager bei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Szatmár Komität Nr. 91 (Nagy Karoly 05/04/1808)</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101" authorId="0" shapeId="0" xr:uid="{3BEC8448-4EB2-724D-BAD3-DF1E442D12B4}">
      <text>
        <r>
          <rPr>
            <sz val="14"/>
            <color rgb="FF000000"/>
            <rFont val="Calibri"/>
            <family val="34"/>
          </rPr>
          <t>IR 39 (1808-1810)</t>
        </r>
      </text>
    </comment>
    <comment ref="BF1102" authorId="0" shapeId="0" xr:uid="{3F753B04-6B62-F947-BA18-2A91E164C94F}">
      <text>
        <r>
          <rPr>
            <sz val="14"/>
            <color rgb="FF000000"/>
            <rFont val="Times New Roman"/>
            <family val="18"/>
          </rPr>
          <t xml:space="preserve">10/03/1808 </t>
        </r>
        <r>
          <rPr>
            <i/>
            <sz val="14"/>
            <color rgb="FF000000"/>
            <rFont val="Times New Roman"/>
            <family val="18"/>
          </rPr>
          <t>Von Berg Komität gestellt, gegen 3FL zum IR 39 assentiert, und zur 13.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6. Fus. Komp. Nr. 206 [</t>
        </r>
        <r>
          <rPr>
            <i/>
            <sz val="14"/>
            <color rgb="FF000000"/>
            <rFont val="Times New Roman"/>
            <family val="18"/>
          </rPr>
          <t>Krank in Comorn</t>
        </r>
        <r>
          <rPr>
            <sz val="14"/>
            <color rgb="FF000000"/>
            <rFont val="Times New Roman"/>
            <family val="18"/>
          </rPr>
          <t>]</t>
        </r>
        <r>
          <rPr>
            <sz val="14"/>
            <color rgb="FF000000"/>
            <rFont val="Calibri"/>
            <family val="34"/>
          </rPr>
          <t xml:space="preserve">
</t>
        </r>
        <r>
          <rPr>
            <sz val="14"/>
            <color rgb="FF000000"/>
            <rFont val="Times New Roman"/>
            <family val="18"/>
          </rPr>
          <t xml:space="preserve">19/01/1809 </t>
        </r>
        <r>
          <rPr>
            <i/>
            <sz val="14"/>
            <color rgb="FF000000"/>
            <rFont val="Times New Roman"/>
            <family val="18"/>
          </rPr>
          <t>In Spital gestorben</t>
        </r>
        <r>
          <rPr>
            <sz val="14"/>
            <color rgb="FF000000"/>
            <rFont val="Times New Roman"/>
            <family val="18"/>
          </rPr>
          <t xml:space="preserve"> [ML 1811] </t>
        </r>
      </text>
    </comment>
    <comment ref="BG1102" authorId="0" shapeId="0" xr:uid="{DCCFEE49-A6D9-ED44-BD9F-C84E14966F46}">
      <text>
        <r>
          <rPr>
            <sz val="14"/>
            <color rgb="FF000000"/>
            <rFont val="Times New Roman"/>
            <family val="18"/>
          </rPr>
          <t>ML 3500 IR 39 (1808) – 6. Fus. Komp. Nr. 206 (Lager bei Comorn 19/09/1808)</t>
        </r>
        <r>
          <rPr>
            <sz val="14"/>
            <color rgb="FF000000"/>
            <rFont val="Calibri"/>
            <family val="34"/>
          </rPr>
          <t xml:space="preserve">
</t>
        </r>
        <r>
          <rPr>
            <sz val="14"/>
            <color rgb="FF000000"/>
            <rFont val="Times New Roman"/>
            <family val="18"/>
          </rPr>
          <t>ML 3501/2 IR 39 (1811) – 6. Fus. Komp. Abgang (Szent Andree 14/09/1811)</t>
        </r>
        <r>
          <rPr>
            <sz val="14"/>
            <color rgb="FF000000"/>
            <rFont val="Calibri"/>
            <family val="34"/>
          </rPr>
          <t xml:space="preserve">
</t>
        </r>
        <r>
          <rPr>
            <sz val="14"/>
            <color rgb="FF000000"/>
            <rFont val="Times New Roman"/>
            <family val="18"/>
          </rPr>
          <t>ML 3549 IR 39 (1808) – AL Bereg Komität Nr. 22 (Munkats 31/03/1808)</t>
        </r>
        <r>
          <rPr>
            <sz val="14"/>
            <color rgb="FF000000"/>
            <rFont val="Calibri"/>
            <family val="34"/>
          </rPr>
          <t xml:space="preserve">
</t>
        </r>
      </text>
    </comment>
    <comment ref="BH1102" authorId="0" shapeId="0" xr:uid="{022C888E-EE35-E34C-88D8-D394063D55D9}">
      <text>
        <r>
          <rPr>
            <sz val="14"/>
            <color rgb="FF000000"/>
            <rFont val="Calibri"/>
            <family val="34"/>
          </rPr>
          <t>IR 39 (1808-1809)</t>
        </r>
      </text>
    </comment>
    <comment ref="BF1103" authorId="0" shapeId="0" xr:uid="{97115663-DA4B-A946-99BE-8E1FB3D4ED71}">
      <text>
        <r>
          <rPr>
            <sz val="14"/>
            <color rgb="FF000000"/>
            <rFont val="Times New Roman"/>
            <family val="18"/>
          </rPr>
          <t xml:space="preserve">11/03/1808 </t>
        </r>
        <r>
          <rPr>
            <i/>
            <sz val="14"/>
            <color rgb="FF000000"/>
            <rFont val="Times New Roman"/>
            <family val="18"/>
          </rPr>
          <t xml:space="preserve">Von Szalke </t>
        </r>
        <r>
          <rPr>
            <b/>
            <sz val="14"/>
            <color rgb="FF000000"/>
            <rFont val="Times New Roman"/>
            <family val="18"/>
          </rPr>
          <t>[</t>
        </r>
        <r>
          <rPr>
            <b/>
            <u/>
            <sz val="14"/>
            <color rgb="FF0563C1"/>
            <rFont val="Times New Roman"/>
            <family val="18"/>
          </rPr>
          <t>Mátészalka, Hungary</t>
        </r>
        <r>
          <rPr>
            <b/>
            <sz val="14"/>
            <color rgb="FF000000"/>
            <rFont val="Times New Roman"/>
            <family val="18"/>
          </rPr>
          <t xml:space="preserve">] </t>
        </r>
        <r>
          <rPr>
            <i/>
            <sz val="14"/>
            <color rgb="FF000000"/>
            <rFont val="Times New Roman"/>
            <family val="18"/>
          </rPr>
          <t>in Szathmar Komität gestellt, gegen 3FL zum IR 39 assentiert, und zur 1.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1. Fus. Komp. Nr. 193 [</t>
        </r>
        <r>
          <rPr>
            <i/>
            <sz val="14"/>
            <color rgb="FF000000"/>
            <rFont val="Times New Roman"/>
            <family val="18"/>
          </rPr>
          <t>Krank on Comorn</t>
        </r>
        <r>
          <rPr>
            <sz val="14"/>
            <color rgb="FF000000"/>
            <rFont val="Times New Roman"/>
            <family val="18"/>
          </rPr>
          <t>]</t>
        </r>
        <r>
          <rPr>
            <sz val="14"/>
            <color rgb="FF000000"/>
            <rFont val="Calibri"/>
            <family val="34"/>
          </rPr>
          <t xml:space="preserve">
</t>
        </r>
        <r>
          <rPr>
            <sz val="14"/>
            <color rgb="FF000000"/>
            <rFont val="Times New Roman"/>
            <family val="18"/>
          </rPr>
          <t xml:space="preserve">10/10/1808 </t>
        </r>
        <r>
          <rPr>
            <i/>
            <sz val="14"/>
            <color rgb="FF000000"/>
            <rFont val="Times New Roman"/>
            <family val="18"/>
          </rPr>
          <t>Rekonvalesciert</t>
        </r>
        <r>
          <rPr>
            <sz val="14"/>
            <color rgb="FF000000"/>
            <rFont val="Times New Roman"/>
            <family val="18"/>
          </rPr>
          <t xml:space="preserve"> [ST Okt. 1808]</t>
        </r>
        <r>
          <rPr>
            <sz val="14"/>
            <color rgb="FF000000"/>
            <rFont val="Calibri"/>
            <family val="34"/>
          </rPr>
          <t xml:space="preserve">
</t>
        </r>
        <r>
          <rPr>
            <sz val="14"/>
            <color rgb="FF000000"/>
            <rFont val="Times New Roman"/>
            <family val="18"/>
          </rPr>
          <t xml:space="preserve">25/10/1808 </t>
        </r>
        <r>
          <rPr>
            <i/>
            <sz val="14"/>
            <color rgb="FF000000"/>
            <rFont val="Times New Roman"/>
            <family val="18"/>
          </rPr>
          <t>Von IR 39 1. Fus. Komp zur Esterhazy Infant Regiment</t>
        </r>
        <r>
          <rPr>
            <sz val="14"/>
            <color rgb="FF000000"/>
            <rFont val="Times New Roman"/>
            <family val="18"/>
          </rPr>
          <t xml:space="preserve"> </t>
        </r>
        <r>
          <rPr>
            <b/>
            <sz val="14"/>
            <color rgb="FF000000"/>
            <rFont val="Times New Roman"/>
            <family val="18"/>
          </rPr>
          <t>[IR 32]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text>
    </comment>
    <comment ref="BG1103" authorId="0" shapeId="0" xr:uid="{30C015CC-DDBE-EE4D-935C-E10118C37368}">
      <text>
        <r>
          <rPr>
            <sz val="14"/>
            <color rgb="FF000000"/>
            <rFont val="Times New Roman"/>
            <family val="18"/>
          </rPr>
          <t>ML 3500 IR 39 (1808-10) – RL 1808 1. Fus. Komp. Nr. 193 (Lager bei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3549 IR 39 (1808) – AL Szatmár Komität Nr. 93 (Nagy Karoly 05/04/1808); ST Sept (10/10/1810)</t>
        </r>
        <r>
          <rPr>
            <sz val="14"/>
            <color rgb="FF000000"/>
            <rFont val="Calibri"/>
            <family val="34"/>
          </rPr>
          <t xml:space="preserve">
</t>
        </r>
      </text>
    </comment>
    <comment ref="BH1103" authorId="0" shapeId="0" xr:uid="{A3D7DC81-FC08-4C47-99E8-419E81654B2A}">
      <text>
        <r>
          <rPr>
            <sz val="14"/>
            <color rgb="FF000000"/>
            <rFont val="Calibri"/>
            <family val="34"/>
          </rPr>
          <t xml:space="preserve">IR 39 (1808)
</t>
        </r>
        <r>
          <rPr>
            <sz val="14"/>
            <color rgb="FF000000"/>
            <rFont val="Calibri"/>
            <family val="34"/>
          </rPr>
          <t>IR 32 (1808)</t>
        </r>
      </text>
    </comment>
    <comment ref="BF1104" authorId="0" shapeId="0" xr:uid="{4F0FF05C-F015-EE42-A023-B77BB1AF4648}">
      <text>
        <r>
          <rPr>
            <sz val="14"/>
            <color rgb="FF000000"/>
            <rFont val="Times New Roman"/>
            <family val="18"/>
          </rPr>
          <t xml:space="preserve">11/03/1808 </t>
        </r>
        <r>
          <rPr>
            <i/>
            <sz val="14"/>
            <color rgb="FF000000"/>
            <rFont val="Times New Roman"/>
            <family val="18"/>
          </rPr>
          <t xml:space="preserve">Von Batis Sasvani </t>
        </r>
        <r>
          <rPr>
            <b/>
            <sz val="14"/>
            <color rgb="FF000000"/>
            <rFont val="Times New Roman"/>
            <family val="18"/>
          </rPr>
          <t>[</t>
        </r>
        <r>
          <rPr>
            <b/>
            <u/>
            <sz val="14"/>
            <color rgb="FF0563C1"/>
            <rFont val="Times New Roman"/>
            <family val="18"/>
          </rPr>
          <t>Botiz,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4. Fus. Komp. Nr. 205</t>
        </r>
        <r>
          <rPr>
            <sz val="14"/>
            <color rgb="FF000000"/>
            <rFont val="Calibri"/>
            <family val="34"/>
          </rPr>
          <t xml:space="preserve">
</t>
        </r>
        <r>
          <rPr>
            <sz val="14"/>
            <color rgb="FF000000"/>
            <rFont val="Times New Roman"/>
            <family val="18"/>
          </rPr>
          <t xml:space="preserve">24/04/1809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[Battle of Neumarkt-Sankt Veit]</t>
        </r>
        <r>
          <rPr>
            <sz val="14"/>
            <color rgb="FF000000"/>
            <rFont val="Times New Roman"/>
            <family val="18"/>
          </rPr>
          <t xml:space="preserve"> [ML 1811]</t>
        </r>
        <r>
          <rPr>
            <sz val="14"/>
            <color rgb="FF000000"/>
            <rFont val="Calibri"/>
            <family val="34"/>
          </rPr>
          <t xml:space="preserve">
</t>
        </r>
      </text>
    </comment>
    <comment ref="BG1104" authorId="0" shapeId="0" xr:uid="{FD8EC9F3-7D2D-504B-ACC8-E2F7BB3809A7}">
      <text>
        <r>
          <rPr>
            <sz val="14"/>
            <color rgb="FF000000"/>
            <rFont val="Times New Roman"/>
            <family val="18"/>
          </rPr>
          <t>ML 3500 IR 39 (1808-10) – RL 1808 4. Fus. Komp. Nr. 205 (Feldlager bei Comorn 19/09/1808)</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Szatmár Komität Nr. 95 (Nagy Karoly 05/04/1808)</t>
        </r>
        <r>
          <rPr>
            <sz val="14"/>
            <color rgb="FF000000"/>
            <rFont val="Calibri"/>
            <family val="34"/>
          </rPr>
          <t xml:space="preserve">
</t>
        </r>
      </text>
    </comment>
    <comment ref="BH1104" authorId="0" shapeId="0" xr:uid="{F93EA791-3AFA-CE45-B340-53736999001D}">
      <text>
        <r>
          <rPr>
            <sz val="14"/>
            <color rgb="FF000000"/>
            <rFont val="Calibri"/>
            <family val="34"/>
          </rPr>
          <t>IR 39 (1808-1809)</t>
        </r>
      </text>
    </comment>
    <comment ref="BF1105" authorId="0" shapeId="0" xr:uid="{09952578-8C49-8345-BB89-097DEE8EFA3F}">
      <text>
        <r>
          <rPr>
            <sz val="14"/>
            <color rgb="FF000000"/>
            <rFont val="Times New Roman"/>
            <family val="18"/>
          </rPr>
          <t xml:space="preserve">11/03/1808 </t>
        </r>
        <r>
          <rPr>
            <i/>
            <sz val="14"/>
            <color rgb="FF000000"/>
            <rFont val="Times New Roman"/>
            <family val="18"/>
          </rPr>
          <t>Von Dominien ausgehoben und auf 3Fl Handgeld in IR 39 assentiert und zum 6.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10. Fus. Komp. Nr. 205</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19.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05/04/1810 </t>
        </r>
        <r>
          <rPr>
            <i/>
            <sz val="14"/>
            <color rgb="FF000000"/>
            <rFont val="Times New Roman"/>
            <family val="18"/>
          </rPr>
          <t>Krank mit auswärtiger Gebühr</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08/05/1810 </t>
        </r>
        <r>
          <rPr>
            <i/>
            <sz val="14"/>
            <color rgb="FF000000"/>
            <rFont val="Times New Roman"/>
            <family val="18"/>
          </rPr>
          <t>In Spital zu Ofen gestorben</t>
        </r>
        <r>
          <rPr>
            <sz val="14"/>
            <color rgb="FF000000"/>
            <rFont val="Times New Roman"/>
            <family val="18"/>
          </rPr>
          <t xml:space="preserve"> [ML 1811]</t>
        </r>
        <r>
          <rPr>
            <sz val="14"/>
            <color rgb="FF000000"/>
            <rFont val="Calibri"/>
            <family val="34"/>
          </rPr>
          <t xml:space="preserve">
</t>
        </r>
      </text>
    </comment>
    <comment ref="BG1105" authorId="0" shapeId="0" xr:uid="{9AC78E31-4403-7D49-8FC8-C3A43DA7C3CD}">
      <text>
        <r>
          <rPr>
            <sz val="14"/>
            <color rgb="FF000000"/>
            <rFont val="Times New Roman"/>
            <family val="18"/>
          </rPr>
          <t>ML 3500 IR 39 (1808) – 1. Fus. Komp. Nr. 192 (Lager bei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text>
    </comment>
    <comment ref="BH1105" authorId="0" shapeId="0" xr:uid="{38D4F0DE-6A83-2047-A7ED-A3004FEA079F}">
      <text>
        <r>
          <rPr>
            <sz val="14"/>
            <color rgb="FF000000"/>
            <rFont val="Calibri"/>
            <family val="34"/>
          </rPr>
          <t>IR 39 (1808-1810)</t>
        </r>
      </text>
    </comment>
    <comment ref="BF1106" authorId="0" shapeId="0" xr:uid="{DAD6273C-0314-0641-B7D2-273398515C47}">
      <text>
        <r>
          <rPr>
            <sz val="14"/>
            <color rgb="FF000000"/>
            <rFont val="Times New Roman"/>
            <family val="18"/>
          </rPr>
          <t xml:space="preserve">11/03/1808 </t>
        </r>
        <r>
          <rPr>
            <i/>
            <sz val="14"/>
            <color rgb="FF000000"/>
            <rFont val="Times New Roman"/>
            <family val="18"/>
          </rPr>
          <t xml:space="preserve">Von Csenger </t>
        </r>
        <r>
          <rPr>
            <b/>
            <sz val="14"/>
            <color rgb="FF000000"/>
            <rFont val="Times New Roman"/>
            <family val="18"/>
          </rPr>
          <t>[</t>
        </r>
        <r>
          <rPr>
            <b/>
            <u/>
            <sz val="14"/>
            <color rgb="FF0563C1"/>
            <rFont val="Times New Roman"/>
            <family val="18"/>
          </rPr>
          <t>Csenger, Hungary</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5.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07/09/1808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11. Fus. Komp. Nr. 202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11/03/1809 </t>
        </r>
        <r>
          <rPr>
            <i/>
            <sz val="14"/>
            <color rgb="FF000000"/>
            <rFont val="Times New Roman"/>
            <family val="18"/>
          </rPr>
          <t>Rekonvalesziert und seitdem bein Staab</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16/03/1809 </t>
        </r>
        <r>
          <rPr>
            <i/>
            <sz val="14"/>
            <color rgb="FF000000"/>
            <rFont val="Times New Roman"/>
            <family val="18"/>
          </rPr>
          <t>Wieder bei der Kompanie</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31/03/1809 </t>
        </r>
        <r>
          <rPr>
            <i/>
            <sz val="14"/>
            <color rgb="FF000000"/>
            <rFont val="Times New Roman"/>
            <family val="18"/>
          </rPr>
          <t>Krank mit auswärtiger Gebühr</t>
        </r>
        <r>
          <rPr>
            <sz val="14"/>
            <color rgb="FF000000"/>
            <rFont val="Times New Roman"/>
            <family val="18"/>
          </rPr>
          <t xml:space="preserve"> [ST March 1808]</t>
        </r>
        <r>
          <rPr>
            <sz val="14"/>
            <color rgb="FF000000"/>
            <rFont val="Calibri"/>
            <family val="34"/>
          </rPr>
          <t xml:space="preserve">
</t>
        </r>
        <r>
          <rPr>
            <sz val="14"/>
            <color rgb="FF000000"/>
            <rFont val="Times New Roman"/>
            <family val="18"/>
          </rPr>
          <t>14/06/1809</t>
        </r>
        <r>
          <rPr>
            <i/>
            <sz val="14"/>
            <color rgb="FF000000"/>
            <rFont val="Times New Roman"/>
            <family val="18"/>
          </rPr>
          <t xml:space="preserve"> Rekonvalesziert </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Kriegsgefangen</t>
        </r>
        <r>
          <rPr>
            <sz val="14"/>
            <color rgb="FF000000"/>
            <rFont val="Times New Roman"/>
            <family val="18"/>
          </rPr>
          <t xml:space="preserve"> </t>
        </r>
        <r>
          <rPr>
            <b/>
            <sz val="14"/>
            <color rgb="FF000000"/>
            <rFont val="Times New Roman"/>
            <family val="18"/>
          </rPr>
          <t xml:space="preserve">[Beim Znaim?] </t>
        </r>
        <r>
          <rPr>
            <sz val="14"/>
            <color rgb="FF000000"/>
            <rFont val="Times New Roman"/>
            <family val="18"/>
          </rPr>
          <t>[ML 1811]</t>
        </r>
        <r>
          <rPr>
            <sz val="14"/>
            <color rgb="FF000000"/>
            <rFont val="Calibri"/>
            <family val="34"/>
          </rPr>
          <t xml:space="preserve">
</t>
        </r>
        <r>
          <rPr>
            <sz val="14"/>
            <color rgb="FF000000"/>
            <rFont val="Times New Roman"/>
            <family val="18"/>
          </rPr>
          <t xml:space="preserve">23/02/1810 </t>
        </r>
        <r>
          <rPr>
            <i/>
            <sz val="14"/>
            <color rgb="FF000000"/>
            <rFont val="Times New Roman"/>
            <family val="18"/>
          </rPr>
          <t>Von Kriegsgefangenschaft zurück seitdem auf anhero Marsch</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03/04/1810 </t>
        </r>
        <r>
          <rPr>
            <i/>
            <sz val="14"/>
            <color rgb="FF000000"/>
            <rFont val="Times New Roman"/>
            <family val="18"/>
          </rPr>
          <t>In Kompanie eingerückt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15/10/1810 </t>
        </r>
        <r>
          <rPr>
            <i/>
            <sz val="14"/>
            <color rgb="FF000000"/>
            <rFont val="Times New Roman"/>
            <family val="18"/>
          </rPr>
          <t>Als Kriegs Capitulant mit Abschied entlassen</t>
        </r>
        <r>
          <rPr>
            <sz val="14"/>
            <color rgb="FF000000"/>
            <rFont val="Times New Roman"/>
            <family val="18"/>
          </rPr>
          <t xml:space="preserve"> [ML 1811]</t>
        </r>
        <r>
          <rPr>
            <sz val="14"/>
            <color rgb="FF000000"/>
            <rFont val="Calibri"/>
            <family val="34"/>
          </rPr>
          <t xml:space="preserve">
</t>
        </r>
      </text>
    </comment>
    <comment ref="BG1106" authorId="0" shapeId="0" xr:uid="{39660C2F-1322-B84B-9ACE-5DA0B899A484}">
      <text>
        <r>
          <rPr>
            <sz val="14"/>
            <color rgb="FF000000"/>
            <rFont val="Times New Roman"/>
            <family val="18"/>
          </rPr>
          <t>ML 3500 IR 39 (1808) – 11. Fus. Komp. Nr. 202 (Lager bei Comorn 19/09/1808)</t>
        </r>
        <r>
          <rPr>
            <sz val="14"/>
            <color rgb="FF000000"/>
            <rFont val="Calibri"/>
            <family val="34"/>
          </rPr>
          <t xml:space="preserve">
</t>
        </r>
        <r>
          <rPr>
            <sz val="14"/>
            <color rgb="FF000000"/>
            <rFont val="Times New Roman"/>
            <family val="18"/>
          </rPr>
          <t>ML 3501/2 IR 39 (1811) – 11. Fus. Komp. Abgang (Ofen 19/09/1811)</t>
        </r>
        <r>
          <rPr>
            <sz val="14"/>
            <color rgb="FF000000"/>
            <rFont val="Calibri"/>
            <family val="34"/>
          </rPr>
          <t xml:space="preserve">
</t>
        </r>
        <r>
          <rPr>
            <sz val="14"/>
            <color rgb="FF000000"/>
            <rFont val="Times New Roman"/>
            <family val="18"/>
          </rPr>
          <t>ML 3549 IR 39 (1808) – AL Szatmár Komität Nr. 97 (Nagy Karoly 05/04/1808); ST Sept (Ofen 10/10/1810)</t>
        </r>
        <r>
          <rPr>
            <sz val="14"/>
            <color rgb="FF000000"/>
            <rFont val="Calibri"/>
            <family val="34"/>
          </rPr>
          <t xml:space="preserve">
</t>
        </r>
        <r>
          <rPr>
            <sz val="14"/>
            <color rgb="FF000000"/>
            <rFont val="Times New Roman"/>
            <family val="18"/>
          </rPr>
          <t>ML 3550 IR 39 (1809) – ST March (Ofen 12/01/1811), June (Ofen 18/02/1811)</t>
        </r>
        <r>
          <rPr>
            <sz val="14"/>
            <color rgb="FF000000"/>
            <rFont val="Calibri"/>
            <family val="34"/>
          </rPr>
          <t xml:space="preserve">
</t>
        </r>
        <r>
          <rPr>
            <sz val="14"/>
            <color rgb="FF000000"/>
            <rFont val="Times New Roman"/>
            <family val="18"/>
          </rPr>
          <t>ML 3551 IR 39 (1810) – ST April</t>
        </r>
        <r>
          <rPr>
            <sz val="14"/>
            <color rgb="FF000000"/>
            <rFont val="Calibri"/>
            <family val="34"/>
          </rPr>
          <t xml:space="preserve">
</t>
        </r>
      </text>
    </comment>
    <comment ref="BH1106" authorId="0" shapeId="0" xr:uid="{5B8E45F4-13A2-F445-820E-EC8F464F66E8}">
      <text>
        <r>
          <rPr>
            <sz val="14"/>
            <color rgb="FF000000"/>
            <rFont val="Calibri"/>
            <family val="34"/>
          </rPr>
          <t>IR 39 (1808-1810)</t>
        </r>
      </text>
    </comment>
    <comment ref="BF1107" authorId="0" shapeId="0" xr:uid="{36EFC173-EFFF-844B-AD5A-E0DE53889E1F}">
      <text>
        <r>
          <rPr>
            <sz val="14"/>
            <color rgb="FF000000"/>
            <rFont val="Times New Roman"/>
            <family val="18"/>
          </rPr>
          <t xml:space="preserve">11/03/1808 </t>
        </r>
        <r>
          <rPr>
            <i/>
            <sz val="14"/>
            <color rgb="FF000000"/>
            <rFont val="Times New Roman"/>
            <family val="18"/>
          </rPr>
          <t>Von Bereg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203</t>
        </r>
        <r>
          <rPr>
            <sz val="14"/>
            <color rgb="FF000000"/>
            <rFont val="Calibri"/>
            <family val="34"/>
          </rPr>
          <t xml:space="preserve">
</t>
        </r>
        <r>
          <rPr>
            <sz val="14"/>
            <color rgb="FF000000"/>
            <rFont val="Times New Roman"/>
            <family val="18"/>
          </rPr>
          <t xml:space="preserve">15/05/1809 </t>
        </r>
        <r>
          <rPr>
            <i/>
            <sz val="14"/>
            <color rgb="FF000000"/>
            <rFont val="Times New Roman"/>
            <family val="18"/>
          </rPr>
          <t>Gegen Stellung 2. Mann und Erlag des doppelten Montur Geldes mit Abschied entlassen</t>
        </r>
        <r>
          <rPr>
            <sz val="14"/>
            <color rgb="FF000000"/>
            <rFont val="Times New Roman"/>
            <family val="18"/>
          </rPr>
          <t xml:space="preserve"> [ML 1811 &amp; ST May 1809] </t>
        </r>
      </text>
    </comment>
    <comment ref="BG1107" authorId="0" shapeId="0" xr:uid="{3DF146FA-C49A-5347-9A72-4A8F977AE889}">
      <text>
        <r>
          <rPr>
            <sz val="14"/>
            <color rgb="FF000000"/>
            <rFont val="Times New Roman"/>
            <family val="18"/>
          </rPr>
          <t>ML 3500 IR 39 (1808-10) – RL 1808 5. Fus. Komp. Nr. 56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Szatmár Komität Nr. 96 (Nagy Karoly 05/04/1808)</t>
        </r>
        <r>
          <rPr>
            <sz val="14"/>
            <color rgb="FF000000"/>
            <rFont val="Calibri"/>
            <family val="34"/>
          </rPr>
          <t xml:space="preserve">
</t>
        </r>
        <r>
          <rPr>
            <sz val="14"/>
            <color rgb="FF000000"/>
            <rFont val="Times New Roman"/>
            <family val="18"/>
          </rPr>
          <t>ML 3550 IR 39 (1809) – May (Ofen 20/06/1809)</t>
        </r>
        <r>
          <rPr>
            <sz val="14"/>
            <color rgb="FF000000"/>
            <rFont val="Calibri"/>
            <family val="34"/>
          </rPr>
          <t xml:space="preserve">
</t>
        </r>
      </text>
    </comment>
    <comment ref="BH1107" authorId="0" shapeId="0" xr:uid="{C0154D52-DFA7-8F4B-81A4-4CC931863496}">
      <text>
        <r>
          <rPr>
            <sz val="14"/>
            <color rgb="FF000000"/>
            <rFont val="Calibri"/>
            <family val="34"/>
          </rPr>
          <t>IR 39 (1808-1809)</t>
        </r>
      </text>
    </comment>
    <comment ref="BF1108" authorId="0" shapeId="0" xr:uid="{2F3CAF89-59D1-C442-AF3C-C5D7EF8376BB}">
      <text>
        <r>
          <rPr>
            <sz val="14"/>
            <color rgb="FF000000"/>
            <rFont val="Times New Roman"/>
            <family val="18"/>
          </rPr>
          <t xml:space="preserve">12/03/1808 </t>
        </r>
        <r>
          <rPr>
            <i/>
            <sz val="14"/>
            <color rgb="FF000000"/>
            <rFont val="Times New Roman"/>
            <family val="18"/>
          </rPr>
          <t xml:space="preserve">Von Herman </t>
        </r>
        <r>
          <rPr>
            <b/>
            <sz val="14"/>
            <color rgb="FF000000"/>
            <rFont val="Times New Roman"/>
            <family val="18"/>
          </rPr>
          <t>[</t>
        </r>
        <r>
          <rPr>
            <b/>
            <u/>
            <sz val="14"/>
            <color rgb="FF0563C1"/>
            <rFont val="Times New Roman"/>
            <family val="18"/>
          </rPr>
          <t>Hermanovce,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8.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12. Fus. Komp. Nr. 171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30/03/1809 </t>
        </r>
        <r>
          <rPr>
            <i/>
            <sz val="14"/>
            <color rgb="FF000000"/>
            <rFont val="Times New Roman"/>
            <family val="18"/>
          </rPr>
          <t>Krank mit auswärtiger Gebühr</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31/10/1809 </t>
        </r>
        <r>
          <rPr>
            <i/>
            <sz val="14"/>
            <color rgb="FF000000"/>
            <rFont val="Times New Roman"/>
            <family val="18"/>
          </rPr>
          <t xml:space="preserve">Als in Spital Verbliebene unwissend verloren in Abgang </t>
        </r>
        <r>
          <rPr>
            <sz val="14"/>
            <color rgb="FF000000"/>
            <rFont val="Times New Roman"/>
            <family val="18"/>
          </rPr>
          <t>[ML 1809]</t>
        </r>
      </text>
    </comment>
    <comment ref="BG1108" authorId="0" shapeId="0" xr:uid="{5A100916-A814-8F41-A37E-A0A5043360FA}">
      <text>
        <r>
          <rPr>
            <sz val="14"/>
            <color rgb="FF000000"/>
            <rFont val="Times New Roman"/>
            <family val="18"/>
          </rPr>
          <t>ML 3500 IR 39 (1808) – 12. Fus. Komp. Nr. 171 (Lager bei Comorn 19/09/1808)</t>
        </r>
        <r>
          <rPr>
            <sz val="14"/>
            <color rgb="FF000000"/>
            <rFont val="Calibri"/>
            <family val="34"/>
          </rPr>
          <t xml:space="preserve">
</t>
        </r>
        <r>
          <rPr>
            <sz val="14"/>
            <color rgb="FF000000"/>
            <rFont val="Times New Roman"/>
            <family val="18"/>
          </rPr>
          <t>ML 3501/2 IR 39 (1811) – 12. Fus. Komp. Abgang (Ofen 19/09/1811)</t>
        </r>
        <r>
          <rPr>
            <sz val="14"/>
            <color rgb="FF000000"/>
            <rFont val="Calibri"/>
            <family val="34"/>
          </rPr>
          <t xml:space="preserve">
</t>
        </r>
        <r>
          <rPr>
            <sz val="14"/>
            <color rgb="FF000000"/>
            <rFont val="Times New Roman"/>
            <family val="18"/>
          </rPr>
          <t>ML 3549 IR 39 (1808) – AL Sáros Komität Nr. 232 (Eperies 31/03/1808)</t>
        </r>
        <r>
          <rPr>
            <sz val="14"/>
            <color rgb="FF000000"/>
            <rFont val="Calibri"/>
            <family val="34"/>
          </rPr>
          <t xml:space="preserve">
</t>
        </r>
        <r>
          <rPr>
            <sz val="14"/>
            <color rgb="FF000000"/>
            <rFont val="Times New Roman"/>
            <family val="18"/>
          </rPr>
          <t>ML 3550 IR 39 (1809) – ST March (Ofen 12/01/1811)</t>
        </r>
        <r>
          <rPr>
            <sz val="14"/>
            <color rgb="FF000000"/>
            <rFont val="Calibri"/>
            <family val="34"/>
          </rPr>
          <t xml:space="preserve">
</t>
        </r>
      </text>
    </comment>
    <comment ref="BH1108" authorId="0" shapeId="0" xr:uid="{47D667D2-7A0E-9646-92B6-5C54DCAC8D97}">
      <text>
        <r>
          <rPr>
            <sz val="14"/>
            <color rgb="FF000000"/>
            <rFont val="Calibri"/>
            <family val="34"/>
          </rPr>
          <t>IR 39 (1808-1809)</t>
        </r>
      </text>
    </comment>
    <comment ref="BF1109" authorId="0" shapeId="0" xr:uid="{1D74CAFB-2C79-9542-BC88-570140594C38}">
      <text>
        <r>
          <rPr>
            <sz val="14"/>
            <color rgb="FF000000"/>
            <rFont val="Times New Roman"/>
            <family val="18"/>
          </rPr>
          <t xml:space="preserve">13/03/1808 </t>
        </r>
        <r>
          <rPr>
            <i/>
            <sz val="14"/>
            <color rgb="FF000000"/>
            <rFont val="Times New Roman"/>
            <family val="18"/>
          </rPr>
          <t>Von Ugosca Komität gestellt, gegen 3FL zum IR 39 assentiert, und zur 9.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14/09/1808 </t>
        </r>
        <r>
          <rPr>
            <i/>
            <sz val="14"/>
            <color rgb="FF000000"/>
            <rFont val="Times New Roman"/>
            <family val="18"/>
          </rPr>
          <t>Krank mit auswärtiger Gebühr zu Jardos</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13. Fus. Komp. Nr. 203 [</t>
        </r>
        <r>
          <rPr>
            <i/>
            <sz val="14"/>
            <color rgb="FF000000"/>
            <rFont val="Times New Roman"/>
            <family val="18"/>
          </rPr>
          <t>Commandiert zu Bats</t>
        </r>
        <r>
          <rPr>
            <sz val="14"/>
            <color rgb="FF000000"/>
            <rFont val="Times New Roman"/>
            <family val="18"/>
          </rPr>
          <t>]</t>
        </r>
        <r>
          <rPr>
            <sz val="14"/>
            <color rgb="FF000000"/>
            <rFont val="Calibri"/>
            <family val="34"/>
          </rPr>
          <t xml:space="preserve">
</t>
        </r>
        <r>
          <rPr>
            <sz val="14"/>
            <color rgb="FF000000"/>
            <rFont val="Times New Roman"/>
            <family val="18"/>
          </rPr>
          <t xml:space="preserve">11/10/1808 </t>
        </r>
        <r>
          <rPr>
            <i/>
            <sz val="14"/>
            <color rgb="FF000000"/>
            <rFont val="Times New Roman"/>
            <family val="18"/>
          </rPr>
          <t>Rekonvalesziert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11/04/1809 </t>
        </r>
        <r>
          <rPr>
            <i/>
            <sz val="14"/>
            <color rgb="FF000000"/>
            <rFont val="Times New Roman"/>
            <family val="18"/>
          </rPr>
          <t>Krank mit auswärtiger Gebühr</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16/14/1808 </t>
        </r>
        <r>
          <rPr>
            <i/>
            <sz val="14"/>
            <color rgb="FF000000"/>
            <rFont val="Times New Roman"/>
            <family val="18"/>
          </rPr>
          <t>Rekonvalesziert</t>
        </r>
        <r>
          <rPr>
            <sz val="14"/>
            <color rgb="FF000000"/>
            <rFont val="Times New Roman"/>
            <family val="18"/>
          </rPr>
          <t xml:space="preserve"> [ST April 1808]</t>
        </r>
        <r>
          <rPr>
            <sz val="14"/>
            <color rgb="FF000000"/>
            <rFont val="Calibri"/>
            <family val="34"/>
          </rPr>
          <t xml:space="preserve">
</t>
        </r>
        <r>
          <rPr>
            <sz val="14"/>
            <color rgb="FF000000"/>
            <rFont val="Times New Roman"/>
            <family val="18"/>
          </rPr>
          <t xml:space="preserve">01/05/1809 </t>
        </r>
        <r>
          <rPr>
            <i/>
            <sz val="14"/>
            <color rgb="FF000000"/>
            <rFont val="Times New Roman"/>
            <family val="18"/>
          </rPr>
          <t>Krank mit auswärtiger Gebühr</t>
        </r>
        <r>
          <rPr>
            <sz val="14"/>
            <color rgb="FF000000"/>
            <rFont val="Times New Roman"/>
            <family val="18"/>
          </rPr>
          <t xml:space="preserve"> </t>
        </r>
        <r>
          <rPr>
            <b/>
            <sz val="14"/>
            <color rgb="FF000000"/>
            <rFont val="Times New Roman"/>
            <family val="18"/>
          </rPr>
          <t>[Mit 4 Andere Verletzt beim Rückzug aus Bayern?]</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verbeibene unwissend verloren gegangen</t>
        </r>
        <r>
          <rPr>
            <sz val="14"/>
            <color rgb="FF000000"/>
            <rFont val="Times New Roman"/>
            <family val="18"/>
          </rPr>
          <t xml:space="preserve"> [ST Aug 1810]</t>
        </r>
      </text>
    </comment>
    <comment ref="BG1109" authorId="0" shapeId="0" xr:uid="{EA785DA8-0728-CF49-9D70-CE94828D92FC}">
      <text>
        <r>
          <rPr>
            <sz val="14"/>
            <color rgb="FF000000"/>
            <rFont val="Times New Roman"/>
            <family val="18"/>
          </rPr>
          <t>ML 3500 IR 39 (1808) – 13. Fus. Komp. Nr. 203 (Lager bei Comorn 19/09/1808)</t>
        </r>
        <r>
          <rPr>
            <sz val="14"/>
            <color rgb="FF000000"/>
            <rFont val="Calibri"/>
            <family val="34"/>
          </rPr>
          <t xml:space="preserve">
</t>
        </r>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3549 IR 39 (1808) – AL Ungosca Komität Nr. 45 (Munkats 31/03/1808); ST Sept (Ofen 10/10/1808); Oct (Ofen 15/10/1808)</t>
        </r>
        <r>
          <rPr>
            <sz val="14"/>
            <color rgb="FF000000"/>
            <rFont val="Calibri"/>
            <family val="34"/>
          </rPr>
          <t xml:space="preserve">
</t>
        </r>
        <r>
          <rPr>
            <sz val="14"/>
            <color rgb="FF000000"/>
            <rFont val="Times New Roman"/>
            <family val="18"/>
          </rPr>
          <t>ML 3550 IR 39 (1809) – ST April (Ofen 10/02/1810), May (Ofen 20/06/1810)</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09" authorId="0" shapeId="0" xr:uid="{927EC17D-BDB9-2842-AB93-E384CDBE0C90}">
      <text>
        <r>
          <rPr>
            <sz val="14"/>
            <color rgb="FF000000"/>
            <rFont val="Calibri"/>
            <family val="34"/>
          </rPr>
          <t>IR 39 (1808-1810)</t>
        </r>
      </text>
    </comment>
    <comment ref="BF1110" authorId="0" shapeId="0" xr:uid="{97BB1D56-54AE-0B45-A86D-25F9DF5AF99E}">
      <text>
        <r>
          <rPr>
            <sz val="14"/>
            <color rgb="FF000000"/>
            <rFont val="Times New Roman"/>
            <family val="18"/>
          </rPr>
          <t xml:space="preserve">13/03/1808 </t>
        </r>
        <r>
          <rPr>
            <i/>
            <sz val="14"/>
            <color rgb="FF000000"/>
            <rFont val="Times New Roman"/>
            <family val="18"/>
          </rPr>
          <t>Von Ugosca Komität gestellt, gegen 3FL zum IR 39 assentiert, und zur 11. Komp. eingeheilt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15/06/1808 </t>
        </r>
        <r>
          <rPr>
            <i/>
            <sz val="14"/>
            <color rgb="FF000000"/>
            <rFont val="Times New Roman"/>
            <family val="18"/>
          </rPr>
          <t>Sonsten desertiert</t>
        </r>
        <r>
          <rPr>
            <sz val="14"/>
            <color rgb="FF000000"/>
            <rFont val="Times New Roman"/>
            <family val="18"/>
          </rPr>
          <t xml:space="preserve"> [RL 1808] </t>
        </r>
        <r>
          <rPr>
            <sz val="14"/>
            <color rgb="FF000000"/>
            <rFont val="Calibri"/>
            <family val="34"/>
          </rPr>
          <t xml:space="preserve">
</t>
        </r>
        <r>
          <rPr>
            <sz val="14"/>
            <color rgb="FF000000"/>
            <rFont val="Times New Roman"/>
            <family val="18"/>
          </rPr>
          <t xml:space="preserve">19/06/1808 </t>
        </r>
        <r>
          <rPr>
            <i/>
            <sz val="14"/>
            <color rgb="FF000000"/>
            <rFont val="Times New Roman"/>
            <family val="18"/>
          </rPr>
          <t>Von Land attrapiert</t>
        </r>
        <r>
          <rPr>
            <sz val="14"/>
            <color rgb="FF000000"/>
            <rFont val="Times New Roman"/>
            <family val="18"/>
          </rPr>
          <t xml:space="preserve"> [ML 1808]</t>
        </r>
        <r>
          <rPr>
            <sz val="14"/>
            <color rgb="FF000000"/>
            <rFont val="Calibri"/>
            <family val="34"/>
          </rPr>
          <t xml:space="preserve">
</t>
        </r>
        <r>
          <rPr>
            <sz val="14"/>
            <color rgb="FF000000"/>
            <rFont val="Times New Roman"/>
            <family val="18"/>
          </rPr>
          <t xml:space="preserve">16/05/1808 </t>
        </r>
        <r>
          <rPr>
            <i/>
            <sz val="14"/>
            <color rgb="FF000000"/>
            <rFont val="Times New Roman"/>
            <family val="18"/>
          </rPr>
          <t>Von 15. Zum. 3. Komp. transferiert</t>
        </r>
        <r>
          <rPr>
            <sz val="14"/>
            <color rgb="FF000000"/>
            <rFont val="Times New Roman"/>
            <family val="18"/>
          </rPr>
          <t xml:space="preserve"> [ML 1808]</t>
        </r>
        <r>
          <rPr>
            <sz val="14"/>
            <color rgb="FF000000"/>
            <rFont val="Calibri"/>
            <family val="34"/>
          </rPr>
          <t xml:space="preserve">
</t>
        </r>
        <r>
          <rPr>
            <sz val="14"/>
            <color rgb="FF000000"/>
            <rFont val="Times New Roman"/>
            <family val="18"/>
          </rPr>
          <t>19/09/1808 Revision: IR 39 3. Fus. Komp. Nr. 88</t>
        </r>
        <r>
          <rPr>
            <sz val="14"/>
            <color rgb="FF000000"/>
            <rFont val="Calibri"/>
            <family val="34"/>
          </rPr>
          <t xml:space="preserve">
</t>
        </r>
        <r>
          <rPr>
            <sz val="14"/>
            <color rgb="FF000000"/>
            <rFont val="Times New Roman"/>
            <family val="18"/>
          </rPr>
          <t>14/11/1808</t>
        </r>
        <r>
          <rPr>
            <i/>
            <sz val="14"/>
            <color rgb="FF000000"/>
            <rFont val="Times New Roman"/>
            <family val="18"/>
          </rPr>
          <t xml:space="preserve"> Krank mit auswärtiger Gebühr</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in Abgang </t>
        </r>
        <r>
          <rPr>
            <sz val="14"/>
            <color rgb="FF000000"/>
            <rFont val="Times New Roman"/>
            <family val="18"/>
          </rPr>
          <t xml:space="preserve">[ML 1811] </t>
        </r>
        <r>
          <rPr>
            <sz val="14"/>
            <color rgb="FF000000"/>
            <rFont val="Calibri"/>
            <family val="34"/>
          </rPr>
          <t xml:space="preserve">
</t>
        </r>
      </text>
    </comment>
    <comment ref="BG1110" authorId="0" shapeId="0" xr:uid="{B084954D-5005-FF40-9542-B772E2FFAAD1}">
      <text>
        <r>
          <rPr>
            <sz val="14"/>
            <color rgb="FF000000"/>
            <rFont val="Times New Roman"/>
            <family val="18"/>
          </rPr>
          <t>ML 3500 IR 39 (1808) – RL 3. Fus. Komp. Nr. 215 (Lager bei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Ugosca Komität Nr. 44 (Munkats 31/03/1808); ST Nov (Ofen 18/11/1810)</t>
        </r>
        <r>
          <rPr>
            <sz val="14"/>
            <color rgb="FF000000"/>
            <rFont val="Calibri"/>
            <family val="34"/>
          </rPr>
          <t xml:space="preserve">
</t>
        </r>
        <r>
          <rPr>
            <sz val="14"/>
            <color rgb="FF000000"/>
            <rFont val="Times New Roman"/>
            <family val="18"/>
          </rPr>
          <t>ML 3550 IR 39 (1809) – ST May (Ofen 20/06/1810)</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110" authorId="0" shapeId="0" xr:uid="{3F442E3E-080A-DF4A-9289-729268073584}">
      <text>
        <r>
          <rPr>
            <sz val="14"/>
            <color rgb="FF000000"/>
            <rFont val="Calibri"/>
            <family val="34"/>
          </rPr>
          <t>IR 39 (1808-1810)</t>
        </r>
      </text>
    </comment>
    <comment ref="BF1111" authorId="0" shapeId="0" xr:uid="{71BF0E52-91FE-C749-8DA9-ACA41F850AD0}">
      <text>
        <r>
          <rPr>
            <sz val="14"/>
            <color rgb="FF000000"/>
            <rFont val="Times New Roman"/>
            <family val="18"/>
          </rPr>
          <t xml:space="preserve">14/03/1808 </t>
        </r>
        <r>
          <rPr>
            <i/>
            <sz val="14"/>
            <color rgb="FF000000"/>
            <rFont val="Times New Roman"/>
            <family val="18"/>
          </rPr>
          <t xml:space="preserve">Von Csenger </t>
        </r>
        <r>
          <rPr>
            <b/>
            <sz val="14"/>
            <color rgb="FF000000"/>
            <rFont val="Times New Roman"/>
            <family val="18"/>
          </rPr>
          <t>[</t>
        </r>
        <r>
          <rPr>
            <b/>
            <u/>
            <sz val="14"/>
            <color rgb="FF0563C1"/>
            <rFont val="Times New Roman"/>
            <family val="18"/>
          </rPr>
          <t>Csenger, Hungary</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6. Fus. Komp. Nr. 212 [</t>
        </r>
        <r>
          <rPr>
            <i/>
            <sz val="14"/>
            <color rgb="FF000000"/>
            <rFont val="Times New Roman"/>
            <family val="18"/>
          </rPr>
          <t>Krank in Comorn</t>
        </r>
        <r>
          <rPr>
            <sz val="14"/>
            <color rgb="FF000000"/>
            <rFont val="Times New Roman"/>
            <family val="18"/>
          </rPr>
          <t>]</t>
        </r>
        <r>
          <rPr>
            <sz val="14"/>
            <color rgb="FF000000"/>
            <rFont val="Calibri"/>
            <family val="34"/>
          </rPr>
          <t xml:space="preserve">
</t>
        </r>
        <r>
          <rPr>
            <sz val="14"/>
            <color rgb="FF000000"/>
            <rFont val="Times New Roman"/>
            <family val="18"/>
          </rPr>
          <t xml:space="preserve">22/04/1809 </t>
        </r>
        <r>
          <rPr>
            <i/>
            <sz val="14"/>
            <color rgb="FF000000"/>
            <rFont val="Times New Roman"/>
            <family val="18"/>
          </rPr>
          <t xml:space="preserve">In Die Kriegsgefangenschaft gefallen </t>
        </r>
        <r>
          <rPr>
            <b/>
            <sz val="14"/>
            <color rgb="FF000000"/>
            <rFont val="Times New Roman"/>
            <family val="18"/>
          </rPr>
          <t xml:space="preserve">[Schlacht bei Eggmühl] </t>
        </r>
        <r>
          <rPr>
            <sz val="14"/>
            <color rgb="FF000000"/>
            <rFont val="Times New Roman"/>
            <family val="18"/>
          </rPr>
          <t>[ML 1811]</t>
        </r>
        <r>
          <rPr>
            <sz val="14"/>
            <color rgb="FF000000"/>
            <rFont val="Calibri"/>
            <family val="34"/>
          </rPr>
          <t xml:space="preserve">
</t>
        </r>
        <r>
          <rPr>
            <sz val="14"/>
            <color rgb="FF000000"/>
            <rFont val="Times New Roman"/>
            <family val="18"/>
          </rPr>
          <t xml:space="preserve">16/07/1809 </t>
        </r>
        <r>
          <rPr>
            <i/>
            <sz val="14"/>
            <color rgb="FF000000"/>
            <rFont val="Times New Roman"/>
            <family val="18"/>
          </rPr>
          <t>In loco 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18/08/1809 </t>
        </r>
        <r>
          <rPr>
            <i/>
            <sz val="14"/>
            <color rgb="FF000000"/>
            <rFont val="Times New Roman"/>
            <family val="18"/>
          </rPr>
          <t>Krank mit auswärtiger Gebühr</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26/09/1809 </t>
        </r>
        <r>
          <rPr>
            <i/>
            <sz val="14"/>
            <color rgb="FF000000"/>
            <rFont val="Times New Roman"/>
            <family val="18"/>
          </rPr>
          <t>Gestorben</t>
        </r>
        <r>
          <rPr>
            <sz val="14"/>
            <color rgb="FF000000"/>
            <rFont val="Times New Roman"/>
            <family val="18"/>
          </rPr>
          <t xml:space="preserve"> [ML 1811 &amp; ST Aug 1810] </t>
        </r>
      </text>
    </comment>
    <comment ref="BG1111" authorId="0" shapeId="0" xr:uid="{15402E6C-6E1C-6C42-B885-33789B4BBAE1}">
      <text>
        <r>
          <rPr>
            <sz val="14"/>
            <color rgb="FF000000"/>
            <rFont val="Times New Roman"/>
            <family val="18"/>
          </rPr>
          <t>ML 3500 IR 39 (1808) – 6. Fus. Komp. Nr. 208 (Lager bei Comorn 19/09/1808)</t>
        </r>
        <r>
          <rPr>
            <sz val="14"/>
            <color rgb="FF000000"/>
            <rFont val="Calibri"/>
            <family val="34"/>
          </rPr>
          <t xml:space="preserve">
</t>
        </r>
        <r>
          <rPr>
            <sz val="14"/>
            <color rgb="FF000000"/>
            <rFont val="Times New Roman"/>
            <family val="18"/>
          </rPr>
          <t>ML 3501/2 IR 39 (1811) – 6. Fus. Komp. Abgang (Szent Andree 14/09/1811)</t>
        </r>
        <r>
          <rPr>
            <sz val="14"/>
            <color rgb="FF000000"/>
            <rFont val="Calibri"/>
            <family val="34"/>
          </rPr>
          <t xml:space="preserve">
</t>
        </r>
        <r>
          <rPr>
            <sz val="14"/>
            <color rgb="FF000000"/>
            <rFont val="Times New Roman"/>
            <family val="18"/>
          </rPr>
          <t>ML 3549 IR 39 (1808) – AL Szatmár Komität Nr. 126 (Nagy Karoly 05/04/1808)</t>
        </r>
        <r>
          <rPr>
            <sz val="14"/>
            <color rgb="FF000000"/>
            <rFont val="Calibri"/>
            <family val="34"/>
          </rPr>
          <t xml:space="preserve">
</t>
        </r>
        <r>
          <rPr>
            <sz val="14"/>
            <color rgb="FF000000"/>
            <rFont val="Times New Roman"/>
            <family val="18"/>
          </rPr>
          <t>ML 3550 IR 39 (1809) – ST July (Ofen 20/08/1810), Aug (Ofen 20/09/1810)</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111" authorId="0" shapeId="0" xr:uid="{3AEC761A-9B41-1F47-8C14-68F4E33D88AD}">
      <text>
        <r>
          <rPr>
            <sz val="14"/>
            <color rgb="FF000000"/>
            <rFont val="Calibri"/>
            <family val="34"/>
          </rPr>
          <t>IR 39 (1808-1809)</t>
        </r>
      </text>
    </comment>
    <comment ref="BF1112" authorId="0" shapeId="0" xr:uid="{7DB4C0F1-EEEA-F84B-A7EB-8A9F6A0961C8}">
      <text>
        <r>
          <rPr>
            <sz val="14"/>
            <color rgb="FF000000"/>
            <rFont val="Times New Roman"/>
            <family val="18"/>
          </rPr>
          <t xml:space="preserve">14/03/1808 </t>
        </r>
        <r>
          <rPr>
            <i/>
            <sz val="14"/>
            <color rgb="FF000000"/>
            <rFont val="Times New Roman"/>
            <family val="18"/>
          </rPr>
          <t xml:space="preserve">Von Szalka </t>
        </r>
        <r>
          <rPr>
            <b/>
            <sz val="14"/>
            <color rgb="FF000000"/>
            <rFont val="Times New Roman"/>
            <family val="18"/>
          </rPr>
          <t>[</t>
        </r>
        <r>
          <rPr>
            <b/>
            <u/>
            <sz val="14"/>
            <color rgb="FF0563C1"/>
            <rFont val="Times New Roman"/>
            <family val="18"/>
          </rPr>
          <t>Mátészalka, Hungary</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13.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6. Fus. Komp. Nr. 213</t>
        </r>
        <r>
          <rPr>
            <sz val="14"/>
            <color rgb="FF000000"/>
            <rFont val="Calibri"/>
            <family val="34"/>
          </rPr>
          <t xml:space="preserve">
</t>
        </r>
        <r>
          <rPr>
            <sz val="14"/>
            <color rgb="FF000000"/>
            <rFont val="Times New Roman"/>
            <family val="18"/>
          </rPr>
          <t xml:space="preserve">01/11/1809 [seit mindestens] </t>
        </r>
        <r>
          <rPr>
            <i/>
            <sz val="14"/>
            <color rgb="FF000000"/>
            <rFont val="Times New Roman"/>
            <family val="18"/>
          </rPr>
          <t>Krank mit auswärtiger 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02/12/1809 </t>
        </r>
        <r>
          <rPr>
            <i/>
            <sz val="14"/>
            <color rgb="FF000000"/>
            <rFont val="Times New Roman"/>
            <family val="18"/>
          </rPr>
          <t>In Spital zu Pest gestorben</t>
        </r>
        <r>
          <rPr>
            <sz val="14"/>
            <color rgb="FF000000"/>
            <rFont val="Times New Roman"/>
            <family val="18"/>
          </rPr>
          <t xml:space="preserve"> [ML 1811 &amp; ST Dec 1809] </t>
        </r>
      </text>
    </comment>
    <comment ref="BG1112" authorId="0" shapeId="0" xr:uid="{2C0FDBE2-4895-F948-BD70-CACA99912D81}">
      <text>
        <r>
          <rPr>
            <sz val="14"/>
            <color rgb="FF000000"/>
            <rFont val="Times New Roman"/>
            <family val="18"/>
          </rPr>
          <t>ML 3500 IR 39 (1808) – 6. Fus. Komp. Nr. 213 (Lager bei Comorn 19/09/1808)</t>
        </r>
        <r>
          <rPr>
            <sz val="14"/>
            <color rgb="FF000000"/>
            <rFont val="Calibri"/>
            <family val="34"/>
          </rPr>
          <t xml:space="preserve">
</t>
        </r>
        <r>
          <rPr>
            <sz val="14"/>
            <color rgb="FF000000"/>
            <rFont val="Times New Roman"/>
            <family val="18"/>
          </rPr>
          <t>ML 3501/2 IR 39 (1811) – 6. Fus. Komp. Abgang (Szent Andree 14/09/1811)</t>
        </r>
        <r>
          <rPr>
            <sz val="14"/>
            <color rgb="FF000000"/>
            <rFont val="Calibri"/>
            <family val="34"/>
          </rPr>
          <t xml:space="preserve">
</t>
        </r>
        <r>
          <rPr>
            <sz val="14"/>
            <color rgb="FF000000"/>
            <rFont val="Times New Roman"/>
            <family val="18"/>
          </rPr>
          <t>ML 3549 IR 39 (1808) – AL Szatmár Komität Nr. 134 (Nagy Karoly 05/04/1808)</t>
        </r>
        <r>
          <rPr>
            <sz val="14"/>
            <color rgb="FF000000"/>
            <rFont val="Calibri"/>
            <family val="34"/>
          </rPr>
          <t xml:space="preserve">
</t>
        </r>
        <r>
          <rPr>
            <sz val="14"/>
            <color rgb="FF000000"/>
            <rFont val="Times New Roman"/>
            <family val="18"/>
          </rPr>
          <t>ML 3550 IR 39 (1809) – ST Nov (Ofen 28/04/1811), Dec (Ofen 21/05/1811)</t>
        </r>
        <r>
          <rPr>
            <sz val="14"/>
            <color rgb="FF000000"/>
            <rFont val="Calibri"/>
            <family val="34"/>
          </rPr>
          <t xml:space="preserve">
</t>
        </r>
      </text>
    </comment>
    <comment ref="BH1112" authorId="0" shapeId="0" xr:uid="{DA3BFC02-DA4E-6044-B409-E5A10862195B}">
      <text>
        <r>
          <rPr>
            <sz val="14"/>
            <color rgb="FF000000"/>
            <rFont val="Calibri"/>
            <family val="34"/>
          </rPr>
          <t>IR 39 (1808-1809)</t>
        </r>
      </text>
    </comment>
    <comment ref="BF1113" authorId="0" shapeId="0" xr:uid="{A529945C-B640-F34D-8F84-7EDF4BDEDE06}">
      <text>
        <r>
          <rPr>
            <sz val="14"/>
            <color rgb="FF000000"/>
            <rFont val="Times New Roman"/>
            <family val="18"/>
          </rPr>
          <t xml:space="preserve">14/03/1808 </t>
        </r>
        <r>
          <rPr>
            <i/>
            <sz val="14"/>
            <color rgb="FF000000"/>
            <rFont val="Times New Roman"/>
            <family val="18"/>
          </rPr>
          <t xml:space="preserve">Von Raslavitz </t>
        </r>
        <r>
          <rPr>
            <b/>
            <sz val="14"/>
            <color rgb="FF000000"/>
            <rFont val="Times New Roman"/>
            <family val="18"/>
          </rPr>
          <t>[</t>
        </r>
        <r>
          <rPr>
            <b/>
            <u/>
            <sz val="14"/>
            <color rgb="FF0563C1"/>
            <rFont val="Times New Roman"/>
            <family val="18"/>
          </rPr>
          <t>Raslavice,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8.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12. Fus. Komp. Nr. 180 [</t>
        </r>
        <r>
          <rPr>
            <i/>
            <sz val="14"/>
            <color rgb="FF000000"/>
            <rFont val="Times New Roman"/>
            <family val="18"/>
          </rPr>
          <t>Krank zu Komorn</t>
        </r>
        <r>
          <rPr>
            <sz val="14"/>
            <color rgb="FF000000"/>
            <rFont val="Times New Roman"/>
            <family val="18"/>
          </rPr>
          <t>]</t>
        </r>
        <r>
          <rPr>
            <sz val="14"/>
            <color rgb="FF000000"/>
            <rFont val="Calibri"/>
            <family val="34"/>
          </rPr>
          <t xml:space="preserve">
</t>
        </r>
        <r>
          <rPr>
            <sz val="14"/>
            <color rgb="FF000000"/>
            <rFont val="Times New Roman"/>
            <family val="18"/>
          </rPr>
          <t xml:space="preserve">11/02/1810 </t>
        </r>
        <r>
          <rPr>
            <i/>
            <sz val="14"/>
            <color rgb="FF000000"/>
            <rFont val="Times New Roman"/>
            <family val="18"/>
          </rPr>
          <t>Von 12. Fus. zum 2. Gren.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06/04/1810 </t>
        </r>
        <r>
          <rPr>
            <i/>
            <sz val="14"/>
            <color rgb="FF000000"/>
            <rFont val="Times New Roman"/>
            <family val="18"/>
          </rPr>
          <t>Von 2. Grenadier zum 12. Fus. Komp. transferiert und auf bestimmte Zeit beurlaubt</t>
        </r>
        <r>
          <rPr>
            <sz val="14"/>
            <color rgb="FF000000"/>
            <rFont val="Times New Roman"/>
            <family val="18"/>
          </rPr>
          <t xml:space="preserve"> [ML 1811 &amp; ST April 1810]</t>
        </r>
        <r>
          <rPr>
            <sz val="14"/>
            <color rgb="FF000000"/>
            <rFont val="Calibri"/>
            <family val="34"/>
          </rPr>
          <t xml:space="preserve">
</t>
        </r>
        <r>
          <rPr>
            <sz val="14"/>
            <color rgb="FF000000"/>
            <rFont val="Times New Roman"/>
            <family val="18"/>
          </rPr>
          <t xml:space="preserve">08/05/1810 </t>
        </r>
        <r>
          <rPr>
            <i/>
            <sz val="14"/>
            <color rgb="FF000000"/>
            <rFont val="Times New Roman"/>
            <family val="18"/>
          </rPr>
          <t>Von bestimmte Urlaub eingerückt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20/09/1810 </t>
        </r>
        <r>
          <rPr>
            <i/>
            <sz val="14"/>
            <color rgb="FF000000"/>
            <rFont val="Times New Roman"/>
            <family val="18"/>
          </rPr>
          <t>Als Kriegscapitulant mit Abschied entlassen</t>
        </r>
        <r>
          <rPr>
            <sz val="14"/>
            <color rgb="FF000000"/>
            <rFont val="Times New Roman"/>
            <family val="18"/>
          </rPr>
          <t xml:space="preserve"> [ML 1811] </t>
        </r>
      </text>
    </comment>
    <comment ref="BG1113" authorId="0" shapeId="0" xr:uid="{6270942D-793F-8542-8C5C-360F78923F7E}">
      <text>
        <r>
          <rPr>
            <sz val="14"/>
            <color rgb="FF000000"/>
            <rFont val="Times New Roman"/>
            <family val="18"/>
          </rPr>
          <t>ML 3500 IR 39 (1808) – 12. Fus. Komp. Nr. 178 (Lager bei Comorn 19/09/1808)</t>
        </r>
        <r>
          <rPr>
            <sz val="14"/>
            <color rgb="FF000000"/>
            <rFont val="Calibri"/>
            <family val="34"/>
          </rPr>
          <t xml:space="preserve">
</t>
        </r>
        <r>
          <rPr>
            <sz val="14"/>
            <color rgb="FF000000"/>
            <rFont val="Times New Roman"/>
            <family val="18"/>
          </rPr>
          <t>ML 3501/2 IR 39 (1811) – 12. Fus. Komp. Abgang (Ofen 19/09/1811)</t>
        </r>
        <r>
          <rPr>
            <sz val="14"/>
            <color rgb="FF000000"/>
            <rFont val="Calibri"/>
            <family val="34"/>
          </rPr>
          <t xml:space="preserve">
</t>
        </r>
        <r>
          <rPr>
            <sz val="14"/>
            <color rgb="FF000000"/>
            <rFont val="Times New Roman"/>
            <family val="18"/>
          </rPr>
          <t>ML 3549 IR 39 (1808) – AL Sáros Komität Nr. 241 (Eperies 31/03/1808)</t>
        </r>
        <r>
          <rPr>
            <sz val="14"/>
            <color rgb="FF000000"/>
            <rFont val="Calibri"/>
            <family val="34"/>
          </rPr>
          <t xml:space="preserve">
</t>
        </r>
        <r>
          <rPr>
            <sz val="14"/>
            <color rgb="FF000000"/>
            <rFont val="Times New Roman"/>
            <family val="18"/>
          </rPr>
          <t>ML 3551 IR 39 (1810) – ST April, May</t>
        </r>
        <r>
          <rPr>
            <sz val="14"/>
            <color rgb="FF000000"/>
            <rFont val="Calibri"/>
            <family val="34"/>
          </rPr>
          <t xml:space="preserve">
</t>
        </r>
      </text>
    </comment>
    <comment ref="BH1113" authorId="0" shapeId="0" xr:uid="{E4120530-4BCF-C94B-88D8-282EAE9D3A9F}">
      <text>
        <r>
          <rPr>
            <sz val="14"/>
            <color rgb="FF000000"/>
            <rFont val="Calibri"/>
            <family val="34"/>
          </rPr>
          <t>IR 39 (1808-1810)</t>
        </r>
      </text>
    </comment>
    <comment ref="BF1114" authorId="0" shapeId="0" xr:uid="{FA64B409-1E4C-5546-B6B3-B798E8BCA0B5}">
      <text>
        <r>
          <rPr>
            <sz val="14"/>
            <color rgb="FF000000"/>
            <rFont val="Times New Roman"/>
            <family val="18"/>
          </rPr>
          <t xml:space="preserve">14/03/1808 </t>
        </r>
        <r>
          <rPr>
            <i/>
            <sz val="14"/>
            <color rgb="FF000000"/>
            <rFont val="Times New Roman"/>
            <family val="18"/>
          </rPr>
          <t xml:space="preserve">Von Nagy Karolly </t>
        </r>
        <r>
          <rPr>
            <b/>
            <sz val="14"/>
            <color rgb="FF000000"/>
            <rFont val="Times New Roman"/>
            <family val="18"/>
          </rPr>
          <t>[</t>
        </r>
        <r>
          <rPr>
            <b/>
            <u/>
            <sz val="14"/>
            <color rgb="FF0563C1"/>
            <rFont val="Times New Roman"/>
            <family val="18"/>
          </rPr>
          <t>Carei,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201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25/04/1809 </t>
        </r>
        <r>
          <rPr>
            <i/>
            <sz val="14"/>
            <color rgb="FF000000"/>
            <rFont val="Times New Roman"/>
            <family val="18"/>
          </rPr>
          <t>In Kriegsgefangenschaft gefallen</t>
        </r>
        <r>
          <rPr>
            <sz val="14"/>
            <color rgb="FF000000"/>
            <rFont val="Times New Roman"/>
            <family val="18"/>
          </rPr>
          <t xml:space="preserve"> [ML 1811]</t>
        </r>
        <r>
          <rPr>
            <sz val="14"/>
            <color rgb="FF000000"/>
            <rFont val="Calibri"/>
            <family val="2"/>
          </rPr>
          <t xml:space="preserve"> </t>
        </r>
      </text>
    </comment>
    <comment ref="BG1114" authorId="0" shapeId="0" xr:uid="{4FC11D68-F5A9-BE4B-A673-83FB253BADBA}">
      <text>
        <r>
          <rPr>
            <sz val="14"/>
            <color rgb="FF000000"/>
            <rFont val="Times New Roman"/>
            <family val="18"/>
          </rPr>
          <t>ML 3500 IR 39 (1808-10) – RL 1808 5. Fus. Komp. Nr. 201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Szatmár Komität Nr. 125 (Nagy Karoly 05/04/1808</t>
        </r>
        <r>
          <rPr>
            <sz val="14"/>
            <color rgb="FF000000"/>
            <rFont val="Calibri"/>
            <family val="34"/>
          </rPr>
          <t xml:space="preserve">
</t>
        </r>
      </text>
    </comment>
    <comment ref="BH1114" authorId="0" shapeId="0" xr:uid="{4E603418-B948-7C4B-9354-564A9D3B0E28}">
      <text>
        <r>
          <rPr>
            <sz val="14"/>
            <color rgb="FF000000"/>
            <rFont val="Calibri"/>
            <family val="34"/>
          </rPr>
          <t>IR 39 (1808-1809)</t>
        </r>
      </text>
    </comment>
    <comment ref="BF1115" authorId="0" shapeId="0" xr:uid="{34BAB792-1A7A-534F-82D7-F81E87C01D71}">
      <text>
        <r>
          <rPr>
            <sz val="14"/>
            <color rgb="FF000000"/>
            <rFont val="Times New Roman"/>
            <family val="18"/>
          </rPr>
          <t xml:space="preserve">14/03/1808 </t>
        </r>
        <r>
          <rPr>
            <i/>
            <sz val="14"/>
            <color rgb="FF000000"/>
            <rFont val="Times New Roman"/>
            <family val="18"/>
          </rPr>
          <t xml:space="preserve">Von Harvalsov </t>
        </r>
        <r>
          <rPr>
            <b/>
            <sz val="14"/>
            <color rgb="FF000000"/>
            <rFont val="Times New Roman"/>
            <family val="18"/>
          </rPr>
          <t>[</t>
        </r>
        <r>
          <rPr>
            <b/>
            <u/>
            <sz val="14"/>
            <color rgb="FF0563C1"/>
            <rFont val="Times New Roman"/>
            <family val="18"/>
          </rPr>
          <t>Mošurov,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8.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12. Fus. Komp. Nr. 171 [</t>
        </r>
        <r>
          <rPr>
            <i/>
            <sz val="14"/>
            <color rgb="FF000000"/>
            <rFont val="Times New Roman"/>
            <family val="18"/>
          </rPr>
          <t>Krank zu Komorn</t>
        </r>
        <r>
          <rPr>
            <sz val="14"/>
            <color rgb="FF000000"/>
            <rFont val="Times New Roman"/>
            <family val="18"/>
          </rPr>
          <t>]</t>
        </r>
        <r>
          <rPr>
            <sz val="14"/>
            <color rgb="FF000000"/>
            <rFont val="Calibri"/>
            <family val="34"/>
          </rPr>
          <t xml:space="preserve">
</t>
        </r>
        <r>
          <rPr>
            <sz val="14"/>
            <color rgb="FF000000"/>
            <rFont val="Times New Roman"/>
            <family val="18"/>
          </rPr>
          <t xml:space="preserve">11/02/1809 </t>
        </r>
        <r>
          <rPr>
            <i/>
            <sz val="14"/>
            <color rgb="FF000000"/>
            <rFont val="Times New Roman"/>
            <family val="18"/>
          </rPr>
          <t>Rekonvalesziert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21/04/1809 </t>
        </r>
        <r>
          <rPr>
            <i/>
            <sz val="14"/>
            <color rgb="FF000000"/>
            <rFont val="Times New Roman"/>
            <family val="18"/>
          </rPr>
          <t>Krank mit auswärtiger Gebühr</t>
        </r>
        <r>
          <rPr>
            <sz val="14"/>
            <color rgb="FF000000"/>
            <rFont val="Times New Roman"/>
            <family val="18"/>
          </rPr>
          <t xml:space="preserve"> </t>
        </r>
        <r>
          <rPr>
            <b/>
            <sz val="14"/>
            <color rgb="FF000000"/>
            <rFont val="Times New Roman"/>
            <family val="18"/>
          </rPr>
          <t>[mit 2 andere, verletzt in Abensberg?]</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01/01/1809 </t>
        </r>
        <r>
          <rPr>
            <i/>
            <sz val="14"/>
            <color rgb="FF000000"/>
            <rFont val="Times New Roman"/>
            <family val="18"/>
          </rPr>
          <t>Wieder in dienst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 xml:space="preserve">25/09/1810 </t>
        </r>
        <r>
          <rPr>
            <i/>
            <sz val="14"/>
            <color rgb="FF000000"/>
            <rFont val="Times New Roman"/>
            <family val="18"/>
          </rPr>
          <t>Als Kriegscapitulant mit Abschied entlassen</t>
        </r>
        <r>
          <rPr>
            <sz val="14"/>
            <color rgb="FF000000"/>
            <rFont val="Times New Roman"/>
            <family val="18"/>
          </rPr>
          <t xml:space="preserve"> [ML 1811] </t>
        </r>
      </text>
    </comment>
    <comment ref="BG1115" authorId="0" shapeId="0" xr:uid="{CD9D8334-4795-0645-A075-92CC565670AE}">
      <text>
        <r>
          <rPr>
            <sz val="14"/>
            <color rgb="FF000000"/>
            <rFont val="Times New Roman"/>
            <family val="18"/>
          </rPr>
          <t>ML 3500 IR 39 (1808) – 12. Fus. Komp. Nr. 178 (Lager bei Comorn 19/09/1808)</t>
        </r>
        <r>
          <rPr>
            <sz val="14"/>
            <color rgb="FF000000"/>
            <rFont val="Calibri"/>
            <family val="34"/>
          </rPr>
          <t xml:space="preserve">
</t>
        </r>
        <r>
          <rPr>
            <sz val="14"/>
            <color rgb="FF000000"/>
            <rFont val="Times New Roman"/>
            <family val="18"/>
          </rPr>
          <t>ML 3501/2 IR 39 (1811) – 12. Fus. Komp. Abgang (Ofen 19/09/1811)</t>
        </r>
        <r>
          <rPr>
            <sz val="14"/>
            <color rgb="FF000000"/>
            <rFont val="Calibri"/>
            <family val="34"/>
          </rPr>
          <t xml:space="preserve">
</t>
        </r>
        <r>
          <rPr>
            <sz val="14"/>
            <color rgb="FF000000"/>
            <rFont val="Times New Roman"/>
            <family val="18"/>
          </rPr>
          <t>ML 3549 IR 39 (1808) – AL Sáros Komität Nr. 238 (Eperies 31/03/1808)</t>
        </r>
        <r>
          <rPr>
            <sz val="14"/>
            <color rgb="FF000000"/>
            <rFont val="Calibri"/>
            <family val="34"/>
          </rPr>
          <t xml:space="preserve">
</t>
        </r>
        <r>
          <rPr>
            <sz val="14"/>
            <color rgb="FF000000"/>
            <rFont val="Times New Roman"/>
            <family val="18"/>
          </rPr>
          <t>ML 3550 IR 39 (1809) – ST Feb (Ofen 11/01/1811), April (Ofen 10/02/1809), Sept (Ofen 14/04/1811)</t>
        </r>
        <r>
          <rPr>
            <sz val="14"/>
            <color rgb="FF000000"/>
            <rFont val="Calibri"/>
            <family val="34"/>
          </rPr>
          <t xml:space="preserve">
</t>
        </r>
      </text>
    </comment>
    <comment ref="BH1115" authorId="0" shapeId="0" xr:uid="{13CC9A86-5216-B54A-AB51-8DA539284BB7}">
      <text>
        <r>
          <rPr>
            <sz val="14"/>
            <color rgb="FF000000"/>
            <rFont val="Calibri"/>
            <family val="34"/>
          </rPr>
          <t>IR 39 (1808-1810)</t>
        </r>
      </text>
    </comment>
    <comment ref="BF1116" authorId="0" shapeId="0" xr:uid="{4CE321A2-BFA4-B040-9432-046C5A331DE6}">
      <text>
        <r>
          <rPr>
            <sz val="14"/>
            <color rgb="FF000000"/>
            <rFont val="Times New Roman"/>
            <family val="18"/>
          </rPr>
          <t xml:space="preserve">16/03/1808 </t>
        </r>
        <r>
          <rPr>
            <i/>
            <sz val="14"/>
            <color rgb="FF000000"/>
            <rFont val="Times New Roman"/>
            <family val="18"/>
          </rPr>
          <t>Von Land a 3Fl</t>
        </r>
        <r>
          <rPr>
            <sz val="14"/>
            <color rgb="FF000000"/>
            <rFont val="Times New Roman"/>
            <family val="18"/>
          </rPr>
          <t xml:space="preserve"> </t>
        </r>
        <r>
          <rPr>
            <i/>
            <sz val="14"/>
            <color rgb="FF000000"/>
            <rFont val="Times New Roman"/>
            <family val="18"/>
          </rPr>
          <t>für Beständig gestellt und zu Pest assentiert mit Angaben als in  Werschitz</t>
        </r>
        <r>
          <rPr>
            <sz val="14"/>
            <color rgb="FF000000"/>
            <rFont val="Times New Roman"/>
            <family val="18"/>
          </rPr>
          <t xml:space="preserve"> </t>
        </r>
        <r>
          <rPr>
            <b/>
            <sz val="14"/>
            <color rgb="FF000000"/>
            <rFont val="Times New Roman"/>
            <family val="18"/>
          </rPr>
          <t>[</t>
        </r>
        <r>
          <rPr>
            <b/>
            <u/>
            <sz val="14"/>
            <color rgb="FF0563C1"/>
            <rFont val="Times New Roman"/>
            <family val="18"/>
          </rPr>
          <t>Vršac, Serbia</t>
        </r>
        <r>
          <rPr>
            <b/>
            <sz val="14"/>
            <color rgb="FF000000"/>
            <rFont val="Times New Roman"/>
            <family val="18"/>
          </rPr>
          <t>]</t>
        </r>
        <r>
          <rPr>
            <sz val="14"/>
            <color rgb="FF000000"/>
            <rFont val="Times New Roman"/>
            <family val="18"/>
          </rPr>
          <t xml:space="preserve">, </t>
        </r>
        <r>
          <rPr>
            <i/>
            <sz val="14"/>
            <color rgb="FF000000"/>
            <rFont val="Times New Roman"/>
            <family val="18"/>
          </rPr>
          <t>Temeswar Komität, Ungarn gebürtig</t>
        </r>
        <r>
          <rPr>
            <sz val="14"/>
            <color rgb="FF000000"/>
            <rFont val="Times New Roman"/>
            <family val="18"/>
          </rPr>
          <t xml:space="preserve"> [TL Feb 1819]</t>
        </r>
        <r>
          <rPr>
            <sz val="14"/>
            <color rgb="FF000000"/>
            <rFont val="Calibri"/>
            <family val="34"/>
          </rPr>
          <t xml:space="preserve">
</t>
        </r>
        <r>
          <rPr>
            <sz val="14"/>
            <color rgb="FF000000"/>
            <rFont val="Times New Roman"/>
            <family val="18"/>
          </rPr>
          <t xml:space="preserve">26/03/1812 </t>
        </r>
        <r>
          <rPr>
            <i/>
            <sz val="14"/>
            <color rgb="FF000000"/>
            <rFont val="Times New Roman"/>
            <family val="18"/>
          </rPr>
          <t>Zum Privat Diener mit Brigade Bewilligung mutiert</t>
        </r>
        <r>
          <rPr>
            <sz val="14"/>
            <color rgb="FF000000"/>
            <rFont val="Times New Roman"/>
            <family val="18"/>
          </rPr>
          <t xml:space="preserve"> [TL Feb 1819]</t>
        </r>
        <r>
          <rPr>
            <sz val="14"/>
            <color rgb="FF000000"/>
            <rFont val="Calibri"/>
            <family val="34"/>
          </rPr>
          <t xml:space="preserve">
</t>
        </r>
        <r>
          <rPr>
            <sz val="14"/>
            <color rgb="FF000000"/>
            <rFont val="Times New Roman"/>
            <family val="18"/>
          </rPr>
          <t xml:space="preserve">01/02/1818 </t>
        </r>
        <r>
          <rPr>
            <i/>
            <sz val="14"/>
            <color rgb="FF000000"/>
            <rFont val="Times New Roman"/>
            <family val="18"/>
          </rPr>
          <t>Wieder zum Gemeinen transferiert</t>
        </r>
        <r>
          <rPr>
            <sz val="14"/>
            <color rgb="FF000000"/>
            <rFont val="Times New Roman"/>
            <family val="18"/>
          </rPr>
          <t xml:space="preserve"> [TL Feb 1819]</t>
        </r>
        <r>
          <rPr>
            <sz val="14"/>
            <color rgb="FF000000"/>
            <rFont val="Calibri"/>
            <family val="34"/>
          </rPr>
          <t xml:space="preserve">
</t>
        </r>
        <r>
          <rPr>
            <sz val="14"/>
            <color rgb="FF000000"/>
            <rFont val="Times New Roman"/>
            <family val="18"/>
          </rPr>
          <t xml:space="preserve">11/01/1819 </t>
        </r>
        <r>
          <rPr>
            <i/>
            <sz val="14"/>
            <color rgb="FF000000"/>
            <rFont val="Times New Roman"/>
            <family val="18"/>
          </rPr>
          <t>Vermog hoher General Commando Verordnung deto Ofen am 29. Dezember 818 R 14544 von Fürst Esterhazy IR 32 8. Fus. Komp. zum IR 1 transferiert, seitdem auf anhero Marsch</t>
        </r>
        <r>
          <rPr>
            <sz val="14"/>
            <color rgb="FF000000"/>
            <rFont val="Times New Roman"/>
            <family val="18"/>
          </rPr>
          <t xml:space="preserve"> [TL Feb 1819 &amp; ST Jan 1819]</t>
        </r>
        <r>
          <rPr>
            <sz val="14"/>
            <color rgb="FF000000"/>
            <rFont val="Calibri"/>
            <family val="34"/>
          </rPr>
          <t xml:space="preserve">
</t>
        </r>
        <r>
          <rPr>
            <sz val="14"/>
            <color rgb="FF000000"/>
            <rFont val="Times New Roman"/>
            <family val="18"/>
          </rPr>
          <t xml:space="preserve">15/05/1819 </t>
        </r>
        <r>
          <rPr>
            <i/>
            <sz val="14"/>
            <color rgb="FF000000"/>
            <rFont val="Times New Roman"/>
            <family val="18"/>
          </rPr>
          <t>In Regiment eingerückt und bei der 10. Fus. Komp. zugeteilt</t>
        </r>
        <r>
          <rPr>
            <sz val="14"/>
            <color rgb="FF000000"/>
            <rFont val="Times New Roman"/>
            <family val="18"/>
          </rPr>
          <t xml:space="preserve"> [ST May 1819]</t>
        </r>
        <r>
          <rPr>
            <sz val="14"/>
            <color rgb="FF000000"/>
            <rFont val="Calibri"/>
            <family val="34"/>
          </rPr>
          <t xml:space="preserve">
</t>
        </r>
        <r>
          <rPr>
            <sz val="14"/>
            <color rgb="FF000000"/>
            <rFont val="Times New Roman"/>
            <family val="18"/>
          </rPr>
          <t xml:space="preserve">20/05/1819 </t>
        </r>
        <r>
          <rPr>
            <i/>
            <sz val="14"/>
            <color rgb="FF000000"/>
            <rFont val="Times New Roman"/>
            <family val="18"/>
          </rPr>
          <t>In Kompanie eingerückt</t>
        </r>
        <r>
          <rPr>
            <sz val="14"/>
            <color rgb="FF000000"/>
            <rFont val="Times New Roman"/>
            <family val="18"/>
          </rPr>
          <t xml:space="preserve"> [ST May 1819]</t>
        </r>
        <r>
          <rPr>
            <sz val="14"/>
            <color rgb="FF000000"/>
            <rFont val="Calibri"/>
            <family val="34"/>
          </rPr>
          <t xml:space="preserve">
</t>
        </r>
        <r>
          <rPr>
            <sz val="14"/>
            <color rgb="FF000000"/>
            <rFont val="Times New Roman"/>
            <family val="18"/>
          </rPr>
          <t xml:space="preserve">29/05/1819 </t>
        </r>
        <r>
          <rPr>
            <i/>
            <sz val="14"/>
            <color rgb="FF000000"/>
            <rFont val="Times New Roman"/>
            <family val="18"/>
          </rPr>
          <t>Beurlaubt bis zur Einberufung</t>
        </r>
        <r>
          <rPr>
            <sz val="14"/>
            <color rgb="FF000000"/>
            <rFont val="Times New Roman"/>
            <family val="18"/>
          </rPr>
          <t xml:space="preserve"> [ST May 11819]</t>
        </r>
        <r>
          <rPr>
            <sz val="14"/>
            <color rgb="FF000000"/>
            <rFont val="Calibri"/>
            <family val="34"/>
          </rPr>
          <t xml:space="preserve">
</t>
        </r>
        <r>
          <rPr>
            <sz val="14"/>
            <color rgb="FF000000"/>
            <rFont val="Times New Roman"/>
            <family val="18"/>
          </rPr>
          <t>14/09/1819 Muster: IR 1 3. Fus. Komp. Nr. 257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15/10/1819 </t>
        </r>
        <r>
          <rPr>
            <i/>
            <sz val="14"/>
            <color rgb="FF000000"/>
            <rFont val="Times New Roman"/>
            <family val="18"/>
          </rPr>
          <t>Von Urlaub eingerückt und sofort gemäß hoher General Kommando Verordnung dtto Brünn am 13. Sept 819 R 7560 als ausgedienter Inländer Capitulant mit Abschied entlassen</t>
        </r>
        <r>
          <rPr>
            <sz val="14"/>
            <color rgb="FF000000"/>
            <rFont val="Times New Roman"/>
            <family val="18"/>
          </rPr>
          <t xml:space="preserve"> [ST Oct 1819] </t>
        </r>
      </text>
    </comment>
    <comment ref="BG1116" authorId="0" shapeId="0" xr:uid="{7BEFC35B-6940-504E-9E78-7B5775DCB87B}">
      <text>
        <r>
          <rPr>
            <sz val="14"/>
            <color rgb="FF000000"/>
            <rFont val="Times New Roman"/>
            <family val="18"/>
          </rPr>
          <t>ML 38/9 IR 1 (1819) – IR 1 3. Fus. Komp. 257 (Olmütz 14/09/1819)</t>
        </r>
        <r>
          <rPr>
            <sz val="14"/>
            <color rgb="FF000000"/>
            <rFont val="Calibri"/>
            <family val="34"/>
          </rPr>
          <t xml:space="preserve">
</t>
        </r>
        <r>
          <rPr>
            <sz val="14"/>
            <color rgb="FF000000"/>
            <rFont val="Times New Roman"/>
            <family val="18"/>
          </rPr>
          <t>ML 112 IR 1 (1818) AL/TL – AL Nr. 1 (Pest 26/02/1819)</t>
        </r>
        <r>
          <rPr>
            <sz val="14"/>
            <color rgb="FF000000"/>
            <rFont val="Calibri"/>
            <family val="34"/>
          </rPr>
          <t xml:space="preserve">
</t>
        </r>
        <r>
          <rPr>
            <sz val="14"/>
            <color rgb="FF000000"/>
            <rFont val="Times New Roman"/>
            <family val="18"/>
          </rPr>
          <t>ML 113 IR 1 (1819) – ST Jan (Cremsier 25/02/1819), May (21/06/1819), Oct (30/12/1819)</t>
        </r>
        <r>
          <rPr>
            <sz val="14"/>
            <color rgb="FF000000"/>
            <rFont val="Calibri"/>
            <family val="34"/>
          </rPr>
          <t xml:space="preserve">
</t>
        </r>
      </text>
    </comment>
    <comment ref="BH1116" authorId="0" shapeId="0" xr:uid="{D034DDA7-5E5A-E54A-845A-374FA5DBFCD6}">
      <text>
        <r>
          <rPr>
            <sz val="14"/>
            <color rgb="FF000000"/>
            <rFont val="Calibri"/>
            <family val="34"/>
          </rPr>
          <t xml:space="preserve">IR 32 (1808-1819)
</t>
        </r>
        <r>
          <rPr>
            <sz val="14"/>
            <color rgb="FF000000"/>
            <rFont val="Calibri"/>
            <family val="34"/>
          </rPr>
          <t>IR 1 (1819)</t>
        </r>
      </text>
    </comment>
    <comment ref="BF1117" authorId="0" shapeId="0" xr:uid="{0CF23A11-6BEC-594B-8FCF-4B2507EF755A}">
      <text>
        <r>
          <rPr>
            <sz val="14"/>
            <color rgb="FF000000"/>
            <rFont val="Times New Roman"/>
            <family val="18"/>
          </rPr>
          <t xml:space="preserve">18/03/1808 </t>
        </r>
        <r>
          <rPr>
            <i/>
            <sz val="14"/>
            <color rgb="FF000000"/>
            <rFont val="Times New Roman"/>
            <family val="18"/>
          </rPr>
          <t xml:space="preserve">Von Bodolak </t>
        </r>
        <r>
          <rPr>
            <b/>
            <sz val="14"/>
            <color rgb="FF000000"/>
            <rFont val="Times New Roman"/>
            <family val="18"/>
          </rPr>
          <t>[</t>
        </r>
        <r>
          <rPr>
            <b/>
            <u/>
            <sz val="14"/>
            <color rgb="FF0563C1"/>
            <rFont val="Times New Roman"/>
            <family val="18"/>
          </rPr>
          <t>Bodovce,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16.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01/04/1808 </t>
        </r>
        <r>
          <rPr>
            <i/>
            <sz val="14"/>
            <color rgb="FF000000"/>
            <rFont val="Times New Roman"/>
            <family val="18"/>
          </rPr>
          <t>Von 16. zum 7. Fus. Komp. transferiert</t>
        </r>
        <r>
          <rPr>
            <sz val="14"/>
            <color rgb="FF000000"/>
            <rFont val="Times New Roman"/>
            <family val="18"/>
          </rPr>
          <t xml:space="preserve"> [ML 1808] </t>
        </r>
        <r>
          <rPr>
            <sz val="14"/>
            <color rgb="FF000000"/>
            <rFont val="Calibri"/>
            <family val="34"/>
          </rPr>
          <t xml:space="preserve">
</t>
        </r>
        <r>
          <rPr>
            <sz val="14"/>
            <color rgb="FF000000"/>
            <rFont val="Times New Roman"/>
            <family val="18"/>
          </rPr>
          <t xml:space="preserve">16/09/1808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9. Fus. Komp. Nr. 194</t>
        </r>
        <r>
          <rPr>
            <sz val="14"/>
            <color rgb="FF000000"/>
            <rFont val="Calibri"/>
            <family val="34"/>
          </rPr>
          <t xml:space="preserve">
</t>
        </r>
        <r>
          <rPr>
            <sz val="14"/>
            <color rgb="FF000000"/>
            <rFont val="Times New Roman"/>
            <family val="18"/>
          </rPr>
          <t xml:space="preserve">20/02/1809 </t>
        </r>
        <r>
          <rPr>
            <i/>
            <sz val="14"/>
            <color rgb="FF000000"/>
            <rFont val="Times New Roman"/>
            <family val="18"/>
          </rPr>
          <t>Rekonvalesziert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26/11/1809</t>
        </r>
        <r>
          <rPr>
            <i/>
            <sz val="14"/>
            <color rgb="FF000000"/>
            <rFont val="Times New Roman"/>
            <family val="18"/>
          </rPr>
          <t xml:space="preserve"> Krank mit auswärtiger 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01/01/1810 </t>
        </r>
        <r>
          <rPr>
            <i/>
            <sz val="14"/>
            <color rgb="FF000000"/>
            <rFont val="Times New Roman"/>
            <family val="18"/>
          </rPr>
          <t>Rekonvalesziert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25/09/1810 </t>
        </r>
        <r>
          <rPr>
            <i/>
            <sz val="14"/>
            <color rgb="FF000000"/>
            <rFont val="Times New Roman"/>
            <family val="18"/>
          </rPr>
          <t>Als Kriegscapitulant Mit Abschied entlassen</t>
        </r>
        <r>
          <rPr>
            <sz val="14"/>
            <color rgb="FF000000"/>
            <rFont val="Times New Roman"/>
            <family val="18"/>
          </rPr>
          <t xml:space="preserve"> [ML 1811] </t>
        </r>
      </text>
    </comment>
    <comment ref="BG1117" authorId="0" shapeId="0" xr:uid="{C573C131-D9EF-2544-8ECF-68FE19511216}">
      <text>
        <r>
          <rPr>
            <sz val="14"/>
            <color rgb="FF000000"/>
            <rFont val="Times New Roman"/>
            <family val="18"/>
          </rPr>
          <t>ML 3500 IR 39 (1808) – 9. Fus. Komp. Nr. 194 (Lager bei Comorn 19/09/1808)</t>
        </r>
        <r>
          <rPr>
            <sz val="14"/>
            <color rgb="FF000000"/>
            <rFont val="Calibri"/>
            <family val="34"/>
          </rPr>
          <t xml:space="preserve">
</t>
        </r>
        <r>
          <rPr>
            <sz val="14"/>
            <color rgb="FF000000"/>
            <rFont val="Times New Roman"/>
            <family val="18"/>
          </rPr>
          <t>ML 3549 IR 39 (1808) – AL Sáros Komität Nr. 265 (Eperies 31/03/1808); ST Sept (Ofen 10/10/1808)</t>
        </r>
        <r>
          <rPr>
            <sz val="14"/>
            <color rgb="FF000000"/>
            <rFont val="Calibri"/>
            <family val="34"/>
          </rPr>
          <t xml:space="preserve">
</t>
        </r>
        <r>
          <rPr>
            <sz val="14"/>
            <color rgb="FF000000"/>
            <rFont val="Times New Roman"/>
            <family val="18"/>
          </rPr>
          <t>ML 3550 IR 39 (1809) – ST Feb (Ofen 11/01/1811), Nov (Ofeb 25/04/1811), Dec (Ofen 21/05/1811)</t>
        </r>
        <r>
          <rPr>
            <sz val="14"/>
            <color rgb="FF000000"/>
            <rFont val="Calibri"/>
            <family val="34"/>
          </rPr>
          <t xml:space="preserve">
</t>
        </r>
      </text>
    </comment>
    <comment ref="BH1117" authorId="0" shapeId="0" xr:uid="{ACC8FDC2-08CC-6D44-8836-9FD66548BE4B}">
      <text>
        <r>
          <rPr>
            <sz val="14"/>
            <color rgb="FF000000"/>
            <rFont val="Calibri"/>
            <family val="34"/>
          </rPr>
          <t>IR 39 (1808-1810)</t>
        </r>
      </text>
    </comment>
    <comment ref="BF1118" authorId="0" shapeId="0" xr:uid="{F90F7CE3-C115-F64C-8DF8-73FA0FF94D2D}">
      <text>
        <r>
          <rPr>
            <sz val="14"/>
            <color rgb="FF000000"/>
            <rFont val="Times New Roman"/>
            <family val="18"/>
          </rPr>
          <t xml:space="preserve">19/03/1808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Von sonsten desertiert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29/08/1809 </t>
        </r>
        <r>
          <rPr>
            <i/>
            <sz val="14"/>
            <color rgb="FF000000"/>
            <rFont val="Times New Roman"/>
            <family val="18"/>
          </rPr>
          <t xml:space="preserve">Von Land gegen 24 Fl Taglia eingebracht und zu Huszt präsentiert seitdem in Arrest beim Werbkommando zu Huszt  </t>
        </r>
        <r>
          <rPr>
            <sz val="14"/>
            <color rgb="FF000000"/>
            <rFont val="Times New Roman"/>
            <family val="18"/>
          </rPr>
          <t>[ST Aug 1809]</t>
        </r>
        <r>
          <rPr>
            <sz val="14"/>
            <color rgb="FF000000"/>
            <rFont val="Calibri"/>
            <family val="34"/>
          </rPr>
          <t xml:space="preserve">
</t>
        </r>
        <r>
          <rPr>
            <sz val="14"/>
            <color rgb="FF000000"/>
            <rFont val="Times New Roman"/>
            <family val="18"/>
          </rPr>
          <t xml:space="preserve">05/09/1809 </t>
        </r>
        <r>
          <rPr>
            <i/>
            <sz val="14"/>
            <color rgb="FF000000"/>
            <rFont val="Times New Roman"/>
            <family val="18"/>
          </rPr>
          <t>Von Arrest desertiert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06/09/1809 </t>
        </r>
        <r>
          <rPr>
            <i/>
            <sz val="14"/>
            <color rgb="FF000000"/>
            <rFont val="Times New Roman"/>
            <family val="18"/>
          </rPr>
          <t xml:space="preserve">Von seite des Landes eingebracht und zu Nagy Karoly präsentiert seitdem in Arrest beim Werbkommando zu Huszt </t>
        </r>
        <r>
          <rPr>
            <sz val="14"/>
            <color rgb="FF000000"/>
            <rFont val="Times New Roman"/>
            <family val="18"/>
          </rPr>
          <t>[ST Aug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 xml:space="preserve">Auf dem Marsch in Arrest </t>
        </r>
        <r>
          <rPr>
            <sz val="14"/>
            <color rgb="FF000000"/>
            <rFont val="Times New Roman"/>
            <family val="18"/>
          </rPr>
          <t>[ST Oct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Krank mit auswärtiger Gebühr</t>
        </r>
        <r>
          <rPr>
            <sz val="14"/>
            <color rgb="FF000000"/>
            <rFont val="Times New Roman"/>
            <family val="18"/>
          </rPr>
          <t xml:space="preserve"> [ST Nov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[ST Aus 1810]</t>
        </r>
        <r>
          <rPr>
            <sz val="14"/>
            <color rgb="FF000000"/>
            <rFont val="Calibri"/>
            <family val="34"/>
          </rPr>
          <t xml:space="preserve">
</t>
        </r>
      </text>
    </comment>
    <comment ref="BG1118" authorId="0" shapeId="0" xr:uid="{DD3F9CA4-BD31-6943-8A4D-546F2EB16435}">
      <text>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3501/2 IR 39 (1811) – 14. Fus. Komp. Abgang (Gran 16/09/1811)</t>
        </r>
        <r>
          <rPr>
            <sz val="14"/>
            <color rgb="FF000000"/>
            <rFont val="Calibri"/>
            <family val="34"/>
          </rPr>
          <t xml:space="preserve">
</t>
        </r>
        <r>
          <rPr>
            <sz val="14"/>
            <color rgb="FF000000"/>
            <rFont val="Times New Roman"/>
            <family val="18"/>
          </rPr>
          <t>ML 3550 IR 39 (1809) – ST Aug (Ofen 20/09/1811), Sept (Ofen 14/04/1811), Oct (Ofen 21/04/1811), Nov (Ofen 18/04/1811)</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18" authorId="0" shapeId="0" xr:uid="{E67753E6-02EE-7848-9C64-0930A0D234CA}">
      <text>
        <r>
          <rPr>
            <sz val="14"/>
            <color rgb="FF000000"/>
            <rFont val="Calibri"/>
            <family val="34"/>
          </rPr>
          <t>IR 39 (1808-1810)</t>
        </r>
      </text>
    </comment>
    <comment ref="I1119" authorId="0" shapeId="0" xr:uid="{2D3D9827-045E-9944-81A7-3B921D4D902F}">
      <text>
        <r>
          <rPr>
            <sz val="14"/>
            <color rgb="FF000000"/>
            <rFont val="Calibri"/>
            <family val="34"/>
          </rPr>
          <t xml:space="preserve">1785 [23 (AL Marz 1808)]
</t>
        </r>
        <r>
          <rPr>
            <sz val="14"/>
            <color rgb="FF000000"/>
            <rFont val="Calibri"/>
            <family val="34"/>
          </rPr>
          <t xml:space="preserve">OR 
</t>
        </r>
        <r>
          <rPr>
            <sz val="14"/>
            <color rgb="FF000000"/>
            <rFont val="Calibri"/>
            <family val="34"/>
          </rPr>
          <t>1788 [23 (ML 1811)]</t>
        </r>
      </text>
    </comment>
    <comment ref="BF1119" authorId="0" shapeId="0" xr:uid="{A43D822E-FDCC-7B40-8BAA-9D0593C41225}">
      <text>
        <r>
          <rPr>
            <i/>
            <sz val="14"/>
            <color rgb="FFFF0000"/>
            <rFont val="Times New Roman"/>
            <family val="18"/>
          </rPr>
          <t>2 Jahren in Duka IR</t>
        </r>
        <r>
          <rPr>
            <sz val="14"/>
            <color rgb="FFFF0000"/>
            <rFont val="Times New Roman"/>
            <family val="18"/>
          </rPr>
          <t xml:space="preserve"> [39] </t>
        </r>
        <r>
          <rPr>
            <i/>
            <sz val="14"/>
            <color rgb="FFFF0000"/>
            <rFont val="Times New Roman"/>
            <family val="18"/>
          </rPr>
          <t>gedient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19/03/1808 </t>
        </r>
        <r>
          <rPr>
            <i/>
            <sz val="14"/>
            <color rgb="FF000000"/>
            <rFont val="Times New Roman"/>
            <family val="18"/>
          </rPr>
          <t>Von Dominien ausgehoben und auf 3Fl Handgeld in IR 39 assentiert und zum 9.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13. Fus. Komp. Nr. 201</t>
        </r>
        <r>
          <rPr>
            <sz val="14"/>
            <color rgb="FF000000"/>
            <rFont val="Calibri"/>
            <family val="34"/>
          </rPr>
          <t xml:space="preserve">
</t>
        </r>
        <r>
          <rPr>
            <sz val="14"/>
            <color rgb="FF000000"/>
            <rFont val="Times New Roman"/>
            <family val="18"/>
          </rPr>
          <t xml:space="preserve">18/03/1809 </t>
        </r>
        <r>
          <rPr>
            <i/>
            <sz val="14"/>
            <color rgb="FF000000"/>
            <rFont val="Times New Roman"/>
            <family val="18"/>
          </rPr>
          <t>Krank mit auswärtiger Gebühr</t>
        </r>
        <r>
          <rPr>
            <sz val="14"/>
            <color rgb="FF000000"/>
            <rFont val="Times New Roman"/>
            <family val="18"/>
          </rPr>
          <t xml:space="preserve"> [ST March1809]</t>
        </r>
        <r>
          <rPr>
            <sz val="14"/>
            <color rgb="FF000000"/>
            <rFont val="Calibri"/>
            <family val="34"/>
          </rPr>
          <t xml:space="preserve">
</t>
        </r>
        <r>
          <rPr>
            <sz val="14"/>
            <color rgb="FF000000"/>
            <rFont val="Times New Roman"/>
            <family val="18"/>
          </rPr>
          <t xml:space="preserve">28/03/1810 </t>
        </r>
        <r>
          <rPr>
            <i/>
            <sz val="14"/>
            <color rgb="FF000000"/>
            <rFont val="Times New Roman"/>
            <family val="18"/>
          </rPr>
          <t xml:space="preserve">Von Regiment entlassen und zum InvH Prag zu der Versorgung transferiert </t>
        </r>
        <r>
          <rPr>
            <sz val="14"/>
            <color rgb="FF000000"/>
            <rFont val="Times New Roman"/>
            <family val="18"/>
          </rPr>
          <t>[ML 1811]</t>
        </r>
        <r>
          <rPr>
            <sz val="14"/>
            <color rgb="FF000000"/>
            <rFont val="Calibri"/>
            <family val="34"/>
          </rPr>
          <t xml:space="preserve">
</t>
        </r>
        <r>
          <rPr>
            <sz val="14"/>
            <color rgb="FFFF0000"/>
            <rFont val="Times New Roman"/>
            <family val="18"/>
          </rPr>
          <t xml:space="preserve">31/07/1810 </t>
        </r>
        <r>
          <rPr>
            <i/>
            <sz val="14"/>
            <color rgb="FFFF0000"/>
            <rFont val="Times New Roman"/>
            <family val="18"/>
          </rPr>
          <t>Als in Spital verbeibene unwissend verloren gegangen</t>
        </r>
        <r>
          <rPr>
            <sz val="14"/>
            <color rgb="FFFF0000"/>
            <rFont val="Times New Roman"/>
            <family val="18"/>
          </rPr>
          <t xml:space="preserve"> [ST Aug 1810]</t>
        </r>
        <r>
          <rPr>
            <sz val="14"/>
            <color rgb="FF000000"/>
            <rFont val="Calibri"/>
            <family val="34"/>
          </rPr>
          <t xml:space="preserve">
</t>
        </r>
        <r>
          <rPr>
            <sz val="14"/>
            <color rgb="FF000000"/>
            <rFont val="Times New Roman"/>
            <family val="18"/>
          </rPr>
          <t>24/06/1811 Muster: InvH Prag 7 &amp; 8 Chambre Nr. 147 [</t>
        </r>
        <r>
          <rPr>
            <i/>
            <sz val="14"/>
            <color rgb="FF000000"/>
            <rFont val="Times New Roman"/>
            <family val="18"/>
          </rPr>
          <t>Beurlaubt</t>
        </r>
        <r>
          <rPr>
            <sz val="14"/>
            <color rgb="FF000000"/>
            <rFont val="Times New Roman"/>
            <family val="18"/>
          </rPr>
          <t>]</t>
        </r>
        <r>
          <rPr>
            <sz val="14"/>
            <color rgb="FF000000"/>
            <rFont val="Calibri"/>
            <family val="34"/>
          </rPr>
          <t xml:space="preserve">
</t>
        </r>
      </text>
    </comment>
    <comment ref="BG1119" authorId="0" shapeId="0" xr:uid="{917B8E78-F002-2142-BD22-8F82A546B11B}">
      <text>
        <r>
          <rPr>
            <sz val="14"/>
            <color rgb="FF000000"/>
            <rFont val="Times New Roman"/>
            <family val="18"/>
          </rPr>
          <t>ML 3500 IR 39 (1808) – 13. Fus. Komp. Nr. 201 (Lager bei Comorn 19/09/1808)</t>
        </r>
        <r>
          <rPr>
            <sz val="14"/>
            <color rgb="FF000000"/>
            <rFont val="Calibri"/>
            <family val="34"/>
          </rPr>
          <t xml:space="preserve">
</t>
        </r>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3550 IR 39 (1809) – ST March (Ofen 12//01/1811)</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r>
          <rPr>
            <sz val="14"/>
            <color rgb="FF000000"/>
            <rFont val="Times New Roman"/>
            <family val="18"/>
          </rPr>
          <t>ML 9664 InvH Prag (1811) – 7 &amp; 8 Chambre Nr. 147 (Prague 24/07/1811)</t>
        </r>
        <r>
          <rPr>
            <sz val="14"/>
            <color rgb="FF000000"/>
            <rFont val="Calibri"/>
            <family val="34"/>
          </rPr>
          <t xml:space="preserve">
</t>
        </r>
      </text>
    </comment>
    <comment ref="BH1119" authorId="0" shapeId="0" xr:uid="{C12363FC-3223-DA4B-BA2B-99E3290F36D4}">
      <text>
        <r>
          <rPr>
            <sz val="14"/>
            <color rgb="FF000000"/>
            <rFont val="Calibri"/>
            <family val="34"/>
          </rPr>
          <t xml:space="preserve">IR 39 (1808-1810)
</t>
        </r>
        <r>
          <rPr>
            <sz val="14"/>
            <color rgb="FF000000"/>
            <rFont val="Calibri"/>
            <family val="34"/>
          </rPr>
          <t>InvH Prag (1810-1811)</t>
        </r>
      </text>
    </comment>
    <comment ref="BJ1119" authorId="0" shapeId="0" xr:uid="{C0F6EC8C-D982-C54D-B53F-07341CAC5E5D}">
      <text>
        <r>
          <rPr>
            <i/>
            <sz val="14"/>
            <color rgb="FF000000"/>
            <rFont val="Times New Roman"/>
            <family val="18"/>
          </rPr>
          <t>Steifheit in Kniegelenk</t>
        </r>
        <r>
          <rPr>
            <sz val="14"/>
            <color rgb="FF000000"/>
            <rFont val="Times New Roman"/>
            <family val="18"/>
          </rPr>
          <t>; f</t>
        </r>
        <r>
          <rPr>
            <i/>
            <sz val="14"/>
            <color rgb="FF000000"/>
            <rFont val="Times New Roman"/>
            <family val="18"/>
          </rPr>
          <t>ür Haus Dienst Untauglich</t>
        </r>
        <r>
          <rPr>
            <sz val="14"/>
            <color rgb="FF000000"/>
            <rFont val="Times New Roman"/>
            <family val="18"/>
          </rPr>
          <t xml:space="preserve"> (ML 1811)</t>
        </r>
      </text>
    </comment>
    <comment ref="BF1120" authorId="0" shapeId="0" xr:uid="{41CA179B-2A51-204C-B2E6-9369420EC5EF}">
      <text>
        <r>
          <rPr>
            <sz val="14"/>
            <color rgb="FF000000"/>
            <rFont val="Times New Roman"/>
            <family val="18"/>
          </rPr>
          <t xml:space="preserve">19/03/1808 </t>
        </r>
        <r>
          <rPr>
            <i/>
            <sz val="14"/>
            <color rgb="FF000000"/>
            <rFont val="Times New Roman"/>
            <family val="18"/>
          </rPr>
          <t>Von Dominien ausgehoben und auf 3Fl Handgeld in IR 39 assentiert und zum 12.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Von sonsten desertiert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08/09/1808 </t>
        </r>
        <r>
          <rPr>
            <i/>
            <sz val="14"/>
            <color rgb="FF000000"/>
            <rFont val="Times New Roman"/>
            <family val="18"/>
          </rPr>
          <t xml:space="preserve">Von Seite des Landes eingebracht und zu Munkats präsentiert, seitdem auf anhero </t>
        </r>
        <r>
          <rPr>
            <sz val="14"/>
            <color rgb="FF000000"/>
            <rFont val="Times New Roman"/>
            <family val="18"/>
          </rPr>
          <t>Marsch [ST Sept]</t>
        </r>
        <r>
          <rPr>
            <sz val="14"/>
            <color rgb="FF000000"/>
            <rFont val="Calibri"/>
            <family val="34"/>
          </rPr>
          <t xml:space="preserve">
</t>
        </r>
        <r>
          <rPr>
            <sz val="14"/>
            <color rgb="FF000000"/>
            <rFont val="Times New Roman"/>
            <family val="18"/>
          </rPr>
          <t xml:space="preserve">10/10/1808 </t>
        </r>
        <r>
          <rPr>
            <i/>
            <sz val="14"/>
            <color rgb="FF000000"/>
            <rFont val="Times New Roman"/>
            <family val="18"/>
          </rPr>
          <t>In Regiment eingerückt seitdem in Arrest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20/10/1808 </t>
        </r>
        <r>
          <rPr>
            <i/>
            <sz val="14"/>
            <color rgb="FF000000"/>
            <rFont val="Times New Roman"/>
            <family val="18"/>
          </rPr>
          <t>Befreit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16. zum neu errichtete 16.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24/04/1809</t>
        </r>
        <r>
          <rPr>
            <b/>
            <sz val="14"/>
            <color rgb="FF000000"/>
            <rFont val="Times New Roman"/>
            <family val="18"/>
          </rPr>
          <t xml:space="preserve"> [Bei der Schlacht bei Neumarkt-Sankt Veit]</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26/04/1810 </t>
        </r>
        <r>
          <rPr>
            <i/>
            <sz val="14"/>
            <color rgb="FF000000"/>
            <rFont val="Times New Roman"/>
            <family val="18"/>
          </rPr>
          <t>Aus die Kriegsgefangenschaft zurück in loco eingetreten ohne Präsentierung-Liste</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25/05/1810 </t>
        </r>
        <r>
          <rPr>
            <i/>
            <sz val="14"/>
            <color rgb="FF000000"/>
            <rFont val="Times New Roman"/>
            <family val="18"/>
          </rPr>
          <t>Vermog Hoher Verordnung deto Ofen am 13. als Reale Invalid Gegen Renunceirung mit Abschied entlassen</t>
        </r>
        <r>
          <rPr>
            <sz val="14"/>
            <color rgb="FF000000"/>
            <rFont val="Times New Roman"/>
            <family val="18"/>
          </rPr>
          <t xml:space="preserve"> [ST May 1810]</t>
        </r>
        <r>
          <rPr>
            <sz val="14"/>
            <color rgb="FF000000"/>
            <rFont val="Calibri"/>
            <family val="34"/>
          </rPr>
          <t xml:space="preserve">
</t>
        </r>
      </text>
    </comment>
    <comment ref="BG1120" authorId="0" shapeId="0" xr:uid="{3D44A3DA-C6A3-A947-BE77-38C4244C39AF}">
      <text>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3501/2 IR 39 (1811) – Neue 16. Fus. Komp. Abgang (Ofen 19/09/1811)</t>
        </r>
        <r>
          <rPr>
            <sz val="14"/>
            <color rgb="FF000000"/>
            <rFont val="Calibri"/>
            <family val="34"/>
          </rPr>
          <t xml:space="preserve">
</t>
        </r>
        <r>
          <rPr>
            <sz val="14"/>
            <color rgb="FF000000"/>
            <rFont val="Times New Roman"/>
            <family val="18"/>
          </rPr>
          <t>ML 3549 IR 39 (1808) – ST Sept (Ofen 10/10/1810), ST Oct (15/10/1810)</t>
        </r>
        <r>
          <rPr>
            <sz val="14"/>
            <color rgb="FF000000"/>
            <rFont val="Calibri"/>
            <family val="34"/>
          </rPr>
          <t xml:space="preserve">
</t>
        </r>
        <r>
          <rPr>
            <sz val="14"/>
            <color rgb="FF000000"/>
            <rFont val="Times New Roman"/>
            <family val="18"/>
          </rPr>
          <t>ML 3551 IR 39 (1810) – ST April, May</t>
        </r>
        <r>
          <rPr>
            <sz val="14"/>
            <color rgb="FF000000"/>
            <rFont val="Calibri"/>
            <family val="34"/>
          </rPr>
          <t xml:space="preserve">
</t>
        </r>
      </text>
    </comment>
    <comment ref="BH1120" authorId="0" shapeId="0" xr:uid="{DEEB2E0D-3C99-AF41-A680-2B893E95542D}">
      <text>
        <r>
          <rPr>
            <sz val="14"/>
            <color rgb="FF000000"/>
            <rFont val="Calibri"/>
            <family val="34"/>
          </rPr>
          <t>IR 39 (1808)</t>
        </r>
      </text>
    </comment>
    <comment ref="BF1121" authorId="0" shapeId="0" xr:uid="{07C56ADB-BD17-E14D-887D-9A568DDF0E94}">
      <text>
        <r>
          <rPr>
            <sz val="14"/>
            <color rgb="FF000000"/>
            <rFont val="Times New Roman"/>
            <family val="18"/>
          </rPr>
          <t xml:space="preserve">19/03/1808 </t>
        </r>
        <r>
          <rPr>
            <i/>
            <sz val="14"/>
            <color rgb="FF000000"/>
            <rFont val="Times New Roman"/>
            <family val="18"/>
          </rPr>
          <t>Von Dominien ausgehoben und auf 3Fl Handgeld in IR 39 assentiert und zum 11.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15. Fus. Komp. Nr. 239 [</t>
        </r>
        <r>
          <rPr>
            <i/>
            <sz val="14"/>
            <color rgb="FF000000"/>
            <rFont val="Times New Roman"/>
            <family val="18"/>
          </rPr>
          <t>Commandiert bei der Artillerie Reserve</t>
        </r>
        <r>
          <rPr>
            <sz val="14"/>
            <color rgb="FF000000"/>
            <rFont val="Times New Roman"/>
            <family val="18"/>
          </rPr>
          <t>]</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IR 39 17. Fus. Komp. zur Artillerie Handlanger transferiert</t>
        </r>
        <r>
          <rPr>
            <sz val="14"/>
            <color rgb="FF000000"/>
            <rFont val="Times New Roman"/>
            <family val="18"/>
          </rPr>
          <t xml:space="preserve"> [TL April 1810]</t>
        </r>
        <r>
          <rPr>
            <sz val="14"/>
            <color rgb="FF000000"/>
            <rFont val="Calibri"/>
            <family val="34"/>
          </rPr>
          <t xml:space="preserve">
</t>
        </r>
      </text>
    </comment>
    <comment ref="BG1121" authorId="0" shapeId="0" xr:uid="{DE8A45F4-B177-E043-B5D4-EDB8D334A0DB}">
      <text>
        <r>
          <rPr>
            <sz val="14"/>
            <color rgb="FF000000"/>
            <rFont val="Times New Roman"/>
            <family val="18"/>
          </rPr>
          <t>ML 3500 IR 39 (1808) – RL 15. Fus. Komp. Nr. 239 (Lager bei Comorn 19/09/1808)</t>
        </r>
        <r>
          <rPr>
            <sz val="14"/>
            <color rgb="FF000000"/>
            <rFont val="Calibri"/>
            <family val="34"/>
          </rPr>
          <t xml:space="preserve">
</t>
        </r>
        <r>
          <rPr>
            <sz val="14"/>
            <color rgb="FF000000"/>
            <rFont val="Times New Roman"/>
            <family val="18"/>
          </rPr>
          <t>ML 3550 IR 39 (1809) – TL IR 39-&gt; ArtHand Nr. 24 (Ofen 10/04/1810)</t>
        </r>
        <r>
          <rPr>
            <sz val="14"/>
            <color rgb="FF000000"/>
            <rFont val="Calibri"/>
            <family val="34"/>
          </rPr>
          <t xml:space="preserve">
</t>
        </r>
      </text>
    </comment>
    <comment ref="BH1121" authorId="0" shapeId="0" xr:uid="{B39FF068-96C3-E645-B06A-7ACED174F865}">
      <text>
        <r>
          <rPr>
            <sz val="14"/>
            <color rgb="FF000000"/>
            <rFont val="Calibri"/>
            <family val="34"/>
          </rPr>
          <t xml:space="preserve">IR 39 (1808-1809)
</t>
        </r>
        <r>
          <rPr>
            <sz val="14"/>
            <color rgb="FF000000"/>
            <rFont val="Calibri"/>
            <family val="34"/>
          </rPr>
          <t>ArtHand (1809)</t>
        </r>
      </text>
    </comment>
    <comment ref="BI1121" authorId="0" shapeId="0" xr:uid="{6EBAA106-9B5E-FF4B-918C-2CF61D7845AA}">
      <text>
        <r>
          <rPr>
            <sz val="14"/>
            <color rgb="FF000000"/>
            <rFont val="Calibri"/>
            <family val="34"/>
          </rPr>
          <t>Gut [TL Oct 1810]</t>
        </r>
      </text>
    </comment>
    <comment ref="BF1122" authorId="0" shapeId="0" xr:uid="{E987DA4C-C688-1E46-A682-A627DE9FC212}">
      <text>
        <r>
          <rPr>
            <sz val="14"/>
            <color rgb="FF000000"/>
            <rFont val="Times New Roman"/>
            <family val="18"/>
          </rPr>
          <t xml:space="preserve">19/03/1808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1122" authorId="0" shapeId="0" xr:uid="{58D57F8B-59FF-5B4E-86A7-D8FFFBF5B45C}">
      <text>
        <r>
          <rPr>
            <sz val="14"/>
            <color rgb="FF000000"/>
            <rFont val="Times New Roman"/>
            <family val="18"/>
          </rPr>
          <t>ML 3500 IR 39 (1808-10) – RL 1808 14. Fus. Komp. – Abgang (Comorn 19/09/1808)</t>
        </r>
        <r>
          <rPr>
            <sz val="14"/>
            <color rgb="FF000000"/>
            <rFont val="Calibri"/>
            <family val="34"/>
          </rPr>
          <t xml:space="preserve">
</t>
        </r>
      </text>
    </comment>
    <comment ref="BH1122" authorId="0" shapeId="0" xr:uid="{8269160F-E160-474E-8C54-EF19975F8345}">
      <text>
        <r>
          <rPr>
            <sz val="14"/>
            <color rgb="FF000000"/>
            <rFont val="Calibri"/>
            <family val="34"/>
          </rPr>
          <t>IR 39 (1808)</t>
        </r>
      </text>
    </comment>
    <comment ref="BF1123" authorId="0" shapeId="0" xr:uid="{E07E9E62-2657-504A-A7F5-7E046F8D52FA}">
      <text>
        <r>
          <rPr>
            <sz val="14"/>
            <color rgb="FF000000"/>
            <rFont val="Times New Roman"/>
            <family val="18"/>
          </rPr>
          <t xml:space="preserve">27/03/1808 </t>
        </r>
        <r>
          <rPr>
            <i/>
            <sz val="14"/>
            <color rgb="FF000000"/>
            <rFont val="Times New Roman"/>
            <family val="18"/>
          </rPr>
          <t>Von Bereg Komität gestellt, gegen 3FL zum IR 39 assentiert, und zur 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22/08/1808 </t>
        </r>
        <r>
          <rPr>
            <i/>
            <sz val="14"/>
            <color rgb="FF000000"/>
            <rFont val="Times New Roman"/>
            <family val="18"/>
          </rPr>
          <t>Krank mit auswärtiger Gebühr</t>
        </r>
        <r>
          <rPr>
            <sz val="14"/>
            <color rgb="FF000000"/>
            <rFont val="Times New Roman"/>
            <family val="18"/>
          </rPr>
          <t xml:space="preserve"> [ST Aug 1808]</t>
        </r>
        <r>
          <rPr>
            <sz val="14"/>
            <color rgb="FF000000"/>
            <rFont val="Calibri"/>
            <family val="34"/>
          </rPr>
          <t xml:space="preserve">
</t>
        </r>
        <r>
          <rPr>
            <sz val="14"/>
            <color rgb="FF000000"/>
            <rFont val="Times New Roman"/>
            <family val="18"/>
          </rPr>
          <t>19/09/1808 Revision: IR 39 4. Fus. Komp. Nr. 214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05/12/1808 </t>
        </r>
        <r>
          <rPr>
            <i/>
            <sz val="14"/>
            <color rgb="FF000000"/>
            <rFont val="Times New Roman"/>
            <family val="18"/>
          </rPr>
          <t xml:space="preserve">Rekonvalesziert </t>
        </r>
        <r>
          <rPr>
            <sz val="14"/>
            <color rgb="FF000000"/>
            <rFont val="Times New Roman"/>
            <family val="18"/>
          </rPr>
          <t>[ST Dec 1808]</t>
        </r>
        <r>
          <rPr>
            <sz val="14"/>
            <color rgb="FF000000"/>
            <rFont val="Calibri"/>
            <family val="34"/>
          </rPr>
          <t xml:space="preserve">
</t>
        </r>
        <r>
          <rPr>
            <sz val="14"/>
            <color rgb="FF000000"/>
            <rFont val="Times New Roman"/>
            <family val="18"/>
          </rPr>
          <t xml:space="preserve">31/01/1809 </t>
        </r>
        <r>
          <rPr>
            <i/>
            <sz val="14"/>
            <color rgb="FF000000"/>
            <rFont val="Times New Roman"/>
            <family val="18"/>
          </rPr>
          <t>Von IR 39 4. Fus. Komp zum Blankenstein Hussaren</t>
        </r>
        <r>
          <rPr>
            <sz val="14"/>
            <color rgb="FF000000"/>
            <rFont val="Times New Roman"/>
            <family val="18"/>
          </rPr>
          <t xml:space="preserve"> </t>
        </r>
        <r>
          <rPr>
            <b/>
            <sz val="14"/>
            <color rgb="FF000000"/>
            <rFont val="Times New Roman"/>
            <family val="18"/>
          </rPr>
          <t>[HR 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text>
    </comment>
    <comment ref="BG1123" authorId="0" shapeId="0" xr:uid="{A05C4CAD-6EDA-8E44-A816-9837ABFE3210}">
      <text>
        <r>
          <rPr>
            <sz val="14"/>
            <color rgb="FF000000"/>
            <rFont val="Times New Roman"/>
            <family val="18"/>
          </rPr>
          <t>ML 3500 IR 39 (1808-10) – RL 1808 4. Fus. Komp. Nr. 205 (Feldlager bei Comorn 19/09/1808); Aug (Pest 10/07/1808), Dez (Ofen ??/??/1810)</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Bereg Komität Nr. 114 (Munkats 31/03/1808)</t>
        </r>
        <r>
          <rPr>
            <sz val="14"/>
            <color rgb="FF000000"/>
            <rFont val="Calibri"/>
            <family val="34"/>
          </rPr>
          <t xml:space="preserve">
</t>
        </r>
      </text>
    </comment>
    <comment ref="BH1123" authorId="0" shapeId="0" xr:uid="{687CDA23-D448-2F40-B483-1CC3038CAEE2}">
      <text>
        <r>
          <rPr>
            <sz val="14"/>
            <color rgb="FF000000"/>
            <rFont val="Calibri"/>
            <family val="34"/>
          </rPr>
          <t xml:space="preserve">IR 39 (1808-1809)
</t>
        </r>
        <r>
          <rPr>
            <sz val="14"/>
            <color rgb="FF000000"/>
            <rFont val="Calibri"/>
            <family val="34"/>
          </rPr>
          <t>HR 6 (1809)</t>
        </r>
      </text>
    </comment>
    <comment ref="BF1124" authorId="0" shapeId="0" xr:uid="{402FA62C-1660-8C43-ABC2-1A07F3159EB1}">
      <text>
        <r>
          <rPr>
            <sz val="14"/>
            <color rgb="FF000000"/>
            <rFont val="Times New Roman"/>
            <family val="18"/>
          </rPr>
          <t xml:space="preserve">29/03/1808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18/09/1808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14. Fus. Komp. Nr. 201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05/11/1808</t>
        </r>
        <r>
          <rPr>
            <i/>
            <sz val="14"/>
            <color rgb="FF000000"/>
            <rFont val="Times New Roman"/>
            <family val="18"/>
          </rPr>
          <t xml:space="preserve"> 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21/11/1808 </t>
        </r>
        <r>
          <rPr>
            <i/>
            <sz val="14"/>
            <color rgb="FF000000"/>
            <rFont val="Times New Roman"/>
            <family val="18"/>
          </rPr>
          <t>Krank mit auswärtiger Gebühr</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[ST Aus 1810]</t>
        </r>
        <r>
          <rPr>
            <sz val="14"/>
            <color rgb="FF000000"/>
            <rFont val="Calibri"/>
            <family val="34"/>
          </rPr>
          <t xml:space="preserve">
</t>
        </r>
      </text>
    </comment>
    <comment ref="BG1124" authorId="0" shapeId="0" xr:uid="{20B5D9B0-505E-9C4B-A2AD-F805D42C63FF}">
      <text>
        <r>
          <rPr>
            <sz val="14"/>
            <color rgb="FF000000"/>
            <rFont val="Times New Roman"/>
            <family val="18"/>
          </rPr>
          <t>ML 3500 IR 39 (1808) – 14. Fus. Komp. Nr. 201 (Lager bei Comorn 19/09/1808)</t>
        </r>
        <r>
          <rPr>
            <sz val="14"/>
            <color rgb="FF000000"/>
            <rFont val="Calibri"/>
            <family val="34"/>
          </rPr>
          <t xml:space="preserve">
</t>
        </r>
        <r>
          <rPr>
            <sz val="14"/>
            <color rgb="FF000000"/>
            <rFont val="Times New Roman"/>
            <family val="18"/>
          </rPr>
          <t>ML 3501/2 IR 39 (1811) – 14. Fus. Komp. Abgang (Gran 16/09/1811)</t>
        </r>
        <r>
          <rPr>
            <sz val="14"/>
            <color rgb="FF000000"/>
            <rFont val="Calibri"/>
            <family val="34"/>
          </rPr>
          <t xml:space="preserve">
</t>
        </r>
        <r>
          <rPr>
            <sz val="14"/>
            <color rgb="FF000000"/>
            <rFont val="Times New Roman"/>
            <family val="18"/>
          </rPr>
          <t>ML 3549 IR 39 (1808) – ST Sept (Ofen 10/10/1808), ST Nov (Ofen 18/10/1808)</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24" authorId="0" shapeId="0" xr:uid="{4CD856A2-8967-EA42-AB51-2A6009E84780}">
      <text>
        <r>
          <rPr>
            <sz val="14"/>
            <color rgb="FF000000"/>
            <rFont val="Calibri"/>
            <family val="34"/>
          </rPr>
          <t xml:space="preserve">IR 39 (1808-1810)
</t>
        </r>
      </text>
    </comment>
    <comment ref="BF1125" authorId="0" shapeId="0" xr:uid="{5B2B290E-FEE3-394F-8037-0EDEE7D28801}">
      <text>
        <r>
          <rPr>
            <sz val="14"/>
            <color rgb="FF000000"/>
            <rFont val="Times New Roman"/>
            <family val="18"/>
          </rPr>
          <t xml:space="preserve">29/03/1808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1125" authorId="0" shapeId="0" xr:uid="{901B8769-364D-0244-A040-2BEFAD926722}">
      <text>
        <r>
          <rPr>
            <sz val="14"/>
            <color rgb="FF000000"/>
            <rFont val="Times New Roman"/>
            <family val="18"/>
          </rPr>
          <t>ML 3500 IR 39 (1808-10) – RL 1808 14. Fus. Komp. – Abgang (Comorn 19/09/1808)</t>
        </r>
        <r>
          <rPr>
            <sz val="14"/>
            <color rgb="FF000000"/>
            <rFont val="Calibri"/>
            <family val="34"/>
          </rPr>
          <t xml:space="preserve">
</t>
        </r>
      </text>
    </comment>
    <comment ref="BH1125" authorId="0" shapeId="0" xr:uid="{06091513-7D76-6546-93F7-C12DB7596DCF}">
      <text>
        <r>
          <rPr>
            <sz val="14"/>
            <color rgb="FF000000"/>
            <rFont val="Calibri"/>
            <family val="34"/>
          </rPr>
          <t>IR 39 (1808)</t>
        </r>
      </text>
    </comment>
    <comment ref="BF1126" authorId="0" shapeId="0" xr:uid="{0A658F7D-DD1F-9244-9AA1-379796D92F52}">
      <text>
        <r>
          <rPr>
            <sz val="14"/>
            <color rgb="FF000000"/>
            <rFont val="Times New Roman"/>
            <family val="18"/>
          </rPr>
          <t xml:space="preserve">29/03/1808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Von sonsten desertiert</t>
        </r>
        <r>
          <rPr>
            <sz val="14"/>
            <color rgb="FF000000"/>
            <rFont val="Times New Roman"/>
            <family val="18"/>
          </rPr>
          <t xml:space="preserve"> [RL 1808]</t>
        </r>
        <r>
          <rPr>
            <sz val="14"/>
            <color rgb="FF000000"/>
            <rFont val="Calibri"/>
            <family val="34"/>
          </rPr>
          <t xml:space="preserve">
</t>
        </r>
        <r>
          <rPr>
            <sz val="14"/>
            <color rgb="FF000000"/>
            <rFont val="Times New Roman"/>
            <family val="18"/>
          </rPr>
          <t>20/06/1808</t>
        </r>
        <r>
          <rPr>
            <i/>
            <sz val="14"/>
            <color rgb="FF000000"/>
            <rFont val="Times New Roman"/>
            <family val="18"/>
          </rPr>
          <t xml:space="preserve"> Von Land eingebachte Deserteur zu Munkats präsentiert</t>
        </r>
        <r>
          <rPr>
            <sz val="14"/>
            <color rgb="FF000000"/>
            <rFont val="Times New Roman"/>
            <family val="18"/>
          </rPr>
          <t xml:space="preserve"> [ML 1808]</t>
        </r>
        <r>
          <rPr>
            <sz val="14"/>
            <color rgb="FF000000"/>
            <rFont val="Calibri"/>
            <family val="34"/>
          </rPr>
          <t xml:space="preserve">
</t>
        </r>
        <r>
          <rPr>
            <sz val="14"/>
            <color rgb="FF000000"/>
            <rFont val="Times New Roman"/>
            <family val="18"/>
          </rPr>
          <t>19/09/1808 Revision: IR 39 14. Fus. Komp. Nr. 202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zum neu errichtete 15. Fus. Komp.</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22/04/1809 </t>
        </r>
        <r>
          <rPr>
            <b/>
            <sz val="14"/>
            <color rgb="FF000000"/>
            <rFont val="Times New Roman"/>
            <family val="18"/>
          </rPr>
          <t xml:space="preserve">[Bei der Schlacht von Eckmühl] </t>
        </r>
        <r>
          <rPr>
            <i/>
            <sz val="14"/>
            <color rgb="FF000000"/>
            <rFont val="Times New Roman"/>
            <family val="18"/>
          </rPr>
          <t>Kriegsgefangen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11/10/1809 </t>
        </r>
        <r>
          <rPr>
            <i/>
            <sz val="14"/>
            <color rgb="FF000000"/>
            <rFont val="Times New Roman"/>
            <family val="18"/>
          </rPr>
          <t>Als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30/10/1809 </t>
        </r>
        <r>
          <rPr>
            <i/>
            <sz val="14"/>
            <color rgb="FF000000"/>
            <rFont val="Times New Roman"/>
            <family val="18"/>
          </rPr>
          <t>Krank 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14.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[ML 1811 &amp; ST Aug 1810]</t>
        </r>
        <r>
          <rPr>
            <sz val="14"/>
            <color rgb="FF000000"/>
            <rFont val="Calibri"/>
            <family val="34"/>
          </rPr>
          <t xml:space="preserve">
</t>
        </r>
      </text>
    </comment>
    <comment ref="BG1126" authorId="0" shapeId="0" xr:uid="{2F0AB339-9A2E-7746-B018-9E0A35AF6F21}">
      <text>
        <r>
          <rPr>
            <sz val="14"/>
            <color rgb="FF000000"/>
            <rFont val="Times New Roman"/>
            <family val="18"/>
          </rPr>
          <t>ML 3500 IR 39 (1808) – 14. Fus. Komp. Nr. 222 (Lager bei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3550 IR 39 (1809) – ST Oct (Ofen 21/04/1811)</t>
        </r>
        <r>
          <rPr>
            <sz val="14"/>
            <color rgb="FF000000"/>
            <rFont val="Calibri"/>
            <family val="34"/>
          </rPr>
          <t xml:space="preserve">
</t>
        </r>
        <r>
          <rPr>
            <sz val="14"/>
            <color rgb="FF000000"/>
            <rFont val="Times New Roman"/>
            <family val="18"/>
          </rPr>
          <t>ML 3551 IR 39 (1809) – ST Aug</t>
        </r>
        <r>
          <rPr>
            <sz val="14"/>
            <color rgb="FF000000"/>
            <rFont val="Calibri"/>
            <family val="34"/>
          </rPr>
          <t xml:space="preserve">
</t>
        </r>
      </text>
    </comment>
    <comment ref="BH1126" authorId="0" shapeId="0" xr:uid="{A665CAF4-AB04-DC43-A908-71B107E3D560}">
      <text>
        <r>
          <rPr>
            <sz val="14"/>
            <color rgb="FF000000"/>
            <rFont val="Calibri"/>
            <family val="34"/>
          </rPr>
          <t xml:space="preserve">IR 39 (1808-1810)
</t>
        </r>
      </text>
    </comment>
    <comment ref="BF1127" authorId="0" shapeId="0" xr:uid="{EE711865-721D-FE45-BB3C-E01981C5812D}">
      <text>
        <r>
          <rPr>
            <sz val="14"/>
            <color rgb="FF000000"/>
            <rFont val="Times New Roman"/>
            <family val="18"/>
          </rPr>
          <t xml:space="preserve">29/03/1808 </t>
        </r>
        <r>
          <rPr>
            <i/>
            <sz val="14"/>
            <color rgb="FF000000"/>
            <rFont val="Times New Roman"/>
            <family val="18"/>
          </rPr>
          <t>Von Dominien ausgehoben und auf 3Fl Handgeld in IR 39 assentiert und zum 9.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13. Fus. Komp. Nr. 20</t>
        </r>
        <r>
          <rPr>
            <sz val="14"/>
            <color rgb="FF000000"/>
            <rFont val="Calibri"/>
            <family val="34"/>
          </rPr>
          <t xml:space="preserve">
</t>
        </r>
        <r>
          <rPr>
            <sz val="14"/>
            <color rgb="FF000000"/>
            <rFont val="Times New Roman"/>
            <family val="18"/>
          </rPr>
          <t xml:space="preserve">26/04/1809 </t>
        </r>
        <r>
          <rPr>
            <i/>
            <sz val="14"/>
            <color rgb="FF000000"/>
            <rFont val="Times New Roman"/>
            <family val="18"/>
          </rPr>
          <t>Krank mit auswärtiger Gebühr</t>
        </r>
        <r>
          <rPr>
            <sz val="14"/>
            <color rgb="FF000000"/>
            <rFont val="Times New Roman"/>
            <family val="18"/>
          </rPr>
          <t xml:space="preserve"> </t>
        </r>
        <r>
          <rPr>
            <b/>
            <sz val="14"/>
            <color rgb="FF000000"/>
            <rFont val="Times New Roman"/>
            <family val="18"/>
          </rPr>
          <t xml:space="preserve">[Mit 17 Andere Verletzt am Neumarkt St Viet?]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verbeibene unwissend verloren gegangen</t>
        </r>
        <r>
          <rPr>
            <sz val="14"/>
            <color rgb="FF000000"/>
            <rFont val="Times New Roman"/>
            <family val="18"/>
          </rPr>
          <t xml:space="preserve"> [ST Aug 1810]</t>
        </r>
        <r>
          <rPr>
            <sz val="14"/>
            <color rgb="FF000000"/>
            <rFont val="Calibri"/>
            <family val="34"/>
          </rPr>
          <t xml:space="preserve">
</t>
        </r>
      </text>
    </comment>
    <comment ref="BG1127" authorId="0" shapeId="0" xr:uid="{3326CBA2-7C1F-C046-9E38-3A08743925BE}">
      <text>
        <r>
          <rPr>
            <sz val="14"/>
            <color rgb="FF000000"/>
            <rFont val="Times New Roman"/>
            <family val="18"/>
          </rPr>
          <t>ML 3500 IR 39 (1808) – 13. Fus. Komp. Nr. 202 (Lager bei Comorn 19/09/1808)</t>
        </r>
        <r>
          <rPr>
            <sz val="14"/>
            <color rgb="FF000000"/>
            <rFont val="Calibri"/>
            <family val="34"/>
          </rPr>
          <t xml:space="preserve">
</t>
        </r>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3550 IR 39 (1809) – ST April (Ofen 10/02/1811)</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27" authorId="0" shapeId="0" xr:uid="{E04C5ACD-3E4D-0F48-B3A7-AEB92417F081}">
      <text>
        <r>
          <rPr>
            <sz val="14"/>
            <color rgb="FF000000"/>
            <rFont val="Calibri"/>
            <family val="34"/>
          </rPr>
          <t xml:space="preserve">IR 39 (1808-1810)
</t>
        </r>
      </text>
    </comment>
    <comment ref="BF1128" authorId="0" shapeId="0" xr:uid="{084C7A0F-2538-3746-8FE4-548BA4B82845}">
      <text>
        <r>
          <rPr>
            <sz val="14"/>
            <color rgb="FF000000"/>
            <rFont val="Times New Roman"/>
            <family val="18"/>
          </rPr>
          <t xml:space="preserve">30/03/1808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Krank mit auswärtiger Gebühr</t>
        </r>
        <r>
          <rPr>
            <sz val="14"/>
            <color rgb="FF000000"/>
            <rFont val="Times New Roman"/>
            <family val="18"/>
          </rPr>
          <t xml:space="preserve"> [ST May 1808]</t>
        </r>
        <r>
          <rPr>
            <sz val="14"/>
            <color rgb="FF000000"/>
            <rFont val="Calibri"/>
            <family val="34"/>
          </rPr>
          <t xml:space="preserve">
</t>
        </r>
        <r>
          <rPr>
            <sz val="14"/>
            <color rgb="FF000000"/>
            <rFont val="Times New Roman"/>
            <family val="18"/>
          </rPr>
          <t>19/09/1808 Revision: IR 39 14. Fus. Komp. Nr. 202 [</t>
        </r>
        <r>
          <rPr>
            <i/>
            <sz val="14"/>
            <color rgb="FF000000"/>
            <rFont val="Times New Roman"/>
            <family val="18"/>
          </rPr>
          <t>Krank zu Sziyeth</t>
        </r>
        <r>
          <rPr>
            <sz val="14"/>
            <color rgb="FF000000"/>
            <rFont val="Times New Roman"/>
            <family val="18"/>
          </rPr>
          <t>]</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[ST Aus 1810]</t>
        </r>
        <r>
          <rPr>
            <sz val="14"/>
            <color rgb="FF000000"/>
            <rFont val="Calibri"/>
            <family val="34"/>
          </rPr>
          <t xml:space="preserve">
</t>
        </r>
      </text>
    </comment>
    <comment ref="BG1128" authorId="0" shapeId="0" xr:uid="{D98F5E28-6855-EF41-9DEF-D94E00AECE7A}">
      <text>
        <r>
          <rPr>
            <sz val="14"/>
            <color rgb="FF000000"/>
            <rFont val="Times New Roman"/>
            <family val="18"/>
          </rPr>
          <t>ML 3500 IR 39 (1808) – 14. Fus. Komp. Nr. 202 (Lager bei Comorn 19/09/1808); ST Mai (Pest 14/04/1810)</t>
        </r>
        <r>
          <rPr>
            <sz val="14"/>
            <color rgb="FF000000"/>
            <rFont val="Calibri"/>
            <family val="34"/>
          </rPr>
          <t xml:space="preserve">
</t>
        </r>
        <r>
          <rPr>
            <sz val="14"/>
            <color rgb="FF000000"/>
            <rFont val="Times New Roman"/>
            <family val="18"/>
          </rPr>
          <t>ML 3501/2 IR 39 (1811) – 14. Fus. Komp. Abgang (Gran 16/09/1811)</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28" authorId="0" shapeId="0" xr:uid="{907715B8-2742-0D4A-A99A-DE2428A42556}">
      <text>
        <r>
          <rPr>
            <sz val="14"/>
            <color rgb="FF000000"/>
            <rFont val="Calibri"/>
            <family val="34"/>
          </rPr>
          <t xml:space="preserve">IR 39 (1808-1810)
</t>
        </r>
      </text>
    </comment>
    <comment ref="BF1129" authorId="0" shapeId="0" xr:uid="{2942555F-B8E0-AA4D-8A39-E6280B9C09F8}">
      <text>
        <r>
          <rPr>
            <sz val="14"/>
            <color rgb="FF000000"/>
            <rFont val="Times New Roman"/>
            <family val="18"/>
          </rPr>
          <t xml:space="preserve">31/03/1808 </t>
        </r>
        <r>
          <rPr>
            <i/>
            <sz val="14"/>
            <color rgb="FF000000"/>
            <rFont val="Times New Roman"/>
            <family val="18"/>
          </rPr>
          <t>Von Ung Komität gestellt, gegen 3FL zum IR 39 assentiert, und zur 7. Komp. eingeheilt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9. Fus. Komp. Nr. 208</t>
        </r>
        <r>
          <rPr>
            <sz val="14"/>
            <color rgb="FF000000"/>
            <rFont val="Calibri"/>
            <family val="34"/>
          </rPr>
          <t xml:space="preserve">
</t>
        </r>
        <r>
          <rPr>
            <sz val="14"/>
            <color rgb="FF000000"/>
            <rFont val="Times New Roman"/>
            <family val="18"/>
          </rPr>
          <t xml:space="preserve">29/11/1808 </t>
        </r>
        <r>
          <rPr>
            <i/>
            <sz val="14"/>
            <color rgb="FF000000"/>
            <rFont val="Times New Roman"/>
            <family val="18"/>
          </rPr>
          <t>Krank mit auswärtiger Gebühr</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07/01/1809 </t>
        </r>
        <r>
          <rPr>
            <i/>
            <sz val="14"/>
            <color rgb="FF000000"/>
            <rFont val="Times New Roman"/>
            <family val="18"/>
          </rPr>
          <t>In auswärtigem Spital gestorben</t>
        </r>
        <r>
          <rPr>
            <sz val="14"/>
            <color rgb="FF000000"/>
            <rFont val="Times New Roman"/>
            <family val="18"/>
          </rPr>
          <t xml:space="preserve"> [ML 1811] </t>
        </r>
      </text>
    </comment>
    <comment ref="BG1129" authorId="0" shapeId="0" xr:uid="{3C231D1B-9BBA-8548-913D-42118E94CF36}">
      <text>
        <r>
          <rPr>
            <sz val="14"/>
            <color rgb="FF000000"/>
            <rFont val="Times New Roman"/>
            <family val="18"/>
          </rPr>
          <t>ML 3500 IR 39 (1808) – 9. Fus. Komp. Nr. 208 (Lager bei Comorn 19/09/1808)</t>
        </r>
        <r>
          <rPr>
            <sz val="14"/>
            <color rgb="FF000000"/>
            <rFont val="Calibri"/>
            <family val="34"/>
          </rPr>
          <t xml:space="preserve">
</t>
        </r>
        <r>
          <rPr>
            <sz val="14"/>
            <color rgb="FF000000"/>
            <rFont val="Times New Roman"/>
            <family val="18"/>
          </rPr>
          <t>ML 3549 IR 39 (1808) – AL Ung Komität Nr. 96 (Munkats 31/03/1808); ST Nov (Ofen 18/10/1808)</t>
        </r>
        <r>
          <rPr>
            <sz val="14"/>
            <color rgb="FF000000"/>
            <rFont val="Calibri"/>
            <family val="34"/>
          </rPr>
          <t xml:space="preserve">
</t>
        </r>
        <r>
          <rPr>
            <sz val="14"/>
            <color rgb="FF000000"/>
            <rFont val="Times New Roman"/>
            <family val="18"/>
          </rPr>
          <t>ML 550 IR 39 (1809) – ST Jan</t>
        </r>
        <r>
          <rPr>
            <sz val="14"/>
            <color rgb="FF000000"/>
            <rFont val="Calibri"/>
            <family val="34"/>
          </rPr>
          <t xml:space="preserve">
</t>
        </r>
      </text>
    </comment>
    <comment ref="BH1129" authorId="0" shapeId="0" xr:uid="{4AFB447E-9605-5545-9ABB-6B0D5218C899}">
      <text>
        <r>
          <rPr>
            <sz val="14"/>
            <color rgb="FF000000"/>
            <rFont val="Calibri"/>
            <family val="34"/>
          </rPr>
          <t>IR 39 (1808-1809)</t>
        </r>
      </text>
    </comment>
    <comment ref="BF1130" authorId="0" shapeId="0" xr:uid="{BCB47752-632B-2143-900A-FF150CF6B582}">
      <text>
        <r>
          <rPr>
            <sz val="14"/>
            <color rgb="FF000000"/>
            <rFont val="Times New Roman"/>
            <family val="18"/>
          </rPr>
          <t xml:space="preserve">31/03/1808 </t>
        </r>
        <r>
          <rPr>
            <i/>
            <sz val="14"/>
            <color rgb="FF000000"/>
            <rFont val="Times New Roman"/>
            <family val="18"/>
          </rPr>
          <t>Von Ung Komität gestellt, gegen 3FL zum IR 39 assentiert, und zur 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Von 4. zum. 7. Fus. Komp. transferiert</t>
        </r>
        <r>
          <rPr>
            <sz val="14"/>
            <color rgb="FF000000"/>
            <rFont val="Times New Roman"/>
            <family val="18"/>
          </rPr>
          <t xml:space="preserve"> [ML 1808] </t>
        </r>
        <r>
          <rPr>
            <sz val="14"/>
            <color rgb="FF000000"/>
            <rFont val="Calibri"/>
            <family val="34"/>
          </rPr>
          <t xml:space="preserve">
</t>
        </r>
        <r>
          <rPr>
            <sz val="14"/>
            <color rgb="FF000000"/>
            <rFont val="Times New Roman"/>
            <family val="18"/>
          </rPr>
          <t>19/09/1808 Revision: IR 39 9. Fus. Komp. Nr. 206</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9. zum neu errichtete 15. Fus. Komp. transferiert und zum Gefreiter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22/04/1809 </t>
        </r>
        <r>
          <rPr>
            <b/>
            <sz val="14"/>
            <color rgb="FF000000"/>
            <rFont val="Times New Roman"/>
            <family val="18"/>
          </rPr>
          <t xml:space="preserve">[Bei der Schlacht von Eckmühl] </t>
        </r>
        <r>
          <rPr>
            <i/>
            <sz val="14"/>
            <color rgb="FF000000"/>
            <rFont val="Times New Roman"/>
            <family val="18"/>
          </rPr>
          <t>Kriegsgefangen</t>
        </r>
        <r>
          <rPr>
            <sz val="14"/>
            <color rgb="FF000000"/>
            <rFont val="Times New Roman"/>
            <family val="18"/>
          </rPr>
          <t xml:space="preserve"> [ML 1811] </t>
        </r>
      </text>
    </comment>
    <comment ref="BG1130" authorId="0" shapeId="0" xr:uid="{DBF8512A-C10E-1841-BE28-0F2A93E6238F}">
      <text>
        <r>
          <rPr>
            <sz val="14"/>
            <color rgb="FF000000"/>
            <rFont val="Times New Roman"/>
            <family val="18"/>
          </rPr>
          <t>ML 3500 IR 39 (1808-10) – RL 1808 2. Fus. Komp. Nr. 206 (Comorn 19/09/1808)</t>
        </r>
        <r>
          <rPr>
            <sz val="14"/>
            <color rgb="FF000000"/>
            <rFont val="Calibri"/>
            <family val="34"/>
          </rPr>
          <t xml:space="preserve">
</t>
        </r>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3549 IR 39 (1808) – AL Ung Komität Nr. 95 (Munkats 31/03/1808)</t>
        </r>
        <r>
          <rPr>
            <sz val="14"/>
            <color rgb="FF000000"/>
            <rFont val="Calibri"/>
            <family val="34"/>
          </rPr>
          <t xml:space="preserve">
</t>
        </r>
        <r>
          <rPr>
            <sz val="14"/>
            <color rgb="FF000000"/>
            <rFont val="Times New Roman"/>
            <family val="18"/>
          </rPr>
          <t>ML 3551 IR 39 (1810) – ST Feb (Ofen 08/06/1811)</t>
        </r>
        <r>
          <rPr>
            <sz val="14"/>
            <color rgb="FF000000"/>
            <rFont val="Calibri"/>
            <family val="34"/>
          </rPr>
          <t xml:space="preserve">
</t>
        </r>
      </text>
    </comment>
    <comment ref="BH1130" authorId="0" shapeId="0" xr:uid="{2B0416AB-9E7D-954E-B344-AAEF8C9E882B}">
      <text>
        <r>
          <rPr>
            <sz val="14"/>
            <color rgb="FF000000"/>
            <rFont val="Calibri"/>
            <family val="34"/>
          </rPr>
          <t>IR 39 (1808-1809)</t>
        </r>
      </text>
    </comment>
    <comment ref="BF1131" authorId="0" shapeId="0" xr:uid="{F2C4F838-4BE1-7641-A225-FF8C0E799981}">
      <text>
        <r>
          <rPr>
            <sz val="14"/>
            <color rgb="FF000000"/>
            <rFont val="Times New Roman"/>
            <family val="18"/>
          </rPr>
          <t xml:space="preserve">31/03/1808 </t>
        </r>
        <r>
          <rPr>
            <i/>
            <sz val="14"/>
            <color rgb="FF000000"/>
            <rFont val="Times New Roman"/>
            <family val="18"/>
          </rPr>
          <t>Von Ung Komität gestellt, gegen 3FL zum IR 39 assentiert, und zur 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2. Fus. Komp. Nr. 188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02/12/1808 </t>
        </r>
        <r>
          <rPr>
            <i/>
            <sz val="14"/>
            <color rgb="FF000000"/>
            <rFont val="Times New Roman"/>
            <family val="18"/>
          </rPr>
          <t>Rekonvalesziert</t>
        </r>
        <r>
          <rPr>
            <sz val="14"/>
            <color rgb="FF000000"/>
            <rFont val="Times New Roman"/>
            <family val="18"/>
          </rPr>
          <t xml:space="preserve"> [ST Dez 1808]</t>
        </r>
        <r>
          <rPr>
            <sz val="14"/>
            <color rgb="FF000000"/>
            <rFont val="Calibri"/>
            <family val="34"/>
          </rPr>
          <t xml:space="preserve">
</t>
        </r>
        <r>
          <rPr>
            <sz val="14"/>
            <color rgb="FF000000"/>
            <rFont val="Times New Roman"/>
            <family val="18"/>
          </rPr>
          <t xml:space="preserve">25/04/1809 </t>
        </r>
        <r>
          <rPr>
            <i/>
            <sz val="14"/>
            <color rgb="FF000000"/>
            <rFont val="Times New Roman"/>
            <family val="18"/>
          </rPr>
          <t>Krank mit auswärtiger Gebühr</t>
        </r>
        <r>
          <rPr>
            <sz val="14"/>
            <color rgb="FF000000"/>
            <rFont val="Times New Roman"/>
            <family val="18"/>
          </rPr>
          <t xml:space="preserve"> (mit 8 anderen) </t>
        </r>
        <r>
          <rPr>
            <b/>
            <sz val="14"/>
            <color rgb="FF000000"/>
            <rFont val="Times New Roman"/>
            <family val="18"/>
          </rPr>
          <t>[?Verletzt am Neumarkt-Sankt Veit] [ML 1811]</t>
        </r>
        <r>
          <rPr>
            <sz val="14"/>
            <color rgb="FF000000"/>
            <rFont val="Calibri"/>
            <family val="34"/>
          </rPr>
          <t xml:space="preserve">
</t>
        </r>
        <r>
          <rPr>
            <sz val="14"/>
            <color rgb="FF000000"/>
            <rFont val="Times New Roman"/>
            <family val="18"/>
          </rPr>
          <t xml:space="preserve">22/05/1809 </t>
        </r>
        <r>
          <rPr>
            <i/>
            <sz val="14"/>
            <color rgb="FF000000"/>
            <rFont val="Times New Roman"/>
            <family val="18"/>
          </rPr>
          <t>In Landshut in Spital gestorben</t>
        </r>
        <r>
          <rPr>
            <sz val="14"/>
            <color rgb="FF000000"/>
            <rFont val="Times New Roman"/>
            <family val="18"/>
          </rPr>
          <t xml:space="preserve"> [ML 1811 &amp; ST Feb 1810] </t>
        </r>
      </text>
    </comment>
    <comment ref="BG1131" authorId="0" shapeId="0" xr:uid="{D043D01E-EF91-4644-902F-BDC4C88DB38C}">
      <text>
        <r>
          <rPr>
            <sz val="14"/>
            <color rgb="FF000000"/>
            <rFont val="Times New Roman"/>
            <family val="18"/>
          </rPr>
          <t>ML 3500 IR 39 (1808-10) – RL 1808 2. Fus. Komp. Nr. 206 (Comorn 19/09/1808)</t>
        </r>
        <r>
          <rPr>
            <sz val="14"/>
            <color rgb="FF000000"/>
            <rFont val="Calibri"/>
            <family val="34"/>
          </rPr>
          <t xml:space="preserve">
</t>
        </r>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3549 IR 39 (1808) – AL Ung Komität Nr. 95 (Munkats 31/03/1808)</t>
        </r>
        <r>
          <rPr>
            <sz val="14"/>
            <color rgb="FF000000"/>
            <rFont val="Calibri"/>
            <family val="34"/>
          </rPr>
          <t xml:space="preserve">
</t>
        </r>
        <r>
          <rPr>
            <sz val="14"/>
            <color rgb="FF000000"/>
            <rFont val="Times New Roman"/>
            <family val="18"/>
          </rPr>
          <t>ML 3551 IR 39 (1810) – ST Feb (Ofen 08/06/1811)</t>
        </r>
        <r>
          <rPr>
            <sz val="14"/>
            <color rgb="FF000000"/>
            <rFont val="Calibri"/>
            <family val="34"/>
          </rPr>
          <t xml:space="preserve">
</t>
        </r>
      </text>
    </comment>
    <comment ref="BH1131" authorId="0" shapeId="0" xr:uid="{CFA73185-E6E3-BC45-81CB-A6272F462C2B}">
      <text>
        <r>
          <rPr>
            <sz val="14"/>
            <color rgb="FF000000"/>
            <rFont val="Calibri"/>
            <family val="34"/>
          </rPr>
          <t>IR 39 (1808-1809)</t>
        </r>
      </text>
    </comment>
    <comment ref="BF1132" authorId="0" shapeId="0" xr:uid="{58CC49A4-2C6F-0548-ABC1-0DB722BEF25B}">
      <text>
        <r>
          <rPr>
            <sz val="14"/>
            <color rgb="FF000000"/>
            <rFont val="Times New Roman"/>
            <family val="18"/>
          </rPr>
          <t xml:space="preserve">31/03/1808 </t>
        </r>
        <r>
          <rPr>
            <i/>
            <sz val="14"/>
            <color rgb="FF000000"/>
            <rFont val="Times New Roman"/>
            <family val="18"/>
          </rPr>
          <t>Von Ung Komität gestellt, gegen 3FL zum IR 39 assentiert, und zur 7.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9. Fus. Komp. Nr. 205</t>
        </r>
        <r>
          <rPr>
            <sz val="14"/>
            <color rgb="FF000000"/>
            <rFont val="Calibri"/>
            <family val="34"/>
          </rPr>
          <t xml:space="preserve">
</t>
        </r>
        <r>
          <rPr>
            <sz val="14"/>
            <color rgb="FF000000"/>
            <rFont val="Times New Roman"/>
            <family val="18"/>
          </rPr>
          <t xml:space="preserve">23/09/1808 </t>
        </r>
        <r>
          <rPr>
            <i/>
            <sz val="14"/>
            <color rgb="FF000000"/>
            <rFont val="Times New Roman"/>
            <family val="18"/>
          </rPr>
          <t>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10/10/1808 </t>
        </r>
        <r>
          <rPr>
            <i/>
            <sz val="14"/>
            <color rgb="FF000000"/>
            <rFont val="Times New Roman"/>
            <family val="18"/>
          </rPr>
          <t xml:space="preserve">Rekonvalesziert </t>
        </r>
        <r>
          <rPr>
            <sz val="14"/>
            <color rgb="FF000000"/>
            <rFont val="Times New Roman"/>
            <family val="18"/>
          </rPr>
          <t>[ST Oct 1808]</t>
        </r>
        <r>
          <rPr>
            <sz val="14"/>
            <color rgb="FF000000"/>
            <rFont val="Calibri"/>
            <family val="34"/>
          </rPr>
          <t xml:space="preserve">
</t>
        </r>
        <r>
          <rPr>
            <sz val="14"/>
            <color rgb="FF000000"/>
            <rFont val="Times New Roman"/>
            <family val="18"/>
          </rPr>
          <t xml:space="preserve">01/03/1809 </t>
        </r>
        <r>
          <rPr>
            <i/>
            <sz val="14"/>
            <color rgb="FF000000"/>
            <rFont val="Times New Roman"/>
            <family val="18"/>
          </rPr>
          <t xml:space="preserve">Krank mit auswärtiger Gebühr </t>
        </r>
        <r>
          <rPr>
            <sz val="14"/>
            <color rgb="FF000000"/>
            <rFont val="Times New Roman"/>
            <family val="18"/>
          </rPr>
          <t>[ST March 1809]</t>
        </r>
        <r>
          <rPr>
            <sz val="14"/>
            <color rgb="FF000000"/>
            <rFont val="Calibri"/>
            <family val="34"/>
          </rPr>
          <t xml:space="preserve">
</t>
        </r>
        <r>
          <rPr>
            <sz val="14"/>
            <color rgb="FF000000"/>
            <rFont val="Times New Roman"/>
            <family val="18"/>
          </rPr>
          <t xml:space="preserve">01/07/1809 </t>
        </r>
        <r>
          <rPr>
            <i/>
            <sz val="14"/>
            <color rgb="FF000000"/>
            <rFont val="Times New Roman"/>
            <family val="18"/>
          </rPr>
          <t>Rekonvalesziert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25/07/1809 </t>
        </r>
        <r>
          <rPr>
            <i/>
            <sz val="14"/>
            <color rgb="FF000000"/>
            <rFont val="Times New Roman"/>
            <family val="18"/>
          </rPr>
          <t xml:space="preserve">Krank mit auswärtiger Gebühr </t>
        </r>
        <r>
          <rPr>
            <sz val="14"/>
            <color rgb="FF000000"/>
            <rFont val="Times New Roman"/>
            <family val="18"/>
          </rPr>
          <t>[ST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Rekonvalesziert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20/11/1810 </t>
        </r>
        <r>
          <rPr>
            <i/>
            <sz val="14"/>
            <color rgb="FF000000"/>
            <rFont val="Times New Roman"/>
            <family val="18"/>
          </rPr>
          <t>Als Kriegscapitulant Mit Abschied entlassen</t>
        </r>
        <r>
          <rPr>
            <sz val="14"/>
            <color rgb="FF000000"/>
            <rFont val="Times New Roman"/>
            <family val="18"/>
          </rPr>
          <t xml:space="preserve"> [ML 1811] </t>
        </r>
      </text>
    </comment>
    <comment ref="BG1132" authorId="0" shapeId="0" xr:uid="{07C52405-515B-DC47-862B-F16D1F24D9F2}">
      <text>
        <r>
          <rPr>
            <sz val="14"/>
            <color rgb="FF000000"/>
            <rFont val="Times New Roman"/>
            <family val="18"/>
          </rPr>
          <t>ML 3500 IR 39 (1808) – 9. Fus. Komp. Nr. 205 (Lager bei Comorn 19/09/1808)</t>
        </r>
        <r>
          <rPr>
            <sz val="14"/>
            <color rgb="FF000000"/>
            <rFont val="Calibri"/>
            <family val="34"/>
          </rPr>
          <t xml:space="preserve">
</t>
        </r>
        <r>
          <rPr>
            <sz val="14"/>
            <color rgb="FF000000"/>
            <rFont val="Times New Roman"/>
            <family val="18"/>
          </rPr>
          <t>ML 3549 IR 39 (1808) – AL Ung Komität Nr. 92 (Munkats 31/03/1808); ST Sept (Ofen 10/10/1808); Oct (Ofen 15/10/1808]</t>
        </r>
        <r>
          <rPr>
            <sz val="14"/>
            <color rgb="FF000000"/>
            <rFont val="Calibri"/>
            <family val="34"/>
          </rPr>
          <t xml:space="preserve">
</t>
        </r>
        <r>
          <rPr>
            <sz val="14"/>
            <color rgb="FF000000"/>
            <rFont val="Times New Roman"/>
            <family val="18"/>
          </rPr>
          <t>ML 3550 IR 39 (1809) – ST Jan (12/01/1810), July (Ofen 20/08/1810), Aug (Ofen 20/09/1810)</t>
        </r>
        <r>
          <rPr>
            <sz val="14"/>
            <color rgb="FF000000"/>
            <rFont val="Calibri"/>
            <family val="34"/>
          </rPr>
          <t xml:space="preserve">
</t>
        </r>
      </text>
    </comment>
    <comment ref="BH1132" authorId="0" shapeId="0" xr:uid="{BEECADA4-667D-6348-BB7B-3E00482D79AC}">
      <text>
        <r>
          <rPr>
            <sz val="14"/>
            <color rgb="FF000000"/>
            <rFont val="Calibri"/>
            <family val="34"/>
          </rPr>
          <t>IR 39 (1808-1810)</t>
        </r>
      </text>
    </comment>
    <comment ref="BF1133" authorId="0" shapeId="0" xr:uid="{00F45D23-BC52-C34C-B6E3-ADFCBEEAA699}">
      <text>
        <r>
          <rPr>
            <sz val="14"/>
            <color rgb="FF000000"/>
            <rFont val="Times New Roman"/>
            <family val="18"/>
          </rPr>
          <t xml:space="preserve">31/03/1808 </t>
        </r>
        <r>
          <rPr>
            <i/>
            <sz val="14"/>
            <color rgb="FF000000"/>
            <rFont val="Times New Roman"/>
            <family val="18"/>
          </rPr>
          <t xml:space="preserve">Von Ung Komität gestellt, gegen 3FL zum IR 39 assentiert, und zur 12. Komp. eingeteilt </t>
        </r>
        <r>
          <rPr>
            <sz val="14"/>
            <color rgb="FF000000"/>
            <rFont val="Times New Roman"/>
            <family val="18"/>
          </rPr>
          <t>[AL März 1808 &amp; RL 1808]</t>
        </r>
        <r>
          <rPr>
            <sz val="14"/>
            <color rgb="FF000000"/>
            <rFont val="Calibri"/>
            <family val="34"/>
          </rPr>
          <t xml:space="preserve">
</t>
        </r>
        <r>
          <rPr>
            <sz val="14"/>
            <color rgb="FF000000"/>
            <rFont val="Times New Roman"/>
            <family val="18"/>
          </rPr>
          <t>19/08/1808 Revision: IR 39. 16. Fus. Nr. 208 [</t>
        </r>
        <r>
          <rPr>
            <i/>
            <sz val="14"/>
            <color rgb="FF000000"/>
            <rFont val="Times New Roman"/>
            <family val="18"/>
          </rPr>
          <t>Kommandiert Beurlaubt</t>
        </r>
        <r>
          <rPr>
            <sz val="14"/>
            <color rgb="FF000000"/>
            <rFont val="Times New Roman"/>
            <family val="18"/>
          </rPr>
          <t>]</t>
        </r>
        <r>
          <rPr>
            <sz val="14"/>
            <color rgb="FF000000"/>
            <rFont val="Calibri"/>
            <family val="34"/>
          </rPr>
          <t xml:space="preserve">
</t>
        </r>
        <r>
          <rPr>
            <sz val="14"/>
            <color rgb="FF000000"/>
            <rFont val="Times New Roman"/>
            <family val="18"/>
          </rPr>
          <t xml:space="preserve">26/04/1809 </t>
        </r>
        <r>
          <rPr>
            <i/>
            <sz val="14"/>
            <color rgb="FF000000"/>
            <rFont val="Times New Roman"/>
            <family val="18"/>
          </rPr>
          <t>Krank mit auswärtiger Gebühr</t>
        </r>
        <r>
          <rPr>
            <sz val="14"/>
            <color rgb="FF000000"/>
            <rFont val="Times New Roman"/>
            <family val="18"/>
          </rPr>
          <t xml:space="preserve"> (mit 11 anderen) </t>
        </r>
        <r>
          <rPr>
            <b/>
            <sz val="14"/>
            <color rgb="FF000000"/>
            <rFont val="Times New Roman"/>
            <family val="18"/>
          </rPr>
          <t>[?Verletzt am Neumarkt-Sankt Veit]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04/11/1810 </t>
        </r>
        <r>
          <rPr>
            <i/>
            <sz val="14"/>
            <color rgb="FF000000"/>
            <rFont val="Times New Roman"/>
            <family val="18"/>
          </rPr>
          <t>Zu Comorn in Spital gestorben</t>
        </r>
        <r>
          <rPr>
            <sz val="14"/>
            <color rgb="FF000000"/>
            <rFont val="Times New Roman"/>
            <family val="18"/>
          </rPr>
          <t xml:space="preserve"> [ML 1811] </t>
        </r>
      </text>
    </comment>
    <comment ref="BG1133" authorId="0" shapeId="0" xr:uid="{93F50A06-5A7A-0B4B-BF4A-3962F82A169A}">
      <text>
        <r>
          <rPr>
            <sz val="14"/>
            <color rgb="FF000000"/>
            <rFont val="Times New Roman"/>
            <family val="18"/>
          </rPr>
          <t>ML 3500 IR 39 (1808-10) – RL 1808 16. Fus. Komp. Nr. 208 (Lager bei Comorn 19/09/1808)</t>
        </r>
        <r>
          <rPr>
            <sz val="14"/>
            <color rgb="FF000000"/>
            <rFont val="Calibri"/>
            <family val="34"/>
          </rPr>
          <t xml:space="preserve">
</t>
        </r>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3549 IR 39 (1808) – AL Ung Komität Nr. 94 (Munkats 31/03/1808)</t>
        </r>
        <r>
          <rPr>
            <sz val="14"/>
            <color rgb="FF000000"/>
            <rFont val="Calibri"/>
            <family val="34"/>
          </rPr>
          <t xml:space="preserve">
</t>
        </r>
        <r>
          <rPr>
            <sz val="14"/>
            <color rgb="FF000000"/>
            <rFont val="Times New Roman"/>
            <family val="18"/>
          </rPr>
          <t>ML 3550 IR 39 (1809) – ST April (Ofen 10/02/1811)</t>
        </r>
        <r>
          <rPr>
            <sz val="14"/>
            <color rgb="FF000000"/>
            <rFont val="Calibri"/>
            <family val="34"/>
          </rPr>
          <t xml:space="preserve">
</t>
        </r>
        <r>
          <rPr>
            <sz val="14"/>
            <color rgb="FF000000"/>
            <rFont val="Times New Roman"/>
            <family val="18"/>
          </rPr>
          <t>ML 3551 IR 39 (1810) – ST Nov (Ofen 21/12/1811)</t>
        </r>
        <r>
          <rPr>
            <sz val="14"/>
            <color rgb="FF000000"/>
            <rFont val="Calibri"/>
            <family val="34"/>
          </rPr>
          <t xml:space="preserve">
</t>
        </r>
      </text>
    </comment>
    <comment ref="BH1133" authorId="0" shapeId="0" xr:uid="{64C769C3-DDDC-064B-93DC-6A71AF0C87AE}">
      <text>
        <r>
          <rPr>
            <sz val="14"/>
            <color rgb="FF000000"/>
            <rFont val="Calibri"/>
            <family val="34"/>
          </rPr>
          <t>IR 39 (1808-1810)</t>
        </r>
      </text>
    </comment>
    <comment ref="BF1134" authorId="0" shapeId="0" xr:uid="{F6950C20-4815-2F4B-BB50-48A7472F76AF}">
      <text>
        <r>
          <rPr>
            <sz val="14"/>
            <color rgb="FF000000"/>
            <rFont val="Times New Roman"/>
            <family val="18"/>
          </rPr>
          <t xml:space="preserve">31/03/1808 </t>
        </r>
        <r>
          <rPr>
            <i/>
            <sz val="14"/>
            <color rgb="FF000000"/>
            <rFont val="Times New Roman"/>
            <family val="18"/>
          </rPr>
          <t>von Land von Orten</t>
        </r>
        <r>
          <rPr>
            <sz val="14"/>
            <color rgb="FF000000"/>
            <rFont val="Times New Roman"/>
            <family val="18"/>
          </rPr>
          <t xml:space="preserve"> </t>
        </r>
        <r>
          <rPr>
            <i/>
            <sz val="14"/>
            <color rgb="FF000000"/>
            <rFont val="Times New Roman"/>
            <family val="18"/>
          </rPr>
          <t>Szerdahely</t>
        </r>
        <r>
          <rPr>
            <sz val="14"/>
            <color rgb="FF000000"/>
            <rFont val="Times New Roman"/>
            <family val="18"/>
          </rPr>
          <t xml:space="preserve"> [</t>
        </r>
        <r>
          <rPr>
            <b/>
            <sz val="14"/>
            <color rgb="FF000000"/>
            <rFont val="Times New Roman"/>
            <family val="18"/>
          </rPr>
          <t xml:space="preserve">Dunajská Streda, Slovakia or alternativly Szerdahely, Fertőszentmiklós, Hungary] </t>
        </r>
        <r>
          <rPr>
            <i/>
            <sz val="14"/>
            <color rgb="FF000000"/>
            <rFont val="Times New Roman"/>
            <family val="18"/>
          </rPr>
          <t>a 3Fl Handgeld gestellt Ohne Capitulation</t>
        </r>
        <r>
          <rPr>
            <sz val="14"/>
            <color rgb="FF000000"/>
            <rFont val="Times New Roman"/>
            <family val="18"/>
          </rPr>
          <t xml:space="preserve"> [ML 1811 &amp; SUP 1811]</t>
        </r>
        <r>
          <rPr>
            <sz val="14"/>
            <color rgb="FF000000"/>
            <rFont val="Calibri"/>
            <family val="34"/>
          </rPr>
          <t xml:space="preserve">
</t>
        </r>
        <r>
          <rPr>
            <sz val="14"/>
            <color rgb="FF000000"/>
            <rFont val="Times New Roman"/>
            <family val="18"/>
          </rPr>
          <t xml:space="preserve">03/09/1811 Superarbietriert: </t>
        </r>
        <r>
          <rPr>
            <i/>
            <sz val="14"/>
            <color rgb="FF000000"/>
            <rFont val="Times New Roman"/>
            <family val="18"/>
          </rPr>
          <t>Mit Abschied zu entlassen</t>
        </r>
        <r>
          <rPr>
            <sz val="14"/>
            <color rgb="FF000000"/>
            <rFont val="Times New Roman"/>
            <family val="18"/>
          </rPr>
          <t xml:space="preserve"> [SUP Sept 1811] </t>
        </r>
        <r>
          <rPr>
            <sz val="14"/>
            <color rgb="FF000000"/>
            <rFont val="Calibri"/>
            <family val="34"/>
          </rPr>
          <t xml:space="preserve">
</t>
        </r>
        <r>
          <rPr>
            <sz val="14"/>
            <color rgb="FF000000"/>
            <rFont val="Times New Roman"/>
            <family val="18"/>
          </rPr>
          <t>20/09/1811 Am Muster: 16. Fus Comp.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31/10/1811 </t>
        </r>
        <r>
          <rPr>
            <i/>
            <sz val="14"/>
            <color rgb="FF000000"/>
            <rFont val="Times New Roman"/>
            <family val="18"/>
          </rPr>
          <t>als anerkannter Real Invalid gegen Renuncierung in Folge hoher Ungarische General Commando Verordnung dt. Ofen 19. 7br Nr. 13999 Von unbestimmte Urlaub mit Abschied entlassen</t>
        </r>
        <r>
          <rPr>
            <sz val="14"/>
            <color rgb="FF000000"/>
            <rFont val="Times New Roman"/>
            <family val="18"/>
          </rPr>
          <t xml:space="preserve"> [ST Oct 1811 16. Fus Comp]</t>
        </r>
        <r>
          <rPr>
            <sz val="14"/>
            <color rgb="FF000000"/>
            <rFont val="Calibri"/>
            <family val="34"/>
          </rPr>
          <t xml:space="preserve">
</t>
        </r>
      </text>
    </comment>
    <comment ref="BG1134" authorId="0" shapeId="0" xr:uid="{8DF098D9-4795-8D4E-9F9F-22E1E0312807}">
      <text>
        <r>
          <rPr>
            <sz val="14"/>
            <color rgb="FF000000"/>
            <rFont val="Times New Roman"/>
            <family val="18"/>
          </rPr>
          <t>ML 195 IR 2 (1811) – SUP Nr. 1 (Pest 03/09/1811) &amp; ST Oct 16. Fus. Comp. – Abgang (Wien 06/02/1812)</t>
        </r>
        <r>
          <rPr>
            <sz val="14"/>
            <color rgb="FF000000"/>
            <rFont val="Calibri"/>
            <family val="34"/>
          </rPr>
          <t xml:space="preserve">
</t>
        </r>
      </text>
    </comment>
    <comment ref="BH1134" authorId="0" shapeId="0" xr:uid="{776406BF-C050-6544-92D0-050F9D917149}">
      <text>
        <r>
          <rPr>
            <sz val="14"/>
            <color rgb="FF000000"/>
            <rFont val="Calibri"/>
            <family val="34"/>
          </rPr>
          <t>IR 2 (1808-1811)</t>
        </r>
      </text>
    </comment>
    <comment ref="C1135" authorId="0" shapeId="0" xr:uid="{273F5C87-BB34-354A-BE5F-1F4BC33E7016}">
      <text>
        <r>
          <rPr>
            <b/>
            <u/>
            <sz val="14"/>
            <color rgb="FF0563C1"/>
            <rFont val="Times New Roman"/>
            <family val="18"/>
          </rPr>
          <t>Uzhhorod, Ukraine</t>
        </r>
        <r>
          <rPr>
            <b/>
            <sz val="14"/>
            <color rgb="FF000000"/>
            <rFont val="Times New Roman"/>
            <family val="18"/>
          </rPr>
          <t xml:space="preserve">, </t>
        </r>
        <r>
          <rPr>
            <i/>
            <sz val="14"/>
            <color rgb="FF000000"/>
            <rFont val="Times New Roman"/>
            <family val="18"/>
          </rPr>
          <t xml:space="preserve">Ung, Ungarn
</t>
        </r>
        <r>
          <rPr>
            <b/>
            <i/>
            <sz val="14"/>
            <color rgb="FF000000"/>
            <rFont val="Times New Roman"/>
            <family val="18"/>
          </rPr>
          <t xml:space="preserve">or
</t>
        </r>
        <r>
          <rPr>
            <b/>
            <i/>
            <sz val="14"/>
            <color rgb="FF000000"/>
            <rFont val="Times New Roman"/>
            <family val="18"/>
          </rPr>
          <t>Jerke</t>
        </r>
        <r>
          <rPr>
            <b/>
            <sz val="14"/>
            <color rgb="FF000000"/>
            <rFont val="Times New Roman"/>
            <family val="18"/>
          </rPr>
          <t xml:space="preserve"> [?], </t>
        </r>
        <r>
          <rPr>
            <b/>
            <sz val="14"/>
            <color rgb="FF000000"/>
            <rFont val="Times New Roman"/>
            <family val="18"/>
          </rPr>
          <t xml:space="preserve">Sambor Kreis, </t>
        </r>
        <r>
          <rPr>
            <b/>
            <i/>
            <sz val="14"/>
            <color rgb="FF000000"/>
            <rFont val="Times New Roman"/>
            <family val="18"/>
          </rPr>
          <t>Ost Galizien</t>
        </r>
      </text>
    </comment>
    <comment ref="I1135" authorId="0" shapeId="0" xr:uid="{3DE043B7-1D60-FC4B-8A89-1C7A0A12C62B}">
      <text>
        <r>
          <rPr>
            <b/>
            <sz val="14"/>
            <color rgb="FF000000"/>
            <rFont val="Calibri"/>
            <family val="34"/>
          </rPr>
          <t xml:space="preserve">1788 [20 (AL 1808)]
</t>
        </r>
        <r>
          <rPr>
            <sz val="14"/>
            <color rgb="FF000000"/>
            <rFont val="Calibri"/>
            <family val="34"/>
          </rPr>
          <t xml:space="preserve">OR 
</t>
        </r>
        <r>
          <rPr>
            <sz val="14"/>
            <color rgb="FF000000"/>
            <rFont val="Calibri"/>
            <family val="34"/>
          </rPr>
          <t>1789 [22 (ML 1811)]</t>
        </r>
      </text>
    </comment>
    <comment ref="T1135" authorId="0" shapeId="0" xr:uid="{B39CE6DC-F916-2D4C-A75B-72A3C3D51D04}">
      <text>
        <r>
          <rPr>
            <b/>
            <sz val="14"/>
            <color rgb="FF000000"/>
            <rFont val="Calibri"/>
            <family val="34"/>
          </rPr>
          <t xml:space="preserve">5.3.2 [166.33 cm (AL 1808)]
</t>
        </r>
        <r>
          <rPr>
            <sz val="14"/>
            <color rgb="FF000000"/>
            <rFont val="Calibri"/>
            <family val="34"/>
          </rPr>
          <t>5.4.1 [168.74 cm (ML 1811)]</t>
        </r>
      </text>
    </comment>
    <comment ref="BF1135" authorId="0" shapeId="0" xr:uid="{2A95F167-3D94-4E4F-8950-8086CF1F2D38}">
      <text>
        <r>
          <rPr>
            <sz val="14"/>
            <color rgb="FFFF0000"/>
            <rFont val="Times New Roman"/>
            <family val="18"/>
          </rPr>
          <t xml:space="preserve">15/03/1808 </t>
        </r>
        <r>
          <rPr>
            <i/>
            <sz val="14"/>
            <color rgb="FFFF0000"/>
            <rFont val="Times New Roman"/>
            <family val="18"/>
          </rPr>
          <t>A 3Fl gestellt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31/03/1808 </t>
        </r>
        <r>
          <rPr>
            <i/>
            <sz val="14"/>
            <color rgb="FF000000"/>
            <rFont val="Times New Roman"/>
            <family val="18"/>
          </rPr>
          <t>Von Ung Komität gestellt, gegen 3FL zum IR 39 assentiert, und zur 12.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19/08/1808 Revision: IR 39. 16. Fus. Nr. 209 [</t>
        </r>
        <r>
          <rPr>
            <i/>
            <sz val="14"/>
            <color rgb="FF000000"/>
            <rFont val="Times New Roman"/>
            <family val="18"/>
          </rPr>
          <t>Kommandiert zu Bacs</t>
        </r>
        <r>
          <rPr>
            <sz val="14"/>
            <color rgb="FF000000"/>
            <rFont val="Times New Roman"/>
            <family val="18"/>
          </rPr>
          <t>]</t>
        </r>
        <r>
          <rPr>
            <sz val="14"/>
            <color rgb="FF000000"/>
            <rFont val="Calibri"/>
            <family val="34"/>
          </rPr>
          <t xml:space="preserve">
</t>
        </r>
        <r>
          <rPr>
            <sz val="14"/>
            <color rgb="FF000000"/>
            <rFont val="Times New Roman"/>
            <family val="18"/>
          </rPr>
          <t xml:space="preserve">03/05/1809 </t>
        </r>
        <r>
          <rPr>
            <b/>
            <sz val="14"/>
            <color rgb="FF000000"/>
            <rFont val="Times New Roman"/>
            <family val="18"/>
          </rPr>
          <t xml:space="preserve">[Bei der Schlacht von Ebelsberg] </t>
        </r>
        <r>
          <rPr>
            <i/>
            <sz val="14"/>
            <color rgb="FF000000"/>
            <rFont val="Times New Roman"/>
            <family val="18"/>
          </rPr>
          <t>Kriegsgefangen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29/12/1809 </t>
        </r>
        <r>
          <rPr>
            <i/>
            <sz val="14"/>
            <color rgb="FF000000"/>
            <rFont val="Times New Roman"/>
            <family val="18"/>
          </rPr>
          <t>Als Selbst Ranzionierter aus der Kriegsgefangenschaft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01/11/1810 </t>
        </r>
        <r>
          <rPr>
            <i/>
            <sz val="14"/>
            <color rgb="FF000000"/>
            <rFont val="Times New Roman"/>
            <family val="18"/>
          </rPr>
          <t>Von IR 39 16. Fus. Komp. zum IR 9 Czartoryski transferiert</t>
        </r>
        <r>
          <rPr>
            <sz val="14"/>
            <color rgb="FF000000"/>
            <rFont val="Times New Roman"/>
            <family val="18"/>
          </rPr>
          <t xml:space="preserve"> [ML 1811]</t>
        </r>
        <r>
          <rPr>
            <sz val="14"/>
            <color rgb="FF000000"/>
            <rFont val="Calibri"/>
            <family val="34"/>
          </rPr>
          <t xml:space="preserve">
</t>
        </r>
        <r>
          <rPr>
            <sz val="14"/>
            <color rgb="FFFF0000"/>
            <rFont val="Times New Roman"/>
            <family val="18"/>
          </rPr>
          <t xml:space="preserve">06/01/1811 </t>
        </r>
        <r>
          <rPr>
            <i/>
            <sz val="14"/>
            <color rgb="FFFF0000"/>
            <rFont val="Times New Roman"/>
            <family val="18"/>
          </rPr>
          <t>Von IR 39 Duka Inf zum IR 9 transferiert</t>
        </r>
        <r>
          <rPr>
            <sz val="14"/>
            <color rgb="FFFF0000"/>
            <rFont val="Times New Roman"/>
            <family val="18"/>
          </rPr>
          <t xml:space="preserve"> [ML 1811]</t>
        </r>
        <r>
          <rPr>
            <sz val="14"/>
            <color rgb="FF000000"/>
            <rFont val="Calibri"/>
            <family val="34"/>
          </rPr>
          <t xml:space="preserve">
</t>
        </r>
        <r>
          <rPr>
            <sz val="14"/>
            <color rgb="FF000000"/>
            <rFont val="Times New Roman"/>
            <family val="18"/>
          </rPr>
          <t>09/09/1811 Muster: IR 9 1. fus. Komp. Nr. 236</t>
        </r>
        <r>
          <rPr>
            <sz val="14"/>
            <color rgb="FF000000"/>
            <rFont val="Calibri"/>
            <family val="34"/>
          </rPr>
          <t xml:space="preserve">
</t>
        </r>
      </text>
    </comment>
    <comment ref="BG1135" authorId="0" shapeId="0" xr:uid="{7DB2DD29-6864-5D45-B5D1-875F10C79FD6}">
      <text>
        <r>
          <rPr>
            <sz val="14"/>
            <color rgb="FF000000"/>
            <rFont val="Times New Roman"/>
            <family val="18"/>
          </rPr>
          <t>ML 3500 IR 39 (1808-10) – RL 1808 16. Fus. Komp. Nr. 209 (Lager bei Comorn 19/09/1808)</t>
        </r>
        <r>
          <rPr>
            <sz val="14"/>
            <color rgb="FF000000"/>
            <rFont val="Calibri"/>
            <family val="34"/>
          </rPr>
          <t xml:space="preserve">
</t>
        </r>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3549 IR 39 (1808) – AL Ung Komität Nr. 97 (Munkats 31/03/1808)</t>
        </r>
        <r>
          <rPr>
            <sz val="14"/>
            <color rgb="FF000000"/>
            <rFont val="Calibri"/>
            <family val="34"/>
          </rPr>
          <t xml:space="preserve">
</t>
        </r>
        <r>
          <rPr>
            <sz val="14"/>
            <color rgb="FF000000"/>
            <rFont val="Times New Roman"/>
            <family val="18"/>
          </rPr>
          <t>ML 634 IR 9 (1811) – 1. Fus. Komp. Nr. 172 (Eperies, 09/09/1811)</t>
        </r>
        <r>
          <rPr>
            <sz val="14"/>
            <color rgb="FF000000"/>
            <rFont val="Calibri"/>
            <family val="34"/>
          </rPr>
          <t xml:space="preserve">
</t>
        </r>
      </text>
    </comment>
    <comment ref="BH1135" authorId="0" shapeId="0" xr:uid="{40B1E117-E1A9-9F48-B60A-DB2C5F90CE93}">
      <text>
        <r>
          <rPr>
            <sz val="14"/>
            <color rgb="FF000000"/>
            <rFont val="Calibri"/>
            <family val="34"/>
          </rPr>
          <t xml:space="preserve">IR 39 (1808-1810)
</t>
        </r>
        <r>
          <rPr>
            <sz val="14"/>
            <color rgb="FF000000"/>
            <rFont val="Calibri"/>
            <family val="34"/>
          </rPr>
          <t>IR 9 (1810-1811)</t>
        </r>
      </text>
    </comment>
    <comment ref="BF1136" authorId="0" shapeId="0" xr:uid="{9D1B9AAD-60C8-2B4A-BDD5-5C47A62ADF9E}">
      <text>
        <r>
          <rPr>
            <sz val="14"/>
            <color rgb="FF000000"/>
            <rFont val="Times New Roman"/>
            <family val="18"/>
          </rPr>
          <t xml:space="preserve">31/03/1808 </t>
        </r>
        <r>
          <rPr>
            <i/>
            <sz val="14"/>
            <color rgb="FF000000"/>
            <rFont val="Times New Roman"/>
            <family val="18"/>
          </rPr>
          <t>Von Ung Komität gestellt, gegen 3FL zum IR 39 assentiert, und zur 12.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19/08/1808 Revision: IR 39. 16. Fus. Nr. 212</t>
        </r>
        <r>
          <rPr>
            <sz val="14"/>
            <color rgb="FF000000"/>
            <rFont val="Calibri"/>
            <family val="34"/>
          </rPr>
          <t xml:space="preserve">
</t>
        </r>
        <r>
          <rPr>
            <sz val="14"/>
            <color rgb="FF000000"/>
            <rFont val="Times New Roman"/>
            <family val="18"/>
          </rPr>
          <t xml:space="preserve">14/11/1809 </t>
        </r>
        <r>
          <rPr>
            <i/>
            <sz val="14"/>
            <color rgb="FF000000"/>
            <rFont val="Times New Roman"/>
            <family val="18"/>
          </rPr>
          <t>Krank mit auswärtiger 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17/07/1811 </t>
        </r>
        <r>
          <rPr>
            <i/>
            <sz val="14"/>
            <color rgb="FF000000"/>
            <rFont val="Times New Roman"/>
            <family val="18"/>
          </rPr>
          <t>Als Kriegscapitulant mit Abschied entlassen</t>
        </r>
        <r>
          <rPr>
            <sz val="14"/>
            <color rgb="FF000000"/>
            <rFont val="Times New Roman"/>
            <family val="18"/>
          </rPr>
          <t xml:space="preserve"> </t>
        </r>
      </text>
    </comment>
    <comment ref="BG1136" authorId="0" shapeId="0" xr:uid="{39F4E217-0498-5846-A52F-04DE3AE58E23}">
      <text>
        <r>
          <rPr>
            <sz val="14"/>
            <color rgb="FF000000"/>
            <rFont val="Times New Roman"/>
            <family val="18"/>
          </rPr>
          <t>ML 3500 IR 39 (1808-10) – RL 1808 16. Fus. Komp. Nr. 212 (Lager bei Comorn 19/09/1808)</t>
        </r>
        <r>
          <rPr>
            <sz val="14"/>
            <color rgb="FF000000"/>
            <rFont val="Calibri"/>
            <family val="34"/>
          </rPr>
          <t xml:space="preserve">
</t>
        </r>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3549 IR 39 (1808) – AL Ung Komität Nr. 99 (Munkats 31/03/1808)</t>
        </r>
        <r>
          <rPr>
            <sz val="14"/>
            <color rgb="FF000000"/>
            <rFont val="Calibri"/>
            <family val="34"/>
          </rPr>
          <t xml:space="preserve">
</t>
        </r>
        <r>
          <rPr>
            <sz val="14"/>
            <color rgb="FF000000"/>
            <rFont val="Times New Roman"/>
            <family val="18"/>
          </rPr>
          <t>ML 3550 IR 39 (1809) – ST Nov (Ofen 28/04/1811)</t>
        </r>
        <r>
          <rPr>
            <sz val="14"/>
            <color rgb="FF000000"/>
            <rFont val="Calibri"/>
            <family val="34"/>
          </rPr>
          <t xml:space="preserve">
</t>
        </r>
      </text>
    </comment>
    <comment ref="BH1136" authorId="0" shapeId="0" xr:uid="{C6EEBA92-374C-794F-B026-983807A1BA6C}">
      <text>
        <r>
          <rPr>
            <sz val="14"/>
            <color rgb="FF000000"/>
            <rFont val="Calibri"/>
            <family val="34"/>
          </rPr>
          <t>IR 2 (1808-1811)</t>
        </r>
      </text>
    </comment>
    <comment ref="BF1137" authorId="0" shapeId="0" xr:uid="{6CCC08CD-C734-5E4F-B45E-A5C61E54467C}">
      <text>
        <r>
          <rPr>
            <sz val="14"/>
            <color rgb="FF000000"/>
            <rFont val="Times New Roman"/>
            <family val="18"/>
          </rPr>
          <t xml:space="preserve">04/06/1808 </t>
        </r>
        <r>
          <rPr>
            <i/>
            <sz val="14"/>
            <color rgb="FF000000"/>
            <rFont val="Times New Roman"/>
            <family val="18"/>
          </rPr>
          <t>A 3Fl Handgled sich freiwillig angeworben</t>
        </r>
        <r>
          <rPr>
            <sz val="14"/>
            <color rgb="FF000000"/>
            <rFont val="Times New Roman"/>
            <family val="18"/>
          </rPr>
          <t xml:space="preserve"> [ML 1808]</t>
        </r>
        <r>
          <rPr>
            <sz val="14"/>
            <color rgb="FF000000"/>
            <rFont val="Calibri"/>
            <family val="34"/>
          </rPr>
          <t xml:space="preserve">
</t>
        </r>
        <r>
          <rPr>
            <sz val="14"/>
            <color rgb="FF000000"/>
            <rFont val="Times New Roman"/>
            <family val="18"/>
          </rPr>
          <t>17/09/1808</t>
        </r>
        <r>
          <rPr>
            <i/>
            <sz val="14"/>
            <color rgb="FF000000"/>
            <rFont val="Times New Roman"/>
            <family val="18"/>
          </rPr>
          <t xml:space="preserve"> 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2. Fus. Komp. Nr. 211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11/10/1808 </t>
        </r>
        <r>
          <rPr>
            <i/>
            <sz val="14"/>
            <color rgb="FF000000"/>
            <rFont val="Times New Roman"/>
            <family val="18"/>
          </rPr>
          <t>Auf bestimmte Zeit beurlaubt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15/05/1809 </t>
        </r>
        <r>
          <rPr>
            <i/>
            <sz val="14"/>
            <color rgb="FF000000"/>
            <rFont val="Times New Roman"/>
            <family val="18"/>
          </rPr>
          <t>Gegen Stellung Anderer Mannes mit Abschied entlassen</t>
        </r>
        <r>
          <rPr>
            <sz val="14"/>
            <color rgb="FF000000"/>
            <rFont val="Times New Roman"/>
            <family val="18"/>
          </rPr>
          <t xml:space="preserve"> [ML 1811]</t>
        </r>
        <r>
          <rPr>
            <sz val="14"/>
            <color rgb="FF000000"/>
            <rFont val="Calibri"/>
            <family val="34"/>
          </rPr>
          <t xml:space="preserve">
</t>
        </r>
      </text>
    </comment>
    <comment ref="BG1137" authorId="0" shapeId="0" xr:uid="{7B472AC7-FAF5-E241-A68E-D13D92636F7F}">
      <text>
        <r>
          <rPr>
            <sz val="14"/>
            <color rgb="FF000000"/>
            <rFont val="Times New Roman"/>
            <family val="18"/>
          </rPr>
          <t>ML 3500 IR 39 (1808-10) – RL 1808 2. Fus. Komp. Nr. 211 (Comorn 19/09/1808)</t>
        </r>
        <r>
          <rPr>
            <sz val="14"/>
            <color rgb="FF000000"/>
            <rFont val="Calibri"/>
            <family val="34"/>
          </rPr>
          <t xml:space="preserve">
</t>
        </r>
        <r>
          <rPr>
            <sz val="14"/>
            <color rgb="FF000000"/>
            <rFont val="Times New Roman"/>
            <family val="18"/>
          </rPr>
          <t xml:space="preserve">ML 3501/2 IR 39 (1811) – 2. Fus. Komp. Abgang (Szent Andree 14/09/1811)
</t>
        </r>
        <r>
          <rPr>
            <sz val="14"/>
            <color rgb="FF000000"/>
            <rFont val="Times New Roman"/>
            <family val="18"/>
          </rPr>
          <t xml:space="preserve">ML 3549 IR 39 (1808) - ST Sept (10/10/1810), Oct (Ofen 15/10/1810) </t>
        </r>
        <r>
          <rPr>
            <sz val="14"/>
            <color rgb="FF000000"/>
            <rFont val="Calibri"/>
            <family val="34"/>
          </rPr>
          <t xml:space="preserve">
</t>
        </r>
      </text>
    </comment>
    <comment ref="BH1137" authorId="0" shapeId="0" xr:uid="{43EB3103-0FBF-BE48-836F-EBB115EE1C05}">
      <text>
        <r>
          <rPr>
            <sz val="14"/>
            <color rgb="FF000000"/>
            <rFont val="Calibri"/>
            <family val="34"/>
          </rPr>
          <t>IR 2 (1808-1809)</t>
        </r>
      </text>
    </comment>
    <comment ref="BF1138" authorId="0" shapeId="0" xr:uid="{4FE759F8-82A6-934A-9CFF-B4CF50300846}">
      <text>
        <r>
          <rPr>
            <sz val="14"/>
            <color rgb="FF000000"/>
            <rFont val="Times New Roman"/>
            <family val="18"/>
          </rPr>
          <t xml:space="preserve">05/08/1808 </t>
        </r>
        <r>
          <rPr>
            <i/>
            <sz val="14"/>
            <color rgb="FF000000"/>
            <rFont val="Times New Roman"/>
            <family val="18"/>
          </rPr>
          <t>Landständisch zu Sambor gestellt und gegen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16/04/1809 </t>
        </r>
        <r>
          <rPr>
            <i/>
            <sz val="14"/>
            <color rgb="FF000000"/>
            <rFont val="Times New Roman"/>
            <family val="18"/>
          </rPr>
          <t xml:space="preserve">Von 1. Reserve zum 12. Fus. Komp transferiert </t>
        </r>
        <r>
          <rPr>
            <sz val="14"/>
            <color rgb="FF000000"/>
            <rFont val="Times New Roman"/>
            <family val="18"/>
          </rPr>
          <t xml:space="preserve">[ST April 1809] </t>
        </r>
        <r>
          <rPr>
            <sz val="14"/>
            <color rgb="FF000000"/>
            <rFont val="Calibri"/>
            <family val="34"/>
          </rPr>
          <t xml:space="preserve">
</t>
        </r>
        <r>
          <rPr>
            <sz val="14"/>
            <color rgb="FF000000"/>
            <rFont val="Times New Roman"/>
            <family val="18"/>
          </rPr>
          <t xml:space="preserve">01/05/1809 </t>
        </r>
        <r>
          <rPr>
            <i/>
            <sz val="14"/>
            <color rgb="FF000000"/>
            <rFont val="Times New Roman"/>
            <family val="18"/>
          </rPr>
          <t xml:space="preserve">Krank Aufname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Rekonvalesziert</t>
        </r>
        <r>
          <rPr>
            <sz val="14"/>
            <color rgb="FF000000"/>
            <rFont val="Times New Roman"/>
            <family val="18"/>
          </rPr>
          <t xml:space="preserve"> [ST July]</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12. Zum 6.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6. Fus. Komp. Nr. 177 [</t>
        </r>
        <r>
          <rPr>
            <i/>
            <sz val="14"/>
            <color rgb="FF000000"/>
            <rFont val="Times New Roman"/>
            <family val="18"/>
          </rPr>
          <t>Commandiert Beurlaubt zu Moszally</t>
        </r>
        <r>
          <rPr>
            <sz val="14"/>
            <color rgb="FF000000"/>
            <rFont val="Times New Roman"/>
            <family val="18"/>
          </rPr>
          <t>]</t>
        </r>
        <r>
          <rPr>
            <sz val="14"/>
            <color rgb="FF000000"/>
            <rFont val="Calibri"/>
            <family val="34"/>
          </rPr>
          <t xml:space="preserve">
</t>
        </r>
        <r>
          <rPr>
            <sz val="14"/>
            <color rgb="FF000000"/>
            <rFont val="Times New Roman"/>
            <family val="18"/>
          </rPr>
          <t>18/09/1811 Muster: IR 44 6. Fus. Komp. Nr. 59 [</t>
        </r>
        <r>
          <rPr>
            <i/>
            <sz val="14"/>
            <color rgb="FF000000"/>
            <rFont val="Times New Roman"/>
            <family val="18"/>
          </rPr>
          <t>Beurlaubt commandiert auf Bergbau</t>
        </r>
        <r>
          <rPr>
            <sz val="14"/>
            <color rgb="FF000000"/>
            <rFont val="Times New Roman"/>
            <family val="18"/>
          </rPr>
          <t>]</t>
        </r>
        <r>
          <rPr>
            <sz val="14"/>
            <color rgb="FF000000"/>
            <rFont val="Calibri"/>
            <family val="34"/>
          </rPr>
          <t xml:space="preserve">
</t>
        </r>
        <r>
          <rPr>
            <sz val="14"/>
            <color rgb="FF000000"/>
            <rFont val="Times New Roman"/>
            <family val="18"/>
          </rPr>
          <t>19/09/1812 Revision: IR 44 6. Fus. Komp. Nr. 34 [</t>
        </r>
        <r>
          <rPr>
            <i/>
            <sz val="14"/>
            <color rgb="FF000000"/>
            <rFont val="Times New Roman"/>
            <family val="18"/>
          </rPr>
          <t>Beim Bergbau zu Orrawitze in Banat</t>
        </r>
        <r>
          <rPr>
            <sz val="14"/>
            <color rgb="FF000000"/>
            <rFont val="Times New Roman"/>
            <family val="18"/>
          </rPr>
          <t>]</t>
        </r>
        <r>
          <rPr>
            <sz val="14"/>
            <color rgb="FF000000"/>
            <rFont val="Calibri"/>
            <family val="34"/>
          </rPr>
          <t xml:space="preserve">
</t>
        </r>
        <r>
          <rPr>
            <sz val="14"/>
            <color rgb="FF000000"/>
            <rFont val="Times New Roman"/>
            <family val="18"/>
          </rPr>
          <t>05/01/1818 Muster: IR 44 6. Fus. Komp. Nr. 23</t>
        </r>
        <r>
          <rPr>
            <sz val="14"/>
            <color rgb="FF000000"/>
            <rFont val="Calibri"/>
            <family val="34"/>
          </rPr>
          <t xml:space="preserve">
</t>
        </r>
        <r>
          <rPr>
            <sz val="14"/>
            <color rgb="FF000000"/>
            <rFont val="Times New Roman"/>
            <family val="18"/>
          </rPr>
          <t>27/10/1818 Muster: IR 44 6. Fus. Komp. Nr. 24 [</t>
        </r>
        <r>
          <rPr>
            <i/>
            <sz val="14"/>
            <color rgb="FF000000"/>
            <rFont val="Times New Roman"/>
            <family val="18"/>
          </rPr>
          <t>Ausgedienter Capitulant, wird mit Abschied entlassen</t>
        </r>
        <r>
          <rPr>
            <sz val="14"/>
            <color rgb="FF000000"/>
            <rFont val="Times New Roman"/>
            <family val="18"/>
          </rPr>
          <t>]</t>
        </r>
        <r>
          <rPr>
            <sz val="14"/>
            <color rgb="FF000000"/>
            <rFont val="Calibri"/>
            <family val="34"/>
          </rPr>
          <t xml:space="preserve">
</t>
        </r>
        <r>
          <rPr>
            <sz val="14"/>
            <color rgb="FF000000"/>
            <rFont val="Times New Roman"/>
            <family val="18"/>
          </rPr>
          <t xml:space="preserve">25/10/1818 </t>
        </r>
        <r>
          <rPr>
            <i/>
            <sz val="14"/>
            <color rgb="FF000000"/>
            <rFont val="Times New Roman"/>
            <family val="18"/>
          </rPr>
          <t>Als ausgedienter Capitulant mit Abschied entlassen</t>
        </r>
        <r>
          <rPr>
            <sz val="14"/>
            <color rgb="FF000000"/>
            <rFont val="Times New Roman"/>
            <family val="18"/>
          </rPr>
          <t xml:space="preserve"> [ML 1819]</t>
        </r>
        <r>
          <rPr>
            <sz val="14"/>
            <color rgb="FF000000"/>
            <rFont val="Calibri"/>
            <family val="34"/>
          </rPr>
          <t xml:space="preserve">
</t>
        </r>
      </text>
    </comment>
    <comment ref="BG1138" authorId="0" shapeId="0" xr:uid="{898F3E1D-EF7F-1C44-A5FC-5E2934EBFC2E}">
      <text>
        <r>
          <rPr>
            <sz val="14"/>
            <color rgb="FF000000"/>
            <rFont val="Times New Roman"/>
            <family val="18"/>
          </rPr>
          <t>ML 3911 IR 44 (1808-10) – 6. Fus. Komp. Nr. 177 (Sthulweissenburg 25/09/1810)</t>
        </r>
        <r>
          <rPr>
            <sz val="14"/>
            <color rgb="FF000000"/>
            <rFont val="Calibri"/>
            <family val="34"/>
          </rPr>
          <t xml:space="preserve">
</t>
        </r>
        <r>
          <rPr>
            <sz val="14"/>
            <color rgb="FF000000"/>
            <rFont val="Times New Roman"/>
            <family val="18"/>
          </rPr>
          <t>ML 3912/3 IR 44 (1811) – 6. Fus. Komp. Nr. 34 (Pappa 18/09/1811)</t>
        </r>
        <r>
          <rPr>
            <sz val="14"/>
            <color rgb="FF000000"/>
            <rFont val="Calibri"/>
            <family val="34"/>
          </rPr>
          <t xml:space="preserve">
</t>
        </r>
        <r>
          <rPr>
            <sz val="14"/>
            <color rgb="FF000000"/>
            <rFont val="Times New Roman"/>
            <family val="18"/>
          </rPr>
          <t>ML 3914 IR 44 (1812/6) – 6. Fus. Komp. Nr. 34 (Pest 19/09/1812)</t>
        </r>
        <r>
          <rPr>
            <sz val="14"/>
            <color rgb="FF000000"/>
            <rFont val="Calibri"/>
            <family val="34"/>
          </rPr>
          <t xml:space="preserve">
</t>
        </r>
        <r>
          <rPr>
            <sz val="14"/>
            <color rgb="FF000000"/>
            <rFont val="Times New Roman"/>
            <family val="18"/>
          </rPr>
          <t>ML 3915/6 IR 44 (1818) – 6 Fus. Komp. Nr. 23 (Pizigethone 08/01/1818); 6 Fus. Komp. Nr. 24 (Pizigethone 27/10/1818)</t>
        </r>
        <r>
          <rPr>
            <sz val="14"/>
            <color rgb="FF000000"/>
            <rFont val="Calibri"/>
            <family val="34"/>
          </rPr>
          <t xml:space="preserve">
</t>
        </r>
        <r>
          <rPr>
            <sz val="14"/>
            <color rgb="FF000000"/>
            <rFont val="Times New Roman"/>
            <family val="18"/>
          </rPr>
          <t>ML 3918/9 IR 44 (1819) – 6. Fus. Komp. Abgang (Milan 22/10/1819)</t>
        </r>
        <r>
          <rPr>
            <sz val="14"/>
            <color rgb="FF000000"/>
            <rFont val="Calibri"/>
            <family val="34"/>
          </rPr>
          <t xml:space="preserve">
</t>
        </r>
        <r>
          <rPr>
            <sz val="14"/>
            <color rgb="FF000000"/>
            <rFont val="Times New Roman"/>
            <family val="18"/>
          </rPr>
          <t>ML 3960 IR 44 (1809) – April (Ofen 06/02/1811), May (Ofen 08/04/1811), Juli (Ofen 08/04/1811)</t>
        </r>
        <r>
          <rPr>
            <sz val="14"/>
            <color rgb="FF000000"/>
            <rFont val="Calibri"/>
            <family val="34"/>
          </rPr>
          <t xml:space="preserve">
</t>
        </r>
      </text>
    </comment>
    <comment ref="BH1138" authorId="0" shapeId="0" xr:uid="{E6399309-E5A4-F444-AA8F-E0F4946DFABB}">
      <text>
        <r>
          <rPr>
            <sz val="14"/>
            <color rgb="FF000000"/>
            <rFont val="Calibri"/>
            <family val="34"/>
          </rPr>
          <t>IR 44 (1808-1818)</t>
        </r>
      </text>
    </comment>
    <comment ref="BF1139" authorId="0" shapeId="0" xr:uid="{4D6B3565-6B9C-7C49-BBC7-D17CDC940815}">
      <text>
        <r>
          <rPr>
            <sz val="14"/>
            <color rgb="FF000000"/>
            <rFont val="Times New Roman"/>
            <family val="18"/>
          </rPr>
          <t xml:space="preserve">06/08/1808 </t>
        </r>
        <r>
          <rPr>
            <i/>
            <sz val="14"/>
            <color rgb="FF000000"/>
            <rFont val="Times New Roman"/>
            <family val="18"/>
          </rPr>
          <t xml:space="preserve">Als Reserve Mann zum IR 1 Reserve Bataillon </t>
        </r>
        <r>
          <rPr>
            <sz val="14"/>
            <color rgb="FF000000"/>
            <rFont val="Times New Roman"/>
            <family val="18"/>
          </rPr>
          <t>[AL Aug 1808]</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139" authorId="0" shapeId="0" xr:uid="{4BF2CDBC-E833-514C-B00A-7F8FAC4762CE}">
      <text>
        <r>
          <rPr>
            <sz val="14"/>
            <color rgb="FF000000"/>
            <rFont val="Times New Roman"/>
            <family val="18"/>
          </rPr>
          <t>ML 90 IR 1 (1808) – AL Reserve Unnumbered (Sokolov 19/08/1808)</t>
        </r>
        <r>
          <rPr>
            <sz val="14"/>
            <color rgb="FF000000"/>
            <rFont val="Calibri"/>
            <family val="34"/>
          </rPr>
          <t xml:space="preserve">
</t>
        </r>
      </text>
    </comment>
    <comment ref="BH1139" authorId="0" shapeId="0" xr:uid="{DF5D551D-DA3D-284F-995D-0A4AF3707F74}">
      <text>
        <r>
          <rPr>
            <sz val="14"/>
            <color rgb="FF000000"/>
            <rFont val="Calibri"/>
            <family val="34"/>
          </rPr>
          <t>IR 1 (1808)</t>
        </r>
      </text>
    </comment>
    <comment ref="BF1140" authorId="0" shapeId="0" xr:uid="{DE230658-91C4-0B4D-8419-BC3036A9B09F}">
      <text>
        <r>
          <rPr>
            <sz val="14"/>
            <color rgb="FF000000"/>
            <rFont val="Times New Roman"/>
            <family val="18"/>
          </rPr>
          <t xml:space="preserve">06/08/1808 </t>
        </r>
        <r>
          <rPr>
            <i/>
            <sz val="14"/>
            <color rgb="FF000000"/>
            <rFont val="Times New Roman"/>
            <family val="18"/>
          </rPr>
          <t xml:space="preserve">Als Reserve Mann zum IR 1 Reserve Bataillon </t>
        </r>
        <r>
          <rPr>
            <sz val="14"/>
            <color rgb="FF000000"/>
            <rFont val="Times New Roman"/>
            <family val="18"/>
          </rPr>
          <t>[AL Aug 1808]</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140" authorId="0" shapeId="0" xr:uid="{6A090F83-9236-D447-9054-B822831A9C80}">
      <text>
        <r>
          <rPr>
            <sz val="14"/>
            <color rgb="FF000000"/>
            <rFont val="Times New Roman"/>
            <family val="18"/>
          </rPr>
          <t>ML 90 IR 1 (1808) – AL Reserve Unnumbered (Sokolov 19/08/1808)</t>
        </r>
        <r>
          <rPr>
            <sz val="14"/>
            <color rgb="FF000000"/>
            <rFont val="Calibri"/>
            <family val="34"/>
          </rPr>
          <t xml:space="preserve">
</t>
        </r>
      </text>
    </comment>
    <comment ref="BH1140" authorId="0" shapeId="0" xr:uid="{7721A5B3-04B0-8745-B3BB-803971C99EB4}">
      <text>
        <r>
          <rPr>
            <sz val="14"/>
            <color rgb="FF000000"/>
            <rFont val="Calibri"/>
            <family val="34"/>
          </rPr>
          <t>IR 1 (1808)</t>
        </r>
      </text>
    </comment>
    <comment ref="BF1141" authorId="0" shapeId="0" xr:uid="{60047964-3429-2C49-9C64-D6910575A010}">
      <text>
        <r>
          <rPr>
            <sz val="14"/>
            <color rgb="FF000000"/>
            <rFont val="Times New Roman"/>
            <family val="18"/>
          </rPr>
          <t xml:space="preserve">06/08/1808 </t>
        </r>
        <r>
          <rPr>
            <i/>
            <sz val="14"/>
            <color rgb="FF000000"/>
            <rFont val="Times New Roman"/>
            <family val="18"/>
          </rPr>
          <t xml:space="preserve">Als Reserve Mann zum IR 1 Reserve Bataillon </t>
        </r>
        <r>
          <rPr>
            <sz val="14"/>
            <color rgb="FF000000"/>
            <rFont val="Times New Roman"/>
            <family val="18"/>
          </rPr>
          <t>[AL Aug 1808]</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141" authorId="0" shapeId="0" xr:uid="{41122220-531C-DC46-BE51-CB1ACE6EFA04}">
      <text>
        <r>
          <rPr>
            <sz val="14"/>
            <color rgb="FF000000"/>
            <rFont val="Times New Roman"/>
            <family val="18"/>
          </rPr>
          <t>ML 90 IR 1 (1808) – AL Reserve Unnumbered (Sokolov 19/08/1808)</t>
        </r>
        <r>
          <rPr>
            <sz val="14"/>
            <color rgb="FF000000"/>
            <rFont val="Calibri"/>
            <family val="34"/>
          </rPr>
          <t xml:space="preserve">
</t>
        </r>
      </text>
    </comment>
    <comment ref="BH1141" authorId="0" shapeId="0" xr:uid="{BA340D39-8C17-5548-A9A9-61B8FF5262AE}">
      <text>
        <r>
          <rPr>
            <sz val="14"/>
            <color rgb="FF000000"/>
            <rFont val="Calibri"/>
            <family val="34"/>
          </rPr>
          <t>IR 1 (1808)</t>
        </r>
      </text>
    </comment>
    <comment ref="BF1142" authorId="0" shapeId="0" xr:uid="{03888411-3B53-BA46-84B6-F4CE10BDF946}">
      <text>
        <r>
          <rPr>
            <sz val="14"/>
            <color rgb="FF000000"/>
            <rFont val="Times New Roman"/>
            <family val="18"/>
          </rPr>
          <t xml:space="preserve">06/08/1808 </t>
        </r>
        <r>
          <rPr>
            <i/>
            <sz val="14"/>
            <color rgb="FF000000"/>
            <rFont val="Times New Roman"/>
            <family val="18"/>
          </rPr>
          <t>Gegen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21/08/1809 </t>
        </r>
        <r>
          <rPr>
            <i/>
            <sz val="14"/>
            <color rgb="FF000000"/>
            <rFont val="Times New Roman"/>
            <family val="18"/>
          </rPr>
          <t>Von 14. Zum 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6. Fus. Komp. Nr. 128</t>
        </r>
        <r>
          <rPr>
            <sz val="14"/>
            <color rgb="FF000000"/>
            <rFont val="Calibri"/>
            <family val="34"/>
          </rPr>
          <t xml:space="preserve">
</t>
        </r>
        <r>
          <rPr>
            <sz val="14"/>
            <color rgb="FF000000"/>
            <rFont val="Times New Roman"/>
            <family val="18"/>
          </rPr>
          <t>18/09/1811 Muster: IR 44 6. Fus. Komp. Nr. 172</t>
        </r>
        <r>
          <rPr>
            <sz val="14"/>
            <color rgb="FF000000"/>
            <rFont val="Calibri"/>
            <family val="34"/>
          </rPr>
          <t xml:space="preserve">
</t>
        </r>
        <r>
          <rPr>
            <sz val="14"/>
            <color rgb="FF000000"/>
            <rFont val="Times New Roman"/>
            <family val="18"/>
          </rPr>
          <t>19/09/1812 Revision: IR 44 6. Fus. Komp. Nr. 91</t>
        </r>
        <r>
          <rPr>
            <sz val="14"/>
            <color rgb="FF000000"/>
            <rFont val="Calibri"/>
            <family val="34"/>
          </rPr>
          <t xml:space="preserve">
</t>
        </r>
      </text>
    </comment>
    <comment ref="BG1142" authorId="0" shapeId="0" xr:uid="{B6D51903-8B18-BF4B-9FAE-BD5B422A9511}">
      <text>
        <r>
          <rPr>
            <sz val="14"/>
            <color rgb="FF000000"/>
            <rFont val="Times New Roman"/>
            <family val="18"/>
          </rPr>
          <t>ML 3911 IR 44 (1808-10) – 6. Fus. Komp. Nr. 128 (Sthulweissenburg 25/09/1810)</t>
        </r>
        <r>
          <rPr>
            <sz val="14"/>
            <color rgb="FF000000"/>
            <rFont val="Calibri"/>
            <family val="34"/>
          </rPr>
          <t xml:space="preserve">
</t>
        </r>
        <r>
          <rPr>
            <sz val="14"/>
            <color rgb="FF000000"/>
            <rFont val="Times New Roman"/>
            <family val="18"/>
          </rPr>
          <t>ML 3912/3 IR 44 (1811) – 6. Fus. Komp. Nr. 172 (Pappa 18/09/1811)</t>
        </r>
        <r>
          <rPr>
            <sz val="14"/>
            <color rgb="FF000000"/>
            <rFont val="Calibri"/>
            <family val="34"/>
          </rPr>
          <t xml:space="preserve">
</t>
        </r>
        <r>
          <rPr>
            <sz val="14"/>
            <color rgb="FF000000"/>
            <rFont val="Times New Roman"/>
            <family val="18"/>
          </rPr>
          <t>ML 3914 IR 44 (1812/6) – 6. Fus. Komp. Nr. 91 (Pest 19/09/1812)</t>
        </r>
        <r>
          <rPr>
            <sz val="14"/>
            <color rgb="FF000000"/>
            <rFont val="Calibri"/>
            <family val="34"/>
          </rPr>
          <t xml:space="preserve">
</t>
        </r>
      </text>
    </comment>
    <comment ref="BH1142" authorId="0" shapeId="0" xr:uid="{8CAB62C3-98A7-FA4C-BD6B-2109C0938D9E}">
      <text>
        <r>
          <rPr>
            <sz val="14"/>
            <color rgb="FF000000"/>
            <rFont val="Calibri"/>
            <family val="34"/>
          </rPr>
          <t>IR 44 (1808-1812)</t>
        </r>
      </text>
    </comment>
    <comment ref="BF1143" authorId="0" shapeId="0" xr:uid="{BADCBE76-2745-B145-B518-289ED2753835}">
      <text>
        <r>
          <rPr>
            <sz val="14"/>
            <color rgb="FF000000"/>
            <rFont val="Times New Roman"/>
            <family val="18"/>
          </rPr>
          <t xml:space="preserve">06/08/1808 </t>
        </r>
        <r>
          <rPr>
            <i/>
            <sz val="14"/>
            <color rgb="FF000000"/>
            <rFont val="Times New Roman"/>
            <family val="18"/>
          </rPr>
          <t xml:space="preserve">Als Reserve Mann zum IR 1 Reserve Bataillon </t>
        </r>
        <r>
          <rPr>
            <sz val="14"/>
            <color rgb="FF000000"/>
            <rFont val="Times New Roman"/>
            <family val="18"/>
          </rPr>
          <t>[AL Aug 1808]</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143" authorId="0" shapeId="0" xr:uid="{B69E0F0B-67AC-3C4F-8C10-30BBB5647003}">
      <text>
        <r>
          <rPr>
            <sz val="14"/>
            <color rgb="FF000000"/>
            <rFont val="Times New Roman"/>
            <family val="18"/>
          </rPr>
          <t>ML 90 IR 1 (1808) – AL Reserve Unnumbered (Sokolov 19/08/1808)</t>
        </r>
        <r>
          <rPr>
            <sz val="14"/>
            <color rgb="FF000000"/>
            <rFont val="Calibri"/>
            <family val="34"/>
          </rPr>
          <t xml:space="preserve">
</t>
        </r>
      </text>
    </comment>
    <comment ref="BH1143" authorId="0" shapeId="0" xr:uid="{0C4400D6-C1C3-9541-9FE0-F67D922237CE}">
      <text>
        <r>
          <rPr>
            <sz val="14"/>
            <color rgb="FF000000"/>
            <rFont val="Calibri"/>
            <family val="34"/>
          </rPr>
          <t>IR 1 (1808)</t>
        </r>
      </text>
    </comment>
    <comment ref="BF1144" authorId="0" shapeId="0" xr:uid="{E728CF35-5ED4-084A-9D4A-BF874227A8B8}">
      <text>
        <r>
          <rPr>
            <sz val="14"/>
            <color rgb="FF000000"/>
            <rFont val="Times New Roman"/>
            <family val="18"/>
          </rPr>
          <t xml:space="preserve">16/08/1808 </t>
        </r>
        <r>
          <rPr>
            <i/>
            <sz val="14"/>
            <color rgb="FF000000"/>
            <rFont val="Times New Roman"/>
            <family val="18"/>
          </rPr>
          <t>A 3Fl Handgeld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8. Fus. Komp. Nr. 118 [</t>
        </r>
        <r>
          <rPr>
            <i/>
            <sz val="14"/>
            <color rgb="FF000000"/>
            <rFont val="Times New Roman"/>
            <family val="18"/>
          </rPr>
          <t>Beurlaubt in seinem Heimat auf Bestmimte Zeit</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144" authorId="0" shapeId="0" xr:uid="{24A2CFF6-EC4E-7649-8424-72BBF504CA13}">
      <text>
        <r>
          <rPr>
            <sz val="14"/>
            <color rgb="FF000000"/>
            <rFont val="Times New Roman"/>
            <family val="18"/>
          </rPr>
          <t>ML 634 IR 9 (1811) – 8. Fus. Komp. Nr. 118 (Caschau 19/09/1811)</t>
        </r>
        <r>
          <rPr>
            <sz val="14"/>
            <color rgb="FF000000"/>
            <rFont val="Calibri"/>
            <family val="34"/>
          </rPr>
          <t xml:space="preserve">
</t>
        </r>
      </text>
    </comment>
    <comment ref="BH1144" authorId="0" shapeId="0" xr:uid="{EC832D80-1782-A443-8FA0-0827E8461E37}">
      <text>
        <r>
          <rPr>
            <sz val="14"/>
            <color rgb="FF000000"/>
            <rFont val="Calibri"/>
            <family val="34"/>
          </rPr>
          <t>IR 9 (1808-1811)</t>
        </r>
      </text>
    </comment>
    <comment ref="I1145" authorId="0" shapeId="0" xr:uid="{86BC8CDC-0D7D-D04F-AD61-C3CC1B819430}">
      <text>
        <r>
          <rPr>
            <b/>
            <sz val="14"/>
            <color rgb="FF000000"/>
            <rFont val="Calibri"/>
            <family val="34"/>
          </rPr>
          <t xml:space="preserve">1786 [22 (AL 1808)]
</t>
        </r>
        <r>
          <rPr>
            <sz val="14"/>
            <color rgb="FF000000"/>
            <rFont val="Calibri"/>
            <family val="34"/>
          </rPr>
          <t xml:space="preserve">OR 
</t>
        </r>
        <r>
          <rPr>
            <sz val="14"/>
            <color rgb="FF000000"/>
            <rFont val="Calibri"/>
            <family val="34"/>
          </rPr>
          <t>1787 [24 (ML 1811)]</t>
        </r>
      </text>
    </comment>
    <comment ref="T1145" authorId="0" shapeId="0" xr:uid="{A343CE9B-7D51-BC4F-8A5B-FA9BF25D3D2D}">
      <text>
        <r>
          <rPr>
            <b/>
            <sz val="14"/>
            <color rgb="FF000000"/>
            <rFont val="Calibri"/>
            <family val="34"/>
          </rPr>
          <t xml:space="preserve">5.2.1 [163.48 cm (AL 1808)]
</t>
        </r>
        <r>
          <rPr>
            <sz val="14"/>
            <color rgb="FF000000"/>
            <rFont val="Calibri"/>
            <family val="34"/>
          </rPr>
          <t>5.4 [168.52 cm (ML 1811)]</t>
        </r>
      </text>
    </comment>
    <comment ref="BF1145" authorId="0" shapeId="0" xr:uid="{5B61B097-27BF-5D48-970B-7B078277784D}">
      <text>
        <r>
          <rPr>
            <sz val="14"/>
            <color rgb="FF000000"/>
            <rFont val="Times New Roman"/>
            <family val="18"/>
          </rPr>
          <t xml:space="preserve">05/08/1808 </t>
        </r>
        <r>
          <rPr>
            <i/>
            <sz val="14"/>
            <color rgb="FF000000"/>
            <rFont val="Times New Roman"/>
            <family val="18"/>
          </rPr>
          <t>Als Reserve Mann von 1. Bezirk Olmützer Anteil zum IR 1 Reserve Bataillon gestellt und zu, Haupt Volksmann Komp. eingeteilt</t>
        </r>
        <r>
          <rPr>
            <sz val="14"/>
            <color rgb="FF000000"/>
            <rFont val="Times New Roman"/>
            <family val="18"/>
          </rPr>
          <t xml:space="preserve"> [AL Aug 1808]</t>
        </r>
        <r>
          <rPr>
            <sz val="14"/>
            <color rgb="FF000000"/>
            <rFont val="Calibri"/>
            <family val="34"/>
          </rPr>
          <t xml:space="preserve">
</t>
        </r>
        <r>
          <rPr>
            <sz val="14"/>
            <color rgb="FF000000"/>
            <rFont val="Times New Roman"/>
            <family val="18"/>
          </rPr>
          <t xml:space="preserve">03/09/1808 </t>
        </r>
        <r>
          <rPr>
            <i/>
            <sz val="14"/>
            <color rgb="FF000000"/>
            <rFont val="Times New Roman"/>
            <family val="18"/>
          </rPr>
          <t>Hat sich Freiwillig als Reserve Mann des IR 1 2. Bataillon auf 3Fl Handgeld und 10 Jähriger Capitulation gestellt und zum Haupt Remetty Komp. eingeheilt, Von Werbebezirks Revisiorat Nr. 1 Drey Gulden Bar auf die Hand erhalten. Derselben wurde das Capitulationsschein angefertigt</t>
        </r>
        <r>
          <rPr>
            <sz val="14"/>
            <color rgb="FF000000"/>
            <rFont val="Times New Roman"/>
            <family val="18"/>
          </rPr>
          <t xml:space="preserve"> [AL Sept 1808 &amp; ST Sept 1808]</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13/05/1809 </t>
        </r>
        <r>
          <rPr>
            <i/>
            <sz val="14"/>
            <color rgb="FF000000"/>
            <rFont val="Times New Roman"/>
            <family val="18"/>
          </rPr>
          <t>Zu Olmütz präsentiert und seitdem beim 1. Depot Komp. zugeteilt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12. zum neu errichtete 17.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dissolvierte 17. Zum 12. Fus. Komp. transferiert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14/02/1810 </t>
        </r>
        <r>
          <rPr>
            <i/>
            <sz val="14"/>
            <color rgb="FF000000"/>
            <rFont val="Times New Roman"/>
            <family val="18"/>
          </rPr>
          <t>Beurlaubt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04/06/1810 </t>
        </r>
        <r>
          <rPr>
            <i/>
            <sz val="14"/>
            <color rgb="FF000000"/>
            <rFont val="Times New Roman"/>
            <family val="18"/>
          </rPr>
          <t xml:space="preserve">Von Urlaub zurückgekommen und in Arrest als zugeteilte beim 4. Fus.Komp. wegen Diebstahlverdacht </t>
        </r>
        <r>
          <rPr>
            <sz val="14"/>
            <color rgb="FF000000"/>
            <rFont val="Times New Roman"/>
            <family val="18"/>
          </rPr>
          <t>[ST June 1810]</t>
        </r>
        <r>
          <rPr>
            <sz val="14"/>
            <color rgb="FF000000"/>
            <rFont val="Calibri"/>
            <family val="34"/>
          </rPr>
          <t xml:space="preserve">
</t>
        </r>
        <r>
          <rPr>
            <sz val="14"/>
            <color rgb="FF000000"/>
            <rFont val="Times New Roman"/>
            <family val="18"/>
          </rPr>
          <t xml:space="preserve">26/06/1810 </t>
        </r>
        <r>
          <rPr>
            <i/>
            <sz val="14"/>
            <color rgb="FF000000"/>
            <rFont val="Times New Roman"/>
            <family val="18"/>
          </rPr>
          <t>Von Arrest befreit, beliebt zugeteilt beim 4. Komp.</t>
        </r>
        <r>
          <rPr>
            <sz val="14"/>
            <color rgb="FF000000"/>
            <rFont val="Times New Roman"/>
            <family val="18"/>
          </rPr>
          <t xml:space="preserve"> [ST June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13. Zum 2.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 xml:space="preserve">07/02/1811 </t>
        </r>
        <r>
          <rPr>
            <i/>
            <sz val="14"/>
            <color rgb="FF000000"/>
            <rFont val="Times New Roman"/>
            <family val="18"/>
          </rPr>
          <t xml:space="preserve">Von Urlaub zurück und auf dem anhero Marsch aus Troppau Schlesien </t>
        </r>
        <r>
          <rPr>
            <sz val="14"/>
            <color rgb="FF000000"/>
            <rFont val="Times New Roman"/>
            <family val="18"/>
          </rPr>
          <t xml:space="preserve">[ST Feb 1811] </t>
        </r>
        <r>
          <rPr>
            <sz val="14"/>
            <color rgb="FF000000"/>
            <rFont val="Calibri"/>
            <family val="34"/>
          </rPr>
          <t xml:space="preserve">
</t>
        </r>
        <r>
          <rPr>
            <sz val="14"/>
            <color rgb="FF000000"/>
            <rFont val="Times New Roman"/>
            <family val="18"/>
          </rPr>
          <t xml:space="preserve">21/02/1811 </t>
        </r>
        <r>
          <rPr>
            <i/>
            <sz val="14"/>
            <color rgb="FF000000"/>
            <rFont val="Times New Roman"/>
            <family val="18"/>
          </rPr>
          <t>Eingerückt und sofort ins Arrest wegen Desertion</t>
        </r>
        <r>
          <rPr>
            <sz val="14"/>
            <color rgb="FF000000"/>
            <rFont val="Times New Roman"/>
            <family val="18"/>
          </rPr>
          <t xml:space="preserve"> [ST Feb 1811]</t>
        </r>
        <r>
          <rPr>
            <sz val="14"/>
            <color rgb="FF000000"/>
            <rFont val="Calibri"/>
            <family val="34"/>
          </rPr>
          <t xml:space="preserve">
</t>
        </r>
        <r>
          <rPr>
            <sz val="14"/>
            <color rgb="FF000000"/>
            <rFont val="Times New Roman"/>
            <family val="18"/>
          </rPr>
          <t xml:space="preserve">14/04/1811 </t>
        </r>
        <r>
          <rPr>
            <i/>
            <sz val="14"/>
            <color rgb="FF000000"/>
            <rFont val="Times New Roman"/>
            <family val="18"/>
          </rPr>
          <t>Von Arrest Befreit</t>
        </r>
        <r>
          <rPr>
            <sz val="14"/>
            <color rgb="FF000000"/>
            <rFont val="Times New Roman"/>
            <family val="18"/>
          </rPr>
          <t xml:space="preserve"> [ST April 1811]</t>
        </r>
        <r>
          <rPr>
            <sz val="14"/>
            <color rgb="FF000000"/>
            <rFont val="Calibri"/>
            <family val="34"/>
          </rPr>
          <t xml:space="preserve">
</t>
        </r>
        <r>
          <rPr>
            <sz val="14"/>
            <color rgb="FF000000"/>
            <rFont val="Times New Roman"/>
            <family val="18"/>
          </rPr>
          <t>13/09/1811 Muster: IR 1 3. Fus. Komp. Nr. 192 [</t>
        </r>
        <r>
          <rPr>
            <i/>
            <sz val="14"/>
            <color rgb="FF000000"/>
            <rFont val="Times New Roman"/>
            <family val="18"/>
          </rPr>
          <t>Beurlaubt in seinem Geburtsort bis zur Exercierzeit</t>
        </r>
        <r>
          <rPr>
            <sz val="14"/>
            <color rgb="FF000000"/>
            <rFont val="Times New Roman"/>
            <family val="18"/>
          </rPr>
          <t>]</t>
        </r>
        <r>
          <rPr>
            <sz val="14"/>
            <color rgb="FF000000"/>
            <rFont val="Calibri"/>
            <family val="34"/>
          </rPr>
          <t xml:space="preserve">
</t>
        </r>
        <r>
          <rPr>
            <sz val="14"/>
            <color rgb="FF000000"/>
            <rFont val="Times New Roman"/>
            <family val="18"/>
          </rPr>
          <t xml:space="preserve">29/12/1811 </t>
        </r>
        <r>
          <rPr>
            <i/>
            <sz val="14"/>
            <color rgb="FF000000"/>
            <rFont val="Times New Roman"/>
            <family val="18"/>
          </rPr>
          <t>Von Urlaub eingerückt und sofort in Arrest wegen Diebstahl</t>
        </r>
        <r>
          <rPr>
            <sz val="14"/>
            <color rgb="FF000000"/>
            <rFont val="Times New Roman"/>
            <family val="18"/>
          </rPr>
          <t xml:space="preserve"> [ST Dec 1811]</t>
        </r>
        <r>
          <rPr>
            <sz val="14"/>
            <color rgb="FF000000"/>
            <rFont val="Calibri"/>
            <family val="34"/>
          </rPr>
          <t xml:space="preserve">
</t>
        </r>
        <r>
          <rPr>
            <sz val="14"/>
            <color rgb="FF000000"/>
            <rFont val="Times New Roman"/>
            <family val="18"/>
          </rPr>
          <t xml:space="preserve">06/01/1812 </t>
        </r>
        <r>
          <rPr>
            <i/>
            <sz val="14"/>
            <color rgb="FF000000"/>
            <rFont val="Times New Roman"/>
            <family val="18"/>
          </rPr>
          <t>Von Arrest Befreit</t>
        </r>
        <r>
          <rPr>
            <sz val="14"/>
            <color rgb="FF000000"/>
            <rFont val="Times New Roman"/>
            <family val="18"/>
          </rPr>
          <t xml:space="preserve"> [ST Jan 1812]</t>
        </r>
        <r>
          <rPr>
            <sz val="14"/>
            <color rgb="FF000000"/>
            <rFont val="Calibri"/>
            <family val="34"/>
          </rPr>
          <t xml:space="preserve">
</t>
        </r>
        <r>
          <rPr>
            <sz val="14"/>
            <color rgb="FF000000"/>
            <rFont val="Times New Roman"/>
            <family val="18"/>
          </rPr>
          <t xml:space="preserve">01/02/1812 </t>
        </r>
        <r>
          <rPr>
            <i/>
            <sz val="14"/>
            <color rgb="FF000000"/>
            <rFont val="Times New Roman"/>
            <family val="18"/>
          </rPr>
          <t>Beurlaubt bis zur Einberufung</t>
        </r>
        <r>
          <rPr>
            <sz val="14"/>
            <color rgb="FF000000"/>
            <rFont val="Times New Roman"/>
            <family val="18"/>
          </rPr>
          <t xml:space="preserve"> [ST Feb 1812]</t>
        </r>
        <r>
          <rPr>
            <sz val="14"/>
            <color rgb="FF000000"/>
            <rFont val="Calibri"/>
            <family val="34"/>
          </rPr>
          <t xml:space="preserve">
</t>
        </r>
        <r>
          <rPr>
            <sz val="14"/>
            <color rgb="FF000000"/>
            <rFont val="Times New Roman"/>
            <family val="18"/>
          </rPr>
          <t xml:space="preserve">13/03/1812 </t>
        </r>
        <r>
          <rPr>
            <i/>
            <sz val="14"/>
            <color rgb="FF000000"/>
            <rFont val="Times New Roman"/>
            <family val="18"/>
          </rPr>
          <t>Von Urlaub eingerückt</t>
        </r>
        <r>
          <rPr>
            <sz val="14"/>
            <color rgb="FF000000"/>
            <rFont val="Times New Roman"/>
            <family val="18"/>
          </rPr>
          <t xml:space="preserve"> [ST March 1812]</t>
        </r>
        <r>
          <rPr>
            <sz val="14"/>
            <color rgb="FF000000"/>
            <rFont val="Calibri"/>
            <family val="34"/>
          </rPr>
          <t xml:space="preserve">
</t>
        </r>
        <r>
          <rPr>
            <sz val="14"/>
            <color rgb="FF000000"/>
            <rFont val="Times New Roman"/>
            <family val="18"/>
          </rPr>
          <t xml:space="preserve">16/04/1812 </t>
        </r>
        <r>
          <rPr>
            <i/>
            <sz val="14"/>
            <color rgb="FF000000"/>
            <rFont val="Times New Roman"/>
            <family val="18"/>
          </rPr>
          <t>In Arrest wegen Exzessen</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22/04/1812 </t>
        </r>
        <r>
          <rPr>
            <i/>
            <sz val="14"/>
            <color rgb="FF000000"/>
            <rFont val="Times New Roman"/>
            <family val="18"/>
          </rPr>
          <t>Von Arrest Befreit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26/04/1812 </t>
        </r>
        <r>
          <rPr>
            <i/>
            <sz val="14"/>
            <color rgb="FF000000"/>
            <rFont val="Times New Roman"/>
            <family val="18"/>
          </rPr>
          <t>Von 2. Zum 3. Fus. Komp. transferiert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06/11/1812 </t>
        </r>
        <r>
          <rPr>
            <i/>
            <sz val="14"/>
            <color rgb="FF000000"/>
            <rFont val="Times New Roman"/>
            <family val="18"/>
          </rPr>
          <t>Während dem Marsch desertiert</t>
        </r>
        <r>
          <rPr>
            <sz val="14"/>
            <color rgb="FF000000"/>
            <rFont val="Times New Roman"/>
            <family val="18"/>
          </rPr>
          <t xml:space="preserve"> [ST Nov 1812] 
</t>
        </r>
        <r>
          <rPr>
            <sz val="14"/>
            <color rgb="FF000000"/>
            <rFont val="Times New Roman"/>
            <family val="18"/>
          </rPr>
          <t xml:space="preserve">31/01/1814 </t>
        </r>
        <r>
          <rPr>
            <i/>
            <sz val="14"/>
            <color rgb="FF000000"/>
            <rFont val="Times New Roman"/>
            <family val="18"/>
          </rPr>
          <t>Unter unbewusste Datum sich selbst gemeldet und präsentiert und mit ultimo Janner in 19. Fus. Komp. eingerückt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21/04/1814 </t>
        </r>
        <r>
          <rPr>
            <i/>
            <sz val="14"/>
            <color rgb="FF000000"/>
            <rFont val="Times New Roman"/>
            <family val="18"/>
          </rPr>
          <t>Bei der Abrichtung in Brünn</t>
        </r>
        <r>
          <rPr>
            <sz val="14"/>
            <color rgb="FF000000"/>
            <rFont val="Times New Roman"/>
            <family val="18"/>
          </rPr>
          <t xml:space="preserve"> [ST April 1814]</t>
        </r>
        <r>
          <rPr>
            <sz val="14"/>
            <color rgb="FF000000"/>
            <rFont val="Calibri"/>
            <family val="34"/>
          </rPr>
          <t xml:space="preserve">
</t>
        </r>
        <r>
          <rPr>
            <sz val="14"/>
            <color rgb="FF000000"/>
            <rFont val="Times New Roman"/>
            <family val="18"/>
          </rPr>
          <t xml:space="preserve">21/06/1814 </t>
        </r>
        <r>
          <rPr>
            <i/>
            <sz val="14"/>
            <color rgb="FF000000"/>
            <rFont val="Times New Roman"/>
            <family val="18"/>
          </rPr>
          <t>Von dissolvierte 19. zum 16. Fus. Komp transferiert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01/07/1814 </t>
        </r>
        <r>
          <rPr>
            <i/>
            <sz val="14"/>
            <color rgb="FF000000"/>
            <rFont val="Times New Roman"/>
            <family val="18"/>
          </rPr>
          <t>Auf unbestimmte Zeit Beurlaubt</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24/06/1814 Wegen </t>
        </r>
        <r>
          <rPr>
            <i/>
            <sz val="14"/>
            <color rgb="FF000000"/>
            <rFont val="Times New Roman"/>
            <family val="18"/>
          </rPr>
          <t>Quetschung an der Linken Hand und Bluthusten zu Proßnitz Superarbietriert</t>
        </r>
        <r>
          <rPr>
            <sz val="14"/>
            <color rgb="FF000000"/>
            <rFont val="Times New Roman"/>
            <family val="18"/>
          </rPr>
          <t>; Befund: Mit Lähmung von ganzen linken Arm wie auch Kürzeren linken Fuß und verfeindetes Gehortorgan; Nach Assentierung Ohne Verschulde Alle Mittel Fruchtlos angewendet und nach Bad zum Trenchin; Reale Invalid gegen Renuncierung zu entlassen der obrigkeitlicher Unterhalt Zeugnis liegt hier dabey [SUP June 1814]]</t>
        </r>
        <r>
          <rPr>
            <sz val="14"/>
            <color rgb="FF000000"/>
            <rFont val="Calibri"/>
            <family val="34"/>
          </rPr>
          <t xml:space="preserve">
</t>
        </r>
        <r>
          <rPr>
            <sz val="14"/>
            <color rgb="FF000000"/>
            <rFont val="Times New Roman"/>
            <family val="18"/>
          </rPr>
          <t xml:space="preserve">20/08/1814 </t>
        </r>
        <r>
          <rPr>
            <i/>
            <sz val="14"/>
            <color rgb="FF000000"/>
            <rFont val="Times New Roman"/>
            <family val="18"/>
          </rPr>
          <t>Vermog hohen G:M:K: Anordnung dato Brünn und ser mit selbe zu Olmütz geschehene hoher Superarbitrierung als Reale Invalid mit Abschied von Urlaub entlassen</t>
        </r>
        <r>
          <rPr>
            <sz val="14"/>
            <color rgb="FF000000"/>
            <rFont val="Times New Roman"/>
            <family val="18"/>
          </rPr>
          <t xml:space="preserve"> [ST Aug 1814] </t>
        </r>
      </text>
    </comment>
    <comment ref="BG1145" authorId="0" shapeId="0" xr:uid="{967B1A88-45FE-F34A-999B-BC541A86B86E}">
      <text>
        <r>
          <rPr>
            <sz val="14"/>
            <color rgb="FF000000"/>
            <rFont val="Times New Roman"/>
            <family val="18"/>
          </rPr>
          <t>ML 33 IR 1 (1811) – 3. Fus. Komp. Nr. 192 (Olmütz 13/09/1811)</t>
        </r>
        <r>
          <rPr>
            <sz val="14"/>
            <color rgb="FF000000"/>
            <rFont val="Calibri"/>
            <family val="34"/>
          </rPr>
          <t xml:space="preserve">
</t>
        </r>
        <r>
          <rPr>
            <sz val="14"/>
            <color rgb="FF000000"/>
            <rFont val="Times New Roman"/>
            <family val="18"/>
          </rPr>
          <t>ML 89 IR 1 (1808) – ST Sept (18/02/1809)</t>
        </r>
        <r>
          <rPr>
            <sz val="14"/>
            <color rgb="FF000000"/>
            <rFont val="Calibri"/>
            <family val="34"/>
          </rPr>
          <t xml:space="preserve">
</t>
        </r>
        <r>
          <rPr>
            <sz val="14"/>
            <color rgb="FF000000"/>
            <rFont val="Times New Roman"/>
            <family val="18"/>
          </rPr>
          <t>ML 90 IR 1 (1808) – AL Reserve Nr. 80 (Olmütz 22/08/1808), AL Nr. 3 (Olmütz 03/09/1808</t>
        </r>
        <r>
          <rPr>
            <sz val="14"/>
            <color rgb="FF000000"/>
            <rFont val="Calibri"/>
            <family val="34"/>
          </rPr>
          <t xml:space="preserve">
</t>
        </r>
        <r>
          <rPr>
            <sz val="14"/>
            <color rgb="FF000000"/>
            <rFont val="Times New Roman"/>
            <family val="18"/>
          </rPr>
          <t>ML 91 IR 1 (1809) – ST April (Proßnitz 26/07/1810), May (Proßnitz 09/1810), Dec (Proßnitz 15/01/1811)</t>
        </r>
        <r>
          <rPr>
            <sz val="14"/>
            <color rgb="FF000000"/>
            <rFont val="Calibri"/>
            <family val="34"/>
          </rPr>
          <t xml:space="preserve">
</t>
        </r>
        <r>
          <rPr>
            <sz val="14"/>
            <color rgb="FF000000"/>
            <rFont val="Times New Roman"/>
            <family val="18"/>
          </rPr>
          <t>ML 94 IR 1 (1810) – ST Feb (Proßnitz 15/02/1811), June (Brünn 20/03/1811), Sept (Brünn 17/04/1811)</t>
        </r>
        <r>
          <rPr>
            <sz val="14"/>
            <color rgb="FF000000"/>
            <rFont val="Calibri"/>
            <family val="34"/>
          </rPr>
          <t xml:space="preserve">
</t>
        </r>
        <r>
          <rPr>
            <sz val="14"/>
            <color rgb="FF000000"/>
            <rFont val="Times New Roman"/>
            <family val="18"/>
          </rPr>
          <t>ML 96 IR 1 (1811) – ST Feb (Proßnitz 24/02/1811), April (Proßnitz 20/06/1811), Dec (Proßnitz 01/02/1812), April (Proßnitz 08/06/1812)</t>
        </r>
        <r>
          <rPr>
            <sz val="14"/>
            <color rgb="FF000000"/>
            <rFont val="Calibri"/>
            <family val="34"/>
          </rPr>
          <t xml:space="preserve">
</t>
        </r>
        <r>
          <rPr>
            <sz val="14"/>
            <color rgb="FF000000"/>
            <rFont val="Times New Roman"/>
            <family val="18"/>
          </rPr>
          <t xml:space="preserve">ML 97 IR 1 (1812) – ST Jan (Proßnitz 01/03/1812), Feb (Proßnitz 15/04/1812), March (Proßnitz 06/05/1812), Nov (Proßnitz 30/03/1813)
</t>
        </r>
        <r>
          <rPr>
            <sz val="14"/>
            <color rgb="FF000000"/>
            <rFont val="Times New Roman"/>
            <family val="18"/>
          </rPr>
          <t>ML 102 IR 1 (1814) I-V – ST Feb (Proßnitz 25/08/1814), April (Proßnitz 30/04/1814)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June (Proßnitz 26/01/1815)</t>
        </r>
        <r>
          <rPr>
            <b/>
            <sz val="14"/>
            <color rgb="FF000000"/>
            <rFont val="Times New Roman"/>
            <family val="18"/>
          </rPr>
          <t xml:space="preserve">, </t>
        </r>
        <r>
          <rPr>
            <sz val="14"/>
            <color rgb="FF000000"/>
            <rFont val="Times New Roman"/>
            <family val="18"/>
          </rPr>
          <t>July (Proßnitz 20/03/1815), Aug (Proßnitz 16/04/1815)</t>
        </r>
        <r>
          <rPr>
            <sz val="14"/>
            <color rgb="FF000000"/>
            <rFont val="Calibri"/>
            <family val="34"/>
          </rPr>
          <t xml:space="preserve">
</t>
        </r>
        <r>
          <rPr>
            <sz val="14"/>
            <color rgb="FF000000"/>
            <rFont val="Times New Roman"/>
            <family val="18"/>
          </rPr>
          <t>ML 104 IR 1 (1814) AL/TL – SUP Nr. 2 (Proßnitz 24/06/1814)</t>
        </r>
        <r>
          <rPr>
            <sz val="14"/>
            <color rgb="FF000000"/>
            <rFont val="Calibri"/>
            <family val="34"/>
          </rPr>
          <t xml:space="preserve">
</t>
        </r>
        <r>
          <rPr>
            <sz val="14"/>
            <color rgb="FF000000"/>
            <rFont val="Calibri"/>
            <family val="34"/>
          </rPr>
          <t xml:space="preserve">
</t>
        </r>
      </text>
    </comment>
    <comment ref="BH1145" authorId="0" shapeId="0" xr:uid="{1E401D68-DD2B-5F4B-A6B1-47F89FA74213}">
      <text>
        <r>
          <rPr>
            <sz val="14"/>
            <color rgb="FF000000"/>
            <rFont val="Calibri"/>
            <family val="34"/>
          </rPr>
          <t>IR 1 (1808-1812)</t>
        </r>
      </text>
    </comment>
    <comment ref="BI1145" authorId="0" shapeId="0" xr:uid="{71752D9D-9A0A-D74F-9DD0-C37FC1E6B2AA}">
      <text>
        <r>
          <rPr>
            <i/>
            <sz val="14"/>
            <color rgb="FF000000"/>
            <rFont val="Times New Roman"/>
            <family val="18"/>
          </rPr>
          <t>Gute</t>
        </r>
        <r>
          <rPr>
            <sz val="14"/>
            <color rgb="FF000000"/>
            <rFont val="Times New Roman"/>
            <family val="18"/>
          </rPr>
          <t xml:space="preserve"> [SUP June 1814]</t>
        </r>
        <r>
          <rPr>
            <sz val="14"/>
            <color rgb="FF000000"/>
            <rFont val="Calibri"/>
            <family val="2"/>
          </rPr>
          <t xml:space="preserve"> </t>
        </r>
      </text>
    </comment>
    <comment ref="BJ1145" authorId="0" shapeId="0" xr:uid="{5FE9454A-60D4-2B4D-B20A-C620FA83BCFC}">
      <text>
        <r>
          <rPr>
            <i/>
            <sz val="14"/>
            <color rgb="FF000000"/>
            <rFont val="Times New Roman"/>
            <family val="18"/>
          </rPr>
          <t>An der linken Hand Quetschung struppiert und Bluthusten</t>
        </r>
        <r>
          <rPr>
            <sz val="14"/>
            <color rgb="FF000000"/>
            <rFont val="Times New Roman"/>
            <family val="18"/>
          </rPr>
          <t>: [SUP June 1814]</t>
        </r>
      </text>
    </comment>
    <comment ref="BF1146" authorId="0" shapeId="0" xr:uid="{DA0EC47B-EA51-5F47-BD57-3A057EC27466}">
      <text>
        <r>
          <rPr>
            <sz val="14"/>
            <color rgb="FF000000"/>
            <rFont val="Times New Roman"/>
            <family val="18"/>
          </rPr>
          <t xml:space="preserve">11/09/1808 </t>
        </r>
        <r>
          <rPr>
            <i/>
            <sz val="14"/>
            <color rgb="FF000000"/>
            <rFont val="Times New Roman"/>
            <family val="18"/>
          </rPr>
          <t xml:space="preserve">A 3Fl gestellt </t>
        </r>
        <r>
          <rPr>
            <sz val="14"/>
            <color rgb="FF000000"/>
            <rFont val="Times New Roman"/>
            <family val="18"/>
          </rPr>
          <t>[ ML 1811]</t>
        </r>
        <r>
          <rPr>
            <sz val="14"/>
            <color rgb="FF000000"/>
            <rFont val="Calibri"/>
            <family val="34"/>
          </rPr>
          <t xml:space="preserve">
</t>
        </r>
        <r>
          <rPr>
            <sz val="14"/>
            <color rgb="FF000000"/>
            <rFont val="Times New Roman"/>
            <family val="18"/>
          </rPr>
          <t>09/09/1811 Muster: IR 9 7. Fus. Komp. Nr. 117 [</t>
        </r>
        <r>
          <rPr>
            <i/>
            <sz val="14"/>
            <color rgb="FF000000"/>
            <rFont val="Times New Roman"/>
            <family val="18"/>
          </rPr>
          <t>Beurlaubt in seinem Heimat auf Bestmimte Zeit</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146" authorId="0" shapeId="0" xr:uid="{E8AC01B2-B41F-C941-97E3-01C15139BE77}">
      <text>
        <r>
          <rPr>
            <sz val="14"/>
            <color rgb="FF000000"/>
            <rFont val="Times New Roman"/>
            <family val="18"/>
          </rPr>
          <t>ML 634 IR 9 (1811) – 7. Fus. Komp. Nr. 117 (Caschau 19/09/1811)</t>
        </r>
        <r>
          <rPr>
            <sz val="14"/>
            <color rgb="FF000000"/>
            <rFont val="Calibri"/>
            <family val="34"/>
          </rPr>
          <t xml:space="preserve">
</t>
        </r>
      </text>
    </comment>
    <comment ref="BH1146" authorId="0" shapeId="0" xr:uid="{E645548D-08AC-0F48-ACEC-2AFB2CE41120}">
      <text>
        <r>
          <rPr>
            <sz val="14"/>
            <color rgb="FF000000"/>
            <rFont val="Calibri"/>
            <family val="34"/>
          </rPr>
          <t>IR 9 (1808-1811)</t>
        </r>
      </text>
    </comment>
    <comment ref="BF1147" authorId="0" shapeId="0" xr:uid="{381A29C6-E453-9440-AEB2-128B4FDEEA51}">
      <text>
        <r>
          <rPr>
            <sz val="14"/>
            <color rgb="FF000000"/>
            <rFont val="Times New Roman"/>
            <family val="18"/>
          </rPr>
          <t xml:space="preserve">15/09/1808 </t>
        </r>
        <r>
          <rPr>
            <i/>
            <sz val="14"/>
            <color rgb="FF000000"/>
            <rFont val="Times New Roman"/>
            <family val="18"/>
          </rPr>
          <t>A 3 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9. Fus. Komp. Nr. 149 [</t>
        </r>
        <r>
          <rPr>
            <i/>
            <sz val="14"/>
            <color rgb="FF000000"/>
            <rFont val="Times New Roman"/>
            <family val="18"/>
          </rPr>
          <t>auf bestimmte Zeit Beurlaubt in Caschau</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147" authorId="0" shapeId="0" xr:uid="{B7AC056A-DE7C-B849-9EAD-74A89A8ABEDD}">
      <text>
        <r>
          <rPr>
            <sz val="14"/>
            <color rgb="FF000000"/>
            <rFont val="Times New Roman"/>
            <family val="18"/>
          </rPr>
          <t>ML 634 IR 9 (1811) – 9. Fus. Komp. Nr. 149 (Caschau 19/09/1811)</t>
        </r>
        <r>
          <rPr>
            <sz val="14"/>
            <color rgb="FF000000"/>
            <rFont val="Calibri"/>
            <family val="34"/>
          </rPr>
          <t xml:space="preserve">
</t>
        </r>
      </text>
    </comment>
    <comment ref="BH1147" authorId="0" shapeId="0" xr:uid="{647526DC-BF89-3C41-A3C8-46897EB7715B}">
      <text>
        <r>
          <rPr>
            <sz val="14"/>
            <color rgb="FF000000"/>
            <rFont val="Calibri"/>
            <family val="34"/>
          </rPr>
          <t>IR 9 (1808-1811)</t>
        </r>
      </text>
    </comment>
    <comment ref="BF1148" authorId="0" shapeId="0" xr:uid="{C7F91450-789B-3540-A4D8-A3D725B3B430}">
      <text>
        <r>
          <rPr>
            <sz val="14"/>
            <color rgb="FF000000"/>
            <rFont val="Times New Roman"/>
            <family val="18"/>
          </rPr>
          <t xml:space="preserve">19/09/1808 </t>
        </r>
        <r>
          <rPr>
            <i/>
            <sz val="14"/>
            <color rgb="FF000000"/>
            <rFont val="Times New Roman"/>
            <family val="18"/>
          </rPr>
          <t>A 3Fl Handgeld zu Pinczow</t>
        </r>
        <r>
          <rPr>
            <sz val="14"/>
            <color rgb="FF000000"/>
            <rFont val="Times New Roman"/>
            <family val="18"/>
          </rPr>
          <t xml:space="preserve"> </t>
        </r>
        <r>
          <rPr>
            <b/>
            <sz val="14"/>
            <color rgb="FF000000"/>
            <rFont val="Times New Roman"/>
            <family val="18"/>
          </rPr>
          <t>[</t>
        </r>
        <r>
          <rPr>
            <b/>
            <u/>
            <sz val="14"/>
            <color rgb="FF0563C1"/>
            <rFont val="Times New Roman"/>
            <family val="18"/>
          </rPr>
          <t>Pińczów, Poland</t>
        </r>
        <r>
          <rPr>
            <b/>
            <sz val="14"/>
            <color rgb="FF000000"/>
            <rFont val="Times New Roman"/>
            <family val="18"/>
          </rPr>
          <t>]</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21/06/1810 </t>
        </r>
        <r>
          <rPr>
            <i/>
            <sz val="14"/>
            <color rgb="FF000000"/>
            <rFont val="Times New Roman"/>
            <family val="18"/>
          </rPr>
          <t>Als West Galizier gegen 15Fl Handgeld auf 6 Jahr Reengagiert [</t>
        </r>
        <r>
          <rPr>
            <sz val="14"/>
            <color rgb="FF000000"/>
            <rFont val="Times New Roman"/>
            <family val="18"/>
          </rPr>
          <t>ML 1811]</t>
        </r>
        <r>
          <rPr>
            <sz val="14"/>
            <color rgb="FF000000"/>
            <rFont val="Calibri"/>
            <family val="34"/>
          </rPr>
          <t xml:space="preserve">
</t>
        </r>
        <r>
          <rPr>
            <sz val="14"/>
            <color rgb="FF000000"/>
            <rFont val="Times New Roman"/>
            <family val="18"/>
          </rPr>
          <t>05/09/1811 Muster: IR 7 10 Fus. Komp. Nr. 59</t>
        </r>
        <r>
          <rPr>
            <sz val="14"/>
            <color rgb="FF000000"/>
            <rFont val="Calibri"/>
            <family val="34"/>
          </rPr>
          <t xml:space="preserve">
</t>
        </r>
        <r>
          <rPr>
            <sz val="14"/>
            <color rgb="FF000000"/>
            <rFont val="Calibri"/>
            <family val="34"/>
          </rPr>
          <t xml:space="preserve">
</t>
        </r>
      </text>
    </comment>
    <comment ref="BG1148" authorId="0" shapeId="0" xr:uid="{DF790157-D16A-B443-9FBB-581CD55F408B}">
      <text>
        <r>
          <rPr>
            <sz val="14"/>
            <color rgb="FF000000"/>
            <rFont val="Times New Roman"/>
            <family val="18"/>
          </rPr>
          <t>ML 465 IR 7 (1811) – 10. Fus. Komp. Nr. 59 (Weiskirchen 05/09/1811)</t>
        </r>
        <r>
          <rPr>
            <sz val="14"/>
            <color rgb="FF000000"/>
            <rFont val="Calibri"/>
            <family val="34"/>
          </rPr>
          <t xml:space="preserve">
</t>
        </r>
      </text>
    </comment>
    <comment ref="BH1148" authorId="0" shapeId="0" xr:uid="{24814A87-34D8-594E-A1F2-D200BBBCBF2D}">
      <text>
        <r>
          <rPr>
            <sz val="14"/>
            <color rgb="FF000000"/>
            <rFont val="Calibri"/>
            <family val="34"/>
          </rPr>
          <t>IR 7 (1808-1811)</t>
        </r>
      </text>
    </comment>
    <comment ref="BF1149" authorId="0" shapeId="0" xr:uid="{76C5A97F-2A73-8A41-B2DE-913740647BBB}">
      <text>
        <r>
          <rPr>
            <sz val="14"/>
            <color rgb="FF000000"/>
            <rFont val="Times New Roman"/>
            <family val="18"/>
          </rPr>
          <t xml:space="preserve">20/09/1808 </t>
        </r>
        <r>
          <rPr>
            <i/>
            <sz val="14"/>
            <color rgb="FF000000"/>
            <rFont val="Times New Roman"/>
            <family val="18"/>
          </rPr>
          <t>Zu Michow a 3Fl Handgeld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21/06/1810 </t>
        </r>
        <r>
          <rPr>
            <i/>
            <sz val="14"/>
            <color rgb="FF000000"/>
            <rFont val="Times New Roman"/>
            <family val="18"/>
          </rPr>
          <t>Gegen 15Fl auf weitere 6 Jahre reengagiert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05/09/1811 Muster: IR 7 7. Fus. Komp. Nr. 137</t>
        </r>
        <r>
          <rPr>
            <sz val="14"/>
            <color rgb="FF000000"/>
            <rFont val="Calibri"/>
            <family val="34"/>
          </rPr>
          <t xml:space="preserve">
</t>
        </r>
        <r>
          <rPr>
            <sz val="14"/>
            <color rgb="FF000000"/>
            <rFont val="Calibri"/>
            <family val="34"/>
          </rPr>
          <t xml:space="preserve">
</t>
        </r>
      </text>
    </comment>
    <comment ref="BG1149" authorId="0" shapeId="0" xr:uid="{8898480E-B4A5-A745-8598-4E77960A02B1}">
      <text>
        <r>
          <rPr>
            <sz val="14"/>
            <color rgb="FF000000"/>
            <rFont val="Times New Roman"/>
            <family val="18"/>
          </rPr>
          <t>ML 465 IR 7 (1811) – 7. Fus. Komp. Nr. 137 (Weiskirchen 05/09/1811)</t>
        </r>
        <r>
          <rPr>
            <sz val="14"/>
            <color rgb="FF000000"/>
            <rFont val="Calibri"/>
            <family val="34"/>
          </rPr>
          <t xml:space="preserve">
</t>
        </r>
      </text>
    </comment>
    <comment ref="BH1149" authorId="0" shapeId="0" xr:uid="{DD280118-B075-8F4D-9288-E98DF9D92439}">
      <text>
        <r>
          <rPr>
            <sz val="14"/>
            <color rgb="FF000000"/>
            <rFont val="Calibri"/>
            <family val="34"/>
          </rPr>
          <t>IR 7 (1808-1811)</t>
        </r>
      </text>
    </comment>
    <comment ref="BF1150" authorId="0" shapeId="0" xr:uid="{15DF1410-5096-E844-AC70-910ABB19227F}">
      <text>
        <r>
          <rPr>
            <sz val="14"/>
            <color rgb="FF000000"/>
            <rFont val="Times New Roman"/>
            <family val="18"/>
          </rPr>
          <t xml:space="preserve">21/09/1808 </t>
        </r>
        <r>
          <rPr>
            <i/>
            <sz val="14"/>
            <color rgb="FF000000"/>
            <rFont val="Times New Roman"/>
            <family val="18"/>
          </rPr>
          <t>Gegen 3 Fl Handgeld auf 10 Jahr zu Sambor in IR 44 zu Sambor assentiert und zur 1. Fus. Komp. zugeteilt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1.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6. Fus. Komp. Nr. 160 [</t>
        </r>
        <r>
          <rPr>
            <i/>
            <sz val="14"/>
            <color rgb="FF000000"/>
            <rFont val="Times New Roman"/>
            <family val="18"/>
          </rPr>
          <t>Auf Konskription in Galizien</t>
        </r>
        <r>
          <rPr>
            <sz val="14"/>
            <color rgb="FF000000"/>
            <rFont val="Times New Roman"/>
            <family val="18"/>
          </rPr>
          <t>]</t>
        </r>
        <r>
          <rPr>
            <sz val="14"/>
            <color rgb="FF000000"/>
            <rFont val="Calibri"/>
            <family val="34"/>
          </rPr>
          <t xml:space="preserve">
</t>
        </r>
        <r>
          <rPr>
            <sz val="14"/>
            <color rgb="FF000000"/>
            <rFont val="Times New Roman"/>
            <family val="18"/>
          </rPr>
          <t>18/09/1811 Muster: IR 44 6. Fus. Komp. Nr. 156 [</t>
        </r>
        <r>
          <rPr>
            <i/>
            <sz val="14"/>
            <color rgb="FF000000"/>
            <rFont val="Times New Roman"/>
            <family val="18"/>
          </rPr>
          <t>Krank Auswärts</t>
        </r>
        <r>
          <rPr>
            <sz val="14"/>
            <color rgb="FF000000"/>
            <rFont val="Times New Roman"/>
            <family val="18"/>
          </rPr>
          <t>]</t>
        </r>
        <r>
          <rPr>
            <sz val="14"/>
            <color rgb="FF000000"/>
            <rFont val="Calibri"/>
            <family val="34"/>
          </rPr>
          <t xml:space="preserve">
</t>
        </r>
        <r>
          <rPr>
            <sz val="14"/>
            <color rgb="FF000000"/>
            <rFont val="Times New Roman"/>
            <family val="18"/>
          </rPr>
          <t>19/09/1812 Revision: IR 44 6. Fus. Komp. Nr. 84 [</t>
        </r>
        <r>
          <rPr>
            <i/>
            <sz val="14"/>
            <color rgb="FF000000"/>
            <rFont val="Times New Roman"/>
            <family val="18"/>
          </rPr>
          <t>Commandiert nach Caschau</t>
        </r>
        <r>
          <rPr>
            <sz val="14"/>
            <color rgb="FF000000"/>
            <rFont val="Times New Roman"/>
            <family val="18"/>
          </rPr>
          <t>]</t>
        </r>
        <r>
          <rPr>
            <sz val="14"/>
            <color rgb="FF000000"/>
            <rFont val="Calibri"/>
            <family val="34"/>
          </rPr>
          <t xml:space="preserve">
</t>
        </r>
        <r>
          <rPr>
            <sz val="14"/>
            <color rgb="FF000000"/>
            <rFont val="Times New Roman"/>
            <family val="18"/>
          </rPr>
          <t xml:space="preserve">01/04/1817 </t>
        </r>
        <r>
          <rPr>
            <i/>
            <sz val="14"/>
            <color rgb="FF000000"/>
            <rFont val="Times New Roman"/>
            <family val="18"/>
          </rPr>
          <t>Von 6. Zur 8. Fus. Komp.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8. Fus. Komp. Nr. 95 [</t>
        </r>
        <r>
          <rPr>
            <i/>
            <sz val="14"/>
            <color rgb="FF000000"/>
            <rFont val="Times New Roman"/>
            <family val="18"/>
          </rPr>
          <t>Beim Werbezierk zu Sambor</t>
        </r>
        <r>
          <rPr>
            <sz val="14"/>
            <color rgb="FF000000"/>
            <rFont val="Times New Roman"/>
            <family val="18"/>
          </rPr>
          <t>]</t>
        </r>
        <r>
          <rPr>
            <sz val="14"/>
            <color rgb="FF000000"/>
            <rFont val="Calibri"/>
            <family val="34"/>
          </rPr>
          <t xml:space="preserve">
</t>
        </r>
        <r>
          <rPr>
            <sz val="14"/>
            <color rgb="FF000000"/>
            <rFont val="Times New Roman"/>
            <family val="18"/>
          </rPr>
          <t xml:space="preserve">30/11/1818 [SIC!] </t>
        </r>
        <r>
          <rPr>
            <i/>
            <sz val="14"/>
            <color rgb="FF000000"/>
            <rFont val="Times New Roman"/>
            <family val="18"/>
          </rPr>
          <t>Von IR 44. 8. Fus. Komp. zur</t>
        </r>
        <r>
          <rPr>
            <sz val="14"/>
            <color rgb="FF000000"/>
            <rFont val="Times New Roman"/>
            <family val="18"/>
          </rPr>
          <t xml:space="preserve"> </t>
        </r>
        <r>
          <rPr>
            <b/>
            <sz val="14"/>
            <color rgb="FF000000"/>
            <rFont val="Times New Roman"/>
            <family val="18"/>
          </rPr>
          <t>IR 9</t>
        </r>
        <r>
          <rPr>
            <sz val="14"/>
            <color rgb="FF000000"/>
            <rFont val="Times New Roman"/>
            <family val="18"/>
          </rPr>
          <t xml:space="preserve"> </t>
        </r>
        <r>
          <rPr>
            <i/>
            <sz val="14"/>
            <color rgb="FF000000"/>
            <rFont val="Times New Roman"/>
            <family val="18"/>
          </rPr>
          <t>Fürst Czertoryski Inf. transferiert</t>
        </r>
        <r>
          <rPr>
            <sz val="14"/>
            <color rgb="FF000000"/>
            <rFont val="Times New Roman"/>
            <family val="18"/>
          </rPr>
          <t xml:space="preserve"> [ML 1818]</t>
        </r>
        <r>
          <rPr>
            <sz val="14"/>
            <color rgb="FF000000"/>
            <rFont val="Calibri"/>
            <family val="34"/>
          </rPr>
          <t xml:space="preserve">
</t>
        </r>
      </text>
    </comment>
    <comment ref="BG1150" authorId="0" shapeId="0" xr:uid="{41C28004-F7E3-734F-AE64-3C10B7E949A1}">
      <text>
        <r>
          <rPr>
            <sz val="14"/>
            <color rgb="FF000000"/>
            <rFont val="Times New Roman"/>
            <family val="18"/>
          </rPr>
          <t>ML 3911 IR 44 (1808-10) – 6. Fus. Komp. Nr. 260 (Sthulweissenburg 25/09/1810)</t>
        </r>
        <r>
          <rPr>
            <sz val="14"/>
            <color rgb="FF000000"/>
            <rFont val="Calibri"/>
            <family val="34"/>
          </rPr>
          <t xml:space="preserve">
</t>
        </r>
        <r>
          <rPr>
            <sz val="14"/>
            <color rgb="FF000000"/>
            <rFont val="Times New Roman"/>
            <family val="18"/>
          </rPr>
          <t>ML 3912/3 IR 44 (1811) – 6. Fus. Komp. Nr. 156 (Pappa 18/09/1811)</t>
        </r>
        <r>
          <rPr>
            <sz val="14"/>
            <color rgb="FF000000"/>
            <rFont val="Calibri"/>
            <family val="34"/>
          </rPr>
          <t xml:space="preserve">
</t>
        </r>
        <r>
          <rPr>
            <sz val="14"/>
            <color rgb="FF000000"/>
            <rFont val="Times New Roman"/>
            <family val="18"/>
          </rPr>
          <t>ML 3914 IR 44 (1812/6) – 6. Fus. Komp. Nr. 84 (Pest 19/09/1812)</t>
        </r>
        <r>
          <rPr>
            <sz val="14"/>
            <color rgb="FF000000"/>
            <rFont val="Calibri"/>
            <family val="34"/>
          </rPr>
          <t xml:space="preserve">
</t>
        </r>
        <r>
          <rPr>
            <sz val="14"/>
            <color rgb="FF000000"/>
            <rFont val="Times New Roman"/>
            <family val="18"/>
          </rPr>
          <t>ML 3915/6 IR 44 (1818) – 8. Fus. Komp. Nr. 95 (Pavia 05/01/1818); 8. Fus. Komp. Abgang (Pavia 24/10/1818)</t>
        </r>
        <r>
          <rPr>
            <sz val="14"/>
            <color rgb="FF000000"/>
            <rFont val="Calibri"/>
            <family val="34"/>
          </rPr>
          <t xml:space="preserve">
</t>
        </r>
      </text>
    </comment>
    <comment ref="BH1150" authorId="0" shapeId="0" xr:uid="{E9522211-3D73-1441-B2BD-96C3123F1E3F}">
      <text>
        <r>
          <rPr>
            <sz val="14"/>
            <color rgb="FF000000"/>
            <rFont val="Calibri"/>
            <family val="34"/>
          </rPr>
          <t xml:space="preserve">IR 44 (1808-1818)
</t>
        </r>
        <r>
          <rPr>
            <sz val="14"/>
            <color rgb="FF000000"/>
            <rFont val="Calibri"/>
            <family val="34"/>
          </rPr>
          <t>IR 9 (1818)</t>
        </r>
      </text>
    </comment>
    <comment ref="BF1151" authorId="0" shapeId="0" xr:uid="{9D3823FB-C302-EE41-BC29-0E25E30930DA}">
      <text>
        <r>
          <rPr>
            <sz val="14"/>
            <color rgb="FF000000"/>
            <rFont val="Times New Roman"/>
            <family val="18"/>
          </rPr>
          <t xml:space="preserve">21/09/1808 </t>
        </r>
        <r>
          <rPr>
            <i/>
            <sz val="14"/>
            <color rgb="FF000000"/>
            <rFont val="Times New Roman"/>
            <family val="18"/>
          </rPr>
          <t>Landständisch gestellt und gegen 3Fl Handgeld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22/04/1809 </t>
        </r>
        <r>
          <rPr>
            <i/>
            <sz val="14"/>
            <color rgb="FF000000"/>
            <rFont val="Times New Roman"/>
            <family val="18"/>
          </rPr>
          <t>Bey Regensburg in die Kriegsgefangenschaft gefallen</t>
        </r>
        <r>
          <rPr>
            <sz val="14"/>
            <color rgb="FF000000"/>
            <rFont val="Times New Roman"/>
            <family val="18"/>
          </rPr>
          <t xml:space="preserve"> [ML 1801]</t>
        </r>
        <r>
          <rPr>
            <sz val="14"/>
            <color rgb="FF000000"/>
            <rFont val="Calibri"/>
            <family val="34"/>
          </rPr>
          <t xml:space="preserve">
</t>
        </r>
        <r>
          <rPr>
            <sz val="14"/>
            <color rgb="FF000000"/>
            <rFont val="Times New Roman"/>
            <family val="18"/>
          </rPr>
          <t>25/09/1810 Revision: IR 44 1. Fus Komp Nr. 161 [</t>
        </r>
        <r>
          <rPr>
            <i/>
            <sz val="14"/>
            <color rgb="FF000000"/>
            <rFont val="Times New Roman"/>
            <family val="18"/>
          </rPr>
          <t>Commandiert auf Arbeit in Comorn</t>
        </r>
        <r>
          <rPr>
            <sz val="14"/>
            <color rgb="FF000000"/>
            <rFont val="Times New Roman"/>
            <family val="18"/>
          </rPr>
          <t>]</t>
        </r>
        <r>
          <rPr>
            <sz val="14"/>
            <color rgb="FF000000"/>
            <rFont val="Calibri"/>
            <family val="34"/>
          </rPr>
          <t xml:space="preserve">
</t>
        </r>
        <r>
          <rPr>
            <sz val="14"/>
            <color rgb="FF000000"/>
            <rFont val="Times New Roman"/>
            <family val="18"/>
          </rPr>
          <t>18/09/1811 Muster: IR 44 1. Fus. Komp. Nr. 89 [</t>
        </r>
        <r>
          <rPr>
            <i/>
            <sz val="14"/>
            <color rgb="FF000000"/>
            <rFont val="Times New Roman"/>
            <family val="18"/>
          </rPr>
          <t>Zu Gmünden in Osterreich commandiert, Beurlaubt</t>
        </r>
        <r>
          <rPr>
            <sz val="14"/>
            <color rgb="FF000000"/>
            <rFont val="Times New Roman"/>
            <family val="18"/>
          </rPr>
          <t>]</t>
        </r>
        <r>
          <rPr>
            <sz val="14"/>
            <color rgb="FF000000"/>
            <rFont val="Calibri"/>
            <family val="34"/>
          </rPr>
          <t xml:space="preserve">
</t>
        </r>
        <r>
          <rPr>
            <sz val="14"/>
            <color rgb="FF000000"/>
            <rFont val="Times New Roman"/>
            <family val="18"/>
          </rPr>
          <t>19/09/1812 Revision: IR 44 1. Fus. Komp. Nr. 60</t>
        </r>
        <r>
          <rPr>
            <sz val="14"/>
            <color rgb="FF000000"/>
            <rFont val="Calibri"/>
            <family val="34"/>
          </rPr>
          <t xml:space="preserve">
</t>
        </r>
      </text>
    </comment>
    <comment ref="BG1151" authorId="0" shapeId="0" xr:uid="{A8DD3D89-F221-EB4B-9494-DDCAC71959D4}">
      <text>
        <r>
          <rPr>
            <sz val="14"/>
            <color rgb="FF000000"/>
            <rFont val="Times New Roman"/>
            <family val="18"/>
          </rPr>
          <t>ML 3911 IR 44 (1808-10) – 1. Fus. Komp. Nr. 161 (Stuhlwissenburg 25.09/1810)</t>
        </r>
        <r>
          <rPr>
            <sz val="14"/>
            <color rgb="FF000000"/>
            <rFont val="Calibri"/>
            <family val="34"/>
          </rPr>
          <t xml:space="preserve">
</t>
        </r>
        <r>
          <rPr>
            <sz val="14"/>
            <color rgb="FF000000"/>
            <rFont val="Times New Roman"/>
            <family val="18"/>
          </rPr>
          <t>ML 3912-3 IR 44 (1811) – 1. Fus. Komp. Nr. 60 (Pappa 18/09/1811)</t>
        </r>
        <r>
          <rPr>
            <sz val="14"/>
            <color rgb="FF000000"/>
            <rFont val="Calibri"/>
            <family val="34"/>
          </rPr>
          <t xml:space="preserve">
</t>
        </r>
        <r>
          <rPr>
            <sz val="14"/>
            <color rgb="FF000000"/>
            <rFont val="Times New Roman"/>
            <family val="18"/>
          </rPr>
          <t>ML 3914 IR 44 (1812-16) – 1. Fus. Komp. Nr. 60 (Pest 19/09/1812)</t>
        </r>
        <r>
          <rPr>
            <sz val="14"/>
            <color rgb="FF000000"/>
            <rFont val="Calibri"/>
            <family val="34"/>
          </rPr>
          <t xml:space="preserve">
</t>
        </r>
      </text>
    </comment>
    <comment ref="BH1151" authorId="0" shapeId="0" xr:uid="{78FEC12E-CB39-EF4D-86B8-4481A9C547BC}">
      <text>
        <r>
          <rPr>
            <sz val="14"/>
            <color rgb="FF000000"/>
            <rFont val="Calibri"/>
            <family val="34"/>
          </rPr>
          <t>IR 44 (1808-1812)</t>
        </r>
      </text>
    </comment>
    <comment ref="T1152" authorId="0" shapeId="0" xr:uid="{C87D187A-6D7F-DC41-8A5D-2690290767B9}">
      <text>
        <r>
          <rPr>
            <sz val="14"/>
            <color rgb="FF000000"/>
            <rFont val="Calibri"/>
            <family val="34"/>
          </rPr>
          <t xml:space="preserve">160.85 [5.1.1 (ML 1811)]
</t>
        </r>
        <r>
          <rPr>
            <sz val="14"/>
            <color rgb="FF000000"/>
            <rFont val="Calibri"/>
            <family val="34"/>
          </rPr>
          <t>163.26 [5.2 (ML 1819)]</t>
        </r>
      </text>
    </comment>
    <comment ref="BF1152" authorId="0" shapeId="0" xr:uid="{F4C9F772-E24C-8249-A4FE-D1435D066AC0}">
      <text>
        <r>
          <rPr>
            <sz val="14"/>
            <color rgb="FF000000"/>
            <rFont val="Times New Roman"/>
            <family val="18"/>
          </rPr>
          <t xml:space="preserve">21/09/1808 </t>
        </r>
        <r>
          <rPr>
            <i/>
            <sz val="14"/>
            <color rgb="FF000000"/>
            <rFont val="Times New Roman"/>
            <family val="18"/>
          </rPr>
          <t>Gegen 3 Fl Handgeld auf 10 Jahr in IR 44 zu Sambor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44 12. Fus Komp zu, Staabs Infanterie Regiment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Staabs inf. Von 4. Armee Corps zum IR 44 transferiert und zum 3. Fus. Komp eingeteilt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3. Fus. Komp. Nr. 128</t>
        </r>
        <r>
          <rPr>
            <sz val="14"/>
            <color rgb="FF000000"/>
            <rFont val="Calibri"/>
            <family val="34"/>
          </rPr>
          <t xml:space="preserve">
</t>
        </r>
        <r>
          <rPr>
            <sz val="14"/>
            <color rgb="FF000000"/>
            <rFont val="Times New Roman"/>
            <family val="18"/>
          </rPr>
          <t>18/09/1811 Muster: IR 44 3. Fus. Komp. Nr. 80 [</t>
        </r>
        <r>
          <rPr>
            <i/>
            <sz val="14"/>
            <color rgb="FF000000"/>
            <rFont val="Times New Roman"/>
            <family val="18"/>
          </rPr>
          <t>Kommandiert Beurlaubt in Gmünden in Osterreich</t>
        </r>
        <r>
          <rPr>
            <sz val="14"/>
            <color rgb="FF000000"/>
            <rFont val="Times New Roman"/>
            <family val="18"/>
          </rPr>
          <t>]</t>
        </r>
        <r>
          <rPr>
            <sz val="14"/>
            <color rgb="FF000000"/>
            <rFont val="Calibri"/>
            <family val="34"/>
          </rPr>
          <t xml:space="preserve">
</t>
        </r>
        <r>
          <rPr>
            <sz val="14"/>
            <color rgb="FF000000"/>
            <rFont val="Times New Roman"/>
            <family val="18"/>
          </rPr>
          <t>19/09/1812 Revision: IR 44 3. Fus. Komp. Nr. 44 [</t>
        </r>
        <r>
          <rPr>
            <i/>
            <sz val="14"/>
            <color rgb="FF000000"/>
            <rFont val="Times New Roman"/>
            <family val="18"/>
          </rPr>
          <t>Commandiert in Garnisons Spital</t>
        </r>
        <r>
          <rPr>
            <sz val="14"/>
            <color rgb="FF000000"/>
            <rFont val="Times New Roman"/>
            <family val="18"/>
          </rPr>
          <t>]</t>
        </r>
        <r>
          <rPr>
            <sz val="14"/>
            <color rgb="FF000000"/>
            <rFont val="Calibri"/>
            <family val="34"/>
          </rPr>
          <t xml:space="preserve">
</t>
        </r>
        <r>
          <rPr>
            <sz val="14"/>
            <color rgb="FF000000"/>
            <rFont val="Times New Roman"/>
            <family val="18"/>
          </rPr>
          <t xml:space="preserve">01/09/1816 </t>
        </r>
        <r>
          <rPr>
            <i/>
            <sz val="14"/>
            <color rgb="FF000000"/>
            <rFont val="Times New Roman"/>
            <family val="18"/>
          </rPr>
          <t>Zu Fourierschütz Mutiert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07/01/1818 Muster: IR 44 3. Fus. Komp. Nr. 19</t>
        </r>
        <r>
          <rPr>
            <sz val="14"/>
            <color rgb="FF000000"/>
            <rFont val="Calibri"/>
            <family val="34"/>
          </rPr>
          <t xml:space="preserve">
</t>
        </r>
        <r>
          <rPr>
            <sz val="14"/>
            <color rgb="FF000000"/>
            <rFont val="Times New Roman"/>
            <family val="18"/>
          </rPr>
          <t>26/10/1818 Muster: IR 44 3. Fus. Komp. Nr. 13 [</t>
        </r>
        <r>
          <rPr>
            <i/>
            <sz val="14"/>
            <color rgb="FF000000"/>
            <rFont val="Times New Roman"/>
            <family val="18"/>
          </rPr>
          <t>Ausgedienter Capitulant wird mit Abschied entlassen</t>
        </r>
        <r>
          <rPr>
            <sz val="14"/>
            <color rgb="FF000000"/>
            <rFont val="Times New Roman"/>
            <family val="18"/>
          </rPr>
          <t>]</t>
        </r>
        <r>
          <rPr>
            <sz val="14"/>
            <color rgb="FF000000"/>
            <rFont val="Calibri"/>
            <family val="34"/>
          </rPr>
          <t xml:space="preserve">
</t>
        </r>
        <r>
          <rPr>
            <sz val="14"/>
            <color rgb="FF000000"/>
            <rFont val="Times New Roman"/>
            <family val="18"/>
          </rPr>
          <t xml:space="preserve">26/10/1818 </t>
        </r>
        <r>
          <rPr>
            <i/>
            <sz val="14"/>
            <color rgb="FF000000"/>
            <rFont val="Times New Roman"/>
            <family val="18"/>
          </rPr>
          <t>Als ausgedienter Capitulant mit Abschied entlassen</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26/10/1818 </t>
        </r>
        <r>
          <rPr>
            <i/>
            <sz val="14"/>
            <color rgb="FF000000"/>
            <rFont val="Times New Roman"/>
            <family val="18"/>
          </rPr>
          <t>Als Unobligat neu aufgenommen und assentiert. Hat vorhin beim Regiment durch 10 Jahren gedient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20/10/1819 Muster: IR 44 3. Fus. Komp. Nr. 13 </t>
        </r>
        <r>
          <rPr>
            <sz val="14"/>
            <color rgb="FF000000"/>
            <rFont val="Calibri"/>
            <family val="34"/>
          </rPr>
          <t xml:space="preserve">
</t>
        </r>
        <r>
          <rPr>
            <sz val="14"/>
            <color rgb="FF000000"/>
            <rFont val="Times New Roman"/>
            <family val="18"/>
          </rPr>
          <t>25/09/1820 Muster: IR 44 3. Fus. Komp. Nr. 12</t>
        </r>
        <r>
          <rPr>
            <sz val="14"/>
            <color rgb="FF000000"/>
            <rFont val="Calibri"/>
            <family val="34"/>
          </rPr>
          <t xml:space="preserve">
</t>
        </r>
      </text>
    </comment>
    <comment ref="BG1152" authorId="0" shapeId="0" xr:uid="{4CB35876-8C50-1A47-BF2D-890272288F86}">
      <text>
        <r>
          <rPr>
            <sz val="14"/>
            <color rgb="FF000000"/>
            <rFont val="Times New Roman"/>
            <family val="18"/>
          </rPr>
          <t>ML 3911 IR 44 (1808-10) – RL 3. Fus. Komp. Nr. 128 (Sthulweissenburg 25/09/1810)</t>
        </r>
        <r>
          <rPr>
            <sz val="14"/>
            <color rgb="FF000000"/>
            <rFont val="Calibri"/>
            <family val="34"/>
          </rPr>
          <t xml:space="preserve">
</t>
        </r>
        <r>
          <rPr>
            <sz val="14"/>
            <color rgb="FF000000"/>
            <rFont val="Times New Roman"/>
            <family val="18"/>
          </rPr>
          <t>ML 3912-3 IR 44 (1811) – 3. Fus. Komp. Nr. 80 (Pappa 18/09/1811)</t>
        </r>
        <r>
          <rPr>
            <sz val="14"/>
            <color rgb="FF000000"/>
            <rFont val="Calibri"/>
            <family val="34"/>
          </rPr>
          <t xml:space="preserve">
</t>
        </r>
        <r>
          <rPr>
            <sz val="14"/>
            <color rgb="FF000000"/>
            <rFont val="Times New Roman"/>
            <family val="18"/>
          </rPr>
          <t>ML 3914 IR 44 (1812/6) – 3. Fus. Komp. Nr. 44 (Pest 19/09/1812)</t>
        </r>
        <r>
          <rPr>
            <sz val="14"/>
            <color rgb="FF000000"/>
            <rFont val="Calibri"/>
            <family val="34"/>
          </rPr>
          <t xml:space="preserve">
</t>
        </r>
        <r>
          <rPr>
            <sz val="14"/>
            <color rgb="FF000000"/>
            <rFont val="Times New Roman"/>
            <family val="18"/>
          </rPr>
          <t>ML 3915/6 IR 44 (1818) – 3 Fus. Komp. Nr. 19 (Lodi 07/01/1818); 3. Fus. Komp. Nr. 13 (Lodi 26/10/1818)</t>
        </r>
        <r>
          <rPr>
            <sz val="14"/>
            <color rgb="FF000000"/>
            <rFont val="Calibri"/>
            <family val="34"/>
          </rPr>
          <t xml:space="preserve">
</t>
        </r>
        <r>
          <rPr>
            <sz val="14"/>
            <color rgb="FF000000"/>
            <rFont val="Times New Roman"/>
            <family val="18"/>
          </rPr>
          <t>ML 3918/9 IR 44 (1819) – 3. Fus. Komp. Nr. 13 (Vicenza 20/10/1819)</t>
        </r>
        <r>
          <rPr>
            <sz val="14"/>
            <color rgb="FF000000"/>
            <rFont val="Calibri"/>
            <family val="34"/>
          </rPr>
          <t xml:space="preserve">
</t>
        </r>
        <r>
          <rPr>
            <sz val="14"/>
            <color rgb="FF000000"/>
            <rFont val="Times New Roman"/>
            <family val="18"/>
          </rPr>
          <t>ML 3918/9 IR 44 (1820) – 3. Fus. Komp. Nr. 12 (Milan 20/10/1819)</t>
        </r>
        <r>
          <rPr>
            <sz val="14"/>
            <color rgb="FF000000"/>
            <rFont val="Calibri"/>
            <family val="34"/>
          </rPr>
          <t xml:space="preserve">
</t>
        </r>
        <r>
          <rPr>
            <sz val="14"/>
            <color rgb="FF000000"/>
            <rFont val="Times New Roman"/>
            <family val="18"/>
          </rPr>
          <t>ML 3960 IR 44 (1809) – März (Ofen 14/03/1811), ST Aug (Ofen 25/06/1811)</t>
        </r>
        <r>
          <rPr>
            <sz val="14"/>
            <color rgb="FF000000"/>
            <rFont val="Calibri"/>
            <family val="34"/>
          </rPr>
          <t xml:space="preserve">
</t>
        </r>
      </text>
    </comment>
    <comment ref="BH1152" authorId="0" shapeId="0" xr:uid="{72F6AFDD-04D4-F947-BED1-27A711A16CBA}">
      <text>
        <r>
          <rPr>
            <sz val="14"/>
            <color rgb="FF000000"/>
            <rFont val="Calibri"/>
            <family val="34"/>
          </rPr>
          <t xml:space="preserve">IR 44 (1808-1809)
</t>
        </r>
        <r>
          <rPr>
            <sz val="14"/>
            <color rgb="FF000000"/>
            <rFont val="Calibri"/>
            <family val="34"/>
          </rPr>
          <t xml:space="preserve">SInf (1809)
</t>
        </r>
        <r>
          <rPr>
            <sz val="14"/>
            <color rgb="FF000000"/>
            <rFont val="Calibri"/>
            <family val="34"/>
          </rPr>
          <t>IR 44 (1809-1820)</t>
        </r>
      </text>
    </comment>
    <comment ref="I1153" authorId="0" shapeId="0" xr:uid="{D59D3C3E-CD74-1B46-BF89-2BAE6CB1228A}">
      <text>
        <r>
          <rPr>
            <sz val="14"/>
            <color rgb="FF000000"/>
            <rFont val="Calibri"/>
            <family val="34"/>
          </rPr>
          <t xml:space="preserve">1781 [30 (ML 1811)]
</t>
        </r>
        <r>
          <rPr>
            <sz val="14"/>
            <color rgb="FF000000"/>
            <rFont val="Calibri"/>
            <family val="34"/>
          </rPr>
          <t xml:space="preserve">OR 
</t>
        </r>
        <r>
          <rPr>
            <b/>
            <sz val="14"/>
            <color rgb="FF000000"/>
            <rFont val="Calibri"/>
            <family val="34"/>
          </rPr>
          <t>1784 [24 (AL 1808)]</t>
        </r>
      </text>
    </comment>
    <comment ref="T1153" authorId="0" shapeId="0" xr:uid="{21D75786-D262-5545-99FF-6367878F1D49}">
      <text>
        <r>
          <rPr>
            <sz val="14"/>
            <color rgb="FF000000"/>
            <rFont val="Calibri"/>
            <family val="34"/>
          </rPr>
          <t xml:space="preserve">5 [158 cm (ML 1811)]
</t>
        </r>
        <r>
          <rPr>
            <b/>
            <sz val="14"/>
            <color rgb="FF000000"/>
            <rFont val="Calibri"/>
            <family val="34"/>
          </rPr>
          <t>5.1 [160.63 cm (ML 1808)]</t>
        </r>
      </text>
    </comment>
    <comment ref="BF1153" authorId="0" shapeId="0" xr:uid="{4F10F4A2-B35D-3E4A-B14B-C14691DA7AAB}">
      <text>
        <r>
          <rPr>
            <sz val="14"/>
            <color rgb="FF000000"/>
            <rFont val="Times New Roman"/>
            <family val="18"/>
          </rPr>
          <t xml:space="preserve">11/08/1808 </t>
        </r>
        <r>
          <rPr>
            <i/>
            <sz val="14"/>
            <color rgb="FF000000"/>
            <rFont val="Times New Roman"/>
            <family val="18"/>
          </rPr>
          <t xml:space="preserve">Als Reserve Mann von zum IR 1 Reserve Bataillon </t>
        </r>
        <r>
          <rPr>
            <sz val="14"/>
            <color rgb="FF000000"/>
            <rFont val="Times New Roman"/>
            <family val="18"/>
          </rPr>
          <t xml:space="preserve">[vermutlich für Ort und Herrschaft </t>
        </r>
        <r>
          <rPr>
            <i/>
            <sz val="14"/>
            <color rgb="FF000000"/>
            <rFont val="Times New Roman"/>
            <family val="18"/>
          </rPr>
          <t xml:space="preserve">Sendiszow </t>
        </r>
        <r>
          <rPr>
            <b/>
            <sz val="14"/>
            <color rgb="FF000000"/>
            <rFont val="Times New Roman"/>
            <family val="18"/>
          </rPr>
          <t>[</t>
        </r>
        <r>
          <rPr>
            <b/>
            <u/>
            <sz val="14"/>
            <color rgb="FF0563C1"/>
            <rFont val="Times New Roman"/>
            <family val="18"/>
          </rPr>
          <t>Sędziszów Małopolski, Poland</t>
        </r>
        <r>
          <rPr>
            <b/>
            <sz val="14"/>
            <color rgb="FF000000"/>
            <rFont val="Times New Roman"/>
            <family val="18"/>
          </rPr>
          <t>]</t>
        </r>
        <r>
          <rPr>
            <sz val="14"/>
            <color rgb="FF000000"/>
            <rFont val="Times New Roman"/>
            <family val="18"/>
          </rPr>
          <t>]</t>
        </r>
        <r>
          <rPr>
            <i/>
            <sz val="14"/>
            <color rgb="FF000000"/>
            <rFont val="Times New Roman"/>
            <family val="18"/>
          </rPr>
          <t xml:space="preserve"> gestellt </t>
        </r>
        <r>
          <rPr>
            <sz val="14"/>
            <color rgb="FF000000"/>
            <rFont val="Times New Roman"/>
            <family val="18"/>
          </rPr>
          <t>[AL Aug 1808]</t>
        </r>
        <r>
          <rPr>
            <sz val="14"/>
            <color rgb="FF000000"/>
            <rFont val="Calibri"/>
            <family val="34"/>
          </rPr>
          <t xml:space="preserve">
</t>
        </r>
        <r>
          <rPr>
            <sz val="14"/>
            <color rgb="FF000000"/>
            <rFont val="Times New Roman"/>
            <family val="18"/>
          </rPr>
          <t xml:space="preserve">22/09/1808 </t>
        </r>
        <r>
          <rPr>
            <i/>
            <sz val="14"/>
            <color rgb="FF000000"/>
            <rFont val="Times New Roman"/>
            <family val="18"/>
          </rPr>
          <t xml:space="preserve">Als Werbbezirk Recrout zum IR 1 in Ost Gallizien ausgehoben und zur 8. Fus. Komp. </t>
        </r>
        <r>
          <rPr>
            <sz val="14"/>
            <color rgb="FF000000"/>
            <rFont val="Times New Roman"/>
            <family val="18"/>
          </rPr>
          <t>[Haupt Hardy]</t>
        </r>
        <r>
          <rPr>
            <i/>
            <sz val="14"/>
            <color rgb="FF000000"/>
            <rFont val="Times New Roman"/>
            <family val="18"/>
          </rPr>
          <t xml:space="preserve"> zugeteilt und seitdem auf anhero Marsch</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27/10/1808 </t>
        </r>
        <r>
          <rPr>
            <i/>
            <sz val="14"/>
            <color rgb="FF000000"/>
            <rFont val="Times New Roman"/>
            <family val="18"/>
          </rPr>
          <t>In Kompanie eingerückt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[Angaben Fahlen von ST]</t>
        </r>
        <r>
          <rPr>
            <sz val="14"/>
            <color rgb="FF000000"/>
            <rFont val="Calibri"/>
            <family val="34"/>
          </rPr>
          <t xml:space="preserve">
</t>
        </r>
        <r>
          <rPr>
            <sz val="14"/>
            <color rgb="FF000000"/>
            <rFont val="Times New Roman"/>
            <family val="18"/>
          </rPr>
          <t xml:space="preserve">18/01/1810 </t>
        </r>
        <r>
          <rPr>
            <i/>
            <sz val="14"/>
            <color rgb="FF000000"/>
            <rFont val="Times New Roman"/>
            <family val="18"/>
          </rPr>
          <t>Aus dem Kriegsgefangenschaft Konventionsmäßig ausgewechselt und zu Budweis präsentiert seitdem auf Anhero Marsch</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14/02/1810 </t>
        </r>
        <r>
          <rPr>
            <i/>
            <sz val="14"/>
            <color rgb="FF000000"/>
            <rFont val="Times New Roman"/>
            <family val="18"/>
          </rPr>
          <t>In Loco eingerückt</t>
        </r>
        <r>
          <rPr>
            <sz val="14"/>
            <color rgb="FF000000"/>
            <rFont val="Times New Roman"/>
            <family val="18"/>
          </rPr>
          <t xml:space="preserve"> [ST Feb 1810] </t>
        </r>
        <r>
          <rPr>
            <sz val="14"/>
            <color rgb="FF000000"/>
            <rFont val="Calibri"/>
            <family val="34"/>
          </rPr>
          <t xml:space="preserve">
</t>
        </r>
        <r>
          <rPr>
            <sz val="14"/>
            <color rgb="FF000000"/>
            <rFont val="Times New Roman"/>
            <family val="18"/>
          </rPr>
          <t xml:space="preserve">11/04/1810 </t>
        </r>
        <r>
          <rPr>
            <i/>
            <sz val="14"/>
            <color rgb="FF000000"/>
            <rFont val="Times New Roman"/>
            <family val="18"/>
          </rPr>
          <t>Beurlaubt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16/07/1810 </t>
        </r>
        <r>
          <rPr>
            <i/>
            <sz val="14"/>
            <color rgb="FF000000"/>
            <rFont val="Times New Roman"/>
            <family val="18"/>
          </rPr>
          <t>Von Urlaub eingerückt</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14. Zum 4. Komp transferiert und seitdem beurlaubt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13/09/1811 Muster: IR 1 4. Fus. Komp. Nr. 200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19/06/1812 </t>
        </r>
        <r>
          <rPr>
            <i/>
            <sz val="14"/>
            <color rgb="FF000000"/>
            <rFont val="Times New Roman"/>
            <family val="18"/>
          </rPr>
          <t>Von Unbestimmte Urlaub eingerückt</t>
        </r>
        <r>
          <rPr>
            <sz val="14"/>
            <color rgb="FF000000"/>
            <rFont val="Times New Roman"/>
            <family val="18"/>
          </rPr>
          <t xml:space="preserve"> [ST June 1812]</t>
        </r>
        <r>
          <rPr>
            <sz val="14"/>
            <color rgb="FF000000"/>
            <rFont val="Calibri"/>
            <family val="34"/>
          </rPr>
          <t xml:space="preserve">
</t>
        </r>
        <r>
          <rPr>
            <sz val="14"/>
            <color rgb="FF000000"/>
            <rFont val="Times New Roman"/>
            <family val="18"/>
          </rPr>
          <t xml:space="preserve">11/11/1813 </t>
        </r>
        <r>
          <rPr>
            <i/>
            <sz val="14"/>
            <color rgb="FF000000"/>
            <rFont val="Times New Roman"/>
            <family val="18"/>
          </rPr>
          <t>Krank in Armee Spital</t>
        </r>
        <r>
          <rPr>
            <sz val="14"/>
            <color rgb="FF000000"/>
            <rFont val="Times New Roman"/>
            <family val="18"/>
          </rPr>
          <t xml:space="preserve"> (mit 5 andere)</t>
        </r>
        <r>
          <rPr>
            <b/>
            <sz val="14"/>
            <color rgb="FF000000"/>
            <rFont val="Times New Roman"/>
            <family val="18"/>
          </rPr>
          <t xml:space="preserve"> [Verletzt beim Sturm von Hochheim?] </t>
        </r>
        <r>
          <rPr>
            <sz val="14"/>
            <color rgb="FF000000"/>
            <rFont val="Times New Roman"/>
            <family val="18"/>
          </rPr>
          <t>[ST Nov 1811]</t>
        </r>
        <r>
          <rPr>
            <sz val="14"/>
            <color rgb="FF000000"/>
            <rFont val="Calibri"/>
            <family val="34"/>
          </rPr>
          <t xml:space="preserve">
</t>
        </r>
        <r>
          <rPr>
            <sz val="14"/>
            <color rgb="FF000000"/>
            <rFont val="Times New Roman"/>
            <family val="18"/>
          </rPr>
          <t xml:space="preserve">01/05/1814 </t>
        </r>
        <r>
          <rPr>
            <i/>
            <sz val="14"/>
            <color rgb="FF000000"/>
            <rFont val="Times New Roman"/>
            <family val="18"/>
          </rPr>
          <t>Von 2. zum 14. Fus. Komp. transferiert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14. zum 1. Depot Komp. transferiert</t>
        </r>
        <r>
          <rPr>
            <sz val="14"/>
            <color rgb="FF000000"/>
            <rFont val="Times New Roman"/>
            <family val="18"/>
          </rPr>
          <t xml:space="preserve"> [ST May 1815]</t>
        </r>
        <r>
          <rPr>
            <sz val="14"/>
            <color rgb="FF000000"/>
            <rFont val="Calibri"/>
            <family val="34"/>
          </rPr>
          <t xml:space="preserve">
</t>
        </r>
        <r>
          <rPr>
            <sz val="14"/>
            <color rgb="FF000000"/>
            <rFont val="Times New Roman"/>
            <family val="18"/>
          </rPr>
          <t xml:space="preserve">01/12/1815 </t>
        </r>
        <r>
          <rPr>
            <i/>
            <sz val="14"/>
            <color rgb="FF000000"/>
            <rFont val="Times New Roman"/>
            <family val="18"/>
          </rPr>
          <t>Von dissolvierte 1. Depot zur 1. Fus. Komp. transferiert</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31/08/1817 </t>
        </r>
        <r>
          <rPr>
            <i/>
            <sz val="14"/>
            <color rgb="FF000000"/>
            <rFont val="Times New Roman"/>
            <family val="18"/>
          </rPr>
          <t>Zu Folge hohen General Kommando Verordnung deto Brünn 7. August 817 copia P 1815 weil deren Existenz nicht zu erinnern als Krank in Armee Spital als unwissend verloren in Abgang gebracht</t>
        </r>
        <r>
          <rPr>
            <sz val="14"/>
            <color rgb="FF000000"/>
            <rFont val="Times New Roman"/>
            <family val="18"/>
          </rPr>
          <t xml:space="preserve"> [ML 1817] </t>
        </r>
        <r>
          <rPr>
            <sz val="14"/>
            <color rgb="FF000000"/>
            <rFont val="Calibri"/>
            <family val="34"/>
          </rPr>
          <t xml:space="preserve">
</t>
        </r>
      </text>
    </comment>
    <comment ref="BG1153" authorId="0" shapeId="0" xr:uid="{9EFAF63A-396E-C54F-985A-4D21EC38DD6C}">
      <text>
        <r>
          <rPr>
            <sz val="14"/>
            <color rgb="FF000000"/>
            <rFont val="Times New Roman"/>
            <family val="18"/>
          </rPr>
          <t>ML 33 IR 1 (1811) – 4. Fus. Komp. Nr. 200 (Olmütz 13/09/1811)</t>
        </r>
        <r>
          <rPr>
            <sz val="14"/>
            <color rgb="FF000000"/>
            <rFont val="Calibri"/>
            <family val="34"/>
          </rPr>
          <t xml:space="preserve">
</t>
        </r>
        <r>
          <rPr>
            <sz val="14"/>
            <color rgb="FF000000"/>
            <rFont val="Times New Roman"/>
            <family val="18"/>
          </rPr>
          <t>ML 34 IR 1 (1817) – IR 1 1. Fus. Komp. Abgang (Brünn 19/09/1817)</t>
        </r>
        <r>
          <rPr>
            <sz val="14"/>
            <color rgb="FF000000"/>
            <rFont val="Calibri"/>
            <family val="34"/>
          </rPr>
          <t xml:space="preserve">
</t>
        </r>
        <r>
          <rPr>
            <sz val="14"/>
            <color rgb="FF000000"/>
            <rFont val="Times New Roman"/>
            <family val="18"/>
          </rPr>
          <t>ML 89 IR 1 (1808) – ST Sept (18/02/1809)</t>
        </r>
        <r>
          <rPr>
            <sz val="14"/>
            <color rgb="FF000000"/>
            <rFont val="Calibri"/>
            <family val="34"/>
          </rPr>
          <t xml:space="preserve">
</t>
        </r>
        <r>
          <rPr>
            <sz val="14"/>
            <color rgb="FF000000"/>
            <rFont val="Times New Roman"/>
            <family val="18"/>
          </rPr>
          <t>ML 90 IR 1 (1808) – AL Reserve Unnumbered (Sokolov 19/08/1808)</t>
        </r>
        <r>
          <rPr>
            <sz val="14"/>
            <color rgb="FF000000"/>
            <rFont val="Calibri"/>
            <family val="34"/>
          </rPr>
          <t xml:space="preserve">
</t>
        </r>
        <r>
          <rPr>
            <sz val="14"/>
            <color rgb="FF000000"/>
            <rFont val="Times New Roman"/>
            <family val="18"/>
          </rPr>
          <t>ML 91 IR 1 (1809) – Aug (Proßnitz 15/11/1810), Sept (Proßnitz 23/11/1810), Oct (Brünn 24/12/1810), Dec (Proßnitz 15/01/1811)</t>
        </r>
        <r>
          <rPr>
            <sz val="14"/>
            <color rgb="FF000000"/>
            <rFont val="Calibri"/>
            <family val="34"/>
          </rPr>
          <t xml:space="preserve">
</t>
        </r>
        <r>
          <rPr>
            <sz val="14"/>
            <color rgb="FF000000"/>
            <rFont val="Times New Roman"/>
            <family val="18"/>
          </rPr>
          <t>ML 93 IR 1 (1809) VI-XII – AL. Reserve Nr. 27 (Ungarisch Hradisch 08/08/1809)</t>
        </r>
        <r>
          <rPr>
            <sz val="14"/>
            <color rgb="FF000000"/>
            <rFont val="Calibri"/>
            <family val="34"/>
          </rPr>
          <t xml:space="preserve">
</t>
        </r>
        <r>
          <rPr>
            <sz val="14"/>
            <color rgb="FF000000"/>
            <rFont val="Times New Roman"/>
            <family val="18"/>
          </rPr>
          <t>ML 94 IR 1 (1810) – ST Feb (Proßnitz 15/02/1811)</t>
        </r>
        <r>
          <rPr>
            <sz val="14"/>
            <color rgb="FF000000"/>
            <rFont val="Calibri"/>
            <family val="34"/>
          </rPr>
          <t xml:space="preserve">
</t>
        </r>
        <r>
          <rPr>
            <sz val="14"/>
            <color rgb="FF000000"/>
            <rFont val="Times New Roman"/>
            <family val="18"/>
          </rPr>
          <t>ML 97 IR 1 (1812) – ST May (Proßnitz 24/08/1812), Oct (Proßnitz 23/02/1813), Nov (Proßnitz 30/03/1813), Dec (08/05/1813)</t>
        </r>
        <r>
          <rPr>
            <sz val="14"/>
            <color rgb="FF000000"/>
            <rFont val="Calibri"/>
            <family val="34"/>
          </rPr>
          <t xml:space="preserve">
</t>
        </r>
        <r>
          <rPr>
            <sz val="14"/>
            <color rgb="FF000000"/>
            <rFont val="Times New Roman"/>
            <family val="18"/>
          </rPr>
          <t>ML 99 IR 1 (1813) – ST Feb (Proßnitz 20/06/1813), Aug (Proßnitz 15/12/1813), Sept (05/02/1814), Nov (Brünn 26/04/1814)</t>
        </r>
        <r>
          <rPr>
            <sz val="14"/>
            <color rgb="FF000000"/>
            <rFont val="Calibri"/>
            <family val="34"/>
          </rPr>
          <t xml:space="preserve">
</t>
        </r>
        <r>
          <rPr>
            <sz val="14"/>
            <color rgb="FF000000"/>
            <rFont val="Times New Roman"/>
            <family val="18"/>
          </rPr>
          <t xml:space="preserve">ML 105 IR 1 (1815) – ST May (Proßnitz 01/10/1815), </t>
        </r>
        <r>
          <rPr>
            <sz val="14"/>
            <color rgb="FF000000"/>
            <rFont val="Calibri"/>
            <family val="34"/>
          </rPr>
          <t xml:space="preserve">
</t>
        </r>
        <r>
          <rPr>
            <sz val="14"/>
            <color rgb="FF000000"/>
            <rFont val="Times New Roman"/>
            <family val="18"/>
          </rPr>
          <t>ML 109 IR 1 (1817) – ST Aug (Brünn 05/10/1817)</t>
        </r>
        <r>
          <rPr>
            <sz val="14"/>
            <color rgb="FF000000"/>
            <rFont val="Calibri"/>
            <family val="34"/>
          </rPr>
          <t xml:space="preserve">
</t>
        </r>
        <r>
          <rPr>
            <sz val="14"/>
            <color rgb="FF000000"/>
            <rFont val="Calibri"/>
            <family val="34"/>
          </rPr>
          <t xml:space="preserve">
</t>
        </r>
      </text>
    </comment>
    <comment ref="BH1153" authorId="0" shapeId="0" xr:uid="{DBD7E5A7-4F61-5D43-BAC1-3EF16094DA30}">
      <text>
        <r>
          <rPr>
            <sz val="14"/>
            <color rgb="FF000000"/>
            <rFont val="Calibri"/>
            <family val="34"/>
          </rPr>
          <t>IR 1 (1808-1817)</t>
        </r>
      </text>
    </comment>
    <comment ref="I1154" authorId="0" shapeId="0" xr:uid="{300D55BB-9CDC-894D-8812-449DCC494248}">
      <text>
        <r>
          <rPr>
            <sz val="14"/>
            <color rgb="FF000000"/>
            <rFont val="Calibri"/>
            <family val="34"/>
          </rPr>
          <t xml:space="preserve">1785 [23 (AL Marz 1808)]
</t>
        </r>
        <r>
          <rPr>
            <sz val="14"/>
            <color rgb="FF000000"/>
            <rFont val="Calibri"/>
            <family val="34"/>
          </rPr>
          <t xml:space="preserve">OR 
</t>
        </r>
        <r>
          <rPr>
            <sz val="14"/>
            <color rgb="FF000000"/>
            <rFont val="Calibri"/>
            <family val="34"/>
          </rPr>
          <t>1789 [20 (TL 1809)]</t>
        </r>
      </text>
    </comment>
    <comment ref="K1154" authorId="0" shapeId="0" xr:uid="{43386AFC-7EAE-0745-B17B-F41809E9176A}">
      <text>
        <r>
          <rPr>
            <sz val="14"/>
            <color rgb="FF000000"/>
            <rFont val="Calibri"/>
            <family val="34"/>
          </rPr>
          <t xml:space="preserve">Schneider  (1808)
</t>
        </r>
        <r>
          <rPr>
            <sz val="14"/>
            <color rgb="FF000000"/>
            <rFont val="Calibri"/>
            <family val="34"/>
          </rPr>
          <t>Ohne (1809)</t>
        </r>
      </text>
    </comment>
    <comment ref="BF1154" authorId="0" shapeId="0" xr:uid="{215276FA-30CF-244B-A109-3F557152155B}">
      <text>
        <r>
          <rPr>
            <sz val="14"/>
            <color rgb="FF000000"/>
            <rFont val="Times New Roman"/>
            <family val="18"/>
          </rPr>
          <t xml:space="preserve">02/08/1808 </t>
        </r>
        <r>
          <rPr>
            <i/>
            <sz val="14"/>
            <color rgb="FF000000"/>
            <rFont val="Times New Roman"/>
            <family val="18"/>
          </rPr>
          <t xml:space="preserve">Als Reserve Mann zum IR 1 Reserve Division </t>
        </r>
        <r>
          <rPr>
            <sz val="14"/>
            <color rgb="FF000000"/>
            <rFont val="Times New Roman"/>
            <family val="18"/>
          </rPr>
          <t>[AL Aug 1808]</t>
        </r>
        <r>
          <rPr>
            <sz val="14"/>
            <color rgb="FF000000"/>
            <rFont val="Calibri"/>
            <family val="34"/>
          </rPr>
          <t xml:space="preserve">
</t>
        </r>
        <r>
          <rPr>
            <sz val="14"/>
            <color rgb="FF000000"/>
            <rFont val="Times New Roman"/>
            <family val="18"/>
          </rPr>
          <t xml:space="preserve">24/09/1808 </t>
        </r>
        <r>
          <rPr>
            <i/>
            <sz val="14"/>
            <color rgb="FF000000"/>
            <rFont val="Times New Roman"/>
            <family val="18"/>
          </rPr>
          <t xml:space="preserve">Als Werbbezirk Recrout zum IR 1 in Sokolow Ost Galizien ausgehoben und zur 9. Fus. Komp. </t>
        </r>
        <r>
          <rPr>
            <sz val="14"/>
            <color rgb="FF000000"/>
            <rFont val="Times New Roman"/>
            <family val="18"/>
          </rPr>
          <t>[Haupt Penater]</t>
        </r>
        <r>
          <rPr>
            <i/>
            <sz val="14"/>
            <color rgb="FF000000"/>
            <rFont val="Times New Roman"/>
            <family val="18"/>
          </rPr>
          <t xml:space="preserve"> zugeteilt</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28/02/1809 </t>
        </r>
        <r>
          <rPr>
            <i/>
            <sz val="14"/>
            <color rgb="FF000000"/>
            <rFont val="Times New Roman"/>
            <family val="18"/>
          </rPr>
          <t xml:space="preserve">Von IR 1 Haupt Schindler Komp. zum neu errichtete </t>
        </r>
        <r>
          <rPr>
            <sz val="14"/>
            <color rgb="FF000000"/>
            <rFont val="Times New Roman"/>
            <family val="18"/>
          </rPr>
          <t xml:space="preserve">[3.] </t>
        </r>
        <r>
          <rPr>
            <i/>
            <sz val="14"/>
            <color rgb="FF000000"/>
            <rFont val="Times New Roman"/>
            <family val="18"/>
          </rPr>
          <t xml:space="preserve">Staabs Infanterie Regiment transferiert </t>
        </r>
        <r>
          <rPr>
            <sz val="14"/>
            <color rgb="FF000000"/>
            <rFont val="Times New Roman"/>
            <family val="18"/>
          </rPr>
          <t>[TL May 1809 &amp; TL Aug 1810]</t>
        </r>
        <r>
          <rPr>
            <sz val="14"/>
            <color rgb="FF000000"/>
            <rFont val="Calibri"/>
            <family val="34"/>
          </rPr>
          <t xml:space="preserve">
</t>
        </r>
        <r>
          <rPr>
            <sz val="14"/>
            <color rgb="FF000000"/>
            <rFont val="Times New Roman"/>
            <family val="18"/>
          </rPr>
          <t xml:space="preserve">05/01/1810 </t>
        </r>
        <r>
          <rPr>
            <i/>
            <sz val="14"/>
            <color rgb="FF000000"/>
            <rFont val="Times New Roman"/>
            <family val="18"/>
          </rPr>
          <t>Von 3. Staabs Infanterie Komp. zum IR 1 transferiert und zum 14. Fus. Komp. eingeheilt, seitdem krank in auswärtiger Armée Spital</t>
        </r>
        <r>
          <rPr>
            <sz val="14"/>
            <color rgb="FF000000"/>
            <rFont val="Times New Roman"/>
            <family val="18"/>
          </rPr>
          <t xml:space="preserve"> [TL Aug 1810 &amp; ST Jan 1810]</t>
        </r>
        <r>
          <rPr>
            <sz val="14"/>
            <color rgb="FF000000"/>
            <rFont val="Calibri"/>
            <family val="34"/>
          </rPr>
          <t xml:space="preserve">
</t>
        </r>
        <r>
          <rPr>
            <sz val="14"/>
            <color rgb="FF000000"/>
            <rFont val="Times New Roman"/>
            <family val="18"/>
          </rPr>
          <t xml:space="preserve">25/08/1810 </t>
        </r>
        <r>
          <rPr>
            <i/>
            <sz val="14"/>
            <color rgb="FF000000"/>
            <rFont val="Times New Roman"/>
            <family val="18"/>
          </rPr>
          <t xml:space="preserve">Zu folge hoher General Commando Verordnung ddt. Brunn den 19. July 810 von deren Existenz unbewusst als auf Marsch verblieben als unwissend verloren in Abgang gebracht </t>
        </r>
        <r>
          <rPr>
            <sz val="14"/>
            <color rgb="FF000000"/>
            <rFont val="Times New Roman"/>
            <family val="18"/>
          </rPr>
          <t>[ST Aug 1810]</t>
        </r>
        <r>
          <rPr>
            <sz val="14"/>
            <color rgb="FF000000"/>
            <rFont val="Calibri"/>
            <family val="34"/>
          </rPr>
          <t xml:space="preserve">
</t>
        </r>
      </text>
    </comment>
    <comment ref="BG1154" authorId="0" shapeId="0" xr:uid="{C0F9A781-5999-7C4E-80EB-391A07CBE9D3}">
      <text>
        <r>
          <rPr>
            <sz val="14"/>
            <color rgb="FF000000"/>
            <rFont val="Times New Roman"/>
            <family val="18"/>
          </rPr>
          <t>ML 89 IR 1 (1808) – ST Sept (18/02/1809)</t>
        </r>
        <r>
          <rPr>
            <sz val="14"/>
            <color rgb="FF000000"/>
            <rFont val="Calibri"/>
            <family val="34"/>
          </rPr>
          <t xml:space="preserve">
</t>
        </r>
        <r>
          <rPr>
            <sz val="14"/>
            <color rgb="FF000000"/>
            <rFont val="Times New Roman"/>
            <family val="18"/>
          </rPr>
          <t>ML 90 IR 1 (1808) – AL Reserve Nr. 24 (Tarnow 10/08/1808)</t>
        </r>
        <r>
          <rPr>
            <sz val="14"/>
            <color rgb="FF000000"/>
            <rFont val="Calibri"/>
            <family val="34"/>
          </rPr>
          <t xml:space="preserve">
</t>
        </r>
        <r>
          <rPr>
            <sz val="14"/>
            <color rgb="FF000000"/>
            <rFont val="Times New Roman"/>
            <family val="18"/>
          </rPr>
          <t>ML 92 IR 1 (1809) AL/TL – TL IR 1-&gt;SInf Nr. 20 (Olmütz 27/05/1809)</t>
        </r>
        <r>
          <rPr>
            <sz val="14"/>
            <color rgb="FF000000"/>
            <rFont val="Calibri"/>
            <family val="34"/>
          </rPr>
          <t xml:space="preserve">
</t>
        </r>
        <r>
          <rPr>
            <sz val="14"/>
            <color rgb="FF000000"/>
            <rFont val="Times New Roman"/>
            <family val="18"/>
          </rPr>
          <t>ML 94 IR 1 (1810) – ST Jan (10/01/1811), Aug (Brünn 08/04/1811)</t>
        </r>
        <r>
          <rPr>
            <sz val="14"/>
            <color rgb="FF000000"/>
            <rFont val="Calibri"/>
            <family val="34"/>
          </rPr>
          <t xml:space="preserve">
</t>
        </r>
        <r>
          <rPr>
            <sz val="14"/>
            <color rgb="FF000000"/>
            <rFont val="Times New Roman"/>
            <family val="18"/>
          </rPr>
          <t>ML 95 IR 1 (1810) AL/TL – TL SInf 3K-&gt;IR 1 Nr. 17 (Graz 10/08/1810)</t>
        </r>
      </text>
    </comment>
    <comment ref="BH1154" authorId="0" shapeId="0" xr:uid="{1989E5A5-3697-8B42-AF4E-39E207F22806}">
      <text>
        <r>
          <rPr>
            <sz val="14"/>
            <color rgb="FF000000"/>
            <rFont val="Calibri"/>
            <family val="34"/>
          </rPr>
          <t xml:space="preserve">IR 1 (1808-1809)
</t>
        </r>
        <r>
          <rPr>
            <sz val="14"/>
            <color rgb="FF000000"/>
            <rFont val="Calibri"/>
            <family val="34"/>
          </rPr>
          <t xml:space="preserve">SInf 3K (1809-1810)
</t>
        </r>
        <r>
          <rPr>
            <sz val="14"/>
            <color rgb="FF000000"/>
            <rFont val="Calibri"/>
            <family val="34"/>
          </rPr>
          <t>IR 1 (1810)</t>
        </r>
      </text>
    </comment>
    <comment ref="CR1154" authorId="0" shapeId="0" xr:uid="{7122791D-C67D-CC4C-A332-E326C283A0F9}">
      <text>
        <r>
          <rPr>
            <sz val="14"/>
            <color rgb="FF000000"/>
            <rFont val="Calibri"/>
            <family val="34"/>
          </rPr>
          <t>1808/9: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1810: 'detto'/Katolisch  </t>
        </r>
      </text>
    </comment>
    <comment ref="BF1155" authorId="0" shapeId="0" xr:uid="{4C032E41-DB4B-3846-A2FE-EF97CE61A614}">
      <text>
        <r>
          <rPr>
            <sz val="14"/>
            <color rgb="FF000000"/>
            <rFont val="Times New Roman"/>
            <family val="18"/>
          </rPr>
          <t xml:space="preserve">02/08/1808 </t>
        </r>
        <r>
          <rPr>
            <i/>
            <sz val="14"/>
            <color rgb="FF000000"/>
            <rFont val="Times New Roman"/>
            <family val="18"/>
          </rPr>
          <t xml:space="preserve">Als Reserve Mann zum IR 1 Reserve Division </t>
        </r>
        <r>
          <rPr>
            <sz val="14"/>
            <color rgb="FF000000"/>
            <rFont val="Times New Roman"/>
            <family val="18"/>
          </rPr>
          <t>[AL Aug 1808]</t>
        </r>
        <r>
          <rPr>
            <sz val="14"/>
            <color rgb="FF000000"/>
            <rFont val="Calibri"/>
            <family val="34"/>
          </rPr>
          <t xml:space="preserve">
</t>
        </r>
        <r>
          <rPr>
            <sz val="14"/>
            <color rgb="FF000000"/>
            <rFont val="Times New Roman"/>
            <family val="18"/>
          </rPr>
          <t xml:space="preserve">24/09/1808 </t>
        </r>
        <r>
          <rPr>
            <i/>
            <sz val="14"/>
            <color rgb="FF000000"/>
            <rFont val="Times New Roman"/>
            <family val="18"/>
          </rPr>
          <t xml:space="preserve">Als Werbbezirk Recrout zum IR 1 in Ost Gallizien ausgehoben und zur 6. Fus. Komp. </t>
        </r>
        <r>
          <rPr>
            <sz val="14"/>
            <color rgb="FF000000"/>
            <rFont val="Times New Roman"/>
            <family val="18"/>
          </rPr>
          <t>[CaptLt Hayns]</t>
        </r>
        <r>
          <rPr>
            <i/>
            <sz val="14"/>
            <color rgb="FF000000"/>
            <rFont val="Times New Roman"/>
            <family val="18"/>
          </rPr>
          <t xml:space="preserve"> zugeteilt</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6. Zum neue 17. Fus.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2"/>
          </rPr>
          <t xml:space="preserve"> </t>
        </r>
      </text>
    </comment>
    <comment ref="BG1155" authorId="0" shapeId="0" xr:uid="{7E2220D4-5A2F-C443-BDA9-2B0EFD304E98}">
      <text>
        <r>
          <rPr>
            <sz val="14"/>
            <color rgb="FF000000"/>
            <rFont val="Times New Roman"/>
            <family val="18"/>
          </rPr>
          <t>ML 89 IR 1 (1808) – ST Sept (18/02/1809)</t>
        </r>
        <r>
          <rPr>
            <sz val="14"/>
            <color rgb="FF000000"/>
            <rFont val="Calibri"/>
            <family val="34"/>
          </rPr>
          <t xml:space="preserve">
</t>
        </r>
        <r>
          <rPr>
            <sz val="14"/>
            <color rgb="FF000000"/>
            <rFont val="Times New Roman"/>
            <family val="18"/>
          </rPr>
          <t>ML 90 IR 1 (1808) – AL Reserve Nr. 19 (Tarnow 10/08/1808)</t>
        </r>
        <r>
          <rPr>
            <sz val="14"/>
            <color rgb="FF000000"/>
            <rFont val="Calibri"/>
            <family val="34"/>
          </rPr>
          <t xml:space="preserve">
</t>
        </r>
        <r>
          <rPr>
            <sz val="14"/>
            <color rgb="FF000000"/>
            <rFont val="Times New Roman"/>
            <family val="18"/>
          </rPr>
          <t>ML 91 IR 1 (1809) – ST Feb (Olmütz 20/07/1809), April (Proßnitz 26/07/1810)</t>
        </r>
        <r>
          <rPr>
            <sz val="14"/>
            <color rgb="FF000000"/>
            <rFont val="Calibri"/>
            <family val="34"/>
          </rPr>
          <t xml:space="preserve">
</t>
        </r>
      </text>
    </comment>
    <comment ref="BH1155" authorId="0" shapeId="0" xr:uid="{65519EA2-FE07-6045-A560-E7EC292088DE}">
      <text>
        <r>
          <rPr>
            <sz val="14"/>
            <color rgb="FF000000"/>
            <rFont val="Calibri"/>
            <family val="34"/>
          </rPr>
          <t>IR 1 (1808-1809)</t>
        </r>
      </text>
    </comment>
    <comment ref="BF1156" authorId="0" shapeId="0" xr:uid="{9E5E91B4-2591-B543-860E-1C3FC043770A}">
      <text>
        <r>
          <rPr>
            <sz val="14"/>
            <color rgb="FF000000"/>
            <rFont val="Times New Roman"/>
            <family val="18"/>
          </rPr>
          <t xml:space="preserve">27/09/1808 </t>
        </r>
        <r>
          <rPr>
            <i/>
            <sz val="14"/>
            <color rgb="FF000000"/>
            <rFont val="Times New Roman"/>
            <family val="18"/>
          </rPr>
          <t>Gegen 3Fl Handgeld auf 10 Jahr zum IR 23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GH Würzburg Inf Regiment</t>
        </r>
        <r>
          <rPr>
            <sz val="14"/>
            <color rgb="FF000000"/>
            <rFont val="Times New Roman"/>
            <family val="18"/>
          </rPr>
          <t xml:space="preserve"> </t>
        </r>
        <r>
          <rPr>
            <b/>
            <sz val="14"/>
            <color rgb="FF000000"/>
            <rFont val="Times New Roman"/>
            <family val="18"/>
          </rPr>
          <t xml:space="preserve">[IR 23] </t>
        </r>
        <r>
          <rPr>
            <i/>
            <sz val="14"/>
            <color rgb="FF000000"/>
            <rFont val="Times New Roman"/>
            <family val="18"/>
          </rPr>
          <t>am IR 44 transferiert und zur 8.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188</t>
        </r>
        <r>
          <rPr>
            <sz val="14"/>
            <color rgb="FF000000"/>
            <rFont val="Calibri"/>
            <family val="34"/>
          </rPr>
          <t xml:space="preserve">
</t>
        </r>
        <r>
          <rPr>
            <sz val="14"/>
            <color rgb="FF000000"/>
            <rFont val="Times New Roman"/>
            <family val="18"/>
          </rPr>
          <t xml:space="preserve">20/09/1811 Muster: IR 44 8. Fus. Komp. Nr. 123 </t>
        </r>
        <r>
          <rPr>
            <sz val="14"/>
            <color rgb="FF000000"/>
            <rFont val="Calibri"/>
            <family val="34"/>
          </rPr>
          <t xml:space="preserve">
</t>
        </r>
        <r>
          <rPr>
            <sz val="14"/>
            <color rgb="FF000000"/>
            <rFont val="Times New Roman"/>
            <family val="18"/>
          </rPr>
          <t>19/09/1812 Revision: IR 44 8. Fus. Komp. Nr. 80 [</t>
        </r>
        <r>
          <rPr>
            <i/>
            <sz val="14"/>
            <color rgb="FF000000"/>
            <rFont val="Times New Roman"/>
            <family val="18"/>
          </rPr>
          <t>Beurlaubt in Galizien</t>
        </r>
        <r>
          <rPr>
            <sz val="14"/>
            <color rgb="FF000000"/>
            <rFont val="Times New Roman"/>
            <family val="18"/>
          </rPr>
          <t>]</t>
        </r>
        <r>
          <rPr>
            <sz val="14"/>
            <color rgb="FF000000"/>
            <rFont val="Calibri"/>
            <family val="34"/>
          </rPr>
          <t xml:space="preserve">
</t>
        </r>
      </text>
    </comment>
    <comment ref="BG1156" authorId="0" shapeId="0" xr:uid="{BBA31DA5-D8A9-354B-8A7C-3DD92F34A98A}">
      <text>
        <r>
          <rPr>
            <sz val="14"/>
            <color rgb="FF000000"/>
            <rFont val="Times New Roman"/>
            <family val="18"/>
          </rPr>
          <t>ML 3911 IR 44 (1808-10) – 8. Fus. Komp. Nr. 188 (Pappa 27/09/1810)</t>
        </r>
        <r>
          <rPr>
            <sz val="14"/>
            <color rgb="FF000000"/>
            <rFont val="Calibri"/>
            <family val="34"/>
          </rPr>
          <t xml:space="preserve">
</t>
        </r>
        <r>
          <rPr>
            <sz val="14"/>
            <color rgb="FF000000"/>
            <rFont val="Times New Roman"/>
            <family val="18"/>
          </rPr>
          <t>ML 3912/3 IR 44 (1811) – 8. Fus. Komp. Nr. 123 (Sthulweissenburg 20/09/1811)</t>
        </r>
        <r>
          <rPr>
            <sz val="14"/>
            <color rgb="FF000000"/>
            <rFont val="Calibri"/>
            <family val="34"/>
          </rPr>
          <t xml:space="preserve">
</t>
        </r>
        <r>
          <rPr>
            <sz val="14"/>
            <color rgb="FF000000"/>
            <rFont val="Times New Roman"/>
            <family val="18"/>
          </rPr>
          <t>ML 3914 IR 44 (1812/6) – 8. Fus. Komp. Nr. 80 (Pest 19/09/1812)</t>
        </r>
        <r>
          <rPr>
            <sz val="14"/>
            <color rgb="FF000000"/>
            <rFont val="Calibri"/>
            <family val="34"/>
          </rPr>
          <t xml:space="preserve">
</t>
        </r>
      </text>
    </comment>
    <comment ref="BH1156" authorId="0" shapeId="0" xr:uid="{DEDDC630-8712-F145-A15E-8EBC6DA129D8}">
      <text>
        <r>
          <rPr>
            <sz val="14"/>
            <color rgb="FF000000"/>
            <rFont val="Calibri"/>
            <family val="34"/>
          </rPr>
          <t xml:space="preserve">IR 23 (1808-1810)
</t>
        </r>
        <r>
          <rPr>
            <sz val="14"/>
            <color rgb="FF000000"/>
            <rFont val="Calibri"/>
            <family val="34"/>
          </rPr>
          <t>IR 44 (1810-1812)</t>
        </r>
      </text>
    </comment>
    <comment ref="BF1157" authorId="0" shapeId="0" xr:uid="{0057BBB1-4E5D-3146-A984-85307DB6216C}">
      <text>
        <r>
          <rPr>
            <sz val="14"/>
            <color rgb="FF000000"/>
            <rFont val="Times New Roman"/>
            <family val="18"/>
          </rPr>
          <t xml:space="preserve">27/09/1808 </t>
        </r>
        <r>
          <rPr>
            <i/>
            <sz val="14"/>
            <color rgb="FF000000"/>
            <rFont val="Times New Roman"/>
            <family val="18"/>
          </rPr>
          <t xml:space="preserve">In der 1. Reserve Batton a 2Fl zum IR 24 ex officio assentiert </t>
        </r>
        <r>
          <rPr>
            <sz val="14"/>
            <color rgb="FF000000"/>
            <rFont val="Times New Roman"/>
            <family val="18"/>
          </rPr>
          <t>[TL March 1810]</t>
        </r>
        <r>
          <rPr>
            <sz val="14"/>
            <color rgb="FF000000"/>
            <rFont val="Calibri"/>
            <family val="34"/>
          </rPr>
          <t xml:space="preserve">
</t>
        </r>
        <r>
          <rPr>
            <sz val="14"/>
            <color rgb="FF000000"/>
            <rFont val="Times New Roman"/>
            <family val="18"/>
          </rPr>
          <t xml:space="preserve">01/02/1809 </t>
        </r>
        <r>
          <rPr>
            <i/>
            <sz val="14"/>
            <color rgb="FF000000"/>
            <rFont val="Times New Roman"/>
            <family val="18"/>
          </rPr>
          <t>Von IR 24 Conrad Komp. als zur Werbbezirk gehörige zu, IR 30 transferiert und zum 2. Depot zugeheilt</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25/05/1809 </t>
        </r>
        <r>
          <rPr>
            <i/>
            <sz val="14"/>
            <color rgb="FF000000"/>
            <rFont val="Times New Roman"/>
            <family val="18"/>
          </rPr>
          <t>Zu Lemberg in Spital in die Pohlnische Kriegsgefangenschaft Gefallen</t>
        </r>
        <r>
          <rPr>
            <sz val="14"/>
            <color rgb="FF000000"/>
            <rFont val="Times New Roman"/>
            <family val="18"/>
          </rPr>
          <t xml:space="preserve"> [ST May 1809]</t>
        </r>
        <r>
          <rPr>
            <sz val="14"/>
            <color rgb="FF000000"/>
            <rFont val="Calibri"/>
            <family val="34"/>
          </rPr>
          <t xml:space="preserve">
</t>
        </r>
      </text>
    </comment>
    <comment ref="BG1157" authorId="0" shapeId="0" xr:uid="{9418422A-FB27-214D-B2A9-84E8557C2A32}">
      <text>
        <r>
          <rPr>
            <sz val="14"/>
            <color rgb="FF000000"/>
            <rFont val="Times New Roman"/>
            <family val="18"/>
          </rPr>
          <t>ML 2683 IR 30 (1809) – TL IR 24-&gt;IR 30 Nr. 1 (Symegh 08/03/1810); ST Mai (Stanislau 01/12/1810)</t>
        </r>
        <r>
          <rPr>
            <sz val="14"/>
            <color rgb="FF000000"/>
            <rFont val="Calibri"/>
            <family val="34"/>
          </rPr>
          <t xml:space="preserve">
</t>
        </r>
      </text>
    </comment>
    <comment ref="BH1157" authorId="0" shapeId="0" xr:uid="{E3200884-D7E7-9043-8C93-B62B5E366633}">
      <text>
        <r>
          <rPr>
            <sz val="14"/>
            <color rgb="FF000000"/>
            <rFont val="Calibri"/>
            <family val="34"/>
          </rPr>
          <t xml:space="preserve">IR 24 (1808-1809)
</t>
        </r>
        <r>
          <rPr>
            <sz val="14"/>
            <color rgb="FF000000"/>
            <rFont val="Calibri"/>
            <family val="34"/>
          </rPr>
          <t>IR 30 (1809)</t>
        </r>
      </text>
    </comment>
    <comment ref="BF1158" authorId="0" shapeId="0" xr:uid="{7758DA41-6D4F-4847-A1FD-1D4D0C74C3B3}">
      <text>
        <r>
          <rPr>
            <sz val="14"/>
            <color rgb="FF000000"/>
            <rFont val="Times New Roman"/>
            <family val="18"/>
          </rPr>
          <t xml:space="preserve">11/10/1808 </t>
        </r>
        <r>
          <rPr>
            <i/>
            <sz val="14"/>
            <color rgb="FF000000"/>
            <rFont val="Times New Roman"/>
            <family val="18"/>
          </rPr>
          <t>A 3Fl Handgeld Reuss Greuss Inf Regiment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19/05/1809 </t>
        </r>
        <r>
          <rPr>
            <i/>
            <sz val="14"/>
            <color rgb="FF000000"/>
            <rFont val="Times New Roman"/>
            <family val="18"/>
          </rPr>
          <t>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03/08/1809 </t>
        </r>
        <r>
          <rPr>
            <i/>
            <sz val="14"/>
            <color rgb="FF000000"/>
            <rFont val="Times New Roman"/>
            <family val="18"/>
          </rPr>
          <t>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21/02/1810 </t>
        </r>
        <r>
          <rPr>
            <i/>
            <sz val="14"/>
            <color rgb="FF000000"/>
            <rFont val="Times New Roman"/>
            <family val="18"/>
          </rPr>
          <t>Von IR 55 Reuss Greitz zum IR 30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11. Fus. Komp. Nr. 167 [</t>
        </r>
        <r>
          <rPr>
            <i/>
            <sz val="14"/>
            <color rgb="FF000000"/>
            <rFont val="Times New Roman"/>
            <family val="18"/>
          </rPr>
          <t>Beurlaubt zu Mera in Ungarn auf bestimmte Zeit</t>
        </r>
        <r>
          <rPr>
            <sz val="14"/>
            <color rgb="FF000000"/>
            <rFont val="Times New Roman"/>
            <family val="18"/>
          </rPr>
          <t>]</t>
        </r>
        <r>
          <rPr>
            <sz val="14"/>
            <color rgb="FF000000"/>
            <rFont val="Calibri"/>
            <family val="34"/>
          </rPr>
          <t xml:space="preserve">
</t>
        </r>
      </text>
    </comment>
    <comment ref="BG1158" authorId="0" shapeId="0" xr:uid="{F410EC79-217C-974D-A3F4-A0C31E61A43A}">
      <text>
        <r>
          <rPr>
            <sz val="14"/>
            <color rgb="FF000000"/>
            <rFont val="Times New Roman"/>
            <family val="18"/>
          </rPr>
          <t>ML 634 IR 9 (1811) – 11. Fus. Komp. Nr. 167 (Caschau 19/09/1811)</t>
        </r>
        <r>
          <rPr>
            <sz val="14"/>
            <color rgb="FF000000"/>
            <rFont val="Calibri"/>
            <family val="34"/>
          </rPr>
          <t xml:space="preserve">
</t>
        </r>
      </text>
    </comment>
    <comment ref="BH1158" authorId="0" shapeId="0" xr:uid="{320F9DE1-DF26-8749-8852-E3532A1547BB}">
      <text>
        <r>
          <rPr>
            <sz val="14"/>
            <color rgb="FF000000"/>
            <rFont val="Calibri"/>
            <family val="34"/>
          </rPr>
          <t>IR 1 (1808-1811)</t>
        </r>
      </text>
    </comment>
    <comment ref="BF1159" authorId="0" shapeId="0" xr:uid="{7C3BA893-43A3-5244-9022-0C2F40DFAE8E}">
      <text>
        <r>
          <rPr>
            <sz val="14"/>
            <color rgb="FFFF0000"/>
            <rFont val="Times New Roman"/>
            <family val="18"/>
          </rPr>
          <t xml:space="preserve">23/08/1808 </t>
        </r>
        <r>
          <rPr>
            <i/>
            <sz val="14"/>
            <color rgb="FFFF0000"/>
            <rFont val="Times New Roman"/>
            <family val="18"/>
          </rPr>
          <t>A 20Fl Werbgeld nach 6 Jahre assentiert</t>
        </r>
        <r>
          <rPr>
            <sz val="14"/>
            <color rgb="FFFF0000"/>
            <rFont val="Times New Roman"/>
            <family val="18"/>
          </rPr>
          <t xml:space="preserve"> [TL Jan 1810 &amp; ML 1811]</t>
        </r>
        <r>
          <rPr>
            <sz val="14"/>
            <color rgb="FF000000"/>
            <rFont val="Times New Roman"/>
            <family val="18"/>
          </rPr>
          <t xml:space="preserve">
</t>
        </r>
        <r>
          <rPr>
            <sz val="14"/>
            <color rgb="FFFF0000"/>
            <rFont val="Times New Roman"/>
            <family val="18"/>
          </rPr>
          <t xml:space="preserve">02/10/1808 </t>
        </r>
        <r>
          <rPr>
            <i/>
            <sz val="14"/>
            <color rgb="FFFF0000"/>
            <rFont val="Times New Roman"/>
            <family val="18"/>
          </rPr>
          <t>Von galizischen Ständen Gestellt</t>
        </r>
        <r>
          <rPr>
            <sz val="14"/>
            <color rgb="FFFF0000"/>
            <rFont val="Times New Roman"/>
            <family val="18"/>
          </rPr>
          <t xml:space="preserve"> [TL Dec 1809]</t>
        </r>
        <r>
          <rPr>
            <sz val="14"/>
            <color rgb="FF000000"/>
            <rFont val="Times New Roman"/>
            <family val="18"/>
          </rPr>
          <t xml:space="preserve">
</t>
        </r>
        <r>
          <rPr>
            <sz val="14"/>
            <color rgb="FF000000"/>
            <rFont val="Times New Roman"/>
            <family val="18"/>
          </rPr>
          <t xml:space="preserve">12/10/1808 </t>
        </r>
        <r>
          <rPr>
            <i/>
            <sz val="14"/>
            <color rgb="FF000000"/>
            <rFont val="Times New Roman"/>
            <family val="18"/>
          </rPr>
          <t>Von 1. Reserve Bataillon ex officio gegen 2Fl Handgeld und 10 Jähriger Capitulation zum IR 24 gestellt und Haupt Conrad Komp. zugeteilt</t>
        </r>
        <r>
          <rPr>
            <sz val="14"/>
            <color rgb="FF000000"/>
            <rFont val="Times New Roman"/>
            <family val="18"/>
          </rPr>
          <t xml:space="preserve"> [AL ]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3. Kompanie von Haupt Carl St. Delis eingeheilt</t>
        </r>
        <r>
          <rPr>
            <sz val="14"/>
            <color rgb="FF000000"/>
            <rFont val="Times New Roman"/>
            <family val="18"/>
          </rPr>
          <t xml:space="preserve"> [TL Dec 1809 &amp; ST March 1809]
</t>
        </r>
        <r>
          <rPr>
            <sz val="14"/>
            <color rgb="FF000000"/>
            <rFont val="Times New Roman"/>
            <family val="18"/>
          </rPr>
          <t xml:space="preserve">01/07/1809 </t>
        </r>
        <r>
          <rPr>
            <i/>
            <sz val="14"/>
            <color rgb="FF000000"/>
            <rFont val="Times New Roman"/>
            <family val="18"/>
          </rPr>
          <t>Von 2. Komp zum 6. Jetzt 2. Komp</t>
        </r>
        <r>
          <rPr>
            <sz val="14"/>
            <color rgb="FF000000"/>
            <rFont val="Times New Roman"/>
            <family val="18"/>
          </rPr>
          <t xml:space="preserve"> [Haupt Sedlitz] </t>
        </r>
        <r>
          <rPr>
            <i/>
            <sz val="14"/>
            <color rgb="FF000000"/>
            <rFont val="Times New Roman"/>
            <family val="18"/>
          </rPr>
          <t xml:space="preserve">transferiert </t>
        </r>
        <r>
          <rPr>
            <sz val="14"/>
            <color rgb="FF000000"/>
            <rFont val="Times New Roman"/>
            <family val="18"/>
          </rPr>
          <t xml:space="preserve">[ST July 1809]
</t>
        </r>
        <r>
          <rPr>
            <sz val="14"/>
            <color rgb="FF000000"/>
            <rFont val="Times New Roman"/>
            <family val="18"/>
          </rPr>
          <t xml:space="preserve">01/09/1809 </t>
        </r>
        <r>
          <rPr>
            <i/>
            <sz val="14"/>
            <color rgb="FF000000"/>
            <rFont val="Times New Roman"/>
            <family val="18"/>
          </rPr>
          <t>Zum Gefreyter avanciert</t>
        </r>
        <r>
          <rPr>
            <sz val="14"/>
            <color rgb="FF000000"/>
            <rFont val="Times New Roman"/>
            <family val="18"/>
          </rPr>
          <t xml:space="preserve"> [TL Jan 1810 &amp; ST Sept 1809]
</t>
        </r>
        <r>
          <rPr>
            <sz val="14"/>
            <color rgb="FF000000"/>
            <rFont val="Times New Roman"/>
            <family val="18"/>
          </rPr>
          <t xml:space="preserve">01/01/1810 </t>
        </r>
        <r>
          <rPr>
            <i/>
            <sz val="14"/>
            <color rgb="FF000000"/>
            <rFont val="Times New Roman"/>
            <family val="18"/>
          </rPr>
          <t>Auf Odnanz mit Fliesch Equivalent</t>
        </r>
        <r>
          <rPr>
            <sz val="14"/>
            <color rgb="FF000000"/>
            <rFont val="Times New Roman"/>
            <family val="18"/>
          </rPr>
          <t xml:space="preserve"> a 8 4/8Xr [ST Jan 1810]
</t>
        </r>
        <r>
          <rPr>
            <sz val="14"/>
            <color rgb="FF000000"/>
            <rFont val="Times New Roman"/>
            <family val="18"/>
          </rPr>
          <t>06/01/1810</t>
        </r>
        <r>
          <rPr>
            <i/>
            <sz val="14"/>
            <color rgb="FF000000"/>
            <rFont val="Times New Roman"/>
            <family val="18"/>
          </rPr>
          <t xml:space="preserve"> Wieder zurück in Kompanie</t>
        </r>
        <r>
          <rPr>
            <sz val="14"/>
            <color rgb="FF000000"/>
            <rFont val="Times New Roman"/>
            <family val="18"/>
          </rPr>
          <t xml:space="preserve"> [ST Jan 1810]
</t>
        </r>
        <r>
          <rPr>
            <sz val="14"/>
            <color rgb="FF000000"/>
            <rFont val="Times New Roman"/>
            <family val="18"/>
          </rPr>
          <t xml:space="preserve">20/01/1810 </t>
        </r>
        <r>
          <rPr>
            <i/>
            <sz val="14"/>
            <color rgb="FF000000"/>
            <rFont val="Times New Roman"/>
            <family val="18"/>
          </rPr>
          <t>Von dissolvierte Galizischen Freibataillon Nr. 2 2. Kompanie zum IR 24 ‚Strauch‘ transferiert</t>
        </r>
        <r>
          <rPr>
            <sz val="14"/>
            <color rgb="FF000000"/>
            <rFont val="Times New Roman"/>
            <family val="18"/>
          </rPr>
          <t xml:space="preserve"> [TL 1810]
</t>
        </r>
        <r>
          <rPr>
            <sz val="14"/>
            <color rgb="FF000000"/>
            <rFont val="Times New Roman"/>
            <family val="18"/>
          </rPr>
          <t>23/09/1811 Musterung: IR 24 15. Fus. Komp. Nr. 19 [</t>
        </r>
        <r>
          <rPr>
            <i/>
            <sz val="14"/>
            <color rgb="FF000000"/>
            <rFont val="Times New Roman"/>
            <family val="18"/>
          </rPr>
          <t>Beurlaubt bis Einberufung</t>
        </r>
        <r>
          <rPr>
            <sz val="14"/>
            <color rgb="FF000000"/>
            <rFont val="Times New Roman"/>
            <family val="18"/>
          </rPr>
          <t xml:space="preserve">]
</t>
        </r>
        <r>
          <rPr>
            <sz val="14"/>
            <color rgb="FF000000"/>
            <rFont val="Times New Roman"/>
            <family val="18"/>
          </rPr>
          <t>25/09/1812 Revision: IR 24 15. Fus. Komp. Nr. 31 [</t>
        </r>
        <r>
          <rPr>
            <i/>
            <sz val="14"/>
            <color rgb="FF000000"/>
            <rFont val="Times New Roman"/>
            <family val="18"/>
          </rPr>
          <t>Bis zur Einberufung Beurlaubt</t>
        </r>
        <r>
          <rPr>
            <sz val="14"/>
            <color rgb="FF000000"/>
            <rFont val="Times New Roman"/>
            <family val="18"/>
          </rPr>
          <t xml:space="preserve">]
</t>
        </r>
        <r>
          <rPr>
            <sz val="14"/>
            <color rgb="FF000000"/>
            <rFont val="Times New Roman"/>
            <family val="18"/>
          </rPr>
          <t xml:space="preserve">31/10/1812 </t>
        </r>
        <r>
          <rPr>
            <i/>
            <sz val="14"/>
            <color rgb="FF000000"/>
            <rFont val="Times New Roman"/>
            <family val="18"/>
          </rPr>
          <t>Nach Angaben der Dominio Wahrend Urlaub desertiert</t>
        </r>
        <r>
          <rPr>
            <sz val="14"/>
            <color rgb="FF000000"/>
            <rFont val="Times New Roman"/>
            <family val="18"/>
          </rPr>
          <t xml:space="preserve"> [ST Oct 1812]</t>
        </r>
      </text>
    </comment>
    <comment ref="BG1159" authorId="0" shapeId="0" xr:uid="{B5C6845D-9ACD-0147-A038-84EF0DA605EF}">
      <text>
        <r>
          <rPr>
            <sz val="14"/>
            <color rgb="FF000000"/>
            <rFont val="Times New Roman"/>
            <family val="18"/>
          </rPr>
          <t>ML 1942 IR 24 (1811) – 15. Fus. Komp. Nr. 19 (Motsan 23/09/1811)</t>
        </r>
        <r>
          <rPr>
            <sz val="14"/>
            <color rgb="FF000000"/>
            <rFont val="Calibri"/>
            <family val="34"/>
          </rPr>
          <t xml:space="preserve">
</t>
        </r>
        <r>
          <rPr>
            <sz val="14"/>
            <color rgb="FF000000"/>
            <rFont val="Times New Roman"/>
            <family val="18"/>
          </rPr>
          <t>ML 1943 IR 24 (1812) – 15. Fus. Komp. Nr. 31 (Pizczan 25/09/1812)</t>
        </r>
        <r>
          <rPr>
            <sz val="14"/>
            <color rgb="FF000000"/>
            <rFont val="Calibri"/>
            <family val="34"/>
          </rPr>
          <t xml:space="preserve">
</t>
        </r>
        <r>
          <rPr>
            <sz val="14"/>
            <color rgb="FF000000"/>
            <rFont val="Times New Roman"/>
            <family val="18"/>
          </rPr>
          <t>ML 1997 IR 24 (1808) AL/TL VII-XII – AL Nr. 90 (Zloczow 12/10/1808)</t>
        </r>
        <r>
          <rPr>
            <sz val="14"/>
            <color rgb="FF000000"/>
            <rFont val="Calibri"/>
            <family val="34"/>
          </rPr>
          <t xml:space="preserve">
</t>
        </r>
        <r>
          <rPr>
            <sz val="14"/>
            <color rgb="FF000000"/>
            <rFont val="Times New Roman"/>
            <family val="18"/>
          </rPr>
          <t>ML 2004 IR 24 (1812) – ST Sept (Lemberg 23/10/1813)</t>
        </r>
        <r>
          <rPr>
            <sz val="14"/>
            <color rgb="FF000000"/>
            <rFont val="Calibri"/>
            <family val="34"/>
          </rPr>
          <t xml:space="preserve">
</t>
        </r>
        <r>
          <rPr>
            <sz val="14"/>
            <color rgb="FF000000"/>
            <rFont val="Times New Roman"/>
            <family val="18"/>
          </rPr>
          <t>ML 10.831 WGal FB 2 (1809-10) – TL IR 24-&gt; WGal FB 2 Nr. 21 (Csakowar 30/11/1809) &amp; TL WGal FB 2-&gt; IR 24 Nr. 60 (Leitmoschil 20/01/1810), ST March (Braddczy bei Caschau 10/08/1809), ST July (Brünn 20/12/1810), ST Sept (Brünn 10/01/1811), ST 1810 Jan (Tichnowitz 03/03/1811)</t>
        </r>
      </text>
    </comment>
    <comment ref="BH1159" authorId="0" shapeId="0" xr:uid="{A5F762FE-7ACF-FD45-AA79-BE48382E4F41}">
      <text>
        <r>
          <rPr>
            <sz val="14"/>
            <color rgb="FF000000"/>
            <rFont val="Calibri"/>
            <family val="34"/>
          </rPr>
          <t xml:space="preserve">IR 24 (1808-1809)
</t>
        </r>
        <r>
          <rPr>
            <sz val="14"/>
            <color rgb="FF000000"/>
            <rFont val="Calibri"/>
            <family val="34"/>
          </rPr>
          <t xml:space="preserve">WGal FB 2 (1809-1810)
</t>
        </r>
        <r>
          <rPr>
            <sz val="14"/>
            <color rgb="FF000000"/>
            <rFont val="Calibri"/>
            <family val="34"/>
          </rPr>
          <t>IR 24 (1810-1812)</t>
        </r>
      </text>
    </comment>
    <comment ref="BF1160" authorId="0" shapeId="0" xr:uid="{1CF8D202-CAFD-5F41-BCCE-60DE6CAC63F9}">
      <text>
        <r>
          <rPr>
            <sz val="14"/>
            <color rgb="FF000000"/>
            <rFont val="Times New Roman"/>
            <family val="18"/>
          </rPr>
          <t xml:space="preserve">16/11/1808 </t>
        </r>
        <r>
          <rPr>
            <i/>
            <sz val="14"/>
            <color rgb="FF000000"/>
            <rFont val="Times New Roman"/>
            <family val="18"/>
          </rPr>
          <t>A 3Fl Handgeld zum IR 38 ‘Württemberg’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31/03/1810 </t>
        </r>
        <r>
          <rPr>
            <i/>
            <sz val="14"/>
            <color rgb="FF000000"/>
            <rFont val="Times New Roman"/>
            <family val="18"/>
          </rPr>
          <t>Von dissolvierte IR 38 ‘Württemberg zu, IR 9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8. Fus. Komp. Nr. 141</t>
        </r>
        <r>
          <rPr>
            <sz val="14"/>
            <color rgb="FF000000"/>
            <rFont val="Calibri"/>
            <family val="34"/>
          </rPr>
          <t xml:space="preserve">
</t>
        </r>
      </text>
    </comment>
    <comment ref="BG1160" authorId="0" shapeId="0" xr:uid="{9937F9B8-92A7-8445-A43B-83A430AA3DDE}">
      <text>
        <r>
          <rPr>
            <sz val="14"/>
            <color rgb="FF000000"/>
            <rFont val="Times New Roman"/>
            <family val="18"/>
          </rPr>
          <t>ML 634 IR 9 (1811) – 8. Fus. Komp. Nr. 141 (Caschau 19/09/1811)</t>
        </r>
        <r>
          <rPr>
            <sz val="14"/>
            <color rgb="FF000000"/>
            <rFont val="Calibri"/>
            <family val="34"/>
          </rPr>
          <t xml:space="preserve">
</t>
        </r>
      </text>
    </comment>
    <comment ref="BH1160" authorId="0" shapeId="0" xr:uid="{F1004C01-5F74-A246-A66E-27105817508C}">
      <text>
        <r>
          <rPr>
            <sz val="14"/>
            <color rgb="FF000000"/>
            <rFont val="Calibri"/>
            <family val="34"/>
          </rPr>
          <t xml:space="preserve">IR 38 (1808-1810)
</t>
        </r>
        <r>
          <rPr>
            <sz val="14"/>
            <color rgb="FF000000"/>
            <rFont val="Calibri"/>
            <family val="34"/>
          </rPr>
          <t>IR 9 (1810-1811)</t>
        </r>
      </text>
    </comment>
    <comment ref="BF1161" authorId="0" shapeId="0" xr:uid="{D65EFF8F-B2E1-3D4F-A4B8-32AE31AF4263}">
      <text>
        <r>
          <rPr>
            <i/>
            <sz val="14"/>
            <color rgb="FF000000"/>
            <rFont val="Times New Roman"/>
            <family val="18"/>
          </rPr>
          <t xml:space="preserve">Dient seit 1809 </t>
        </r>
        <r>
          <rPr>
            <sz val="14"/>
            <color rgb="FF000000"/>
            <rFont val="Times New Roman"/>
            <family val="18"/>
          </rPr>
          <t>[SUP July 1815]</t>
        </r>
        <r>
          <rPr>
            <sz val="14"/>
            <color rgb="FF000000"/>
            <rFont val="Calibri"/>
            <family val="34"/>
          </rPr>
          <t xml:space="preserve">
</t>
        </r>
        <r>
          <rPr>
            <sz val="14"/>
            <color rgb="FF000000"/>
            <rFont val="Times New Roman"/>
            <family val="18"/>
          </rPr>
          <t xml:space="preserve">09/09/1813 </t>
        </r>
        <r>
          <rPr>
            <i/>
            <sz val="14"/>
            <color rgb="FF000000"/>
            <rFont val="Times New Roman"/>
            <family val="18"/>
          </rPr>
          <t xml:space="preserve">Zum IR 1 2. Landwehr Abt. zu Olmütz gestellt und zum 6. Komp eingeteilt, seitdem auf anhero Marsch </t>
        </r>
        <r>
          <rPr>
            <sz val="14"/>
            <color rgb="FF000000"/>
            <rFont val="Times New Roman"/>
            <family val="18"/>
          </rPr>
          <t>[ST Sept 1813]</t>
        </r>
        <r>
          <rPr>
            <sz val="14"/>
            <color rgb="FF000000"/>
            <rFont val="Calibri"/>
            <family val="34"/>
          </rPr>
          <t xml:space="preserve">
</t>
        </r>
        <r>
          <rPr>
            <sz val="14"/>
            <color rgb="FF000000"/>
            <rFont val="Times New Roman"/>
            <family val="18"/>
          </rPr>
          <t xml:space="preserve">16/09/1813 </t>
        </r>
        <r>
          <rPr>
            <i/>
            <sz val="14"/>
            <color rgb="FF000000"/>
            <rFont val="Times New Roman"/>
            <family val="18"/>
          </rPr>
          <t>Krank in Ungarisch Hradisch</t>
        </r>
        <r>
          <rPr>
            <sz val="14"/>
            <color rgb="FF000000"/>
            <rFont val="Times New Roman"/>
            <family val="18"/>
          </rPr>
          <t xml:space="preserve"> [ST Sept 1813]</t>
        </r>
        <r>
          <rPr>
            <sz val="14"/>
            <color rgb="FF000000"/>
            <rFont val="Calibri"/>
            <family val="34"/>
          </rPr>
          <t xml:space="preserve">
</t>
        </r>
        <r>
          <rPr>
            <sz val="14"/>
            <color rgb="FF000000"/>
            <rFont val="Times New Roman"/>
            <family val="18"/>
          </rPr>
          <t xml:space="preserve">24/07/1815 </t>
        </r>
        <r>
          <rPr>
            <i/>
            <sz val="14"/>
            <color rgb="FF000000"/>
            <rFont val="Times New Roman"/>
            <family val="18"/>
          </rPr>
          <t>Als angehöriger von 3. Fus. Komp. des 1. Landwehr Bataillon of IR 40 häufige Krankheiten in Brünn superarbiertiert</t>
        </r>
        <r>
          <rPr>
            <sz val="14"/>
            <color rgb="FF000000"/>
            <rFont val="Times New Roman"/>
            <family val="18"/>
          </rPr>
          <t>: Befund: Mit Starken Gliederriesen belastet, In dienst ohne Verschulde und sind alle Heilmittel fruchtlos angewendet worden: Reale Invalid mit Abschied zu entlassen da er zu Haus leben hat [SUP July 1815]</t>
        </r>
        <r>
          <rPr>
            <sz val="14"/>
            <color rgb="FF000000"/>
            <rFont val="Calibri"/>
            <family val="34"/>
          </rPr>
          <t xml:space="preserve">
</t>
        </r>
        <r>
          <rPr>
            <sz val="14"/>
            <color rgb="FF000000"/>
            <rFont val="Times New Roman"/>
            <family val="18"/>
          </rPr>
          <t xml:space="preserve">25/08/1815 </t>
        </r>
        <r>
          <rPr>
            <i/>
            <sz val="14"/>
            <color rgb="FF000000"/>
            <rFont val="Times New Roman"/>
            <family val="18"/>
          </rPr>
          <t>Vermog hohen Indorsat dato Brünn am 3. August 815 R 8284 un d der mir selbe unter 25. Juli 815 zu Brünn geschehene Superarbitrio as Reale Invalid mit Abschied entlassen</t>
        </r>
        <r>
          <rPr>
            <sz val="14"/>
            <color rgb="FF000000"/>
            <rFont val="Times New Roman"/>
            <family val="18"/>
          </rPr>
          <t xml:space="preserve"> [ST Aug 1815] </t>
        </r>
      </text>
    </comment>
    <comment ref="BG1161" authorId="0" shapeId="0" xr:uid="{0FCE4B7D-4364-4848-BF84-C4CC31649AA4}">
      <text>
        <r>
          <rPr>
            <sz val="14"/>
            <color rgb="FF000000"/>
            <rFont val="Times New Roman"/>
            <family val="18"/>
          </rPr>
          <t>ML 99 IR 1 (1813) – ST Sept (Proßnitz 05/02/1814)</t>
        </r>
        <r>
          <rPr>
            <sz val="14"/>
            <color rgb="FF000000"/>
            <rFont val="Calibri"/>
            <family val="34"/>
          </rPr>
          <t xml:space="preserve">
</t>
        </r>
        <r>
          <rPr>
            <sz val="14"/>
            <color rgb="FF000000"/>
            <rFont val="Times New Roman"/>
            <family val="18"/>
          </rPr>
          <t>ML 105 IR 1 (1815) – ST Aug (Proßnitz 01/02/1816)</t>
        </r>
        <r>
          <rPr>
            <sz val="14"/>
            <color rgb="FF000000"/>
            <rFont val="Calibri"/>
            <family val="34"/>
          </rPr>
          <t xml:space="preserve">
</t>
        </r>
        <r>
          <rPr>
            <sz val="14"/>
            <color rgb="FF000000"/>
            <rFont val="Times New Roman"/>
            <family val="18"/>
          </rPr>
          <t>IR 106 IR 1 (1815) AL/TL – SUP IR 40 1. LW Bat Nr. 5 (Brünn 24/07/1815)</t>
        </r>
      </text>
    </comment>
    <comment ref="BH1161" authorId="0" shapeId="0" xr:uid="{8927166E-57C0-2142-9D8E-B1E6AE9E50D7}">
      <text>
        <r>
          <rPr>
            <sz val="14"/>
            <color rgb="FF000000"/>
            <rFont val="Calibri"/>
            <family val="34"/>
          </rPr>
          <t xml:space="preserve">LANDWEHR (1809-1813)
</t>
        </r>
        <r>
          <rPr>
            <sz val="14"/>
            <color rgb="FF000000"/>
            <rFont val="Calibri"/>
            <family val="34"/>
          </rPr>
          <t>IR 1 [Landwehr] (1813-1815)</t>
        </r>
      </text>
    </comment>
    <comment ref="BJ1161" authorId="0" shapeId="0" xr:uid="{45A2B7A8-CF9A-304D-852B-B019FC9EE26B}">
      <text>
        <r>
          <rPr>
            <i/>
            <sz val="14"/>
            <color rgb="FF000000"/>
            <rFont val="Times New Roman"/>
            <family val="18"/>
          </rPr>
          <t xml:space="preserve">Immer in Spital </t>
        </r>
        <r>
          <rPr>
            <sz val="14"/>
            <color rgb="FF000000"/>
            <rFont val="Times New Roman"/>
            <family val="18"/>
          </rPr>
          <t>[SUP July 1815]</t>
        </r>
      </text>
    </comment>
    <comment ref="BF1162" authorId="0" shapeId="0" xr:uid="{6D263ABC-E0DE-3745-B10F-801911E7D305}">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 Depot Komp transferiert</t>
        </r>
        <r>
          <rPr>
            <sz val="14"/>
            <color rgb="FF000000"/>
            <rFont val="Times New Roman"/>
            <family val="18"/>
          </rPr>
          <t xml:space="preserve"> [ST Mach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Von Transport nach 1. Depot Desertiert</t>
        </r>
        <r>
          <rPr>
            <sz val="14"/>
            <color rgb="FF000000"/>
            <rFont val="Times New Roman"/>
            <family val="18"/>
          </rPr>
          <t xml:space="preserve"> [ST May 1809]</t>
        </r>
        <r>
          <rPr>
            <sz val="14"/>
            <color rgb="FF000000"/>
            <rFont val="Calibri"/>
            <family val="34"/>
          </rPr>
          <t xml:space="preserve">
</t>
        </r>
      </text>
    </comment>
    <comment ref="BG1162" authorId="0" shapeId="0" xr:uid="{B42E49D3-C764-5140-B70D-05C9826F158B}">
      <text>
        <r>
          <rPr>
            <sz val="14"/>
            <color rgb="FF000000"/>
            <rFont val="Times New Roman"/>
            <family val="18"/>
          </rPr>
          <t xml:space="preserve">ML 2683 IR 30 (1809) – ST März (Stanislau 27/07/1810), Mai (Stanislau 01/12/1810)
</t>
        </r>
      </text>
    </comment>
    <comment ref="BH1162" authorId="0" shapeId="0" xr:uid="{396F8CDD-B518-5945-BDD6-5EB792D3FA7D}">
      <text>
        <r>
          <rPr>
            <sz val="14"/>
            <color rgb="FF000000"/>
            <rFont val="Calibri"/>
            <family val="34"/>
          </rPr>
          <t>IR 30 (1808-1809)</t>
        </r>
      </text>
    </comment>
    <comment ref="BF1163" authorId="0" shapeId="0" xr:uid="{A9D7E4A9-3FFB-DA46-B52E-AAFBD722A492}">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 Depot Komp transferiert</t>
        </r>
        <r>
          <rPr>
            <sz val="14"/>
            <color rgb="FF000000"/>
            <rFont val="Times New Roman"/>
            <family val="18"/>
          </rPr>
          <t xml:space="preserve"> [ST Mach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Von Transport nach 1. Depot Desertiert</t>
        </r>
        <r>
          <rPr>
            <sz val="14"/>
            <color rgb="FF000000"/>
            <rFont val="Times New Roman"/>
            <family val="18"/>
          </rPr>
          <t xml:space="preserve"> [ST May 1809]</t>
        </r>
        <r>
          <rPr>
            <sz val="14"/>
            <color rgb="FF000000"/>
            <rFont val="Calibri"/>
            <family val="34"/>
          </rPr>
          <t xml:space="preserve">
</t>
        </r>
      </text>
    </comment>
    <comment ref="BG1163" authorId="0" shapeId="0" xr:uid="{7E71115D-741E-8E48-9A93-9B18EEA5C7F7}">
      <text>
        <r>
          <rPr>
            <sz val="14"/>
            <color rgb="FF000000"/>
            <rFont val="Times New Roman"/>
            <family val="18"/>
          </rPr>
          <t xml:space="preserve">ML 2683 IR 30 (1809) – ST März (Stanislau 27/07/1810), Mai (Stanislau 01/12/1810)
</t>
        </r>
      </text>
    </comment>
    <comment ref="BH1163" authorId="0" shapeId="0" xr:uid="{8A8019D5-8590-054A-A72C-C119EA52F9DB}">
      <text>
        <r>
          <rPr>
            <sz val="14"/>
            <color rgb="FF000000"/>
            <rFont val="Calibri"/>
            <family val="34"/>
          </rPr>
          <t>IR 30 (1808-1809)</t>
        </r>
      </text>
    </comment>
    <comment ref="BF1164" authorId="0" shapeId="0" xr:uid="{F9ECEE4D-25A8-6A43-90BE-D0136108A095}">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25/04/1809 </t>
        </r>
        <r>
          <rPr>
            <i/>
            <sz val="14"/>
            <color rgb="FF000000"/>
            <rFont val="Times New Roman"/>
            <family val="18"/>
          </rPr>
          <t>Gegen Stellung des beim 1. Depot pro April zuwachsten Recrout Joseph Prosdowsky und erlaag des einfachen Monturs Geld pr 53Fl 28xr zu Foge Hohe General Commando Verordnung ddt. Lemberg 28. Feb 1809 Nro 129 Liitt. U. mit Abschied entlassen</t>
        </r>
        <r>
          <rPr>
            <sz val="14"/>
            <color rgb="FF000000"/>
            <rFont val="Times New Roman"/>
            <family val="18"/>
          </rPr>
          <t xml:space="preserve"> [ST April 1809]</t>
        </r>
        <r>
          <rPr>
            <sz val="14"/>
            <color rgb="FF000000"/>
            <rFont val="Calibri"/>
            <family val="34"/>
          </rPr>
          <t xml:space="preserve">
</t>
        </r>
      </text>
    </comment>
    <comment ref="BG1164" authorId="0" shapeId="0" xr:uid="{D33DBB58-E6CE-6D4D-865C-131E77C20F43}">
      <text>
        <r>
          <rPr>
            <sz val="14"/>
            <color rgb="FF000000"/>
            <rFont val="Times New Roman"/>
            <family val="18"/>
          </rPr>
          <t>ML 2683 IR 30 (1809) –April (Stanislau 13/11/1810)</t>
        </r>
        <r>
          <rPr>
            <sz val="14"/>
            <color rgb="FF000000"/>
            <rFont val="Calibri"/>
            <family val="34"/>
          </rPr>
          <t xml:space="preserve">
</t>
        </r>
      </text>
    </comment>
    <comment ref="BH1164" authorId="0" shapeId="0" xr:uid="{4B9E8BDF-530E-5F4B-AB90-AA2FCF2B6309}">
      <text>
        <r>
          <rPr>
            <sz val="14"/>
            <color rgb="FF000000"/>
            <rFont val="Calibri"/>
            <family val="34"/>
          </rPr>
          <t>IR 30 (1808-1809)</t>
        </r>
      </text>
    </comment>
    <comment ref="BF1165" authorId="0" shapeId="0" xr:uid="{53BD323A-E616-FE42-A29E-BEFF92ACAC2A}">
      <text>
        <r>
          <rPr>
            <sz val="14"/>
            <color rgb="FF000000"/>
            <rFont val="Times New Roman"/>
            <family val="18"/>
          </rPr>
          <t xml:space="preserve">06/01/1809 </t>
        </r>
        <r>
          <rPr>
            <i/>
            <sz val="14"/>
            <color rgb="FF000000"/>
            <rFont val="Times New Roman"/>
            <family val="18"/>
          </rPr>
          <t>Gegen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168 [</t>
        </r>
        <r>
          <rPr>
            <i/>
            <sz val="14"/>
            <color rgb="FF000000"/>
            <rFont val="Times New Roman"/>
            <family val="18"/>
          </rPr>
          <t>Commandiert in Regiments Spital</t>
        </r>
        <r>
          <rPr>
            <sz val="14"/>
            <color rgb="FF000000"/>
            <rFont val="Times New Roman"/>
            <family val="18"/>
          </rPr>
          <t>]</t>
        </r>
        <r>
          <rPr>
            <sz val="14"/>
            <color rgb="FF000000"/>
            <rFont val="Calibri"/>
            <family val="34"/>
          </rPr>
          <t xml:space="preserve">
</t>
        </r>
        <r>
          <rPr>
            <sz val="14"/>
            <color rgb="FF000000"/>
            <rFont val="Times New Roman"/>
            <family val="18"/>
          </rPr>
          <t xml:space="preserve">20/09/1811 Muster: IR 44 8. Fus. Komp. Nr. 106 </t>
        </r>
        <r>
          <rPr>
            <sz val="14"/>
            <color rgb="FF000000"/>
            <rFont val="Calibri"/>
            <family val="34"/>
          </rPr>
          <t xml:space="preserve">
</t>
        </r>
        <r>
          <rPr>
            <sz val="14"/>
            <color rgb="FF000000"/>
            <rFont val="Times New Roman"/>
            <family val="18"/>
          </rPr>
          <t xml:space="preserve">05/06/1812 </t>
        </r>
        <r>
          <rPr>
            <i/>
            <sz val="14"/>
            <color rgb="FF000000"/>
            <rFont val="Times New Roman"/>
            <family val="18"/>
          </rPr>
          <t>Auf Steuerbare Wirtschaft gegen Stellung des Rekrutes Stephan Piekielka</t>
        </r>
        <r>
          <rPr>
            <sz val="14"/>
            <color rgb="FF000000"/>
            <rFont val="Times New Roman"/>
            <family val="18"/>
          </rPr>
          <t xml:space="preserve"> [RL 1812]</t>
        </r>
        <r>
          <rPr>
            <sz val="14"/>
            <color rgb="FF000000"/>
            <rFont val="Calibri"/>
            <family val="34"/>
          </rPr>
          <t xml:space="preserve">
</t>
        </r>
      </text>
    </comment>
    <comment ref="BG1165" authorId="0" shapeId="0" xr:uid="{16FC2E71-6F89-B04A-84C8-3C104FC1D92D}">
      <text>
        <r>
          <rPr>
            <sz val="14"/>
            <color rgb="FF000000"/>
            <rFont val="Times New Roman"/>
            <family val="18"/>
          </rPr>
          <t>ML 3911 IR 44 (1808-10) – 8. Fus. Komp. Nr. 168 (Pappa 27/09/1810)</t>
        </r>
        <r>
          <rPr>
            <sz val="14"/>
            <color rgb="FF000000"/>
            <rFont val="Calibri"/>
            <family val="34"/>
          </rPr>
          <t xml:space="preserve">
</t>
        </r>
        <r>
          <rPr>
            <sz val="14"/>
            <color rgb="FF000000"/>
            <rFont val="Times New Roman"/>
            <family val="18"/>
          </rPr>
          <t>ML 3912/3 IR 44 (1811) – 8. Fus. Komp. Nr. 106 (Sthulweissenburg 20/09/1811)</t>
        </r>
        <r>
          <rPr>
            <sz val="14"/>
            <color rgb="FF000000"/>
            <rFont val="Calibri"/>
            <family val="34"/>
          </rPr>
          <t xml:space="preserve">
</t>
        </r>
        <r>
          <rPr>
            <sz val="14"/>
            <color rgb="FF000000"/>
            <rFont val="Times New Roman"/>
            <family val="18"/>
          </rPr>
          <t>ML 3914 IR 44 (1812/6) – 8. Fus. Komp. Abgang (Pest 19/09/1812)</t>
        </r>
      </text>
    </comment>
    <comment ref="BH1165" authorId="0" shapeId="0" xr:uid="{A7F685D0-E7DB-084C-A64E-A04AA0802310}">
      <text>
        <r>
          <rPr>
            <sz val="14"/>
            <color rgb="FF000000"/>
            <rFont val="Calibri"/>
            <family val="34"/>
          </rPr>
          <t>IR 44 (1809-1812)</t>
        </r>
      </text>
    </comment>
    <comment ref="BF1166" authorId="0" shapeId="0" xr:uid="{801D4E3E-2345-0F40-B4E4-2344A648D296}">
      <text>
        <r>
          <rPr>
            <sz val="14"/>
            <color rgb="FF000000"/>
            <rFont val="Times New Roman"/>
            <family val="18"/>
          </rPr>
          <t xml:space="preserve">16/01/1809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10. Fus. Komp. Nr. 69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166" authorId="0" shapeId="0" xr:uid="{5A3364CA-D2B1-0B47-8D04-1547E65446F2}">
      <text>
        <r>
          <rPr>
            <sz val="14"/>
            <color rgb="FF000000"/>
            <rFont val="Times New Roman"/>
            <family val="18"/>
          </rPr>
          <t>IR 544 IR 8 (1811) – 10. Fus. Komp. Nr. 69 (Iglau 12/09/1811)</t>
        </r>
      </text>
    </comment>
    <comment ref="BH1166" authorId="0" shapeId="0" xr:uid="{EF2D622F-77B6-CE4F-91B0-0757643164A1}">
      <text>
        <r>
          <rPr>
            <sz val="14"/>
            <color rgb="FF000000"/>
            <rFont val="Calibri"/>
            <family val="34"/>
          </rPr>
          <t>IR 8 (1809-1811)</t>
        </r>
      </text>
    </comment>
    <comment ref="BF1167" authorId="0" shapeId="0" xr:uid="{2626BB03-0DD2-EB4E-9D46-36C2F0A2F706}">
      <text>
        <r>
          <rPr>
            <sz val="14"/>
            <color rgb="FF000000"/>
            <rFont val="Times New Roman"/>
            <family val="18"/>
          </rPr>
          <t xml:space="preserve">18/01/1809 </t>
        </r>
        <r>
          <rPr>
            <i/>
            <sz val="14"/>
            <color rgb="FF000000"/>
            <rFont val="Times New Roman"/>
            <family val="18"/>
          </rPr>
          <t>Gegen 3Fl Handgeld mit 14-Jähriger Capitulation von Lindenau Infanterie Regiments Werrbzirk ausgehoben und zum FAR 3 in Brünn assentiert und zum 1. Ord. Komp. zugeteilt</t>
        </r>
        <r>
          <rPr>
            <sz val="14"/>
            <color rgb="FF000000"/>
            <rFont val="Times New Roman"/>
            <family val="18"/>
          </rPr>
          <t xml:space="preserve"> [AL Jan 1809 &amp; ST Jan 1809]</t>
        </r>
        <r>
          <rPr>
            <sz val="14"/>
            <color rgb="FF000000"/>
            <rFont val="Calibri"/>
            <family val="34"/>
          </rPr>
          <t xml:space="preserve">
</t>
        </r>
        <r>
          <rPr>
            <sz val="14"/>
            <color rgb="FF000000"/>
            <rFont val="Times New Roman"/>
            <family val="18"/>
          </rPr>
          <t xml:space="preserve">06/09/1809 </t>
        </r>
        <r>
          <rPr>
            <i/>
            <sz val="14"/>
            <color rgb="FF000000"/>
            <rFont val="Times New Roman"/>
            <family val="18"/>
          </rPr>
          <t>Krank in Armee Spital</t>
        </r>
        <r>
          <rPr>
            <sz val="14"/>
            <color rgb="FF000000"/>
            <rFont val="Times New Roman"/>
            <family val="18"/>
          </rPr>
          <t xml:space="preserve"> [ST Sept 1809] [Als Georg DONEBAUER]</t>
        </r>
        <r>
          <rPr>
            <sz val="14"/>
            <color rgb="FF000000"/>
            <rFont val="Calibri"/>
            <family val="34"/>
          </rPr>
          <t xml:space="preserve">
</t>
        </r>
        <r>
          <rPr>
            <sz val="14"/>
            <color rgb="FF000000"/>
            <rFont val="Times New Roman"/>
            <family val="18"/>
          </rPr>
          <t xml:space="preserve">26/10/1809 </t>
        </r>
        <r>
          <rPr>
            <i/>
            <sz val="14"/>
            <color rgb="FF000000"/>
            <rFont val="Times New Roman"/>
            <family val="18"/>
          </rPr>
          <t>In Armee Spital zu Ofen gestorben</t>
        </r>
        <r>
          <rPr>
            <sz val="14"/>
            <color rgb="FF000000"/>
            <rFont val="Times New Roman"/>
            <family val="18"/>
          </rPr>
          <t xml:space="preserve"> [ST Oct 1809]</t>
        </r>
        <r>
          <rPr>
            <sz val="14"/>
            <color rgb="FF000000"/>
            <rFont val="Calibri"/>
            <family val="2"/>
          </rPr>
          <t xml:space="preserve"> </t>
        </r>
      </text>
    </comment>
    <comment ref="BG1167" authorId="0" shapeId="0" xr:uid="{053C9750-D8FD-2A47-BDCD-BDBABCC104F9}">
      <text>
        <r>
          <rPr>
            <sz val="14"/>
            <color rgb="FF000000"/>
            <rFont val="Times New Roman"/>
            <family val="18"/>
          </rPr>
          <t>ML 8127 FAR 3 (1811) – 1. Ord. Komp. Abgang (Olmütz 12/09/1811)</t>
        </r>
        <r>
          <rPr>
            <sz val="14"/>
            <color rgb="FF000000"/>
            <rFont val="Calibri"/>
            <family val="34"/>
          </rPr>
          <t xml:space="preserve">
</t>
        </r>
        <r>
          <rPr>
            <sz val="14"/>
            <color rgb="FF000000"/>
            <rFont val="Times New Roman"/>
            <family val="18"/>
          </rPr>
          <t>ML 8171 FAR 3 (1809) – AL. Nr. 5 (Brünn 18/01/1809); ST Jan (Olmütz 31/03/1809), Sept (Olmütz 26/08/1810), Oct (Olmütz 07/09/1810)</t>
        </r>
        <r>
          <rPr>
            <sz val="14"/>
            <color rgb="FF000000"/>
            <rFont val="Calibri"/>
            <family val="34"/>
          </rPr>
          <t xml:space="preserve">
</t>
        </r>
      </text>
    </comment>
    <comment ref="BH1167" authorId="0" shapeId="0" xr:uid="{D47A5E9A-B26E-D146-9272-86FDF4A16DC9}">
      <text>
        <r>
          <rPr>
            <sz val="14"/>
            <color rgb="FF000000"/>
            <rFont val="Calibri"/>
            <family val="34"/>
          </rPr>
          <t>FAR 3 (1809)</t>
        </r>
      </text>
    </comment>
    <comment ref="BF1168" authorId="0" shapeId="0" xr:uid="{0C5F0FA7-5306-DB4E-8D67-9B811ED60AEE}">
      <text>
        <r>
          <rPr>
            <sz val="14"/>
            <color rgb="FF000000"/>
            <rFont val="Times New Roman"/>
            <family val="18"/>
          </rPr>
          <t xml:space="preserve">20/01/1809 </t>
        </r>
        <r>
          <rPr>
            <i/>
            <sz val="14"/>
            <color rgb="FF000000"/>
            <rFont val="Times New Roman"/>
            <family val="18"/>
          </rPr>
          <t>a 3Fl auf 10 Jahr in IR 38 Württemberg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 xml:space="preserve">von Dissonierten IR </t>
        </r>
        <r>
          <rPr>
            <b/>
            <i/>
            <sz val="14"/>
            <color rgb="FF000000"/>
            <rFont val="Times New Roman"/>
            <family val="18"/>
          </rPr>
          <t>Nr. 38</t>
        </r>
        <r>
          <rPr>
            <i/>
            <sz val="14"/>
            <color rgb="FF000000"/>
            <rFont val="Times New Roman"/>
            <family val="18"/>
          </rPr>
          <t xml:space="preserve">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24/09/1811 Musterung: IR 30 6. Fus Komp. Nr. 171</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der 6. Fus Comp. 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1168" authorId="0" shapeId="0" xr:uid="{AAE6EEB5-A4CD-3C4F-B14D-3B9AA3AAF212}">
      <text>
        <r>
          <rPr>
            <sz val="14"/>
            <color rgb="FF000000"/>
            <rFont val="Times New Roman"/>
            <family val="18"/>
          </rPr>
          <t>ML 2633 IR 30 (1811) – 6. Fus Comp. Nr. 171 (Stanislau 21/09/1811)</t>
        </r>
        <r>
          <rPr>
            <sz val="14"/>
            <color rgb="FF000000"/>
            <rFont val="Calibri"/>
            <family val="34"/>
          </rPr>
          <t xml:space="preserve">
</t>
        </r>
        <r>
          <rPr>
            <sz val="14"/>
            <color rgb="FF000000"/>
            <rFont val="Times New Roman"/>
            <family val="18"/>
          </rPr>
          <t>ML 2635 IR 30 (1817) – 6. Fus Comp. – Abgang (Stry 15/10/1817)</t>
        </r>
      </text>
    </comment>
    <comment ref="BH1168" authorId="0" shapeId="0" xr:uid="{C0C324B6-FA5D-AB46-8E56-F7228A0A9433}">
      <text>
        <r>
          <rPr>
            <sz val="14"/>
            <color rgb="FF000000"/>
            <rFont val="Calibri"/>
            <family val="34"/>
          </rPr>
          <t xml:space="preserve">IR 38 (1809-1810)
</t>
        </r>
        <r>
          <rPr>
            <sz val="14"/>
            <color rgb="FF000000"/>
            <rFont val="Calibri"/>
            <family val="34"/>
          </rPr>
          <t>IR 30 (1810-1817)</t>
        </r>
      </text>
    </comment>
    <comment ref="BF1169" authorId="0" shapeId="0" xr:uid="{EAA0B102-18F1-0544-BB3A-22C160895C82}">
      <text>
        <r>
          <rPr>
            <sz val="14"/>
            <color rgb="FF000000"/>
            <rFont val="Times New Roman"/>
            <family val="18"/>
          </rPr>
          <t xml:space="preserve">22/01/1809 </t>
        </r>
        <r>
          <rPr>
            <i/>
            <sz val="14"/>
            <color rgb="FF000000"/>
            <rFont val="Times New Roman"/>
            <family val="18"/>
          </rPr>
          <t>A 3Fl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1. Fus. Komp. Nr. 172 [</t>
        </r>
        <r>
          <rPr>
            <i/>
            <sz val="14"/>
            <color rgb="FF000000"/>
            <rFont val="Times New Roman"/>
            <family val="18"/>
          </rPr>
          <t>Bis zur Einberufung Beurlaubt in seiner Geburtsort</t>
        </r>
        <r>
          <rPr>
            <sz val="14"/>
            <color rgb="FF000000"/>
            <rFont val="Times New Roman"/>
            <family val="18"/>
          </rPr>
          <t>]</t>
        </r>
        <r>
          <rPr>
            <sz val="14"/>
            <color rgb="FF000000"/>
            <rFont val="Calibri"/>
            <family val="34"/>
          </rPr>
          <t xml:space="preserve">
</t>
        </r>
      </text>
    </comment>
    <comment ref="BG1169" authorId="0" shapeId="0" xr:uid="{52D6E9D5-44A4-F74C-9D6D-70592010695A}">
      <text>
        <r>
          <rPr>
            <sz val="14"/>
            <color rgb="FF000000"/>
            <rFont val="Times New Roman"/>
            <family val="18"/>
          </rPr>
          <t>ML 634 IR 9 (1811) – 1. Fus. Komp. Nr. 172 (Eperies, 09/09/1811)</t>
        </r>
      </text>
    </comment>
    <comment ref="BH1169" authorId="0" shapeId="0" xr:uid="{760CF3DF-B256-E943-8204-E2907AD09197}">
      <text>
        <r>
          <rPr>
            <sz val="14"/>
            <color rgb="FF000000"/>
            <rFont val="Calibri"/>
            <family val="34"/>
          </rPr>
          <t>IR 9 (1809-1811)</t>
        </r>
      </text>
    </comment>
    <comment ref="BF1170" authorId="0" shapeId="0" xr:uid="{660C0C5C-236A-C742-A79B-9DA5DE709404}">
      <text>
        <r>
          <rPr>
            <sz val="14"/>
            <color rgb="FF000000"/>
            <rFont val="Times New Roman"/>
            <family val="18"/>
          </rPr>
          <t xml:space="preserve">22/01/1809 </t>
        </r>
        <r>
          <rPr>
            <i/>
            <sz val="14"/>
            <color rgb="FF000000"/>
            <rFont val="Times New Roman"/>
            <family val="18"/>
          </rPr>
          <t>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31/12/1809 </t>
        </r>
        <r>
          <rPr>
            <i/>
            <sz val="14"/>
            <color rgb="FF000000"/>
            <rFont val="Times New Roman"/>
            <family val="18"/>
          </rPr>
          <t>Ins 40. Haupt Feldspital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26/04/1810 </t>
        </r>
        <r>
          <rPr>
            <i/>
            <sz val="14"/>
            <color rgb="FF000000"/>
            <rFont val="Times New Roman"/>
            <family val="18"/>
          </rPr>
          <t>Von 40. Haupt Feldspital wieder zum IR 9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4. Fus. Komp. Nr. 229 [</t>
        </r>
        <r>
          <rPr>
            <i/>
            <sz val="14"/>
            <color rgb="FF000000"/>
            <rFont val="Times New Roman"/>
            <family val="18"/>
          </rPr>
          <t>Commandiert beurlaubt zu Dyosgyeser</t>
        </r>
        <r>
          <rPr>
            <sz val="14"/>
            <color rgb="FF000000"/>
            <rFont val="Times New Roman"/>
            <family val="18"/>
          </rPr>
          <t>]</t>
        </r>
        <r>
          <rPr>
            <sz val="14"/>
            <color rgb="FF000000"/>
            <rFont val="Calibri"/>
            <family val="34"/>
          </rPr>
          <t xml:space="preserve">
</t>
        </r>
      </text>
    </comment>
    <comment ref="BG1170" authorId="0" shapeId="0" xr:uid="{3F532D62-E3AB-9E48-A481-DB4169480158}">
      <text>
        <r>
          <rPr>
            <sz val="14"/>
            <color rgb="FF000000"/>
            <rFont val="Times New Roman"/>
            <family val="18"/>
          </rPr>
          <t>ML 634 IR 9 (1811) – 4. Fus. Komp. Nr. 229 (Eperies, 09/09/1811)</t>
        </r>
      </text>
    </comment>
    <comment ref="BH1170" authorId="0" shapeId="0" xr:uid="{66AB43FB-3C57-034A-947C-CDB1B7573249}">
      <text>
        <r>
          <rPr>
            <sz val="14"/>
            <color rgb="FF000000"/>
            <rFont val="Calibri"/>
            <family val="34"/>
          </rPr>
          <t xml:space="preserve">IR 9 (1809)
</t>
        </r>
        <r>
          <rPr>
            <sz val="14"/>
            <color rgb="FF000000"/>
            <rFont val="Calibri"/>
            <family val="34"/>
          </rPr>
          <t xml:space="preserve">HFS 40 (1810)
</t>
        </r>
        <r>
          <rPr>
            <sz val="14"/>
            <color rgb="FF000000"/>
            <rFont val="Calibri"/>
            <family val="34"/>
          </rPr>
          <t>IR 9 (1810-1811)</t>
        </r>
      </text>
    </comment>
    <comment ref="BF1171" authorId="0" shapeId="0" xr:uid="{8BEF4C1C-35B0-F74E-B794-05FF1BF3C6B6}">
      <text>
        <r>
          <rPr>
            <sz val="14"/>
            <color rgb="FF000000"/>
            <rFont val="Times New Roman"/>
            <family val="18"/>
          </rPr>
          <t xml:space="preserve">22/01/1809 </t>
        </r>
        <r>
          <rPr>
            <i/>
            <sz val="14"/>
            <color rgb="FF000000"/>
            <rFont val="Times New Roman"/>
            <family val="18"/>
          </rPr>
          <t xml:space="preserve">A 3Fl gestellt </t>
        </r>
        <r>
          <rPr>
            <sz val="14"/>
            <color rgb="FF000000"/>
            <rFont val="Times New Roman"/>
            <family val="18"/>
          </rPr>
          <t>[ ML 1811]</t>
        </r>
        <r>
          <rPr>
            <sz val="14"/>
            <color rgb="FF000000"/>
            <rFont val="Calibri"/>
            <family val="34"/>
          </rPr>
          <t xml:space="preserve">
</t>
        </r>
        <r>
          <rPr>
            <sz val="14"/>
            <color rgb="FF000000"/>
            <rFont val="Times New Roman"/>
            <family val="18"/>
          </rPr>
          <t>19/09/1811 Muster: IR 9 7. Fus. Komp. Nr. 197 [</t>
        </r>
        <r>
          <rPr>
            <i/>
            <sz val="14"/>
            <color rgb="FF000000"/>
            <rFont val="Times New Roman"/>
            <family val="18"/>
          </rPr>
          <t>Beurlaubt in seinem Heimat auf Bestmimte Zeit</t>
        </r>
        <r>
          <rPr>
            <sz val="14"/>
            <color rgb="FF000000"/>
            <rFont val="Times New Roman"/>
            <family val="18"/>
          </rPr>
          <t>]</t>
        </r>
        <r>
          <rPr>
            <sz val="14"/>
            <color rgb="FF000000"/>
            <rFont val="Calibri"/>
            <family val="34"/>
          </rPr>
          <t xml:space="preserve">
</t>
        </r>
      </text>
    </comment>
    <comment ref="BG1171" authorId="0" shapeId="0" xr:uid="{C173E7A7-AAF0-B44E-99C6-991470843617}">
      <text>
        <r>
          <rPr>
            <sz val="14"/>
            <color rgb="FF000000"/>
            <rFont val="Times New Roman"/>
            <family val="18"/>
          </rPr>
          <t xml:space="preserve">ML 634 IR 9 (1811) – 7. Fus. Komp. Nr. 197 (Caschau 19/09/1811) </t>
        </r>
      </text>
    </comment>
    <comment ref="BH1171" authorId="0" shapeId="0" xr:uid="{149A2A3D-538F-5448-8E25-E19F2461FF87}">
      <text>
        <r>
          <rPr>
            <sz val="14"/>
            <color rgb="FF000000"/>
            <rFont val="Calibri"/>
            <family val="34"/>
          </rPr>
          <t>IR 9 (1809-1811)</t>
        </r>
      </text>
    </comment>
    <comment ref="BF1172" authorId="0" shapeId="0" xr:uid="{A95036C0-B9EC-6848-81D6-861E6F81672E}">
      <text>
        <r>
          <rPr>
            <sz val="14"/>
            <color rgb="FF000000"/>
            <rFont val="Times New Roman"/>
            <family val="18"/>
          </rPr>
          <t xml:space="preserve">23/01/1809 </t>
        </r>
        <r>
          <rPr>
            <i/>
            <sz val="14"/>
            <color rgb="FF000000"/>
            <rFont val="Times New Roman"/>
            <family val="18"/>
          </rPr>
          <t xml:space="preserve">Als landständische Rekrut Gegen 3Fl Handgeld und 10-Jahriger Capitulation in IR 30 assentiert und zum 3. Bataillon, 13. Komp. eingeheilt und zum Werbbzirk zum Brzezan kommanidert </t>
        </r>
        <r>
          <rPr>
            <sz val="14"/>
            <color rgb="FF000000"/>
            <rFont val="Times New Roman"/>
            <family val="18"/>
          </rPr>
          <t>[AL Jan 1809 &amp; ST Jan 1809]</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17. Fus. Komp.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27/04/1809 </t>
        </r>
        <r>
          <rPr>
            <i/>
            <sz val="14"/>
            <color rgb="FF000000"/>
            <rFont val="Times New Roman"/>
            <family val="18"/>
          </rPr>
          <t>Aus Warschau mit Feuergewehr desertiert</t>
        </r>
        <r>
          <rPr>
            <sz val="14"/>
            <color rgb="FF000000"/>
            <rFont val="Times New Roman"/>
            <family val="18"/>
          </rPr>
          <t xml:space="preserve"> [ST April 1809]</t>
        </r>
        <r>
          <rPr>
            <sz val="14"/>
            <color rgb="FF000000"/>
            <rFont val="Calibri"/>
            <family val="34"/>
          </rPr>
          <t xml:space="preserve">
</t>
        </r>
      </text>
    </comment>
    <comment ref="BG1172" authorId="0" shapeId="0" xr:uid="{676A1832-BE28-514A-9605-5BFF1CA155FE}">
      <text>
        <r>
          <rPr>
            <sz val="14"/>
            <color rgb="FF000000"/>
            <rFont val="Times New Roman"/>
            <family val="18"/>
          </rPr>
          <t>ML 2683 IR 30 (1809) – AL Nr. 1 (Berzezan 27/01/1809); ST Jän (Bistriz 29/01/1810); März (Stanislau 27/07/1810); April (Stanislau 13/11/1810)</t>
        </r>
      </text>
    </comment>
    <comment ref="BH1172" authorId="0" shapeId="0" xr:uid="{98100AB8-CB9C-7F40-BEEE-E8AD66E9E641}">
      <text>
        <r>
          <rPr>
            <sz val="14"/>
            <color rgb="FF000000"/>
            <rFont val="Calibri"/>
            <family val="34"/>
          </rPr>
          <t>IR 30 (1809)</t>
        </r>
      </text>
    </comment>
    <comment ref="BF1173" authorId="0" shapeId="0" xr:uid="{8DEDA973-49AE-8643-BA49-B666EB212307}">
      <text>
        <r>
          <rPr>
            <sz val="14"/>
            <color rgb="FF000000"/>
            <rFont val="Times New Roman"/>
            <family val="18"/>
          </rPr>
          <t xml:space="preserve">24/01/1809 </t>
        </r>
        <r>
          <rPr>
            <i/>
            <sz val="14"/>
            <color rgb="FF000000"/>
            <rFont val="Times New Roman"/>
            <family val="18"/>
          </rPr>
          <t>Von galizischen Ständen gestellt und a 3Fl Handgeld zum IR 23 assentiert</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IR 23 Haupt Nowack Komp. zum IR 63 transferiert, zur 8. Fus. Komp eingeheilt und seitdem auf Anhero Marsch</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15/03/1810 </t>
        </r>
        <r>
          <rPr>
            <i/>
            <sz val="14"/>
            <color rgb="FF000000"/>
            <rFont val="Times New Roman"/>
            <family val="18"/>
          </rPr>
          <t xml:space="preserve">In der Kompanie eingerückt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30/08/1810 </t>
        </r>
        <r>
          <rPr>
            <i/>
            <sz val="14"/>
            <color rgb="FF000000"/>
            <rFont val="Times New Roman"/>
            <family val="18"/>
          </rPr>
          <t xml:space="preserve">Vermog hohe General Kommando Verordnung ddt. 29 Mai 810 R.R. 8074 als aus dem in letztem Friedensserschluss abgetrennte Provinzien gebürtig mit Abschied entlassen </t>
        </r>
        <r>
          <rPr>
            <sz val="14"/>
            <color rgb="FF000000"/>
            <rFont val="Times New Roman"/>
            <family val="18"/>
          </rPr>
          <t>[ST Sept 1810]</t>
        </r>
      </text>
    </comment>
    <comment ref="BG1173" authorId="0" shapeId="0" xr:uid="{44E811B8-D4D4-1F43-AB74-93DB705FCD9E}">
      <text>
        <r>
          <rPr>
            <sz val="14"/>
            <color rgb="FF000000"/>
            <rFont val="Times New Roman"/>
            <family val="18"/>
          </rPr>
          <t>ML 5292 IR 63 (1810) – März (Preßburg 16/07/1811), Sept (Br</t>
        </r>
        <r>
          <rPr>
            <sz val="14"/>
            <color rgb="FF000000"/>
            <rFont val="german"/>
            <charset val="1"/>
          </rPr>
          <t xml:space="preserve">ünn </t>
        </r>
        <r>
          <rPr>
            <sz val="14"/>
            <color rgb="FF000000"/>
            <rFont val="Times New Roman"/>
            <family val="18"/>
          </rPr>
          <t>12/11/1811)</t>
        </r>
        <r>
          <rPr>
            <sz val="14"/>
            <color rgb="FF000000"/>
            <rFont val="Calibri"/>
            <family val="34"/>
          </rPr>
          <t xml:space="preserve">
</t>
        </r>
        <r>
          <rPr>
            <sz val="14"/>
            <color rgb="FF000000"/>
            <rFont val="Times New Roman"/>
            <family val="18"/>
          </rPr>
          <t>ML 5293 IR 63 (1810) AL/TL – TL IR 23-&gt; IR 63 Nr. 6 (Totis 15/05/1810)</t>
        </r>
        <r>
          <rPr>
            <sz val="14"/>
            <color rgb="FF000000"/>
            <rFont val="Calibri"/>
            <family val="34"/>
          </rPr>
          <t xml:space="preserve">
</t>
        </r>
      </text>
    </comment>
    <comment ref="BH1173" authorId="0" shapeId="0" xr:uid="{EC6C2A1D-1F4A-3344-B917-7FD73CA3A188}">
      <text>
        <r>
          <rPr>
            <sz val="14"/>
            <color rgb="FF000000"/>
            <rFont val="Calibri"/>
            <family val="34"/>
          </rPr>
          <t xml:space="preserve">IR 23 (1809-1810)
</t>
        </r>
        <r>
          <rPr>
            <sz val="14"/>
            <color rgb="FF000000"/>
            <rFont val="Calibri"/>
            <family val="34"/>
          </rPr>
          <t>IR 63 (1810)</t>
        </r>
      </text>
    </comment>
    <comment ref="T1174" authorId="0" shapeId="0" xr:uid="{B1EEA6E8-CE41-DA49-AE75-2E4360DFE370}">
      <text>
        <r>
          <rPr>
            <b/>
            <sz val="14"/>
            <color rgb="FF000000"/>
            <rFont val="Calibri"/>
            <family val="34"/>
          </rPr>
          <t xml:space="preserve">5.5.1 [171.37 cm (ML 1808)]
</t>
        </r>
        <r>
          <rPr>
            <sz val="14"/>
            <color rgb="FF000000"/>
            <rFont val="Calibri"/>
            <family val="34"/>
          </rPr>
          <t>5.5.3 [171.81 cm (ML 1811)]</t>
        </r>
      </text>
    </comment>
    <comment ref="BF1174" authorId="0" shapeId="0" xr:uid="{7E382596-5D17-EE46-B7E0-8F98FF838E90}">
      <text>
        <r>
          <rPr>
            <sz val="14"/>
            <color rgb="FF000000"/>
            <rFont val="Times New Roman"/>
            <family val="18"/>
          </rPr>
          <t xml:space="preserve">10/08/1808 </t>
        </r>
        <r>
          <rPr>
            <i/>
            <sz val="14"/>
            <color rgb="FF000000"/>
            <rFont val="Times New Roman"/>
            <family val="18"/>
          </rPr>
          <t>Als Reserve Mann zum IR 1 Reserve Bataillon: Mageres Angesicht, Hellbrauner Harr derlei Augenbrauner, Blaue Augen, ein großen Breite Nassen und ein Großen aufgeworfene Oberlippen</t>
        </r>
        <r>
          <rPr>
            <sz val="14"/>
            <color rgb="FF000000"/>
            <rFont val="Times New Roman"/>
            <family val="18"/>
          </rPr>
          <t xml:space="preserve"> [AL Aug 1808]</t>
        </r>
        <r>
          <rPr>
            <sz val="14"/>
            <color rgb="FF000000"/>
            <rFont val="Calibri"/>
            <family val="34"/>
          </rPr>
          <t xml:space="preserve">
</t>
        </r>
        <r>
          <rPr>
            <sz val="14"/>
            <color rgb="FF000000"/>
            <rFont val="Times New Roman"/>
            <family val="18"/>
          </rPr>
          <t xml:space="preserve">09/02/1809 </t>
        </r>
        <r>
          <rPr>
            <i/>
            <sz val="14"/>
            <color rgb="FF000000"/>
            <rFont val="Times New Roman"/>
            <family val="18"/>
          </rPr>
          <t>Als Reserve Mann zum IR 1 14. Fus. Komp. präsentiert</t>
        </r>
        <r>
          <rPr>
            <sz val="14"/>
            <color rgb="FF000000"/>
            <rFont val="Times New Roman"/>
            <family val="18"/>
          </rPr>
          <t xml:space="preserve"> [PL Feb 1809 &amp; ST FEB 1809]</t>
        </r>
        <r>
          <rPr>
            <sz val="14"/>
            <color rgb="FF000000"/>
            <rFont val="Calibri"/>
            <family val="34"/>
          </rPr>
          <t xml:space="preserve">
</t>
        </r>
        <r>
          <rPr>
            <sz val="14"/>
            <color rgb="FF000000"/>
            <rFont val="Times New Roman"/>
            <family val="18"/>
          </rPr>
          <t xml:space="preserve">06/02/1809 </t>
        </r>
        <r>
          <rPr>
            <i/>
            <sz val="14"/>
            <color rgb="FF000000"/>
            <rFont val="Times New Roman"/>
            <family val="18"/>
          </rPr>
          <t xml:space="preserve">Von 2. </t>
        </r>
        <r>
          <rPr>
            <sz val="14"/>
            <color rgb="FF000000"/>
            <rFont val="Times New Roman"/>
            <family val="18"/>
          </rPr>
          <t xml:space="preserve">[14.] </t>
        </r>
        <r>
          <rPr>
            <i/>
            <sz val="14"/>
            <color rgb="FF000000"/>
            <rFont val="Times New Roman"/>
            <family val="18"/>
          </rPr>
          <t>Zum neu errichtete 6. Fus. Komp. transferiert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21/05/1809 </t>
        </r>
        <r>
          <rPr>
            <i/>
            <sz val="14"/>
            <color rgb="FF000000"/>
            <rFont val="Times New Roman"/>
            <family val="18"/>
          </rPr>
          <t>Von 6. Zum neu errichtete 12. Fus. Komp. transferiert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27/07/1809 </t>
        </r>
        <r>
          <rPr>
            <i/>
            <sz val="14"/>
            <color rgb="FF000000"/>
            <rFont val="Times New Roman"/>
            <family val="18"/>
          </rPr>
          <t>Krank in Armee 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 xml:space="preserve">Rekonvalesziert </t>
        </r>
        <r>
          <rPr>
            <sz val="14"/>
            <color rgb="FF000000"/>
            <rFont val="Times New Roman"/>
            <family val="18"/>
          </rPr>
          <t>[ST Dec 1809]</t>
        </r>
        <r>
          <rPr>
            <sz val="14"/>
            <color rgb="FF000000"/>
            <rFont val="Calibri"/>
            <family val="34"/>
          </rPr>
          <t xml:space="preserve">
</t>
        </r>
        <r>
          <rPr>
            <sz val="14"/>
            <color rgb="FF000000"/>
            <rFont val="Times New Roman"/>
            <family val="18"/>
          </rPr>
          <t xml:space="preserve">07/12/1809 </t>
        </r>
        <r>
          <rPr>
            <i/>
            <sz val="14"/>
            <color rgb="FF000000"/>
            <rFont val="Times New Roman"/>
            <family val="18"/>
          </rPr>
          <t>Als beim 1. Depot zugeteilte wieder krank in Armee Spital</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Rekonvalesziert, bleibt zugeteilt bei der Depot Division</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18/02/1810 </t>
        </r>
        <r>
          <rPr>
            <i/>
            <sz val="14"/>
            <color rgb="FF000000"/>
            <rFont val="Times New Roman"/>
            <family val="18"/>
          </rPr>
          <t>Als beim 1. Depot zugeteilte wieder krank in Armee Spital</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25/05/1810 </t>
        </r>
        <r>
          <rPr>
            <i/>
            <sz val="14"/>
            <color rgb="FF000000"/>
            <rFont val="Times New Roman"/>
            <family val="18"/>
          </rPr>
          <t>Rekonvalesziert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01/06/1810 </t>
        </r>
        <r>
          <rPr>
            <i/>
            <sz val="14"/>
            <color rgb="FF000000"/>
            <rFont val="Times New Roman"/>
            <family val="18"/>
          </rPr>
          <t>Beim Bau das Spielberg zu Brünn</t>
        </r>
        <r>
          <rPr>
            <sz val="14"/>
            <color rgb="FF000000"/>
            <rFont val="Times New Roman"/>
            <family val="18"/>
          </rPr>
          <t xml:space="preserve"> [ST June 1810]</t>
        </r>
        <r>
          <rPr>
            <sz val="14"/>
            <color rgb="FF000000"/>
            <rFont val="Calibri"/>
            <family val="34"/>
          </rPr>
          <t xml:space="preserve">
</t>
        </r>
        <r>
          <rPr>
            <sz val="14"/>
            <color rgb="FF000000"/>
            <rFont val="Times New Roman"/>
            <family val="18"/>
          </rPr>
          <t xml:space="preserve">31/10/1810 </t>
        </r>
        <r>
          <rPr>
            <i/>
            <sz val="14"/>
            <color rgb="FF000000"/>
            <rFont val="Times New Roman"/>
            <family val="18"/>
          </rPr>
          <t>Zurück in Kompanie</t>
        </r>
        <r>
          <rPr>
            <sz val="14"/>
            <color rgb="FF000000"/>
            <rFont val="Times New Roman"/>
            <family val="18"/>
          </rPr>
          <t xml:space="preserve"> [ST Nov 1810] </t>
        </r>
        <r>
          <rPr>
            <sz val="14"/>
            <color rgb="FF000000"/>
            <rFont val="Calibri"/>
            <family val="34"/>
          </rPr>
          <t xml:space="preserve">
</t>
        </r>
        <r>
          <rPr>
            <sz val="14"/>
            <color rgb="FF000000"/>
            <rFont val="Times New Roman"/>
            <family val="18"/>
          </rPr>
          <t xml:space="preserve">11/11/1810 </t>
        </r>
        <r>
          <rPr>
            <i/>
            <sz val="14"/>
            <color rgb="FF000000"/>
            <rFont val="Times New Roman"/>
            <family val="18"/>
          </rPr>
          <t>Beurlaubt bis zur Einberufung</t>
        </r>
        <r>
          <rPr>
            <sz val="14"/>
            <color rgb="FF000000"/>
            <rFont val="Times New Roman"/>
            <family val="18"/>
          </rPr>
          <t xml:space="preserve"> [ST Nov 1810]</t>
        </r>
        <r>
          <rPr>
            <sz val="14"/>
            <color rgb="FF000000"/>
            <rFont val="Calibri"/>
            <family val="34"/>
          </rPr>
          <t xml:space="preserve">
</t>
        </r>
        <r>
          <rPr>
            <sz val="14"/>
            <color rgb="FF000000"/>
            <rFont val="Times New Roman"/>
            <family val="18"/>
          </rPr>
          <t>13/09/1811 Muster: IR 1 6. Fus. Komp. Nr. 129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31/07/1812 </t>
        </r>
        <r>
          <rPr>
            <i/>
            <sz val="14"/>
            <color rgb="FF000000"/>
            <rFont val="Times New Roman"/>
            <family val="18"/>
          </rPr>
          <t>Mit unbewusste Datum von Urlaub in Galizien desertiert</t>
        </r>
        <r>
          <rPr>
            <sz val="14"/>
            <color rgb="FF000000"/>
            <rFont val="Times New Roman"/>
            <family val="18"/>
          </rPr>
          <t xml:space="preserve"> [ST July 1812]</t>
        </r>
        <r>
          <rPr>
            <sz val="14"/>
            <color rgb="FF000000"/>
            <rFont val="Calibri"/>
            <family val="34"/>
          </rPr>
          <t xml:space="preserve">
</t>
        </r>
        <r>
          <rPr>
            <sz val="14"/>
            <color rgb="FF000000"/>
            <rFont val="Times New Roman"/>
            <family val="18"/>
          </rPr>
          <t xml:space="preserve">01/08/1812 </t>
        </r>
        <r>
          <rPr>
            <i/>
            <sz val="14"/>
            <color rgb="FF000000"/>
            <rFont val="Times New Roman"/>
            <family val="18"/>
          </rPr>
          <t>Wurde laut Monats Tabelle pro Julio unrecht als von Urlaub desertiert in Abgang gebrach , da er stets beurlaubt war, kommt wieder in Stand zurück</t>
        </r>
        <r>
          <rPr>
            <sz val="14"/>
            <color rgb="FF000000"/>
            <rFont val="Times New Roman"/>
            <family val="18"/>
          </rPr>
          <t xml:space="preserve"> [ST Dept 1812]</t>
        </r>
        <r>
          <rPr>
            <sz val="14"/>
            <color rgb="FF000000"/>
            <rFont val="Calibri"/>
            <family val="34"/>
          </rPr>
          <t xml:space="preserve">
</t>
        </r>
        <r>
          <rPr>
            <sz val="14"/>
            <color rgb="FF000000"/>
            <rFont val="Times New Roman"/>
            <family val="18"/>
          </rPr>
          <t xml:space="preserve">31/10/1812 </t>
        </r>
        <r>
          <rPr>
            <i/>
            <sz val="14"/>
            <color rgb="FF000000"/>
            <rFont val="Times New Roman"/>
            <family val="18"/>
          </rPr>
          <t>Mit unbewusste Datum von Urlaub in Galizien desertiert</t>
        </r>
        <r>
          <rPr>
            <sz val="14"/>
            <color rgb="FF000000"/>
            <rFont val="Times New Roman"/>
            <family val="18"/>
          </rPr>
          <t xml:space="preserve"> [ST Oct 1812]</t>
        </r>
      </text>
    </comment>
    <comment ref="BG1174" authorId="0" shapeId="0" xr:uid="{7E17986A-BFE2-E544-AA46-D2A0D601FEC6}">
      <text>
        <r>
          <rPr>
            <sz val="14"/>
            <color rgb="FF000000"/>
            <rFont val="Times New Roman"/>
            <family val="18"/>
          </rPr>
          <t xml:space="preserve">ML 33 IR 1 (1811) – 6. Fus. Komp. Nr. 195 (Olmütz 13/09/1811)
</t>
        </r>
        <r>
          <rPr>
            <sz val="14"/>
            <color rgb="FF000000"/>
            <rFont val="Times New Roman"/>
            <family val="18"/>
          </rPr>
          <t xml:space="preserve">ML 90 IR 1 (1808) – AL Reserve Unnumbered (Sokolov 19/08/1808)
</t>
        </r>
        <r>
          <rPr>
            <sz val="14"/>
            <color rgb="FF000000"/>
            <rFont val="Times New Roman"/>
            <family val="18"/>
          </rPr>
          <t xml:space="preserve">ML 91 IR 1 (1809) – ST Feb (Olmütz 20/07/1809), May (Proßnitz 09/1810), July (Proßnitz 21/10/1810), Dec (Proßnitz 15/01/1811)
</t>
        </r>
        <r>
          <rPr>
            <sz val="14"/>
            <color rgb="FF000000"/>
            <rFont val="Times New Roman"/>
            <family val="18"/>
          </rPr>
          <t xml:space="preserve">ML 92 IR 1 (1809) AL/TL – PL Reserve Nr. 123 (Rzeszow 18/02/1809)
</t>
        </r>
        <r>
          <rPr>
            <sz val="14"/>
            <color rgb="FF000000"/>
            <rFont val="Times New Roman"/>
            <family val="18"/>
          </rPr>
          <t xml:space="preserve">ML 94 IR 1 (1810) – ST Jan (10/01/1811), Feb (Proßnitz 15/02/1811), May (Brünn 20/03/1811), June (Brünn 20/03/1811), Nov (Proßnitz 16/05/1811)
</t>
        </r>
        <r>
          <rPr>
            <sz val="14"/>
            <color rgb="FF000000"/>
            <rFont val="Times New Roman"/>
            <family val="18"/>
          </rPr>
          <t>ML 97 IR 1 (1812) – ST July (Proßnitz 24/09/1812), Aug (Proßnitz 24/10/1812) Oct (Proßnitz 23/02/1813)</t>
        </r>
      </text>
    </comment>
    <comment ref="BH1174" authorId="0" shapeId="0" xr:uid="{419F06A2-68BA-704F-BD96-9A096B44EF05}">
      <text>
        <r>
          <rPr>
            <sz val="14"/>
            <color rgb="FF000000"/>
            <rFont val="Calibri"/>
            <family val="34"/>
          </rPr>
          <t>IR 1 (1809-1812)</t>
        </r>
      </text>
    </comment>
    <comment ref="BF1175" authorId="0" shapeId="0" xr:uid="{18E83396-AB96-C442-A126-CDFBE586BA6F}">
      <text>
        <r>
          <rPr>
            <sz val="14"/>
            <color rgb="FF000000"/>
            <rFont val="Times New Roman"/>
            <family val="18"/>
          </rPr>
          <t xml:space="preserve">10/02/1809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 Fus. Komp. Nr. 200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175" authorId="0" shapeId="0" xr:uid="{B94BCEF3-5FE0-9B42-87E4-B35D6042886B}">
      <text>
        <r>
          <rPr>
            <sz val="14"/>
            <color rgb="FF000000"/>
            <rFont val="Times New Roman"/>
            <family val="18"/>
          </rPr>
          <t>IR 544 IR 8 (1811) – 1. Fus. Komp. Nr. 200 (Iglau 12/09/1811)</t>
        </r>
      </text>
    </comment>
    <comment ref="BH1175" authorId="0" shapeId="0" xr:uid="{B2D26F89-C6C8-F046-90BE-8245CAE68693}">
      <text>
        <r>
          <rPr>
            <sz val="14"/>
            <color rgb="FF000000"/>
            <rFont val="Calibri"/>
            <family val="34"/>
          </rPr>
          <t>IR 8 (1809-1811)</t>
        </r>
      </text>
    </comment>
    <comment ref="BF1176" authorId="0" shapeId="0" xr:uid="{3042C97F-3512-EB4F-A0B9-9666CD93F1A1}">
      <text>
        <r>
          <rPr>
            <sz val="14"/>
            <color rgb="FF000000"/>
            <rFont val="Times New Roman"/>
            <family val="18"/>
          </rPr>
          <t xml:space="preserve">10/02/1809 </t>
        </r>
        <r>
          <rPr>
            <i/>
            <sz val="14"/>
            <color rgb="FF000000"/>
            <rFont val="Times New Roman"/>
            <family val="18"/>
          </rPr>
          <t>von Ständen gestellt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Würzburg Inf</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 xml:space="preserve">zum IR 44 transferiert und zum 3. Fus. Komp zugeteilt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3. Fus. Komp. Nr. 197</t>
        </r>
        <r>
          <rPr>
            <sz val="14"/>
            <color rgb="FF000000"/>
            <rFont val="Calibri"/>
            <family val="34"/>
          </rPr>
          <t xml:space="preserve">
</t>
        </r>
        <r>
          <rPr>
            <sz val="14"/>
            <color rgb="FF000000"/>
            <rFont val="Times New Roman"/>
            <family val="18"/>
          </rPr>
          <t>18/09/1811 Muster: IR 44 3. Fus. Komp. Nr. 133</t>
        </r>
        <r>
          <rPr>
            <sz val="14"/>
            <color rgb="FF000000"/>
            <rFont val="Calibri"/>
            <family val="34"/>
          </rPr>
          <t xml:space="preserve">
</t>
        </r>
        <r>
          <rPr>
            <sz val="14"/>
            <color rgb="FF000000"/>
            <rFont val="Times New Roman"/>
            <family val="18"/>
          </rPr>
          <t>19/09/1812 Revision: IR 44 3. Fus. Komp. Nr. 71</t>
        </r>
        <r>
          <rPr>
            <sz val="14"/>
            <color rgb="FF000000"/>
            <rFont val="Calibri"/>
            <family val="34"/>
          </rPr>
          <t xml:space="preserve">
</t>
        </r>
      </text>
    </comment>
    <comment ref="BG1176" authorId="0" shapeId="0" xr:uid="{A51C757E-686A-F345-A88C-5BA2EE4EE6A7}">
      <text>
        <r>
          <rPr>
            <sz val="14"/>
            <color rgb="FF000000"/>
            <rFont val="Times New Roman"/>
            <family val="18"/>
          </rPr>
          <t>ML 3911 IR 44 (1808-10) – RL 3. Fus. Komp. Nr. 197 (Sthulweissenburg 25/09/1810)</t>
        </r>
        <r>
          <rPr>
            <sz val="14"/>
            <color rgb="FF000000"/>
            <rFont val="Calibri"/>
            <family val="34"/>
          </rPr>
          <t xml:space="preserve">
</t>
        </r>
        <r>
          <rPr>
            <sz val="14"/>
            <color rgb="FF000000"/>
            <rFont val="Times New Roman"/>
            <family val="18"/>
          </rPr>
          <t>ML 3912-3 IR 44 (1811) – 3. Fus. Komp. Nr. 133 (Pappa 18/09/1811)</t>
        </r>
        <r>
          <rPr>
            <sz val="14"/>
            <color rgb="FF000000"/>
            <rFont val="Calibri"/>
            <family val="34"/>
          </rPr>
          <t xml:space="preserve">
</t>
        </r>
        <r>
          <rPr>
            <sz val="14"/>
            <color rgb="FF000000"/>
            <rFont val="Times New Roman"/>
            <family val="18"/>
          </rPr>
          <t>ML 3914 IR 44 (1812/6) – 3. Fus. Komp. Nr. 71 (Pest 19/09/1812)</t>
        </r>
        <r>
          <rPr>
            <sz val="14"/>
            <color rgb="FF000000"/>
            <rFont val="Calibri"/>
            <family val="34"/>
          </rPr>
          <t xml:space="preserve">
</t>
        </r>
      </text>
    </comment>
    <comment ref="BH1176" authorId="0" shapeId="0" xr:uid="{5C871311-3D40-A34E-AB12-2D05F8E18825}">
      <text>
        <r>
          <rPr>
            <sz val="14"/>
            <color rgb="FF000000"/>
            <rFont val="Calibri"/>
            <family val="34"/>
          </rPr>
          <t xml:space="preserve">IR 23 (1809-1810)
</t>
        </r>
        <r>
          <rPr>
            <sz val="14"/>
            <color rgb="FF000000"/>
            <rFont val="Calibri"/>
            <family val="34"/>
          </rPr>
          <t>IR 44 (1810-1812)</t>
        </r>
      </text>
    </comment>
    <comment ref="I1177" authorId="0" shapeId="0" xr:uid="{5E7149AF-3887-B442-B8E0-0C8F227906CE}">
      <text>
        <r>
          <rPr>
            <sz val="14"/>
            <color rgb="FF000000"/>
            <rFont val="Calibri"/>
            <family val="34"/>
          </rPr>
          <t xml:space="preserve">1784 [24 (PL 1808)] 
</t>
        </r>
        <r>
          <rPr>
            <sz val="14"/>
            <color rgb="FF000000"/>
            <rFont val="Calibri"/>
            <family val="34"/>
          </rPr>
          <t xml:space="preserve">OR
</t>
        </r>
        <r>
          <rPr>
            <b/>
            <sz val="14"/>
            <color rgb="FF000000"/>
            <rFont val="Calibri"/>
            <family val="34"/>
          </rPr>
          <t>1781 [30 (ML 1811)]</t>
        </r>
      </text>
    </comment>
    <comment ref="BF1177" authorId="0" shapeId="0" xr:uid="{4872FC42-DB67-D940-ADDA-CEF104E110FA}">
      <text>
        <r>
          <rPr>
            <i/>
            <sz val="14"/>
            <color rgb="FFFF0000"/>
            <rFont val="Times New Roman"/>
            <family val="18"/>
          </rPr>
          <t>Dient 10 Jahren</t>
        </r>
        <r>
          <rPr>
            <sz val="14"/>
            <color rgb="FFFF0000"/>
            <rFont val="Times New Roman"/>
            <family val="18"/>
          </rPr>
          <t xml:space="preserve"> [SUP April 1815]</t>
        </r>
        <r>
          <rPr>
            <sz val="14"/>
            <color rgb="FF000000"/>
            <rFont val="Times New Roman"/>
            <family val="18"/>
          </rPr>
          <t xml:space="preserve">
</t>
        </r>
        <r>
          <rPr>
            <sz val="14"/>
            <color rgb="FF000000"/>
            <rFont val="Times New Roman"/>
            <family val="18"/>
          </rPr>
          <t xml:space="preserve">05/08/1808 </t>
        </r>
        <r>
          <rPr>
            <i/>
            <sz val="14"/>
            <color rgb="FF000000"/>
            <rFont val="Times New Roman"/>
            <family val="18"/>
          </rPr>
          <t xml:space="preserve">Als Reserve Mann zum IR 1 Reserve Bataillon </t>
        </r>
        <r>
          <rPr>
            <sz val="14"/>
            <color rgb="FF000000"/>
            <rFont val="Times New Roman"/>
            <family val="18"/>
          </rPr>
          <t xml:space="preserve">[AL Aug 1808]
</t>
        </r>
        <r>
          <rPr>
            <sz val="14"/>
            <color rgb="FFFF0000"/>
            <rFont val="Times New Roman"/>
            <family val="18"/>
          </rPr>
          <t xml:space="preserve">01/09/1808 </t>
        </r>
        <r>
          <rPr>
            <i/>
            <sz val="14"/>
            <color rgb="FFFF0000"/>
            <rFont val="Times New Roman"/>
            <family val="18"/>
          </rPr>
          <t>Als Werbebezirk Rekrut ausgehoben</t>
        </r>
        <r>
          <rPr>
            <sz val="14"/>
            <color rgb="FFFF0000"/>
            <rFont val="Times New Roman"/>
            <family val="18"/>
          </rPr>
          <t xml:space="preserve"> [ML 1811]</t>
        </r>
        <r>
          <rPr>
            <sz val="14"/>
            <color rgb="FF000000"/>
            <rFont val="Times New Roman"/>
            <family val="18"/>
          </rPr>
          <t xml:space="preserve">
</t>
        </r>
        <r>
          <rPr>
            <sz val="14"/>
            <color rgb="FF000000"/>
            <rFont val="Times New Roman"/>
            <family val="18"/>
          </rPr>
          <t xml:space="preserve">11/02/1809 </t>
        </r>
        <r>
          <rPr>
            <i/>
            <sz val="14"/>
            <color rgb="FF000000"/>
            <rFont val="Times New Roman"/>
            <family val="18"/>
          </rPr>
          <t>Als Reserve Mann zum IR 1 13. Fus. Komp. in Rzeszow präsentiert</t>
        </r>
        <r>
          <rPr>
            <sz val="14"/>
            <color rgb="FF000000"/>
            <rFont val="Times New Roman"/>
            <family val="18"/>
          </rPr>
          <t xml:space="preserve"> [PL Feb 1808 &amp; ST Feb 1809]
</t>
        </r>
        <r>
          <rPr>
            <sz val="14"/>
            <color rgb="FF000000"/>
            <rFont val="Times New Roman"/>
            <family val="18"/>
          </rPr>
          <t xml:space="preserve">06/05/1809 </t>
        </r>
        <r>
          <rPr>
            <i/>
            <sz val="14"/>
            <color rgb="FF000000"/>
            <rFont val="Times New Roman"/>
            <family val="18"/>
          </rPr>
          <t>Von 1.</t>
        </r>
        <r>
          <rPr>
            <sz val="14"/>
            <color rgb="FF000000"/>
            <rFont val="Times New Roman"/>
            <family val="18"/>
          </rPr>
          <t xml:space="preserve"> [13.] </t>
        </r>
        <r>
          <rPr>
            <i/>
            <sz val="14"/>
            <color rgb="FF000000"/>
            <rFont val="Times New Roman"/>
            <family val="18"/>
          </rPr>
          <t>zum neu errichtete 3. Fus. Komp. transferiert</t>
        </r>
        <r>
          <rPr>
            <sz val="14"/>
            <color rgb="FF000000"/>
            <rFont val="Times New Roman"/>
            <family val="18"/>
          </rPr>
          <t xml:space="preserve"> [ST May 1809]
</t>
        </r>
        <r>
          <rPr>
            <sz val="14"/>
            <color rgb="FF000000"/>
            <rFont val="Times New Roman"/>
            <family val="18"/>
          </rPr>
          <t xml:space="preserve">21/05/1809 </t>
        </r>
        <r>
          <rPr>
            <i/>
            <sz val="14"/>
            <color rgb="FF000000"/>
            <rFont val="Times New Roman"/>
            <family val="18"/>
          </rPr>
          <t>Von 3. Zum neu errichtete 9. Fus. Komp. transferiert</t>
        </r>
        <r>
          <rPr>
            <sz val="14"/>
            <color rgb="FF000000"/>
            <rFont val="Times New Roman"/>
            <family val="18"/>
          </rPr>
          <t xml:space="preserve"> [ST May 1809] 
</t>
        </r>
        <r>
          <rPr>
            <sz val="14"/>
            <color rgb="FF000000"/>
            <rFont val="Times New Roman"/>
            <family val="18"/>
          </rPr>
          <t xml:space="preserve">06/08/1809 </t>
        </r>
        <r>
          <rPr>
            <i/>
            <sz val="14"/>
            <color rgb="FF000000"/>
            <rFont val="Times New Roman"/>
            <family val="18"/>
          </rPr>
          <t>Krank in Armée Spital</t>
        </r>
        <r>
          <rPr>
            <sz val="14"/>
            <color rgb="FF000000"/>
            <rFont val="Times New Roman"/>
            <family val="18"/>
          </rPr>
          <t xml:space="preserve"> [ST Aug 1809]
</t>
        </r>
        <r>
          <rPr>
            <sz val="14"/>
            <color rgb="FF000000"/>
            <rFont val="Times New Roman"/>
            <family val="18"/>
          </rPr>
          <t xml:space="preserve">20/12/1809 </t>
        </r>
        <r>
          <rPr>
            <i/>
            <sz val="14"/>
            <color rgb="FF000000"/>
            <rFont val="Times New Roman"/>
            <family val="18"/>
          </rPr>
          <t xml:space="preserve">Rekonvalesciert </t>
        </r>
        <r>
          <rPr>
            <sz val="14"/>
            <color rgb="FF000000"/>
            <rFont val="Times New Roman"/>
            <family val="18"/>
          </rPr>
          <t xml:space="preserve">[ST Dec 1809]
</t>
        </r>
        <r>
          <rPr>
            <sz val="14"/>
            <color rgb="FF000000"/>
            <rFont val="Times New Roman"/>
            <family val="18"/>
          </rPr>
          <t xml:space="preserve">01/06/1810 </t>
        </r>
        <r>
          <rPr>
            <i/>
            <sz val="14"/>
            <color rgb="FF000000"/>
            <rFont val="Times New Roman"/>
            <family val="18"/>
          </rPr>
          <t>Beim Bau des Spielberges zu Brünn</t>
        </r>
        <r>
          <rPr>
            <sz val="14"/>
            <color rgb="FF000000"/>
            <rFont val="Times New Roman"/>
            <family val="18"/>
          </rPr>
          <t xml:space="preserve"> [ST June 1810]
</t>
        </r>
        <r>
          <rPr>
            <sz val="14"/>
            <color rgb="FF000000"/>
            <rFont val="Times New Roman"/>
            <family val="18"/>
          </rPr>
          <t xml:space="preserve">31/10/1810 </t>
        </r>
        <r>
          <rPr>
            <i/>
            <sz val="14"/>
            <color rgb="FF000000"/>
            <rFont val="Times New Roman"/>
            <family val="18"/>
          </rPr>
          <t>Zurück in Kompanie</t>
        </r>
        <r>
          <rPr>
            <sz val="14"/>
            <color rgb="FF000000"/>
            <rFont val="Times New Roman"/>
            <family val="18"/>
          </rPr>
          <t xml:space="preserve"> [ST Nov 1810]
</t>
        </r>
        <r>
          <rPr>
            <sz val="14"/>
            <color rgb="FF000000"/>
            <rFont val="Times New Roman"/>
            <family val="18"/>
          </rPr>
          <t xml:space="preserve">08/04/1811 </t>
        </r>
        <r>
          <rPr>
            <i/>
            <sz val="14"/>
            <color rgb="FF000000"/>
            <rFont val="Times New Roman"/>
            <family val="18"/>
          </rPr>
          <t>Ohne Gebühr bei der Fortifikation in Olmütz</t>
        </r>
        <r>
          <rPr>
            <sz val="14"/>
            <color rgb="FF000000"/>
            <rFont val="Times New Roman"/>
            <family val="18"/>
          </rPr>
          <t xml:space="preserve"> [ST April 1811]
</t>
        </r>
        <r>
          <rPr>
            <sz val="14"/>
            <color rgb="FF000000"/>
            <rFont val="Times New Roman"/>
            <family val="18"/>
          </rPr>
          <t xml:space="preserve">21/05/1811 </t>
        </r>
        <r>
          <rPr>
            <i/>
            <sz val="14"/>
            <color rgb="FF000000"/>
            <rFont val="Times New Roman"/>
            <family val="18"/>
          </rPr>
          <t>Zurück in Kompanie</t>
        </r>
        <r>
          <rPr>
            <sz val="14"/>
            <color rgb="FF000000"/>
            <rFont val="Times New Roman"/>
            <family val="18"/>
          </rPr>
          <t xml:space="preserve"> [ST May 1811]
</t>
        </r>
        <r>
          <rPr>
            <sz val="14"/>
            <color rgb="FF000000"/>
            <rFont val="Times New Roman"/>
            <family val="18"/>
          </rPr>
          <t xml:space="preserve">01/06/1811 </t>
        </r>
        <r>
          <rPr>
            <i/>
            <sz val="14"/>
            <color rgb="FF000000"/>
            <rFont val="Times New Roman"/>
            <family val="18"/>
          </rPr>
          <t>Beurlaubt bis zur Einberufung</t>
        </r>
        <r>
          <rPr>
            <sz val="14"/>
            <color rgb="FF000000"/>
            <rFont val="Times New Roman"/>
            <family val="18"/>
          </rPr>
          <t xml:space="preserve"> [ST June 1911]
</t>
        </r>
        <r>
          <rPr>
            <sz val="14"/>
            <color rgb="FF000000"/>
            <rFont val="Times New Roman"/>
            <family val="18"/>
          </rPr>
          <t xml:space="preserve">04/07/1811 </t>
        </r>
        <r>
          <rPr>
            <i/>
            <sz val="14"/>
            <color rgb="FF000000"/>
            <rFont val="Times New Roman"/>
            <family val="18"/>
          </rPr>
          <t xml:space="preserve">Von Urlaub eingerückt </t>
        </r>
        <r>
          <rPr>
            <sz val="14"/>
            <color rgb="FF000000"/>
            <rFont val="Times New Roman"/>
            <family val="18"/>
          </rPr>
          <t xml:space="preserve">[ST July 1811]
</t>
        </r>
        <r>
          <rPr>
            <sz val="14"/>
            <color rgb="FF000000"/>
            <rFont val="Times New Roman"/>
            <family val="18"/>
          </rPr>
          <t>21/07/1811</t>
        </r>
        <r>
          <rPr>
            <i/>
            <sz val="14"/>
            <color rgb="FF000000"/>
            <rFont val="Times New Roman"/>
            <family val="18"/>
          </rPr>
          <t xml:space="preserve"> Auf dem Marsch nach Rzeszów</t>
        </r>
        <r>
          <rPr>
            <sz val="14"/>
            <color rgb="FF000000"/>
            <rFont val="Times New Roman"/>
            <family val="18"/>
          </rPr>
          <t xml:space="preserve"> [ST July 1811]
</t>
        </r>
        <r>
          <rPr>
            <sz val="14"/>
            <color rgb="FF000000"/>
            <rFont val="Times New Roman"/>
            <family val="18"/>
          </rPr>
          <t xml:space="preserve">22/08/1811 </t>
        </r>
        <r>
          <rPr>
            <i/>
            <sz val="14"/>
            <color rgb="FF000000"/>
            <rFont val="Times New Roman"/>
            <family val="18"/>
          </rPr>
          <t>In Rzeszów eingerückt und zum Werbbezirk zugeteilt</t>
        </r>
        <r>
          <rPr>
            <sz val="14"/>
            <color rgb="FF000000"/>
            <rFont val="Times New Roman"/>
            <family val="18"/>
          </rPr>
          <t xml:space="preserve"> [ST Aug 1811]
</t>
        </r>
        <r>
          <rPr>
            <sz val="14"/>
            <color rgb="FF000000"/>
            <rFont val="Times New Roman"/>
            <family val="18"/>
          </rPr>
          <t>13/09/1811 Muster: IR 1 3. Fus. Komp. Nr. 34 [</t>
        </r>
        <r>
          <rPr>
            <i/>
            <sz val="14"/>
            <color rgb="FF000000"/>
            <rFont val="Times New Roman"/>
            <family val="18"/>
          </rPr>
          <t>Kommandiert zum Werbbezirk in Rzeszow</t>
        </r>
        <r>
          <rPr>
            <sz val="14"/>
            <color rgb="FF000000"/>
            <rFont val="Times New Roman"/>
            <family val="18"/>
          </rPr>
          <t xml:space="preserve">]
</t>
        </r>
        <r>
          <rPr>
            <sz val="14"/>
            <color rgb="FF000000"/>
            <rFont val="Times New Roman"/>
            <family val="18"/>
          </rPr>
          <t xml:space="preserve">26/01/1812 </t>
        </r>
        <r>
          <rPr>
            <i/>
            <sz val="14"/>
            <color rgb="FF000000"/>
            <rFont val="Times New Roman"/>
            <family val="18"/>
          </rPr>
          <t>Beim Aushilf Bezirk Kommando von EH Ludwig Infant Regiment kommandiert</t>
        </r>
        <r>
          <rPr>
            <sz val="14"/>
            <color rgb="FF000000"/>
            <rFont val="Times New Roman"/>
            <family val="18"/>
          </rPr>
          <t xml:space="preserve"> [ST Jan 1812]
</t>
        </r>
        <r>
          <rPr>
            <sz val="14"/>
            <color rgb="FF000000"/>
            <rFont val="Times New Roman"/>
            <family val="18"/>
          </rPr>
          <t xml:space="preserve">16/05/1812 </t>
        </r>
        <r>
          <rPr>
            <i/>
            <sz val="14"/>
            <color rgb="FF000000"/>
            <rFont val="Times New Roman"/>
            <family val="18"/>
          </rPr>
          <t>Von 3. Zum 13. Fus. Komp. transferiert bleibt kommandiert in Galizien</t>
        </r>
        <r>
          <rPr>
            <sz val="14"/>
            <color rgb="FF000000"/>
            <rFont val="Times New Roman"/>
            <family val="18"/>
          </rPr>
          <t xml:space="preserve"> [ST May 1812]
</t>
        </r>
        <r>
          <rPr>
            <sz val="14"/>
            <color rgb="FF000000"/>
            <rFont val="Times New Roman"/>
            <family val="18"/>
          </rPr>
          <t xml:space="preserve">01/11/1812 </t>
        </r>
        <r>
          <rPr>
            <i/>
            <sz val="14"/>
            <color rgb="FF000000"/>
            <rFont val="Times New Roman"/>
            <family val="18"/>
          </rPr>
          <t>Von 13. Zum 17. Fus. Komp. transferiert, beliebt kommandiert beim Werbbezirk</t>
        </r>
        <r>
          <rPr>
            <sz val="14"/>
            <color rgb="FF000000"/>
            <rFont val="Times New Roman"/>
            <family val="18"/>
          </rPr>
          <t xml:space="preserve"> [ST Nov 1812]
</t>
        </r>
        <r>
          <rPr>
            <sz val="14"/>
            <color rgb="FF000000"/>
            <rFont val="Times New Roman"/>
            <family val="18"/>
          </rPr>
          <t xml:space="preserve">01/02/1813 </t>
        </r>
        <r>
          <rPr>
            <i/>
            <sz val="14"/>
            <color rgb="FF000000"/>
            <rFont val="Times New Roman"/>
            <family val="18"/>
          </rPr>
          <t>Von 17. Fus. Komp. zum 2. Depot Komp. transferiert, beliebt kommandiert beim Werbbezirk in Galizien</t>
        </r>
        <r>
          <rPr>
            <sz val="14"/>
            <color rgb="FF000000"/>
            <rFont val="Times New Roman"/>
            <family val="18"/>
          </rPr>
          <t xml:space="preserve"> [ST Feb 1813]
</t>
        </r>
        <r>
          <rPr>
            <sz val="14"/>
            <color rgb="FF000000"/>
            <rFont val="Times New Roman"/>
            <family val="18"/>
          </rPr>
          <t xml:space="preserve">01/10/1813 </t>
        </r>
        <r>
          <rPr>
            <i/>
            <sz val="14"/>
            <color rgb="FF000000"/>
            <rFont val="Times New Roman"/>
            <family val="18"/>
          </rPr>
          <t xml:space="preserve">Von 21. Fus </t>
        </r>
        <r>
          <rPr>
            <sz val="14"/>
            <color rgb="FF000000"/>
            <rFont val="Times New Roman"/>
            <family val="18"/>
          </rPr>
          <t>[2. Depot]</t>
        </r>
        <r>
          <rPr>
            <i/>
            <sz val="14"/>
            <color rgb="FF000000"/>
            <rFont val="Times New Roman"/>
            <family val="18"/>
          </rPr>
          <t xml:space="preserve"> zum 22. Fus. Komp. transferiert</t>
        </r>
        <r>
          <rPr>
            <sz val="14"/>
            <color rgb="FF000000"/>
            <rFont val="Times New Roman"/>
            <family val="18"/>
          </rPr>
          <t xml:space="preserve"> [ST Oct 1813]
</t>
        </r>
        <r>
          <rPr>
            <sz val="14"/>
            <color rgb="FF000000"/>
            <rFont val="Times New Roman"/>
            <family val="18"/>
          </rPr>
          <t xml:space="preserve">01/04/1815 </t>
        </r>
        <r>
          <rPr>
            <i/>
            <sz val="14"/>
            <color rgb="FF000000"/>
            <rFont val="Times New Roman"/>
            <family val="18"/>
          </rPr>
          <t>Von 17. Fus. Komp zur 2. Depot Komp. transferiert</t>
        </r>
        <r>
          <rPr>
            <sz val="14"/>
            <color rgb="FF000000"/>
            <rFont val="Times New Roman"/>
            <family val="18"/>
          </rPr>
          <t xml:space="preserve"> [ST April 1815]
</t>
        </r>
        <r>
          <rPr>
            <sz val="14"/>
            <color rgb="FF000000"/>
            <rFont val="Times New Roman"/>
            <family val="18"/>
          </rPr>
          <t xml:space="preserve">30/04/1815 </t>
        </r>
        <r>
          <rPr>
            <i/>
            <sz val="14"/>
            <color rgb="FF000000"/>
            <rFont val="Times New Roman"/>
            <family val="18"/>
          </rPr>
          <t>Als angehöriger von 17. Fus. Komp. wegen Nrophelm in Proßnitz superarbiertiert</t>
        </r>
        <r>
          <rPr>
            <sz val="14"/>
            <color rgb="FF000000"/>
            <rFont val="Times New Roman"/>
            <family val="18"/>
          </rPr>
          <t xml:space="preserve">: Befund: Mit unheilbarem Großen Geschwüren um dem ganzen Hals und Gesicht, In dienst ohne Verschuld und sind alle Heilmittel fruchtlos angewendet worden: Reale Invalid in Trynauer invaliden Haus zu Versorgung [SUP April 1815]
</t>
        </r>
        <r>
          <rPr>
            <sz val="14"/>
            <color rgb="FF000000"/>
            <rFont val="Times New Roman"/>
            <family val="18"/>
          </rPr>
          <t xml:space="preserve">11/06/1815 </t>
        </r>
        <r>
          <rPr>
            <i/>
            <sz val="14"/>
            <color rgb="FF000000"/>
            <rFont val="Times New Roman"/>
            <family val="18"/>
          </rPr>
          <t xml:space="preserve">Auf Marsch in der tyrnauer Invalidenhaus </t>
        </r>
        <r>
          <rPr>
            <sz val="14"/>
            <color rgb="FF000000"/>
            <rFont val="Times New Roman"/>
            <family val="18"/>
          </rPr>
          <t xml:space="preserve">[ST June 1815]
</t>
        </r>
        <r>
          <rPr>
            <sz val="14"/>
            <color rgb="FF000000"/>
            <rFont val="Times New Roman"/>
            <family val="18"/>
          </rPr>
          <t xml:space="preserve">17/06/1815 </t>
        </r>
        <r>
          <rPr>
            <i/>
            <sz val="14"/>
            <color rgb="FF000000"/>
            <rFont val="Times New Roman"/>
            <family val="18"/>
          </rPr>
          <t xml:space="preserve">Vermog hoher G:M:C: Verordnung deto Brünn am 3. Juni 815 und die mit selbe am 8. Mai 815 zu Olmütz geschehene Superarbietrierung ins tyrnauer Invalidenhaus zur Versorgung transferiert </t>
        </r>
        <r>
          <rPr>
            <sz val="14"/>
            <color rgb="FF000000"/>
            <rFont val="Times New Roman"/>
            <family val="18"/>
          </rPr>
          <t>[ST June 1815]</t>
        </r>
      </text>
    </comment>
    <comment ref="BG1177" authorId="0" shapeId="0" xr:uid="{B93EFCAD-46E9-954F-B81E-C2BBF33B5AE8}">
      <text>
        <r>
          <rPr>
            <sz val="14"/>
            <color rgb="FF000000"/>
            <rFont val="Times New Roman"/>
            <family val="18"/>
          </rPr>
          <t>ML 33 IR 1 (1811) – 3. Fus. Komp. Nr. 34 (Olmütz 13/09/1811)</t>
        </r>
        <r>
          <rPr>
            <sz val="14"/>
            <color rgb="FF000000"/>
            <rFont val="Calibri"/>
            <family val="34"/>
          </rPr>
          <t xml:space="preserve">
</t>
        </r>
        <r>
          <rPr>
            <sz val="14"/>
            <color rgb="FF000000"/>
            <rFont val="Times New Roman"/>
            <family val="18"/>
          </rPr>
          <t>ML 90 IR 1 (1808) – AL Reserve Unnumbered (Sokolov 19/08/1808)</t>
        </r>
        <r>
          <rPr>
            <sz val="14"/>
            <color rgb="FF000000"/>
            <rFont val="Calibri"/>
            <family val="34"/>
          </rPr>
          <t xml:space="preserve">
</t>
        </r>
        <r>
          <rPr>
            <sz val="14"/>
            <color rgb="FF000000"/>
            <rFont val="Times New Roman"/>
            <family val="18"/>
          </rPr>
          <t>ML 91 IR 1 (1809) – ST Feb (Olmütz 20/07/1809), May (Proßnitz 09/1810), August (Proßnitz 22/11/1810), Dec (Proßnitz 15/01/1811)</t>
        </r>
        <r>
          <rPr>
            <sz val="14"/>
            <color rgb="FF000000"/>
            <rFont val="Calibri"/>
            <family val="34"/>
          </rPr>
          <t xml:space="preserve">
</t>
        </r>
        <r>
          <rPr>
            <sz val="14"/>
            <color rgb="FF000000"/>
            <rFont val="Times New Roman"/>
            <family val="18"/>
          </rPr>
          <t>ML 92 IR 1 (1809) AL/TL – PL Reserve Nr. 131 (Rzeszow 18/02/1809)</t>
        </r>
        <r>
          <rPr>
            <sz val="14"/>
            <color rgb="FF000000"/>
            <rFont val="Calibri"/>
            <family val="34"/>
          </rPr>
          <t xml:space="preserve">
</t>
        </r>
        <r>
          <rPr>
            <sz val="14"/>
            <color rgb="FF000000"/>
            <rFont val="Times New Roman"/>
            <family val="18"/>
          </rPr>
          <t>ML 94 IR 1 (1810) – ST June (Brünn 20/03/1811), Nov (Proßnitz 06/05/1811)</t>
        </r>
        <r>
          <rPr>
            <sz val="14"/>
            <color rgb="FF000000"/>
            <rFont val="Calibri"/>
            <family val="34"/>
          </rPr>
          <t xml:space="preserve">
</t>
        </r>
        <r>
          <rPr>
            <sz val="14"/>
            <color rgb="FF000000"/>
            <rFont val="Times New Roman"/>
            <family val="18"/>
          </rPr>
          <t>ML 96 IR 1 (1811) – ST April (Proßnitz 20/06/1811), May (Proßnitz 18/7/1811), June (Proßnitz 10/08/1811), July (Proßnitz 09/11/1811), Aug (Proßnitz 09/11/1811)</t>
        </r>
        <r>
          <rPr>
            <sz val="14"/>
            <color rgb="FF000000"/>
            <rFont val="Calibri"/>
            <family val="34"/>
          </rPr>
          <t xml:space="preserve">
</t>
        </r>
        <r>
          <rPr>
            <sz val="14"/>
            <color rgb="FF000000"/>
            <rFont val="Times New Roman"/>
            <family val="18"/>
          </rPr>
          <t>ML 97 IR 1 (1812) – ST Jan (Proßnitz 01/03/1812), May (Proßnitz 24/08/1812), Nov (Proßnitz 30/03/1812)</t>
        </r>
        <r>
          <rPr>
            <sz val="14"/>
            <color rgb="FF000000"/>
            <rFont val="Calibri"/>
            <family val="34"/>
          </rPr>
          <t xml:space="preserve">
</t>
        </r>
        <r>
          <rPr>
            <sz val="14"/>
            <color rgb="FF000000"/>
            <rFont val="Times New Roman"/>
            <family val="18"/>
          </rPr>
          <t>ML 99 IR 1 (1813) – ST Feb (Proßnitz 10/06/1813), Oct (Proßnitz 15/03/1814)</t>
        </r>
        <r>
          <rPr>
            <sz val="14"/>
            <color rgb="FF000000"/>
            <rFont val="Calibri"/>
            <family val="34"/>
          </rPr>
          <t xml:space="preserve">
</t>
        </r>
        <r>
          <rPr>
            <sz val="14"/>
            <color rgb="FF000000"/>
            <rFont val="Times New Roman"/>
            <family val="18"/>
          </rPr>
          <t>ML 105 IR 1 (1815) – ST April (Proßnitz 15/09/1815), June (Proßnitz 04/11/1815)</t>
        </r>
        <r>
          <rPr>
            <sz val="14"/>
            <color rgb="FF000000"/>
            <rFont val="Calibri"/>
            <family val="34"/>
          </rPr>
          <t xml:space="preserve">
</t>
        </r>
        <r>
          <rPr>
            <sz val="14"/>
            <color rgb="FF000000"/>
            <rFont val="Times New Roman"/>
            <family val="18"/>
          </rPr>
          <t>IR 106 IR 1 (1815) AL/TL – SUP Nr. 2 (Proßnitz 30/04/1815)</t>
        </r>
        <r>
          <rPr>
            <sz val="14"/>
            <color rgb="FF000000"/>
            <rFont val="Calibri"/>
            <family val="34"/>
          </rPr>
          <t xml:space="preserve">
</t>
        </r>
      </text>
    </comment>
    <comment ref="BH1177" authorId="0" shapeId="0" xr:uid="{BD904F09-AF91-9743-8FC0-069C07EA16CF}">
      <text>
        <r>
          <rPr>
            <sz val="14"/>
            <color rgb="FF000000"/>
            <rFont val="Calibri"/>
            <family val="34"/>
          </rPr>
          <t xml:space="preserve">IR 1 (1809-1815)
</t>
        </r>
        <r>
          <rPr>
            <sz val="14"/>
            <color rgb="FF000000"/>
            <rFont val="Calibri"/>
            <family val="34"/>
          </rPr>
          <t>InvH Tyrnau (1815)</t>
        </r>
      </text>
    </comment>
    <comment ref="BI1177" authorId="0" shapeId="0" xr:uid="{4AB864DB-3B37-C54D-A313-BADD4CE82928}">
      <text>
        <r>
          <rPr>
            <i/>
            <sz val="14"/>
            <color rgb="FF000000"/>
            <rFont val="Times New Roman"/>
            <family val="18"/>
          </rPr>
          <t>Gute</t>
        </r>
        <r>
          <rPr>
            <sz val="14"/>
            <color rgb="FF000000"/>
            <rFont val="Times New Roman"/>
            <family val="18"/>
          </rPr>
          <t xml:space="preserve"> [SUP April 1815]</t>
        </r>
        <r>
          <rPr>
            <sz val="14"/>
            <color rgb="FF000000"/>
            <rFont val="Calibri"/>
            <family val="2"/>
          </rPr>
          <t xml:space="preserve"> </t>
        </r>
      </text>
    </comment>
    <comment ref="BJ1177" authorId="0" shapeId="0" xr:uid="{97F3D77E-EABF-344F-8638-6E88252232EB}">
      <text>
        <r>
          <rPr>
            <i/>
            <sz val="14"/>
            <color rgb="FF000000"/>
            <rFont val="Times New Roman"/>
            <family val="18"/>
          </rPr>
          <t xml:space="preserve">Narophelm </t>
        </r>
        <r>
          <rPr>
            <sz val="14"/>
            <color rgb="FF000000"/>
            <rFont val="Times New Roman"/>
            <family val="18"/>
          </rPr>
          <t>[SUP April 1815]</t>
        </r>
        <r>
          <rPr>
            <sz val="14"/>
            <color rgb="FF000000"/>
            <rFont val="Calibri"/>
            <family val="2"/>
          </rPr>
          <t xml:space="preserve"> </t>
        </r>
      </text>
    </comment>
    <comment ref="T1178" authorId="0" shapeId="0" xr:uid="{CC9ECF38-35B5-8F46-AF9C-B2635F2FA7FB}">
      <text>
        <r>
          <rPr>
            <sz val="14"/>
            <color rgb="FF000000"/>
            <rFont val="Calibri"/>
            <family val="34"/>
          </rPr>
          <t xml:space="preserve">163.92 [5.2.3 (ML 1811)]
</t>
        </r>
        <r>
          <rPr>
            <sz val="14"/>
            <color rgb="FF000000"/>
            <rFont val="Calibri"/>
            <family val="34"/>
          </rPr>
          <t>182.33 [5.9.3 (ML 1818)]</t>
        </r>
      </text>
    </comment>
    <comment ref="BF1178" authorId="0" shapeId="0" xr:uid="{C3B07B88-5C4C-3F4F-9F6B-8A2480E7A419}">
      <text>
        <r>
          <rPr>
            <sz val="14"/>
            <color rgb="FF000000"/>
            <rFont val="Times New Roman"/>
            <family val="18"/>
          </rPr>
          <t xml:space="preserve">19/02/1809 </t>
        </r>
        <r>
          <rPr>
            <i/>
            <sz val="14"/>
            <color rgb="FF000000"/>
            <rFont val="Times New Roman"/>
            <family val="18"/>
          </rPr>
          <t>Von Ständen gestellt und auf 3Fl Handgeld auf 10 Jahren assentiert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 xml:space="preserve">09/03/1810 </t>
        </r>
        <r>
          <rPr>
            <i/>
            <sz val="14"/>
            <color rgb="FF000000"/>
            <rFont val="Times New Roman"/>
            <family val="18"/>
          </rPr>
          <t xml:space="preserve">Von dissolvierte Würzburg Inf </t>
        </r>
        <r>
          <rPr>
            <b/>
            <sz val="14"/>
            <color rgb="FF000000"/>
            <rFont val="Times New Roman"/>
            <family val="18"/>
          </rPr>
          <t>[IR 23]</t>
        </r>
        <r>
          <rPr>
            <sz val="14"/>
            <color rgb="FF000000"/>
            <rFont val="Times New Roman"/>
            <family val="18"/>
          </rPr>
          <t xml:space="preserve"> </t>
        </r>
        <r>
          <rPr>
            <i/>
            <sz val="14"/>
            <color rgb="FF000000"/>
            <rFont val="Times New Roman"/>
            <family val="18"/>
          </rPr>
          <t>zum IR 44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18/09/1811 Muster: IR 44 5. Fus. Komp. Nr. 196</t>
        </r>
        <r>
          <rPr>
            <sz val="14"/>
            <color rgb="FF000000"/>
            <rFont val="Calibri"/>
            <family val="34"/>
          </rPr>
          <t xml:space="preserve">
</t>
        </r>
        <r>
          <rPr>
            <sz val="14"/>
            <color rgb="FF000000"/>
            <rFont val="Times New Roman"/>
            <family val="18"/>
          </rPr>
          <t>19/09/1812 Revision: IR 44 5. Fus. Komp. Nr. 105</t>
        </r>
        <r>
          <rPr>
            <sz val="14"/>
            <color rgb="FF000000"/>
            <rFont val="Calibri"/>
            <family val="34"/>
          </rPr>
          <t xml:space="preserve">
</t>
        </r>
        <r>
          <rPr>
            <sz val="14"/>
            <color rgb="FF000000"/>
            <rFont val="Times New Roman"/>
            <family val="18"/>
          </rPr>
          <t xml:space="preserve">07/11/1817 </t>
        </r>
        <r>
          <rPr>
            <i/>
            <sz val="14"/>
            <color rgb="FF000000"/>
            <rFont val="Times New Roman"/>
            <family val="18"/>
          </rPr>
          <t>Gegen 32Fl auf 6 Jahren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2. Gren. Komp. Nr. 26</t>
        </r>
        <r>
          <rPr>
            <sz val="14"/>
            <color rgb="FF000000"/>
            <rFont val="Calibri"/>
            <family val="34"/>
          </rPr>
          <t xml:space="preserve">
</t>
        </r>
        <r>
          <rPr>
            <sz val="14"/>
            <color rgb="FF000000"/>
            <rFont val="Times New Roman"/>
            <family val="18"/>
          </rPr>
          <t>25/09/1818 Muster: IR 44 2. Gren. Komp. Nr. 36</t>
        </r>
        <r>
          <rPr>
            <sz val="14"/>
            <color rgb="FF000000"/>
            <rFont val="Calibri"/>
            <family val="34"/>
          </rPr>
          <t xml:space="preserve">
</t>
        </r>
        <r>
          <rPr>
            <sz val="14"/>
            <color rgb="FF000000"/>
            <rFont val="Times New Roman"/>
            <family val="18"/>
          </rPr>
          <t>16/09/1819 Muster: IR 44 2. Gren. Komp. Nr. 31</t>
        </r>
        <r>
          <rPr>
            <sz val="14"/>
            <color rgb="FF000000"/>
            <rFont val="Calibri"/>
            <family val="34"/>
          </rPr>
          <t xml:space="preserve">
</t>
        </r>
        <r>
          <rPr>
            <sz val="14"/>
            <color rgb="FF000000"/>
            <rFont val="Times New Roman"/>
            <family val="18"/>
          </rPr>
          <t>20/09/1820 Muster: IR 44 2. Gren. Komp. Nr. 21</t>
        </r>
        <r>
          <rPr>
            <sz val="14"/>
            <color rgb="FF000000"/>
            <rFont val="Calibri"/>
            <family val="34"/>
          </rPr>
          <t xml:space="preserve">
</t>
        </r>
      </text>
    </comment>
    <comment ref="BG1178" authorId="0" shapeId="0" xr:uid="{2EE3F175-BD8F-1B47-A592-F80D7E0B9199}">
      <text>
        <r>
          <rPr>
            <sz val="14"/>
            <color rgb="FF000000"/>
            <rFont val="Times New Roman"/>
            <family val="18"/>
          </rPr>
          <t>ML 3912-3 IR 44 (1811) – 5. Fus. Komp. Nr. 196 (Pappa 18/09/1811)</t>
        </r>
        <r>
          <rPr>
            <sz val="14"/>
            <color rgb="FF000000"/>
            <rFont val="Calibri"/>
            <family val="34"/>
          </rPr>
          <t xml:space="preserve">
</t>
        </r>
        <r>
          <rPr>
            <sz val="14"/>
            <color rgb="FF000000"/>
            <rFont val="Times New Roman"/>
            <family val="18"/>
          </rPr>
          <t>ML 3914 IR 44 (1812/6) – 5. Fus. Komp. Nr. 105 (Pest 19/09/1812)</t>
        </r>
        <r>
          <rPr>
            <sz val="14"/>
            <color rgb="FF000000"/>
            <rFont val="Calibri"/>
            <family val="34"/>
          </rPr>
          <t xml:space="preserve">
</t>
        </r>
        <r>
          <rPr>
            <sz val="14"/>
            <color rgb="FF000000"/>
            <rFont val="Times New Roman"/>
            <family val="18"/>
          </rPr>
          <t>ML 3915/6 IR 44 (1818) – 2. Gren. Komp. Nr. 26 (Lemberg 05/01/1818). 2. Gren. Komp. Nr. 36 (Stuhlweißenburg 25/09/1818)</t>
        </r>
        <r>
          <rPr>
            <sz val="14"/>
            <color rgb="FF000000"/>
            <rFont val="Calibri"/>
            <family val="34"/>
          </rPr>
          <t xml:space="preserve">
</t>
        </r>
        <r>
          <rPr>
            <sz val="14"/>
            <color rgb="FF000000"/>
            <rFont val="Times New Roman"/>
            <family val="18"/>
          </rPr>
          <t>ML 3918/9 IR 44 (1819) – 2. Gren. Komp. Nr. 31 (Mauer 16/09/1819)</t>
        </r>
        <r>
          <rPr>
            <sz val="14"/>
            <color rgb="FF000000"/>
            <rFont val="Calibri"/>
            <family val="34"/>
          </rPr>
          <t xml:space="preserve">
</t>
        </r>
        <r>
          <rPr>
            <sz val="14"/>
            <color rgb="FF000000"/>
            <rFont val="Times New Roman"/>
            <family val="18"/>
          </rPr>
          <t>ML 3920 IR 44 (1820) – 2. Gren. Komp. Nr. 21 (Mauer 20/09/1820)</t>
        </r>
        <r>
          <rPr>
            <sz val="14"/>
            <color rgb="FF000000"/>
            <rFont val="Calibri"/>
            <family val="34"/>
          </rPr>
          <t xml:space="preserve">
</t>
        </r>
      </text>
    </comment>
    <comment ref="BH1178" authorId="0" shapeId="0" xr:uid="{362733B5-3177-9847-B7FB-30E19EB7B66F}">
      <text>
        <r>
          <rPr>
            <sz val="14"/>
            <color rgb="FF000000"/>
            <rFont val="Calibri"/>
            <family val="34"/>
          </rPr>
          <t xml:space="preserve">IR 23 (1809-1810)
</t>
        </r>
        <r>
          <rPr>
            <sz val="14"/>
            <color rgb="FF000000"/>
            <rFont val="Calibri"/>
            <family val="34"/>
          </rPr>
          <t>IR 44 (1810-1820)</t>
        </r>
      </text>
    </comment>
    <comment ref="BF1179" authorId="0" shapeId="0" xr:uid="{5834FAE0-6536-3742-8EB0-CE1B67E670C5}">
      <text>
        <r>
          <rPr>
            <sz val="14"/>
            <color rgb="FF000000"/>
            <rFont val="Times New Roman"/>
            <family val="18"/>
          </rPr>
          <t xml:space="preserve">21/02/1809 </t>
        </r>
        <r>
          <rPr>
            <i/>
            <sz val="14"/>
            <color rgb="FF000000"/>
            <rFont val="Times New Roman"/>
            <family val="18"/>
          </rPr>
          <t>A 3Fl Handgeld auf 10 Jahr zu Perzmysl in IR 44 assentiert und zur 1. Res. zugeteilt</t>
        </r>
        <r>
          <rPr>
            <sz val="14"/>
            <color rgb="FF000000"/>
            <rFont val="Times New Roman"/>
            <family val="18"/>
          </rPr>
          <t xml:space="preserve"> [ST Feb 1811]</t>
        </r>
        <r>
          <rPr>
            <sz val="14"/>
            <color rgb="FF000000"/>
            <rFont val="Calibri"/>
            <family val="34"/>
          </rPr>
          <t xml:space="preserve">
</t>
        </r>
        <r>
          <rPr>
            <sz val="14"/>
            <color rgb="FFFF0000"/>
            <rFont val="Times New Roman"/>
            <family val="18"/>
          </rPr>
          <t xml:space="preserve">03/1809 </t>
        </r>
        <r>
          <rPr>
            <i/>
            <sz val="14"/>
            <color rgb="FFFF0000"/>
            <rFont val="Times New Roman"/>
            <family val="18"/>
          </rPr>
          <t>Nach Angabe des Mannes Gegen 3Fl Handgeld auf 10 Jahr assentiert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16/04/1809 </t>
        </r>
        <r>
          <rPr>
            <i/>
            <sz val="14"/>
            <color rgb="FF000000"/>
            <rFont val="Times New Roman"/>
            <family val="18"/>
          </rPr>
          <t>Von. 1. Reserve zum 9. Fus Komp</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26/05/1809 </t>
        </r>
        <r>
          <rPr>
            <i/>
            <sz val="14"/>
            <color rgb="FF000000"/>
            <rFont val="Times New Roman"/>
            <family val="18"/>
          </rPr>
          <t>Mit Loco Verpflegung zu Brünn Kommandiert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9. Zum 2. Fus Komp. Transferiert</t>
        </r>
        <r>
          <rPr>
            <sz val="14"/>
            <color rgb="FF000000"/>
            <rFont val="Times New Roman"/>
            <family val="18"/>
          </rPr>
          <t xml:space="preserve"> [ST Aug]</t>
        </r>
        <r>
          <rPr>
            <sz val="14"/>
            <color rgb="FF000000"/>
            <rFont val="Calibri"/>
            <family val="34"/>
          </rPr>
          <t xml:space="preserve">
</t>
        </r>
        <r>
          <rPr>
            <sz val="14"/>
            <color rgb="FF000000"/>
            <rFont val="Times New Roman"/>
            <family val="18"/>
          </rPr>
          <t xml:space="preserve">02/07/1809 </t>
        </r>
        <r>
          <rPr>
            <i/>
            <sz val="14"/>
            <color rgb="FF000000"/>
            <rFont val="Times New Roman"/>
            <family val="18"/>
          </rPr>
          <t>In Kompanie eingerückt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27/09/1810 Revision: IR 44 8. Fus. Komp. Nr. 150 [</t>
        </r>
        <r>
          <rPr>
            <i/>
            <sz val="14"/>
            <color rgb="FF000000"/>
            <rFont val="Times New Roman"/>
            <family val="18"/>
          </rPr>
          <t>Commandiert bei der Treangulierung am Oers</t>
        </r>
        <r>
          <rPr>
            <sz val="14"/>
            <color rgb="FF000000"/>
            <rFont val="Times New Roman"/>
            <family val="18"/>
          </rPr>
          <t>]</t>
        </r>
        <r>
          <rPr>
            <sz val="14"/>
            <color rgb="FF000000"/>
            <rFont val="Calibri"/>
            <family val="34"/>
          </rPr>
          <t xml:space="preserve">
</t>
        </r>
        <r>
          <rPr>
            <sz val="14"/>
            <color rgb="FF000000"/>
            <rFont val="Times New Roman"/>
            <family val="18"/>
          </rPr>
          <t>20/09/1811 Muster: IR 44 8. Fus. Komp. Nr. 94 [</t>
        </r>
        <r>
          <rPr>
            <i/>
            <sz val="14"/>
            <color rgb="FF000000"/>
            <rFont val="Times New Roman"/>
            <family val="18"/>
          </rPr>
          <t>Commandiert Beurlaubt zu Gmünden in Osterreich</t>
        </r>
        <r>
          <rPr>
            <sz val="14"/>
            <color rgb="FF000000"/>
            <rFont val="Times New Roman"/>
            <family val="18"/>
          </rPr>
          <t>]</t>
        </r>
        <r>
          <rPr>
            <sz val="14"/>
            <color rgb="FF000000"/>
            <rFont val="Calibri"/>
            <family val="34"/>
          </rPr>
          <t xml:space="preserve">
</t>
        </r>
        <r>
          <rPr>
            <sz val="14"/>
            <color rgb="FF000000"/>
            <rFont val="Times New Roman"/>
            <family val="18"/>
          </rPr>
          <t>19/09/1812 Revision: IR 44 8. Fus. Komp. Nr. 61</t>
        </r>
        <r>
          <rPr>
            <sz val="14"/>
            <color rgb="FF000000"/>
            <rFont val="Calibri"/>
            <family val="34"/>
          </rPr>
          <t xml:space="preserve">
</t>
        </r>
        <r>
          <rPr>
            <sz val="14"/>
            <color rgb="FF000000"/>
            <rFont val="Times New Roman"/>
            <family val="18"/>
          </rPr>
          <t xml:space="preserve">10/07/1817 </t>
        </r>
        <r>
          <rPr>
            <i/>
            <sz val="14"/>
            <color rgb="FF000000"/>
            <rFont val="Times New Roman"/>
            <family val="18"/>
          </rPr>
          <t>Von IR 44 7. Fus. Komp. zur IR 9 Czartoryski transferiert</t>
        </r>
        <r>
          <rPr>
            <sz val="14"/>
            <color rgb="FF000000"/>
            <rFont val="Times New Roman"/>
            <family val="18"/>
          </rPr>
          <t xml:space="preserve"> [ML 1818]</t>
        </r>
        <r>
          <rPr>
            <sz val="14"/>
            <color rgb="FF000000"/>
            <rFont val="Calibri"/>
            <family val="34"/>
          </rPr>
          <t xml:space="preserve">
</t>
        </r>
      </text>
    </comment>
    <comment ref="BG1179" authorId="0" shapeId="0" xr:uid="{BBC9F06C-7F97-E54F-A8EB-AA092D61ADF1}">
      <text>
        <r>
          <rPr>
            <sz val="14"/>
            <color rgb="FF000000"/>
            <rFont val="Times New Roman"/>
            <family val="18"/>
          </rPr>
          <t>ML 3911 IR 44 (1808-10) – 8. Fus. Komp. Nr. 150 (Pappa 27/09/1810)</t>
        </r>
        <r>
          <rPr>
            <sz val="14"/>
            <color rgb="FF000000"/>
            <rFont val="Calibri"/>
            <family val="34"/>
          </rPr>
          <t xml:space="preserve">
</t>
        </r>
        <r>
          <rPr>
            <sz val="14"/>
            <color rgb="FF000000"/>
            <rFont val="Times New Roman"/>
            <family val="18"/>
          </rPr>
          <t>ML 3912/3 IR 44 (1811) – 8. Fus. Komp. Nr. 94 (Sthulweissenburg 20/09/1811)</t>
        </r>
        <r>
          <rPr>
            <sz val="14"/>
            <color rgb="FF000000"/>
            <rFont val="Calibri"/>
            <family val="34"/>
          </rPr>
          <t xml:space="preserve">
</t>
        </r>
        <r>
          <rPr>
            <sz val="14"/>
            <color rgb="FF000000"/>
            <rFont val="Times New Roman"/>
            <family val="18"/>
          </rPr>
          <t>ML 3914 IR 44 (1812/6) – 8. Fus. Komp. Nr. 61 (Pest 19/09/1812)</t>
        </r>
        <r>
          <rPr>
            <sz val="14"/>
            <color rgb="FF000000"/>
            <rFont val="Calibri"/>
            <family val="34"/>
          </rPr>
          <t xml:space="preserve">
</t>
        </r>
        <r>
          <rPr>
            <sz val="14"/>
            <color rgb="FF000000"/>
            <rFont val="Times New Roman"/>
            <family val="18"/>
          </rPr>
          <t>ML 3915/6 IR 44 (1818) – 11. Fus. Komp. Abgang (Pavia 05/01/1818)</t>
        </r>
        <r>
          <rPr>
            <sz val="14"/>
            <color rgb="FF000000"/>
            <rFont val="Calibri"/>
            <family val="34"/>
          </rPr>
          <t xml:space="preserve">
</t>
        </r>
        <r>
          <rPr>
            <sz val="14"/>
            <color rgb="FF000000"/>
            <rFont val="Times New Roman"/>
            <family val="18"/>
          </rPr>
          <t>ML 3960 IR 44 (1809) – ST Feb (Ofen 31/10/1810), April (Ofen 06/02/1811), Mai (Ofen 08/04/1809) Juli (Ofen 08/04/1811), Aug (Ofen 25/06/1811)</t>
        </r>
        <r>
          <rPr>
            <sz val="14"/>
            <color rgb="FF000000"/>
            <rFont val="Calibri"/>
            <family val="34"/>
          </rPr>
          <t xml:space="preserve">
</t>
        </r>
      </text>
    </comment>
    <comment ref="BH1179" authorId="0" shapeId="0" xr:uid="{B7C62254-EAA0-F543-8C8D-D26A9A70B0D2}">
      <text>
        <r>
          <rPr>
            <sz val="14"/>
            <color rgb="FF000000"/>
            <rFont val="Calibri"/>
            <family val="34"/>
          </rPr>
          <t xml:space="preserve">IR 44 (1809-1817)
</t>
        </r>
        <r>
          <rPr>
            <sz val="14"/>
            <color rgb="FF000000"/>
            <rFont val="Calibri"/>
            <family val="34"/>
          </rPr>
          <t>IR 9 (1817)</t>
        </r>
      </text>
    </comment>
    <comment ref="BF1180" authorId="0" shapeId="0" xr:uid="{0150A236-45F9-A84F-BF47-C8B4D04427B2}">
      <text>
        <r>
          <rPr>
            <sz val="14"/>
            <color rgb="FF000000"/>
            <rFont val="Times New Roman"/>
            <family val="18"/>
          </rPr>
          <t xml:space="preserve">21/02/1809 </t>
        </r>
        <r>
          <rPr>
            <i/>
            <sz val="14"/>
            <color rgb="FF000000"/>
            <rFont val="Times New Roman"/>
            <family val="18"/>
          </rPr>
          <t xml:space="preserve">A 3Fl Handgeld auf 10 Jahr assentiert </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01/06/1810 </t>
        </r>
        <r>
          <rPr>
            <i/>
            <sz val="14"/>
            <color rgb="FF000000"/>
            <rFont val="Times New Roman"/>
            <family val="18"/>
          </rPr>
          <t>Von 1. Zur 9.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9. Fus. Komp. Nr. 225</t>
        </r>
        <r>
          <rPr>
            <sz val="14"/>
            <color rgb="FF000000"/>
            <rFont val="Calibri"/>
            <family val="34"/>
          </rPr>
          <t xml:space="preserve">
</t>
        </r>
        <r>
          <rPr>
            <sz val="14"/>
            <color rgb="FF000000"/>
            <rFont val="Times New Roman"/>
            <family val="18"/>
          </rPr>
          <t>20/09/1811 Muster: IR 44 9. Fus. Komp. Nr. 152</t>
        </r>
        <r>
          <rPr>
            <sz val="14"/>
            <color rgb="FF000000"/>
            <rFont val="Calibri"/>
            <family val="34"/>
          </rPr>
          <t xml:space="preserve">
</t>
        </r>
        <r>
          <rPr>
            <sz val="14"/>
            <color rgb="FF000000"/>
            <rFont val="Times New Roman"/>
            <family val="18"/>
          </rPr>
          <t xml:space="preserve">15/09/1812 </t>
        </r>
        <r>
          <rPr>
            <i/>
            <sz val="14"/>
            <color rgb="FF000000"/>
            <rFont val="Times New Roman"/>
            <family val="18"/>
          </rPr>
          <t>Von IR 44 15. Fus. Komp. Zu Prinz Deligne</t>
        </r>
        <r>
          <rPr>
            <sz val="14"/>
            <color rgb="FF000000"/>
            <rFont val="Times New Roman"/>
            <family val="18"/>
          </rPr>
          <t xml:space="preserve"> [IR 30] </t>
        </r>
        <r>
          <rPr>
            <i/>
            <sz val="14"/>
            <color rgb="FF000000"/>
            <rFont val="Times New Roman"/>
            <family val="18"/>
          </rPr>
          <t xml:space="preserve">transferiert </t>
        </r>
        <r>
          <rPr>
            <sz val="14"/>
            <color rgb="FF000000"/>
            <rFont val="Times New Roman"/>
            <family val="18"/>
          </rPr>
          <t>[RL 1812]</t>
        </r>
        <r>
          <rPr>
            <sz val="14"/>
            <color rgb="FF000000"/>
            <rFont val="Calibri"/>
            <family val="34"/>
          </rPr>
          <t xml:space="preserve">
</t>
        </r>
      </text>
    </comment>
    <comment ref="BG1180" authorId="0" shapeId="0" xr:uid="{F029B4D7-C2F1-A548-BFC0-A69F1812195E}">
      <text>
        <r>
          <rPr>
            <sz val="14"/>
            <color rgb="FF000000"/>
            <rFont val="Times New Roman"/>
            <family val="18"/>
          </rPr>
          <t>ML 3911 IR 44 (1808-10) – 9. Fus. Komp. Nr. 225 (Pappa 28/09/1810)</t>
        </r>
        <r>
          <rPr>
            <sz val="14"/>
            <color rgb="FF000000"/>
            <rFont val="Calibri"/>
            <family val="34"/>
          </rPr>
          <t xml:space="preserve">
</t>
        </r>
        <r>
          <rPr>
            <sz val="14"/>
            <color rgb="FF000000"/>
            <rFont val="Times New Roman"/>
            <family val="18"/>
          </rPr>
          <t>ML 3912/3 IR 44 (1811) – 9. Fus. Komp. Nr. 152 (Sthulweissenburg 20/09/1811)</t>
        </r>
        <r>
          <rPr>
            <sz val="14"/>
            <color rgb="FF000000"/>
            <rFont val="Calibri"/>
            <family val="34"/>
          </rPr>
          <t xml:space="preserve">
</t>
        </r>
        <r>
          <rPr>
            <sz val="14"/>
            <color rgb="FF000000"/>
            <rFont val="Times New Roman"/>
            <family val="18"/>
          </rPr>
          <t>ML 3914 IR 44 (1812/6) – 15. Fus. Komp. Abgang (Drohobyz 18/09/1812)</t>
        </r>
        <r>
          <rPr>
            <sz val="14"/>
            <color rgb="FF000000"/>
            <rFont val="Calibri"/>
            <family val="34"/>
          </rPr>
          <t xml:space="preserve">
</t>
        </r>
      </text>
    </comment>
    <comment ref="BH1180" authorId="0" shapeId="0" xr:uid="{F257410C-835D-FE41-AC3E-3F96219EB0AA}">
      <text>
        <r>
          <rPr>
            <sz val="14"/>
            <color rgb="FF000000"/>
            <rFont val="Calibri"/>
            <family val="34"/>
          </rPr>
          <t xml:space="preserve">IR 44 (1809-1812)
</t>
        </r>
        <r>
          <rPr>
            <sz val="14"/>
            <color rgb="FF000000"/>
            <rFont val="Calibri"/>
            <family val="34"/>
          </rPr>
          <t>IR 30 (1812)</t>
        </r>
      </text>
    </comment>
    <comment ref="K1181" authorId="0" shapeId="0" xr:uid="{9ED412CE-5C5F-3346-9E9C-6D24AE814100}">
      <text>
        <r>
          <rPr>
            <sz val="14"/>
            <color rgb="FF000000"/>
            <rFont val="Calibri"/>
            <family val="34"/>
          </rPr>
          <t xml:space="preserve">Kirschner (1811)
</t>
        </r>
        <r>
          <rPr>
            <sz val="14"/>
            <color rgb="FF000000"/>
            <rFont val="Calibri"/>
            <family val="34"/>
          </rPr>
          <t>Ohne  (1818-1820)</t>
        </r>
      </text>
    </comment>
    <comment ref="T1181" authorId="0" shapeId="0" xr:uid="{B906B405-B74F-4A47-AD7E-FA0E369B134D}">
      <text>
        <r>
          <rPr>
            <sz val="14"/>
            <color rgb="FF000000"/>
            <rFont val="Calibri"/>
            <family val="34"/>
          </rPr>
          <t xml:space="preserve">160.85 [5.1.1 (ML 1811)]
</t>
        </r>
        <r>
          <rPr>
            <sz val="14"/>
            <color rgb="FF000000"/>
            <rFont val="Calibri"/>
            <family val="34"/>
          </rPr>
          <t>165.89 [5.3 (ML 1818)]</t>
        </r>
      </text>
    </comment>
    <comment ref="BF1181" authorId="0" shapeId="0" xr:uid="{CE98D6F3-FF0E-E148-A6A7-23DBF2AEF37F}">
      <text>
        <r>
          <rPr>
            <sz val="14"/>
            <color rgb="FF000000"/>
            <rFont val="Times New Roman"/>
            <family val="18"/>
          </rPr>
          <t xml:space="preserve">22/02/1809 </t>
        </r>
        <r>
          <rPr>
            <i/>
            <sz val="14"/>
            <color rgb="FF000000"/>
            <rFont val="Times New Roman"/>
            <family val="18"/>
          </rPr>
          <t>von Ständen gestellt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Würzburg Inf</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 xml:space="preserve">zum IR 44 transferiert und zum 3. Fus. Komp zugetheilt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3. Fus. Komp. Nr. 190</t>
        </r>
        <r>
          <rPr>
            <sz val="14"/>
            <color rgb="FF000000"/>
            <rFont val="Calibri"/>
            <family val="34"/>
          </rPr>
          <t xml:space="preserve">
</t>
        </r>
        <r>
          <rPr>
            <sz val="14"/>
            <color rgb="FF000000"/>
            <rFont val="Times New Roman"/>
            <family val="18"/>
          </rPr>
          <t>18/09/1811 Muster: IR 44 3. Fus. Komp. Nr. 128</t>
        </r>
        <r>
          <rPr>
            <sz val="14"/>
            <color rgb="FF000000"/>
            <rFont val="Calibri"/>
            <family val="34"/>
          </rPr>
          <t xml:space="preserve">
</t>
        </r>
        <r>
          <rPr>
            <sz val="14"/>
            <color rgb="FF000000"/>
            <rFont val="Times New Roman"/>
            <family val="18"/>
          </rPr>
          <t>19/09/1812 Revision: IR 44 3. Fus. Komp. Nr. 69</t>
        </r>
        <r>
          <rPr>
            <sz val="14"/>
            <color rgb="FF000000"/>
            <rFont val="Calibri"/>
            <family val="34"/>
          </rPr>
          <t xml:space="preserve">
</t>
        </r>
        <r>
          <rPr>
            <sz val="14"/>
            <color rgb="FF000000"/>
            <rFont val="Times New Roman"/>
            <family val="18"/>
          </rPr>
          <t>05/01/1818 Muster: IR 44 5. Fus. Komp. Nr. 57 [</t>
        </r>
        <r>
          <rPr>
            <i/>
            <sz val="14"/>
            <color rgb="FF000000"/>
            <rFont val="Times New Roman"/>
            <family val="18"/>
          </rPr>
          <t>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01/08/1818 </t>
        </r>
        <r>
          <rPr>
            <i/>
            <sz val="14"/>
            <color rgb="FF000000"/>
            <rFont val="Times New Roman"/>
            <family val="18"/>
          </rPr>
          <t>Gegen 28Fl auf fernere 6 Jahr reengagiert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27/10/1818 Muster: IR 44 5. Fus. Komp. Nr. 55</t>
        </r>
        <r>
          <rPr>
            <sz val="14"/>
            <color rgb="FF000000"/>
            <rFont val="Calibri"/>
            <family val="34"/>
          </rPr>
          <t xml:space="preserve">
</t>
        </r>
        <r>
          <rPr>
            <sz val="14"/>
            <color rgb="FF000000"/>
            <rFont val="Times New Roman"/>
            <family val="18"/>
          </rPr>
          <t xml:space="preserve">01/03/1819 </t>
        </r>
        <r>
          <rPr>
            <i/>
            <sz val="14"/>
            <color rgb="FF000000"/>
            <rFont val="Times New Roman"/>
            <family val="18"/>
          </rPr>
          <t>Zum Gefreyter avanciert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22/10/1819 Muster: IR 44 4. Fus. Komp. Nr. 19</t>
        </r>
        <r>
          <rPr>
            <sz val="14"/>
            <color rgb="FF000000"/>
            <rFont val="Calibri"/>
            <family val="34"/>
          </rPr>
          <t xml:space="preserve">
</t>
        </r>
        <r>
          <rPr>
            <sz val="14"/>
            <color rgb="FF000000"/>
            <rFont val="Times New Roman"/>
            <family val="18"/>
          </rPr>
          <t>25/09/1820 Muster: IR 44 4. Fus. Komp. Nr. 17</t>
        </r>
        <r>
          <rPr>
            <sz val="14"/>
            <color rgb="FF000000"/>
            <rFont val="Calibri"/>
            <family val="34"/>
          </rPr>
          <t xml:space="preserve">
</t>
        </r>
      </text>
    </comment>
    <comment ref="BG1181" authorId="0" shapeId="0" xr:uid="{B48692AD-2C1E-FE41-BDCD-5FD6ED09ACE0}">
      <text>
        <r>
          <rPr>
            <sz val="14"/>
            <color rgb="FF000000"/>
            <rFont val="Times New Roman"/>
            <family val="18"/>
          </rPr>
          <t>ML 3911 IR 44 (1808-10) – RL 3. Fus. Komp. Nr. 190 (Sthulweissenburg 25/09/1810)</t>
        </r>
        <r>
          <rPr>
            <sz val="14"/>
            <color rgb="FF000000"/>
            <rFont val="Calibri"/>
            <family val="34"/>
          </rPr>
          <t xml:space="preserve">
</t>
        </r>
        <r>
          <rPr>
            <sz val="14"/>
            <color rgb="FF000000"/>
            <rFont val="Times New Roman"/>
            <family val="18"/>
          </rPr>
          <t>ML 3912-3 IR 44 (1811) – 3. Fus. Komp. Nr. 128 (Pappa 18/09/1811)</t>
        </r>
        <r>
          <rPr>
            <sz val="14"/>
            <color rgb="FF000000"/>
            <rFont val="Calibri"/>
            <family val="34"/>
          </rPr>
          <t xml:space="preserve">
</t>
        </r>
        <r>
          <rPr>
            <sz val="14"/>
            <color rgb="FF000000"/>
            <rFont val="Times New Roman"/>
            <family val="18"/>
          </rPr>
          <t>ML 3914 IR 44 (1812/6) – 3. Fus. Komp. Nr. 69 (Pest 19/09/1812)</t>
        </r>
        <r>
          <rPr>
            <sz val="14"/>
            <color rgb="FF000000"/>
            <rFont val="Calibri"/>
            <family val="34"/>
          </rPr>
          <t xml:space="preserve">
</t>
        </r>
        <r>
          <rPr>
            <sz val="14"/>
            <color rgb="FF000000"/>
            <rFont val="Times New Roman"/>
            <family val="18"/>
          </rPr>
          <t>ML 3915/6 IR 44 (1818) – 5 Fus. Komp. Nr. 57 (Pizigethone 08/01/1818); 5. Fus. Komp. Nr. 55 (Pizigethone 27/10/1818)</t>
        </r>
        <r>
          <rPr>
            <sz val="14"/>
            <color rgb="FF000000"/>
            <rFont val="Calibri"/>
            <family val="34"/>
          </rPr>
          <t xml:space="preserve">
</t>
        </r>
        <r>
          <rPr>
            <sz val="14"/>
            <color rgb="FF000000"/>
            <rFont val="Times New Roman"/>
            <family val="18"/>
          </rPr>
          <t>ML 3918/9 IR 44 (1819) – 5. Fus. Komp. Nr. 19 (Milan 22/10/1819)</t>
        </r>
        <r>
          <rPr>
            <sz val="14"/>
            <color rgb="FF000000"/>
            <rFont val="Calibri"/>
            <family val="34"/>
          </rPr>
          <t xml:space="preserve">
</t>
        </r>
        <r>
          <rPr>
            <sz val="14"/>
            <color rgb="FF000000"/>
            <rFont val="Times New Roman"/>
            <family val="18"/>
          </rPr>
          <t>ML 3920 IR 44 (1820) – 5. Fus. Komp. Nr. 17 (Milan 25/09/1820)</t>
        </r>
        <r>
          <rPr>
            <sz val="14"/>
            <color rgb="FF000000"/>
            <rFont val="Calibri"/>
            <family val="34"/>
          </rPr>
          <t xml:space="preserve">
</t>
        </r>
      </text>
    </comment>
    <comment ref="BH1181" authorId="0" shapeId="0" xr:uid="{E6BD7BE2-3A47-A540-A17E-465F8D1C571F}">
      <text>
        <r>
          <rPr>
            <sz val="14"/>
            <color rgb="FF000000"/>
            <rFont val="Calibri"/>
            <family val="34"/>
          </rPr>
          <t xml:space="preserve">IR 23 (1809-1810)
</t>
        </r>
        <r>
          <rPr>
            <sz val="14"/>
            <color rgb="FF000000"/>
            <rFont val="Calibri"/>
            <family val="34"/>
          </rPr>
          <t>IR 44 (1810-1820)</t>
        </r>
      </text>
    </comment>
    <comment ref="BF1182" authorId="0" shapeId="0" xr:uid="{4BBB08FB-753D-ED47-870D-8C46C0FEDFF4}">
      <text>
        <r>
          <rPr>
            <sz val="14"/>
            <color rgb="FF000000"/>
            <rFont val="Times New Roman"/>
            <family val="18"/>
          </rPr>
          <t xml:space="preserve">23/02/1809 </t>
        </r>
        <r>
          <rPr>
            <i/>
            <sz val="14"/>
            <color rgb="FF000000"/>
            <rFont val="Times New Roman"/>
            <family val="18"/>
          </rPr>
          <t>Von Land gestellt und zum IR 1 a 3Fl Handgeld zu Tarnow assentiert und zum 2. Depot. Komp.</t>
        </r>
        <r>
          <rPr>
            <sz val="14"/>
            <color rgb="FF000000"/>
            <rFont val="Times New Roman"/>
            <family val="18"/>
          </rPr>
          <t xml:space="preserve"> [Haupt Prizborsky]</t>
        </r>
        <r>
          <rPr>
            <i/>
            <sz val="14"/>
            <color rgb="FF000000"/>
            <rFont val="Times New Roman"/>
            <family val="18"/>
          </rPr>
          <t xml:space="preserve"> eingeteilt </t>
        </r>
        <r>
          <rPr>
            <sz val="14"/>
            <color rgb="FF000000"/>
            <rFont val="Times New Roman"/>
            <family val="18"/>
          </rPr>
          <t>[</t>
        </r>
        <r>
          <rPr>
            <i/>
            <sz val="14"/>
            <color rgb="FF000000"/>
            <rFont val="Times New Roman"/>
            <family val="18"/>
          </rPr>
          <t>Kostenbrauner Haar mageres Angesicht, spitziger Nase</t>
        </r>
        <r>
          <rPr>
            <sz val="14"/>
            <color rgb="FF000000"/>
            <rFont val="Times New Roman"/>
            <family val="18"/>
          </rPr>
          <t>] [AL March 1809 ST March]</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b/>
            <sz val="14"/>
            <color rgb="FF000000"/>
            <rFont val="Times New Roman"/>
            <family val="18"/>
          </rPr>
          <t xml:space="preserve"> </t>
        </r>
      </text>
    </comment>
    <comment ref="BG1182" authorId="0" shapeId="0" xr:uid="{FFD6ADC0-0185-704F-BE1B-C96FF2BBFF86}">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3 (Tarnow 28/02/1809)</t>
        </r>
      </text>
    </comment>
    <comment ref="BH1182" authorId="0" shapeId="0" xr:uid="{E724424C-1C3B-1F43-A2ED-5226753035AC}">
      <text>
        <r>
          <rPr>
            <sz val="14"/>
            <color rgb="FF000000"/>
            <rFont val="Calibri"/>
            <family val="34"/>
          </rPr>
          <t>IR 1 (1809)</t>
        </r>
      </text>
    </comment>
    <comment ref="T1183" authorId="0" shapeId="0" xr:uid="{D67CFE07-18E2-774E-BDDD-7DFFB897E182}">
      <text>
        <r>
          <rPr>
            <sz val="14"/>
            <color rgb="FF000000"/>
            <rFont val="Calibri"/>
            <family val="34"/>
          </rPr>
          <t xml:space="preserve">160.63 [5.1 (ML 1811)]
</t>
        </r>
        <r>
          <rPr>
            <sz val="14"/>
            <color rgb="FF000000"/>
            <rFont val="Calibri"/>
            <family val="34"/>
          </rPr>
          <t>163.92 [5.2.3 (ML 1818)]</t>
        </r>
      </text>
    </comment>
    <comment ref="BF1183" authorId="0" shapeId="0" xr:uid="{868BF82E-BC94-5549-AB64-ED34ABEE9DFF}">
      <text>
        <r>
          <rPr>
            <sz val="14"/>
            <color rgb="FF000000"/>
            <rFont val="Times New Roman"/>
            <family val="18"/>
          </rPr>
          <t xml:space="preserve">23/02/1809 </t>
        </r>
        <r>
          <rPr>
            <i/>
            <sz val="14"/>
            <color rgb="FF000000"/>
            <rFont val="Times New Roman"/>
            <family val="18"/>
          </rPr>
          <t>Gegen 3Fl Handgeld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01/08/1811 </t>
        </r>
        <r>
          <rPr>
            <i/>
            <sz val="14"/>
            <color rgb="FF000000"/>
            <rFont val="Times New Roman"/>
            <family val="18"/>
          </rPr>
          <t>Von der 3. Fus. Komp. Zum Regimentsstaab als Privat Diener.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18/09/1811 Muster: IR 44 Staab Nr. 46 [</t>
        </r>
        <r>
          <rPr>
            <i/>
            <sz val="14"/>
            <color rgb="FF000000"/>
            <rFont val="Times New Roman"/>
            <family val="18"/>
          </rPr>
          <t>Privat Diener</t>
        </r>
        <r>
          <rPr>
            <sz val="14"/>
            <color rgb="FF000000"/>
            <rFont val="Times New Roman"/>
            <family val="18"/>
          </rPr>
          <t>]</t>
        </r>
        <r>
          <rPr>
            <sz val="14"/>
            <color rgb="FF000000"/>
            <rFont val="Calibri"/>
            <family val="34"/>
          </rPr>
          <t xml:space="preserve">
</t>
        </r>
        <r>
          <rPr>
            <sz val="14"/>
            <color rgb="FF000000"/>
            <rFont val="Times New Roman"/>
            <family val="18"/>
          </rPr>
          <t xml:space="preserve">30/04/1812 </t>
        </r>
        <r>
          <rPr>
            <i/>
            <sz val="14"/>
            <color rgb="FF000000"/>
            <rFont val="Times New Roman"/>
            <family val="18"/>
          </rPr>
          <t>Von Regimentsstaab zur 3. Fus Komp.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 xml:space="preserve">31/07/1812 </t>
        </r>
        <r>
          <rPr>
            <i/>
            <sz val="14"/>
            <color rgb="FF000000"/>
            <rFont val="Times New Roman"/>
            <family val="18"/>
          </rPr>
          <t xml:space="preserve">Von 3. zum 13. Fus. Komp transferiert </t>
        </r>
        <r>
          <rPr>
            <sz val="14"/>
            <color rgb="FF000000"/>
            <rFont val="Times New Roman"/>
            <family val="18"/>
          </rPr>
          <t>[RL 1812]</t>
        </r>
        <r>
          <rPr>
            <sz val="14"/>
            <color rgb="FF000000"/>
            <rFont val="Calibri"/>
            <family val="34"/>
          </rPr>
          <t xml:space="preserve">
</t>
        </r>
        <r>
          <rPr>
            <sz val="14"/>
            <color rgb="FF000000"/>
            <rFont val="Times New Roman"/>
            <family val="18"/>
          </rPr>
          <t>19/09/1812 Revision: IR 44 15. Fus. Komp. Nr. 38</t>
        </r>
        <r>
          <rPr>
            <sz val="14"/>
            <color rgb="FF000000"/>
            <rFont val="Calibri"/>
            <family val="34"/>
          </rPr>
          <t xml:space="preserve">
</t>
        </r>
        <r>
          <rPr>
            <sz val="14"/>
            <color rgb="FF000000"/>
            <rFont val="Times New Roman"/>
            <family val="18"/>
          </rPr>
          <t xml:space="preserve">01/02/1814 </t>
        </r>
        <r>
          <rPr>
            <i/>
            <sz val="14"/>
            <color rgb="FF000000"/>
            <rFont val="Times New Roman"/>
            <family val="18"/>
          </rPr>
          <t>Zu Gefreyter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26/11/1817 </t>
        </r>
        <r>
          <rPr>
            <i/>
            <sz val="14"/>
            <color rgb="FF000000"/>
            <rFont val="Times New Roman"/>
            <family val="18"/>
          </rPr>
          <t>Von 3. zur 4. Fus. Komp. transferiert</t>
        </r>
        <r>
          <rPr>
            <sz val="14"/>
            <color rgb="FF000000"/>
            <rFont val="Times New Roman"/>
            <family val="18"/>
          </rPr>
          <t xml:space="preserve"> [ML 1818] </t>
        </r>
        <r>
          <rPr>
            <sz val="14"/>
            <color rgb="FF000000"/>
            <rFont val="Calibri"/>
            <family val="34"/>
          </rPr>
          <t xml:space="preserve">
</t>
        </r>
        <r>
          <rPr>
            <sz val="14"/>
            <color rgb="FF000000"/>
            <rFont val="Times New Roman"/>
            <family val="18"/>
          </rPr>
          <t>09/01/1818 Muster: IR 44 4. Fus. Komp. Nr. 22</t>
        </r>
        <r>
          <rPr>
            <sz val="14"/>
            <color rgb="FF000000"/>
            <rFont val="Calibri"/>
            <family val="34"/>
          </rPr>
          <t xml:space="preserve">
</t>
        </r>
        <r>
          <rPr>
            <sz val="14"/>
            <color rgb="FF000000"/>
            <rFont val="Times New Roman"/>
            <family val="18"/>
          </rPr>
          <t>27/10/1818 Muster: IR 44 4. Fus. Komp. Nr. 22</t>
        </r>
        <r>
          <rPr>
            <sz val="14"/>
            <color rgb="FF000000"/>
            <rFont val="Calibri"/>
            <family val="34"/>
          </rPr>
          <t xml:space="preserve">
</t>
        </r>
        <r>
          <rPr>
            <sz val="14"/>
            <color rgb="FF000000"/>
            <rFont val="Times New Roman"/>
            <family val="18"/>
          </rPr>
          <t>22/10/1819 Muster: IR 44 4. Fus. Komp. Nr. 18 [</t>
        </r>
        <r>
          <rPr>
            <i/>
            <sz val="14"/>
            <color rgb="FF000000"/>
            <rFont val="Times New Roman"/>
            <family val="18"/>
          </rPr>
          <t>Ausgedienter Kapitulant</t>
        </r>
        <r>
          <rPr>
            <sz val="14"/>
            <color rgb="FF000000"/>
            <rFont val="Times New Roman"/>
            <family val="18"/>
          </rPr>
          <t>]</t>
        </r>
        <r>
          <rPr>
            <sz val="14"/>
            <color rgb="FF000000"/>
            <rFont val="Calibri"/>
            <family val="34"/>
          </rPr>
          <t xml:space="preserve">
</t>
        </r>
        <r>
          <rPr>
            <sz val="14"/>
            <color rgb="FF000000"/>
            <rFont val="Times New Roman"/>
            <family val="18"/>
          </rPr>
          <t xml:space="preserve">31/10/1819 </t>
        </r>
        <r>
          <rPr>
            <i/>
            <sz val="14"/>
            <color rgb="FF000000"/>
            <rFont val="Times New Roman"/>
            <family val="18"/>
          </rPr>
          <t>Als augedienter Capitulant mit Abschied entlassen</t>
        </r>
        <r>
          <rPr>
            <sz val="14"/>
            <color rgb="FF000000"/>
            <rFont val="Times New Roman"/>
            <family val="18"/>
          </rPr>
          <t xml:space="preserve"> [ML 1820]</t>
        </r>
        <r>
          <rPr>
            <sz val="14"/>
            <color rgb="FF000000"/>
            <rFont val="Calibri"/>
            <family val="34"/>
          </rPr>
          <t xml:space="preserve">
</t>
        </r>
      </text>
    </comment>
    <comment ref="BG1183" authorId="0" shapeId="0" xr:uid="{222BA2BD-71AC-C449-AB1C-374C7BAD3703}">
      <text>
        <r>
          <rPr>
            <sz val="14"/>
            <color rgb="FF000000"/>
            <rFont val="Times New Roman"/>
            <family val="18"/>
          </rPr>
          <t>ML 3911 IR 44 (1808-10) – RL 3. Fus. Komp. Nr. 88 (Sthulweissenburg 25/09/1810)</t>
        </r>
        <r>
          <rPr>
            <sz val="14"/>
            <color rgb="FF000000"/>
            <rFont val="Calibri"/>
            <family val="34"/>
          </rPr>
          <t xml:space="preserve">
</t>
        </r>
        <r>
          <rPr>
            <sz val="14"/>
            <color rgb="FF000000"/>
            <rFont val="Times New Roman"/>
            <family val="18"/>
          </rPr>
          <t xml:space="preserve">ML 3912/3 IR 33 (1811) – Regiments Staab Nr. 46 (Papa 18/09/1811) </t>
        </r>
        <r>
          <rPr>
            <sz val="14"/>
            <color rgb="FF000000"/>
            <rFont val="Calibri"/>
            <family val="34"/>
          </rPr>
          <t xml:space="preserve">
</t>
        </r>
        <r>
          <rPr>
            <sz val="14"/>
            <color rgb="FF000000"/>
            <rFont val="Times New Roman"/>
            <family val="18"/>
          </rPr>
          <t>ML 3915/6 IR 44 (1818) – 4. Fus. Komp. Nr. 22 (Piacenza 08/01/1818); 4. Fus. Komp. Nr. 13 (Piacenza 27/10/1818)</t>
        </r>
        <r>
          <rPr>
            <sz val="14"/>
            <color rgb="FF000000"/>
            <rFont val="Calibri"/>
            <family val="34"/>
          </rPr>
          <t xml:space="preserve">
</t>
        </r>
        <r>
          <rPr>
            <sz val="14"/>
            <color rgb="FF000000"/>
            <rFont val="Times New Roman"/>
            <family val="18"/>
          </rPr>
          <t>ML 3918/9 IR 44 (1819) – 4. Fus. Komp. Nr. 18 (Milan 22/10/1819)</t>
        </r>
        <r>
          <rPr>
            <sz val="14"/>
            <color rgb="FF000000"/>
            <rFont val="Calibri"/>
            <family val="34"/>
          </rPr>
          <t xml:space="preserve">
</t>
        </r>
        <r>
          <rPr>
            <sz val="14"/>
            <color rgb="FF000000"/>
            <rFont val="Times New Roman"/>
            <family val="18"/>
          </rPr>
          <t>ML 3920 IR 44 (1829) – 4. Fus. Komp. Abgang (Milan 25/09/1820)</t>
        </r>
        <r>
          <rPr>
            <sz val="14"/>
            <color rgb="FF000000"/>
            <rFont val="Calibri"/>
            <family val="34"/>
          </rPr>
          <t xml:space="preserve">
</t>
        </r>
      </text>
    </comment>
    <comment ref="BH1183" authorId="0" shapeId="0" xr:uid="{F013DE15-BBDB-B745-94AE-AB0DB00FB942}">
      <text>
        <r>
          <rPr>
            <sz val="14"/>
            <color rgb="FF000000"/>
            <rFont val="Calibri"/>
            <family val="34"/>
          </rPr>
          <t>IR 44 (1809-1819)</t>
        </r>
      </text>
    </comment>
    <comment ref="BF1184" authorId="0" shapeId="0" xr:uid="{BA5B09B7-C871-5648-B4BF-E226D8B53AB1}">
      <text>
        <r>
          <rPr>
            <sz val="14"/>
            <color rgb="FF000000"/>
            <rFont val="Times New Roman"/>
            <family val="18"/>
          </rPr>
          <t xml:space="preserve">23/02/1809 </t>
        </r>
        <r>
          <rPr>
            <i/>
            <sz val="14"/>
            <color rgb="FF000000"/>
            <rFont val="Times New Roman"/>
            <family val="18"/>
          </rPr>
          <t xml:space="preserve">Von Land gestellt und zum IR 1 a 3Fl Handgeld zu Rzeszow assentiert und zum 14. Fus. Komp. eingeteilt </t>
        </r>
        <r>
          <rPr>
            <sz val="14"/>
            <color rgb="FF000000"/>
            <rFont val="Times New Roman"/>
            <family val="18"/>
          </rPr>
          <t>[</t>
        </r>
        <r>
          <rPr>
            <i/>
            <sz val="14"/>
            <color rgb="FF000000"/>
            <rFont val="Times New Roman"/>
            <family val="18"/>
          </rPr>
          <t>Hat ein langes braunen Angesichts, schwarzer Harr derlei Augenbraunen, grauer Auge, brauner Barth und auf Rechten Seite bis über Hals eine Große rote Muttermall</t>
        </r>
        <r>
          <rPr>
            <sz val="14"/>
            <color rgb="FF000000"/>
            <rFont val="Times New Roman"/>
            <family val="18"/>
          </rPr>
          <t>][AL March 1809 &amp; ST March 1809]</t>
        </r>
        <r>
          <rPr>
            <sz val="14"/>
            <color rgb="FF000000"/>
            <rFont val="Calibri"/>
            <family val="34"/>
          </rPr>
          <t xml:space="preserve">
</t>
        </r>
        <r>
          <rPr>
            <sz val="14"/>
            <color rgb="FF000000"/>
            <rFont val="Times New Roman"/>
            <family val="18"/>
          </rPr>
          <t xml:space="preserve">06/03/1809 </t>
        </r>
        <r>
          <rPr>
            <i/>
            <sz val="14"/>
            <color rgb="FF000000"/>
            <rFont val="Times New Roman"/>
            <family val="18"/>
          </rPr>
          <t xml:space="preserve">Von 14. Fus. Komp. zum 2. Depot Komp. transferiert </t>
        </r>
        <r>
          <rPr>
            <sz val="14"/>
            <color rgb="FF000000"/>
            <rFont val="Times New Roman"/>
            <family val="18"/>
          </rPr>
          <t>[ST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b/>
            <sz val="14"/>
            <color rgb="FF000000"/>
            <rFont val="Times New Roman"/>
            <family val="18"/>
          </rPr>
          <t xml:space="preserve"> </t>
        </r>
      </text>
    </comment>
    <comment ref="BG1184" authorId="0" shapeId="0" xr:uid="{A814F227-8FAE-114D-94B4-BAE1B1617605}">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215 (Rzeszow 07/03/1809)</t>
        </r>
      </text>
    </comment>
    <comment ref="BH1184" authorId="0" shapeId="0" xr:uid="{99E0DD72-D946-1743-903D-9218E9E5B218}">
      <text>
        <r>
          <rPr>
            <sz val="14"/>
            <color rgb="FF000000"/>
            <rFont val="Calibri"/>
            <family val="34"/>
          </rPr>
          <t>IR 1 (1809)</t>
        </r>
      </text>
    </comment>
    <comment ref="BF1185" authorId="0" shapeId="0" xr:uid="{96CB9EBD-4C31-1D4B-9266-761108913DD3}">
      <text>
        <r>
          <rPr>
            <sz val="14"/>
            <color rgb="FF000000"/>
            <rFont val="Times New Roman"/>
            <family val="18"/>
          </rPr>
          <t xml:space="preserve">23/02/1809 </t>
        </r>
        <r>
          <rPr>
            <i/>
            <sz val="14"/>
            <color rgb="FF000000"/>
            <rFont val="Times New Roman"/>
            <family val="18"/>
          </rPr>
          <t>Von Land gestellt und zum IR 1 a 3Fl Handgeld zu Tarnow assentiert und zum 2. Depot. Komp.</t>
        </r>
        <r>
          <rPr>
            <sz val="14"/>
            <color rgb="FF000000"/>
            <rFont val="Times New Roman"/>
            <family val="18"/>
          </rPr>
          <t xml:space="preserve"> [Haupt Prizborsky]</t>
        </r>
        <r>
          <rPr>
            <i/>
            <sz val="14"/>
            <color rgb="FF000000"/>
            <rFont val="Times New Roman"/>
            <family val="18"/>
          </rPr>
          <t xml:space="preserve"> eingeteilt </t>
        </r>
        <r>
          <rPr>
            <sz val="14"/>
            <color rgb="FF000000"/>
            <rFont val="Times New Roman"/>
            <family val="18"/>
          </rPr>
          <t>[</t>
        </r>
        <r>
          <rPr>
            <i/>
            <sz val="14"/>
            <color rgb="FF000000"/>
            <rFont val="Times New Roman"/>
            <family val="18"/>
          </rPr>
          <t>Schwarzer Haar Längliches Gesicht</t>
        </r>
        <r>
          <rPr>
            <sz val="14"/>
            <color rgb="FF000000"/>
            <rFont val="Times New Roman"/>
            <family val="18"/>
          </rPr>
          <t>] [AL March 1809 &amp; ST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b/>
            <sz val="14"/>
            <color rgb="FF000000"/>
            <rFont val="Times New Roman"/>
            <family val="18"/>
          </rPr>
          <t xml:space="preserve"> </t>
        </r>
      </text>
    </comment>
    <comment ref="BG1185" authorId="0" shapeId="0" xr:uid="{40D538CD-C32D-3144-8998-84B601A4160C}">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4 (Tarnow 28/02/1809)</t>
        </r>
      </text>
    </comment>
    <comment ref="BH1185" authorId="0" shapeId="0" xr:uid="{871525F3-9D3A-5D43-B436-C655EEFBC4C5}">
      <text>
        <r>
          <rPr>
            <sz val="14"/>
            <color rgb="FF000000"/>
            <rFont val="Calibri"/>
            <family val="34"/>
          </rPr>
          <t>IR 1 (1809)</t>
        </r>
      </text>
    </comment>
    <comment ref="BF1186" authorId="0" shapeId="0" xr:uid="{372AE9B1-E62F-9549-970A-2F292AC2E210}">
      <text>
        <r>
          <rPr>
            <sz val="14"/>
            <color rgb="FF000000"/>
            <rFont val="Times New Roman"/>
            <family val="18"/>
          </rPr>
          <t xml:space="preserve">23/02/1809 </t>
        </r>
        <r>
          <rPr>
            <i/>
            <sz val="14"/>
            <color rgb="FF000000"/>
            <rFont val="Times New Roman"/>
            <family val="18"/>
          </rPr>
          <t xml:space="preserve">Von Land gestellt und zum IR 1 a 3Fl Handgeld zu Rzeszow assentiert und zum 14. Fus. Komp. eingeteilt </t>
        </r>
        <r>
          <rPr>
            <sz val="14"/>
            <color rgb="FF000000"/>
            <rFont val="Times New Roman"/>
            <family val="18"/>
          </rPr>
          <t>[</t>
        </r>
        <r>
          <rPr>
            <i/>
            <sz val="14"/>
            <color rgb="FF000000"/>
            <rFont val="Times New Roman"/>
            <family val="18"/>
          </rPr>
          <t>Hat ein langes blassen Angesichts, schwarzer Harr derlei Augenbraunen, grüner Augen einen Landen Großen spitzige Nase</t>
        </r>
        <r>
          <rPr>
            <sz val="14"/>
            <color rgb="FF000000"/>
            <rFont val="Times New Roman"/>
            <family val="18"/>
          </rPr>
          <t>] [AL March 1809]</t>
        </r>
        <r>
          <rPr>
            <sz val="14"/>
            <color rgb="FF000000"/>
            <rFont val="Calibri"/>
            <family val="34"/>
          </rPr>
          <t xml:space="preserve">
</t>
        </r>
        <r>
          <rPr>
            <sz val="14"/>
            <color rgb="FF000000"/>
            <rFont val="Times New Roman"/>
            <family val="18"/>
          </rPr>
          <t xml:space="preserve">06/03/1809 </t>
        </r>
        <r>
          <rPr>
            <i/>
            <sz val="14"/>
            <color rgb="FF000000"/>
            <rFont val="Times New Roman"/>
            <family val="18"/>
          </rPr>
          <t xml:space="preserve">Von 14. Fus. Komp. zum 2. Depot Komp. transferiert </t>
        </r>
        <r>
          <rPr>
            <sz val="14"/>
            <color rgb="FF000000"/>
            <rFont val="Times New Roman"/>
            <family val="18"/>
          </rPr>
          <t>[ST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 </t>
        </r>
      </text>
    </comment>
    <comment ref="BG1186" authorId="0" shapeId="0" xr:uid="{77BEE7C4-1960-1245-8CB3-A5BBDA85FF00}">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214 (Rzeszow 07/03/1809)</t>
        </r>
      </text>
    </comment>
    <comment ref="BH1186" authorId="0" shapeId="0" xr:uid="{C1DA90E5-3A68-F041-A425-9CB5ABD627CA}">
      <text>
        <r>
          <rPr>
            <sz val="14"/>
            <color rgb="FF000000"/>
            <rFont val="Calibri"/>
            <family val="34"/>
          </rPr>
          <t>IR 1 (1809)</t>
        </r>
      </text>
    </comment>
    <comment ref="BF1187" authorId="0" shapeId="0" xr:uid="{6CA84F1E-76CB-1E40-9D8C-68E886106BF1}">
      <text>
        <r>
          <rPr>
            <sz val="14"/>
            <color rgb="FF000000"/>
            <rFont val="Times New Roman"/>
            <family val="18"/>
          </rPr>
          <t xml:space="preserve">24/02/1809 </t>
        </r>
        <r>
          <rPr>
            <i/>
            <sz val="14"/>
            <color rgb="FF000000"/>
            <rFont val="Times New Roman"/>
            <family val="18"/>
          </rPr>
          <t>Von Land gestellt und zum IR 1 a 3Fl Handgeld zu Tarnow assentiert und zum 2. Depot. Komp.</t>
        </r>
        <r>
          <rPr>
            <sz val="14"/>
            <color rgb="FF000000"/>
            <rFont val="Times New Roman"/>
            <family val="18"/>
          </rPr>
          <t xml:space="preserve"> [Haupt Prizborsky]</t>
        </r>
        <r>
          <rPr>
            <i/>
            <sz val="14"/>
            <color rgb="FF000000"/>
            <rFont val="Times New Roman"/>
            <family val="18"/>
          </rPr>
          <t xml:space="preserve"> eingeteilt </t>
        </r>
        <r>
          <rPr>
            <sz val="14"/>
            <color rgb="FF000000"/>
            <rFont val="Times New Roman"/>
            <family val="18"/>
          </rPr>
          <t>[</t>
        </r>
        <r>
          <rPr>
            <i/>
            <sz val="14"/>
            <color rgb="FF000000"/>
            <rFont val="Times New Roman"/>
            <family val="18"/>
          </rPr>
          <t>Kerzbrauner Haar, rechtes volles Gesicht</t>
        </r>
        <r>
          <rPr>
            <sz val="14"/>
            <color rgb="FF000000"/>
            <rFont val="Times New Roman"/>
            <family val="18"/>
          </rPr>
          <t>] [AL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b/>
            <sz val="14"/>
            <color rgb="FF000000"/>
            <rFont val="Times New Roman"/>
            <family val="18"/>
          </rPr>
          <t xml:space="preserve"> </t>
        </r>
        <r>
          <rPr>
            <sz val="14"/>
            <color rgb="FF000000"/>
            <rFont val="Times New Roman"/>
            <family val="18"/>
          </rPr>
          <t xml:space="preserve"> </t>
        </r>
      </text>
    </comment>
    <comment ref="BG1187" authorId="0" shapeId="0" xr:uid="{1E4394C9-17CE-544D-A402-BBBF223EC4AE}">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11 (Tarnow 28/02/1809)</t>
        </r>
      </text>
    </comment>
    <comment ref="BH1187" authorId="0" shapeId="0" xr:uid="{CA28EDE5-B20C-D349-A3A6-F652B1B34BBB}">
      <text>
        <r>
          <rPr>
            <sz val="14"/>
            <color rgb="FF000000"/>
            <rFont val="Calibri"/>
            <family val="34"/>
          </rPr>
          <t>IR 1 (1809)</t>
        </r>
      </text>
    </comment>
    <comment ref="BF1188" authorId="0" shapeId="0" xr:uid="{AB21F374-170E-7447-B353-EEC4F6B854BE}">
      <text>
        <r>
          <rPr>
            <sz val="14"/>
            <color rgb="FF000000"/>
            <rFont val="Times New Roman"/>
            <family val="18"/>
          </rPr>
          <t xml:space="preserve">24/02/1809 </t>
        </r>
        <r>
          <rPr>
            <i/>
            <sz val="14"/>
            <color rgb="FF000000"/>
            <rFont val="Times New Roman"/>
            <family val="18"/>
          </rPr>
          <t>Von Land gestellt und zum IR 1 a 3Fl Handgeld zu Tarnow assentiert und zum 2. Depot. Komp.</t>
        </r>
        <r>
          <rPr>
            <sz val="14"/>
            <color rgb="FF000000"/>
            <rFont val="Times New Roman"/>
            <family val="18"/>
          </rPr>
          <t xml:space="preserve"> [Haupt Prizborsky]</t>
        </r>
        <r>
          <rPr>
            <i/>
            <sz val="14"/>
            <color rgb="FF000000"/>
            <rFont val="Times New Roman"/>
            <family val="18"/>
          </rPr>
          <t xml:space="preserve"> eingeteilt </t>
        </r>
        <r>
          <rPr>
            <sz val="14"/>
            <color rgb="FF000000"/>
            <rFont val="Times New Roman"/>
            <family val="18"/>
          </rPr>
          <t>[</t>
        </r>
        <r>
          <rPr>
            <i/>
            <sz val="14"/>
            <color rgb="FF000000"/>
            <rFont val="Times New Roman"/>
            <family val="18"/>
          </rPr>
          <t>Schwarzer Haar, Rundes helles Gesicht</t>
        </r>
        <r>
          <rPr>
            <sz val="14"/>
            <color rgb="FF000000"/>
            <rFont val="Times New Roman"/>
            <family val="18"/>
          </rPr>
          <t>] [AL March 1809 &amp; ST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b/>
            <sz val="14"/>
            <color rgb="FF000000"/>
            <rFont val="Times New Roman"/>
            <family val="18"/>
          </rPr>
          <t xml:space="preserve"> </t>
        </r>
      </text>
    </comment>
    <comment ref="BG1188" authorId="0" shapeId="0" xr:uid="{E32DBBCE-FEA6-1841-AAF3-D6BC9E1352F9}">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23 (Tarnow 28/02/1809)</t>
        </r>
      </text>
    </comment>
    <comment ref="BH1188" authorId="0" shapeId="0" xr:uid="{122B7589-51AF-CC44-844E-424F1A81A850}">
      <text>
        <r>
          <rPr>
            <sz val="14"/>
            <color rgb="FF000000"/>
            <rFont val="Calibri"/>
            <family val="34"/>
          </rPr>
          <t>IR 1 (1809)</t>
        </r>
      </text>
    </comment>
    <comment ref="I1189" authorId="0" shapeId="0" xr:uid="{A47B27AC-759D-4448-9DD8-A953FDA0FB3E}">
      <text>
        <r>
          <rPr>
            <sz val="14"/>
            <color rgb="FF000000"/>
            <rFont val="Calibri"/>
            <family val="34"/>
          </rPr>
          <t xml:space="preserve">1780 [36 (Kirchbuch 1816)
</t>
        </r>
        <r>
          <rPr>
            <sz val="14"/>
            <color rgb="FF000000"/>
            <rFont val="Calibri"/>
            <family val="34"/>
          </rPr>
          <t xml:space="preserve">OR
</t>
        </r>
        <r>
          <rPr>
            <b/>
            <sz val="14"/>
            <color rgb="FF000000"/>
            <rFont val="Calibri"/>
            <family val="34"/>
          </rPr>
          <t>1788 [24 (TL 1812)</t>
        </r>
        <r>
          <rPr>
            <sz val="14"/>
            <color rgb="FF000000"/>
            <rFont val="Calibri"/>
            <family val="34"/>
          </rPr>
          <t xml:space="preserve"> 
</t>
        </r>
        <r>
          <rPr>
            <sz val="14"/>
            <color rgb="FF000000"/>
            <rFont val="Calibri"/>
            <family val="34"/>
          </rPr>
          <t xml:space="preserve">OR
</t>
        </r>
        <r>
          <rPr>
            <sz val="14"/>
            <color rgb="FF000000"/>
            <rFont val="Calibri"/>
            <family val="34"/>
          </rPr>
          <t>1791 [28 (ML 1819)</t>
        </r>
      </text>
    </comment>
    <comment ref="J1189" authorId="0" shapeId="0" xr:uid="{FB0C021D-D4D0-F240-B11F-1028EE9D6681}">
      <text>
        <r>
          <rPr>
            <sz val="14"/>
            <color rgb="FF000000"/>
            <rFont val="Calibri"/>
            <family val="34"/>
          </rPr>
          <t xml:space="preserve">Ledig (1809-1816)
</t>
        </r>
        <r>
          <rPr>
            <sz val="14"/>
            <color rgb="FF000000"/>
            <rFont val="Calibri"/>
            <family val="34"/>
          </rPr>
          <t>Veheiratet (Seit 29. April 1816)</t>
        </r>
      </text>
    </comment>
    <comment ref="L1189" authorId="0" shapeId="0" xr:uid="{E7F0F9F7-734B-0F4A-BD89-26D506EB51CC}">
      <text>
        <r>
          <rPr>
            <sz val="14"/>
            <color rgb="FF000000"/>
            <rFont val="Calibri"/>
            <family val="34"/>
          </rPr>
          <t xml:space="preserve">Rosalia CHALUPKA (b. 1780/ </t>
        </r>
        <r>
          <rPr>
            <b/>
            <sz val="14"/>
            <color rgb="FF000000"/>
            <rFont val="Calibri"/>
            <family val="34"/>
          </rPr>
          <t>1790</t>
        </r>
        <r>
          <rPr>
            <sz val="14"/>
            <color rgb="FF000000"/>
            <rFont val="Calibri"/>
            <family val="34"/>
          </rPr>
          <t xml:space="preserve">)
</t>
        </r>
        <r>
          <rPr>
            <sz val="14"/>
            <color rgb="FF000000"/>
            <rFont val="Calibri"/>
            <family val="34"/>
          </rPr>
          <t>Katolisch aus Brünn, Tochter von Boleslaus CHALUPKA und Katharina geb. BRUNNER, War dinestmag beim Haupt der Kompanie Franz Baron Rottern</t>
        </r>
      </text>
    </comment>
    <comment ref="P1189" authorId="0" shapeId="0" xr:uid="{AC5524BB-DBD4-1D40-85DC-0FD61A7A044F}">
      <text>
        <r>
          <rPr>
            <sz val="14"/>
            <color rgb="FF000000"/>
            <rFont val="Calibri"/>
            <family val="34"/>
          </rPr>
          <t>Johanna (1818)</t>
        </r>
      </text>
    </comment>
    <comment ref="T1189" authorId="0" shapeId="0" xr:uid="{F0CAAA93-1028-9A40-8E14-7ABAF8CD01A5}">
      <text>
        <r>
          <rPr>
            <b/>
            <sz val="14"/>
            <color rgb="FF000000"/>
            <rFont val="Calibri"/>
            <family val="34"/>
          </rPr>
          <t xml:space="preserve">5.3.3 [166.55 cm (ML 1817)]
</t>
        </r>
        <r>
          <rPr>
            <sz val="14"/>
            <color rgb="FF000000"/>
            <rFont val="Calibri"/>
            <family val="34"/>
          </rPr>
          <t>5.4 [168.52 cm (TL 1812)]</t>
        </r>
      </text>
    </comment>
    <comment ref="BF1189" authorId="0" shapeId="0" xr:uid="{D2AA6AC9-DD9A-C546-A5B5-BE4C3F00685B}">
      <text>
        <r>
          <rPr>
            <sz val="14"/>
            <color rgb="FF000000"/>
            <rFont val="Times New Roman"/>
            <family val="18"/>
          </rPr>
          <t xml:space="preserve">26/02/1809 </t>
        </r>
        <r>
          <rPr>
            <i/>
            <sz val="14"/>
            <color rgb="FF000000"/>
            <rFont val="Times New Roman"/>
            <family val="18"/>
          </rPr>
          <t xml:space="preserve">Bei Lindenau Inf </t>
        </r>
        <r>
          <rPr>
            <b/>
            <sz val="14"/>
            <color rgb="FF000000"/>
            <rFont val="Times New Roman"/>
            <family val="18"/>
          </rPr>
          <t>[IR 29]</t>
        </r>
        <r>
          <rPr>
            <b/>
            <i/>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Jan 1813 &amp; ML 1817]</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IR 29 3. Fus. Komp zum IR 1 transferiert und zur 1. Depot Komp. eingeheilt</t>
        </r>
        <r>
          <rPr>
            <sz val="14"/>
            <color rgb="FF000000"/>
            <rFont val="Times New Roman"/>
            <family val="18"/>
          </rPr>
          <t xml:space="preserve"> [TL Jan 1813 &amp; ST Dec 1812]</t>
        </r>
        <r>
          <rPr>
            <sz val="14"/>
            <color rgb="FF000000"/>
            <rFont val="Calibri"/>
            <family val="34"/>
          </rPr>
          <t xml:space="preserve">
</t>
        </r>
        <r>
          <rPr>
            <sz val="14"/>
            <color rgb="FF000000"/>
            <rFont val="Times New Roman"/>
            <family val="18"/>
          </rPr>
          <t xml:space="preserve">13/12/1812 </t>
        </r>
        <r>
          <rPr>
            <i/>
            <sz val="14"/>
            <color rgb="FF000000"/>
            <rFont val="Times New Roman"/>
            <family val="18"/>
          </rPr>
          <t>Krank in Kloster Hradisch</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25/12/1812 </t>
        </r>
        <r>
          <rPr>
            <i/>
            <sz val="14"/>
            <color rgb="FF000000"/>
            <rFont val="Times New Roman"/>
            <family val="18"/>
          </rPr>
          <t>Rekonvalesziert</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01/03/1813 </t>
        </r>
        <r>
          <rPr>
            <i/>
            <sz val="14"/>
            <color rgb="FF000000"/>
            <rFont val="Times New Roman"/>
            <family val="18"/>
          </rPr>
          <t>Von 1. Depot zum 4. Fus. Komp. transferiert</t>
        </r>
        <r>
          <rPr>
            <sz val="14"/>
            <color rgb="FF000000"/>
            <rFont val="Times New Roman"/>
            <family val="18"/>
          </rPr>
          <t xml:space="preserve"> [ST March 1813]</t>
        </r>
        <r>
          <rPr>
            <sz val="14"/>
            <color rgb="FF000000"/>
            <rFont val="Calibri"/>
            <family val="34"/>
          </rPr>
          <t xml:space="preserve">
</t>
        </r>
        <r>
          <rPr>
            <sz val="14"/>
            <color rgb="FF000000"/>
            <rFont val="Times New Roman"/>
            <family val="18"/>
          </rPr>
          <t xml:space="preserve">01/09/1813 </t>
        </r>
        <r>
          <rPr>
            <i/>
            <sz val="14"/>
            <color rgb="FF000000"/>
            <rFont val="Times New Roman"/>
            <family val="18"/>
          </rPr>
          <t>Zu Gefreyter avanciert</t>
        </r>
        <r>
          <rPr>
            <sz val="14"/>
            <color rgb="FF000000"/>
            <rFont val="Times New Roman"/>
            <family val="18"/>
          </rPr>
          <t xml:space="preserve"> [ST Sept 1813]</t>
        </r>
        <r>
          <rPr>
            <sz val="14"/>
            <color rgb="FF000000"/>
            <rFont val="Calibri"/>
            <family val="34"/>
          </rPr>
          <t xml:space="preserve">
</t>
        </r>
        <r>
          <rPr>
            <sz val="14"/>
            <color rgb="FF000000"/>
            <rFont val="Times New Roman"/>
            <family val="18"/>
          </rPr>
          <t xml:space="preserve">17/12/1813 </t>
        </r>
        <r>
          <rPr>
            <i/>
            <sz val="14"/>
            <color rgb="FF000000"/>
            <rFont val="Times New Roman"/>
            <family val="18"/>
          </rPr>
          <t>Krank in Armee Spital</t>
        </r>
        <r>
          <rPr>
            <sz val="14"/>
            <color rgb="FF000000"/>
            <rFont val="Times New Roman"/>
            <family val="18"/>
          </rPr>
          <t xml:space="preserve"> [ST Dec 1813]</t>
        </r>
        <r>
          <rPr>
            <sz val="14"/>
            <color rgb="FF000000"/>
            <rFont val="Calibri"/>
            <family val="34"/>
          </rPr>
          <t xml:space="preserve">
</t>
        </r>
        <r>
          <rPr>
            <sz val="14"/>
            <color rgb="FF000000"/>
            <rFont val="Times New Roman"/>
            <family val="18"/>
          </rPr>
          <t xml:space="preserve">06/01/1814 </t>
        </r>
        <r>
          <rPr>
            <i/>
            <sz val="14"/>
            <color rgb="FF000000"/>
            <rFont val="Times New Roman"/>
            <family val="18"/>
          </rPr>
          <t>Rekonvalesziert</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11/03/1816 </t>
        </r>
        <r>
          <rPr>
            <i/>
            <sz val="14"/>
            <color rgb="FF000000"/>
            <rFont val="Times New Roman"/>
            <family val="18"/>
          </rPr>
          <t>Als Inländer Capitulant gegen Heirat-Lizenz 1. Amt und 20Fl Handgeld auf Beständig engagiert</t>
        </r>
        <r>
          <rPr>
            <sz val="14"/>
            <color rgb="FF000000"/>
            <rFont val="Times New Roman"/>
            <family val="18"/>
          </rPr>
          <t xml:space="preserve"> [ST March 1816]</t>
        </r>
        <r>
          <rPr>
            <sz val="14"/>
            <color rgb="FF000000"/>
            <rFont val="Calibri"/>
            <family val="34"/>
          </rPr>
          <t xml:space="preserve">
</t>
        </r>
        <r>
          <rPr>
            <sz val="14"/>
            <color rgb="FF000000"/>
            <rFont val="Times New Roman"/>
            <family val="18"/>
          </rPr>
          <t>29/04/1816 Mit der 36. Jahr Alt in Brünn geborene Rosalia, Tochter des Boleslaus CHALUPKA Iemann zu Brünn und dessen Gattin Katharina geb. BRUNNER von Regiment Kaplan Jakob Knopp su Kralitz in Mähren</t>
        </r>
        <r>
          <rPr>
            <b/>
            <sz val="14"/>
            <color rgb="FF000000"/>
            <rFont val="Times New Roman"/>
            <family val="18"/>
          </rPr>
          <t xml:space="preserve"> [</t>
        </r>
        <r>
          <rPr>
            <b/>
            <u/>
            <sz val="14"/>
            <color rgb="FF0563C1"/>
            <rFont val="Times New Roman"/>
            <family val="18"/>
          </rPr>
          <t>Kralice nad Oslavou, Czech Republic</t>
        </r>
        <r>
          <rPr>
            <b/>
            <sz val="14"/>
            <color rgb="FF000000"/>
            <rFont val="Times New Roman"/>
            <family val="18"/>
          </rPr>
          <t>]</t>
        </r>
        <r>
          <rPr>
            <sz val="14"/>
            <color rgb="FF000000"/>
            <rFont val="Times New Roman"/>
            <family val="18"/>
          </rPr>
          <t xml:space="preserve"> geheiratet; Zeugen: Feldwebel Joseph PIREK und Corporal Karl SUBEK, beide von Regiment, eigenhändig; Der Bräutigam hat die Heirat Lizenz auf die erste Art von Lobl Regiments Commando deto 26. Februar 1816, die beteilige Großjahrigkeit mit Taufschein Beweisen. Die Braut hat das Dienstzeugnis, dass selbe beim Herren Hauptmann [Franz Baron] Rottern gedient habe beigehabt, und beide sind 3 Mal auf gebeten worden. </t>
        </r>
        <r>
          <rPr>
            <sz val="14"/>
            <color rgb="FF000000"/>
            <rFont val="Calibri"/>
            <family val="34"/>
          </rPr>
          <t xml:space="preserve">
</t>
        </r>
        <r>
          <rPr>
            <sz val="14"/>
            <color rgb="FF000000"/>
            <rFont val="Times New Roman"/>
            <family val="18"/>
          </rPr>
          <t>19/09/1817 Muster: IR 1 4. Fus. Komp. Nr. 18</t>
        </r>
        <r>
          <rPr>
            <sz val="14"/>
            <color rgb="FF000000"/>
            <rFont val="Calibri"/>
            <family val="34"/>
          </rPr>
          <t xml:space="preserve">
</t>
        </r>
        <r>
          <rPr>
            <sz val="14"/>
            <color rgb="FF000000"/>
            <rFont val="Times New Roman"/>
            <family val="18"/>
          </rPr>
          <t>19/09/1818 Muster: IR 1 4. Fus. Komp. Nr. 17</t>
        </r>
        <r>
          <rPr>
            <sz val="14"/>
            <color rgb="FF000000"/>
            <rFont val="Calibri"/>
            <family val="34"/>
          </rPr>
          <t xml:space="preserve">
</t>
        </r>
        <r>
          <rPr>
            <sz val="14"/>
            <color rgb="FF000000"/>
            <rFont val="Times New Roman"/>
            <family val="18"/>
          </rPr>
          <t>14/09/1819 Muster: IR 1 4. Fus. Komp. Nr. 13</t>
        </r>
        <r>
          <rPr>
            <sz val="14"/>
            <color rgb="FF000000"/>
            <rFont val="Calibri"/>
            <family val="34"/>
          </rPr>
          <t xml:space="preserve">
</t>
        </r>
        <r>
          <rPr>
            <sz val="14"/>
            <color rgb="FF000000"/>
            <rFont val="Times New Roman"/>
            <family val="18"/>
          </rPr>
          <t>10/10/1819</t>
        </r>
        <r>
          <rPr>
            <i/>
            <sz val="14"/>
            <color rgb="FF000000"/>
            <rFont val="Times New Roman"/>
            <family val="18"/>
          </rPr>
          <t xml:space="preserve"> Zum Corporal avanciert</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Corporal in 4. Fus Komp</t>
        </r>
        <r>
          <rPr>
            <sz val="14"/>
            <color rgb="FF000000"/>
            <rFont val="Times New Roman"/>
            <family val="18"/>
          </rPr>
          <t xml:space="preserve"> [ST Oct 1820]</t>
        </r>
        <r>
          <rPr>
            <sz val="14"/>
            <color rgb="FF000000"/>
            <rFont val="Calibri"/>
            <family val="34"/>
          </rPr>
          <t xml:space="preserve">
</t>
        </r>
      </text>
    </comment>
    <comment ref="BG1189" authorId="0" shapeId="0" xr:uid="{35C09EDC-78DF-424C-8684-FAA60C2C60E1}">
      <text>
        <r>
          <rPr>
            <sz val="14"/>
            <color rgb="FF000000"/>
            <rFont val="Times New Roman"/>
            <family val="18"/>
          </rPr>
          <t>ML 34/5 IR 1 (1817) – IR 1 4. Fus. Komp. 18 (Brünn 19/09/1817)</t>
        </r>
        <r>
          <rPr>
            <sz val="14"/>
            <color rgb="FF000000"/>
            <rFont val="Calibri"/>
            <family val="34"/>
          </rPr>
          <t xml:space="preserve">
</t>
        </r>
        <r>
          <rPr>
            <sz val="14"/>
            <color rgb="FF000000"/>
            <rFont val="Times New Roman"/>
            <family val="18"/>
          </rPr>
          <t>ML 36/7 IR 1 (1818) – IR 1 4. Fus. Komp. 17 (Brünn 19/09/1818)</t>
        </r>
        <r>
          <rPr>
            <sz val="14"/>
            <color rgb="FF000000"/>
            <rFont val="Calibri"/>
            <family val="34"/>
          </rPr>
          <t xml:space="preserve">
</t>
        </r>
        <r>
          <rPr>
            <sz val="14"/>
            <color rgb="FF000000"/>
            <rFont val="Times New Roman"/>
            <family val="18"/>
          </rPr>
          <t>ML 38/9 IR 1 (1819) – IR 1 4. Fus. Komp. 13 (Olmütz 14/09/1819)</t>
        </r>
        <r>
          <rPr>
            <sz val="14"/>
            <color rgb="FF000000"/>
            <rFont val="Calibri"/>
            <family val="34"/>
          </rPr>
          <t xml:space="preserve">
</t>
        </r>
        <r>
          <rPr>
            <sz val="14"/>
            <color rgb="FF000000"/>
            <rFont val="Times New Roman"/>
            <family val="18"/>
          </rPr>
          <t>ML 97 IR 1 (1812) – ST Dec (Proßnitz 08/05/1813)</t>
        </r>
        <r>
          <rPr>
            <sz val="14"/>
            <color rgb="FF000000"/>
            <rFont val="Calibri"/>
            <family val="34"/>
          </rPr>
          <t xml:space="preserve">
</t>
        </r>
        <r>
          <rPr>
            <sz val="14"/>
            <color rgb="FF000000"/>
            <rFont val="Times New Roman"/>
            <family val="18"/>
          </rPr>
          <t>ML 98 IR 1 (1812) AL/TL – TL IR 29-&gt;IR 1 Nr. 10 (Brünn 13/01/1813)</t>
        </r>
        <r>
          <rPr>
            <sz val="14"/>
            <color rgb="FF000000"/>
            <rFont val="Calibri"/>
            <family val="34"/>
          </rPr>
          <t xml:space="preserve">
</t>
        </r>
        <r>
          <rPr>
            <sz val="14"/>
            <color rgb="FF000000"/>
            <rFont val="Times New Roman"/>
            <family val="18"/>
          </rPr>
          <t>ML 99 IR 1 (1813) – ST March (Proßnitz 20/06/1813), Sept (Proßnitz 05/02/1814), Dec (Proßnitz 30/05/1814)</t>
        </r>
        <r>
          <rPr>
            <sz val="14"/>
            <color rgb="FF000000"/>
            <rFont val="Calibri"/>
            <family val="34"/>
          </rPr>
          <t xml:space="preserve">
</t>
        </r>
        <r>
          <rPr>
            <sz val="14"/>
            <color rgb="FF000000"/>
            <rFont val="Times New Roman"/>
            <family val="18"/>
          </rPr>
          <t>ML 102 IR 1 (1814) – ST Jan (Proßnitz 01/07/1814)</t>
        </r>
        <r>
          <rPr>
            <sz val="14"/>
            <color rgb="FF000000"/>
            <rFont val="Calibri"/>
            <family val="34"/>
          </rPr>
          <t xml:space="preserve">
</t>
        </r>
        <r>
          <rPr>
            <sz val="14"/>
            <color rgb="FF000000"/>
            <rFont val="Times New Roman"/>
            <family val="18"/>
          </rPr>
          <t>ML 107 IR 1 (1816) – ST March (Proßnitz 10/05/1816)</t>
        </r>
        <r>
          <rPr>
            <sz val="14"/>
            <color rgb="FF000000"/>
            <rFont val="Calibri"/>
            <family val="34"/>
          </rPr>
          <t xml:space="preserve">
</t>
        </r>
        <r>
          <rPr>
            <sz val="14"/>
            <color rgb="FF000000"/>
            <rFont val="Times New Roman"/>
            <family val="18"/>
          </rPr>
          <t>ML 113 IR 1 (1819) – ST Oct (30/12/1819)</t>
        </r>
        <r>
          <rPr>
            <sz val="14"/>
            <color rgb="FF000000"/>
            <rFont val="Calibri"/>
            <family val="34"/>
          </rPr>
          <t xml:space="preserve">
</t>
        </r>
        <r>
          <rPr>
            <sz val="14"/>
            <color rgb="FF000000"/>
            <rFont val="Times New Roman"/>
            <family val="18"/>
          </rPr>
          <t>ML 115 IR 1 (1820) – ST Oct (15/01/1820)</t>
        </r>
        <r>
          <rPr>
            <sz val="14"/>
            <color rgb="FF000000"/>
            <rFont val="Calibri"/>
            <family val="34"/>
          </rPr>
          <t xml:space="preserve">
</t>
        </r>
      </text>
    </comment>
    <comment ref="BH1189" authorId="0" shapeId="0" xr:uid="{4F7521E5-401A-224D-9E7C-43A8457FBD9D}">
      <text>
        <r>
          <rPr>
            <sz val="14"/>
            <color rgb="FF000000"/>
            <rFont val="Calibri"/>
            <family val="34"/>
          </rPr>
          <t xml:space="preserve">IR 29 (1809-1812)
</t>
        </r>
        <r>
          <rPr>
            <sz val="14"/>
            <color rgb="FF000000"/>
            <rFont val="Calibri"/>
            <family val="34"/>
          </rPr>
          <t>IR 1 (1812-1820)</t>
        </r>
      </text>
    </comment>
    <comment ref="CR1189" authorId="0" shapeId="0" xr:uid="{B94B3BBA-4563-374D-B61F-3EE779F20FDB}">
      <text>
        <r>
          <rPr>
            <sz val="14"/>
            <color rgb="FF000000"/>
            <rFont val="Calibri"/>
            <family val="34"/>
          </rPr>
          <t>1809-1816: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1816-1820: Katolisch [Taufname Johann]  </t>
        </r>
      </text>
    </comment>
    <comment ref="BF1190" authorId="0" shapeId="0" xr:uid="{343A8124-FE3C-5E41-8DCE-C559621BD9C5}">
      <text>
        <r>
          <rPr>
            <sz val="14"/>
            <color rgb="FF000000"/>
            <rFont val="Times New Roman"/>
            <family val="18"/>
          </rPr>
          <t xml:space="preserve">27/02/1809 </t>
        </r>
        <r>
          <rPr>
            <i/>
            <sz val="14"/>
            <color rgb="FF000000"/>
            <rFont val="Times New Roman"/>
            <family val="18"/>
          </rPr>
          <t>als landständischer Rekrout auf 10 Jahr gegen 3Fl Handgeld assentiert</t>
        </r>
        <r>
          <rPr>
            <sz val="14"/>
            <color rgb="FF000000"/>
            <rFont val="Times New Roman"/>
            <family val="18"/>
          </rPr>
          <t xml:space="preserve"> [TL April 1810] </t>
        </r>
        <r>
          <rPr>
            <sz val="14"/>
            <color rgb="FF000000"/>
            <rFont val="Calibri"/>
            <family val="34"/>
          </rPr>
          <t xml:space="preserve">
</t>
        </r>
        <r>
          <rPr>
            <sz val="14"/>
            <color rgb="FF000000"/>
            <rFont val="Times New Roman"/>
            <family val="18"/>
          </rPr>
          <t xml:space="preserve">06/02/1810 </t>
        </r>
        <r>
          <rPr>
            <i/>
            <sz val="14"/>
            <color rgb="FF000000"/>
            <rFont val="Times New Roman"/>
            <family val="18"/>
          </rPr>
          <t xml:space="preserve">Von IR 63 2. Depot zum GB 1 transferiert </t>
        </r>
        <r>
          <rPr>
            <sz val="14"/>
            <color rgb="FF000000"/>
            <rFont val="Times New Roman"/>
            <family val="18"/>
          </rPr>
          <t>[TL April 1810]</t>
        </r>
        <r>
          <rPr>
            <sz val="14"/>
            <color rgb="FF000000"/>
            <rFont val="Calibri"/>
            <family val="34"/>
          </rPr>
          <t xml:space="preserve">
</t>
        </r>
        <r>
          <rPr>
            <sz val="14"/>
            <color rgb="FF000000"/>
            <rFont val="Times New Roman"/>
            <family val="18"/>
          </rPr>
          <t>21/09/1811 Muster GB 1 2. Komp. Nr. 134 [</t>
        </r>
        <r>
          <rPr>
            <i/>
            <sz val="14"/>
            <color rgb="FF000000"/>
            <rFont val="Times New Roman"/>
            <family val="18"/>
          </rPr>
          <t>Zur Superarbietrio zu Lemberg &amp; Real Invalid</t>
        </r>
        <r>
          <rPr>
            <sz val="14"/>
            <color rgb="FF000000"/>
            <rFont val="Times New Roman"/>
            <family val="18"/>
          </rPr>
          <t>]</t>
        </r>
        <r>
          <rPr>
            <sz val="14"/>
            <color rgb="FF000000"/>
            <rFont val="Calibri"/>
            <family val="34"/>
          </rPr>
          <t xml:space="preserve">
</t>
        </r>
        <r>
          <rPr>
            <sz val="14"/>
            <color rgb="FF000000"/>
            <rFont val="Times New Roman"/>
            <family val="18"/>
          </rPr>
          <t>05/10 1812: Revision 1. GB 2. Comp Nr. 81 [</t>
        </r>
        <r>
          <rPr>
            <i/>
            <sz val="14"/>
            <color rgb="FF000000"/>
            <rFont val="Times New Roman"/>
            <family val="18"/>
          </rPr>
          <t>Auf Marsch in Invaliden Haus</t>
        </r>
        <r>
          <rPr>
            <sz val="14"/>
            <color rgb="FF000000"/>
            <rFont val="Times New Roman"/>
            <family val="18"/>
          </rPr>
          <t>]</t>
        </r>
        <r>
          <rPr>
            <sz val="14"/>
            <color rgb="FF000000"/>
            <rFont val="Calibri"/>
            <family val="34"/>
          </rPr>
          <t xml:space="preserve">
</t>
        </r>
        <r>
          <rPr>
            <sz val="14"/>
            <color rgb="FF000000"/>
            <rFont val="Times New Roman"/>
            <family val="18"/>
          </rPr>
          <t>(RL Treblestie 05/10/1812)</t>
        </r>
        <r>
          <rPr>
            <sz val="14"/>
            <color rgb="FF000000"/>
            <rFont val="Calibri"/>
            <family val="34"/>
          </rPr>
          <t xml:space="preserve">
</t>
        </r>
      </text>
    </comment>
    <comment ref="BG1190" authorId="0" shapeId="0" xr:uid="{ACF008C4-9662-B947-9076-1642DBB8C716}">
      <text>
        <r>
          <rPr>
            <sz val="14"/>
            <color rgb="FF000000"/>
            <rFont val="Times New Roman"/>
            <family val="18"/>
          </rPr>
          <t>ML 5293 IR 63 (1810) AL/TL – TL IR 63-&gt;GB 1 Nr. 5 (Pressburg 08/04/1810)</t>
        </r>
        <r>
          <rPr>
            <sz val="14"/>
            <color rgb="FF000000"/>
            <rFont val="Calibri"/>
            <family val="34"/>
          </rPr>
          <t xml:space="preserve">
</t>
        </r>
        <r>
          <rPr>
            <sz val="14"/>
            <color rgb="FF000000"/>
            <rFont val="Times New Roman"/>
            <family val="18"/>
          </rPr>
          <t>ML 6335 GB 1 (1811) – ML 1811 2. Komp. Nr. 134 (Gurahomora (21/9/1811); RL 1812 2. Komp. Nr. 81 (Goreblastie 05/10/1812)</t>
        </r>
      </text>
    </comment>
    <comment ref="BH1190" authorId="0" shapeId="0" xr:uid="{B2906C8B-DDA2-F043-8B03-7E7DD27F9B91}">
      <text>
        <r>
          <rPr>
            <sz val="14"/>
            <color rgb="FF000000"/>
            <rFont val="Calibri"/>
            <family val="34"/>
          </rPr>
          <t xml:space="preserve">IR 63 (1809-1810)
</t>
        </r>
        <r>
          <rPr>
            <sz val="14"/>
            <color rgb="FF000000"/>
            <rFont val="Calibri"/>
            <family val="34"/>
          </rPr>
          <t>GB 1 (1809-10)</t>
        </r>
      </text>
    </comment>
    <comment ref="BJ1190" authorId="0" shapeId="0" xr:uid="{65F63F19-F353-F643-BF3D-2C2F7C6A98A9}">
      <text>
        <r>
          <rPr>
            <i/>
            <sz val="14"/>
            <color rgb="FF000000"/>
            <rFont val="Times New Roman"/>
            <family val="18"/>
          </rPr>
          <t xml:space="preserve">Blödsinnig </t>
        </r>
        <r>
          <rPr>
            <sz val="14"/>
            <color rgb="FF000000"/>
            <rFont val="Times New Roman"/>
            <family val="18"/>
          </rPr>
          <t>[TL April 1810]</t>
        </r>
      </text>
    </comment>
    <comment ref="BF1191" authorId="0" shapeId="0" xr:uid="{0FF9CCDE-7376-CE4D-A8C1-E156B2F263DD}">
      <text>
        <r>
          <rPr>
            <sz val="14"/>
            <color rgb="FF000000"/>
            <rFont val="Times New Roman"/>
            <family val="18"/>
          </rPr>
          <t xml:space="preserve">27/02/1809 </t>
        </r>
        <r>
          <rPr>
            <i/>
            <sz val="14"/>
            <color rgb="FF000000"/>
            <rFont val="Times New Roman"/>
            <family val="18"/>
          </rPr>
          <t xml:space="preserve">Von Land gestellt und zum IR 1 a 3Fl Handgeld zu Rzeszów assentiert und zum 14. Fus. Komp. eingeteilt </t>
        </r>
        <r>
          <rPr>
            <sz val="14"/>
            <color rgb="FF000000"/>
            <rFont val="Times New Roman"/>
            <family val="18"/>
          </rPr>
          <t>[</t>
        </r>
        <r>
          <rPr>
            <i/>
            <sz val="14"/>
            <color rgb="FF000000"/>
            <rFont val="Times New Roman"/>
            <family val="18"/>
          </rPr>
          <t>Hat ein langen roten Angesichts, schwarzes Haar derlei Augenbraunen, brauner Augen und eine kleine Nase</t>
        </r>
        <r>
          <rPr>
            <sz val="14"/>
            <color rgb="FF000000"/>
            <rFont val="Times New Roman"/>
            <family val="18"/>
          </rPr>
          <t>] [AL March 1809 &amp; ST March 1809]</t>
        </r>
        <r>
          <rPr>
            <sz val="14"/>
            <color rgb="FF000000"/>
            <rFont val="Calibri"/>
            <family val="34"/>
          </rPr>
          <t xml:space="preserve">
</t>
        </r>
        <r>
          <rPr>
            <sz val="14"/>
            <color rgb="FF000000"/>
            <rFont val="Times New Roman"/>
            <family val="18"/>
          </rPr>
          <t xml:space="preserve">06/03/1809 </t>
        </r>
        <r>
          <rPr>
            <i/>
            <sz val="14"/>
            <color rgb="FF000000"/>
            <rFont val="Times New Roman"/>
            <family val="18"/>
          </rPr>
          <t xml:space="preserve">Von 14. Fus. Komp. zum 2. Depot Komp. transferiert </t>
        </r>
        <r>
          <rPr>
            <sz val="14"/>
            <color rgb="FF000000"/>
            <rFont val="Times New Roman"/>
            <family val="18"/>
          </rPr>
          <t>[ST March 1809]</t>
        </r>
        <r>
          <rPr>
            <sz val="14"/>
            <color rgb="FF000000"/>
            <rFont val="Calibri"/>
            <family val="34"/>
          </rPr>
          <t xml:space="preserve">
</t>
        </r>
        <r>
          <rPr>
            <sz val="14"/>
            <color rgb="FF000000"/>
            <rFont val="Times New Roman"/>
            <family val="18"/>
          </rPr>
          <t xml:space="preserve">18/05/1809 </t>
        </r>
        <r>
          <rPr>
            <i/>
            <sz val="14"/>
            <color rgb="FF000000"/>
            <rFont val="Times New Roman"/>
            <family val="18"/>
          </rPr>
          <t>Bei der Bestürmung von Festung Sandomierz zum Feind übergeben waren</t>
        </r>
        <r>
          <rPr>
            <sz val="14"/>
            <color rgb="FF000000"/>
            <rFont val="Times New Roman"/>
            <family val="18"/>
          </rPr>
          <t xml:space="preserve"> [ST May 1809]</t>
        </r>
        <r>
          <rPr>
            <sz val="14"/>
            <color rgb="FF000000"/>
            <rFont val="Calibri"/>
            <family val="2"/>
          </rPr>
          <t xml:space="preserve"> </t>
        </r>
      </text>
    </comment>
    <comment ref="BG1191" authorId="0" shapeId="0" xr:uid="{8F91CE9A-6BA1-7E4C-BFC0-8C17629B6771}">
      <text>
        <r>
          <rPr>
            <sz val="14"/>
            <color rgb="FF000000"/>
            <rFont val="Times New Roman"/>
            <family val="18"/>
          </rPr>
          <t>ML 91 IR 1 (1809) – ST March (Proßnitz 22/11/1809), May (Proßnitz 09/1810)</t>
        </r>
        <r>
          <rPr>
            <sz val="14"/>
            <color rgb="FF000000"/>
            <rFont val="Calibri"/>
            <family val="34"/>
          </rPr>
          <t xml:space="preserve">
</t>
        </r>
        <r>
          <rPr>
            <sz val="14"/>
            <color rgb="FF000000"/>
            <rFont val="Times New Roman"/>
            <family val="18"/>
          </rPr>
          <t>ML 92 IR 1 (1809) AL/TL – AL Nr. 318 (Rzeszow 07/03/1809)</t>
        </r>
      </text>
    </comment>
    <comment ref="BH1191" authorId="0" shapeId="0" xr:uid="{EC90DE9D-EBD6-FB48-81F6-870A830C048D}">
      <text>
        <r>
          <rPr>
            <sz val="14"/>
            <color rgb="FF000000"/>
            <rFont val="Calibri"/>
            <family val="34"/>
          </rPr>
          <t>IR 1 (1809)</t>
        </r>
      </text>
    </comment>
    <comment ref="BF1192" authorId="0" shapeId="0" xr:uid="{DFAD8F87-BF6B-7548-8E48-26981C9EA150}">
      <text>
        <r>
          <rPr>
            <sz val="14"/>
            <color rgb="FF000000"/>
            <rFont val="Times New Roman"/>
            <family val="18"/>
          </rPr>
          <t xml:space="preserve">27/02/1809 </t>
        </r>
        <r>
          <rPr>
            <i/>
            <sz val="14"/>
            <color rgb="FF000000"/>
            <rFont val="Times New Roman"/>
            <family val="18"/>
          </rPr>
          <t xml:space="preserve">Von Land gestellt und zum IR 1 a 3Fl Handgeld assentiert und zum 14. Fus. Komp. eingeteilt </t>
        </r>
        <r>
          <rPr>
            <sz val="14"/>
            <color rgb="FF000000"/>
            <rFont val="Times New Roman"/>
            <family val="18"/>
          </rPr>
          <t>[AL March 1809]</t>
        </r>
        <r>
          <rPr>
            <sz val="14"/>
            <color rgb="FF000000"/>
            <rFont val="Calibri"/>
            <family val="34"/>
          </rPr>
          <t xml:space="preserve">
</t>
        </r>
        <r>
          <rPr>
            <sz val="14"/>
            <color rgb="FF000000"/>
            <rFont val="Times New Roman"/>
            <family val="18"/>
          </rPr>
          <t xml:space="preserve">06/03/1809 </t>
        </r>
        <r>
          <rPr>
            <i/>
            <sz val="14"/>
            <color rgb="FF000000"/>
            <rFont val="Times New Roman"/>
            <family val="18"/>
          </rPr>
          <t xml:space="preserve">Von 14. Fus. Komp. zum 2. Depot Komp. transferiert </t>
        </r>
        <r>
          <rPr>
            <sz val="14"/>
            <color rgb="FF000000"/>
            <rFont val="Times New Roman"/>
            <family val="18"/>
          </rPr>
          <t>[ST March 1809]</t>
        </r>
        <r>
          <rPr>
            <sz val="14"/>
            <color rgb="FF000000"/>
            <rFont val="Calibri"/>
            <family val="34"/>
          </rPr>
          <t xml:space="preserve">
</t>
        </r>
        <r>
          <rPr>
            <sz val="14"/>
            <color rgb="FF000000"/>
            <rFont val="Times New Roman"/>
            <family val="18"/>
          </rPr>
          <t xml:space="preserve">16/04/1809 </t>
        </r>
        <r>
          <rPr>
            <i/>
            <sz val="14"/>
            <color rgb="FF000000"/>
            <rFont val="Times New Roman"/>
            <family val="18"/>
          </rPr>
          <t xml:space="preserve">Von der Station </t>
        </r>
        <r>
          <rPr>
            <b/>
            <i/>
            <sz val="14"/>
            <color rgb="FF000000"/>
            <rFont val="Times New Roman"/>
            <family val="18"/>
          </rPr>
          <t xml:space="preserve">Nadbrzesze </t>
        </r>
        <r>
          <rPr>
            <b/>
            <sz val="14"/>
            <color rgb="FF000000"/>
            <rFont val="Times New Roman"/>
            <family val="18"/>
          </rPr>
          <t>[</t>
        </r>
        <r>
          <rPr>
            <b/>
            <u/>
            <sz val="14"/>
            <color rgb="FF0563C1"/>
            <rFont val="Times New Roman"/>
            <family val="18"/>
          </rPr>
          <t>Nadbrzezie (Sandomierz), Poland</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[ST April]</t>
        </r>
        <r>
          <rPr>
            <sz val="14"/>
            <color rgb="FF000000"/>
            <rFont val="Calibri"/>
            <family val="2"/>
          </rPr>
          <t xml:space="preserve"> </t>
        </r>
      </text>
    </comment>
    <comment ref="BG1192" authorId="0" shapeId="0" xr:uid="{59DE4AEF-A6D8-194E-B938-820074142A68}">
      <text>
        <r>
          <rPr>
            <sz val="14"/>
            <color rgb="FF000000"/>
            <rFont val="Times New Roman"/>
            <family val="18"/>
          </rPr>
          <t>ML 91 IR 1 (1809) – ST March (Proßnitz 22/11/1809), April (Proßnitz 26/07/1810)</t>
        </r>
        <r>
          <rPr>
            <sz val="14"/>
            <color rgb="FF000000"/>
            <rFont val="Calibri"/>
            <family val="34"/>
          </rPr>
          <t xml:space="preserve">
</t>
        </r>
        <r>
          <rPr>
            <sz val="14"/>
            <color rgb="FF000000"/>
            <rFont val="Times New Roman"/>
            <family val="18"/>
          </rPr>
          <t>ML 92 IR 1 (1809) AL/TL – AL Nr. 371 (Rzeszow 07/03/1809)</t>
        </r>
        <r>
          <rPr>
            <sz val="14"/>
            <color rgb="FF000000"/>
            <rFont val="Calibri"/>
            <family val="34"/>
          </rPr>
          <t xml:space="preserve">
</t>
        </r>
      </text>
    </comment>
    <comment ref="BH1192" authorId="0" shapeId="0" xr:uid="{3EF1E8F7-C911-AC4C-8FCF-C38A84066CBF}">
      <text>
        <r>
          <rPr>
            <sz val="14"/>
            <color rgb="FF000000"/>
            <rFont val="Calibri"/>
            <family val="34"/>
          </rPr>
          <t>IR 1 (1809)</t>
        </r>
      </text>
    </comment>
    <comment ref="BF1193" authorId="0" shapeId="0" xr:uid="{064A37E5-017E-D44D-80FF-2FEA0C9E131C}">
      <text>
        <r>
          <rPr>
            <sz val="14"/>
            <color rgb="FF000000"/>
            <rFont val="Times New Roman"/>
            <family val="18"/>
          </rPr>
          <t xml:space="preserve">27/02/1809 </t>
        </r>
        <r>
          <rPr>
            <i/>
            <sz val="14"/>
            <color rgb="FF000000"/>
            <rFont val="Times New Roman"/>
            <family val="18"/>
          </rPr>
          <t>Von Land a 3Fl zum IR 39 gestellt und zum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19. zum 17.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t>
        </r>
        <r>
          <rPr>
            <sz val="14"/>
            <color rgb="FF000000"/>
            <rFont val="Times New Roman"/>
            <family val="18"/>
          </rPr>
          <t>[ML 1811]</t>
        </r>
      </text>
    </comment>
    <comment ref="BG1193" authorId="0" shapeId="0" xr:uid="{413FC11A-309B-5A47-96A0-245AC0CE9DE5}">
      <text>
        <r>
          <rPr>
            <sz val="14"/>
            <color rgb="FF000000"/>
            <rFont val="Times New Roman"/>
            <family val="18"/>
          </rPr>
          <t>ML 3501/2 IR 39 (1811) – 15. Fus. Komp. Abgang (Gran 16/09/1811)</t>
        </r>
        <r>
          <rPr>
            <sz val="14"/>
            <color rgb="FF000000"/>
            <rFont val="Calibri"/>
            <family val="34"/>
          </rPr>
          <t xml:space="preserve">
</t>
        </r>
        <r>
          <rPr>
            <sz val="14"/>
            <color rgb="FF000000"/>
            <rFont val="Times New Roman"/>
            <family val="18"/>
          </rPr>
          <t xml:space="preserve">ML 3551 IR 39 (1810) – ST Aug </t>
        </r>
        <r>
          <rPr>
            <sz val="14"/>
            <color rgb="FF000000"/>
            <rFont val="Calibri"/>
            <family val="34"/>
          </rPr>
          <t xml:space="preserve">
</t>
        </r>
      </text>
    </comment>
    <comment ref="BH1193" authorId="0" shapeId="0" xr:uid="{89ADA62C-499A-7F43-8F07-627AA75EC442}">
      <text>
        <r>
          <rPr>
            <sz val="14"/>
            <color rgb="FF000000"/>
            <rFont val="Calibri"/>
            <family val="34"/>
          </rPr>
          <t>IR 39 (1809-1810)</t>
        </r>
      </text>
    </comment>
    <comment ref="BF1194" authorId="0" shapeId="0" xr:uid="{C2E604D9-2489-CF47-9AAF-F8FA6AC135A4}">
      <text>
        <r>
          <rPr>
            <sz val="14"/>
            <color rgb="FF000000"/>
            <rFont val="Times New Roman"/>
            <family val="18"/>
          </rPr>
          <t xml:space="preserve">27/02/1809 </t>
        </r>
        <r>
          <rPr>
            <i/>
            <sz val="14"/>
            <color rgb="FF000000"/>
            <rFont val="Times New Roman"/>
            <family val="18"/>
          </rPr>
          <t>Von galizischen Ständen gestellt und a 3Fl Handgeld zum IR 23 assentiert</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IR 23 Haupt. Bockhaus Komp. zum IR 63 transferiert, zur 13. Fus. Komp eingeheilt, seitdem auf anhero Marsch</t>
        </r>
        <r>
          <rPr>
            <sz val="14"/>
            <color rgb="FF000000"/>
            <rFont val="Times New Roman"/>
            <family val="18"/>
          </rPr>
          <t xml:space="preserve"> [TL May 1810 &amp; ST March 1810]</t>
        </r>
        <r>
          <rPr>
            <sz val="14"/>
            <color rgb="FF000000"/>
            <rFont val="Calibri"/>
            <family val="34"/>
          </rPr>
          <t xml:space="preserve">
</t>
        </r>
        <r>
          <rPr>
            <sz val="14"/>
            <color rgb="FF000000"/>
            <rFont val="Times New Roman"/>
            <family val="18"/>
          </rPr>
          <t xml:space="preserve">15/03/1810 </t>
        </r>
        <r>
          <rPr>
            <i/>
            <sz val="14"/>
            <color rgb="FF000000"/>
            <rFont val="Times New Roman"/>
            <family val="18"/>
          </rPr>
          <t>In Kompanie eingerückt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13. zur 12. Fus. Komp. transferiert</t>
        </r>
        <r>
          <rPr>
            <sz val="14"/>
            <color rgb="FF000000"/>
            <rFont val="Times New Roman"/>
            <family val="18"/>
          </rPr>
          <t xml:space="preserve"> [ST Sept 1810]</t>
        </r>
      </text>
    </comment>
    <comment ref="BG1194" authorId="0" shapeId="0" xr:uid="{39CFF6A4-8B52-FF48-9ADA-383540882D2C}">
      <text>
        <r>
          <rPr>
            <sz val="14"/>
            <color rgb="FF000000"/>
            <rFont val="Times New Roman"/>
            <family val="18"/>
          </rPr>
          <t>ML 5292 IR 63 (1810) – März (Preßburg 16/07/1811), Sept (Br</t>
        </r>
        <r>
          <rPr>
            <sz val="14"/>
            <color rgb="FF000000"/>
            <rFont val="german"/>
            <charset val="1"/>
          </rPr>
          <t xml:space="preserve">ünn </t>
        </r>
        <r>
          <rPr>
            <sz val="14"/>
            <color rgb="FF000000"/>
            <rFont val="Times New Roman"/>
            <family val="18"/>
          </rPr>
          <t>12/11/1811)</t>
        </r>
        <r>
          <rPr>
            <sz val="14"/>
            <color rgb="FF000000"/>
            <rFont val="Calibri"/>
            <family val="34"/>
          </rPr>
          <t xml:space="preserve">
</t>
        </r>
        <r>
          <rPr>
            <sz val="14"/>
            <color rgb="FF000000"/>
            <rFont val="Times New Roman"/>
            <family val="18"/>
          </rPr>
          <t>ML 5293 IR 63 (1810) AL/TL – TL IR 23-&gt; IR 63 Nr. 49 (Totis 15/05/1810)</t>
        </r>
        <r>
          <rPr>
            <sz val="14"/>
            <color rgb="FF000000"/>
            <rFont val="Calibri"/>
            <family val="34"/>
          </rPr>
          <t xml:space="preserve">
</t>
        </r>
      </text>
    </comment>
    <comment ref="BH1194" authorId="0" shapeId="0" xr:uid="{73F88795-FC15-F540-9DD2-6AA1B850B639}">
      <text>
        <r>
          <rPr>
            <sz val="14"/>
            <color rgb="FF000000"/>
            <rFont val="Calibri"/>
            <family val="34"/>
          </rPr>
          <t xml:space="preserve">IR 23 (1809-1810)
</t>
        </r>
        <r>
          <rPr>
            <sz val="14"/>
            <color rgb="FF000000"/>
            <rFont val="Calibri"/>
            <family val="34"/>
          </rPr>
          <t>IR 63 (1810)</t>
        </r>
      </text>
    </comment>
    <comment ref="BF1195" authorId="0" shapeId="0" xr:uid="{1EA45893-8803-3F47-9361-D134350B996A}">
      <text>
        <r>
          <rPr>
            <sz val="14"/>
            <color rgb="FF000000"/>
            <rFont val="Times New Roman"/>
            <family val="18"/>
          </rPr>
          <t xml:space="preserve">28/02/1809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7. Fus. Komp. Nr. 107 [</t>
        </r>
        <r>
          <rPr>
            <i/>
            <sz val="14"/>
            <color rgb="FF000000"/>
            <rFont val="Times New Roman"/>
            <family val="18"/>
          </rPr>
          <t>Beurlaubt bis Einberufung</t>
        </r>
        <r>
          <rPr>
            <sz val="14"/>
            <color rgb="FF000000"/>
            <rFont val="Times New Roman"/>
            <family val="18"/>
          </rPr>
          <t>]</t>
        </r>
      </text>
    </comment>
    <comment ref="BG1195" authorId="0" shapeId="0" xr:uid="{991E975D-C725-824E-A32C-99DD8CC87DD1}">
      <text>
        <r>
          <rPr>
            <sz val="14"/>
            <color rgb="FF000000"/>
            <rFont val="Times New Roman"/>
            <family val="18"/>
          </rPr>
          <t>IR 544 IR 8 (1811) – 7. Fus. Komp. Nr. 107 (Iglau 12/09/1811)</t>
        </r>
        <r>
          <rPr>
            <sz val="14"/>
            <color rgb="FF000000"/>
            <rFont val="Calibri"/>
            <family val="34"/>
          </rPr>
          <t xml:space="preserve">
</t>
        </r>
      </text>
    </comment>
    <comment ref="BH1195" authorId="0" shapeId="0" xr:uid="{E34DA8EC-A588-F44E-A187-4DF2D1E2B228}">
      <text>
        <r>
          <rPr>
            <sz val="14"/>
            <color rgb="FF000000"/>
            <rFont val="Calibri"/>
            <family val="34"/>
          </rPr>
          <t xml:space="preserve">IR 8 (1809-1811)
</t>
        </r>
      </text>
    </comment>
    <comment ref="BF1196" authorId="0" shapeId="0" xr:uid="{1E18F094-9A04-F34A-BB77-97544C208153}">
      <text>
        <r>
          <rPr>
            <sz val="14"/>
            <color rgb="FF000000"/>
            <rFont val="Times New Roman"/>
            <family val="18"/>
          </rPr>
          <t xml:space="preserve">In 03/1809 </t>
        </r>
        <r>
          <rPr>
            <i/>
            <sz val="14"/>
            <color rgb="FF000000"/>
            <rFont val="Times New Roman"/>
            <family val="18"/>
          </rPr>
          <t xml:space="preserve">Mit 10-Jahriger Kapitulation assentiert </t>
        </r>
        <r>
          <rPr>
            <sz val="14"/>
            <color rgb="FF000000"/>
            <rFont val="Times New Roman"/>
            <family val="18"/>
          </rPr>
          <t>[TL Oct 1810]</t>
        </r>
        <r>
          <rPr>
            <sz val="14"/>
            <color rgb="FF000000"/>
            <rFont val="Calibri"/>
            <family val="34"/>
          </rPr>
          <t xml:space="preserve">
</t>
        </r>
        <r>
          <rPr>
            <sz val="14"/>
            <color rgb="FF000000"/>
            <rFont val="Times New Roman"/>
            <family val="18"/>
          </rPr>
          <t xml:space="preserve">20/05/1809 </t>
        </r>
        <r>
          <rPr>
            <b/>
            <i/>
            <sz val="14"/>
            <color rgb="FF000000"/>
            <rFont val="Times New Roman"/>
            <family val="18"/>
          </rPr>
          <t xml:space="preserve">Bey Erstürmung der Festung Zamosc </t>
        </r>
        <r>
          <rPr>
            <i/>
            <sz val="14"/>
            <color rgb="FF000000"/>
            <rFont val="Times New Roman"/>
            <family val="18"/>
          </rPr>
          <t>in die polnische Kriegsgefangenschaft geraten</t>
        </r>
        <r>
          <rPr>
            <sz val="14"/>
            <color rgb="FF000000"/>
            <rFont val="Times New Roman"/>
            <family val="18"/>
          </rPr>
          <t xml:space="preserve"> [TL Oct 1810] </t>
        </r>
        <r>
          <rPr>
            <sz val="14"/>
            <color rgb="FF000000"/>
            <rFont val="Calibri"/>
            <family val="34"/>
          </rPr>
          <t xml:space="preserve">
</t>
        </r>
        <r>
          <rPr>
            <sz val="14"/>
            <color rgb="FF000000"/>
            <rFont val="Times New Roman"/>
            <family val="18"/>
          </rPr>
          <t xml:space="preserve">15/08/1810 </t>
        </r>
        <r>
          <rPr>
            <i/>
            <sz val="14"/>
            <color rgb="FF000000"/>
            <rFont val="Times New Roman"/>
            <family val="18"/>
          </rPr>
          <t>Nach 1-jähriger dienst bei der Warschauer Truppen von dort desertiert und sich selbst zu Zolkiew gemeldet</t>
        </r>
        <r>
          <rPr>
            <sz val="14"/>
            <color rgb="FF000000"/>
            <rFont val="Times New Roman"/>
            <family val="18"/>
          </rPr>
          <t xml:space="preserve"> [TL Oct 1810 &amp; ST May-Oct 1810]</t>
        </r>
        <r>
          <rPr>
            <sz val="14"/>
            <color rgb="FF000000"/>
            <rFont val="Calibri"/>
            <family val="34"/>
          </rPr>
          <t xml:space="preserve">
</t>
        </r>
        <r>
          <rPr>
            <sz val="14"/>
            <color rgb="FF000000"/>
            <rFont val="Times New Roman"/>
            <family val="18"/>
          </rPr>
          <t xml:space="preserve">16/08/1810 </t>
        </r>
        <r>
          <rPr>
            <i/>
            <sz val="14"/>
            <color rgb="FF000000"/>
            <rFont val="Times New Roman"/>
            <family val="18"/>
          </rPr>
          <t>Von IR 23 Depot Division Gaya Komp. zum IR 9 transferiert</t>
        </r>
        <r>
          <rPr>
            <sz val="14"/>
            <color rgb="FF000000"/>
            <rFont val="Times New Roman"/>
            <family val="18"/>
          </rPr>
          <t xml:space="preserve"> [TL Oct 1810]</t>
        </r>
        <r>
          <rPr>
            <i/>
            <sz val="14"/>
            <color rgb="FF000000"/>
            <rFont val="Times New Roman"/>
            <family val="18"/>
          </rPr>
          <t xml:space="preserve"> </t>
        </r>
      </text>
    </comment>
    <comment ref="BG1196" authorId="0" shapeId="0" xr:uid="{053AD500-7528-9849-BAD5-942016ABF58A}">
      <text>
        <r>
          <rPr>
            <sz val="14"/>
            <color rgb="FF000000"/>
            <rFont val="Times New Roman"/>
            <family val="18"/>
          </rPr>
          <t>ML 10.183 IR 23 (1810-11) – TL IR 23-&gt;IR 30 Nr. 1 (Dolis 31/10/1811); ST May-Oct 1810 (15/10/1810)</t>
        </r>
        <r>
          <rPr>
            <sz val="14"/>
            <color rgb="FF000000"/>
            <rFont val="Calibri"/>
            <family val="34"/>
          </rPr>
          <t xml:space="preserve">
</t>
        </r>
      </text>
    </comment>
    <comment ref="BH1196" authorId="0" shapeId="0" xr:uid="{34D87432-AE29-064F-BBE1-259E282778B8}">
      <text>
        <r>
          <rPr>
            <sz val="14"/>
            <color rgb="FF000000"/>
            <rFont val="Calibri"/>
            <family val="34"/>
          </rPr>
          <t xml:space="preserve">IR 23 (1809-1810)
</t>
        </r>
        <r>
          <rPr>
            <sz val="14"/>
            <color rgb="FF000000"/>
            <rFont val="Calibri"/>
            <family val="34"/>
          </rPr>
          <t>IR 9 (1810)</t>
        </r>
      </text>
    </comment>
    <comment ref="BF1197" authorId="0" shapeId="0" xr:uid="{8CC2C388-0A39-5D49-B6F9-00804D88288D}">
      <text>
        <r>
          <rPr>
            <sz val="14"/>
            <color rgb="FF000000"/>
            <rFont val="Times New Roman"/>
            <family val="18"/>
          </rPr>
          <t xml:space="preserve">03/1809 </t>
        </r>
        <r>
          <rPr>
            <i/>
            <sz val="14"/>
            <color rgb="FF000000"/>
            <rFont val="Times New Roman"/>
            <family val="18"/>
          </rPr>
          <t>Dient seit</t>
        </r>
        <r>
          <rPr>
            <sz val="14"/>
            <color rgb="FF000000"/>
            <rFont val="Times New Roman"/>
            <family val="18"/>
          </rPr>
          <t xml:space="preserve"> [TL Juni 1809]  </t>
        </r>
        <r>
          <rPr>
            <sz val="14"/>
            <color rgb="FF000000"/>
            <rFont val="Calibri"/>
            <family val="34"/>
          </rPr>
          <t xml:space="preserve">
</t>
        </r>
        <r>
          <rPr>
            <sz val="14"/>
            <color rgb="FF000000"/>
            <rFont val="Times New Roman"/>
            <family val="18"/>
          </rPr>
          <t xml:space="preserve">21/06/1809 </t>
        </r>
        <r>
          <rPr>
            <i/>
            <sz val="14"/>
            <color rgb="FF000000"/>
            <rFont val="Times New Roman"/>
            <family val="18"/>
          </rPr>
          <t xml:space="preserve">Von MFWK Wiener Pro Cento Division zum IR 4 Deutschmeister transferiert </t>
        </r>
        <r>
          <rPr>
            <sz val="14"/>
            <color rgb="FF000000"/>
            <rFont val="Times New Roman"/>
            <family val="18"/>
          </rPr>
          <t>[TL Juni 1809 &amp; ST June 1809]</t>
        </r>
        <r>
          <rPr>
            <sz val="14"/>
            <color rgb="FF000000"/>
            <rFont val="Calibri"/>
            <family val="34"/>
          </rPr>
          <t xml:space="preserve">
</t>
        </r>
        <r>
          <rPr>
            <sz val="14"/>
            <color rgb="FF000000"/>
            <rFont val="Times New Roman"/>
            <family val="18"/>
          </rPr>
          <t xml:space="preserve">05/08/1809 </t>
        </r>
        <r>
          <rPr>
            <i/>
            <sz val="14"/>
            <color rgb="FF000000"/>
            <rFont val="Times New Roman"/>
            <family val="18"/>
          </rPr>
          <t>Von IR 4 Deutschmeister zum MFWK Wiener Pro Division transferiert</t>
        </r>
        <r>
          <rPr>
            <sz val="14"/>
            <color rgb="FF000000"/>
            <rFont val="Times New Roman"/>
            <family val="18"/>
          </rPr>
          <t xml:space="preserve"> [TL Sept 1810 &amp; ST Aug 1809]</t>
        </r>
      </text>
    </comment>
    <comment ref="BG1197" authorId="0" shapeId="0" xr:uid="{ABF898FA-48BE-7E43-8095-634D90E733A2}">
      <text>
        <r>
          <rPr>
            <sz val="14"/>
            <color rgb="FF000000"/>
            <rFont val="Times New Roman"/>
            <family val="18"/>
          </rPr>
          <t>ML 399 IR 4 (1809) – ST June (30/07/1810), Aug (Vienna 01/09/1810)</t>
        </r>
        <r>
          <rPr>
            <sz val="14"/>
            <color rgb="FF000000"/>
            <rFont val="Calibri"/>
            <family val="34"/>
          </rPr>
          <t xml:space="preserve">
</t>
        </r>
        <r>
          <rPr>
            <sz val="14"/>
            <color rgb="FF000000"/>
            <rFont val="Times New Roman"/>
            <family val="18"/>
          </rPr>
          <t>ML 400/1 IR 4 (1809) – TL MFWK-&gt; IR 4 Nr. 10 (Groß Enzersdorf 16/06/1809); TL IR 4-&gt; MFWK Nr. 2 (Vienna 09/1810)</t>
        </r>
        <r>
          <rPr>
            <sz val="14"/>
            <color rgb="FF000000"/>
            <rFont val="Calibri"/>
            <family val="34"/>
          </rPr>
          <t xml:space="preserve">
</t>
        </r>
      </text>
    </comment>
    <comment ref="BH1197" authorId="0" shapeId="0" xr:uid="{DB1DDA8B-1042-EC4F-A4D6-5784808B81C6}">
      <text>
        <r>
          <rPr>
            <sz val="14"/>
            <color rgb="FF000000"/>
            <rFont val="Calibri"/>
            <family val="34"/>
          </rPr>
          <t>MFWK (1809)</t>
        </r>
      </text>
    </comment>
    <comment ref="I1198" authorId="0" shapeId="0" xr:uid="{13494B3E-587D-994E-A7EC-6FAEB9A7EE52}">
      <text>
        <r>
          <rPr>
            <sz val="14"/>
            <color rgb="FF000000"/>
            <rFont val="Calibri"/>
            <family val="34"/>
          </rPr>
          <t xml:space="preserve">1784 [30 (SUP 1814)] 
</t>
        </r>
        <r>
          <rPr>
            <sz val="14"/>
            <color rgb="FF000000"/>
            <rFont val="Calibri"/>
            <family val="34"/>
          </rPr>
          <t xml:space="preserve">OR
</t>
        </r>
        <r>
          <rPr>
            <sz val="14"/>
            <color rgb="FF000000"/>
            <rFont val="Calibri"/>
            <family val="34"/>
          </rPr>
          <t xml:space="preserve">1787 [24 (ML 1811)]
</t>
        </r>
        <r>
          <rPr>
            <sz val="14"/>
            <color rgb="FF000000"/>
            <rFont val="Calibri"/>
            <family val="34"/>
          </rPr>
          <t xml:space="preserve">OR
</t>
        </r>
        <r>
          <rPr>
            <b/>
            <sz val="14"/>
            <color rgb="FF000000"/>
            <rFont val="Calibri"/>
            <family val="34"/>
          </rPr>
          <t>1788 [20 (AL 1808)</t>
        </r>
        <r>
          <rPr>
            <sz val="14"/>
            <color rgb="FF000000"/>
            <rFont val="Calibri"/>
            <family val="34"/>
          </rPr>
          <t xml:space="preserve"> </t>
        </r>
      </text>
    </comment>
    <comment ref="T1198" authorId="0" shapeId="0" xr:uid="{E6F03171-F38B-674B-A85E-211D451D1D6D}">
      <text>
        <r>
          <rPr>
            <b/>
            <sz val="14"/>
            <color rgb="FF000000"/>
            <rFont val="Calibri"/>
            <family val="34"/>
          </rPr>
          <t xml:space="preserve">5.5 [171.15 cm (ML 1811)]
</t>
        </r>
        <r>
          <rPr>
            <sz val="14"/>
            <color rgb="FF000000"/>
            <rFont val="Calibri"/>
            <family val="34"/>
          </rPr>
          <t xml:space="preserve">5.5.2 [171.59 cm (PL 1811)]
</t>
        </r>
        <r>
          <rPr>
            <sz val="14"/>
            <color rgb="FF000000"/>
            <rFont val="Calibri"/>
            <family val="34"/>
          </rPr>
          <t>5.6.1 [174 cm (AL 1808)]</t>
        </r>
      </text>
    </comment>
    <comment ref="BF1198" authorId="0" shapeId="0" xr:uid="{D4BAE490-3F0C-EC45-BE06-70B977A9AF26}">
      <text>
        <r>
          <rPr>
            <sz val="14"/>
            <color rgb="FF000000"/>
            <rFont val="Times New Roman"/>
            <family val="18"/>
          </rPr>
          <t xml:space="preserve">05/08/1808 </t>
        </r>
        <r>
          <rPr>
            <i/>
            <sz val="14"/>
            <color rgb="FF000000"/>
            <rFont val="Times New Roman"/>
            <family val="18"/>
          </rPr>
          <t>Als Reserve Mann von 1. Bezirk Olmützer Anteil zum IR 1 Reserve Bataillon gestellt und zu, Haupt Volksmann Komp. eingeteilt</t>
        </r>
        <r>
          <rPr>
            <sz val="14"/>
            <color rgb="FF000000"/>
            <rFont val="Times New Roman"/>
            <family val="18"/>
          </rPr>
          <t xml:space="preserve"> [AL Aug 1808]</t>
        </r>
        <r>
          <rPr>
            <sz val="14"/>
            <color rgb="FF000000"/>
            <rFont val="Calibri"/>
            <family val="34"/>
          </rPr>
          <t xml:space="preserve">
</t>
        </r>
        <r>
          <rPr>
            <sz val="14"/>
            <color rgb="FF000000"/>
            <rFont val="Times New Roman"/>
            <family val="18"/>
          </rPr>
          <t xml:space="preserve">01/03/1809 </t>
        </r>
        <r>
          <rPr>
            <i/>
            <sz val="14"/>
            <color rgb="FF000000"/>
            <rFont val="Times New Roman"/>
            <family val="18"/>
          </rPr>
          <t xml:space="preserve">Als Reserve Mann zum IR 1 Haupt Janda </t>
        </r>
        <r>
          <rPr>
            <sz val="14"/>
            <color rgb="FF000000"/>
            <rFont val="Times New Roman"/>
            <family val="18"/>
          </rPr>
          <t xml:space="preserve">[11. Fus.] </t>
        </r>
        <r>
          <rPr>
            <i/>
            <sz val="14"/>
            <color rgb="FF000000"/>
            <rFont val="Times New Roman"/>
            <family val="18"/>
          </rPr>
          <t xml:space="preserve">Komp. als Reserve Mann mit 3Fl Handgeld und 10-jähriger Kapitulation präsentiert, seitdem beim Werbbezirk Revisiorat zugeteilt </t>
        </r>
        <r>
          <rPr>
            <sz val="14"/>
            <color rgb="FF000000"/>
            <rFont val="Times New Roman"/>
            <family val="18"/>
          </rPr>
          <t xml:space="preserve"> [PL Feb 1808]</t>
        </r>
        <r>
          <rPr>
            <sz val="14"/>
            <color rgb="FF000000"/>
            <rFont val="Calibri"/>
            <family val="34"/>
          </rPr>
          <t xml:space="preserve">
</t>
        </r>
        <r>
          <rPr>
            <sz val="14"/>
            <color rgb="FF000000"/>
            <rFont val="Times New Roman"/>
            <family val="18"/>
          </rPr>
          <t xml:space="preserve">09/03/1809 </t>
        </r>
        <r>
          <rPr>
            <i/>
            <sz val="14"/>
            <color rgb="FF000000"/>
            <rFont val="Times New Roman"/>
            <family val="18"/>
          </rPr>
          <t>Auf Anhero Marsch von Mähren</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07/04/1809 </t>
        </r>
        <r>
          <rPr>
            <i/>
            <sz val="14"/>
            <color rgb="FF000000"/>
            <rFont val="Times New Roman"/>
            <family val="18"/>
          </rPr>
          <t>In Kompanie eingerückt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20/04/1809 </t>
        </r>
        <r>
          <rPr>
            <i/>
            <sz val="14"/>
            <color rgb="FF000000"/>
            <rFont val="Times New Roman"/>
            <family val="18"/>
          </rPr>
          <t>Bei Kloster Rohr</t>
        </r>
        <r>
          <rPr>
            <sz val="14"/>
            <color rgb="FF000000"/>
            <rFont val="Times New Roman"/>
            <family val="18"/>
          </rPr>
          <t xml:space="preserve"> </t>
        </r>
        <r>
          <rPr>
            <b/>
            <sz val="14"/>
            <color rgb="FF000000"/>
            <rFont val="Times New Roman"/>
            <family val="18"/>
          </rPr>
          <t>[Schlacht von Abensberg]</t>
        </r>
        <r>
          <rPr>
            <sz val="14"/>
            <color rgb="FF000000"/>
            <rFont val="Times New Roman"/>
            <family val="18"/>
          </rPr>
          <t xml:space="preserve"> </t>
        </r>
        <r>
          <rPr>
            <i/>
            <sz val="14"/>
            <color rgb="FF000000"/>
            <rFont val="Times New Roman"/>
            <family val="18"/>
          </rPr>
          <t>in Kriegsgefangenschaft gefallen</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24/05/1810 </t>
        </r>
        <r>
          <rPr>
            <i/>
            <sz val="14"/>
            <color rgb="FF000000"/>
            <rFont val="Times New Roman"/>
            <family val="18"/>
          </rPr>
          <t xml:space="preserve">Ranzioniert worden und zu Lambach präsentiert seitdem auf anhero Marsch </t>
        </r>
        <r>
          <rPr>
            <sz val="14"/>
            <color rgb="FF000000"/>
            <rFont val="Times New Roman"/>
            <family val="18"/>
          </rPr>
          <t>[ST July 1810]</t>
        </r>
        <r>
          <rPr>
            <sz val="14"/>
            <color rgb="FF000000"/>
            <rFont val="Calibri"/>
            <family val="34"/>
          </rPr>
          <t xml:space="preserve">
</t>
        </r>
        <r>
          <rPr>
            <sz val="14"/>
            <color rgb="FF000000"/>
            <rFont val="Times New Roman"/>
            <family val="18"/>
          </rPr>
          <t xml:space="preserve">03/07/1810 </t>
        </r>
        <r>
          <rPr>
            <i/>
            <sz val="14"/>
            <color rgb="FF000000"/>
            <rFont val="Times New Roman"/>
            <family val="18"/>
          </rPr>
          <t>In Loco eingerückt</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14. Zum 6.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13/09/1811 Muster: IR 1 6. Fus. Komp. Nr. 261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 xml:space="preserve">16/09/1811 </t>
        </r>
        <r>
          <rPr>
            <i/>
            <sz val="14"/>
            <color rgb="FF000000"/>
            <rFont val="Times New Roman"/>
            <family val="18"/>
          </rPr>
          <t>Auf Bestimmte Zeit beurlaubt</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6. Zum 14.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23/10/1812 </t>
        </r>
        <r>
          <rPr>
            <i/>
            <sz val="14"/>
            <color rgb="FF000000"/>
            <rFont val="Times New Roman"/>
            <family val="18"/>
          </rPr>
          <t>Von Unbestimmte Urlaub eingerückt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14. Zum 18. Komp.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21/02/1813 </t>
        </r>
        <r>
          <rPr>
            <i/>
            <sz val="14"/>
            <color rgb="FF000000"/>
            <rFont val="Times New Roman"/>
            <family val="18"/>
          </rPr>
          <t>Von 18. Fus. Komp. zum 2. Depot Komp. transferiert</t>
        </r>
        <r>
          <rPr>
            <sz val="14"/>
            <color rgb="FF000000"/>
            <rFont val="Times New Roman"/>
            <family val="18"/>
          </rPr>
          <t xml:space="preserve"> [ST Feb 1813]</t>
        </r>
        <r>
          <rPr>
            <sz val="14"/>
            <color rgb="FF000000"/>
            <rFont val="Calibri"/>
            <family val="34"/>
          </rPr>
          <t xml:space="preserve">
</t>
        </r>
        <r>
          <rPr>
            <sz val="14"/>
            <color rgb="FF000000"/>
            <rFont val="Times New Roman"/>
            <family val="18"/>
          </rPr>
          <t xml:space="preserve">11/04/1813 </t>
        </r>
        <r>
          <rPr>
            <i/>
            <sz val="14"/>
            <color rgb="FF000000"/>
            <rFont val="Times New Roman"/>
            <family val="18"/>
          </rPr>
          <t>Von 2. zum 1. Depot Komp. transferiert</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01/10/1813 </t>
        </r>
        <r>
          <rPr>
            <i/>
            <sz val="14"/>
            <color rgb="FF000000"/>
            <rFont val="Times New Roman"/>
            <family val="18"/>
          </rPr>
          <t>Von 19. Fus [1. Depot] zum 20. Fus. Komp transferiert</t>
        </r>
        <r>
          <rPr>
            <sz val="14"/>
            <color rgb="FF000000"/>
            <rFont val="Times New Roman"/>
            <family val="18"/>
          </rPr>
          <t xml:space="preserve"> [ST Oct 1813]</t>
        </r>
        <r>
          <rPr>
            <sz val="14"/>
            <color rgb="FF000000"/>
            <rFont val="Calibri"/>
            <family val="34"/>
          </rPr>
          <t xml:space="preserve">
</t>
        </r>
        <r>
          <rPr>
            <sz val="14"/>
            <color rgb="FF000000"/>
            <rFont val="Times New Roman"/>
            <family val="18"/>
          </rPr>
          <t xml:space="preserve">21/06/1814 </t>
        </r>
        <r>
          <rPr>
            <i/>
            <sz val="14"/>
            <color rgb="FF000000"/>
            <rFont val="Times New Roman"/>
            <family val="18"/>
          </rPr>
          <t>Von dissolvierte 20. Fus. zum 15. Fus. Komp. transferiert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24/06/1814 </t>
        </r>
        <r>
          <rPr>
            <i/>
            <sz val="14"/>
            <color rgb="FF000000"/>
            <rFont val="Times New Roman"/>
            <family val="18"/>
          </rPr>
          <t>Wegen Gliederreißen und allgemeinen Körperschwäche zu Proßnitz superarbietriert</t>
        </r>
        <r>
          <rPr>
            <sz val="14"/>
            <color rgb="FF000000"/>
            <rFont val="Times New Roman"/>
            <family val="18"/>
          </rPr>
          <t>; Befund: Mit unheilbarem Gliederreißen und klagen gegenKörper schwache und ein Brustdefekt; Nach Assentierung Ohne Verschulde Alle Mittel Fruchtlos angewendet und auch Bad zum Trenchin ohne Erfolg [SUP 1814]</t>
        </r>
        <r>
          <rPr>
            <sz val="14"/>
            <color rgb="FF000000"/>
            <rFont val="Calibri"/>
            <family val="34"/>
          </rPr>
          <t xml:space="preserve">
</t>
        </r>
        <r>
          <rPr>
            <sz val="14"/>
            <color rgb="FF000000"/>
            <rFont val="Times New Roman"/>
            <family val="18"/>
          </rPr>
          <t xml:space="preserve">01/07/1814 </t>
        </r>
        <r>
          <rPr>
            <i/>
            <sz val="14"/>
            <color rgb="FF000000"/>
            <rFont val="Times New Roman"/>
            <family val="18"/>
          </rPr>
          <t>Beurlaubt</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20/08/1814 </t>
        </r>
        <r>
          <rPr>
            <i/>
            <sz val="14"/>
            <color rgb="FF000000"/>
            <rFont val="Times New Roman"/>
            <family val="18"/>
          </rPr>
          <t>Vermog hohen G:M:K: Anordnung dato Brünn am 20. Aug. R 7721 und den mit selben unter 26. July zu Olmütz geschehene hoher Superarbitrierung als Reale Invalid mit Abschied von Urlaub entlassen</t>
        </r>
        <r>
          <rPr>
            <sz val="14"/>
            <color rgb="FF000000"/>
            <rFont val="Times New Roman"/>
            <family val="18"/>
          </rPr>
          <t xml:space="preserve"> [ST Aug 1814] </t>
        </r>
      </text>
    </comment>
    <comment ref="BG1198" authorId="0" shapeId="0" xr:uid="{5213C437-CBC9-204B-B93E-E5EC7427E211}">
      <text>
        <r>
          <rPr>
            <sz val="14"/>
            <color rgb="FF000000"/>
            <rFont val="Times New Roman"/>
            <family val="18"/>
          </rPr>
          <t>ML 33 IR 1 (1811) – 6. Fus. Komp. Nr. 261 (Olmütz 13/09/1811)</t>
        </r>
        <r>
          <rPr>
            <sz val="14"/>
            <color rgb="FF000000"/>
            <rFont val="Calibri"/>
            <family val="34"/>
          </rPr>
          <t xml:space="preserve">
</t>
        </r>
        <r>
          <rPr>
            <sz val="14"/>
            <color rgb="FF000000"/>
            <rFont val="Times New Roman"/>
            <family val="18"/>
          </rPr>
          <t>ML 90 IR 1 (1808) – AL Reserve Nr. 81 (Olmütz 22/08/1808)</t>
        </r>
        <r>
          <rPr>
            <sz val="14"/>
            <color rgb="FF000000"/>
            <rFont val="Calibri"/>
            <family val="34"/>
          </rPr>
          <t xml:space="preserve">
</t>
        </r>
        <r>
          <rPr>
            <sz val="14"/>
            <color rgb="FF000000"/>
            <rFont val="Times New Roman"/>
            <family val="18"/>
          </rPr>
          <t>ML 91 IR 1 (1809) – ST March (Proßnitz 22/11/1809), April (Proßnitz 26/07/1810)</t>
        </r>
        <r>
          <rPr>
            <sz val="14"/>
            <color rgb="FF000000"/>
            <rFont val="Calibri"/>
            <family val="34"/>
          </rPr>
          <t xml:space="preserve">
</t>
        </r>
        <r>
          <rPr>
            <sz val="14"/>
            <color rgb="FF000000"/>
            <rFont val="Times New Roman"/>
            <family val="18"/>
          </rPr>
          <t>ML 92 IR 1 (1809) AL/TL – PL Reserve Nr. 171 (Olmütz 04/03/1809)</t>
        </r>
        <r>
          <rPr>
            <sz val="14"/>
            <color rgb="FF000000"/>
            <rFont val="Calibri"/>
            <family val="34"/>
          </rPr>
          <t xml:space="preserve">
</t>
        </r>
        <r>
          <rPr>
            <sz val="14"/>
            <color rgb="FF000000"/>
            <rFont val="Times New Roman"/>
            <family val="18"/>
          </rPr>
          <t>ML 94 IR 1 (1810) – ST July (Brünn 01/04/1810), Sept (Brünn 17/04/1810)</t>
        </r>
        <r>
          <rPr>
            <sz val="14"/>
            <color rgb="FF000000"/>
            <rFont val="Calibri"/>
            <family val="34"/>
          </rPr>
          <t xml:space="preserve">
</t>
        </r>
        <r>
          <rPr>
            <sz val="14"/>
            <color rgb="FF000000"/>
            <rFont val="Times New Roman"/>
            <family val="18"/>
          </rPr>
          <t>ML 96 IR 1 (1811) – ST Sept (Proßnitz 12/11/18)</t>
        </r>
        <r>
          <rPr>
            <sz val="14"/>
            <color rgb="FF000000"/>
            <rFont val="Calibri"/>
            <family val="34"/>
          </rPr>
          <t xml:space="preserve">
</t>
        </r>
        <r>
          <rPr>
            <sz val="14"/>
            <color rgb="FF000000"/>
            <rFont val="Times New Roman"/>
            <family val="18"/>
          </rPr>
          <t>ML 97 IR 1 (1812) – ST May (Proßnitz 24/08/1812), Oct (Proßnitz 20/02/1813), Nov (Proßnitz 30/03/1813)</t>
        </r>
        <r>
          <rPr>
            <sz val="14"/>
            <color rgb="FF000000"/>
            <rFont val="Calibri"/>
            <family val="34"/>
          </rPr>
          <t xml:space="preserve">
</t>
        </r>
        <r>
          <rPr>
            <sz val="14"/>
            <color rgb="FF000000"/>
            <rFont val="Times New Roman"/>
            <family val="18"/>
          </rPr>
          <t>ML 99 IR 1 (1813) – ST Feb (Proßnitz 10/06/1813), April (Proßnitz 31/07/1813), Oct (Proßnitz 15/03/1814)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June (Proßnitz 26/01/1815), July (Proßnitz 20/03/1815), Aug (Proßnitz 16/04/1815)</t>
        </r>
        <r>
          <rPr>
            <sz val="14"/>
            <color rgb="FF000000"/>
            <rFont val="Calibri"/>
            <family val="34"/>
          </rPr>
          <t xml:space="preserve">
</t>
        </r>
        <r>
          <rPr>
            <sz val="14"/>
            <color rgb="FF000000"/>
            <rFont val="Times New Roman"/>
            <family val="18"/>
          </rPr>
          <t>ML 104 IR 1 (1814) AL/TL – SUP Nr. 13 (Proßnitz 24/06/1814)</t>
        </r>
        <r>
          <rPr>
            <sz val="14"/>
            <color rgb="FF000000"/>
            <rFont val="Calibri"/>
            <family val="34"/>
          </rPr>
          <t xml:space="preserve">
</t>
        </r>
      </text>
    </comment>
    <comment ref="BH1198" authorId="0" shapeId="0" xr:uid="{8B2F23F2-2B2D-B241-A745-348FD01F35CE}">
      <text>
        <r>
          <rPr>
            <sz val="14"/>
            <color rgb="FF000000"/>
            <rFont val="Calibri"/>
            <family val="34"/>
          </rPr>
          <t>IR 1 (1809-1814)</t>
        </r>
      </text>
    </comment>
    <comment ref="BI1198" authorId="0" shapeId="0" xr:uid="{021E42EA-CDEA-4C48-8DF5-E03D92DE888E}">
      <text>
        <r>
          <rPr>
            <i/>
            <sz val="14"/>
            <color rgb="FF000000"/>
            <rFont val="Times New Roman"/>
            <family val="18"/>
          </rPr>
          <t>Gute</t>
        </r>
        <r>
          <rPr>
            <sz val="14"/>
            <color rgb="FF000000"/>
            <rFont val="Times New Roman"/>
            <family val="18"/>
          </rPr>
          <t xml:space="preserve"> [SUP June 1814]</t>
        </r>
        <r>
          <rPr>
            <sz val="14"/>
            <color rgb="FF000000"/>
            <rFont val="Calibri"/>
            <family val="2"/>
          </rPr>
          <t xml:space="preserve"> </t>
        </r>
      </text>
    </comment>
    <comment ref="BJ1198" authorId="0" shapeId="0" xr:uid="{1ACB2A81-A44A-3843-8960-0B6140F23180}">
      <text>
        <r>
          <rPr>
            <i/>
            <sz val="14"/>
            <color rgb="FF000000"/>
            <rFont val="Times New Roman"/>
            <family val="18"/>
          </rPr>
          <t>Gliederreißen und allgemeinen Körperschwäche</t>
        </r>
        <r>
          <rPr>
            <sz val="14"/>
            <color rgb="FF000000"/>
            <rFont val="Times New Roman"/>
            <family val="18"/>
          </rPr>
          <t xml:space="preserve"> [SUP June 1814]</t>
        </r>
      </text>
    </comment>
    <comment ref="BF1199" authorId="0" shapeId="0" xr:uid="{586BAB0A-47B0-014F-B4D8-82A40FD4D9E1}">
      <text>
        <r>
          <rPr>
            <sz val="14"/>
            <color rgb="FF000000"/>
            <rFont val="Times New Roman"/>
            <family val="18"/>
          </rPr>
          <t xml:space="preserve">01/03/1809 </t>
        </r>
        <r>
          <rPr>
            <i/>
            <sz val="14"/>
            <color rgb="FF000000"/>
            <rFont val="Times New Roman"/>
            <family val="18"/>
          </rPr>
          <t>Als landständische Rekrut a 3Fl auf 10 Jahre zum IR 4 assentiert und zur 1. Depot Komp. eingeheilt</t>
        </r>
        <r>
          <rPr>
            <sz val="14"/>
            <color rgb="FF000000"/>
            <rFont val="Times New Roman"/>
            <family val="18"/>
          </rPr>
          <t xml:space="preserve"> [TL March 1809]</t>
        </r>
        <r>
          <rPr>
            <sz val="14"/>
            <color rgb="FF000000"/>
            <rFont val="Calibri"/>
            <family val="34"/>
          </rPr>
          <t xml:space="preserve">
</t>
        </r>
        <r>
          <rPr>
            <sz val="14"/>
            <color rgb="FF000000"/>
            <rFont val="Times New Roman"/>
            <family val="18"/>
          </rPr>
          <t>06/09/1811 Muster: IR 4 7. Fus. Komp. Nr. 148 [</t>
        </r>
        <r>
          <rPr>
            <i/>
            <sz val="14"/>
            <color rgb="FF000000"/>
            <rFont val="Times New Roman"/>
            <family val="18"/>
          </rPr>
          <t>Beurlaubt bis zur Exercierzeit zu Wien in Niederösterreich</t>
        </r>
        <r>
          <rPr>
            <sz val="14"/>
            <color rgb="FF000000"/>
            <rFont val="Times New Roman"/>
            <family val="18"/>
          </rPr>
          <t xml:space="preserve">]
</t>
        </r>
      </text>
    </comment>
    <comment ref="BG1199" authorId="0" shapeId="0" xr:uid="{B9032B57-33E6-3047-9FCC-17988FB2E3FA}">
      <text>
        <r>
          <rPr>
            <sz val="14"/>
            <color rgb="FF000000"/>
            <rFont val="Times New Roman"/>
            <family val="18"/>
          </rPr>
          <t>ML 351/2 IR 4 (1811) – 6. Fus. Komp. Nr. 102 (Vienna 06/09/1811), 7. Fus. Komp. Nr. 148 (Mauer 07/09/1811)</t>
        </r>
        <r>
          <rPr>
            <sz val="14"/>
            <color rgb="FF000000"/>
            <rFont val="Calibri"/>
            <family val="34"/>
          </rPr>
          <t xml:space="preserve">
</t>
        </r>
        <r>
          <rPr>
            <sz val="14"/>
            <color rgb="FF000000"/>
            <rFont val="Times New Roman"/>
            <family val="18"/>
          </rPr>
          <t>ML 400/1 IR 4 (1809) – AL Nr. 350 (Vienna 07/03/1809)</t>
        </r>
        <r>
          <rPr>
            <sz val="14"/>
            <color rgb="FF000000"/>
            <rFont val="Calibri"/>
            <family val="34"/>
          </rPr>
          <t xml:space="preserve">
</t>
        </r>
      </text>
    </comment>
    <comment ref="BH1199" authorId="0" shapeId="0" xr:uid="{7F0F27B7-707B-D241-A95A-EFA60C962C26}">
      <text>
        <r>
          <rPr>
            <sz val="14"/>
            <color rgb="FF000000"/>
            <rFont val="Calibri"/>
            <family val="34"/>
          </rPr>
          <t xml:space="preserve">IR 4 (1809-1811)
</t>
        </r>
      </text>
    </comment>
    <comment ref="BF1200" authorId="0" shapeId="0" xr:uid="{158965CD-2BA3-354D-A1B6-A340E9134D66}">
      <text>
        <r>
          <rPr>
            <sz val="14"/>
            <color rgb="FF000000"/>
            <rFont val="Times New Roman"/>
            <family val="18"/>
          </rPr>
          <t xml:space="preserve">01/03/1809 </t>
        </r>
        <r>
          <rPr>
            <i/>
            <sz val="14"/>
            <color rgb="FF000000"/>
            <rFont val="Times New Roman"/>
            <family val="18"/>
          </rPr>
          <t>Auf 15 Gulden Werbgeld (davon 10Fl Handgeld und 5 Gulden anbringsgeld und Umkosten) zum 1. Bataillon von Mährisch-schlesischen Freiwillige angeworben und zum 4.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6-8/05/1809 </t>
        </r>
        <r>
          <rPr>
            <i/>
            <sz val="14"/>
            <color rgb="FF000000"/>
            <rFont val="Times New Roman"/>
            <family val="18"/>
          </rPr>
          <t>Unwissend verloren</t>
        </r>
        <r>
          <rPr>
            <sz val="14"/>
            <color rgb="FF000000"/>
            <rFont val="Times New Roman"/>
            <family val="18"/>
          </rPr>
          <t xml:space="preserve"> [ST May 1809]</t>
        </r>
      </text>
    </comment>
    <comment ref="BG1200" authorId="0" shapeId="0" xr:uid="{9EE4B750-C40E-BB42-87B8-92C43DD711B6}">
      <text>
        <r>
          <rPr>
            <sz val="14"/>
            <color rgb="FF000000"/>
            <rFont val="Times New Roman"/>
            <family val="18"/>
          </rPr>
          <t>ST 10.821 Mähr-Schls. FW 1-2. Bats (1809-10) – AL Nr. 39 (Brunn 08/03/1809), ST March (31/03/1810), ST May (31/10/1810)</t>
        </r>
      </text>
    </comment>
    <comment ref="BH1200" authorId="0" shapeId="0" xr:uid="{156951EB-A26E-7540-A931-B8B5782EA9A7}">
      <text>
        <r>
          <rPr>
            <sz val="14"/>
            <color rgb="FF000000"/>
            <rFont val="Calibri"/>
            <family val="34"/>
          </rPr>
          <t>Mährisch-schlesischen Freiwillige (1809)</t>
        </r>
      </text>
    </comment>
    <comment ref="BF1201" authorId="0" shapeId="0" xr:uid="{80DC8D87-0BF4-644D-86EB-C03955020FD1}">
      <text>
        <r>
          <rPr>
            <sz val="14"/>
            <color rgb="FF000000"/>
            <rFont val="Times New Roman"/>
            <family val="18"/>
          </rPr>
          <t xml:space="preserve">01/03/1809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kleiner Statur, brauner Augen, schwarzer Haar, kleinen Angesicht</t>
        </r>
        <r>
          <rPr>
            <sz val="14"/>
            <color rgb="FF000000"/>
            <rFont val="Times New Roman"/>
            <family val="18"/>
          </rPr>
          <t xml:space="preserve"> [AL March 1809] [AL March 1809]</t>
        </r>
      </text>
    </comment>
    <comment ref="BG1201" authorId="0" shapeId="0" xr:uid="{C6FBBC4E-B368-8343-A7B8-2D7F934E3E98}">
      <text>
        <r>
          <rPr>
            <sz val="14"/>
            <color rgb="FF000000"/>
            <rFont val="Times New Roman"/>
            <family val="18"/>
          </rPr>
          <t xml:space="preserve">ML 11.863 ArtHand (1809) AL/TL </t>
        </r>
        <r>
          <rPr>
            <sz val="14"/>
            <color rgb="FF000000"/>
            <rFont val="Times New Roman"/>
            <family val="18"/>
          </rPr>
          <t>– AL Nr. 1 (Sanok 06/03/1809)</t>
        </r>
      </text>
    </comment>
    <comment ref="BH1201" authorId="0" shapeId="0" xr:uid="{C3914414-20EB-9E4D-A620-3D810602C13A}">
      <text>
        <r>
          <rPr>
            <sz val="14"/>
            <color rgb="FF000000"/>
            <rFont val="Calibri"/>
            <family val="34"/>
          </rPr>
          <t>ArtHandK (1809)</t>
        </r>
      </text>
    </comment>
    <comment ref="BF1202" authorId="0" shapeId="0" xr:uid="{E4061CB5-0C0D-2042-8FF9-03EDC8B43ED5}">
      <text>
        <r>
          <rPr>
            <sz val="14"/>
            <color rgb="FF000000"/>
            <rFont val="Times New Roman"/>
            <family val="18"/>
          </rPr>
          <t xml:space="preserve">03/03/1809 </t>
        </r>
        <r>
          <rPr>
            <i/>
            <sz val="14"/>
            <color rgb="FF000000"/>
            <rFont val="Times New Roman"/>
            <family val="18"/>
          </rPr>
          <t>Mit 10 jähriger Capitulation zu Kentj assentiert</t>
        </r>
        <r>
          <rPr>
            <sz val="14"/>
            <color rgb="FF000000"/>
            <rFont val="Times New Roman"/>
            <family val="18"/>
          </rPr>
          <t xml:space="preserve"> [TL May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IR 56 1. Depot Komp. von Haupt Wagner zum Egal FB 3 transferiert und zum 1. Fusilier Komp. Haupt Graf Neuhaus eingetheilt</t>
        </r>
        <r>
          <rPr>
            <sz val="14"/>
            <color rgb="FF000000"/>
            <rFont val="Times New Roman"/>
            <family val="18"/>
          </rPr>
          <t xml:space="preserve"> [TL May 1809 &amp; ST June 1809]</t>
        </r>
        <r>
          <rPr>
            <sz val="14"/>
            <color rgb="FF000000"/>
            <rFont val="Calibri"/>
            <family val="34"/>
          </rPr>
          <t xml:space="preserve">
</t>
        </r>
        <r>
          <rPr>
            <sz val="14"/>
            <color rgb="FF000000"/>
            <rFont val="Times New Roman"/>
            <family val="18"/>
          </rPr>
          <t>08/08/1809</t>
        </r>
        <r>
          <rPr>
            <i/>
            <sz val="14"/>
            <color rgb="FF000000"/>
            <rFont val="Times New Roman"/>
            <family val="18"/>
          </rPr>
          <t xml:space="preserve"> Desertiert</t>
        </r>
        <r>
          <rPr>
            <sz val="14"/>
            <color rgb="FF000000"/>
            <rFont val="Times New Roman"/>
            <family val="18"/>
          </rPr>
          <t xml:space="preserve"> [ST June 1809] </t>
        </r>
      </text>
    </comment>
    <comment ref="BG1202" authorId="0" shapeId="0" xr:uid="{6008E825-84AA-A34B-88C5-2736C835EDA3}">
      <text>
        <r>
          <rPr>
            <sz val="14"/>
            <color rgb="FF000000"/>
            <rFont val="Times New Roman"/>
            <family val="18"/>
          </rPr>
          <t>ST 10.832 Egal FB 3 (1809-10) – TL IR 56-&gt; Egal FB 3 Nr. 1 (Teschen 28/11/1809), ST June (Brünn 12/10/1810), ST August (Tischnowitz 31/10/1810)</t>
        </r>
      </text>
    </comment>
    <comment ref="BH1202" authorId="0" shapeId="0" xr:uid="{8965CB04-3DEC-8B46-B12C-AE0DE5C0A481}">
      <text>
        <r>
          <rPr>
            <sz val="14"/>
            <color rgb="FF000000"/>
            <rFont val="Calibri"/>
            <family val="34"/>
          </rPr>
          <t xml:space="preserve">IR 56 (1809)
</t>
        </r>
        <r>
          <rPr>
            <sz val="14"/>
            <color rgb="FF000000"/>
            <rFont val="Calibri"/>
            <family val="34"/>
          </rPr>
          <t>EGal FBat 3 (1809)</t>
        </r>
      </text>
    </comment>
    <comment ref="BF1203" authorId="0" shapeId="0" xr:uid="{F31EB3CC-E85D-764C-B32B-FD4F2A6EDABB}">
      <text>
        <r>
          <rPr>
            <sz val="14"/>
            <color rgb="FF000000"/>
            <rFont val="Times New Roman"/>
            <family val="18"/>
          </rPr>
          <t xml:space="preserve">03/03/1809 </t>
        </r>
        <r>
          <rPr>
            <i/>
            <sz val="14"/>
            <color rgb="FF000000"/>
            <rFont val="Times New Roman"/>
            <family val="18"/>
          </rPr>
          <t>zu Michow gegen 3Fl Handgeld assentiert</t>
        </r>
        <r>
          <rPr>
            <sz val="14"/>
            <color rgb="FF000000"/>
            <rFont val="Times New Roman"/>
            <family val="18"/>
          </rPr>
          <t xml:space="preserve"> [TL Sept 1809]</t>
        </r>
        <r>
          <rPr>
            <sz val="14"/>
            <color rgb="FF000000"/>
            <rFont val="Calibri"/>
            <family val="34"/>
          </rPr>
          <t xml:space="preserve">
</t>
        </r>
        <r>
          <rPr>
            <sz val="14"/>
            <color rgb="FF000000"/>
            <rFont val="Times New Roman"/>
            <family val="18"/>
          </rPr>
          <t xml:space="preserve">25/05/1809 </t>
        </r>
        <r>
          <rPr>
            <i/>
            <sz val="14"/>
            <color rgb="FF000000"/>
            <rFont val="Times New Roman"/>
            <family val="18"/>
          </rPr>
          <t>In Folge hoher Verordnung von Von IR 7 Wilhelm Schröder 2. Depot Komp. Zum WGal FB 2 transferiert und zum 5. Komp. Haupt CaptLt Franz Baron Drake eingeteilt</t>
        </r>
        <r>
          <rPr>
            <sz val="14"/>
            <color rgb="FF000000"/>
            <rFont val="Times New Roman"/>
            <family val="18"/>
          </rPr>
          <t xml:space="preserve"> [TL Sept 1809 &amp; ST May 1809]</t>
        </r>
        <r>
          <rPr>
            <sz val="14"/>
            <color rgb="FF000000"/>
            <rFont val="Calibri"/>
            <family val="34"/>
          </rPr>
          <t xml:space="preserve">
</t>
        </r>
        <r>
          <rPr>
            <sz val="14"/>
            <color rgb="FF000000"/>
            <rFont val="Times New Roman"/>
            <family val="18"/>
          </rPr>
          <t xml:space="preserve">26/07/1809 </t>
        </r>
        <r>
          <rPr>
            <i/>
            <sz val="14"/>
            <color rgb="FF000000"/>
            <rFont val="Times New Roman"/>
            <family val="18"/>
          </rPr>
          <t>Krank in Feldspitalspital mit auswärtiger Verpflegung</t>
        </r>
        <r>
          <rPr>
            <sz val="14"/>
            <color rgb="FF000000"/>
            <rFont val="Times New Roman"/>
            <family val="18"/>
          </rPr>
          <t xml:space="preserve"> [ST July 1809) </t>
        </r>
        <r>
          <rPr>
            <sz val="14"/>
            <color rgb="FF000000"/>
            <rFont val="Calibri"/>
            <family val="34"/>
          </rPr>
          <t xml:space="preserve">
</t>
        </r>
        <r>
          <rPr>
            <sz val="14"/>
            <color rgb="FF000000"/>
            <rFont val="Times New Roman"/>
            <family val="18"/>
          </rPr>
          <t xml:space="preserve">15/08/1809 </t>
        </r>
        <r>
          <rPr>
            <i/>
            <sz val="14"/>
            <color rgb="FF000000"/>
            <rFont val="Times New Roman"/>
            <family val="18"/>
          </rPr>
          <t>In loco Gestorben</t>
        </r>
        <r>
          <rPr>
            <sz val="14"/>
            <color rgb="FF000000"/>
            <rFont val="Times New Roman"/>
            <family val="18"/>
          </rPr>
          <t xml:space="preserve"> [ST August 1809]</t>
        </r>
      </text>
    </comment>
    <comment ref="BG1203" authorId="0" shapeId="0" xr:uid="{4E1C27F9-F9FA-E54F-9243-1F5794E6FAAA}">
      <text>
        <r>
          <rPr>
            <sz val="14"/>
            <color rgb="FF000000"/>
            <rFont val="Times New Roman"/>
            <family val="18"/>
          </rPr>
          <t xml:space="preserve">ML 10.831 WGal FB 2 (1809-10) – TL IR 7-&gt; WGal FB 2 Nr. 20 (Sternberg ??/09/1809), ST May (Tischmanitz 10/10/1810), ST July (Brünn 20/12/1810), ST August (Brünn 24/12/1810)
</t>
        </r>
      </text>
    </comment>
    <comment ref="BH1203" authorId="0" shapeId="0" xr:uid="{71630656-A8A2-6147-B8E5-DEA9D6B2151E}">
      <text>
        <r>
          <rPr>
            <sz val="14"/>
            <color rgb="FF000000"/>
            <rFont val="Calibri"/>
            <family val="34"/>
          </rPr>
          <t>WGal FB 2 (1809)</t>
        </r>
      </text>
    </comment>
    <comment ref="BF1204" authorId="0" shapeId="0" xr:uid="{A403F7B4-0A26-0546-A9B7-962CCBC0AF4A}">
      <text>
        <r>
          <rPr>
            <sz val="14"/>
            <color rgb="FF000000"/>
            <rFont val="Times New Roman"/>
            <family val="18"/>
          </rPr>
          <t>04/03/1809 von Land gestelt a 3Fl [ML 1817]</t>
        </r>
        <r>
          <rPr>
            <sz val="14"/>
            <color rgb="FF000000"/>
            <rFont val="Calibri"/>
            <family val="34"/>
          </rPr>
          <t xml:space="preserve">
</t>
        </r>
        <r>
          <rPr>
            <sz val="14"/>
            <color rgb="FF000000"/>
            <rFont val="Times New Roman"/>
            <family val="18"/>
          </rPr>
          <t xml:space="preserve">16/05/1809 </t>
        </r>
        <r>
          <rPr>
            <i/>
            <sz val="14"/>
            <color rgb="FF000000"/>
            <rFont val="Times New Roman"/>
            <family val="18"/>
          </rPr>
          <t>von Vukasovich inf,</t>
        </r>
        <r>
          <rPr>
            <sz val="14"/>
            <color rgb="FF000000"/>
            <rFont val="Times New Roman"/>
            <family val="18"/>
          </rPr>
          <t xml:space="preserve"> </t>
        </r>
        <r>
          <rPr>
            <b/>
            <sz val="14"/>
            <color rgb="FF000000"/>
            <rFont val="Times New Roman"/>
            <family val="18"/>
          </rPr>
          <t>[HIR 48]</t>
        </r>
        <r>
          <rPr>
            <sz val="14"/>
            <color rgb="FF000000"/>
            <rFont val="Times New Roman"/>
            <family val="18"/>
          </rPr>
          <t xml:space="preserve"> Zum HR 1</t>
        </r>
        <r>
          <rPr>
            <i/>
            <sz val="14"/>
            <color rgb="FF000000"/>
            <rFont val="Times New Roman"/>
            <family val="18"/>
          </rPr>
          <t xml:space="preserve">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16/08/1812 </t>
        </r>
        <r>
          <rPr>
            <i/>
            <sz val="14"/>
            <color rgb="FF000000"/>
            <rFont val="Times New Roman"/>
            <family val="18"/>
          </rPr>
          <t>zum Corporal avanciert</t>
        </r>
        <r>
          <rPr>
            <sz val="14"/>
            <color rgb="FF000000"/>
            <rFont val="Times New Roman"/>
            <family val="18"/>
          </rPr>
          <t xml:space="preserve"> [ML 1817]</t>
        </r>
        <r>
          <rPr>
            <sz val="14"/>
            <color rgb="FF000000"/>
            <rFont val="Calibri"/>
            <family val="34"/>
          </rPr>
          <t xml:space="preserve">
</t>
        </r>
        <r>
          <rPr>
            <sz val="14"/>
            <color rgb="FF000000"/>
            <rFont val="Times New Roman"/>
            <family val="18"/>
          </rPr>
          <t>04/09/1817 Musterung: HR 1 Obrist 2. Esk Nr 20</t>
        </r>
        <r>
          <rPr>
            <sz val="14"/>
            <color rgb="FF000000"/>
            <rFont val="Calibri"/>
            <family val="34"/>
          </rPr>
          <t xml:space="preserve">
</t>
        </r>
      </text>
    </comment>
    <comment ref="BG1204" authorId="0" shapeId="0" xr:uid="{F0F97A94-6471-6541-8DC7-3167678B19ED}">
      <text>
        <r>
          <rPr>
            <sz val="14"/>
            <color rgb="FF000000"/>
            <rFont val="Times New Roman"/>
            <family val="18"/>
          </rPr>
          <t>ML HR 1 (1817) ‘Kaiser’ – Heft von Obrist 2. Squad Nr. 20 (Upecs 04/09/1817)</t>
        </r>
      </text>
    </comment>
    <comment ref="BH1204" authorId="0" shapeId="0" xr:uid="{FF58562D-B71A-C142-9DB7-D7D773684AB6}">
      <text>
        <r>
          <rPr>
            <sz val="14"/>
            <color rgb="FF000000"/>
            <rFont val="Calibri"/>
            <family val="34"/>
          </rPr>
          <t xml:space="preserve">IR 48 (1809)
</t>
        </r>
        <r>
          <rPr>
            <sz val="14"/>
            <color rgb="FF000000"/>
            <rFont val="Calibri"/>
            <family val="34"/>
          </rPr>
          <t>HR 1 (1809-1817)</t>
        </r>
      </text>
    </comment>
    <comment ref="BF1205" authorId="0" shapeId="0" xr:uid="{C95AB8BE-CF43-B941-A23F-4A243E175D32}">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Gefreiter zum Corporal avanciert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31/10/1809 </t>
        </r>
        <r>
          <rPr>
            <i/>
            <sz val="14"/>
            <color rgb="FF000000"/>
            <rFont val="Times New Roman"/>
            <family val="18"/>
          </rPr>
          <t>Von 4. Zum 6 Komp.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b/>
            <sz val="14"/>
            <color rgb="FF000000"/>
            <rFont val="Times New Roman"/>
            <family val="18"/>
          </rPr>
          <t xml:space="preserve"> </t>
        </r>
      </text>
    </comment>
    <comment ref="BG1205" authorId="0" shapeId="0" xr:uid="{4A67FB5A-2880-7E40-AD24-3A23D0CDF0CE}">
      <text>
        <r>
          <rPr>
            <sz val="14"/>
            <color rgb="FF000000"/>
            <rFont val="Times New Roman"/>
            <family val="18"/>
          </rPr>
          <t>ML 10.815 EH Carl FK (1809-10) – AL Nr. 57 (Prague 06/03/1809), ST March (Prague 21/06/1809); ST April (18/07/1809), ST June (Prague 04/11/1809), ST Nov (30/08/1810), ST Jan 1810 (??)</t>
        </r>
        <r>
          <rPr>
            <sz val="14"/>
            <color rgb="FF000000"/>
            <rFont val="Calibri"/>
            <family val="34"/>
          </rPr>
          <t xml:space="preserve">
</t>
        </r>
      </text>
    </comment>
    <comment ref="BH1205" authorId="0" shapeId="0" xr:uid="{77310FDB-3194-D147-A828-5DDB538EE90B}">
      <text>
        <r>
          <rPr>
            <sz val="14"/>
            <color rgb="FF000000"/>
            <rFont val="Calibri"/>
            <family val="34"/>
          </rPr>
          <t>Legion EH Carl (1809-10)</t>
        </r>
      </text>
    </comment>
    <comment ref="BF1206" authorId="0" shapeId="0" xr:uid="{44A328BD-DB73-DF40-B797-0BC499616240}">
      <text>
        <r>
          <rPr>
            <sz val="14"/>
            <color rgb="FF000000"/>
            <rFont val="Times New Roman"/>
            <family val="18"/>
          </rPr>
          <t xml:space="preserve">06/03/1809 </t>
        </r>
        <r>
          <rPr>
            <i/>
            <sz val="14"/>
            <color rgb="FF000000"/>
            <rFont val="Times New Roman"/>
            <family val="18"/>
          </rPr>
          <t>Von 1. Rakonitzer Landwehr Bataillon sich freiwillig zur EH Carl Legion 2. Bataillon gegen 3Fl gestellt und zum 3.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11/07/1809 </t>
        </r>
        <r>
          <rPr>
            <b/>
            <sz val="14"/>
            <color rgb="FF000000"/>
            <rFont val="Times New Roman"/>
            <family val="18"/>
          </rPr>
          <t xml:space="preserve">[Verlezt in Znaim?]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21/12/1809 </t>
        </r>
        <r>
          <rPr>
            <i/>
            <sz val="14"/>
            <color rgb="FF000000"/>
            <rFont val="Times New Roman"/>
            <family val="18"/>
          </rPr>
          <t>Reconvalesiert und seitdem Zugeheilt beim Depot mit Friedensgebühr</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15/01/1810 </t>
        </r>
        <r>
          <rPr>
            <i/>
            <sz val="14"/>
            <color rgb="FF000000"/>
            <rFont val="Times New Roman"/>
            <family val="18"/>
          </rPr>
          <t>Zurück ins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1206" authorId="0" shapeId="0" xr:uid="{1054EC47-DD37-374C-9650-A5E6B65E0D93}">
      <text>
        <r>
          <rPr>
            <sz val="14"/>
            <color rgb="FF000000"/>
            <rFont val="Times New Roman"/>
            <family val="18"/>
          </rPr>
          <t>ML 10.815 EH Carl FK (1809-10) – AL Nr. 36 (Prague 06/03/1809), ST March (Prague 21/06/1809), ST May (28/09/1809), Juni (Prague 04/11/1809), ST Juli (30/05/1810); ST Aug (Prague 30/05/1810). ST Jan (??); ST Aug 1810 (Prague 30/10/1810)</t>
        </r>
        <r>
          <rPr>
            <sz val="14"/>
            <color rgb="FF000000"/>
            <rFont val="Calibri"/>
            <family val="34"/>
          </rPr>
          <t xml:space="preserve">
</t>
        </r>
      </text>
    </comment>
    <comment ref="BH1206" authorId="0" shapeId="0" xr:uid="{828D6F6D-EA4F-7C46-9B95-875B119BB2D5}">
      <text>
        <r>
          <rPr>
            <sz val="14"/>
            <color rgb="FF000000"/>
            <rFont val="Calibri"/>
            <family val="34"/>
          </rPr>
          <t>Legion EH Carl (1809-10)</t>
        </r>
      </text>
    </comment>
    <comment ref="BF1207" authorId="0" shapeId="0" xr:uid="{A7B4EACA-C08E-164B-A379-8B9A3E1CF9DC}">
      <text>
        <r>
          <rPr>
            <sz val="14"/>
            <color rgb="FF000000"/>
            <rFont val="Times New Roman"/>
            <family val="18"/>
          </rPr>
          <t xml:space="preserve">06/03/1809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kleiner magerer Statur, brauner Augen, brauner Haar, Mageren Angesicht</t>
        </r>
        <r>
          <rPr>
            <sz val="14"/>
            <color rgb="FF000000"/>
            <rFont val="Times New Roman"/>
            <family val="18"/>
          </rPr>
          <t xml:space="preserve"> [AL March 1809]</t>
        </r>
      </text>
    </comment>
    <comment ref="BG1207" authorId="0" shapeId="0" xr:uid="{7D83D405-6E22-654D-8F07-C9FA99B45769}">
      <text>
        <r>
          <rPr>
            <sz val="14"/>
            <color rgb="FF000000"/>
            <rFont val="Times New Roman"/>
            <family val="18"/>
          </rPr>
          <t>ML 11.863 ArtHand (1809) AL/TL – AL Nr. 98 (Sanok 06/03/1809)</t>
        </r>
      </text>
    </comment>
    <comment ref="BH1207" authorId="0" shapeId="0" xr:uid="{65BA2DF0-02B3-934D-BA77-05E31BADE59C}">
      <text>
        <r>
          <rPr>
            <sz val="14"/>
            <color rgb="FF000000"/>
            <rFont val="Calibri"/>
            <family val="34"/>
          </rPr>
          <t>ArtHandK (1809)</t>
        </r>
      </text>
    </comment>
    <comment ref="BF1208" authorId="0" shapeId="0" xr:uid="{B1F793ED-2C77-2D42-B31C-35761CA77F5B}">
      <text>
        <r>
          <rPr>
            <sz val="14"/>
            <color rgb="FF000000"/>
            <rFont val="Times New Roman"/>
            <family val="18"/>
          </rPr>
          <t xml:space="preserve">06/03/1809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kleiner magere Statur, brauner Augen, schwarzer Haar, Runden Angesicht</t>
        </r>
        <r>
          <rPr>
            <sz val="14"/>
            <color rgb="FF000000"/>
            <rFont val="Times New Roman"/>
            <family val="18"/>
          </rPr>
          <t xml:space="preserve"> [AL March 1809]</t>
        </r>
      </text>
    </comment>
    <comment ref="BG1208" authorId="0" shapeId="0" xr:uid="{0C81AD4B-D2DB-E54E-B9FC-BFAE267B8A20}">
      <text>
        <r>
          <rPr>
            <sz val="14"/>
            <color rgb="FF000000"/>
            <rFont val="Times New Roman"/>
            <family val="18"/>
          </rPr>
          <t>ML 11.863 ArtHand (1809) AL/TL – AL Nr. 99 (Sanok 06/03/1809)</t>
        </r>
      </text>
    </comment>
    <comment ref="BH1208" authorId="0" shapeId="0" xr:uid="{CB2232CB-1AF0-6641-9759-37D481B56FCB}">
      <text>
        <r>
          <rPr>
            <sz val="14"/>
            <color rgb="FF000000"/>
            <rFont val="Calibri"/>
            <family val="34"/>
          </rPr>
          <t>ArtHandK (1809)</t>
        </r>
      </text>
    </comment>
    <comment ref="BF1209" authorId="0" shapeId="0" xr:uid="{312F426E-E9FC-E149-8102-73F392BE70DF}">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22/05/1809 </t>
        </r>
        <r>
          <rPr>
            <i/>
            <sz val="14"/>
            <color rgb="FF000000"/>
            <rFont val="Times New Roman"/>
            <family val="18"/>
          </rPr>
          <t>In der Schlacht von Aspern Blessirt und seitdem Krank in Armee Spital</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29/05/1809 </t>
        </r>
        <r>
          <rPr>
            <i/>
            <sz val="14"/>
            <color rgb="FF000000"/>
            <rFont val="Times New Roman"/>
            <family val="18"/>
          </rPr>
          <t>Beim Depot eingerückt und dort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Wieder mit Auswärtigen Gebühr krank in Feld Spital</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05/07/1809 </t>
        </r>
        <r>
          <rPr>
            <i/>
            <sz val="14"/>
            <color rgb="FF000000"/>
            <rFont val="Times New Roman"/>
            <family val="18"/>
          </rPr>
          <t>Beim Depot eingerückt und dort mit Friedensgebühr</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Gemeiner zum Gefreyter avanciert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11/01/1810 </t>
        </r>
        <r>
          <rPr>
            <i/>
            <sz val="14"/>
            <color rgb="FF000000"/>
            <rFont val="Times New Roman"/>
            <family val="18"/>
          </rPr>
          <t>Mit Auswärtiger Krank in Armee Spitaler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16/02/1810</t>
        </r>
        <r>
          <rPr>
            <i/>
            <sz val="14"/>
            <color rgb="FF000000"/>
            <rFont val="Times New Roman"/>
            <family val="18"/>
          </rPr>
          <t xml:space="preserve"> Als Freiwillig auf Kriegsdauer engagierte gemäß bestehende Dissolvierungs Verordnung mit 30 Tägigen Ord. Inf Löhnung Abgefertigt Worden </t>
        </r>
        <r>
          <rPr>
            <sz val="14"/>
            <color rgb="FF000000"/>
            <rFont val="Times New Roman"/>
            <family val="18"/>
          </rPr>
          <t xml:space="preserve">[ST Aug 1810] </t>
        </r>
      </text>
    </comment>
    <comment ref="BG1209" authorId="0" shapeId="0" xr:uid="{9625EF3A-2633-914F-BDB8-B59223005129}">
      <text>
        <r>
          <rPr>
            <sz val="14"/>
            <color rgb="FF000000"/>
            <rFont val="Times New Roman"/>
            <family val="18"/>
          </rPr>
          <t>ML 10.815 EH Carl FK (1809-10) – AL Nr. 145 (Prague 06/03/1809), ST April (18/07/1809), ST Juli (Prague 30/05/1810), ST Dec (Prague 30/08/1810), ST Jan 1810 (??)</t>
        </r>
        <r>
          <rPr>
            <sz val="14"/>
            <color rgb="FF000000"/>
            <rFont val="Calibri"/>
            <family val="34"/>
          </rPr>
          <t xml:space="preserve">
</t>
        </r>
      </text>
    </comment>
    <comment ref="BH1209" authorId="0" shapeId="0" xr:uid="{6CD025B5-4A89-9146-8046-B8E23F8DB506}">
      <text>
        <r>
          <rPr>
            <sz val="14"/>
            <color rgb="FF000000"/>
            <rFont val="Calibri"/>
            <family val="34"/>
          </rPr>
          <t>Legion EH Carl (1809-10)</t>
        </r>
      </text>
    </comment>
    <comment ref="BF1210" authorId="0" shapeId="0" xr:uid="{734EF47B-B710-E74E-9E42-BD0CF70CD0DC}">
      <text>
        <r>
          <rPr>
            <sz val="14"/>
            <color rgb="FF000000"/>
            <rFont val="Times New Roman"/>
            <family val="18"/>
          </rPr>
          <t xml:space="preserve">06/03/1809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kleiner starken Statur, brauner Augen, schwarzer Haar, runden starken Angesicht</t>
        </r>
        <r>
          <rPr>
            <sz val="14"/>
            <color rgb="FF000000"/>
            <rFont val="Times New Roman"/>
            <family val="18"/>
          </rPr>
          <t xml:space="preserve"> [AL March 1809]</t>
        </r>
      </text>
    </comment>
    <comment ref="BG1210" authorId="0" shapeId="0" xr:uid="{0D092790-63E4-B446-8CC2-F81870FF1C8F}">
      <text>
        <r>
          <rPr>
            <sz val="14"/>
            <color rgb="FF000000"/>
            <rFont val="Times New Roman"/>
            <family val="18"/>
          </rPr>
          <t>ML 11.863 ArtHand (1809) AL/TL – AL Nr. 88 (Sanok 06/03/1809)</t>
        </r>
      </text>
    </comment>
    <comment ref="BH1210" authorId="0" shapeId="0" xr:uid="{970FA9CC-963A-D241-9569-96E9363D6D59}">
      <text>
        <r>
          <rPr>
            <sz val="14"/>
            <color rgb="FF000000"/>
            <rFont val="Calibri"/>
            <family val="34"/>
          </rPr>
          <t>ArtHandK (1809)</t>
        </r>
      </text>
    </comment>
    <comment ref="BF1211" authorId="0" shapeId="0" xr:uid="{27762F80-FA0A-224E-A35A-5B5E57373D1C}">
      <text>
        <r>
          <rPr>
            <sz val="14"/>
            <color rgb="FF000000"/>
            <rFont val="Times New Roman"/>
            <family val="18"/>
          </rPr>
          <t xml:space="preserve">07/03/1809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mittlere magere Statur, brauner Augen, schwarzer Haar, Langen hellen Angesicht</t>
        </r>
        <r>
          <rPr>
            <sz val="14"/>
            <color rgb="FF000000"/>
            <rFont val="Times New Roman"/>
            <family val="18"/>
          </rPr>
          <t xml:space="preserve"> [AL March 1809]</t>
        </r>
      </text>
    </comment>
    <comment ref="BG1211" authorId="0" shapeId="0" xr:uid="{0C6B0FB9-2302-D74F-B353-B41561B61CE1}">
      <text>
        <r>
          <rPr>
            <sz val="14"/>
            <color rgb="FF000000"/>
            <rFont val="Times New Roman"/>
            <family val="18"/>
          </rPr>
          <t>ML 11.863 ArtHand (1809) AL/TL – AL Nr. 134 (Sanok 06/03/1809)</t>
        </r>
      </text>
    </comment>
    <comment ref="BH1211" authorId="0" shapeId="0" xr:uid="{9C086CD5-8C87-FA49-99D0-0F1BBF19A95E}">
      <text>
        <r>
          <rPr>
            <sz val="14"/>
            <color rgb="FF000000"/>
            <rFont val="Calibri"/>
            <family val="34"/>
          </rPr>
          <t>ArtHandK (1809)</t>
        </r>
      </text>
    </comment>
    <comment ref="BF1212" authorId="0" shapeId="0" xr:uid="{FB30333C-306D-F749-89FA-0143558F769B}">
      <text>
        <r>
          <rPr>
            <sz val="14"/>
            <color rgb="FF000000"/>
            <rFont val="Times New Roman"/>
            <family val="18"/>
          </rPr>
          <t xml:space="preserve">07/03/1809 </t>
        </r>
        <r>
          <rPr>
            <i/>
            <sz val="14"/>
            <color rgb="FF000000"/>
            <rFont val="Times New Roman"/>
            <family val="18"/>
          </rPr>
          <t>Gegen 15Gl Handgeld als eximierte Inländer zum EH Carl Legion 5. Bat. Freiwillig assentiert und zum 2. Komp.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Gemeiner zum Zimmermann mutiert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15/11/1809 </t>
        </r>
        <r>
          <rPr>
            <i/>
            <sz val="14"/>
            <color rgb="FF000000"/>
            <rFont val="Times New Roman"/>
            <family val="18"/>
          </rPr>
          <t>Krank in Armee Spitalern mit Auswärtiger Verpflegung</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20/11/1809 </t>
        </r>
        <r>
          <rPr>
            <i/>
            <sz val="14"/>
            <color rgb="FF000000"/>
            <rFont val="Times New Roman"/>
            <family val="18"/>
          </rPr>
          <t>Rekonvalesziert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31/01/1809 </t>
        </r>
        <r>
          <rPr>
            <i/>
            <sz val="14"/>
            <color rgb="FF000000"/>
            <rFont val="Times New Roman"/>
            <family val="18"/>
          </rPr>
          <t>Aus zur Folge hoher General Militar Commando Verordnung det Prag am 29 Dezember 809 nach Auflösung dieses Bataillons als auf Kriegsdauer freiwillig angeworbene mit Abschied entlassen</t>
        </r>
        <r>
          <rPr>
            <sz val="14"/>
            <color rgb="FF000000"/>
            <rFont val="Times New Roman"/>
            <family val="18"/>
          </rPr>
          <t xml:space="preserve"> [ST Jan 1810] </t>
        </r>
      </text>
    </comment>
    <comment ref="BG1212" authorId="0" shapeId="0" xr:uid="{A2A0A5F3-73C9-7744-9866-512AAEDEDDE9}">
      <text>
        <r>
          <rPr>
            <sz val="14"/>
            <color rgb="FF000000"/>
            <rFont val="Times New Roman"/>
            <family val="18"/>
          </rPr>
          <t>ML 10.818 EH Carl 5. Bat. – AL Nr. 4 (Piseck 26/03/1809), ST March (Prague 25/11/1809), ST Nov (Prague 08/09/1810). ST Jan 1810 (Prague 09/09/1810)</t>
        </r>
        <r>
          <rPr>
            <sz val="14"/>
            <color rgb="FF000000"/>
            <rFont val="Calibri"/>
            <family val="34"/>
          </rPr>
          <t xml:space="preserve">
</t>
        </r>
      </text>
    </comment>
    <comment ref="BH1212" authorId="0" shapeId="0" xr:uid="{CD1AACD8-11D8-4D4E-84F2-A411E069EB0E}">
      <text>
        <r>
          <rPr>
            <sz val="14"/>
            <color rgb="FF000000"/>
            <rFont val="Calibri"/>
            <family val="34"/>
          </rPr>
          <t>Legion EH Carl (1809-10)</t>
        </r>
      </text>
    </comment>
    <comment ref="BF1213" authorId="0" shapeId="0" xr:uid="{7EE49D21-7803-054A-8D6B-9931277CD985}">
      <text>
        <r>
          <rPr>
            <sz val="14"/>
            <color rgb="FF000000"/>
            <rFont val="Times New Roman"/>
            <family val="18"/>
          </rPr>
          <t xml:space="preserve">07/03/1809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entsetzte Statur, brauner Augen, schwarzer Haar, langen brünettes Angesicht</t>
        </r>
        <r>
          <rPr>
            <sz val="14"/>
            <color rgb="FF000000"/>
            <rFont val="Times New Roman"/>
            <family val="18"/>
          </rPr>
          <t xml:space="preserve"> [AL March 1809]</t>
        </r>
      </text>
    </comment>
    <comment ref="BG1213" authorId="0" shapeId="0" xr:uid="{13E2B1B1-AF44-3545-BC39-1DB0C70ABAE9}">
      <text>
        <r>
          <rPr>
            <sz val="14"/>
            <color rgb="FF000000"/>
            <rFont val="Times New Roman"/>
            <family val="18"/>
          </rPr>
          <t>ML 11.863 ArtHand (1809) AL/TL – AL Nr. 146 (Sanok 06/03/1809)</t>
        </r>
      </text>
    </comment>
    <comment ref="BH1213" authorId="0" shapeId="0" xr:uid="{4D9E2C40-9EFE-164C-A2EC-6E213054F9EA}">
      <text>
        <r>
          <rPr>
            <sz val="14"/>
            <color rgb="FF000000"/>
            <rFont val="Calibri"/>
            <family val="34"/>
          </rPr>
          <t>ArtHandK (1809)</t>
        </r>
      </text>
    </comment>
    <comment ref="BF1214" authorId="0" shapeId="0" xr:uid="{DBFF5BC2-9654-9346-BCA2-DC62AE326BF5}">
      <text>
        <r>
          <rPr>
            <sz val="14"/>
            <color rgb="FF000000"/>
            <rFont val="Times New Roman"/>
            <family val="18"/>
          </rPr>
          <t xml:space="preserve">07/03/1809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kleine starke Statur, blauer Augen, blonde Haar, runden hellen Angesicht</t>
        </r>
        <r>
          <rPr>
            <sz val="14"/>
            <color rgb="FF000000"/>
            <rFont val="Times New Roman"/>
            <family val="18"/>
          </rPr>
          <t xml:space="preserve"> [AL March 1809]</t>
        </r>
      </text>
    </comment>
    <comment ref="BG1214" authorId="0" shapeId="0" xr:uid="{2EB0FECB-34E9-E146-B89B-3F24E4F79997}">
      <text>
        <r>
          <rPr>
            <sz val="14"/>
            <color rgb="FF000000"/>
            <rFont val="Times New Roman"/>
            <family val="18"/>
          </rPr>
          <t>ML 11.863 ArtHand (1809) AL/TL – AL Nr. 142 (Sanok 06/03/1809)</t>
        </r>
      </text>
    </comment>
    <comment ref="BH1214" authorId="0" shapeId="0" xr:uid="{65CE8DC9-68FA-7847-95BA-0BADB1BC8788}">
      <text>
        <r>
          <rPr>
            <sz val="14"/>
            <color rgb="FF000000"/>
            <rFont val="Calibri"/>
            <family val="34"/>
          </rPr>
          <t>ArtHandK (1809)</t>
        </r>
      </text>
    </comment>
    <comment ref="BF1215" authorId="0" shapeId="0" xr:uid="{D11514BA-18EA-8348-97AF-1A6CE7C6C3C9}">
      <text>
        <r>
          <rPr>
            <sz val="14"/>
            <color rgb="FF000000"/>
            <rFont val="Times New Roman"/>
            <family val="18"/>
          </rPr>
          <t xml:space="preserve">07/03/1809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 xml:space="preserve">Von mittlere Statur, brauner Augen, schwarzer Haar, Magere Angesicht </t>
        </r>
        <r>
          <rPr>
            <sz val="14"/>
            <color rgb="FF000000"/>
            <rFont val="Times New Roman"/>
            <family val="18"/>
          </rPr>
          <t>[AL March 1809]</t>
        </r>
      </text>
    </comment>
    <comment ref="BG1215" authorId="0" shapeId="0" xr:uid="{18DBC4B0-6210-3347-8046-7511382804F2}">
      <text>
        <r>
          <rPr>
            <sz val="14"/>
            <color rgb="FF000000"/>
            <rFont val="Times New Roman"/>
            <family val="18"/>
          </rPr>
          <t>ML 11.863 ArtHand (1809) AL/TL – AL Nr. 145 (Sanok 06/03/1809)</t>
        </r>
      </text>
    </comment>
    <comment ref="BH1215" authorId="0" shapeId="0" xr:uid="{EB9FD697-228F-954C-B4BA-F803F71BEC35}">
      <text>
        <r>
          <rPr>
            <sz val="14"/>
            <color rgb="FF000000"/>
            <rFont val="Calibri"/>
            <family val="34"/>
          </rPr>
          <t>ArtHandK (1809)</t>
        </r>
      </text>
    </comment>
    <comment ref="BF1216" authorId="0" shapeId="0" xr:uid="{1F53E418-4A58-3047-8169-CBD0E394A9E5}">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06/05/1809 </t>
        </r>
        <r>
          <rPr>
            <i/>
            <sz val="14"/>
            <color rgb="FF000000"/>
            <rFont val="Times New Roman"/>
            <family val="18"/>
          </rPr>
          <t xml:space="preserve">Von 20. zum 17.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06/07/1809 </t>
        </r>
        <r>
          <rPr>
            <b/>
            <sz val="14"/>
            <color rgb="FF000000"/>
            <rFont val="Times New Roman"/>
            <family val="18"/>
          </rPr>
          <t>[Beim Schlacht von Deutsch Wagram]</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der Kriegsgefangenschaft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20/10/1810 </t>
        </r>
        <r>
          <rPr>
            <i/>
            <sz val="14"/>
            <color rgb="FF000000"/>
            <rFont val="Times New Roman"/>
            <family val="18"/>
          </rPr>
          <t xml:space="preserve">Als Kriegscapitulant mit Abschied entlassen </t>
        </r>
        <r>
          <rPr>
            <sz val="14"/>
            <color rgb="FF000000"/>
            <rFont val="Times New Roman"/>
            <family val="18"/>
          </rPr>
          <t>[ML 1811]</t>
        </r>
      </text>
    </comment>
    <comment ref="BG1216" authorId="0" shapeId="0" xr:uid="{A46E6180-D3B6-FF43-9D98-483362A9F702}">
      <text>
        <r>
          <rPr>
            <sz val="14"/>
            <color rgb="FF000000"/>
            <rFont val="Times New Roman"/>
            <family val="18"/>
          </rPr>
          <t>ML 3501/2 IR 39 (1811) – 15. Fus. Komp. Abgang (Gran 16/09/1811)</t>
        </r>
      </text>
    </comment>
    <comment ref="BH1216" authorId="0" shapeId="0" xr:uid="{1B7F796E-5A37-5C41-8159-793FDA84C0D0}">
      <text>
        <r>
          <rPr>
            <sz val="14"/>
            <color rgb="FF000000"/>
            <rFont val="Calibri"/>
            <family val="34"/>
          </rPr>
          <t>IR 39 (1809-1810)</t>
        </r>
      </text>
    </comment>
    <comment ref="BF1217" authorId="0" shapeId="0" xr:uid="{932C67D5-E914-4148-AB39-FCCD2302AC35}">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05/04/1809 </t>
        </r>
        <r>
          <rPr>
            <i/>
            <sz val="14"/>
            <color rgb="FF000000"/>
            <rFont val="Times New Roman"/>
            <family val="18"/>
          </rPr>
          <t>Am March Desertiert</t>
        </r>
        <r>
          <rPr>
            <sz val="14"/>
            <color rgb="FF000000"/>
            <rFont val="Times New Roman"/>
            <family val="18"/>
          </rPr>
          <t xml:space="preserve"> [ML 1811]</t>
        </r>
      </text>
    </comment>
    <comment ref="BG1217" authorId="0" shapeId="0" xr:uid="{8D2F9CFC-3262-EE4A-A07C-0B75D3025FFC}">
      <text>
        <r>
          <rPr>
            <sz val="14"/>
            <color rgb="FF000000"/>
            <rFont val="Times New Roman"/>
            <family val="18"/>
          </rPr>
          <t>ML 3501/2 IR 39 (1811) – 20. Fus. Komp. Abgang (Ofen 19/09/1811)</t>
        </r>
      </text>
    </comment>
    <comment ref="BH1217" authorId="0" shapeId="0" xr:uid="{CBD5A17E-08BD-C248-B6D4-8126CF0B697D}">
      <text>
        <r>
          <rPr>
            <sz val="14"/>
            <color rgb="FF000000"/>
            <rFont val="Calibri"/>
            <family val="34"/>
          </rPr>
          <t>IR 39 (1809)</t>
        </r>
      </text>
    </comment>
    <comment ref="BF1218" authorId="0" shapeId="0" xr:uid="{F6DA81A6-645A-FB4A-BF5A-615ED6C314C2}">
      <text>
        <r>
          <rPr>
            <sz val="14"/>
            <color rgb="FF000000"/>
            <rFont val="Times New Roman"/>
            <family val="18"/>
          </rPr>
          <t xml:space="preserve">08/03/1809 </t>
        </r>
        <r>
          <rPr>
            <i/>
            <sz val="14"/>
            <color rgb="FF000000"/>
            <rFont val="Times New Roman"/>
            <family val="18"/>
          </rPr>
          <t>Zum Artillerie Handlanger Corps Gegen 3Fl Handgeld und mit 10-Jahriger Capitulation gestellt</t>
        </r>
        <r>
          <rPr>
            <sz val="14"/>
            <color rgb="FF000000"/>
            <rFont val="Times New Roman"/>
            <family val="18"/>
          </rPr>
          <t xml:space="preserve">: </t>
        </r>
        <r>
          <rPr>
            <i/>
            <sz val="14"/>
            <color rgb="FF000000"/>
            <rFont val="Times New Roman"/>
            <family val="18"/>
          </rPr>
          <t>Von mittlere magere Statur, blauen Augen, brauner Haar, kleinen hagerer Angesicht</t>
        </r>
        <r>
          <rPr>
            <sz val="14"/>
            <color rgb="FF000000"/>
            <rFont val="Times New Roman"/>
            <family val="18"/>
          </rPr>
          <t xml:space="preserve"> [AL March 1809]</t>
        </r>
      </text>
    </comment>
    <comment ref="BG1218" authorId="0" shapeId="0" xr:uid="{26AB4F7C-3AE5-734B-8C4F-22B4B788333D}">
      <text>
        <r>
          <rPr>
            <sz val="14"/>
            <color rgb="FF000000"/>
            <rFont val="Times New Roman"/>
            <family val="18"/>
          </rPr>
          <t>ML 11.863 ArtHand (1809) AL/TL – AL Nr. 168 (Sanok 06/03/1809)</t>
        </r>
      </text>
    </comment>
    <comment ref="BH1218" authorId="0" shapeId="0" xr:uid="{CC9024F5-4F0E-CD49-B26D-339CEC0F0482}">
      <text>
        <r>
          <rPr>
            <sz val="14"/>
            <color rgb="FF000000"/>
            <rFont val="Calibri"/>
            <family val="34"/>
          </rPr>
          <t>ArtHandK (1809)</t>
        </r>
      </text>
    </comment>
    <comment ref="BF1219" authorId="0" shapeId="0" xr:uid="{14AF0E7D-D64E-C745-9003-101D5128948B}">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20.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Krank mit auswärtiger Gebühr</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01/04/1810 </t>
        </r>
        <r>
          <rPr>
            <i/>
            <sz val="14"/>
            <color rgb="FF000000"/>
            <rFont val="Times New Roman"/>
            <family val="18"/>
          </rPr>
          <t>Rekonvalesziert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Kriegscapitulant mit Abschied entlassen</t>
        </r>
        <r>
          <rPr>
            <sz val="14"/>
            <color rgb="FF000000"/>
            <rFont val="Times New Roman"/>
            <family val="18"/>
          </rPr>
          <t xml:space="preserve"> [ML 1811]</t>
        </r>
      </text>
    </comment>
    <comment ref="BG1219" authorId="0" shapeId="0" xr:uid="{D13162A8-A58D-2C4B-85E0-E3BC8064A219}">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3550 IR 39 (1809) – ST Aug (20/09/1810)</t>
        </r>
        <r>
          <rPr>
            <sz val="14"/>
            <color rgb="FF000000"/>
            <rFont val="Calibri"/>
            <family val="34"/>
          </rPr>
          <t xml:space="preserve">
</t>
        </r>
        <r>
          <rPr>
            <sz val="14"/>
            <color rgb="FF000000"/>
            <rFont val="Times New Roman"/>
            <family val="18"/>
          </rPr>
          <t>ML 3551 IR 39 (1810) – ST April</t>
        </r>
        <r>
          <rPr>
            <sz val="14"/>
            <color rgb="FF000000"/>
            <rFont val="Calibri"/>
            <family val="34"/>
          </rPr>
          <t xml:space="preserve">
</t>
        </r>
      </text>
    </comment>
    <comment ref="BH1219" authorId="0" shapeId="0" xr:uid="{56FC7CB6-6F37-5948-A190-46E862F9D005}">
      <text>
        <r>
          <rPr>
            <sz val="14"/>
            <color rgb="FF000000"/>
            <rFont val="Calibri"/>
            <family val="34"/>
          </rPr>
          <t>IR 39 (1809-1810)</t>
        </r>
      </text>
    </comment>
    <comment ref="BF1220" authorId="0" shapeId="0" xr:uid="{428CADF4-CAC4-4D4A-A452-1528DF9DB30A}">
      <text>
        <r>
          <rPr>
            <sz val="14"/>
            <color rgb="FFFF0000"/>
            <rFont val="Times New Roman"/>
            <family val="18"/>
          </rPr>
          <t xml:space="preserve">01/02/1807 </t>
        </r>
        <r>
          <rPr>
            <i/>
            <sz val="14"/>
            <color rgb="FFFF0000"/>
            <rFont val="Times New Roman"/>
            <family val="18"/>
          </rPr>
          <t>Von Land gestellt</t>
        </r>
        <r>
          <rPr>
            <sz val="14"/>
            <color rgb="FFFF0000"/>
            <rFont val="Times New Roman"/>
            <family val="18"/>
          </rPr>
          <t xml:space="preserve"> [TL Oct 1810]</t>
        </r>
        <r>
          <rPr>
            <sz val="14"/>
            <color rgb="FF000000"/>
            <rFont val="Calibri"/>
            <family val="34"/>
          </rPr>
          <t xml:space="preserve">
</t>
        </r>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07/05/1809 </t>
        </r>
        <r>
          <rPr>
            <i/>
            <sz val="14"/>
            <color rgb="FF000000"/>
            <rFont val="Times New Roman"/>
            <family val="18"/>
          </rPr>
          <t>Von 20.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06/07/1809 </t>
        </r>
        <r>
          <rPr>
            <b/>
            <sz val="14"/>
            <color rgb="FF000000"/>
            <rFont val="Times New Roman"/>
            <family val="18"/>
          </rPr>
          <t xml:space="preserve">[Bei Deutsch Wagram] </t>
        </r>
        <r>
          <rPr>
            <i/>
            <sz val="14"/>
            <color rgb="FF000000"/>
            <rFont val="Times New Roman"/>
            <family val="18"/>
          </rPr>
          <t>In die Kriegsgefangenschaft gefallen</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Als selbst ranzionierte aus dem Kriegsgefangenschaft Zurück</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26/10/1809 </t>
        </r>
        <r>
          <rPr>
            <i/>
            <sz val="14"/>
            <color rgb="FF000000"/>
            <rFont val="Times New Roman"/>
            <family val="18"/>
          </rPr>
          <t>Von IR 39 Gombos</t>
        </r>
        <r>
          <rPr>
            <sz val="14"/>
            <color rgb="FF000000"/>
            <rFont val="Times New Roman"/>
            <family val="18"/>
          </rPr>
          <t xml:space="preserve"> </t>
        </r>
        <r>
          <rPr>
            <b/>
            <sz val="14"/>
            <color rgb="FF000000"/>
            <rFont val="Times New Roman"/>
            <family val="18"/>
          </rPr>
          <t>[5. Fus.]</t>
        </r>
        <r>
          <rPr>
            <i/>
            <sz val="14"/>
            <color rgb="FF000000"/>
            <rFont val="Times New Roman"/>
            <family val="18"/>
          </rPr>
          <t xml:space="preserve"> Komp. zum Inv Tyrnau transferiert</t>
        </r>
        <r>
          <rPr>
            <sz val="14"/>
            <color rgb="FF000000"/>
            <rFont val="Times New Roman"/>
            <family val="18"/>
          </rPr>
          <t xml:space="preserve"> [TL Oct 1810]</t>
        </r>
      </text>
    </comment>
    <comment ref="BG1220" authorId="0" shapeId="0" xr:uid="{640C7281-9D11-3F42-A8DF-C439291558E7}">
      <text>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3550 IR 39 (1809) – TL IR 39-&gt;InvH Tyrnau Nr. 3 (Ofen 24/10/1810); ST July (20/08/1810)</t>
        </r>
        <r>
          <rPr>
            <sz val="14"/>
            <color rgb="FF000000"/>
            <rFont val="Calibri"/>
            <family val="34"/>
          </rPr>
          <t xml:space="preserve">
</t>
        </r>
      </text>
    </comment>
    <comment ref="BH1220" authorId="0" shapeId="0" xr:uid="{6DCE8AFC-3BFE-904A-BC60-30683B0ED40C}">
      <text>
        <r>
          <rPr>
            <sz val="14"/>
            <color rgb="FF000000"/>
            <rFont val="Calibri"/>
            <family val="34"/>
          </rPr>
          <t xml:space="preserve">IR 39 (1809)
</t>
        </r>
        <r>
          <rPr>
            <sz val="14"/>
            <color rgb="FF000000"/>
            <rFont val="Calibri"/>
            <family val="34"/>
          </rPr>
          <t>InvH Tyrnau 1809)</t>
        </r>
      </text>
    </comment>
    <comment ref="BI1220" authorId="0" shapeId="0" xr:uid="{E2194501-32D4-C04E-9495-930AEEE59FC4}">
      <text>
        <r>
          <rPr>
            <i/>
            <sz val="14"/>
            <color rgb="FF000000"/>
            <rFont val="Times New Roman"/>
            <family val="18"/>
          </rPr>
          <t>Gut</t>
        </r>
        <r>
          <rPr>
            <sz val="14"/>
            <color rgb="FF000000"/>
            <rFont val="Times New Roman"/>
            <family val="18"/>
          </rPr>
          <t xml:space="preserve"> [TL Oct 1810]</t>
        </r>
        <r>
          <rPr>
            <sz val="14"/>
            <color rgb="FF000000"/>
            <rFont val="Calibri"/>
            <family val="2"/>
          </rPr>
          <t xml:space="preserve"> </t>
        </r>
      </text>
    </comment>
    <comment ref="BJ1220" authorId="0" shapeId="0" xr:uid="{C79303CC-0853-0341-B7BF-E0A3E0747309}">
      <text>
        <r>
          <rPr>
            <i/>
            <sz val="14"/>
            <color rgb="FF000000"/>
            <rFont val="Times New Roman"/>
            <family val="18"/>
          </rPr>
          <t>Der linke Arm gelähmt</t>
        </r>
        <r>
          <rPr>
            <sz val="14"/>
            <color rgb="FF000000"/>
            <rFont val="Times New Roman"/>
            <family val="18"/>
          </rPr>
          <t xml:space="preserve"> [TL Oct 1810]</t>
        </r>
        <r>
          <rPr>
            <sz val="14"/>
            <color rgb="FF000000"/>
            <rFont val="Calibri"/>
            <family val="2"/>
          </rPr>
          <t xml:space="preserve"> </t>
        </r>
      </text>
    </comment>
    <comment ref="BF1221" authorId="0" shapeId="0" xr:uid="{D0F333D1-64BF-5B49-9630-C8351C6214FA}">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05/04/1809 </t>
        </r>
        <r>
          <rPr>
            <i/>
            <sz val="14"/>
            <color rgb="FF000000"/>
            <rFont val="Times New Roman"/>
            <family val="18"/>
          </rPr>
          <t>Am March Desertiert</t>
        </r>
        <r>
          <rPr>
            <sz val="14"/>
            <color rgb="FF000000"/>
            <rFont val="Times New Roman"/>
            <family val="18"/>
          </rPr>
          <t xml:space="preserve"> [ML 1811]</t>
        </r>
      </text>
    </comment>
    <comment ref="BG1221" authorId="0" shapeId="0" xr:uid="{345870B5-2E15-9540-B1CE-BF40CCE96B4F}">
      <text>
        <r>
          <rPr>
            <sz val="14"/>
            <color rgb="FF000000"/>
            <rFont val="Times New Roman"/>
            <family val="18"/>
          </rPr>
          <t>ML 3501/2 IR 39 (1811) – 20. Fus. Komp. Abgang (Ofen 19/09/1811)</t>
        </r>
      </text>
    </comment>
    <comment ref="BH1221" authorId="0" shapeId="0" xr:uid="{BBF94F0C-10F6-2E4C-AE94-4B0765640AEB}">
      <text>
        <r>
          <rPr>
            <sz val="14"/>
            <color rgb="FF000000"/>
            <rFont val="Calibri"/>
            <family val="34"/>
          </rPr>
          <t>IR 39 (1809)</t>
        </r>
      </text>
    </comment>
    <comment ref="BF1222" authorId="0" shapeId="0" xr:uid="{1FB14FC0-C098-0E47-B506-75EE7D1F291C}">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07/05 1809 </t>
        </r>
        <r>
          <rPr>
            <i/>
            <sz val="14"/>
            <color rgb="FF000000"/>
            <rFont val="Times New Roman"/>
            <family val="18"/>
          </rPr>
          <t>Von 20.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12/07/1809 </t>
        </r>
        <r>
          <rPr>
            <i/>
            <sz val="14"/>
            <color rgb="FF000000"/>
            <rFont val="Times New Roman"/>
            <family val="18"/>
          </rPr>
          <t>In die Kriegsgefangenschaft gefallen</t>
        </r>
        <r>
          <rPr>
            <sz val="14"/>
            <color rgb="FF000000"/>
            <rFont val="Times New Roman"/>
            <family val="18"/>
          </rPr>
          <t xml:space="preserve"> [ML 1811]</t>
        </r>
        <r>
          <rPr>
            <sz val="14"/>
            <color rgb="FF000000"/>
            <rFont val="Calibri"/>
            <family val="34"/>
          </rPr>
          <t xml:space="preserve">
</t>
        </r>
      </text>
    </comment>
    <comment ref="BG1222" authorId="0" shapeId="0" xr:uid="{77480664-1913-704A-B709-FB23AA110D41}">
      <text>
        <r>
          <rPr>
            <sz val="14"/>
            <color rgb="FF000000"/>
            <rFont val="Times New Roman"/>
            <family val="18"/>
          </rPr>
          <t>ML 3501/2 IR 39 (1811) – 5. Fus. Komp. Abgang (Szent Andree 14/09/1811)</t>
        </r>
      </text>
    </comment>
    <comment ref="BH1222" authorId="0" shapeId="0" xr:uid="{973E63FD-D0DA-2B44-A532-91A97318DF72}">
      <text>
        <r>
          <rPr>
            <sz val="14"/>
            <color rgb="FF000000"/>
            <rFont val="Calibri"/>
            <family val="34"/>
          </rPr>
          <t>IR 39 (1809)</t>
        </r>
      </text>
    </comment>
    <comment ref="BF1223" authorId="0" shapeId="0" xr:uid="{D354078C-39EA-044F-9940-E320BE705858}">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20.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09/07/1809 </t>
        </r>
        <r>
          <rPr>
            <b/>
            <sz val="14"/>
            <color rgb="FF000000"/>
            <rFont val="Times New Roman"/>
            <family val="18"/>
          </rPr>
          <t>[Bei Znaim]</t>
        </r>
        <r>
          <rPr>
            <sz val="14"/>
            <color rgb="FF000000"/>
            <rFont val="Times New Roman"/>
            <family val="18"/>
          </rPr>
          <t xml:space="preserve"> </t>
        </r>
        <r>
          <rPr>
            <i/>
            <sz val="14"/>
            <color rgb="FF000000"/>
            <rFont val="Times New Roman"/>
            <family val="18"/>
          </rPr>
          <t>In die Kriegsgefangenschaft geraten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 xml:space="preserve">Von Kriegsgefangenschaft sich selbst ranzioniert </t>
        </r>
        <r>
          <rPr>
            <sz val="14"/>
            <color rgb="FF000000"/>
            <rFont val="Times New Roman"/>
            <family val="18"/>
          </rPr>
          <t>[ST Jan 1810]</t>
        </r>
        <r>
          <rPr>
            <sz val="14"/>
            <color rgb="FF000000"/>
            <rFont val="Calibri"/>
            <family val="34"/>
          </rPr>
          <t xml:space="preserve">
</t>
        </r>
        <r>
          <rPr>
            <sz val="14"/>
            <color rgb="FF000000"/>
            <rFont val="Times New Roman"/>
            <family val="18"/>
          </rPr>
          <t xml:space="preserve">01/05/1810 </t>
        </r>
        <r>
          <rPr>
            <i/>
            <sz val="14"/>
            <color rgb="FF000000"/>
            <rFont val="Times New Roman"/>
            <family val="18"/>
          </rPr>
          <t>Beurlaubt bis zur Einberufung</t>
        </r>
        <r>
          <rPr>
            <sz val="14"/>
            <color rgb="FF000000"/>
            <rFont val="Times New Roman"/>
            <family val="18"/>
          </rPr>
          <t xml:space="preserve"> [ST April]</t>
        </r>
        <r>
          <rPr>
            <sz val="14"/>
            <color rgb="FF000000"/>
            <rFont val="Calibri"/>
            <family val="34"/>
          </rPr>
          <t xml:space="preserve">
</t>
        </r>
        <r>
          <rPr>
            <sz val="14"/>
            <color rgb="FF000000"/>
            <rFont val="Times New Roman"/>
            <family val="18"/>
          </rPr>
          <t xml:space="preserve">15/10/1810 </t>
        </r>
        <r>
          <rPr>
            <i/>
            <sz val="14"/>
            <color rgb="FF000000"/>
            <rFont val="Times New Roman"/>
            <family val="18"/>
          </rPr>
          <t>Von unbestimmten Urlaub als Kriegscapitulant mit Abschied entlassen</t>
        </r>
        <r>
          <rPr>
            <sz val="14"/>
            <color rgb="FF000000"/>
            <rFont val="Times New Roman"/>
            <family val="18"/>
          </rPr>
          <t xml:space="preserve"> [ML 1811]</t>
        </r>
      </text>
    </comment>
    <comment ref="BG1223" authorId="0" shapeId="0" xr:uid="{E31E2BE4-5B7E-7E4D-888F-681DA62D9C59}">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3551 IR 39 (1810) – ST Jan (Ofen 03/06/1810), April</t>
        </r>
        <r>
          <rPr>
            <sz val="14"/>
            <color rgb="FF000000"/>
            <rFont val="Calibri"/>
            <family val="34"/>
          </rPr>
          <t xml:space="preserve">
</t>
        </r>
      </text>
    </comment>
    <comment ref="BH1223" authorId="0" shapeId="0" xr:uid="{5A0D08DD-0D53-7642-A9AF-D7EE3BF8B721}">
      <text>
        <r>
          <rPr>
            <sz val="14"/>
            <color rgb="FF000000"/>
            <rFont val="Calibri"/>
            <family val="34"/>
          </rPr>
          <t>IR 39 (1809-1810)</t>
        </r>
      </text>
    </comment>
    <comment ref="I1224" authorId="0" shapeId="0" xr:uid="{8CFB44FE-EE9F-F94B-9FDC-6BAD7D6A20F9}">
      <text>
        <r>
          <rPr>
            <sz val="14"/>
            <color rgb="FF000000"/>
            <rFont val="Calibri"/>
            <family val="34"/>
          </rPr>
          <t xml:space="preserve">1780 [31 (TL 1811)]
</t>
        </r>
        <r>
          <rPr>
            <sz val="14"/>
            <color rgb="FF000000"/>
            <rFont val="Calibri"/>
            <family val="34"/>
          </rPr>
          <t xml:space="preserve">OR
</t>
        </r>
        <r>
          <rPr>
            <b/>
            <sz val="14"/>
            <color rgb="FF000000"/>
            <rFont val="Calibri"/>
            <family val="34"/>
          </rPr>
          <t xml:space="preserve">1790 [21 (ML 1811)
</t>
        </r>
        <r>
          <rPr>
            <sz val="14"/>
            <color rgb="FF000000"/>
            <rFont val="Calibri"/>
            <family val="34"/>
          </rPr>
          <t xml:space="preserve"> </t>
        </r>
      </text>
    </comment>
    <comment ref="T1224" authorId="0" shapeId="0" xr:uid="{E64A3C09-53A9-4F4C-A3C8-9CDAD777BF24}">
      <text>
        <r>
          <rPr>
            <sz val="14"/>
            <color rgb="FF000000"/>
            <rFont val="Calibri"/>
            <family val="34"/>
          </rPr>
          <t xml:space="preserve">5.3.3  [165.33 cm (TL 1811)]
</t>
        </r>
        <r>
          <rPr>
            <b/>
            <sz val="14"/>
            <color rgb="FF000000"/>
            <rFont val="Calibri"/>
            <family val="34"/>
          </rPr>
          <t>5.6.3 [174.4 cm (ML 1811)]</t>
        </r>
      </text>
    </comment>
    <comment ref="BF1224" authorId="0" shapeId="0" xr:uid="{1B87E19A-3760-2541-86A0-9D87F1D6E6B5}">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06/05/1809 </t>
        </r>
        <r>
          <rPr>
            <i/>
            <sz val="14"/>
            <color rgb="FF000000"/>
            <rFont val="Times New Roman"/>
            <family val="18"/>
          </rPr>
          <t>Von 20. zum 1.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16/06/1809 </t>
        </r>
        <r>
          <rPr>
            <i/>
            <sz val="14"/>
            <color rgb="FF000000"/>
            <rFont val="Times New Roman"/>
            <family val="18"/>
          </rPr>
          <t>Von 1. Fus zum 1. Gren.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14/07/1809 </t>
        </r>
        <r>
          <rPr>
            <i/>
            <sz val="14"/>
            <color rgb="FF000000"/>
            <rFont val="Times New Roman"/>
            <family val="18"/>
          </rPr>
          <t>In die Kriegsgefangenschaft geraten</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28/12/1809 </t>
        </r>
        <r>
          <rPr>
            <i/>
            <sz val="14"/>
            <color rgb="FF000000"/>
            <rFont val="Times New Roman"/>
            <family val="18"/>
          </rPr>
          <t>Aus die Kriegsgefangenschaft ohne Dokumente zurückgelegt</t>
        </r>
        <r>
          <rPr>
            <sz val="14"/>
            <color rgb="FF000000"/>
            <rFont val="Times New Roman"/>
            <family val="18"/>
          </rPr>
          <t xml:space="preserve"> [ML 1811 &amp; ST Dec 1809]</t>
        </r>
        <r>
          <rPr>
            <sz val="14"/>
            <color rgb="FF000000"/>
            <rFont val="Aptos"/>
            <family val="34"/>
          </rPr>
          <t xml:space="preserve">
</t>
        </r>
        <r>
          <rPr>
            <sz val="14"/>
            <color rgb="FF000000"/>
            <rFont val="Times New Roman"/>
            <family val="18"/>
          </rPr>
          <t xml:space="preserve">01/02/1810 </t>
        </r>
        <r>
          <rPr>
            <i/>
            <sz val="14"/>
            <color rgb="FF000000"/>
            <rFont val="Times New Roman"/>
            <family val="18"/>
          </rPr>
          <t xml:space="preserve">Von 1. Grenadier zum 10. Fus. Komp. transferiert </t>
        </r>
        <r>
          <rPr>
            <sz val="14"/>
            <color rgb="FF000000"/>
            <rFont val="Times New Roman"/>
            <family val="18"/>
          </rPr>
          <t>[ML 1811]</t>
        </r>
        <r>
          <rPr>
            <sz val="14"/>
            <color rgb="FF000000"/>
            <rFont val="Aptos"/>
            <family val="34"/>
          </rPr>
          <t xml:space="preserve">
</t>
        </r>
        <r>
          <rPr>
            <sz val="14"/>
            <color rgb="FF000000"/>
            <rFont val="Times New Roman"/>
            <family val="18"/>
          </rPr>
          <t xml:space="preserve">31/03/1811 </t>
        </r>
        <r>
          <rPr>
            <i/>
            <sz val="14"/>
            <color rgb="FF000000"/>
            <rFont val="Times New Roman"/>
            <family val="18"/>
          </rPr>
          <t>Von IR 39 10. Fus. Komp. zum GB 4 transferiert und zum 2. Komp, eingeteilt</t>
        </r>
        <r>
          <rPr>
            <sz val="14"/>
            <color rgb="FF000000"/>
            <rFont val="Times New Roman"/>
            <family val="18"/>
          </rPr>
          <t xml:space="preserve"> [ML 1811 TL June 1811]</t>
        </r>
        <r>
          <rPr>
            <sz val="14"/>
            <color rgb="FF000000"/>
            <rFont val="Aptos"/>
            <family val="34"/>
          </rPr>
          <t xml:space="preserve">
</t>
        </r>
        <r>
          <rPr>
            <sz val="14"/>
            <color rgb="FF000000"/>
            <rFont val="Times New Roman"/>
            <family val="18"/>
          </rPr>
          <t>11/09/1811 Muster: GB 4 Nr. 102 [</t>
        </r>
        <r>
          <rPr>
            <i/>
            <sz val="14"/>
            <color rgb="FF000000"/>
            <rFont val="Times New Roman"/>
            <family val="18"/>
          </rPr>
          <t>Auf Brief Ordnanz zu Zipfer</t>
        </r>
        <r>
          <rPr>
            <sz val="14"/>
            <color rgb="FF000000"/>
            <rFont val="Times New Roman"/>
            <family val="18"/>
          </rPr>
          <t>]</t>
        </r>
        <r>
          <rPr>
            <sz val="14"/>
            <color rgb="FF000000"/>
            <rFont val="Aptos"/>
            <family val="34"/>
          </rPr>
          <t xml:space="preserve">
</t>
        </r>
        <r>
          <rPr>
            <sz val="14"/>
            <color rgb="FF000000"/>
            <rFont val="Times New Roman"/>
            <family val="18"/>
          </rPr>
          <t xml:space="preserve">25/01/1812 </t>
        </r>
        <r>
          <rPr>
            <i/>
            <sz val="14"/>
            <color rgb="FF000000"/>
            <rFont val="Times New Roman"/>
            <family val="18"/>
          </rPr>
          <t>Gegen Renuncierung als Reale Invalid mit Abschied entlassen</t>
        </r>
        <r>
          <rPr>
            <sz val="14"/>
            <color rgb="FF000000"/>
            <rFont val="Times New Roman"/>
            <family val="18"/>
          </rPr>
          <t xml:space="preserve"> [ML 1812]
</t>
        </r>
      </text>
    </comment>
    <comment ref="BG1224" authorId="0" shapeId="0" xr:uid="{348D90E6-6B0D-734E-9822-7A8CBC953B87}">
      <text>
        <r>
          <rPr>
            <sz val="14"/>
            <color rgb="FF000000"/>
            <rFont val="Times New Roman"/>
            <family val="18"/>
          </rPr>
          <t>ML 3501/2 IR 39 (1811) – 10. Fus. Komp. Abgang (Ofen 19/09/1811)</t>
        </r>
        <r>
          <rPr>
            <sz val="14"/>
            <color rgb="FF000000"/>
            <rFont val="Aptos"/>
            <family val="34"/>
          </rPr>
          <t xml:space="preserve">
</t>
        </r>
        <r>
          <rPr>
            <sz val="14"/>
            <color rgb="FF000000"/>
            <rFont val="Times New Roman"/>
            <family val="18"/>
          </rPr>
          <t>ML 3550 IR 39 (1809) – ST Dec (Ofen 21/05/1811)</t>
        </r>
        <r>
          <rPr>
            <sz val="14"/>
            <color rgb="FF000000"/>
            <rFont val="Aptos"/>
            <family val="34"/>
          </rPr>
          <t xml:space="preserve">
</t>
        </r>
        <r>
          <rPr>
            <sz val="14"/>
            <color rgb="FF000000"/>
            <rFont val="Times New Roman"/>
            <family val="18"/>
          </rPr>
          <t>ML 6384 GB 4 (1808-12) – ML 2. Fus. Komp. Nr. 102 (Festung Leopoldstadt 11/09/1811); RL 2. Fus. Komp. Abgang (Festung Leopoldstadt 09/09/1812)</t>
        </r>
        <r>
          <rPr>
            <sz val="14"/>
            <color rgb="FF000000"/>
            <rFont val="Aptos"/>
            <family val="34"/>
          </rPr>
          <t xml:space="preserve">
</t>
        </r>
        <r>
          <rPr>
            <sz val="14"/>
            <color rgb="FF000000"/>
            <rFont val="Times New Roman"/>
            <family val="18"/>
          </rPr>
          <t>ML 6388 GB 4 (1810/1) – TL IR 39-&gt;GB 4 Nr. 56 (Ofen 30/06/1811)</t>
        </r>
        <r>
          <rPr>
            <sz val="14"/>
            <color rgb="FF000000"/>
            <rFont val="Aptos"/>
            <family val="34"/>
          </rPr>
          <t xml:space="preserve">
</t>
        </r>
      </text>
    </comment>
    <comment ref="BH1224" authorId="0" shapeId="0" xr:uid="{85B468F5-A023-8D42-BB79-71CA6C31DCE3}">
      <text>
        <r>
          <rPr>
            <sz val="14"/>
            <color rgb="FF000000"/>
            <rFont val="Calibri"/>
            <family val="34"/>
          </rPr>
          <t xml:space="preserve">IR 39 (1809-1811)
</t>
        </r>
        <r>
          <rPr>
            <sz val="14"/>
            <color rgb="FF000000"/>
            <rFont val="Calibri"/>
            <family val="34"/>
          </rPr>
          <t>GB 4 (1811-1812)</t>
        </r>
      </text>
    </comment>
    <comment ref="BI1224" authorId="0" shapeId="0" xr:uid="{F095D1FD-1F78-5244-9520-9B9965FE902F}">
      <text>
        <r>
          <rPr>
            <i/>
            <sz val="14"/>
            <color rgb="FF000000"/>
            <rFont val="Times New Roman"/>
            <family val="18"/>
          </rPr>
          <t>Gut</t>
        </r>
        <r>
          <rPr>
            <sz val="14"/>
            <color rgb="FF000000"/>
            <rFont val="Times New Roman"/>
            <family val="18"/>
          </rPr>
          <t xml:space="preserve"> [TL June 1811]</t>
        </r>
        <r>
          <rPr>
            <sz val="14"/>
            <color rgb="FF000000"/>
            <rFont val="Calibri"/>
            <family val="2"/>
          </rPr>
          <t xml:space="preserve"> </t>
        </r>
      </text>
    </comment>
    <comment ref="BJ1224" authorId="0" shapeId="0" xr:uid="{7B6157E9-29CE-5447-A5F9-0A05038667C5}">
      <text>
        <r>
          <rPr>
            <i/>
            <sz val="14"/>
            <color rgb="FF000000"/>
            <rFont val="Times New Roman"/>
            <family val="18"/>
          </rPr>
          <t>Rechte Leistenbruch</t>
        </r>
        <r>
          <rPr>
            <sz val="14"/>
            <color rgb="FF000000"/>
            <rFont val="Times New Roman"/>
            <family val="18"/>
          </rPr>
          <t xml:space="preserve"> [TL June 1811]</t>
        </r>
        <r>
          <rPr>
            <sz val="14"/>
            <color rgb="FF000000"/>
            <rFont val="Aptos"/>
            <family val="34"/>
          </rPr>
          <t xml:space="preserve">
</t>
        </r>
        <r>
          <rPr>
            <sz val="14"/>
            <color rgb="FF000000"/>
            <rFont val="Calibri"/>
            <family val="2"/>
          </rPr>
          <t xml:space="preserve"> </t>
        </r>
      </text>
    </comment>
    <comment ref="BF1225" authorId="0" shapeId="0" xr:uid="{A34AF200-3F7D-6943-979A-F4B1E4D7CC73}">
      <text>
        <r>
          <rPr>
            <sz val="14"/>
            <color rgb="FF000000"/>
            <rFont val="Times New Roman"/>
            <family val="18"/>
          </rPr>
          <t xml:space="preserve">08/03/1809 </t>
        </r>
        <r>
          <rPr>
            <i/>
            <sz val="14"/>
            <color rgb="FF000000"/>
            <rFont val="Times New Roman"/>
            <family val="18"/>
          </rPr>
          <t xml:space="preserve">Von Land a 3Fl zum IR 39 gestellt und zum 19. Fus. Komp. eingeteilt </t>
        </r>
        <r>
          <rPr>
            <sz val="14"/>
            <color rgb="FF000000"/>
            <rFont val="Times New Roman"/>
            <family val="18"/>
          </rPr>
          <t>[ML 1811]</t>
        </r>
        <r>
          <rPr>
            <sz val="14"/>
            <color rgb="FF000000"/>
            <rFont val="Aptos"/>
            <family val="34"/>
          </rPr>
          <t xml:space="preserve">
</t>
        </r>
        <r>
          <rPr>
            <sz val="14"/>
            <color rgb="FF000000"/>
            <rFont val="Times New Roman"/>
            <family val="18"/>
          </rPr>
          <t xml:space="preserve">08/05/1809 </t>
        </r>
        <r>
          <rPr>
            <i/>
            <sz val="14"/>
            <color rgb="FF000000"/>
            <rFont val="Times New Roman"/>
            <family val="18"/>
          </rPr>
          <t>Von 19. zum 1.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09/07/1809 </t>
        </r>
        <r>
          <rPr>
            <b/>
            <sz val="14"/>
            <color rgb="FF000000"/>
            <rFont val="Times New Roman"/>
            <family val="18"/>
          </rPr>
          <t xml:space="preserve">[An der Schlacht bei Hollabrunn] </t>
        </r>
        <r>
          <rPr>
            <i/>
            <sz val="14"/>
            <color rgb="FF000000"/>
            <rFont val="Times New Roman"/>
            <family val="18"/>
          </rPr>
          <t>Kriegsgefangen</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11/06/1810 </t>
        </r>
        <r>
          <rPr>
            <i/>
            <sz val="14"/>
            <color rgb="FF000000"/>
            <rFont val="Times New Roman"/>
            <family val="18"/>
          </rPr>
          <t>Aus den Kriegsgefangenschaft zurück gelegt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 Fus. Komp zum IR 62 2.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15/11/1810 </t>
        </r>
        <r>
          <rPr>
            <i/>
            <sz val="14"/>
            <color rgb="FF000000"/>
            <rFont val="Times New Roman"/>
            <family val="18"/>
          </rPr>
          <t>Krank zu Spital in Tamesvar</t>
        </r>
        <r>
          <rPr>
            <sz val="14"/>
            <color rgb="FF000000"/>
            <rFont val="Times New Roman"/>
            <family val="18"/>
          </rPr>
          <t xml:space="preserve"> [ST Nov 1811]</t>
        </r>
        <r>
          <rPr>
            <sz val="14"/>
            <color rgb="FF000000"/>
            <rFont val="Aptos"/>
            <family val="34"/>
          </rPr>
          <t xml:space="preserve">
</t>
        </r>
        <r>
          <rPr>
            <sz val="14"/>
            <color rgb="FF000000"/>
            <rFont val="Times New Roman"/>
            <family val="18"/>
          </rPr>
          <t xml:space="preserve">06/12/1810 </t>
        </r>
        <r>
          <rPr>
            <i/>
            <sz val="14"/>
            <color rgb="FF000000"/>
            <rFont val="Times New Roman"/>
            <family val="18"/>
          </rPr>
          <t>Rekonvaleziert</t>
        </r>
        <r>
          <rPr>
            <sz val="14"/>
            <color rgb="FF000000"/>
            <rFont val="Times New Roman"/>
            <family val="18"/>
          </rPr>
          <t xml:space="preserve"> [ST Dec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Kriegscapitulant mit Abschied entlassen</t>
        </r>
        <r>
          <rPr>
            <sz val="14"/>
            <color rgb="FF000000"/>
            <rFont val="Times New Roman"/>
            <family val="18"/>
          </rPr>
          <t xml:space="preserve"> [ML 1811] </t>
        </r>
      </text>
    </comment>
    <comment ref="BG1225" authorId="0" shapeId="0" xr:uid="{EDEC6F43-ED4A-5440-9BE7-96EB9935BC52}">
      <text>
        <r>
          <rPr>
            <sz val="14"/>
            <color rgb="FF000000"/>
            <rFont val="Times New Roman"/>
            <family val="18"/>
          </rPr>
          <t>ML 3501/2 IR 39 (1811) – 1. Fus. Komp. Abgang (Szent Andree 14/09/1811)</t>
        </r>
        <r>
          <rPr>
            <sz val="14"/>
            <color rgb="FF000000"/>
            <rFont val="Aptos"/>
            <family val="34"/>
          </rPr>
          <t xml:space="preserve">
</t>
        </r>
        <r>
          <rPr>
            <sz val="14"/>
            <color rgb="FF000000"/>
            <rFont val="Times New Roman"/>
            <family val="18"/>
          </rPr>
          <t>ML 5210 IR 62 (1810) – 2. Fus. Komp. Abgang (Orsowa 09/09/1811)</t>
        </r>
        <r>
          <rPr>
            <sz val="14"/>
            <color rgb="FF000000"/>
            <rFont val="Aptos"/>
            <family val="34"/>
          </rPr>
          <t xml:space="preserve">
</t>
        </r>
        <r>
          <rPr>
            <sz val="14"/>
            <color rgb="FF000000"/>
            <rFont val="Times New Roman"/>
            <family val="18"/>
          </rPr>
          <t>ML 5223 IR 62 (1810) – TL IR 39-&gt;IR 62 Nr. 3 (Ofen 07/09/1810); ST July (03/03/1811), Nov (15/06/1811), Dec (30/06/1811)</t>
        </r>
        <r>
          <rPr>
            <sz val="14"/>
            <color rgb="FF000000"/>
            <rFont val="Aptos"/>
            <family val="34"/>
          </rPr>
          <t xml:space="preserve">
</t>
        </r>
      </text>
    </comment>
    <comment ref="BH1225" authorId="0" shapeId="0" xr:uid="{097FCEEE-8DB7-3443-BE69-78BA881A8119}">
      <text>
        <r>
          <rPr>
            <sz val="14"/>
            <color rgb="FF000000"/>
            <rFont val="Calibri"/>
            <family val="34"/>
          </rPr>
          <t xml:space="preserve">IR 39 (1809-1810)
</t>
        </r>
        <r>
          <rPr>
            <sz val="14"/>
            <color rgb="FF000000"/>
            <rFont val="Calibri"/>
            <family val="34"/>
          </rPr>
          <t>IR 62 (1810-1811)</t>
        </r>
      </text>
    </comment>
    <comment ref="BF1226" authorId="0" shapeId="0" xr:uid="{059EA1DC-C817-2F42-A746-4240B3C86E84}">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20.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19/01/1810 </t>
        </r>
        <r>
          <rPr>
            <i/>
            <sz val="14"/>
            <color rgb="FF000000"/>
            <rFont val="Times New Roman"/>
            <family val="18"/>
          </rPr>
          <t>Krank mit auswärtiger Gebühr</t>
        </r>
        <r>
          <rPr>
            <sz val="14"/>
            <color rgb="FF000000"/>
            <rFont val="Times New Roman"/>
            <family val="18"/>
          </rPr>
          <t xml:space="preserve"> [ST Jan 1811]</t>
        </r>
        <r>
          <rPr>
            <sz val="14"/>
            <color rgb="FF000000"/>
            <rFont val="Calibri"/>
            <family val="34"/>
          </rPr>
          <t xml:space="preserve">
</t>
        </r>
        <r>
          <rPr>
            <sz val="14"/>
            <color rgb="FF000000"/>
            <rFont val="Times New Roman"/>
            <family val="18"/>
          </rPr>
          <t xml:space="preserve">11/02/1810 </t>
        </r>
        <r>
          <rPr>
            <i/>
            <sz val="14"/>
            <color rgb="FF000000"/>
            <rFont val="Times New Roman"/>
            <family val="18"/>
          </rPr>
          <t>Rekonvalesziert</t>
        </r>
        <r>
          <rPr>
            <sz val="14"/>
            <color rgb="FF000000"/>
            <rFont val="Times New Roman"/>
            <family val="18"/>
          </rPr>
          <t xml:space="preserve"> [ST Feb 1811]</t>
        </r>
        <r>
          <rPr>
            <sz val="14"/>
            <color rgb="FF000000"/>
            <rFont val="Calibri"/>
            <family val="34"/>
          </rPr>
          <t xml:space="preserve">
</t>
        </r>
        <r>
          <rPr>
            <sz val="14"/>
            <color rgb="FF000000"/>
            <rFont val="Times New Roman"/>
            <family val="18"/>
          </rPr>
          <t xml:space="preserve">16/02/1810 </t>
        </r>
        <r>
          <rPr>
            <i/>
            <sz val="14"/>
            <color rgb="FF000000"/>
            <rFont val="Times New Roman"/>
            <family val="18"/>
          </rPr>
          <t>Krank mit auswärtiger Gebühr</t>
        </r>
        <r>
          <rPr>
            <sz val="14"/>
            <color rgb="FF000000"/>
            <rFont val="Times New Roman"/>
            <family val="18"/>
          </rPr>
          <t xml:space="preserve"> [ST Jan 1811]</t>
        </r>
        <r>
          <rPr>
            <sz val="14"/>
            <color rgb="FF000000"/>
            <rFont val="Calibri"/>
            <family val="34"/>
          </rPr>
          <t xml:space="preserve">
</t>
        </r>
        <r>
          <rPr>
            <sz val="14"/>
            <color rgb="FF000000"/>
            <rFont val="Times New Roman"/>
            <family val="18"/>
          </rPr>
          <t xml:space="preserve">26/02/1810 </t>
        </r>
        <r>
          <rPr>
            <i/>
            <sz val="14"/>
            <color rgb="FF000000"/>
            <rFont val="Times New Roman"/>
            <family val="18"/>
          </rPr>
          <t>Rekonvalesziert</t>
        </r>
        <r>
          <rPr>
            <sz val="14"/>
            <color rgb="FF000000"/>
            <rFont val="Times New Roman"/>
            <family val="18"/>
          </rPr>
          <t xml:space="preserve"> [ST Feb 1811]</t>
        </r>
        <r>
          <rPr>
            <sz val="14"/>
            <color rgb="FF000000"/>
            <rFont val="Calibri"/>
            <family val="34"/>
          </rPr>
          <t xml:space="preserve">
</t>
        </r>
        <r>
          <rPr>
            <sz val="14"/>
            <color rgb="FF000000"/>
            <rFont val="Times New Roman"/>
            <family val="18"/>
          </rPr>
          <t>26/03/1810</t>
        </r>
        <r>
          <rPr>
            <i/>
            <sz val="14"/>
            <color rgb="FF000000"/>
            <rFont val="Times New Roman"/>
            <family val="18"/>
          </rPr>
          <t xml:space="preserve"> Krank mit auswärtiger Gebühr</t>
        </r>
        <r>
          <rPr>
            <sz val="14"/>
            <color rgb="FF000000"/>
            <rFont val="Times New Roman"/>
            <family val="18"/>
          </rPr>
          <t xml:space="preserve"> [ST March 1811]</t>
        </r>
        <r>
          <rPr>
            <sz val="14"/>
            <color rgb="FF000000"/>
            <rFont val="Calibri"/>
            <family val="34"/>
          </rPr>
          <t xml:space="preserve">
</t>
        </r>
        <r>
          <rPr>
            <sz val="14"/>
            <color rgb="FF000000"/>
            <rFont val="Times New Roman"/>
            <family val="18"/>
          </rPr>
          <t xml:space="preserve">05/04/1810 </t>
        </r>
        <r>
          <rPr>
            <i/>
            <sz val="14"/>
            <color rgb="FF000000"/>
            <rFont val="Times New Roman"/>
            <family val="18"/>
          </rPr>
          <t>Rekonvalesziert</t>
        </r>
        <r>
          <rPr>
            <sz val="14"/>
            <color rgb="FF000000"/>
            <rFont val="Times New Roman"/>
            <family val="18"/>
          </rPr>
          <t xml:space="preserve"> [ST April 1811]</t>
        </r>
        <r>
          <rPr>
            <sz val="14"/>
            <color rgb="FF000000"/>
            <rFont val="Calibri"/>
            <family val="34"/>
          </rPr>
          <t xml:space="preserve">
</t>
        </r>
        <r>
          <rPr>
            <sz val="14"/>
            <color rgb="FF000000"/>
            <rFont val="Times New Roman"/>
            <family val="18"/>
          </rPr>
          <t>13/04/1810</t>
        </r>
        <r>
          <rPr>
            <i/>
            <sz val="14"/>
            <color rgb="FF000000"/>
            <rFont val="Times New Roman"/>
            <family val="18"/>
          </rPr>
          <t xml:space="preserve"> Krank mit auswärtiger Gebühr</t>
        </r>
        <r>
          <rPr>
            <sz val="14"/>
            <color rgb="FF000000"/>
            <rFont val="Times New Roman"/>
            <family val="18"/>
          </rPr>
          <t xml:space="preserve"> [ST March 1811]</t>
        </r>
        <r>
          <rPr>
            <sz val="14"/>
            <color rgb="FF000000"/>
            <rFont val="Calibri"/>
            <family val="34"/>
          </rPr>
          <t xml:space="preserve">
</t>
        </r>
        <r>
          <rPr>
            <sz val="14"/>
            <color rgb="FF000000"/>
            <rFont val="Times New Roman"/>
            <family val="18"/>
          </rPr>
          <t xml:space="preserve">26/04/1810 </t>
        </r>
        <r>
          <rPr>
            <i/>
            <sz val="14"/>
            <color rgb="FF000000"/>
            <rFont val="Times New Roman"/>
            <family val="18"/>
          </rPr>
          <t>Rekonvalesziert</t>
        </r>
        <r>
          <rPr>
            <sz val="14"/>
            <color rgb="FF000000"/>
            <rFont val="Times New Roman"/>
            <family val="18"/>
          </rPr>
          <t xml:space="preserve"> [ST April 1811]</t>
        </r>
        <r>
          <rPr>
            <sz val="14"/>
            <color rgb="FF000000"/>
            <rFont val="Calibri"/>
            <family val="34"/>
          </rPr>
          <t xml:space="preserve">
</t>
        </r>
        <r>
          <rPr>
            <sz val="14"/>
            <color rgb="FF000000"/>
            <rFont val="Times New Roman"/>
            <family val="18"/>
          </rPr>
          <t xml:space="preserve">20/11/1810 </t>
        </r>
        <r>
          <rPr>
            <i/>
            <sz val="14"/>
            <color rgb="FF000000"/>
            <rFont val="Times New Roman"/>
            <family val="18"/>
          </rPr>
          <t>Als Kriegscapitulant mit Abschied entlassen</t>
        </r>
        <r>
          <rPr>
            <sz val="14"/>
            <color rgb="FF000000"/>
            <rFont val="Times New Roman"/>
            <family val="18"/>
          </rPr>
          <t xml:space="preserve"> [ML 1811]</t>
        </r>
      </text>
    </comment>
    <comment ref="BG1226" authorId="0" shapeId="0" xr:uid="{AC964723-8569-8D4C-8350-FA9969B61A1F}">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3551 IR 39 (1810) – ST Jan (Ofen 03/06/1811), Feb (Ofen (06/06/1811), March (Ofen 15/06/1810), ST April</t>
        </r>
        <r>
          <rPr>
            <sz val="14"/>
            <color rgb="FF000000"/>
            <rFont val="Calibri"/>
            <family val="34"/>
          </rPr>
          <t xml:space="preserve">
</t>
        </r>
      </text>
    </comment>
    <comment ref="BH1226" authorId="0" shapeId="0" xr:uid="{D2D64E36-F84B-354D-8BBC-C86EBD76087A}">
      <text>
        <r>
          <rPr>
            <sz val="14"/>
            <color rgb="FF000000"/>
            <rFont val="Calibri"/>
            <family val="34"/>
          </rPr>
          <t>IR 39 (1809-1810)</t>
        </r>
      </text>
    </comment>
    <comment ref="BF1227" authorId="0" shapeId="0" xr:uid="{7C658E10-6B66-BF41-81A7-54EAC8911221}">
      <text>
        <r>
          <rPr>
            <sz val="14"/>
            <color rgb="FF000000"/>
            <rFont val="Times New Roman"/>
            <family val="18"/>
          </rPr>
          <t xml:space="preserve">08/03/1809 </t>
        </r>
        <r>
          <rPr>
            <i/>
            <sz val="14"/>
            <color rgb="FF000000"/>
            <rFont val="Times New Roman"/>
            <family val="18"/>
          </rPr>
          <t>Von Land a 3Fl zum IR 39 gestellt und zum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26/06/1809 </t>
        </r>
        <r>
          <rPr>
            <i/>
            <sz val="14"/>
            <color rgb="FF000000"/>
            <rFont val="Times New Roman"/>
            <family val="18"/>
          </rPr>
          <t>Von 19. zum 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28/06/1809 </t>
        </r>
        <r>
          <rPr>
            <i/>
            <sz val="14"/>
            <color rgb="FF000000"/>
            <rFont val="Times New Roman"/>
            <family val="18"/>
          </rPr>
          <t>Krank mit auswärtiger Gebühr</t>
        </r>
        <r>
          <rPr>
            <sz val="14"/>
            <color rgb="FF000000"/>
            <rFont val="Times New Roman"/>
            <family val="18"/>
          </rPr>
          <t xml:space="preserve"> [ST June 1811]</t>
        </r>
        <r>
          <rPr>
            <sz val="14"/>
            <color rgb="FF000000"/>
            <rFont val="Calibri"/>
            <family val="34"/>
          </rPr>
          <t xml:space="preserve">
</t>
        </r>
        <r>
          <rPr>
            <sz val="14"/>
            <color rgb="FF000000"/>
            <rFont val="Times New Roman"/>
            <family val="18"/>
          </rPr>
          <t xml:space="preserve">01/10/1809 </t>
        </r>
        <r>
          <rPr>
            <i/>
            <sz val="14"/>
            <color rgb="FF000000"/>
            <rFont val="Times New Roman"/>
            <family val="18"/>
          </rPr>
          <t>Rekonvalesziert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21/08/1810 </t>
        </r>
        <r>
          <rPr>
            <i/>
            <sz val="14"/>
            <color rgb="FF000000"/>
            <rFont val="Times New Roman"/>
            <family val="18"/>
          </rPr>
          <t>Krank mit auswärtiger Gebühr</t>
        </r>
        <r>
          <rPr>
            <sz val="14"/>
            <color rgb="FF000000"/>
            <rFont val="Times New Roman"/>
            <family val="18"/>
          </rPr>
          <t xml:space="preserve"> [ST Aug 1811]</t>
        </r>
        <r>
          <rPr>
            <sz val="14"/>
            <color rgb="FF000000"/>
            <rFont val="Calibri"/>
            <family val="34"/>
          </rPr>
          <t xml:space="preserve">
</t>
        </r>
        <r>
          <rPr>
            <sz val="14"/>
            <color rgb="FF000000"/>
            <rFont val="Times New Roman"/>
            <family val="18"/>
          </rPr>
          <t xml:space="preserve">01/09/1810 </t>
        </r>
        <r>
          <rPr>
            <i/>
            <sz val="14"/>
            <color rgb="FF000000"/>
            <rFont val="Times New Roman"/>
            <family val="18"/>
          </rPr>
          <t>Rekonvalesziert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 xml:space="preserve">05/09/1810 </t>
        </r>
        <r>
          <rPr>
            <i/>
            <sz val="14"/>
            <color rgb="FF000000"/>
            <rFont val="Times New Roman"/>
            <family val="18"/>
          </rPr>
          <t xml:space="preserve">Als Kriegscapitulant mit Abschied entlassen </t>
        </r>
        <r>
          <rPr>
            <sz val="14"/>
            <color rgb="FF000000"/>
            <rFont val="Times New Roman"/>
            <family val="18"/>
          </rPr>
          <t>[ML 1811]</t>
        </r>
      </text>
    </comment>
    <comment ref="BG1227" authorId="0" shapeId="0" xr:uid="{32CB443A-9436-6A40-9C7C-4B538E94AF7B}">
      <text>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3550 IR 39 (1809) – ST June (Ofen 18/02/1811), Oct (Ofen 21/04/1811)</t>
        </r>
        <r>
          <rPr>
            <sz val="14"/>
            <color rgb="FF000000"/>
            <rFont val="Calibri"/>
            <family val="34"/>
          </rPr>
          <t xml:space="preserve">
</t>
        </r>
        <r>
          <rPr>
            <sz val="14"/>
            <color rgb="FF000000"/>
            <rFont val="Times New Roman"/>
            <family val="18"/>
          </rPr>
          <t>ML 3551 IR 39 (1810) – ST Aug, Sept (15/12/1811)</t>
        </r>
        <r>
          <rPr>
            <sz val="14"/>
            <color rgb="FF000000"/>
            <rFont val="Calibri"/>
            <family val="34"/>
          </rPr>
          <t xml:space="preserve">
</t>
        </r>
      </text>
    </comment>
    <comment ref="BH1227" authorId="0" shapeId="0" xr:uid="{60A21064-2B69-CB42-BB2B-E2975C7477D7}">
      <text>
        <r>
          <rPr>
            <sz val="14"/>
            <color rgb="FF000000"/>
            <rFont val="Calibri"/>
            <family val="34"/>
          </rPr>
          <t>IR 39 (1809-1810)</t>
        </r>
      </text>
    </comment>
    <comment ref="BF1228" authorId="0" shapeId="0" xr:uid="{6E358B9E-625C-C342-B451-EE3DAABD9823}">
      <text>
        <r>
          <rPr>
            <sz val="14"/>
            <color rgb="FF000000"/>
            <rFont val="Times New Roman"/>
            <family val="18"/>
          </rPr>
          <t xml:space="preserve">08/03/1809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8. Fus. Komp. Nr. 100</t>
        </r>
      </text>
    </comment>
    <comment ref="BG1228" authorId="0" shapeId="0" xr:uid="{06AFC959-E54F-2F46-AF90-CBCC99EF6623}">
      <text>
        <r>
          <rPr>
            <sz val="14"/>
            <color rgb="FF000000"/>
            <rFont val="Times New Roman"/>
            <family val="18"/>
          </rPr>
          <t>IR 544 IR 8 (1811) – 8. Fus. Komp. Nr. 100 (Iglau 12/09/1811)</t>
        </r>
        <r>
          <rPr>
            <sz val="14"/>
            <color rgb="FF000000"/>
            <rFont val="Calibri"/>
            <family val="34"/>
          </rPr>
          <t xml:space="preserve">
</t>
        </r>
      </text>
    </comment>
    <comment ref="BH1228" authorId="0" shapeId="0" xr:uid="{BAE83270-6B83-1547-83BD-E667F8BF1916}">
      <text>
        <r>
          <rPr>
            <sz val="14"/>
            <color rgb="FF000000"/>
            <rFont val="Calibri"/>
            <family val="34"/>
          </rPr>
          <t>IR 8 (1809-1811)</t>
        </r>
      </text>
    </comment>
    <comment ref="BF1229" authorId="0" shapeId="0" xr:uid="{29BF85FB-E0C3-084B-9C85-4EC10CFF9712}">
      <text>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06/05/1809 </t>
        </r>
        <r>
          <rPr>
            <i/>
            <sz val="14"/>
            <color rgb="FF000000"/>
            <rFont val="Times New Roman"/>
            <family val="18"/>
          </rPr>
          <t>Von 20. zum 1.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01/01/1810 </t>
        </r>
        <r>
          <rPr>
            <i/>
            <sz val="14"/>
            <color rgb="FF000000"/>
            <rFont val="Times New Roman"/>
            <family val="18"/>
          </rPr>
          <t>Kommandiert zu Spital zu Waitzen mit auswärtiger Gebühr</t>
        </r>
        <r>
          <rPr>
            <sz val="14"/>
            <color rgb="FF000000"/>
            <rFont val="Times New Roman"/>
            <family val="18"/>
          </rPr>
          <t xml:space="preserve"> [ST Jan 1811]</t>
        </r>
        <r>
          <rPr>
            <sz val="14"/>
            <color rgb="FF000000"/>
            <rFont val="Aptos"/>
            <family val="34"/>
          </rPr>
          <t xml:space="preserve">
</t>
        </r>
        <r>
          <rPr>
            <sz val="14"/>
            <color rgb="FF000000"/>
            <rFont val="Times New Roman"/>
            <family val="18"/>
          </rPr>
          <t xml:space="preserve">16/04/1810 </t>
        </r>
        <r>
          <rPr>
            <i/>
            <sz val="14"/>
            <color rgb="FF000000"/>
            <rFont val="Times New Roman"/>
            <family val="18"/>
          </rPr>
          <t>In Kompanie eingerückt</t>
        </r>
        <r>
          <rPr>
            <sz val="14"/>
            <color rgb="FF000000"/>
            <rFont val="Times New Roman"/>
            <family val="18"/>
          </rPr>
          <t xml:space="preserve"> [ST April 1810]</t>
        </r>
        <r>
          <rPr>
            <sz val="14"/>
            <color rgb="FF000000"/>
            <rFont val="Aptos"/>
            <family val="34"/>
          </rPr>
          <t xml:space="preserve">
</t>
        </r>
        <r>
          <rPr>
            <sz val="14"/>
            <color rgb="FF000000"/>
            <rFont val="Times New Roman"/>
            <family val="18"/>
          </rPr>
          <t xml:space="preserve">10/05/1810 </t>
        </r>
        <r>
          <rPr>
            <i/>
            <sz val="14"/>
            <color rgb="FF000000"/>
            <rFont val="Times New Roman"/>
            <family val="18"/>
          </rPr>
          <t>Krank mit auswärtiger Gebühr</t>
        </r>
        <r>
          <rPr>
            <sz val="14"/>
            <color rgb="FF000000"/>
            <rFont val="Times New Roman"/>
            <family val="18"/>
          </rPr>
          <t xml:space="preserve"> [ST May 1810]</t>
        </r>
        <r>
          <rPr>
            <sz val="14"/>
            <color rgb="FF000000"/>
            <rFont val="Aptos"/>
            <family val="34"/>
          </rPr>
          <t xml:space="preserve">
</t>
        </r>
        <r>
          <rPr>
            <sz val="14"/>
            <color rgb="FF000000"/>
            <rFont val="Times New Roman"/>
            <family val="18"/>
          </rPr>
          <t xml:space="preserve">31/05/1810 </t>
        </r>
        <r>
          <rPr>
            <i/>
            <sz val="14"/>
            <color rgb="FF000000"/>
            <rFont val="Times New Roman"/>
            <family val="18"/>
          </rPr>
          <t>Rekonvalesziert</t>
        </r>
        <r>
          <rPr>
            <sz val="14"/>
            <color rgb="FF000000"/>
            <rFont val="Times New Roman"/>
            <family val="18"/>
          </rPr>
          <t xml:space="preserve"> [ST June 1810]</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 Fus. Komp zum IR 62 13.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28/07/1810 </t>
        </r>
        <r>
          <rPr>
            <i/>
            <sz val="14"/>
            <color rgb="FF000000"/>
            <rFont val="Times New Roman"/>
            <family val="18"/>
          </rPr>
          <t>Krank zu Spital in Tamesvar</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25/08/1810 </t>
        </r>
        <r>
          <rPr>
            <i/>
            <sz val="14"/>
            <color rgb="FF000000"/>
            <rFont val="Times New Roman"/>
            <family val="18"/>
          </rPr>
          <t>Rekonvalesziert</t>
        </r>
        <r>
          <rPr>
            <sz val="14"/>
            <color rgb="FF000000"/>
            <rFont val="Times New Roman"/>
            <family val="18"/>
          </rPr>
          <t xml:space="preserve"> [ST Aug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229" authorId="0" shapeId="0" xr:uid="{7F366DD9-3289-E446-A53C-0E90C88D8D0F}">
      <text>
        <r>
          <rPr>
            <sz val="14"/>
            <color rgb="FF000000"/>
            <rFont val="Times New Roman"/>
            <family val="18"/>
          </rPr>
          <t>ML 3501/2 IR 39 (1811) – 1. Fus. Komp. Abgang (Szent Andree 14/09/1811)</t>
        </r>
        <r>
          <rPr>
            <sz val="14"/>
            <color rgb="FF000000"/>
            <rFont val="Aptos"/>
            <family val="34"/>
          </rPr>
          <t xml:space="preserve">
</t>
        </r>
        <r>
          <rPr>
            <sz val="14"/>
            <color rgb="FF000000"/>
            <rFont val="Times New Roman"/>
            <family val="18"/>
          </rPr>
          <t xml:space="preserve">ML 3551 IR 39 (1810) – ST Jan (Ofen 03/06/1811), April, May, June </t>
        </r>
        <r>
          <rPr>
            <sz val="14"/>
            <color rgb="FF000000"/>
            <rFont val="Aptos"/>
            <family val="34"/>
          </rPr>
          <t xml:space="preserve">
</t>
        </r>
        <r>
          <rPr>
            <sz val="14"/>
            <color rgb="FF000000"/>
            <rFont val="Times New Roman"/>
            <family val="18"/>
          </rPr>
          <t>ML 5223 IR 62 (1810) – TL IR 39-&gt;IR 62 Nr. 1  (Ofen 07/09/1810); ST July (03/03/1811), Aug (Tamesvar 15/03/1811), Sept (Tamesvar 07/04/1811)</t>
        </r>
        <r>
          <rPr>
            <sz val="14"/>
            <color rgb="FF000000"/>
            <rFont val="Aptos"/>
            <family val="34"/>
          </rPr>
          <t xml:space="preserve">
</t>
        </r>
      </text>
    </comment>
    <comment ref="BH1229" authorId="0" shapeId="0" xr:uid="{5DB4C050-CBB1-9F4A-82BB-BB8802CAB723}">
      <text>
        <r>
          <rPr>
            <sz val="14"/>
            <color rgb="FF000000"/>
            <rFont val="Calibri"/>
            <family val="34"/>
          </rPr>
          <t xml:space="preserve">IR 39 (1809-1810)
</t>
        </r>
        <r>
          <rPr>
            <sz val="14"/>
            <color rgb="FF000000"/>
            <rFont val="Calibri"/>
            <family val="34"/>
          </rPr>
          <t>IR 62 (1810)</t>
        </r>
      </text>
    </comment>
    <comment ref="BF1230" authorId="0" shapeId="0" xr:uid="{E34F6BC5-065D-C84D-85BC-CC65CAE9D8F8}">
      <text>
        <r>
          <rPr>
            <sz val="14"/>
            <color rgb="FF000000"/>
            <rFont val="Times New Roman"/>
            <family val="18"/>
          </rPr>
          <t xml:space="preserve">11/03/1809 </t>
        </r>
        <r>
          <rPr>
            <i/>
            <sz val="14"/>
            <color rgb="FF000000"/>
            <rFont val="Times New Roman"/>
            <family val="18"/>
          </rPr>
          <t>Von Land zum IR 39 gestellt</t>
        </r>
        <r>
          <rPr>
            <sz val="14"/>
            <color rgb="FF000000"/>
            <rFont val="Times New Roman"/>
            <family val="18"/>
          </rPr>
          <t xml:space="preserve"> [TL Sept 1810]</t>
        </r>
        <r>
          <rPr>
            <sz val="14"/>
            <color rgb="FF000000"/>
            <rFont val="Aptos"/>
            <family val="34"/>
          </rPr>
          <t xml:space="preserve">
</t>
        </r>
        <r>
          <rPr>
            <sz val="14"/>
            <color rgb="FF000000"/>
            <rFont val="Times New Roman"/>
            <family val="18"/>
          </rPr>
          <t xml:space="preserve">01/08/1810 </t>
        </r>
        <r>
          <rPr>
            <i/>
            <sz val="14"/>
            <color rgb="FF000000"/>
            <rFont val="Times New Roman"/>
            <family val="18"/>
          </rPr>
          <t>Von 20. zum 11.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06/01/1810 </t>
        </r>
        <r>
          <rPr>
            <i/>
            <sz val="14"/>
            <color rgb="FF000000"/>
            <rFont val="Times New Roman"/>
            <family val="18"/>
          </rPr>
          <t>Von IR 39 11. Fus. Komp. zum HFS 44 transferiert</t>
        </r>
        <r>
          <rPr>
            <sz val="14"/>
            <color rgb="FF000000"/>
            <rFont val="Times New Roman"/>
            <family val="18"/>
          </rPr>
          <t xml:space="preserve"> [ML 1810]</t>
        </r>
        <r>
          <rPr>
            <sz val="14"/>
            <color rgb="FF000000"/>
            <rFont val="Aptos"/>
            <family val="34"/>
          </rPr>
          <t xml:space="preserve">
</t>
        </r>
        <r>
          <rPr>
            <sz val="14"/>
            <color rgb="FF000000"/>
            <rFont val="Times New Roman"/>
            <family val="18"/>
          </rPr>
          <t xml:space="preserve">01/04/1810 </t>
        </r>
        <r>
          <rPr>
            <i/>
            <sz val="14"/>
            <color rgb="FF000000"/>
            <rFont val="Times New Roman"/>
            <family val="18"/>
          </rPr>
          <t>Von HFS 44 zum IR 39 11. Fus. Komp. transferiert</t>
        </r>
        <r>
          <rPr>
            <sz val="14"/>
            <color rgb="FF000000"/>
            <rFont val="Times New Roman"/>
            <family val="18"/>
          </rPr>
          <t xml:space="preserve"> [ML 1810]</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11. Fus. Komp zum IR 62 5.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230" authorId="0" shapeId="0" xr:uid="{5429EF49-4333-4449-AFB8-41BCAB151474}">
      <text>
        <r>
          <rPr>
            <sz val="14"/>
            <color rgb="FF000000"/>
            <rFont val="Times New Roman"/>
            <family val="18"/>
          </rPr>
          <t>ML 3501/2 IR 39 (1811) – 11. Fus. Komp. Abgang (Ofen 19/09/1811)</t>
        </r>
        <r>
          <rPr>
            <sz val="14"/>
            <color rgb="FF000000"/>
            <rFont val="Aptos"/>
            <family val="34"/>
          </rPr>
          <t xml:space="preserve">
</t>
        </r>
        <r>
          <rPr>
            <sz val="14"/>
            <color rgb="FF000000"/>
            <rFont val="Times New Roman"/>
            <family val="18"/>
          </rPr>
          <t>ML 5223 IR 62 (1810) – TL IR 39-&gt;IR 62 Nr. 110 (Ofen 07/09/1810); ST July (03/03/1811), Sept (Tamesvar 07/04/1811)</t>
        </r>
        <r>
          <rPr>
            <sz val="14"/>
            <color rgb="FF000000"/>
            <rFont val="Aptos"/>
            <family val="34"/>
          </rPr>
          <t xml:space="preserve">
</t>
        </r>
      </text>
    </comment>
    <comment ref="BH1230" authorId="0" shapeId="0" xr:uid="{A5176E5C-0AAF-7B4D-BB7E-F138592AED9D}">
      <text>
        <r>
          <rPr>
            <sz val="14"/>
            <color rgb="FF000000"/>
            <rFont val="Calibri"/>
            <family val="34"/>
          </rPr>
          <t xml:space="preserve">IR 39 (1809-1810)
</t>
        </r>
        <r>
          <rPr>
            <sz val="14"/>
            <color rgb="FF000000"/>
            <rFont val="Calibri"/>
            <family val="34"/>
          </rPr>
          <t xml:space="preserve">HFS 44 (1810)
</t>
        </r>
        <r>
          <rPr>
            <sz val="14"/>
            <color rgb="FF000000"/>
            <rFont val="Calibri"/>
            <family val="34"/>
          </rPr>
          <t xml:space="preserve">IR 39 (1810)
</t>
        </r>
        <r>
          <rPr>
            <sz val="14"/>
            <color rgb="FF000000"/>
            <rFont val="Calibri"/>
            <family val="34"/>
          </rPr>
          <t>IR 62 (1810-1810)</t>
        </r>
      </text>
    </comment>
    <comment ref="BF1231" authorId="0" shapeId="0" xr:uid="{C54A0CE3-825B-1B45-B595-847D3183F31F}">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13/09/1809 </t>
        </r>
        <r>
          <rPr>
            <i/>
            <sz val="14"/>
            <color rgb="FF000000"/>
            <rFont val="Times New Roman"/>
            <family val="18"/>
          </rPr>
          <t>Krank in Feldspital</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10/01/1810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25/01/1810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1231" authorId="0" shapeId="0" xr:uid="{1CA0D0FC-E88D-1447-9688-308E1BF5AA90}">
      <text>
        <r>
          <rPr>
            <sz val="14"/>
            <color rgb="FF000000"/>
            <rFont val="Times New Roman"/>
            <family val="18"/>
          </rPr>
          <t>ML 10.815 EH Carl FK (1809-10) – AL Nr. 48 (Prague 11/03/1809), ST Sept (Prague 09/08/1810), ST Jan 1810 (??)</t>
        </r>
        <r>
          <rPr>
            <sz val="14"/>
            <color rgb="FF000000"/>
            <rFont val="Calibri"/>
            <family val="34"/>
          </rPr>
          <t xml:space="preserve">
</t>
        </r>
      </text>
    </comment>
    <comment ref="BH1231" authorId="0" shapeId="0" xr:uid="{FB1B2896-A5B8-D442-998C-3EA9FDB7BB0B}">
      <text>
        <r>
          <rPr>
            <sz val="14"/>
            <color rgb="FF000000"/>
            <rFont val="Calibri"/>
            <family val="34"/>
          </rPr>
          <t>Legion EH Carl (1809-1810)</t>
        </r>
      </text>
    </comment>
    <comment ref="BF1232" authorId="0" shapeId="0" xr:uid="{7FC153D3-444C-AF45-8550-CF7CC60B5179}">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Krank in Feldspital</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07/02/1810 </t>
        </r>
        <r>
          <rPr>
            <i/>
            <sz val="14"/>
            <color rgb="FF000000"/>
            <rFont val="Times New Roman"/>
            <family val="18"/>
          </rPr>
          <t>Rekonvalesziert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10/02/1810 </t>
        </r>
        <r>
          <rPr>
            <i/>
            <sz val="14"/>
            <color rgb="FF000000"/>
            <rFont val="Times New Roman"/>
            <family val="18"/>
          </rPr>
          <t xml:space="preserve">Als Freiwillig auf Kriegsdauer engagierte gemäß bestehende Dissolvierungs Verordnung mit 30 Tägigen Ord. Inf Löhnung Abgefertigt Worden </t>
        </r>
        <r>
          <rPr>
            <sz val="14"/>
            <color rgb="FF000000"/>
            <rFont val="Times New Roman"/>
            <family val="18"/>
          </rPr>
          <t>[ST Aug 1810]</t>
        </r>
      </text>
    </comment>
    <comment ref="BG1232" authorId="0" shapeId="0" xr:uid="{9159BE6E-A616-5144-A93A-B62546716E57}">
      <text>
        <r>
          <rPr>
            <sz val="14"/>
            <color rgb="FF000000"/>
            <rFont val="Times New Roman"/>
            <family val="18"/>
          </rPr>
          <t>ML 10.815 EH Carl FK (1809-10) – AL Nr. 15 (Prague 11/03/1809), ST March (Prague 21/06/1809), ST Dec (Prague 30/08/1810), ST Aug 1810 (Prague 30/10/1810)</t>
        </r>
        <r>
          <rPr>
            <sz val="14"/>
            <color rgb="FF000000"/>
            <rFont val="Calibri"/>
            <family val="34"/>
          </rPr>
          <t xml:space="preserve">
</t>
        </r>
      </text>
    </comment>
    <comment ref="BH1232" authorId="0" shapeId="0" xr:uid="{0FFF891C-A628-DC48-949B-2C8ED63A6823}">
      <text>
        <r>
          <rPr>
            <sz val="14"/>
            <color rgb="FF000000"/>
            <rFont val="Calibri"/>
            <family val="34"/>
          </rPr>
          <t>Legion EH Carl (1809-10)</t>
        </r>
      </text>
    </comment>
    <comment ref="T1233" authorId="0" shapeId="0" xr:uid="{B2B69259-A06D-B940-8250-A6801D25EBDD}">
      <text>
        <r>
          <rPr>
            <b/>
            <sz val="14"/>
            <color rgb="FF000000"/>
            <rFont val="Calibri"/>
            <family val="34"/>
          </rPr>
          <t xml:space="preserve">5.5 [171.15 cm (TL 1811)]
</t>
        </r>
        <r>
          <rPr>
            <sz val="14"/>
            <color rgb="FF000000"/>
            <rFont val="Calibri"/>
            <family val="34"/>
          </rPr>
          <t>5.6.3 [174.4 cm (ML 1817)]</t>
        </r>
      </text>
    </comment>
    <comment ref="BF1233" authorId="0" shapeId="0" xr:uid="{0E45340E-9E38-5842-87FE-068A13785413}">
      <text>
        <r>
          <rPr>
            <sz val="14"/>
            <color rgb="FF000000"/>
            <rFont val="Times New Roman"/>
            <family val="18"/>
          </rPr>
          <t xml:space="preserve">13/03/1809 </t>
        </r>
        <r>
          <rPr>
            <i/>
            <sz val="14"/>
            <color rgb="FF000000"/>
            <rFont val="Times New Roman"/>
            <family val="18"/>
          </rPr>
          <t>von Land gestellt und zum ‘Hiller’ Inf. Regiment Nr. 2 assentiert</t>
        </r>
        <r>
          <rPr>
            <sz val="14"/>
            <color rgb="FF000000"/>
            <rFont val="Times New Roman"/>
            <family val="18"/>
          </rPr>
          <t xml:space="preserve"> [TL 1811 &amp; ML 1817]</t>
        </r>
        <r>
          <rPr>
            <sz val="14"/>
            <color rgb="FF000000"/>
            <rFont val="Calibri"/>
            <family val="34"/>
          </rPr>
          <t xml:space="preserve">
</t>
        </r>
        <r>
          <rPr>
            <sz val="14"/>
            <color rgb="FF000000"/>
            <rFont val="Times New Roman"/>
            <family val="18"/>
          </rPr>
          <t xml:space="preserve">19/12/1810 </t>
        </r>
        <r>
          <rPr>
            <i/>
            <sz val="14"/>
            <color rgb="FF000000"/>
            <rFont val="Times New Roman"/>
            <family val="18"/>
          </rPr>
          <t>Absent/krank oder kommandiert in Feld Spitalern</t>
        </r>
        <r>
          <rPr>
            <sz val="14"/>
            <color rgb="FF000000"/>
            <rFont val="Times New Roman"/>
            <family val="18"/>
          </rPr>
          <t xml:space="preserve"> [ST Jan 1811]</t>
        </r>
        <r>
          <rPr>
            <sz val="14"/>
            <color rgb="FF000000"/>
            <rFont val="Calibri"/>
            <family val="34"/>
          </rPr>
          <t xml:space="preserve">
</t>
        </r>
        <r>
          <rPr>
            <sz val="14"/>
            <color rgb="FF000000"/>
            <rFont val="Times New Roman"/>
            <family val="18"/>
          </rPr>
          <t xml:space="preserve">20/01/1811 </t>
        </r>
        <r>
          <rPr>
            <i/>
            <sz val="14"/>
            <color rgb="FF000000"/>
            <rFont val="Times New Roman"/>
            <family val="18"/>
          </rPr>
          <t>Wieder ins Companie eingerückt</t>
        </r>
        <r>
          <rPr>
            <sz val="14"/>
            <color rgb="FF000000"/>
            <rFont val="Times New Roman"/>
            <family val="18"/>
          </rPr>
          <t xml:space="preserve"> [ST Jan 1811]</t>
        </r>
        <r>
          <rPr>
            <sz val="14"/>
            <color rgb="FF000000"/>
            <rFont val="Calibri"/>
            <family val="34"/>
          </rPr>
          <t xml:space="preserve">
</t>
        </r>
        <r>
          <rPr>
            <sz val="14"/>
            <color rgb="FF000000"/>
            <rFont val="Times New Roman"/>
            <family val="18"/>
          </rPr>
          <t>20/09/1811 Muster: IR 2 13. Fusilier Komp. Nr. 149</t>
        </r>
        <r>
          <rPr>
            <sz val="14"/>
            <color rgb="FF000000"/>
            <rFont val="Calibri"/>
            <family val="34"/>
          </rPr>
          <t xml:space="preserve">
</t>
        </r>
        <r>
          <rPr>
            <sz val="14"/>
            <color rgb="FF000000"/>
            <rFont val="Times New Roman"/>
            <family val="18"/>
          </rPr>
          <t>21/10/1811</t>
        </r>
        <r>
          <rPr>
            <i/>
            <sz val="14"/>
            <color rgb="FF000000"/>
            <rFont val="Times New Roman"/>
            <family val="18"/>
          </rPr>
          <t xml:space="preserve"> Vom IR 2 13. Fusilier zum Kaiser Infanterie Regiment Nr. 1 11. Fusilier Comp. mit Einverständnis jedes Regiment transferiert</t>
        </r>
        <r>
          <rPr>
            <sz val="14"/>
            <color rgb="FF000000"/>
            <rFont val="Times New Roman"/>
            <family val="18"/>
          </rPr>
          <t xml:space="preserve"> [TL Oct 1811]</t>
        </r>
        <r>
          <rPr>
            <sz val="14"/>
            <color rgb="FF000000"/>
            <rFont val="Calibri"/>
            <family val="34"/>
          </rPr>
          <t xml:space="preserve">
</t>
        </r>
        <r>
          <rPr>
            <sz val="14"/>
            <color rgb="FF000000"/>
            <rFont val="Times New Roman"/>
            <family val="18"/>
          </rPr>
          <t xml:space="preserve">05/11/1811 </t>
        </r>
        <r>
          <rPr>
            <i/>
            <sz val="14"/>
            <color rgb="FF000000"/>
            <rFont val="Times New Roman"/>
            <family val="18"/>
          </rPr>
          <t xml:space="preserve">In Ort eingerückt </t>
        </r>
        <r>
          <rPr>
            <sz val="14"/>
            <color rgb="FF000000"/>
            <rFont val="Times New Roman"/>
            <family val="18"/>
          </rPr>
          <t>[ST Nov 1811]</t>
        </r>
        <r>
          <rPr>
            <sz val="14"/>
            <color rgb="FF000000"/>
            <rFont val="Calibri"/>
            <family val="34"/>
          </rPr>
          <t xml:space="preserve">
</t>
        </r>
        <r>
          <rPr>
            <sz val="14"/>
            <color rgb="FF000000"/>
            <rFont val="Times New Roman"/>
            <family val="18"/>
          </rPr>
          <t xml:space="preserve">02/04/1813 </t>
        </r>
        <r>
          <rPr>
            <i/>
            <sz val="14"/>
            <color rgb="FF000000"/>
            <rFont val="Times New Roman"/>
            <family val="18"/>
          </rPr>
          <t>Mit Auswärtigen Verpflegung Krank in Armée</t>
        </r>
        <r>
          <rPr>
            <sz val="14"/>
            <color rgb="FF000000"/>
            <rFont val="Times New Roman"/>
            <family val="18"/>
          </rPr>
          <t xml:space="preserve"> </t>
        </r>
        <r>
          <rPr>
            <i/>
            <sz val="14"/>
            <color rgb="FF000000"/>
            <rFont val="Times New Roman"/>
            <family val="18"/>
          </rPr>
          <t>Spitälern</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05/04/1813 </t>
        </r>
        <r>
          <rPr>
            <i/>
            <sz val="14"/>
            <color rgb="FF000000"/>
            <rFont val="Times New Roman"/>
            <family val="18"/>
          </rPr>
          <t>Rekonvalesziert</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19/12/1813 </t>
        </r>
        <r>
          <rPr>
            <i/>
            <sz val="14"/>
            <color rgb="FF000000"/>
            <rFont val="Times New Roman"/>
            <family val="18"/>
          </rPr>
          <t>Mit Auswärtigen Verpflegung Krank in Armée</t>
        </r>
        <r>
          <rPr>
            <sz val="14"/>
            <color rgb="FF000000"/>
            <rFont val="Times New Roman"/>
            <family val="18"/>
          </rPr>
          <t xml:space="preserve"> </t>
        </r>
        <r>
          <rPr>
            <i/>
            <sz val="14"/>
            <color rgb="FF000000"/>
            <rFont val="Times New Roman"/>
            <family val="18"/>
          </rPr>
          <t>Spitälern</t>
        </r>
        <r>
          <rPr>
            <sz val="14"/>
            <color rgb="FF000000"/>
            <rFont val="Times New Roman"/>
            <family val="18"/>
          </rPr>
          <t xml:space="preserve"> [ST Dec 1813]</t>
        </r>
        <r>
          <rPr>
            <sz val="14"/>
            <color rgb="FF000000"/>
            <rFont val="Calibri"/>
            <family val="34"/>
          </rPr>
          <t xml:space="preserve">
</t>
        </r>
        <r>
          <rPr>
            <sz val="14"/>
            <color rgb="FF000000"/>
            <rFont val="Times New Roman"/>
            <family val="18"/>
          </rPr>
          <t xml:space="preserve">06/01/1814 </t>
        </r>
        <r>
          <rPr>
            <i/>
            <sz val="14"/>
            <color rgb="FF000000"/>
            <rFont val="Times New Roman"/>
            <family val="18"/>
          </rPr>
          <t>Rekonvalesziert</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26/03/1816 </t>
        </r>
        <r>
          <rPr>
            <i/>
            <sz val="14"/>
            <color rgb="FF000000"/>
            <rFont val="Times New Roman"/>
            <family val="18"/>
          </rPr>
          <t>Bis zur Einberufung auf Urlaub entlassen</t>
        </r>
        <r>
          <rPr>
            <sz val="14"/>
            <color rgb="FF000000"/>
            <rFont val="Times New Roman"/>
            <family val="18"/>
          </rPr>
          <t xml:space="preserve"> [ST March 1816)</t>
        </r>
        <r>
          <rPr>
            <sz val="14"/>
            <color rgb="FF000000"/>
            <rFont val="Calibri"/>
            <family val="34"/>
          </rPr>
          <t xml:space="preserve">
</t>
        </r>
        <r>
          <rPr>
            <sz val="14"/>
            <color rgb="FF000000"/>
            <rFont val="Times New Roman"/>
            <family val="18"/>
          </rPr>
          <t xml:space="preserve">11/06/1816 </t>
        </r>
        <r>
          <rPr>
            <i/>
            <sz val="14"/>
            <color rgb="FF000000"/>
            <rFont val="Times New Roman"/>
            <family val="18"/>
          </rPr>
          <t>Von unbestimmte Urlaub zurück in Kompanie eingerückt</t>
        </r>
        <r>
          <rPr>
            <sz val="14"/>
            <color rgb="FF000000"/>
            <rFont val="Times New Roman"/>
            <family val="18"/>
          </rPr>
          <t xml:space="preserve"> [ST June 1806]</t>
        </r>
        <r>
          <rPr>
            <sz val="14"/>
            <color rgb="FF000000"/>
            <rFont val="Calibri"/>
            <family val="34"/>
          </rPr>
          <t xml:space="preserve">
</t>
        </r>
        <r>
          <rPr>
            <sz val="14"/>
            <color rgb="FF000000"/>
            <rFont val="Times New Roman"/>
            <family val="18"/>
          </rPr>
          <t xml:space="preserve">21/09/1816 </t>
        </r>
        <r>
          <rPr>
            <i/>
            <sz val="14"/>
            <color rgb="FF000000"/>
            <rFont val="Times New Roman"/>
            <family val="18"/>
          </rPr>
          <t>Bis zur Einberufung beurlaubt</t>
        </r>
        <r>
          <rPr>
            <sz val="14"/>
            <color rgb="FF000000"/>
            <rFont val="Times New Roman"/>
            <family val="18"/>
          </rPr>
          <t xml:space="preserve"> [ST Sept 1816]</t>
        </r>
        <r>
          <rPr>
            <sz val="14"/>
            <color rgb="FF000000"/>
            <rFont val="Calibri"/>
            <family val="34"/>
          </rPr>
          <t xml:space="preserve">
</t>
        </r>
        <r>
          <rPr>
            <sz val="14"/>
            <color rgb="FF000000"/>
            <rFont val="Times New Roman"/>
            <family val="18"/>
          </rPr>
          <t>23/09/1817 Muster: IR 1 11. Fus. Komp. Nr. 168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22/09/1818 Muster: IR 1 11. Fus. Komp. Nr. 186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14/09/1819 Muster: IR 1 11. Fus. Komp. Nr. 157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05/10/1819 </t>
        </r>
        <r>
          <rPr>
            <i/>
            <sz val="14"/>
            <color rgb="FF000000"/>
            <rFont val="Times New Roman"/>
            <family val="18"/>
          </rPr>
          <t>Von unbestimmte Urlaub eingerückt</t>
        </r>
        <r>
          <rPr>
            <sz val="14"/>
            <color rgb="FF000000"/>
            <rFont val="Times New Roman"/>
            <family val="18"/>
          </rPr>
          <t xml:space="preserve"> [ST Oct 1817]</t>
        </r>
        <r>
          <rPr>
            <sz val="14"/>
            <color rgb="FF000000"/>
            <rFont val="Calibri"/>
            <family val="34"/>
          </rPr>
          <t xml:space="preserve">
</t>
        </r>
        <r>
          <rPr>
            <sz val="14"/>
            <color rgb="FF000000"/>
            <rFont val="Times New Roman"/>
            <family val="18"/>
          </rPr>
          <t xml:space="preserve">15/10/1819 </t>
        </r>
        <r>
          <rPr>
            <i/>
            <sz val="14"/>
            <color rgb="FF000000"/>
            <rFont val="Times New Roman"/>
            <family val="18"/>
          </rPr>
          <t>Gemäß hoher General Kommando Verordnung dtto Brünn am 13. Sept 819 R 7560 als ausgedienter Inländer Capitulant mit Abschied entlassen</t>
        </r>
        <r>
          <rPr>
            <sz val="14"/>
            <color rgb="FF000000"/>
            <rFont val="Times New Roman"/>
            <family val="18"/>
          </rPr>
          <t xml:space="preserve"> [ST Oct 1819] </t>
        </r>
      </text>
    </comment>
    <comment ref="BG1233" authorId="0" shapeId="0" xr:uid="{DE268367-B7C0-6747-B1AB-81AD0B1282C4}">
      <text>
        <r>
          <rPr>
            <sz val="14"/>
            <color rgb="FF000000"/>
            <rFont val="Times New Roman"/>
            <family val="18"/>
          </rPr>
          <t xml:space="preserve">ML 34/5 IR 1 (1817) – IR 1 11. Fus. Komp. Nr. 168 (Austerlitz 23/09/1817) </t>
        </r>
        <r>
          <rPr>
            <sz val="14"/>
            <color rgb="FF000000"/>
            <rFont val="Calibri"/>
            <family val="34"/>
          </rPr>
          <t xml:space="preserve">
</t>
        </r>
        <r>
          <rPr>
            <sz val="14"/>
            <color rgb="FF000000"/>
            <rFont val="Times New Roman"/>
            <family val="18"/>
          </rPr>
          <t>ML 36/7 IR 1 (1818) – IR 1 11. Fus. Komp. Nr. 186 (Kremsier 22/09/1818)</t>
        </r>
        <r>
          <rPr>
            <sz val="14"/>
            <color rgb="FF000000"/>
            <rFont val="Calibri"/>
            <family val="34"/>
          </rPr>
          <t xml:space="preserve">
</t>
        </r>
        <r>
          <rPr>
            <sz val="14"/>
            <color rgb="FF000000"/>
            <rFont val="Times New Roman"/>
            <family val="18"/>
          </rPr>
          <t>ML 38/9 IR 1 (1819) – IR 1 11. Fus. Komp. Nr. 157 (Olmütz 14/09/1819)</t>
        </r>
        <r>
          <rPr>
            <sz val="14"/>
            <color rgb="FF000000"/>
            <rFont val="Calibri"/>
            <family val="34"/>
          </rPr>
          <t xml:space="preserve">
</t>
        </r>
        <r>
          <rPr>
            <sz val="14"/>
            <color rgb="FF000000"/>
            <rFont val="Times New Roman"/>
            <family val="18"/>
          </rPr>
          <t>ML 96 IR 1 (1811) – TL IR 2-&gt;IR 1  Nr. 1 (Vienna 23/10/1811); ST Nov (Proßnitz 08/01/1812)</t>
        </r>
        <r>
          <rPr>
            <sz val="14"/>
            <color rgb="FF000000"/>
            <rFont val="Calibri"/>
            <family val="34"/>
          </rPr>
          <t xml:space="preserve">
</t>
        </r>
        <r>
          <rPr>
            <sz val="14"/>
            <color rgb="FF000000"/>
            <rFont val="Times New Roman"/>
            <family val="18"/>
          </rPr>
          <t>ML 99 IR 1 (1813) – April (Prossnitz 31/07/1813), Dec (Prossnitz 20/05/1814)</t>
        </r>
        <r>
          <rPr>
            <sz val="14"/>
            <color rgb="FF000000"/>
            <rFont val="Calibri"/>
            <family val="34"/>
          </rPr>
          <t xml:space="preserve">
</t>
        </r>
        <r>
          <rPr>
            <sz val="14"/>
            <color rgb="FF000000"/>
            <rFont val="Times New Roman"/>
            <family val="18"/>
          </rPr>
          <t>ML 102/3 IR 1 (1814) – Jan (Prossnitz 01/06/1814)</t>
        </r>
        <r>
          <rPr>
            <sz val="14"/>
            <color rgb="FF000000"/>
            <rFont val="Calibri"/>
            <family val="34"/>
          </rPr>
          <t xml:space="preserve">
</t>
        </r>
        <r>
          <rPr>
            <sz val="14"/>
            <color rgb="FF000000"/>
            <rFont val="Times New Roman"/>
            <family val="18"/>
          </rPr>
          <t>ML 107 IR 1 (1816) March (Prossnitz 10/05/1816), June (Brünn 06/08/1816), Sept (Brünn 25/11/1816)</t>
        </r>
        <r>
          <rPr>
            <sz val="14"/>
            <color rgb="FF000000"/>
            <rFont val="Calibri"/>
            <family val="34"/>
          </rPr>
          <t xml:space="preserve">
</t>
        </r>
        <r>
          <rPr>
            <sz val="14"/>
            <color rgb="FF000000"/>
            <rFont val="Times New Roman"/>
            <family val="18"/>
          </rPr>
          <t>ML 113 IR 1 (1819) – ST Oct (30/12/1819)</t>
        </r>
        <r>
          <rPr>
            <sz val="14"/>
            <color rgb="FF000000"/>
            <rFont val="Calibri"/>
            <family val="34"/>
          </rPr>
          <t xml:space="preserve">
</t>
        </r>
        <r>
          <rPr>
            <sz val="14"/>
            <color rgb="FF000000"/>
            <rFont val="Times New Roman"/>
            <family val="18"/>
          </rPr>
          <t>ML 133/4 IR 2 (1811) – 13. Fus. Komp. Nr. 149 (Wien 20/09/1811)</t>
        </r>
        <r>
          <rPr>
            <sz val="14"/>
            <color rgb="FF000000"/>
            <rFont val="Calibri"/>
            <family val="34"/>
          </rPr>
          <t xml:space="preserve">
</t>
        </r>
        <r>
          <rPr>
            <sz val="14"/>
            <color rgb="FF000000"/>
            <rFont val="Times New Roman"/>
            <family val="18"/>
          </rPr>
          <t>ML 195 IR 2 (1811) – TL Nr. 1 (Wien 23/10/1811); ST Jan (Wien 26/11/1811)</t>
        </r>
        <r>
          <rPr>
            <sz val="14"/>
            <color rgb="FF000000"/>
            <rFont val="Calibri"/>
            <family val="34"/>
          </rPr>
          <t xml:space="preserve">
</t>
        </r>
      </text>
    </comment>
    <comment ref="BH1233" authorId="0" shapeId="0" xr:uid="{7465D0C2-AAEB-DF46-BF80-6E6466EE202D}">
      <text>
        <r>
          <rPr>
            <sz val="14"/>
            <color rgb="FF000000"/>
            <rFont val="Calibri"/>
            <family val="34"/>
          </rPr>
          <t xml:space="preserve">IR 2 (1809-1811)
</t>
        </r>
        <r>
          <rPr>
            <sz val="14"/>
            <color rgb="FF000000"/>
            <rFont val="Calibri"/>
            <family val="34"/>
          </rPr>
          <t>IR 1 (1811-1819)</t>
        </r>
      </text>
    </comment>
    <comment ref="BF1234" authorId="0" shapeId="0" xr:uid="{208758B8-A54F-9348-BF97-03B9F12F086B}">
      <text>
        <r>
          <rPr>
            <sz val="14"/>
            <color rgb="FF000000"/>
            <rFont val="Times New Roman"/>
            <family val="18"/>
          </rPr>
          <t xml:space="preserve">13/03/1809 </t>
        </r>
        <r>
          <rPr>
            <i/>
            <sz val="14"/>
            <color rgb="FF000000"/>
            <rFont val="Times New Roman"/>
            <family val="18"/>
          </rPr>
          <t xml:space="preserve">Von Land a 3Fl zum IR 39 gestellt und zum 19. Fus. Komp. eingeteilt </t>
        </r>
        <r>
          <rPr>
            <sz val="14"/>
            <color rgb="FF000000"/>
            <rFont val="Times New Roman"/>
            <family val="18"/>
          </rPr>
          <t>[ML 1811]</t>
        </r>
        <r>
          <rPr>
            <sz val="14"/>
            <color rgb="FF000000"/>
            <rFont val="Aptos"/>
            <family val="34"/>
          </rPr>
          <t xml:space="preserve">
</t>
        </r>
        <r>
          <rPr>
            <sz val="14"/>
            <color rgb="FF000000"/>
            <rFont val="Times New Roman"/>
            <family val="18"/>
          </rPr>
          <t xml:space="preserve">08/05/1810 </t>
        </r>
        <r>
          <rPr>
            <i/>
            <sz val="14"/>
            <color rgb="FF000000"/>
            <rFont val="Times New Roman"/>
            <family val="18"/>
          </rPr>
          <t xml:space="preserve">Von 19. zum 7. Fus. Komp. transferiert </t>
        </r>
        <r>
          <rPr>
            <sz val="14"/>
            <color rgb="FF000000"/>
            <rFont val="Times New Roman"/>
            <family val="18"/>
          </rPr>
          <t>[ML 1811]</t>
        </r>
        <r>
          <rPr>
            <sz val="14"/>
            <color rgb="FF000000"/>
            <rFont val="Aptos"/>
            <family val="34"/>
          </rPr>
          <t xml:space="preserve">
</t>
        </r>
        <r>
          <rPr>
            <sz val="14"/>
            <color rgb="FF000000"/>
            <rFont val="Times New Roman"/>
            <family val="18"/>
          </rPr>
          <t xml:space="preserve">06/07/1809 </t>
        </r>
        <r>
          <rPr>
            <b/>
            <sz val="14"/>
            <color rgb="FF000000"/>
            <rFont val="Times New Roman"/>
            <family val="18"/>
          </rPr>
          <t>[In der Schlacht von Deutsch Wagram]</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01/10/1809 </t>
        </r>
        <r>
          <rPr>
            <i/>
            <sz val="14"/>
            <color rgb="FF000000"/>
            <rFont val="Times New Roman"/>
            <family val="18"/>
          </rPr>
          <t>Aus der Kriegsgefangenschaft selbst ranzioniert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26/05/1810 </t>
        </r>
        <r>
          <rPr>
            <i/>
            <sz val="14"/>
            <color rgb="FF000000"/>
            <rFont val="Times New Roman"/>
            <family val="18"/>
          </rPr>
          <t>Von 7 zum 15.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15. Fus. Komp zum IR 62 5.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234" authorId="0" shapeId="0" xr:uid="{858E8043-C14F-8C43-8E44-7F5E2106C2CF}">
      <text>
        <r>
          <rPr>
            <sz val="14"/>
            <color rgb="FF000000"/>
            <rFont val="Times New Roman"/>
            <family val="18"/>
          </rPr>
          <t>ML 3501/2 IR 39 (1811) – 15. Fus. Komp. Abgang (Gran 16/09/1811)</t>
        </r>
        <r>
          <rPr>
            <sz val="14"/>
            <color rgb="FF000000"/>
            <rFont val="Aptos"/>
            <family val="34"/>
          </rPr>
          <t xml:space="preserve">
</t>
        </r>
        <r>
          <rPr>
            <sz val="14"/>
            <color rgb="FF000000"/>
            <rFont val="Times New Roman"/>
            <family val="18"/>
          </rPr>
          <t>ML 5223 IR 62 (1810) – TL IR 39-&gt;IR 62 Nr. 123 (Ofen 07/09/1810); ST July (03/03/1811), Sept (Tamesvar 07/04/1811)</t>
        </r>
        <r>
          <rPr>
            <sz val="14"/>
            <color rgb="FF000000"/>
            <rFont val="Aptos"/>
            <family val="34"/>
          </rPr>
          <t xml:space="preserve">
</t>
        </r>
      </text>
    </comment>
    <comment ref="BH1234" authorId="0" shapeId="0" xr:uid="{08C9CB40-58B5-334D-8D00-7115B619E3D9}">
      <text>
        <r>
          <rPr>
            <sz val="14"/>
            <color rgb="FF000000"/>
            <rFont val="Calibri"/>
            <family val="34"/>
          </rPr>
          <t xml:space="preserve">IR 39 (1809-1810)
</t>
        </r>
        <r>
          <rPr>
            <sz val="14"/>
            <color rgb="FF000000"/>
            <rFont val="Calibri"/>
            <family val="34"/>
          </rPr>
          <t>IR 62 (1810)</t>
        </r>
      </text>
    </comment>
    <comment ref="BF1235" authorId="0" shapeId="0" xr:uid="{96C2F5BF-D665-B045-B3E0-99C01828E33A}">
      <text>
        <r>
          <rPr>
            <sz val="14"/>
            <color rgb="FF000000"/>
            <rFont val="Times New Roman"/>
            <family val="18"/>
          </rPr>
          <t xml:space="preserve">13/03/1809 </t>
        </r>
        <r>
          <rPr>
            <i/>
            <sz val="14"/>
            <color rgb="FF000000"/>
            <rFont val="Times New Roman"/>
            <family val="18"/>
          </rPr>
          <t xml:space="preserve">Von Feyer Gayermat </t>
        </r>
        <r>
          <rPr>
            <b/>
            <sz val="14"/>
            <color rgb="FF000000"/>
            <rFont val="Times New Roman"/>
            <family val="18"/>
          </rPr>
          <t>[</t>
        </r>
        <r>
          <rPr>
            <b/>
            <u/>
            <sz val="14"/>
            <color rgb="FF0563C1"/>
            <rFont val="Times New Roman"/>
            <family val="18"/>
          </rPr>
          <t>Fehérgyarmat, Hungary</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Szathmar Komität Von Land gestellt und gegen 3 FL zum IR 39 assentiert und zum 19. Fus. Komp. eingeteilt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08/05/1809 </t>
        </r>
        <r>
          <rPr>
            <i/>
            <sz val="14"/>
            <color rgb="FF000000"/>
            <rFont val="Times New Roman"/>
            <family val="18"/>
          </rPr>
          <t xml:space="preserve">Von 19. Zur 13. Fus. Komp. transferiert </t>
        </r>
        <r>
          <rPr>
            <sz val="14"/>
            <color rgb="FF000000"/>
            <rFont val="Times New Roman"/>
            <family val="18"/>
          </rPr>
          <t>[ML 1809]</t>
        </r>
        <r>
          <rPr>
            <sz val="14"/>
            <color rgb="FF000000"/>
            <rFont val="Calibri"/>
            <family val="34"/>
          </rPr>
          <t xml:space="preserve">
</t>
        </r>
        <r>
          <rPr>
            <sz val="14"/>
            <color rgb="FF000000"/>
            <rFont val="Times New Roman"/>
            <family val="18"/>
          </rPr>
          <t xml:space="preserve">06/07/1809 </t>
        </r>
        <r>
          <rPr>
            <b/>
            <sz val="14"/>
            <color rgb="FF000000"/>
            <rFont val="Times New Roman"/>
            <family val="18"/>
          </rPr>
          <t>[Beim Schlacht von Deutsch Wagram]</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[ML 1811]</t>
        </r>
      </text>
    </comment>
    <comment ref="BG1235" authorId="0" shapeId="0" xr:uid="{1F169E06-2C7D-7B4F-8891-F45FDD53BA4B}">
      <text>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3550 IR 39 (1809) – AL Nr. 58 (Nagy Karoly 17/03/1809)</t>
        </r>
        <r>
          <rPr>
            <sz val="14"/>
            <color rgb="FF000000"/>
            <rFont val="Calibri"/>
            <family val="34"/>
          </rPr>
          <t xml:space="preserve">
</t>
        </r>
      </text>
    </comment>
    <comment ref="BH1235" authorId="0" shapeId="0" xr:uid="{BB973246-379C-2646-A3A9-437057AFB4F8}">
      <text>
        <r>
          <rPr>
            <sz val="14"/>
            <color rgb="FF000000"/>
            <rFont val="Calibri"/>
            <family val="34"/>
          </rPr>
          <t>IR 39 (1809)</t>
        </r>
      </text>
    </comment>
    <comment ref="BF1236" authorId="0" shapeId="0" xr:uid="{DE806E7A-693F-BA44-BF99-A10D1A51575C}">
      <text>
        <r>
          <rPr>
            <sz val="14"/>
            <color rgb="FF000000"/>
            <rFont val="Times New Roman"/>
            <family val="18"/>
          </rPr>
          <t xml:space="preserve">14/03/1809 </t>
        </r>
        <r>
          <rPr>
            <i/>
            <sz val="14"/>
            <color rgb="FF000000"/>
            <rFont val="Times New Roman"/>
            <family val="18"/>
          </rPr>
          <t>A 3Fl von Land Ohne Capitulation gestellt und zum IR 2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02/05/1811 </t>
        </r>
        <r>
          <rPr>
            <i/>
            <sz val="14"/>
            <color rgb="FF000000"/>
            <rFont val="Times New Roman"/>
            <family val="18"/>
          </rPr>
          <t>mit Auswärtiger Verpflegung Krank oder Kommandiert in Garrison Spital in Wien</t>
        </r>
        <r>
          <rPr>
            <sz val="14"/>
            <color rgb="FF000000"/>
            <rFont val="Times New Roman"/>
            <family val="18"/>
          </rPr>
          <t xml:space="preserve"> [ST May 1811]</t>
        </r>
        <r>
          <rPr>
            <sz val="14"/>
            <color rgb="FF000000"/>
            <rFont val="Calibri"/>
            <family val="34"/>
          </rPr>
          <t xml:space="preserve">
</t>
        </r>
        <r>
          <rPr>
            <sz val="14"/>
            <color rgb="FF000000"/>
            <rFont val="Times New Roman"/>
            <family val="18"/>
          </rPr>
          <t xml:space="preserve">31/07/1811 </t>
        </r>
        <r>
          <rPr>
            <i/>
            <sz val="14"/>
            <color rgb="FF000000"/>
            <rFont val="Times New Roman"/>
            <family val="18"/>
          </rPr>
          <t xml:space="preserve">Zurück in Companie </t>
        </r>
        <r>
          <rPr>
            <sz val="14"/>
            <color rgb="FF000000"/>
            <rFont val="Times New Roman"/>
            <family val="18"/>
          </rPr>
          <t>[ST Aug 1811]</t>
        </r>
        <r>
          <rPr>
            <sz val="14"/>
            <color rgb="FF000000"/>
            <rFont val="Calibri"/>
            <family val="34"/>
          </rPr>
          <t xml:space="preserve">
</t>
        </r>
        <r>
          <rPr>
            <sz val="14"/>
            <color rgb="FF000000"/>
            <rFont val="Times New Roman"/>
            <family val="18"/>
          </rPr>
          <t>20/09/1811 Muster: IR 2 13. Fus. Komp. Nr. 111 [</t>
        </r>
        <r>
          <rPr>
            <i/>
            <sz val="14"/>
            <color rgb="FF000000"/>
            <rFont val="Times New Roman"/>
            <family val="18"/>
          </rPr>
          <t>Kommandiert zu Fischamend in Österreich</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03/10/1811 </t>
        </r>
        <r>
          <rPr>
            <i/>
            <sz val="14"/>
            <color rgb="FF000000"/>
            <rFont val="Times New Roman"/>
            <family val="18"/>
          </rPr>
          <t>Auf Bestimmte Zeit Beurlaubt</t>
        </r>
        <r>
          <rPr>
            <sz val="14"/>
            <color rgb="FF000000"/>
            <rFont val="Times New Roman"/>
            <family val="18"/>
          </rPr>
          <t xml:space="preserve"> [ST Oct 1811]</t>
        </r>
        <r>
          <rPr>
            <sz val="14"/>
            <color rgb="FF000000"/>
            <rFont val="Calibri"/>
            <family val="34"/>
          </rPr>
          <t xml:space="preserve">
</t>
        </r>
        <r>
          <rPr>
            <sz val="14"/>
            <color rgb="FF000000"/>
            <rFont val="Times New Roman"/>
            <family val="18"/>
          </rPr>
          <t xml:space="preserve">01/11/1811 In Pest Superarbietriert: </t>
        </r>
        <r>
          <rPr>
            <i/>
            <sz val="14"/>
            <color rgb="FF000000"/>
            <rFont val="Times New Roman"/>
            <family val="18"/>
          </rPr>
          <t>Nachsichtbare Köpfenden und Blutsusten</t>
        </r>
        <r>
          <rPr>
            <sz val="14"/>
            <color rgb="FF000000"/>
            <rFont val="Times New Roman"/>
            <family val="18"/>
          </rPr>
          <t xml:space="preserve"> [Bekam während seiner Dienstzeit ohne Verschulde]; </t>
        </r>
        <r>
          <rPr>
            <i/>
            <sz val="14"/>
            <color rgb="FF000000"/>
            <rFont val="Times New Roman"/>
            <family val="18"/>
          </rPr>
          <t>Zu Feldkriegs und Garrisonsdienst Untauglich und ist ohne weiteres mit Abschied zu entlassen da er dieser Defekt zum Teil schön vor der Assentierung zu Habt gut</t>
        </r>
        <r>
          <rPr>
            <sz val="14"/>
            <color rgb="FF000000"/>
            <rFont val="Calibri"/>
            <family val="34"/>
          </rPr>
          <t xml:space="preserve">
</t>
        </r>
        <r>
          <rPr>
            <sz val="14"/>
            <color rgb="FF000000"/>
            <rFont val="Times New Roman"/>
            <family val="18"/>
          </rPr>
          <t xml:space="preserve">20/11/1811 </t>
        </r>
        <r>
          <rPr>
            <i/>
            <sz val="14"/>
            <color rgb="FF000000"/>
            <rFont val="Times New Roman"/>
            <family val="18"/>
          </rPr>
          <t>In Folge hohe General commando Verordnung dt. Ofen 2. 11 811. als anerkannter Real Invalid gegen Renuncierung von Kurze Urlaub mit Abschied entlassen</t>
        </r>
        <r>
          <rPr>
            <sz val="14"/>
            <color rgb="FF000000"/>
            <rFont val="Times New Roman"/>
            <family val="18"/>
          </rPr>
          <t xml:space="preserve"> [ST Nov 1811 13. Fus Comp.]</t>
        </r>
      </text>
    </comment>
    <comment ref="BG1236" authorId="0" shapeId="0" xr:uid="{85696732-0AA3-B74E-8675-209A9FF1ADE7}">
      <text>
        <r>
          <rPr>
            <sz val="14"/>
            <color rgb="FF000000"/>
            <rFont val="Times New Roman"/>
            <family val="18"/>
          </rPr>
          <t>ML 195 IR 2 (1811) – SUP Nr. 1 (Pest 01/11/1811) &amp; ST Nov 13. Fus. Comp. – Abgang (Wien 06/02/1812)</t>
        </r>
        <r>
          <rPr>
            <sz val="14"/>
            <color rgb="FF000000"/>
            <rFont val="Calibri"/>
            <family val="34"/>
          </rPr>
          <t xml:space="preserve">
</t>
        </r>
      </text>
    </comment>
    <comment ref="BH1236" authorId="0" shapeId="0" xr:uid="{E3B655DE-A9D2-F94C-9E4F-D46292C71768}">
      <text>
        <r>
          <rPr>
            <sz val="14"/>
            <color rgb="FF000000"/>
            <rFont val="Calibri"/>
            <family val="34"/>
          </rPr>
          <t>IR 2 (1809-11)</t>
        </r>
      </text>
    </comment>
    <comment ref="BF1237" authorId="0" shapeId="0" xr:uid="{E79CF5C9-BEF2-A44A-9DE5-F848CD1CD45E}">
      <text>
        <r>
          <rPr>
            <sz val="14"/>
            <color rgb="FF000000"/>
            <rFont val="Times New Roman"/>
            <family val="18"/>
          </rPr>
          <t xml:space="preserve">14/03/1809 </t>
        </r>
        <r>
          <rPr>
            <i/>
            <sz val="14"/>
            <color rgb="FF000000"/>
            <rFont val="Times New Roman"/>
            <family val="18"/>
          </rPr>
          <t>Zu Neu errichtete MFWK a 3Fl gestellt</t>
        </r>
        <r>
          <rPr>
            <sz val="14"/>
            <color rgb="FF000000"/>
            <rFont val="Times New Roman"/>
            <family val="18"/>
          </rPr>
          <t xml:space="preserve"> [AL March 1809]</t>
        </r>
        <r>
          <rPr>
            <sz val="14"/>
            <color rgb="FF000000"/>
            <rFont val="Calibri"/>
            <family val="34"/>
          </rPr>
          <t xml:space="preserve">
</t>
        </r>
      </text>
    </comment>
    <comment ref="BG1237" authorId="0" shapeId="0" xr:uid="{53943ECD-FE38-D042-AE7D-2E0F0C94BEC3}">
      <text>
        <r>
          <rPr>
            <sz val="14"/>
            <color rgb="FF000000"/>
            <rFont val="Times New Roman"/>
            <family val="18"/>
          </rPr>
          <t xml:space="preserve">ML 2683 IR 30 (1809) – AL Nr. 1 (Berzazan 14/03/1809) </t>
        </r>
      </text>
    </comment>
    <comment ref="BH1237" authorId="0" shapeId="0" xr:uid="{8B216C85-78D1-E041-9F3E-CE562C83246A}">
      <text>
        <r>
          <rPr>
            <sz val="14"/>
            <color rgb="FF000000"/>
            <rFont val="Calibri"/>
            <family val="34"/>
          </rPr>
          <t>MFWK (1809)</t>
        </r>
      </text>
    </comment>
    <comment ref="BF1238" authorId="0" shapeId="0" xr:uid="{13752B13-43EA-B049-A6E3-CC81A033C5BA}">
      <text>
        <r>
          <rPr>
            <sz val="14"/>
            <color rgb="FF000000"/>
            <rFont val="Times New Roman"/>
            <family val="18"/>
          </rPr>
          <t xml:space="preserve">14/03/1809 </t>
        </r>
        <r>
          <rPr>
            <i/>
            <sz val="14"/>
            <color rgb="FF000000"/>
            <rFont val="Times New Roman"/>
            <family val="18"/>
          </rPr>
          <t xml:space="preserve">Von Land a 3Fl zum IR 39 gestellt und zum 19. Fus. Komp. eingeteilt </t>
        </r>
        <r>
          <rPr>
            <sz val="14"/>
            <color rgb="FF000000"/>
            <rFont val="Times New Roman"/>
            <family val="18"/>
          </rPr>
          <t>[ML 1811]</t>
        </r>
        <r>
          <rPr>
            <sz val="14"/>
            <color rgb="FF000000"/>
            <rFont val="Aptos"/>
            <family val="34"/>
          </rPr>
          <t xml:space="preserve">
</t>
        </r>
        <r>
          <rPr>
            <sz val="14"/>
            <color rgb="FF000000"/>
            <rFont val="Times New Roman"/>
            <family val="18"/>
          </rPr>
          <t xml:space="preserve">10/10/1809 </t>
        </r>
        <r>
          <rPr>
            <i/>
            <sz val="14"/>
            <color rgb="FF000000"/>
            <rFont val="Times New Roman"/>
            <family val="18"/>
          </rPr>
          <t>Von 20. zum 2. Fus. Komp. transferiert</t>
        </r>
        <r>
          <rPr>
            <sz val="14"/>
            <color rgb="FF000000"/>
            <rFont val="Times New Roman"/>
            <family val="18"/>
          </rPr>
          <t xml:space="preserve"> [ML 1809]</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2. Fus. Komp zum IR 62 2.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10/09/1810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238" authorId="0" shapeId="0" xr:uid="{AEF7B84D-C413-B54C-B3BB-82731E0D3D0D}">
      <text>
        <r>
          <rPr>
            <sz val="14"/>
            <color rgb="FF000000"/>
            <rFont val="Times New Roman"/>
            <family val="18"/>
          </rPr>
          <t>ML 3501/2 IR 39 (1811) – 2. Fus. Komp. Abgang (Szent Andree 14/09/1811)</t>
        </r>
        <r>
          <rPr>
            <sz val="14"/>
            <color rgb="FF000000"/>
            <rFont val="Aptos"/>
            <family val="34"/>
          </rPr>
          <t xml:space="preserve">
</t>
        </r>
        <r>
          <rPr>
            <sz val="14"/>
            <color rgb="FF000000"/>
            <rFont val="Times New Roman"/>
            <family val="18"/>
          </rPr>
          <t>ML 5223 IR 62 (1810) – TL IR 39-&gt;IR 62 Nr. 8 (Ofen 07/09/1810); ST July (03/03/1811), Sept (Tamesvar 07/04/1811)</t>
        </r>
        <r>
          <rPr>
            <sz val="14"/>
            <color rgb="FF000000"/>
            <rFont val="Aptos"/>
            <family val="34"/>
          </rPr>
          <t xml:space="preserve">
</t>
        </r>
      </text>
    </comment>
    <comment ref="BH1238" authorId="0" shapeId="0" xr:uid="{0033013B-F67D-3948-A741-0B710E5F4298}">
      <text>
        <r>
          <rPr>
            <sz val="14"/>
            <color rgb="FF000000"/>
            <rFont val="Calibri"/>
            <family val="34"/>
          </rPr>
          <t xml:space="preserve">IR 39 (1809-1810)
</t>
        </r>
        <r>
          <rPr>
            <sz val="14"/>
            <color rgb="FF000000"/>
            <rFont val="Calibri"/>
            <family val="34"/>
          </rPr>
          <t>IR 62 (1810)</t>
        </r>
      </text>
    </comment>
    <comment ref="BF1239" authorId="0" shapeId="0" xr:uid="{76B96682-81C2-7F4D-93E7-E5CDBC8CDF13}">
      <text>
        <r>
          <rPr>
            <sz val="14"/>
            <color rgb="FF000000"/>
            <rFont val="Times New Roman"/>
            <family val="18"/>
          </rPr>
          <t xml:space="preserve">16/03/1809 </t>
        </r>
        <r>
          <rPr>
            <i/>
            <sz val="14"/>
            <color rgb="FF000000"/>
            <rFont val="Times New Roman"/>
            <family val="18"/>
          </rPr>
          <t xml:space="preserve">Von 2. Chrudimer Landwehr Bataillon </t>
        </r>
        <r>
          <rPr>
            <sz val="14"/>
            <color rgb="FF000000"/>
            <rFont val="Times New Roman"/>
            <family val="18"/>
          </rPr>
          <t>a</t>
        </r>
        <r>
          <rPr>
            <i/>
            <sz val="14"/>
            <color rgb="FF000000"/>
            <rFont val="Times New Roman"/>
            <family val="18"/>
          </rPr>
          <t>uf 3 Fl Handgeld zum EH Karl Legion 3. Bataillon assentiert und zum 5. Kompanie zugeteilt</t>
        </r>
        <r>
          <rPr>
            <sz val="14"/>
            <color rgb="FF000000"/>
            <rFont val="Times New Roman"/>
            <family val="18"/>
          </rPr>
          <t xml:space="preserve"> [AL &amp; ST March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[Schlacht von Znaim]</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Gefangenschaft sich selbst ranzioniert und seitdem auf dem Marsch</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10/08/1809 </t>
        </r>
        <r>
          <rPr>
            <i/>
            <sz val="14"/>
            <color rgb="FF000000"/>
            <rFont val="Times New Roman"/>
            <family val="18"/>
          </rPr>
          <t>Zurück in die Kompanie eingerückt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24/01/1810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1239" authorId="0" shapeId="0" xr:uid="{5627FFE2-B4A6-9E4B-BFA2-C1C566CFD454}">
      <text>
        <r>
          <rPr>
            <sz val="14"/>
            <color rgb="FF000000"/>
            <rFont val="Times New Roman"/>
            <family val="18"/>
          </rPr>
          <t>ML 10.819 Legion EH Carl 6. Bat – AL Nr. 79 (Kuttenberg 13/03/1809), ST March (Prague 06/09/1809), ST Sept (Prague 30/06/1810), ST Oct (Prague 31/10/1810), ST Aug 1810 (Prague 12/11/1810)</t>
        </r>
        <r>
          <rPr>
            <sz val="14"/>
            <color rgb="FF000000"/>
            <rFont val="Calibri"/>
            <family val="34"/>
          </rPr>
          <t xml:space="preserve">
</t>
        </r>
        <r>
          <rPr>
            <sz val="14"/>
            <color rgb="FF000000"/>
            <rFont val="Calibri"/>
            <family val="34"/>
          </rPr>
          <t xml:space="preserve">
</t>
        </r>
      </text>
    </comment>
    <comment ref="BH1239" authorId="0" shapeId="0" xr:uid="{A55EF3CE-947D-D846-9C94-8398B5B15A0F}">
      <text>
        <r>
          <rPr>
            <sz val="14"/>
            <color rgb="FF000000"/>
            <rFont val="Calibri"/>
            <family val="34"/>
          </rPr>
          <t>Legion EH Carl (1809-10)</t>
        </r>
      </text>
    </comment>
    <comment ref="BF1240" authorId="0" shapeId="0" xr:uid="{E0701A2E-A144-B048-A103-7C35996B41A4}">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Krank in Loco</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26/10/1809 </t>
        </r>
        <r>
          <rPr>
            <i/>
            <sz val="14"/>
            <color rgb="FF000000"/>
            <rFont val="Times New Roman"/>
            <family val="18"/>
          </rPr>
          <t xml:space="preserve">Ins Armee Spital mit auswärtiger Verpflegung transferiert </t>
        </r>
        <r>
          <rPr>
            <sz val="14"/>
            <color rgb="FF000000"/>
            <rFont val="Times New Roman"/>
            <family val="18"/>
          </rPr>
          <t>[ST Oct 1809]</t>
        </r>
        <r>
          <rPr>
            <sz val="14"/>
            <color rgb="FF000000"/>
            <rFont val="Calibri"/>
            <family val="34"/>
          </rPr>
          <t xml:space="preserve">
</t>
        </r>
        <r>
          <rPr>
            <sz val="14"/>
            <color rgb="FF000000"/>
            <rFont val="Times New Roman"/>
            <family val="18"/>
          </rPr>
          <t xml:space="preserve">31/08/1810 </t>
        </r>
        <r>
          <rPr>
            <i/>
            <sz val="14"/>
            <color rgb="FF000000"/>
            <rFont val="Times New Roman"/>
            <family val="18"/>
          </rPr>
          <t>Zu Folge bestehende Hoher Befehl als ein in der Armee Spitalern Unwissend verloren</t>
        </r>
        <r>
          <rPr>
            <sz val="14"/>
            <color rgb="FF000000"/>
            <rFont val="Times New Roman"/>
            <family val="18"/>
          </rPr>
          <t xml:space="preserve"> [ST Aug 1810] [ST Jan 1810]</t>
        </r>
      </text>
    </comment>
    <comment ref="BG1240" authorId="0" shapeId="0" xr:uid="{8DB48A7F-F3E8-3349-8484-052C0B7B0A67}">
      <text>
        <r>
          <rPr>
            <sz val="14"/>
            <color rgb="FF000000"/>
            <rFont val="Times New Roman"/>
            <family val="18"/>
          </rPr>
          <t>ML 10.816 EH Carl FK 3. Bat. (1809-10) – AL Nr. 267 (Chrudim 31/03/1809), ST March (Prague 10/07/1809), July (Prague 28/04/1809), Aug (Prague 28/05/1810), Jan 1810 (Prague 23/08/1810)</t>
        </r>
        <r>
          <rPr>
            <sz val="14"/>
            <color rgb="FF000000"/>
            <rFont val="Calibri"/>
            <family val="34"/>
          </rPr>
          <t xml:space="preserve">
</t>
        </r>
      </text>
    </comment>
    <comment ref="BH1240" authorId="0" shapeId="0" xr:uid="{49121326-6237-0C4C-A0F0-E322762F9D56}">
      <text>
        <r>
          <rPr>
            <sz val="14"/>
            <color rgb="FF000000"/>
            <rFont val="Calibri"/>
            <family val="34"/>
          </rPr>
          <t>Legion EH Carl (1809-10)</t>
        </r>
      </text>
    </comment>
    <comment ref="BF1241" authorId="0" shapeId="0" xr:uid="{18B38D64-558F-8D4D-86B2-DC0223990333}">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04/05/1809 </t>
        </r>
        <r>
          <rPr>
            <i/>
            <sz val="14"/>
            <color rgb="FF000000"/>
            <rFont val="Times New Roman"/>
            <family val="18"/>
          </rPr>
          <t>Auf der Rückzug von Ebersberg in die Kriegsgefangenschaft geraten</t>
        </r>
        <r>
          <rPr>
            <sz val="14"/>
            <color rgb="FF000000"/>
            <rFont val="Times New Roman"/>
            <family val="18"/>
          </rPr>
          <t xml:space="preserve"> [ST May 1809]</t>
        </r>
      </text>
    </comment>
    <comment ref="BG1241" authorId="0" shapeId="0" xr:uid="{BED0C245-D29E-A845-98CC-0693BBD81A6B}">
      <text>
        <r>
          <rPr>
            <sz val="14"/>
            <color rgb="FF000000"/>
            <rFont val="Times New Roman"/>
            <family val="18"/>
          </rPr>
          <t>ML 10.819 Legion EH Carl 6. Bat – AL Nr. 24 (Kuttenberg 13/03/1809), ST March (Prague 06/09/1809), ST May (Prague 11/05/1810)</t>
        </r>
        <r>
          <rPr>
            <sz val="14"/>
            <color rgb="FF000000"/>
            <rFont val="Calibri"/>
            <family val="34"/>
          </rPr>
          <t xml:space="preserve">
</t>
        </r>
      </text>
    </comment>
    <comment ref="BH1241" authorId="0" shapeId="0" xr:uid="{B2D5752C-97B8-BF49-A8CB-3182BE0F6B5C}">
      <text>
        <r>
          <rPr>
            <sz val="14"/>
            <color rgb="FF000000"/>
            <rFont val="Calibri"/>
            <family val="34"/>
          </rPr>
          <t>Legion EH Carl (1809)</t>
        </r>
      </text>
    </comment>
    <comment ref="BF1242" authorId="0" shapeId="0" xr:uid="{763DFDC2-6967-3746-9DAC-E4766A5B6306}">
      <text>
        <r>
          <rPr>
            <sz val="14"/>
            <color rgb="FF000000"/>
            <rFont val="Times New Roman"/>
            <family val="18"/>
          </rPr>
          <t xml:space="preserve">16/03/1809 </t>
        </r>
        <r>
          <rPr>
            <i/>
            <sz val="14"/>
            <color rgb="FF000000"/>
            <rFont val="Times New Roman"/>
            <family val="18"/>
          </rPr>
          <t>Von Land a 3Fl zum IR 39 gestellt und zum 20. Fus. Komp. eingeteilt</t>
        </r>
        <r>
          <rPr>
            <sz val="14"/>
            <color rgb="FF000000"/>
            <rFont val="Times New Roman"/>
            <family val="18"/>
          </rPr>
          <t xml:space="preserve"> [AL March 1809 &amp; ML 1811]</t>
        </r>
        <r>
          <rPr>
            <sz val="14"/>
            <color rgb="FF000000"/>
            <rFont val="Calibri"/>
            <family val="34"/>
          </rPr>
          <t xml:space="preserve">
</t>
        </r>
        <r>
          <rPr>
            <sz val="14"/>
            <color rgb="FF000000"/>
            <rFont val="Times New Roman"/>
            <family val="18"/>
          </rPr>
          <t xml:space="preserve">08/05/1809 </t>
        </r>
        <r>
          <rPr>
            <i/>
            <sz val="14"/>
            <color rgb="FF000000"/>
            <rFont val="Times New Roman"/>
            <family val="18"/>
          </rPr>
          <t>Von 20. Zur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06/07/1809 </t>
        </r>
        <r>
          <rPr>
            <b/>
            <sz val="14"/>
            <color rgb="FF000000"/>
            <rFont val="Times New Roman"/>
            <family val="18"/>
          </rPr>
          <t>[Beim Schlacht von Deutsch Wagram]</t>
        </r>
        <r>
          <rPr>
            <sz val="14"/>
            <color rgb="FF000000"/>
            <rFont val="Times New Roman"/>
            <family val="18"/>
          </rPr>
          <t xml:space="preserve"> </t>
        </r>
        <r>
          <rPr>
            <i/>
            <sz val="14"/>
            <color rgb="FF000000"/>
            <rFont val="Times New Roman"/>
            <family val="18"/>
          </rPr>
          <t>Kriegsgefangen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26/08/1809 </t>
        </r>
        <r>
          <rPr>
            <i/>
            <sz val="14"/>
            <color rgb="FF000000"/>
            <rFont val="Times New Roman"/>
            <family val="18"/>
          </rPr>
          <t>Von Kriegsgefangenschaft sich selbst ranzioniert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01/01/1810 </t>
        </r>
        <r>
          <rPr>
            <i/>
            <sz val="14"/>
            <color rgb="FF000000"/>
            <rFont val="Times New Roman"/>
            <family val="18"/>
          </rPr>
          <t>Krank mit auswärtiger Gebuhr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15/01/1810 </t>
        </r>
        <r>
          <rPr>
            <i/>
            <sz val="14"/>
            <color rgb="FF000000"/>
            <rFont val="Times New Roman"/>
            <family val="18"/>
          </rPr>
          <t>In Spital zu Waitzen gestorben</t>
        </r>
        <r>
          <rPr>
            <sz val="14"/>
            <color rgb="FF000000"/>
            <rFont val="Times New Roman"/>
            <family val="18"/>
          </rPr>
          <t xml:space="preserve"> [St Jan 1810] </t>
        </r>
      </text>
    </comment>
    <comment ref="BG1242" authorId="0" shapeId="0" xr:uid="{01026C1D-4A6A-D945-B523-B05784EE6E29}">
      <text>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3550 IR 39 (1809) – AL Nr. 189 (Nagy Karoly 17/03/1809); ST Aug (Ofen 20/09/1810)</t>
        </r>
        <r>
          <rPr>
            <sz val="14"/>
            <color rgb="FF000000"/>
            <rFont val="Calibri"/>
            <family val="34"/>
          </rPr>
          <t xml:space="preserve">
</t>
        </r>
        <r>
          <rPr>
            <sz val="14"/>
            <color rgb="FF000000"/>
            <rFont val="Times New Roman"/>
            <family val="18"/>
          </rPr>
          <t>ML 3551 IR 39 (1810) – ST Jan (Ofen 03/06/1811)</t>
        </r>
        <r>
          <rPr>
            <sz val="14"/>
            <color rgb="FF000000"/>
            <rFont val="Calibri"/>
            <family val="34"/>
          </rPr>
          <t xml:space="preserve">
</t>
        </r>
      </text>
    </comment>
    <comment ref="BH1242" authorId="0" shapeId="0" xr:uid="{6DC3C172-B9B7-1F4E-901A-92E005122EF6}">
      <text>
        <r>
          <rPr>
            <sz val="14"/>
            <color rgb="FF000000"/>
            <rFont val="Calibri"/>
            <family val="34"/>
          </rPr>
          <t>IR 39 (1809-1810)</t>
        </r>
      </text>
    </comment>
    <comment ref="BF1243" authorId="0" shapeId="0" xr:uid="{0418FFF7-A720-C24B-8B41-D109795CA372}">
      <text>
        <r>
          <rPr>
            <sz val="14"/>
            <color rgb="FF000000"/>
            <rFont val="Times New Roman"/>
            <family val="18"/>
          </rPr>
          <t xml:space="preserve">17/03/1809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06/06/1809 </t>
        </r>
        <r>
          <rPr>
            <i/>
            <sz val="14"/>
            <color rgb="FF000000"/>
            <rFont val="Times New Roman"/>
            <family val="18"/>
          </rPr>
          <t>Von 20. zum 2.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06/07/1809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[Schlacht von Deutsch-Wagram]</t>
        </r>
        <r>
          <rPr>
            <sz val="14"/>
            <color rgb="FF000000"/>
            <rFont val="Times New Roman"/>
            <family val="18"/>
          </rPr>
          <t xml:space="preserve"> [ML 1811]</t>
        </r>
      </text>
    </comment>
    <comment ref="BG1243" authorId="0" shapeId="0" xr:uid="{8AF1A4BD-C3AD-ED49-98B4-050B710898C9}">
      <text>
        <r>
          <rPr>
            <sz val="14"/>
            <color rgb="FF000000"/>
            <rFont val="Times New Roman"/>
            <family val="18"/>
          </rPr>
          <t>ML 3501/2 IR 39 (1811) – 2. Fus. Komp. Abgang (Szent Andree 14/09/1811)</t>
        </r>
        <r>
          <rPr>
            <sz val="14"/>
            <color rgb="FF000000"/>
            <rFont val="Calibri"/>
            <family val="34"/>
          </rPr>
          <t xml:space="preserve">
</t>
        </r>
      </text>
    </comment>
    <comment ref="BH1243" authorId="0" shapeId="0" xr:uid="{88240231-641D-014C-B91C-B9BEDAB785B3}">
      <text>
        <r>
          <rPr>
            <sz val="14"/>
            <color rgb="FF000000"/>
            <rFont val="Calibri"/>
            <family val="34"/>
          </rPr>
          <t>IR 39 (1809)</t>
        </r>
      </text>
    </comment>
    <comment ref="BF1244" authorId="0" shapeId="0" xr:uid="{14BF9D92-F012-8043-9EDB-7C661DFAEBA1}">
      <text>
        <r>
          <rPr>
            <sz val="14"/>
            <color rgb="FF000000"/>
            <rFont val="Times New Roman"/>
            <family val="18"/>
          </rPr>
          <t xml:space="preserve">18/03/1809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15/07/1809 </t>
        </r>
        <r>
          <rPr>
            <i/>
            <sz val="14"/>
            <color rgb="FF000000"/>
            <rFont val="Times New Roman"/>
            <family val="18"/>
          </rPr>
          <t>Von IR 39 16. Fus. Komp. zum IR 48 Simbschen transferiert</t>
        </r>
        <r>
          <rPr>
            <sz val="14"/>
            <color rgb="FF000000"/>
            <rFont val="Times New Roman"/>
            <family val="18"/>
          </rPr>
          <t xml:space="preserve"> </t>
        </r>
        <r>
          <rPr>
            <b/>
            <sz val="14"/>
            <color rgb="FF000000"/>
            <rFont val="Times New Roman"/>
            <family val="18"/>
          </rPr>
          <t>[SIC!]</t>
        </r>
        <r>
          <rPr>
            <sz val="14"/>
            <color rgb="FF000000"/>
            <rFont val="Times New Roman"/>
            <family val="18"/>
          </rPr>
          <t xml:space="preserve"> [RL 1812 &amp; TL Dec 1811 &amp; ST Sept 1811]</t>
        </r>
        <r>
          <rPr>
            <sz val="14"/>
            <color rgb="FF000000"/>
            <rFont val="Aptos"/>
            <family val="34"/>
          </rPr>
          <t xml:space="preserve">
</t>
        </r>
        <r>
          <rPr>
            <sz val="14"/>
            <color rgb="FFFF0000"/>
            <rFont val="Times New Roman"/>
            <family val="18"/>
          </rPr>
          <t xml:space="preserve">01/02/1810 </t>
        </r>
        <r>
          <rPr>
            <i/>
            <sz val="14"/>
            <color rgb="FFFF0000"/>
            <rFont val="Times New Roman"/>
            <family val="18"/>
          </rPr>
          <t>Von 20. Zur 18. Fus. Komp. transferiert</t>
        </r>
        <r>
          <rPr>
            <sz val="14"/>
            <color rgb="FFFF0000"/>
            <rFont val="Times New Roman"/>
            <family val="18"/>
          </rPr>
          <t xml:space="preserve"> [ML 1811]</t>
        </r>
        <r>
          <rPr>
            <sz val="14"/>
            <color rgb="FF000000"/>
            <rFont val="Aptos"/>
            <family val="34"/>
          </rPr>
          <t xml:space="preserve">
</t>
        </r>
        <r>
          <rPr>
            <sz val="14"/>
            <color rgb="FFFF0000"/>
            <rFont val="Times New Roman"/>
            <family val="18"/>
          </rPr>
          <t xml:space="preserve">31/07/1810 </t>
        </r>
        <r>
          <rPr>
            <i/>
            <sz val="14"/>
            <color rgb="FFFF0000"/>
            <rFont val="Times New Roman"/>
            <family val="18"/>
          </rPr>
          <t xml:space="preserve">Als in Spital Verbliebene unwissend verloren </t>
        </r>
        <r>
          <rPr>
            <sz val="14"/>
            <color rgb="FFFF0000"/>
            <rFont val="Times New Roman"/>
            <family val="18"/>
          </rPr>
          <t>[ML 1811]</t>
        </r>
        <r>
          <rPr>
            <sz val="14"/>
            <color rgb="FF000000"/>
            <rFont val="Aptos"/>
            <family val="34"/>
          </rPr>
          <t xml:space="preserve">
</t>
        </r>
        <r>
          <rPr>
            <sz val="14"/>
            <color rgb="FFFF0000"/>
            <rFont val="Times New Roman"/>
            <family val="18"/>
          </rPr>
          <t xml:space="preserve">01/08/1811 </t>
        </r>
        <r>
          <rPr>
            <i/>
            <sz val="14"/>
            <color rgb="FFFF0000"/>
            <rFont val="Times New Roman"/>
            <family val="18"/>
          </rPr>
          <t>Per Erorrem in Abgang</t>
        </r>
        <r>
          <rPr>
            <sz val="14"/>
            <color rgb="FFFF0000"/>
            <rFont val="Times New Roman"/>
            <family val="18"/>
          </rPr>
          <t xml:space="preserve"> [RL 1812]</t>
        </r>
        <r>
          <rPr>
            <sz val="14"/>
            <color rgb="FF000000"/>
            <rFont val="Aptos"/>
            <family val="34"/>
          </rPr>
          <t xml:space="preserve">
</t>
        </r>
      </text>
    </comment>
    <comment ref="BG1244" authorId="0" shapeId="0" xr:uid="{1579668B-9C31-0345-8439-3DFCFC76936E}">
      <text>
        <r>
          <rPr>
            <sz val="14"/>
            <color rgb="FF000000"/>
            <rFont val="Times New Roman"/>
            <family val="18"/>
          </rPr>
          <t>ML 3501/2 IR 39 (1811) – 16. Fus. Komp. Abgang (Gran 16/09/1811)</t>
        </r>
        <r>
          <rPr>
            <sz val="14"/>
            <color rgb="FF000000"/>
            <rFont val="Aptos"/>
            <family val="34"/>
          </rPr>
          <t xml:space="preserve">
</t>
        </r>
        <r>
          <rPr>
            <sz val="14"/>
            <color rgb="FF000000"/>
            <rFont val="Times New Roman"/>
            <family val="18"/>
          </rPr>
          <t>ML 3503 IR 39 (1812/3) – 15. Fus. Komp. Abgang (</t>
        </r>
        <r>
          <rPr>
            <sz val="14"/>
            <color rgb="FF000000"/>
            <rFont val="Times New Roman"/>
            <family val="18"/>
          </rPr>
          <t>Maad 05/09/1812)</t>
        </r>
        <r>
          <rPr>
            <sz val="14"/>
            <color rgb="FF000000"/>
            <rFont val="Aptos"/>
            <family val="34"/>
          </rPr>
          <t xml:space="preserve">
</t>
        </r>
        <r>
          <rPr>
            <sz val="14"/>
            <color rgb="FF000000"/>
            <rFont val="Times New Roman"/>
            <family val="18"/>
          </rPr>
          <t>ML 3551 IR 39 (1810) – ST Aug</t>
        </r>
        <r>
          <rPr>
            <sz val="14"/>
            <color rgb="FF000000"/>
            <rFont val="Aptos"/>
            <family val="34"/>
          </rPr>
          <t xml:space="preserve">
</t>
        </r>
        <r>
          <rPr>
            <sz val="14"/>
            <color rgb="FF000000"/>
            <rFont val="Times New Roman"/>
            <family val="18"/>
          </rPr>
          <t>ML 3552 IR 39 (1811) – TL IR 39-&gt;IR 48 Nr. 37 (Ofen 06/12/1811); ST Sept (26/10/1811)</t>
        </r>
        <r>
          <rPr>
            <sz val="14"/>
            <color rgb="FF000000"/>
            <rFont val="Aptos"/>
            <family val="34"/>
          </rPr>
          <t xml:space="preserve">
</t>
        </r>
      </text>
    </comment>
    <comment ref="BH1244" authorId="0" shapeId="0" xr:uid="{8BE3D294-0D4F-C240-A97E-B997756E186E}">
      <text>
        <r>
          <rPr>
            <sz val="14"/>
            <color rgb="FF000000"/>
            <rFont val="Calibri"/>
            <family val="34"/>
          </rPr>
          <t xml:space="preserve">IR 39 (1809)
</t>
        </r>
        <r>
          <rPr>
            <sz val="14"/>
            <color rgb="FF000000"/>
            <rFont val="Calibri"/>
            <family val="34"/>
          </rPr>
          <t>IR 48 (1809)</t>
        </r>
      </text>
    </comment>
    <comment ref="BF1245" authorId="0" shapeId="0" xr:uid="{EDCF318B-82E5-1349-B6D7-189CBB41B907}">
      <text>
        <r>
          <rPr>
            <sz val="14"/>
            <color rgb="FF000000"/>
            <rFont val="Times New Roman"/>
            <family val="18"/>
          </rPr>
          <t xml:space="preserve">18/03/1809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01/08/1809 </t>
        </r>
        <r>
          <rPr>
            <i/>
            <sz val="14"/>
            <color rgb="FF000000"/>
            <rFont val="Times New Roman"/>
            <family val="18"/>
          </rPr>
          <t>Von 20. zum 13.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13. Fus. Komp zum IR 62 6.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2"/>
          </rPr>
          <t xml:space="preserve"> </t>
        </r>
      </text>
    </comment>
    <comment ref="BG1245" authorId="0" shapeId="0" xr:uid="{D057595D-9516-E046-BDE0-4A1CA6A31A8A}">
      <text>
        <r>
          <rPr>
            <sz val="14"/>
            <color rgb="FF000000"/>
            <rFont val="Times New Roman"/>
            <family val="18"/>
          </rPr>
          <t>ML 3501/2 IR 39 (1811) – 13. Fus. Komp. Abgang (Gran 16/09/1811</t>
        </r>
        <r>
          <rPr>
            <sz val="14"/>
            <color rgb="FF000000"/>
            <rFont val="Aptos"/>
            <family val="34"/>
          </rPr>
          <t xml:space="preserve">
</t>
        </r>
        <r>
          <rPr>
            <sz val="14"/>
            <color rgb="FF000000"/>
            <rFont val="Times New Roman"/>
            <family val="18"/>
          </rPr>
          <t>ML 5210 IR 62 (1810) – 6. Fus. Komp. Abgang (Tamesvar 27/09/1811)</t>
        </r>
        <r>
          <rPr>
            <sz val="14"/>
            <color rgb="FF000000"/>
            <rFont val="Aptos"/>
            <family val="34"/>
          </rPr>
          <t xml:space="preserve">
</t>
        </r>
        <r>
          <rPr>
            <sz val="14"/>
            <color rgb="FF000000"/>
            <rFont val="Times New Roman"/>
            <family val="18"/>
          </rPr>
          <t>ML 5223 IR 62 (1810) – TL IR 39-&gt;IR 62 Nr. 111 (Ofen 07/09/1810); ST July (03/03/1811), Dec (30/06/1811)</t>
        </r>
        <r>
          <rPr>
            <sz val="14"/>
            <color rgb="FF000000"/>
            <rFont val="Aptos"/>
            <family val="34"/>
          </rPr>
          <t xml:space="preserve">
</t>
        </r>
      </text>
    </comment>
    <comment ref="BH1245" authorId="0" shapeId="0" xr:uid="{DBD69BAB-AFDE-1145-9CC2-7DEFE9BD9B36}">
      <text>
        <r>
          <rPr>
            <sz val="14"/>
            <color rgb="FF000000"/>
            <rFont val="Calibri"/>
            <family val="34"/>
          </rPr>
          <t xml:space="preserve">IR 39 (1809-1810)
</t>
        </r>
        <r>
          <rPr>
            <sz val="14"/>
            <color rgb="FF000000"/>
            <rFont val="Calibri"/>
            <family val="34"/>
          </rPr>
          <t>IR 62 (1810-1811)</t>
        </r>
      </text>
    </comment>
    <comment ref="BF1246" authorId="0" shapeId="0" xr:uid="{29E1DCCB-4B73-C14D-A40D-2AF77BBDA17D}">
      <text>
        <r>
          <rPr>
            <sz val="14"/>
            <color rgb="FF000000"/>
            <rFont val="Times New Roman"/>
            <family val="18"/>
          </rPr>
          <t xml:space="preserve">18/03/1809 </t>
        </r>
        <r>
          <rPr>
            <i/>
            <sz val="14"/>
            <color rgb="FF000000"/>
            <rFont val="Times New Roman"/>
            <family val="18"/>
          </rPr>
          <t>a 3Fl Handgeld in EH Carl Legion 2. Battalion zu Prag angeworben und zur. 2. Kompanie eingeheilt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23/07/1809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Rekonvalesziert und seitdem zugeheilt beim Depot mit Friedensgebühr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13/01/1810 </t>
        </r>
        <r>
          <rPr>
            <i/>
            <sz val="14"/>
            <color rgb="FF000000"/>
            <rFont val="Times New Roman"/>
            <family val="18"/>
          </rPr>
          <t>Zurück in die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sz val="14"/>
            <color rgb="FF000000"/>
            <rFont val="Calibri"/>
            <family val="34"/>
          </rPr>
          <t xml:space="preserve">
</t>
        </r>
      </text>
    </comment>
    <comment ref="BG1246" authorId="0" shapeId="0" xr:uid="{CF9B0FBF-AF44-174A-B956-FC617CFB636B}">
      <text>
        <r>
          <rPr>
            <sz val="14"/>
            <color rgb="FF000000"/>
            <rFont val="Times New Roman"/>
            <family val="18"/>
          </rPr>
          <t>ML 10.815 EH Carl FK (1809-10) – AL Nr. 167 (Prague 20/03/1809), ST Juli (Prague 30/05/1810), ST Nov (Prague 30/08/1809), ST Jan 1810 (??)</t>
        </r>
        <r>
          <rPr>
            <sz val="14"/>
            <color rgb="FF000000"/>
            <rFont val="Calibri"/>
            <family val="34"/>
          </rPr>
          <t xml:space="preserve">
</t>
        </r>
      </text>
    </comment>
    <comment ref="BH1246" authorId="0" shapeId="0" xr:uid="{B7EF1839-69A3-D348-A98D-F4977EBF5C1B}">
      <text>
        <r>
          <rPr>
            <sz val="14"/>
            <color rgb="FF000000"/>
            <rFont val="Calibri"/>
            <family val="34"/>
          </rPr>
          <t>Legion EH Carl (1809-10)</t>
        </r>
      </text>
    </comment>
    <comment ref="BF1247" authorId="0" shapeId="0" xr:uid="{796FA02F-CE50-244B-AB23-6BE91E57A8AD}">
      <text>
        <r>
          <rPr>
            <sz val="14"/>
            <color rgb="FF000000"/>
            <rFont val="Times New Roman"/>
            <family val="18"/>
          </rPr>
          <t xml:space="preserve">20/03/1809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08/06/1809 </t>
        </r>
        <r>
          <rPr>
            <i/>
            <sz val="14"/>
            <color rgb="FF000000"/>
            <rFont val="Times New Roman"/>
            <family val="18"/>
          </rPr>
          <t>Von 20. Zur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16/06/1809 </t>
        </r>
        <r>
          <rPr>
            <i/>
            <sz val="14"/>
            <color rgb="FF000000"/>
            <rFont val="Times New Roman"/>
            <family val="18"/>
          </rPr>
          <t>Krank mit Auswärtiger Gebühr</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unwissend verloren in Abgang</t>
        </r>
        <r>
          <rPr>
            <sz val="14"/>
            <color rgb="FF000000"/>
            <rFont val="Times New Roman"/>
            <family val="18"/>
          </rPr>
          <t xml:space="preserve"> [ML 1811 &amp; ST Aug 1810]</t>
        </r>
        <r>
          <rPr>
            <sz val="14"/>
            <color rgb="FF000000"/>
            <rFont val="Calibri"/>
            <family val="34"/>
          </rPr>
          <t xml:space="preserve">
</t>
        </r>
      </text>
    </comment>
    <comment ref="BG1247" authorId="0" shapeId="0" xr:uid="{43CFC8CB-D884-124C-9B9C-482886B22183}">
      <text>
        <r>
          <rPr>
            <sz val="14"/>
            <color rgb="FF000000"/>
            <rFont val="Times New Roman"/>
            <family val="18"/>
          </rPr>
          <t>ML 3501/2 IR 39 (1811) – 7. Fus. Komp. Abgang (Ofen 18/02/1811)</t>
        </r>
        <r>
          <rPr>
            <sz val="14"/>
            <color rgb="FF000000"/>
            <rFont val="Calibri"/>
            <family val="34"/>
          </rPr>
          <t xml:space="preserve">
</t>
        </r>
        <r>
          <rPr>
            <sz val="14"/>
            <color rgb="FF000000"/>
            <rFont val="Times New Roman"/>
            <family val="18"/>
          </rPr>
          <t>ML 3550 IR 39 (1809) – ST June  (08/12/1811)</t>
        </r>
        <r>
          <rPr>
            <sz val="14"/>
            <color rgb="FF000000"/>
            <rFont val="Calibri"/>
            <family val="34"/>
          </rPr>
          <t xml:space="preserve">
</t>
        </r>
        <r>
          <rPr>
            <sz val="14"/>
            <color rgb="FF000000"/>
            <rFont val="Times New Roman"/>
            <family val="18"/>
          </rPr>
          <t>ML 3551 IR 39 (1811) – ST Aug (08/12/1811)</t>
        </r>
      </text>
    </comment>
    <comment ref="BH1247" authorId="0" shapeId="0" xr:uid="{33944753-DF71-DB44-BCDA-59A51FCFA925}">
      <text>
        <r>
          <rPr>
            <sz val="14"/>
            <color rgb="FF000000"/>
            <rFont val="Calibri"/>
            <family val="34"/>
          </rPr>
          <t>IR 39 (1809-1810)</t>
        </r>
      </text>
    </comment>
    <comment ref="BF1248" authorId="0" shapeId="0" xr:uid="{E10F5EA6-4050-0745-A29A-DE8372E7B2CC}">
      <text>
        <r>
          <rPr>
            <sz val="14"/>
            <color rgb="FF000000"/>
            <rFont val="Times New Roman"/>
            <family val="18"/>
          </rPr>
          <t xml:space="preserve">23/03/1809 </t>
        </r>
        <r>
          <rPr>
            <i/>
            <sz val="14"/>
            <color rgb="FF000000"/>
            <rFont val="Times New Roman"/>
            <family val="18"/>
          </rPr>
          <t>Von Dolha</t>
        </r>
        <r>
          <rPr>
            <sz val="14"/>
            <color rgb="FF000000"/>
            <rFont val="Times New Roman"/>
            <family val="18"/>
          </rPr>
          <t xml:space="preserve"> </t>
        </r>
        <r>
          <rPr>
            <b/>
            <sz val="14"/>
            <color rgb="FF000000"/>
            <rFont val="Times New Roman"/>
            <family val="18"/>
          </rPr>
          <t>[</t>
        </r>
        <r>
          <rPr>
            <b/>
            <u/>
            <sz val="14"/>
            <color rgb="FF0563C1"/>
            <rFont val="Times New Roman"/>
            <family val="18"/>
          </rPr>
          <t>Dovhe, Ukraine</t>
        </r>
        <r>
          <rPr>
            <b/>
            <sz val="14"/>
            <color rgb="FF000000"/>
            <rFont val="Times New Roman"/>
            <family val="18"/>
          </rPr>
          <t>]</t>
        </r>
        <r>
          <rPr>
            <sz val="14"/>
            <color rgb="FF000000"/>
            <rFont val="Times New Roman"/>
            <family val="18"/>
          </rPr>
          <t xml:space="preserve"> </t>
        </r>
        <r>
          <rPr>
            <i/>
            <sz val="14"/>
            <color rgb="FF000000"/>
            <rFont val="Times New Roman"/>
            <family val="18"/>
          </rPr>
          <t>Komität Máramaros gegen 3Fl in MFWK Packwesens Corps gestellt</t>
        </r>
        <r>
          <rPr>
            <sz val="14"/>
            <color rgb="FF000000"/>
            <rFont val="Times New Roman"/>
            <family val="18"/>
          </rPr>
          <t xml:space="preserve"> [AL Mai 1809]</t>
        </r>
        <r>
          <rPr>
            <sz val="14"/>
            <color rgb="FF000000"/>
            <rFont val="Calibri"/>
            <family val="34"/>
          </rPr>
          <t xml:space="preserve">
</t>
        </r>
      </text>
    </comment>
    <comment ref="BG1248" authorId="0" shapeId="0" xr:uid="{2810777D-CFAC-584B-A4D6-5D7324B1B41D}">
      <text>
        <r>
          <rPr>
            <sz val="14"/>
            <color rgb="FF000000"/>
            <rFont val="Times New Roman"/>
            <family val="18"/>
          </rPr>
          <t xml:space="preserve">ML 6992 DR 5 (1809) – AL Nr. 11 (Sziget 19/05/1809)
</t>
        </r>
      </text>
    </comment>
    <comment ref="BH1248" authorId="0" shapeId="0" xr:uid="{36BDA5CB-E244-2841-A107-FB502582D427}">
      <text>
        <r>
          <rPr>
            <sz val="14"/>
            <color rgb="FF000000"/>
            <rFont val="Calibri"/>
            <family val="34"/>
          </rPr>
          <t>MFWK (1809)</t>
        </r>
      </text>
    </comment>
    <comment ref="BF1249" authorId="0" shapeId="0" xr:uid="{6EDBA558-060A-3F4F-8A32-61C7EB30D86B}">
      <text>
        <r>
          <rPr>
            <sz val="14"/>
            <color rgb="FF000000"/>
            <rFont val="Times New Roman"/>
            <family val="18"/>
          </rPr>
          <t xml:space="preserve">23/03/1809 </t>
        </r>
        <r>
          <rPr>
            <i/>
            <sz val="14"/>
            <color rgb="FF000000"/>
            <rFont val="Times New Roman"/>
            <family val="18"/>
          </rPr>
          <t>Von Karatsonfalva</t>
        </r>
        <r>
          <rPr>
            <sz val="14"/>
            <color rgb="FF000000"/>
            <rFont val="Times New Roman"/>
            <family val="18"/>
          </rPr>
          <t xml:space="preserve"> </t>
        </r>
        <r>
          <rPr>
            <b/>
            <sz val="14"/>
            <color rgb="FF000000"/>
            <rFont val="Times New Roman"/>
            <family val="18"/>
          </rPr>
          <t>[</t>
        </r>
        <r>
          <rPr>
            <b/>
            <u/>
            <sz val="14"/>
            <color rgb="FF0563C1"/>
            <rFont val="Times New Roman"/>
            <family val="18"/>
          </rPr>
          <t>Crăciunești, Romania</t>
        </r>
        <r>
          <rPr>
            <b/>
            <sz val="14"/>
            <color rgb="FF000000"/>
            <rFont val="Times New Roman"/>
            <family val="18"/>
          </rPr>
          <t>]</t>
        </r>
        <r>
          <rPr>
            <sz val="14"/>
            <color rgb="FF000000"/>
            <rFont val="Times New Roman"/>
            <family val="18"/>
          </rPr>
          <t xml:space="preserve"> </t>
        </r>
        <r>
          <rPr>
            <i/>
            <sz val="14"/>
            <color rgb="FF000000"/>
            <rFont val="Times New Roman"/>
            <family val="18"/>
          </rPr>
          <t>Komität Máramaros gegen 3Fl in MFWK Packwesens Corps gestellt</t>
        </r>
        <r>
          <rPr>
            <sz val="14"/>
            <color rgb="FF000000"/>
            <rFont val="Times New Roman"/>
            <family val="18"/>
          </rPr>
          <t xml:space="preserve"> [AL Mai 1809]</t>
        </r>
        <r>
          <rPr>
            <sz val="14"/>
            <color rgb="FF000000"/>
            <rFont val="Calibri"/>
            <family val="34"/>
          </rPr>
          <t xml:space="preserve">
</t>
        </r>
      </text>
    </comment>
    <comment ref="BG1249" authorId="0" shapeId="0" xr:uid="{9451BEED-3F79-3C48-B64B-5CDBA26FFFFA}">
      <text>
        <r>
          <rPr>
            <sz val="14"/>
            <color rgb="FF000000"/>
            <rFont val="Times New Roman"/>
            <family val="18"/>
          </rPr>
          <t xml:space="preserve">ML 6992 DR 5 (1809) – AL Nr. 7 (Sziget 19/05/1809)
</t>
        </r>
      </text>
    </comment>
    <comment ref="BH1249" authorId="0" shapeId="0" xr:uid="{68444C9D-8FB9-D640-9696-55C13DF06801}">
      <text>
        <r>
          <rPr>
            <sz val="14"/>
            <color rgb="FF000000"/>
            <rFont val="Calibri"/>
            <family val="34"/>
          </rPr>
          <t>MFWK (1809)</t>
        </r>
      </text>
    </comment>
    <comment ref="BF1250" authorId="0" shapeId="0" xr:uid="{DE509F8F-CF3F-0A45-B687-7599210288D6}">
      <text>
        <r>
          <rPr>
            <sz val="14"/>
            <color rgb="FF000000"/>
            <rFont val="Times New Roman"/>
            <family val="18"/>
          </rPr>
          <t xml:space="preserve">24/03/1809 </t>
        </r>
        <r>
          <rPr>
            <i/>
            <sz val="14"/>
            <color rgb="FF000000"/>
            <rFont val="Times New Roman"/>
            <family val="18"/>
          </rPr>
          <t>Als Arzt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01/10/1809 </t>
        </r>
        <r>
          <rPr>
            <i/>
            <sz val="14"/>
            <color rgb="FF000000"/>
            <rFont val="Times New Roman"/>
            <family val="18"/>
          </rPr>
          <t>Auswärts in Leitomischl</t>
        </r>
        <r>
          <rPr>
            <sz val="14"/>
            <color rgb="FF000000"/>
            <rFont val="Times New Roman"/>
            <family val="18"/>
          </rPr>
          <t xml:space="preserve"> kommandiert [VeprfL Okt 1809]
</t>
        </r>
        <r>
          <rPr>
            <sz val="14"/>
            <color rgb="FF000000"/>
            <rFont val="Times New Roman"/>
            <family val="18"/>
          </rPr>
          <t xml:space="preserve">07/11/1809 </t>
        </r>
        <r>
          <rPr>
            <i/>
            <sz val="14"/>
            <color rgb="FF000000"/>
            <rFont val="Times New Roman"/>
            <family val="18"/>
          </rPr>
          <t>Von Josephstadt zurück</t>
        </r>
        <r>
          <rPr>
            <sz val="14"/>
            <color rgb="FF000000"/>
            <rFont val="Times New Roman"/>
            <family val="18"/>
          </rPr>
          <t xml:space="preserve"> [VerpfL Nov 1809]
</t>
        </r>
        <r>
          <rPr>
            <sz val="14"/>
            <color rgb="FF000000"/>
            <rFont val="Times New Roman"/>
            <family val="18"/>
          </rPr>
          <t xml:space="preserve">15/04/1810 </t>
        </r>
        <r>
          <rPr>
            <i/>
            <sz val="14"/>
            <color rgb="FF000000"/>
            <rFont val="Times New Roman"/>
            <family val="18"/>
          </rPr>
          <t>Mit Abschied und drei Monatliche Abfertigungsgage von 42Fl entlassen</t>
        </r>
        <r>
          <rPr>
            <sz val="14"/>
            <color rgb="FF000000"/>
            <rFont val="Times New Roman"/>
            <family val="18"/>
          </rPr>
          <t xml:space="preserve"> [Ent-Cons. April 1810 &amp; Verpf.-Cons. April 1810] </t>
        </r>
      </text>
    </comment>
    <comment ref="BG1250" authorId="0" shapeId="0" xr:uid="{68F19840-5A02-5E4F-BF4C-4479EEFB22CF}">
      <text>
        <r>
          <rPr>
            <sz val="14"/>
            <color rgb="FF000000"/>
            <rFont val="Times New Roman"/>
            <family val="18"/>
          </rPr>
          <t xml:space="preserve">ST 11.994 HFS (1809-14) – AL HFS 32 Nr. 1 (Prague 23/05/1810); Ent-Cons. HFS 32 Nr. 1 (Opočno 16/04/1810); VerpfL Juni 1809 (Geyersberg 31/12/1809); VerpfL April 1810 (Opočno 07/08/1810)
</t>
        </r>
      </text>
    </comment>
    <comment ref="BH1250" authorId="0" shapeId="0" xr:uid="{C9995696-5837-C34D-8F5D-DBD01470FBFE}">
      <text>
        <r>
          <rPr>
            <sz val="14"/>
            <color rgb="FF000000"/>
            <rFont val="Calibri"/>
            <family val="34"/>
          </rPr>
          <t xml:space="preserve">HFS 1 (1809) 
</t>
        </r>
        <r>
          <rPr>
            <sz val="14"/>
            <color rgb="FF000000"/>
            <rFont val="Calibri"/>
            <family val="34"/>
          </rPr>
          <t>HFS 32 (1809-10)</t>
        </r>
      </text>
    </comment>
    <comment ref="BF1251" authorId="0" shapeId="0" xr:uid="{815B20D9-99C0-3542-9F8D-C631EB7E8247}">
      <text>
        <r>
          <rPr>
            <sz val="14"/>
            <color rgb="FF000000"/>
            <rFont val="Times New Roman"/>
            <family val="18"/>
          </rPr>
          <t xml:space="preserve">24/03/1809 </t>
        </r>
        <r>
          <rPr>
            <i/>
            <sz val="14"/>
            <color rgb="FF000000"/>
            <rFont val="Times New Roman"/>
            <family val="18"/>
          </rPr>
          <t>Zu Chrudim gegen 15 Fl Handgeld auf die Kriegsdauer ins EH Karl Legion 3. Bataillon assentiert und zum 3. Kompanie</t>
        </r>
        <r>
          <rPr>
            <sz val="14"/>
            <color rgb="FF000000"/>
            <rFont val="Times New Roman"/>
            <family val="18"/>
          </rPr>
          <t xml:space="preserve"> zugeteilt [AL &amp; ST March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Krank in Armee Spital zu Hirschstetten</t>
        </r>
        <r>
          <rPr>
            <sz val="14"/>
            <color rgb="FF000000"/>
            <rFont val="Times New Roman"/>
            <family val="18"/>
          </rPr>
          <t xml:space="preserve"> [ST June 1809] </t>
        </r>
        <r>
          <rPr>
            <sz val="14"/>
            <color rgb="FF000000"/>
            <rFont val="Calibri"/>
            <family val="34"/>
          </rPr>
          <t xml:space="preserve">
</t>
        </r>
        <r>
          <rPr>
            <sz val="14"/>
            <color rgb="FF000000"/>
            <rFont val="Times New Roman"/>
            <family val="18"/>
          </rPr>
          <t xml:space="preserve">20/07/1809 </t>
        </r>
        <r>
          <rPr>
            <i/>
            <sz val="14"/>
            <color rgb="FF000000"/>
            <rFont val="Times New Roman"/>
            <family val="18"/>
          </rPr>
          <t>Rekonvalesziert</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17/08/1809 </t>
        </r>
        <r>
          <rPr>
            <i/>
            <sz val="14"/>
            <color rgb="FF000000"/>
            <rFont val="Times New Roman"/>
            <family val="18"/>
          </rPr>
          <t xml:space="preserve">Krank in Armee Spitalern </t>
        </r>
        <r>
          <rPr>
            <sz val="14"/>
            <color rgb="FF000000"/>
            <rFont val="Times New Roman"/>
            <family val="18"/>
          </rPr>
          <t>[ST Aug 1809]</t>
        </r>
        <r>
          <rPr>
            <sz val="14"/>
            <color rgb="FF000000"/>
            <rFont val="Calibri"/>
            <family val="34"/>
          </rPr>
          <t xml:space="preserve">
</t>
        </r>
        <r>
          <rPr>
            <sz val="14"/>
            <color rgb="FF000000"/>
            <rFont val="Times New Roman"/>
            <family val="18"/>
          </rPr>
          <t xml:space="preserve">10/10/1809 </t>
        </r>
        <r>
          <rPr>
            <i/>
            <sz val="14"/>
            <color rgb="FF000000"/>
            <rFont val="Times New Roman"/>
            <family val="18"/>
          </rPr>
          <t>Rekonvalesziert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 xml:space="preserve">Krank in Armee Spital </t>
        </r>
        <r>
          <rPr>
            <sz val="14"/>
            <color rgb="FF000000"/>
            <rFont val="Times New Roman"/>
            <family val="18"/>
          </rPr>
          <t>[ST Nov 1809]</t>
        </r>
        <r>
          <rPr>
            <sz val="14"/>
            <color rgb="FF000000"/>
            <rFont val="Calibri"/>
            <family val="34"/>
          </rPr>
          <t xml:space="preserve">
</t>
        </r>
        <r>
          <rPr>
            <sz val="14"/>
            <color rgb="FF000000"/>
            <rFont val="Times New Roman"/>
            <family val="18"/>
          </rPr>
          <t>31/01/1810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1251" authorId="0" shapeId="0" xr:uid="{DDF62EF4-0925-E746-93F7-DA7081E37E7D}">
      <text>
        <r>
          <rPr>
            <sz val="14"/>
            <color rgb="FF000000"/>
            <rFont val="Times New Roman"/>
            <family val="18"/>
          </rPr>
          <t>ML 10.816 EH Carl FK 3. Bat. (1809-10) – AL Nr. 729 (Chrudim 31/03/1809), ST March (Prague 10/07/1809), June (Prague 28/04/1810), July (Prague 28/04/1810), Aug (Prague 28/05/1810), Oct (Prague 31/07/1810), Nov (Prague 08/08/1810), Jan 1810 (Prague 23/08/1810)</t>
        </r>
        <r>
          <rPr>
            <sz val="14"/>
            <color rgb="FF000000"/>
            <rFont val="Calibri"/>
            <family val="34"/>
          </rPr>
          <t xml:space="preserve">
</t>
        </r>
      </text>
    </comment>
    <comment ref="BH1251" authorId="0" shapeId="0" xr:uid="{738E6419-7BFB-C14A-A157-8225F5E740D1}">
      <text>
        <r>
          <rPr>
            <sz val="14"/>
            <color rgb="FF000000"/>
            <rFont val="Calibri"/>
            <family val="34"/>
          </rPr>
          <t>Legion EH Carl (1809-10)</t>
        </r>
      </text>
    </comment>
    <comment ref="BF1252" authorId="0" shapeId="0" xr:uid="{CB09D975-BEC7-E24E-812B-9522F7E9B752}">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02/06/1809 </t>
        </r>
        <r>
          <rPr>
            <i/>
            <sz val="14"/>
            <color rgb="FF000000"/>
            <rFont val="Times New Roman"/>
            <family val="18"/>
          </rPr>
          <t>Mit auswärtiger Verpflegung Krank in Armee Spital</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29/01/1810 Dissolvierung: 1. Bat 6. Komp Nr. 85 [</t>
        </r>
        <r>
          <rPr>
            <i/>
            <sz val="14"/>
            <color rgb="FF000000"/>
            <rFont val="Times New Roman"/>
            <family val="18"/>
          </rPr>
          <t>Krank in Krems</t>
        </r>
        <r>
          <rPr>
            <sz val="14"/>
            <color rgb="FF000000"/>
            <rFont val="Times New Roman"/>
            <family val="18"/>
          </rPr>
          <t>]</t>
        </r>
        <r>
          <rPr>
            <sz val="14"/>
            <color rgb="FF000000"/>
            <rFont val="Calibri"/>
            <family val="34"/>
          </rPr>
          <t xml:space="preserve">
</t>
        </r>
        <r>
          <rPr>
            <sz val="14"/>
            <color rgb="FF000000"/>
            <rFont val="Times New Roman"/>
            <family val="18"/>
          </rPr>
          <t>16/03/1810</t>
        </r>
        <r>
          <rPr>
            <i/>
            <sz val="14"/>
            <color rgb="FF000000"/>
            <rFont val="Times New Roman"/>
            <family val="18"/>
          </rPr>
          <t xml:space="preserve"> In loco eingerückt und vermog bestehende Hohe Vorordnung als ausgediente Kriegscapitulant mit Abschied entlassen </t>
        </r>
        <r>
          <rPr>
            <sz val="14"/>
            <color rgb="FF000000"/>
            <rFont val="Times New Roman"/>
            <family val="18"/>
          </rPr>
          <t>[ST March-Oct 1810]</t>
        </r>
      </text>
    </comment>
    <comment ref="BG1252" authorId="0" shapeId="0" xr:uid="{75241F13-D0BC-1840-82B3-4B467455DE2F}">
      <text>
        <r>
          <rPr>
            <sz val="14"/>
            <color rgb="FF000000"/>
            <rFont val="Times New Roman"/>
            <family val="18"/>
          </rPr>
          <t>ST 10.820 Mähr-Schls. FW 1-2. Bats (1809-10) – DL 1. Bat 6. Komp Nr. 85 (Rausnitz 29/01/1802)</t>
        </r>
        <r>
          <rPr>
            <sz val="14"/>
            <color rgb="FF000000"/>
            <rFont val="Calibri"/>
            <family val="34"/>
          </rPr>
          <t xml:space="preserve">
</t>
        </r>
        <r>
          <rPr>
            <sz val="14"/>
            <color rgb="FF000000"/>
            <rFont val="Times New Roman"/>
            <family val="18"/>
          </rPr>
          <t>ST 10.821 Mähr-Schls. FW 1-2. Bats (1809-10) – AL Nr. 3 (Iglau 26/03/1809), ST March (31/03/1810), ST June (30/07/1810)</t>
        </r>
        <r>
          <rPr>
            <sz val="14"/>
            <color rgb="FF000000"/>
            <rFont val="Calibri"/>
            <family val="34"/>
          </rPr>
          <t xml:space="preserve">
</t>
        </r>
        <r>
          <rPr>
            <sz val="14"/>
            <color rgb="FF000000"/>
            <rFont val="Times New Roman"/>
            <family val="18"/>
          </rPr>
          <t>ST 10.822 Mähr-Schls. FW 1-2. Bats (1810) – ST March-Oct (28/02/1811)</t>
        </r>
      </text>
    </comment>
    <comment ref="BH1252" authorId="0" shapeId="0" xr:uid="{6DB7D93E-11B6-FA49-B410-279CA3066E3A}">
      <text>
        <r>
          <rPr>
            <sz val="14"/>
            <color rgb="FF000000"/>
            <rFont val="Calibri"/>
            <family val="34"/>
          </rPr>
          <t>Mährisch-schlesischen Freiwillige (1809-10)</t>
        </r>
      </text>
    </comment>
    <comment ref="BF1253" authorId="0" shapeId="0" xr:uid="{3469FEB8-791B-0149-8333-D4F825D0BBF7}">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Beim Rückzug nach dem über die Donau unternommenen Expedition in Kriegsgefangenschaft gerathen</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26/09/1809 </t>
        </r>
        <r>
          <rPr>
            <i/>
            <sz val="14"/>
            <color rgb="FF000000"/>
            <rFont val="Times New Roman"/>
            <family val="18"/>
          </rPr>
          <t xml:space="preserve">Am unbewussten Datum auswärts präsentiert und danach beim Depot eingerückt, seitdem dort zugeheilt </t>
        </r>
        <r>
          <rPr>
            <sz val="14"/>
            <color rgb="FF000000"/>
            <rFont val="Times New Roman"/>
            <family val="18"/>
          </rPr>
          <t>[ST Sept 1809]</t>
        </r>
        <r>
          <rPr>
            <sz val="14"/>
            <color rgb="FF000000"/>
            <rFont val="Calibri"/>
            <family val="34"/>
          </rPr>
          <t xml:space="preserve">
</t>
        </r>
        <r>
          <rPr>
            <sz val="14"/>
            <color rgb="FF000000"/>
            <rFont val="Times New Roman"/>
            <family val="18"/>
          </rPr>
          <t>29/01/1810 Dissolvierung: 1. Bat 6. Komp Nr. 67</t>
        </r>
        <r>
          <rPr>
            <sz val="14"/>
            <color rgb="FF000000"/>
            <rFont val="Calibri"/>
            <family val="34"/>
          </rPr>
          <t xml:space="preserve">
</t>
        </r>
        <r>
          <rPr>
            <sz val="14"/>
            <color rgb="FF000000"/>
            <rFont val="Times New Roman"/>
            <family val="18"/>
          </rPr>
          <t xml:space="preserve">17/02/1810 </t>
        </r>
        <r>
          <rPr>
            <i/>
            <sz val="14"/>
            <color rgb="FF000000"/>
            <rFont val="Times New Roman"/>
            <family val="18"/>
          </rPr>
          <t>Als ausgedienter Kriegscapitulant mit Abschied entlassen</t>
        </r>
        <r>
          <rPr>
            <sz val="14"/>
            <color rgb="FF000000"/>
            <rFont val="Times New Roman"/>
            <family val="18"/>
          </rPr>
          <t xml:space="preserve"> [ST Feb 1810]</t>
        </r>
      </text>
    </comment>
    <comment ref="BG1253" authorId="0" shapeId="0" xr:uid="{110BC331-9F97-6842-9D2F-0BCB4913B450}">
      <text>
        <r>
          <rPr>
            <sz val="14"/>
            <color rgb="FF000000"/>
            <rFont val="Times New Roman"/>
            <family val="18"/>
          </rPr>
          <t>ST 10.820 Mähr-Schls. FW 1-2. Bats (1809-10) – DL 1. Bat 6. Komp Nr. 67 (Rausnitz 29/01/1802)</t>
        </r>
        <r>
          <rPr>
            <sz val="14"/>
            <color rgb="FF000000"/>
            <rFont val="Calibri"/>
            <family val="34"/>
          </rPr>
          <t xml:space="preserve">
</t>
        </r>
        <r>
          <rPr>
            <sz val="14"/>
            <color rgb="FF000000"/>
            <rFont val="Times New Roman"/>
            <family val="18"/>
          </rPr>
          <t>ST 10.821 Mähr-Schls. FW 1-2. Bats (1809) – AL Nr. 4 (Iglau 26/03/1809), ST March (31/03/1810), ST June (30/07/1810), ST September (01/12/1810)</t>
        </r>
        <r>
          <rPr>
            <sz val="14"/>
            <color rgb="FF000000"/>
            <rFont val="Calibri"/>
            <family val="34"/>
          </rPr>
          <t xml:space="preserve">
</t>
        </r>
        <r>
          <rPr>
            <sz val="14"/>
            <color rgb="FF000000"/>
            <rFont val="Times New Roman"/>
            <family val="18"/>
          </rPr>
          <t>ST 10.822 Mähr-Schls. FW 1-2. Bats (1810) – ST Feb (01/02/1811)</t>
        </r>
      </text>
    </comment>
    <comment ref="BH1253" authorId="0" shapeId="0" xr:uid="{C97BAD4F-D019-7F43-9619-F8C8E43939AC}">
      <text>
        <r>
          <rPr>
            <sz val="14"/>
            <color rgb="FF000000"/>
            <rFont val="Calibri"/>
            <family val="34"/>
          </rPr>
          <t>Mährisch-schlesischen Freiwillige (1809-10)</t>
        </r>
      </text>
    </comment>
    <comment ref="BF1254" authorId="0" shapeId="0" xr:uid="{FF27FB26-71B3-6A4A-AC91-8832E47E0487}">
      <text>
        <r>
          <rPr>
            <sz val="14"/>
            <color rgb="FF000000"/>
            <rFont val="Times New Roman"/>
            <family val="18"/>
          </rPr>
          <t xml:space="preserve">26/03/1809 </t>
        </r>
        <r>
          <rPr>
            <i/>
            <sz val="14"/>
            <color rgb="FF000000"/>
            <rFont val="Times New Roman"/>
            <family val="18"/>
          </rPr>
          <t xml:space="preserve">Von 2. Saatzer Landwehr Bataillon Freywillig übertreten und zum EH Carl Legion 4. Bataillon gegen drey Gulden Handgeld auf die Dauer des Krieges in Leitmeritz assentiert und zum 1. Kompanie eingeteilt </t>
        </r>
        <r>
          <rPr>
            <sz val="14"/>
            <color rgb="FF000000"/>
            <rFont val="Times New Roman"/>
            <family val="18"/>
          </rPr>
          <t>[AL 1809]</t>
        </r>
        <r>
          <rPr>
            <sz val="14"/>
            <color rgb="FF000000"/>
            <rFont val="Calibri"/>
            <family val="34"/>
          </rPr>
          <t xml:space="preserve">
</t>
        </r>
        <r>
          <rPr>
            <sz val="14"/>
            <color rgb="FF000000"/>
            <rFont val="Times New Roman"/>
            <family val="18"/>
          </rPr>
          <t xml:space="preserve">23/08/1809 </t>
        </r>
        <r>
          <rPr>
            <i/>
            <sz val="14"/>
            <color rgb="FF000000"/>
            <rFont val="Times New Roman"/>
            <family val="18"/>
          </rPr>
          <t>Krank in Armee Spitälern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25/01/1810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31/01/1810 </t>
        </r>
        <r>
          <rPr>
            <i/>
            <sz val="14"/>
            <color rgb="FF000000"/>
            <rFont val="Times New Roman"/>
            <family val="18"/>
          </rPr>
          <t>Zu Folge hoher General Militair Commando Verordnung Ddt. Prag am 29. December 809 als ein auf die Dauer des Krieges engagierte Capitulant gegen Empfang von 30 tage Gratis Löhnung mit Abschied entlassen</t>
        </r>
        <r>
          <rPr>
            <sz val="14"/>
            <color rgb="FF000000"/>
            <rFont val="Times New Roman"/>
            <family val="18"/>
          </rPr>
          <t xml:space="preserve"> [ST Jan 1810] </t>
        </r>
      </text>
    </comment>
    <comment ref="BG1254" authorId="0" shapeId="0" xr:uid="{E21FE383-9B47-2D42-9B92-272F94830AE6}">
      <text>
        <r>
          <rPr>
            <sz val="14"/>
            <color rgb="FF000000"/>
            <rFont val="Times New Roman"/>
            <family val="18"/>
          </rPr>
          <t>ML 10.818 Legion EH Carl 4. Bat. (1809-10) – AL. Nr. 422 (Leitmeritz, 26/03/1809); ST March 1809 (Prague 23/03/1810), August (Prague 20/08/1810) Jan 1810 (05/11/1810)</t>
        </r>
        <r>
          <rPr>
            <sz val="14"/>
            <color rgb="FF000000"/>
            <rFont val="Calibri"/>
            <family val="34"/>
          </rPr>
          <t xml:space="preserve">
</t>
        </r>
      </text>
    </comment>
    <comment ref="BH1254" authorId="0" shapeId="0" xr:uid="{856BB1B2-1D3A-304A-9216-B34291A84A84}">
      <text>
        <r>
          <rPr>
            <sz val="14"/>
            <color rgb="FF000000"/>
            <rFont val="Calibri"/>
            <family val="34"/>
          </rPr>
          <t>Legion EH Carl (1809-10)</t>
        </r>
      </text>
    </comment>
    <comment ref="BF1255" authorId="0" shapeId="0" xr:uid="{3E4481A4-F036-C24B-8BDB-C3EDF6051431}">
      <text>
        <r>
          <rPr>
            <sz val="14"/>
            <color rgb="FF000000"/>
            <rFont val="Times New Roman"/>
            <family val="18"/>
          </rPr>
          <t xml:space="preserve">28/03/1809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06/07/1809 </t>
        </r>
        <r>
          <rPr>
            <i/>
            <sz val="14"/>
            <color rgb="FF000000"/>
            <rFont val="Times New Roman"/>
            <family val="18"/>
          </rPr>
          <t>Von 20. zum 3.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02/01/1810 </t>
        </r>
        <r>
          <rPr>
            <i/>
            <sz val="14"/>
            <color rgb="FF000000"/>
            <rFont val="Times New Roman"/>
            <family val="18"/>
          </rPr>
          <t>Krank mit auswärtiger Gebühr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17/01/1810 </t>
        </r>
        <r>
          <rPr>
            <i/>
            <sz val="14"/>
            <color rgb="FF000000"/>
            <rFont val="Times New Roman"/>
            <family val="18"/>
          </rPr>
          <t xml:space="preserve">Zu Spital in Ofen gestorben </t>
        </r>
        <r>
          <rPr>
            <sz val="14"/>
            <color rgb="FF000000"/>
            <rFont val="Times New Roman"/>
            <family val="18"/>
          </rPr>
          <t xml:space="preserve">[ML 1811] </t>
        </r>
      </text>
    </comment>
    <comment ref="BG1255" authorId="0" shapeId="0" xr:uid="{B90632EC-EE31-4549-96FE-718E8BD237AC}">
      <text>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3551 IR 39 (1810) – ST Jan (03/06/1811)</t>
        </r>
        <r>
          <rPr>
            <sz val="14"/>
            <color rgb="FF000000"/>
            <rFont val="Calibri"/>
            <family val="34"/>
          </rPr>
          <t xml:space="preserve">
</t>
        </r>
      </text>
    </comment>
    <comment ref="BH1255" authorId="0" shapeId="0" xr:uid="{5C9FC742-8AAF-894B-B643-C3A85096C9D5}">
      <text>
        <r>
          <rPr>
            <sz val="14"/>
            <color rgb="FF000000"/>
            <rFont val="Calibri"/>
            <family val="34"/>
          </rPr>
          <t>IR 39 (1809-1810)</t>
        </r>
      </text>
    </comment>
    <comment ref="BF1256" authorId="0" shapeId="0" xr:uid="{211C7A81-8A82-9A48-87A7-BA6E4C6B555A}">
      <text>
        <r>
          <rPr>
            <sz val="14"/>
            <color rgb="FF000000"/>
            <rFont val="Times New Roman"/>
            <family val="18"/>
          </rPr>
          <t xml:space="preserve">28/03/1809 </t>
        </r>
        <r>
          <rPr>
            <i/>
            <sz val="14"/>
            <color rgb="FF000000"/>
            <rFont val="Times New Roman"/>
            <family val="18"/>
          </rPr>
          <t>Als Arzt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01/10/1809 </t>
        </r>
        <r>
          <rPr>
            <i/>
            <sz val="14"/>
            <color rgb="FF000000"/>
            <rFont val="Times New Roman"/>
            <family val="18"/>
          </rPr>
          <t>Auswärts in Leitomischl</t>
        </r>
        <r>
          <rPr>
            <sz val="14"/>
            <color rgb="FF000000"/>
            <rFont val="Times New Roman"/>
            <family val="18"/>
          </rPr>
          <t xml:space="preserve"> kommandiert [VeprfL Okt 1809]
</t>
        </r>
        <r>
          <rPr>
            <sz val="14"/>
            <color rgb="FF000000"/>
            <rFont val="Times New Roman"/>
            <family val="18"/>
          </rPr>
          <t xml:space="preserve">07/11/1809 </t>
        </r>
        <r>
          <rPr>
            <i/>
            <sz val="14"/>
            <color rgb="FF000000"/>
            <rFont val="Times New Roman"/>
            <family val="18"/>
          </rPr>
          <t>Von Josephstadt zurück</t>
        </r>
        <r>
          <rPr>
            <sz val="14"/>
            <color rgb="FF000000"/>
            <rFont val="Times New Roman"/>
            <family val="18"/>
          </rPr>
          <t xml:space="preserve"> [VerpfL Nov 1809]
</t>
        </r>
        <r>
          <rPr>
            <sz val="14"/>
            <color rgb="FF000000"/>
            <rFont val="Times New Roman"/>
            <family val="18"/>
          </rPr>
          <t xml:space="preserve">15/04/1810 </t>
        </r>
        <r>
          <rPr>
            <i/>
            <sz val="14"/>
            <color rgb="FF000000"/>
            <rFont val="Times New Roman"/>
            <family val="18"/>
          </rPr>
          <t>Mit Abschied und drei Monatliche Abfertigungsgage von 42Fl entlassen</t>
        </r>
        <r>
          <rPr>
            <sz val="14"/>
            <color rgb="FF000000"/>
            <rFont val="Times New Roman"/>
            <family val="18"/>
          </rPr>
          <t xml:space="preserve"> [Ent-Cons. April 1810 &amp; Verpf.-Cons. April 1810] </t>
        </r>
      </text>
    </comment>
    <comment ref="BG1256" authorId="0" shapeId="0" xr:uid="{34A0870A-A36D-4740-AB60-8DCBD888DDFD}">
      <text>
        <r>
          <rPr>
            <sz val="14"/>
            <color rgb="FF000000"/>
            <rFont val="Times New Roman"/>
            <family val="18"/>
          </rPr>
          <t>ML 10.815 EH Carl FK (1809-10) – AL Nr. 166 (Prague 20/03/1809), ST Juli (Prague 30/05/1810), ST Nov (Prague 30/08/1809), ST Jan 1810 (??)</t>
        </r>
        <r>
          <rPr>
            <sz val="14"/>
            <color rgb="FF000000"/>
            <rFont val="Calibri"/>
            <family val="34"/>
          </rPr>
          <t xml:space="preserve">
</t>
        </r>
      </text>
    </comment>
    <comment ref="BH1256" authorId="0" shapeId="0" xr:uid="{FC906725-2E4A-2246-9A69-A969E501535D}">
      <text>
        <r>
          <rPr>
            <sz val="14"/>
            <color rgb="FF000000"/>
            <rFont val="Calibri"/>
            <family val="34"/>
          </rPr>
          <t xml:space="preserve">HFS 1 (1809) 
</t>
        </r>
        <r>
          <rPr>
            <sz val="14"/>
            <color rgb="FF000000"/>
            <rFont val="Calibri"/>
            <family val="34"/>
          </rPr>
          <t>HFS 32 (1809-10)</t>
        </r>
      </text>
    </comment>
    <comment ref="BF1257" authorId="0" shapeId="0" xr:uid="{77CE3868-257E-664D-95D1-21F8A09AA0CD}">
      <text>
        <r>
          <rPr>
            <sz val="14"/>
            <color rgb="FF000000"/>
            <rFont val="Times New Roman"/>
            <family val="18"/>
          </rPr>
          <t xml:space="preserve">??/04/1809 </t>
        </r>
        <r>
          <rPr>
            <i/>
            <sz val="14"/>
            <color rgb="FF000000"/>
            <rFont val="Times New Roman"/>
            <family val="18"/>
          </rPr>
          <t xml:space="preserve">Als angehöriger von 1. Triester LW Battailon 6.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14/05/1809 </t>
        </r>
        <r>
          <rPr>
            <i/>
            <sz val="14"/>
            <color rgb="FF000000"/>
            <rFont val="Times New Roman"/>
            <family val="18"/>
          </rPr>
          <t>Bei Duino zurückgeblieben und als unwissend verloren in Abgang</t>
        </r>
        <r>
          <rPr>
            <sz val="14"/>
            <color rgb="FF000000"/>
            <rFont val="Times New Roman"/>
            <family val="18"/>
          </rPr>
          <t xml:space="preserve"> [ST May 1809]</t>
        </r>
      </text>
    </comment>
    <comment ref="BG1257" authorId="0" shapeId="0" xr:uid="{281561AC-BDE2-6E42-A901-E30E4F55611A}">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1257" authorId="0" shapeId="0" xr:uid="{22D3797B-5BF1-BF49-A2A1-EAEE45900824}">
      <text>
        <r>
          <rPr>
            <sz val="14"/>
            <color rgb="FF000000"/>
            <rFont val="Calibri"/>
            <family val="34"/>
          </rPr>
          <t>Triester LW (1809)</t>
        </r>
      </text>
    </comment>
    <comment ref="BF1258" authorId="0" shapeId="0" xr:uid="{F56E2D14-BE0D-D94A-BB94-7B619B47BF42}">
      <text>
        <r>
          <rPr>
            <sz val="14"/>
            <color rgb="FF000000"/>
            <rFont val="Times New Roman"/>
            <family val="18"/>
          </rPr>
          <t xml:space="preserve">??/04/1809 </t>
        </r>
        <r>
          <rPr>
            <i/>
            <sz val="14"/>
            <color rgb="FF000000"/>
            <rFont val="Times New Roman"/>
            <family val="18"/>
          </rPr>
          <t xml:space="preserve">Als angehöriger von 1. Triester LW Bataillon 1.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Provisorisch entlassen</t>
        </r>
        <r>
          <rPr>
            <sz val="14"/>
            <color rgb="FF000000"/>
            <rFont val="Times New Roman"/>
            <family val="18"/>
          </rPr>
          <t xml:space="preserve"> [ST May 1809]</t>
        </r>
      </text>
    </comment>
    <comment ref="BG1258" authorId="0" shapeId="0" xr:uid="{8321F370-C7A1-C94F-8BF7-F2758CE29318}">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1258" authorId="0" shapeId="0" xr:uid="{AD6115C0-B60B-6D43-B41A-DC7D49DBDDF0}">
      <text>
        <r>
          <rPr>
            <sz val="14"/>
            <color rgb="FF000000"/>
            <rFont val="Calibri"/>
            <family val="34"/>
          </rPr>
          <t>Triester LW (1809)</t>
        </r>
      </text>
    </comment>
    <comment ref="BF1259" authorId="0" shapeId="0" xr:uid="{0D9EEA0A-03B3-4047-B185-BEEA2EEF53C1}">
      <text>
        <r>
          <rPr>
            <sz val="14"/>
            <color rgb="FF000000"/>
            <rFont val="Times New Roman"/>
            <family val="18"/>
          </rPr>
          <t xml:space="preserve">??/04/1809 </t>
        </r>
        <r>
          <rPr>
            <i/>
            <sz val="14"/>
            <color rgb="FF000000"/>
            <rFont val="Times New Roman"/>
            <family val="18"/>
          </rPr>
          <t xml:space="preserve">Als angehöriger von 1. Triester LW Battalion 5.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Vermisst</t>
        </r>
        <r>
          <rPr>
            <sz val="14"/>
            <color rgb="FF000000"/>
            <rFont val="Times New Roman"/>
            <family val="18"/>
          </rPr>
          <t xml:space="preserve"> [ST May 1809]</t>
        </r>
      </text>
    </comment>
    <comment ref="BG1259" authorId="0" shapeId="0" xr:uid="{EEB7CE06-13B1-9245-AB4E-3B08A0611B7E}">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1259" authorId="0" shapeId="0" xr:uid="{7EAA5CC1-9F9A-3142-B4F6-8840BCEE1189}">
      <text>
        <r>
          <rPr>
            <sz val="14"/>
            <color rgb="FF000000"/>
            <rFont val="Calibri"/>
            <family val="34"/>
          </rPr>
          <t>Triester LW (1809)</t>
        </r>
      </text>
    </comment>
    <comment ref="BF1260" authorId="0" shapeId="0" xr:uid="{E914F95A-2E77-844E-95DC-847C379FCEF3}">
      <text>
        <r>
          <rPr>
            <sz val="14"/>
            <color rgb="FF000000"/>
            <rFont val="Times New Roman"/>
            <family val="18"/>
          </rPr>
          <t xml:space="preserve">??/04/1809 </t>
        </r>
        <r>
          <rPr>
            <i/>
            <sz val="14"/>
            <color rgb="FF000000"/>
            <rFont val="Times New Roman"/>
            <family val="18"/>
          </rPr>
          <t xml:space="preserve">Als angehöriger von 1. Triester LW Bataillon 5. Füsilier Komp. in Städischen in ararial Sold übernommen </t>
        </r>
        <r>
          <rPr>
            <sz val="14"/>
            <color rgb="FF000000"/>
            <rFont val="Times New Roman"/>
            <family val="18"/>
          </rPr>
          <t xml:space="preserve">[ST April 1809]
</t>
        </r>
        <r>
          <rPr>
            <sz val="14"/>
            <color rgb="FF000000"/>
            <rFont val="Times New Roman"/>
            <family val="18"/>
          </rPr>
          <t xml:space="preserve">31/05/1809 </t>
        </r>
        <r>
          <rPr>
            <i/>
            <sz val="14"/>
            <color rgb="FF000000"/>
            <rFont val="Times New Roman"/>
            <family val="18"/>
          </rPr>
          <t xml:space="preserve">Provisorisch entlassen </t>
        </r>
        <r>
          <rPr>
            <sz val="14"/>
            <color rgb="FF000000"/>
            <rFont val="Times New Roman"/>
            <family val="18"/>
          </rPr>
          <t xml:space="preserve">[ST May 1809]
</t>
        </r>
        <r>
          <rPr>
            <sz val="14"/>
            <color rgb="FF000000"/>
            <rFont val="Times New Roman"/>
            <family val="18"/>
          </rPr>
          <t xml:space="preserve">25/06/1809 </t>
        </r>
        <r>
          <rPr>
            <i/>
            <sz val="14"/>
            <color rgb="FF000000"/>
            <rFont val="Times New Roman"/>
            <family val="18"/>
          </rPr>
          <t xml:space="preserve">Gegen 10 fl Handgeld [oder 12 ll] als Eximierte Inländer auf Kriegsdauer in Triester JFK assentiert und zum 1. Kompanie eingeteilt </t>
        </r>
        <r>
          <rPr>
            <sz val="14"/>
            <color rgb="FF000000"/>
            <rFont val="Times New Roman"/>
            <family val="18"/>
          </rPr>
          <t xml:space="preserve">[AL June 1809]
</t>
        </r>
        <r>
          <rPr>
            <sz val="14"/>
            <color rgb="FF000000"/>
            <rFont val="Times New Roman"/>
            <family val="18"/>
          </rPr>
          <t xml:space="preserve">01/07/1809 </t>
        </r>
        <r>
          <rPr>
            <i/>
            <sz val="14"/>
            <color rgb="FF000000"/>
            <rFont val="Times New Roman"/>
            <family val="18"/>
          </rPr>
          <t xml:space="preserve">Von 1. zum 3. Kompanie transferiert </t>
        </r>
        <r>
          <rPr>
            <sz val="14"/>
            <color rgb="FF000000"/>
            <rFont val="Times New Roman"/>
            <family val="18"/>
          </rPr>
          <t xml:space="preserve">[ST June 1809 &amp; ST July 1809]
</t>
        </r>
        <r>
          <rPr>
            <sz val="14"/>
            <color rgb="FF000000"/>
            <rFont val="Times New Roman"/>
            <family val="18"/>
          </rPr>
          <t xml:space="preserve">08/11/1809 </t>
        </r>
        <r>
          <rPr>
            <i/>
            <sz val="14"/>
            <color rgb="FF000000"/>
            <rFont val="Times New Roman"/>
            <family val="18"/>
          </rPr>
          <t xml:space="preserve">Krank in Armee Spital </t>
        </r>
        <r>
          <rPr>
            <sz val="14"/>
            <color rgb="FF000000"/>
            <rFont val="Times New Roman"/>
            <family val="18"/>
          </rPr>
          <t xml:space="preserve">[ST Nov 1809]
</t>
        </r>
        <r>
          <rPr>
            <sz val="14"/>
            <color rgb="FF000000"/>
            <rFont val="Times New Roman"/>
            <family val="18"/>
          </rPr>
          <t>30/11/1809 Dissolvierung: Triester JFK 3. Komp. [</t>
        </r>
        <r>
          <rPr>
            <i/>
            <sz val="14"/>
            <color rgb="FF000000"/>
            <rFont val="Times New Roman"/>
            <family val="18"/>
          </rPr>
          <t>Krank im Spital zu Fiume</t>
        </r>
        <r>
          <rPr>
            <sz val="14"/>
            <color rgb="FF000000"/>
            <rFont val="Times New Roman"/>
            <family val="18"/>
          </rPr>
          <t xml:space="preserve">]
</t>
        </r>
        <r>
          <rPr>
            <sz val="14"/>
            <color rgb="FF000000"/>
            <rFont val="Times New Roman"/>
            <family val="18"/>
          </rPr>
          <t xml:space="preserve">30/11/1809 </t>
        </r>
        <r>
          <rPr>
            <i/>
            <sz val="14"/>
            <color rgb="FF000000"/>
            <rFont val="Times New Roman"/>
            <family val="18"/>
          </rPr>
          <t xml:space="preserve">In Spital verblieben </t>
        </r>
        <r>
          <rPr>
            <sz val="14"/>
            <color rgb="FF000000"/>
            <rFont val="Times New Roman"/>
            <family val="18"/>
          </rPr>
          <t>[ST Nov 1809]</t>
        </r>
      </text>
    </comment>
    <comment ref="BG1260" authorId="0" shapeId="0" xr:uid="{59A969C9-D2C3-C64B-816C-9B0233054EAA}">
      <text>
        <r>
          <rPr>
            <sz val="14"/>
            <color rgb="FF000000"/>
            <rFont val="Times New Roman"/>
            <family val="18"/>
          </rPr>
          <t>ML 10.373 LW Triest (1809) – 1. Bat 5. Comp. ST April (Agram 10/06/1809), May (Agram 07/07/1809)</t>
        </r>
        <r>
          <rPr>
            <sz val="14"/>
            <color rgb="FF000000"/>
            <rFont val="Calibri"/>
            <family val="34"/>
          </rPr>
          <t xml:space="preserve">
</t>
        </r>
        <r>
          <rPr>
            <sz val="14"/>
            <color rgb="FF000000"/>
            <rFont val="Times New Roman"/>
            <family val="18"/>
          </rPr>
          <t>ML 11.078 Triester JFK (1809-10) – AL Nr. 1 (Karlstadt 27/06/1809), DL (Krapina 30/11/1809), ST June (Graz 27/04/1810), ST July (Graz 15/05/1810), ST Nov (Graz 19/03/1811)</t>
        </r>
        <r>
          <rPr>
            <sz val="14"/>
            <color rgb="FF000000"/>
            <rFont val="Calibri"/>
            <family val="34"/>
          </rPr>
          <t xml:space="preserve">
</t>
        </r>
      </text>
    </comment>
    <comment ref="BH1260" authorId="0" shapeId="0" xr:uid="{AD2981D3-8EC7-2845-A2CF-626B012983A1}">
      <text>
        <r>
          <rPr>
            <sz val="14"/>
            <color rgb="FF000000"/>
            <rFont val="Calibri"/>
            <family val="34"/>
          </rPr>
          <t xml:space="preserve">Triester LW (1809)
</t>
        </r>
        <r>
          <rPr>
            <sz val="14"/>
            <color rgb="FF000000"/>
            <rFont val="Calibri"/>
            <family val="34"/>
          </rPr>
          <t>Truester JFK (1809)</t>
        </r>
      </text>
    </comment>
    <comment ref="BF1261" authorId="0" shapeId="0" xr:uid="{1BF83453-875A-E54E-9DFB-C59EB0DD5F75}">
      <text>
        <r>
          <rPr>
            <sz val="14"/>
            <color rgb="FF000000"/>
            <rFont val="Times New Roman"/>
            <family val="18"/>
          </rPr>
          <t xml:space="preserve">01/04/1809 </t>
        </r>
        <r>
          <rPr>
            <i/>
            <sz val="14"/>
            <color rgb="FF000000"/>
            <rFont val="Times New Roman"/>
            <family val="18"/>
          </rPr>
          <t>Hat sich freiwillig bei den Berauner 1. Graf Swibischen LW Battalion zum EH Carl Legion 2. Bataillon auf 3Fl gestellt und zum 6. Kompanie zugeheilt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1261" authorId="0" shapeId="0" xr:uid="{3940D375-BB6A-2546-950D-13E61E6C4A8D}">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1261" authorId="0" shapeId="0" xr:uid="{FB2AC886-147C-8248-96CE-8714FFD629CA}">
      <text>
        <r>
          <rPr>
            <sz val="14"/>
            <color rgb="FF000000"/>
            <rFont val="Calibri"/>
            <family val="34"/>
          </rPr>
          <t>Legion EH Carl (1809-10)</t>
        </r>
      </text>
    </comment>
    <comment ref="BF1262" authorId="0" shapeId="0" xr:uid="{AE0E209C-2BF8-7742-8E7D-87477D13D5DF}">
      <text>
        <r>
          <rPr>
            <sz val="14"/>
            <color rgb="FF000000"/>
            <rFont val="Times New Roman"/>
            <family val="18"/>
          </rPr>
          <t xml:space="preserve">02/04/1809 </t>
        </r>
        <r>
          <rPr>
            <i/>
            <sz val="14"/>
            <color rgb="FF000000"/>
            <rFont val="Times New Roman"/>
            <family val="18"/>
          </rPr>
          <t>A 3Fl Handgeld auf 10 Jahr von Land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Von IR 16 Luisignan zum IR 44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21/08/1810 </t>
        </r>
        <r>
          <rPr>
            <i/>
            <sz val="14"/>
            <color rgb="FF000000"/>
            <rFont val="Times New Roman"/>
            <family val="18"/>
          </rPr>
          <t>Von 16. Fus.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5. Fus. Komp. Nr. 258 [</t>
        </r>
        <r>
          <rPr>
            <i/>
            <sz val="14"/>
            <color rgb="FF000000"/>
            <rFont val="Times New Roman"/>
            <family val="18"/>
          </rPr>
          <t>Commandiert auf Arbeit in Comorn</t>
        </r>
        <r>
          <rPr>
            <sz val="14"/>
            <color rgb="FF000000"/>
            <rFont val="Times New Roman"/>
            <family val="18"/>
          </rPr>
          <t>]</t>
        </r>
        <r>
          <rPr>
            <sz val="14"/>
            <color rgb="FF000000"/>
            <rFont val="Calibri"/>
            <family val="34"/>
          </rPr>
          <t xml:space="preserve">
</t>
        </r>
        <r>
          <rPr>
            <sz val="14"/>
            <color rgb="FF000000"/>
            <rFont val="Times New Roman"/>
            <family val="18"/>
          </rPr>
          <t>18/09/1811 Muster: IR 44 5. Fus. Komp. Nr. 157 [</t>
        </r>
        <r>
          <rPr>
            <i/>
            <sz val="14"/>
            <color rgb="FF000000"/>
            <rFont val="Times New Roman"/>
            <family val="18"/>
          </rPr>
          <t>Commandiert zu Fünfkirchen</t>
        </r>
        <r>
          <rPr>
            <sz val="14"/>
            <color rgb="FF000000"/>
            <rFont val="Times New Roman"/>
            <family val="18"/>
          </rPr>
          <t>]</t>
        </r>
        <r>
          <rPr>
            <sz val="14"/>
            <color rgb="FF000000"/>
            <rFont val="Calibri"/>
            <family val="34"/>
          </rPr>
          <t xml:space="preserve">
</t>
        </r>
        <r>
          <rPr>
            <sz val="14"/>
            <color rgb="FF000000"/>
            <rFont val="Times New Roman"/>
            <family val="18"/>
          </rPr>
          <t>19/09/1812 Revision: IR 44 5. Fus. Komp. Nr. 79 [</t>
        </r>
        <r>
          <rPr>
            <i/>
            <sz val="14"/>
            <color rgb="FF000000"/>
            <rFont val="Times New Roman"/>
            <family val="18"/>
          </rPr>
          <t>Commandiert zu Fünfkirchen</t>
        </r>
        <r>
          <rPr>
            <sz val="14"/>
            <color rgb="FF000000"/>
            <rFont val="Times New Roman"/>
            <family val="18"/>
          </rPr>
          <t>]</t>
        </r>
      </text>
    </comment>
    <comment ref="BG1262" authorId="0" shapeId="0" xr:uid="{A9FA71CA-F1B1-7745-8464-60A688851210}">
      <text>
        <r>
          <rPr>
            <sz val="14"/>
            <color rgb="FF000000"/>
            <rFont val="Times New Roman"/>
            <family val="18"/>
          </rPr>
          <t>ML 3911 IR 44 (1808-10) – 5. Fus. Komp. Nr. 258 (Sthulweissenburg 25/09/1810)</t>
        </r>
        <r>
          <rPr>
            <sz val="14"/>
            <color rgb="FF000000"/>
            <rFont val="Calibri"/>
            <family val="34"/>
          </rPr>
          <t xml:space="preserve">
</t>
        </r>
        <r>
          <rPr>
            <sz val="14"/>
            <color rgb="FF000000"/>
            <rFont val="Times New Roman"/>
            <family val="18"/>
          </rPr>
          <t>ML 3912-3 IR 44 (1811) – 5. Fus. Komp. Nr. 157 (Pappa 18/09/1811)</t>
        </r>
        <r>
          <rPr>
            <sz val="14"/>
            <color rgb="FF000000"/>
            <rFont val="Calibri"/>
            <family val="34"/>
          </rPr>
          <t xml:space="preserve">
</t>
        </r>
        <r>
          <rPr>
            <sz val="14"/>
            <color rgb="FF000000"/>
            <rFont val="Times New Roman"/>
            <family val="18"/>
          </rPr>
          <t>ML 3914 IR 44 (1812/6) – 5. Fus. Komp. Nr. 79 (Pest 19/09/1812)</t>
        </r>
        <r>
          <rPr>
            <sz val="14"/>
            <color rgb="FF000000"/>
            <rFont val="Calibri"/>
            <family val="34"/>
          </rPr>
          <t xml:space="preserve">
</t>
        </r>
        <r>
          <rPr>
            <sz val="14"/>
            <color rgb="FF000000"/>
            <rFont val="Calibri"/>
            <family val="34"/>
          </rPr>
          <t xml:space="preserve">
</t>
        </r>
      </text>
    </comment>
    <comment ref="BH1262" authorId="0" shapeId="0" xr:uid="{A6A1C8F5-B8EB-844F-9175-1AD6924BEDBD}">
      <text>
        <r>
          <rPr>
            <sz val="14"/>
            <color rgb="FF000000"/>
            <rFont val="Calibri"/>
            <family val="34"/>
          </rPr>
          <t xml:space="preserve">IR 16 (1809)
</t>
        </r>
        <r>
          <rPr>
            <sz val="14"/>
            <color rgb="FF000000"/>
            <rFont val="Calibri"/>
            <family val="34"/>
          </rPr>
          <t>IR 44 (1810-1812)</t>
        </r>
      </text>
    </comment>
    <comment ref="BF1263" authorId="0" shapeId="0" xr:uid="{017FE1A5-E43A-5D43-BD8E-52A582B5605B}">
      <text>
        <r>
          <rPr>
            <sz val="14"/>
            <color rgb="FF000000"/>
            <rFont val="Times New Roman"/>
            <family val="18"/>
          </rPr>
          <t xml:space="preserve">08/04/1809 </t>
        </r>
        <r>
          <rPr>
            <i/>
            <sz val="14"/>
            <color rgb="FF000000"/>
            <rFont val="Times New Roman"/>
            <family val="18"/>
          </rPr>
          <t>als ärztliche Praktikant neu assentiert</t>
        </r>
        <r>
          <rPr>
            <sz val="14"/>
            <color rgb="FF000000"/>
            <rFont val="Times New Roman"/>
            <family val="18"/>
          </rPr>
          <t xml:space="preserve"> [TL Feb 1812]</t>
        </r>
        <r>
          <rPr>
            <sz val="14"/>
            <color rgb="FF000000"/>
            <rFont val="Calibri"/>
            <family val="34"/>
          </rPr>
          <t xml:space="preserve">
</t>
        </r>
        <r>
          <rPr>
            <sz val="14"/>
            <color rgb="FF000000"/>
            <rFont val="Times New Roman"/>
            <family val="18"/>
          </rPr>
          <t xml:space="preserve">01/06/1809 </t>
        </r>
        <r>
          <rPr>
            <i/>
            <sz val="14"/>
            <color rgb="FF000000"/>
            <rFont val="Times New Roman"/>
            <family val="18"/>
          </rPr>
          <t>Zum Unterarzt avanciert</t>
        </r>
        <r>
          <rPr>
            <sz val="14"/>
            <color rgb="FF000000"/>
            <rFont val="Times New Roman"/>
            <family val="18"/>
          </rPr>
          <t xml:space="preserve"> [TL Feb 1812]</t>
        </r>
        <r>
          <rPr>
            <sz val="14"/>
            <color rgb="FF000000"/>
            <rFont val="Calibri"/>
            <family val="34"/>
          </rPr>
          <t xml:space="preserve">
</t>
        </r>
        <r>
          <rPr>
            <sz val="14"/>
            <color rgb="FF000000"/>
            <rFont val="Times New Roman"/>
            <family val="18"/>
          </rPr>
          <t xml:space="preserve">14/07/1809 </t>
        </r>
        <r>
          <rPr>
            <i/>
            <sz val="14"/>
            <color rgb="FF000000"/>
            <rFont val="Times New Roman"/>
            <family val="18"/>
          </rPr>
          <t xml:space="preserve">Von HFS 1 zum HFS 33 transferiert </t>
        </r>
        <r>
          <rPr>
            <sz val="14"/>
            <color rgb="FF000000"/>
            <rFont val="Times New Roman"/>
            <family val="18"/>
          </rPr>
          <t>[TL Sept 1809]</t>
        </r>
        <r>
          <rPr>
            <sz val="14"/>
            <color rgb="FF000000"/>
            <rFont val="Calibri"/>
            <family val="34"/>
          </rPr>
          <t xml:space="preserve">
</t>
        </r>
        <r>
          <rPr>
            <sz val="14"/>
            <color rgb="FF000000"/>
            <rFont val="Times New Roman"/>
            <family val="18"/>
          </rPr>
          <t xml:space="preserve">30/09/1809 </t>
        </r>
        <r>
          <rPr>
            <i/>
            <sz val="14"/>
            <color rgb="FF000000"/>
            <rFont val="Times New Roman"/>
            <family val="18"/>
          </rPr>
          <t xml:space="preserve">Von HFS 33 zum HFS 2 transferiert </t>
        </r>
        <r>
          <rPr>
            <sz val="14"/>
            <color rgb="FF000000"/>
            <rFont val="Times New Roman"/>
            <family val="18"/>
          </rPr>
          <t>[TL Sept 1809]</t>
        </r>
      </text>
    </comment>
    <comment ref="BG1263" authorId="0" shapeId="0" xr:uid="{BD4B5E00-3965-9E4E-9880-891B84029B3B}">
      <text>
        <r>
          <rPr>
            <sz val="14"/>
            <color rgb="FF000000"/>
            <rFont val="Times New Roman"/>
            <family val="18"/>
          </rPr>
          <t>ML 11.997 HFS (1809-1814) – TL HFS 1-&gt;HFS 33 Nr. 1 (Prague 08/02/1812); TL HFS 33-&gt;HFS 2 Nr. 1 (Jungbunzlau 30/09/1809)</t>
        </r>
        <r>
          <rPr>
            <sz val="14"/>
            <color rgb="FF000000"/>
            <rFont val="Calibri"/>
            <family val="34"/>
          </rPr>
          <t xml:space="preserve">
</t>
        </r>
      </text>
    </comment>
    <comment ref="BH1263" authorId="0" shapeId="0" xr:uid="{6470E824-6664-E345-A469-643C3807B85C}">
      <text>
        <r>
          <rPr>
            <sz val="14"/>
            <color rgb="FF000000"/>
            <rFont val="Calibri"/>
            <family val="34"/>
          </rPr>
          <t xml:space="preserve">HFS 1 (1809)
</t>
        </r>
        <r>
          <rPr>
            <sz val="14"/>
            <color rgb="FF000000"/>
            <rFont val="Calibri"/>
            <family val="34"/>
          </rPr>
          <t xml:space="preserve">HFS 33 (1809)
</t>
        </r>
        <r>
          <rPr>
            <sz val="14"/>
            <color rgb="FF000000"/>
            <rFont val="Calibri"/>
            <family val="34"/>
          </rPr>
          <t>HFS 2 (1809)</t>
        </r>
      </text>
    </comment>
    <comment ref="BF1264" authorId="0" shapeId="0" xr:uid="{7AC844A7-60A7-C747-B1BB-CA5CDA075373}">
      <text>
        <r>
          <rPr>
            <sz val="14"/>
            <color rgb="FF000000"/>
            <rFont val="Times New Roman"/>
            <family val="18"/>
          </rPr>
          <t xml:space="preserve">14/04/1809 </t>
        </r>
        <r>
          <rPr>
            <i/>
            <sz val="14"/>
            <color rgb="FF000000"/>
            <rFont val="Times New Roman"/>
            <family val="18"/>
          </rPr>
          <t xml:space="preserve">A 3Fl Handgeld zu Zettwitz Inf </t>
        </r>
        <r>
          <rPr>
            <b/>
            <sz val="14"/>
            <color rgb="FF000000"/>
            <rFont val="Times New Roman"/>
            <family val="18"/>
          </rPr>
          <t>[IR 25]</t>
        </r>
        <r>
          <rPr>
            <sz val="14"/>
            <color rgb="FF000000"/>
            <rFont val="Times New Roman"/>
            <family val="18"/>
          </rPr>
          <t xml:space="preserve"> </t>
        </r>
        <r>
          <rPr>
            <i/>
            <sz val="14"/>
            <color rgb="FF000000"/>
            <rFont val="Times New Roman"/>
            <family val="18"/>
          </rPr>
          <t xml:space="preserve">assentiert </t>
        </r>
        <r>
          <rPr>
            <sz val="14"/>
            <color rgb="FF000000"/>
            <rFont val="Times New Roman"/>
            <family val="18"/>
          </rPr>
          <t xml:space="preserve">[TL Feb 1810]
</t>
        </r>
        <r>
          <rPr>
            <sz val="14"/>
            <color rgb="FF000000"/>
            <rFont val="Times New Roman"/>
            <family val="18"/>
          </rPr>
          <t xml:space="preserve">01/09/1809 </t>
        </r>
        <r>
          <rPr>
            <i/>
            <sz val="14"/>
            <color rgb="FF000000"/>
            <rFont val="Times New Roman"/>
            <family val="18"/>
          </rPr>
          <t>Von IR 25 zum ArtHandK transferiert</t>
        </r>
        <r>
          <rPr>
            <sz val="14"/>
            <color rgb="FF000000"/>
            <rFont val="Times New Roman"/>
            <family val="18"/>
          </rPr>
          <t xml:space="preserve"> [TL Feb 1810]
</t>
        </r>
        <r>
          <rPr>
            <sz val="14"/>
            <color rgb="FF000000"/>
            <rFont val="Times New Roman"/>
            <family val="18"/>
          </rPr>
          <t xml:space="preserve">10/02/1810 </t>
        </r>
        <r>
          <rPr>
            <i/>
            <sz val="14"/>
            <color rgb="FF000000"/>
            <rFont val="Times New Roman"/>
            <family val="18"/>
          </rPr>
          <t>Von ArtHandK zum IR 25 transferiert</t>
        </r>
        <r>
          <rPr>
            <sz val="14"/>
            <color rgb="FF000000"/>
            <rFont val="Times New Roman"/>
            <family val="18"/>
          </rPr>
          <t xml:space="preserve"> [TL Feb 1810]</t>
        </r>
      </text>
    </comment>
    <comment ref="BG1264" authorId="0" shapeId="0" xr:uid="{C8D8A89C-D38F-D646-96B8-E974AC120165}">
      <text>
        <r>
          <rPr>
            <sz val="14"/>
            <color rgb="FF000000"/>
            <rFont val="Times New Roman"/>
            <family val="18"/>
          </rPr>
          <t>ML 11.865 AtHandK (1810) AL/TL – TL ArtHandK-&gt;IR 25 Nr. 21 (Vienna 15/02/1811)</t>
        </r>
        <r>
          <rPr>
            <sz val="14"/>
            <color rgb="FF000000"/>
            <rFont val="Aptos"/>
            <family val="34"/>
          </rPr>
          <t xml:space="preserve">
</t>
        </r>
      </text>
    </comment>
    <comment ref="BH1264" authorId="0" shapeId="0" xr:uid="{4B28D204-C44F-5B4A-9D20-49D60D018B09}">
      <text>
        <r>
          <rPr>
            <sz val="14"/>
            <color rgb="FF000000"/>
            <rFont val="Calibri"/>
            <family val="34"/>
          </rPr>
          <t xml:space="preserve">IR 25 (1809)
</t>
        </r>
        <r>
          <rPr>
            <sz val="14"/>
            <color rgb="FF000000"/>
            <rFont val="Calibri"/>
            <family val="34"/>
          </rPr>
          <t xml:space="preserve">ArtHandK (1809-1810)
</t>
        </r>
        <r>
          <rPr>
            <sz val="14"/>
            <color rgb="FF000000"/>
            <rFont val="Calibri"/>
            <family val="34"/>
          </rPr>
          <t>IR 25 (1810)</t>
        </r>
      </text>
    </comment>
    <comment ref="BF1265" authorId="0" shapeId="0" xr:uid="{367675CB-A472-724F-93AA-A4CA1F84EDA6}">
      <text>
        <r>
          <rPr>
            <sz val="14"/>
            <color rgb="FF000000"/>
            <rFont val="Times New Roman"/>
            <family val="18"/>
          </rPr>
          <t>14/04/1809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10/07/1809 </t>
        </r>
        <r>
          <rPr>
            <i/>
            <sz val="14"/>
            <color rgb="FF000000"/>
            <rFont val="Times New Roman"/>
            <family val="18"/>
          </rPr>
          <t>Von HFS 32 zum HFS 1 transferiert</t>
        </r>
        <r>
          <rPr>
            <sz val="14"/>
            <color rgb="FF000000"/>
            <rFont val="Times New Roman"/>
            <family val="18"/>
          </rPr>
          <t xml:space="preserve"> [TL Aug 1810]</t>
        </r>
      </text>
    </comment>
    <comment ref="BG1265" authorId="0" shapeId="0" xr:uid="{F56C9D56-1AAE-3F47-87CB-449983709604}">
      <text>
        <r>
          <rPr>
            <sz val="14"/>
            <color rgb="FF000000"/>
            <rFont val="Times New Roman"/>
            <family val="18"/>
          </rPr>
          <t xml:space="preserve">ST 11.994 HFS (1809-14) – TL HFS 22-&gt;HFS 32 Nr. 33 (Pilsen 10/06/1809); TL Nr. 3 (Opočno 06/08/1810); VerpfL Juni 1809 (Geyersberg 31/12/1809); VerpfL Juli 1809 (Opočno 31/05/1810)
</t>
        </r>
      </text>
    </comment>
    <comment ref="BH1265" authorId="0" shapeId="0" xr:uid="{62244CDC-9C1F-F149-9A13-4404ED69ED23}">
      <text>
        <r>
          <rPr>
            <sz val="14"/>
            <color rgb="FF000000"/>
            <rFont val="Calibri"/>
            <family val="34"/>
          </rPr>
          <t xml:space="preserve">HFS 1 (1809) 
</t>
        </r>
        <r>
          <rPr>
            <sz val="14"/>
            <color rgb="FF000000"/>
            <rFont val="Calibri"/>
            <family val="34"/>
          </rPr>
          <t xml:space="preserve">HFS 22 (1809)
</t>
        </r>
        <r>
          <rPr>
            <sz val="14"/>
            <color rgb="FF000000"/>
            <rFont val="Calibri"/>
            <family val="34"/>
          </rPr>
          <t xml:space="preserve">HFS 32 (1809)
</t>
        </r>
        <r>
          <rPr>
            <sz val="14"/>
            <color rgb="FF000000"/>
            <rFont val="Calibri"/>
            <family val="34"/>
          </rPr>
          <t>HFS 1 (1809)</t>
        </r>
      </text>
    </comment>
    <comment ref="BF1266" authorId="0" shapeId="0" xr:uid="{FC120D24-C447-4A42-95B9-39931E7F8AA9}">
      <text>
        <r>
          <rPr>
            <sz val="14"/>
            <color rgb="FF000000"/>
            <rFont val="Times New Roman"/>
            <family val="18"/>
          </rPr>
          <t>14/04/1809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10/07/1809 </t>
        </r>
        <r>
          <rPr>
            <i/>
            <sz val="14"/>
            <color rgb="FF000000"/>
            <rFont val="Times New Roman"/>
            <family val="18"/>
          </rPr>
          <t>Von HFS 32 zum HFS 1 transferiert</t>
        </r>
        <r>
          <rPr>
            <sz val="14"/>
            <color rgb="FF000000"/>
            <rFont val="Times New Roman"/>
            <family val="18"/>
          </rPr>
          <t xml:space="preserve"> [TL Aug 1810]</t>
        </r>
      </text>
    </comment>
    <comment ref="BG1266" authorId="0" shapeId="0" xr:uid="{E049DEE0-B3F1-4240-A440-96047A205F0E}">
      <text>
        <r>
          <rPr>
            <sz val="14"/>
            <color rgb="FF000000"/>
            <rFont val="Times New Roman"/>
            <family val="18"/>
          </rPr>
          <t>ST 11.994 HFS (1809-14) – TL HFS 22-&gt;HFS 32 Nr. 30 (Pilsen 10/06/1809); TL HFS 32-&gt;HFS 1 Nr. 2 (Opočno 06/08/1810); VerpfL Juni 1809 (Geyersberg 31/12/1809); VerpfL Juli 1809 (Opočno 31/05/1810)</t>
        </r>
        <r>
          <rPr>
            <sz val="14"/>
            <color rgb="FF000000"/>
            <rFont val="Times New Roman"/>
            <family val="18"/>
          </rPr>
          <t xml:space="preserve">
</t>
        </r>
      </text>
    </comment>
    <comment ref="BH1266" authorId="0" shapeId="0" xr:uid="{29EA8C3A-F0EF-A240-A706-78E09D4AE29E}">
      <text>
        <r>
          <rPr>
            <sz val="14"/>
            <color rgb="FF000000"/>
            <rFont val="Calibri"/>
            <family val="34"/>
          </rPr>
          <t xml:space="preserve">HFS 1 (1809) 
</t>
        </r>
        <r>
          <rPr>
            <sz val="14"/>
            <color rgb="FF000000"/>
            <rFont val="Calibri"/>
            <family val="34"/>
          </rPr>
          <t xml:space="preserve">HFS 22 (1809)
</t>
        </r>
        <r>
          <rPr>
            <sz val="14"/>
            <color rgb="FF000000"/>
            <rFont val="Calibri"/>
            <family val="34"/>
          </rPr>
          <t xml:space="preserve">HFS 32 (1809)
</t>
        </r>
        <r>
          <rPr>
            <sz val="14"/>
            <color rgb="FF000000"/>
            <rFont val="Calibri"/>
            <family val="34"/>
          </rPr>
          <t>HFS 1 (1809)</t>
        </r>
      </text>
    </comment>
    <comment ref="BF1267" authorId="0" shapeId="0" xr:uid="{26D2958A-8706-4F46-B3F3-18C0394B0597}">
      <text>
        <r>
          <rPr>
            <sz val="14"/>
            <color rgb="FF000000"/>
            <rFont val="Times New Roman"/>
            <family val="18"/>
          </rPr>
          <t>15/04/1809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05/04/1810 </t>
        </r>
        <r>
          <rPr>
            <i/>
            <sz val="14"/>
            <color rgb="FF000000"/>
            <rFont val="Times New Roman"/>
            <family val="18"/>
          </rPr>
          <t>Mit Certificat entlassen</t>
        </r>
        <r>
          <rPr>
            <sz val="14"/>
            <color rgb="FF000000"/>
            <rFont val="Times New Roman"/>
            <family val="18"/>
          </rPr>
          <t xml:space="preserve"> [Verpf.-Cons. April 1810]
</t>
        </r>
      </text>
    </comment>
    <comment ref="BG1267" authorId="0" shapeId="0" xr:uid="{0F4B69EA-2728-D74C-8455-73459B6E3AC0}">
      <text>
        <r>
          <rPr>
            <sz val="14"/>
            <color rgb="FF000000"/>
            <rFont val="Times New Roman"/>
            <family val="18"/>
          </rPr>
          <t xml:space="preserve">ST 11.994 HFS (1809-14) – TL HFS 22-&gt;HFS 32 Nr. 31 (Pilsen 10/06/1809); VerpfL Juni 1809 (Geyersberg 31/12/1809); VerpfL April 1810 (Opočno 07/08/1810)
</t>
        </r>
      </text>
    </comment>
    <comment ref="BH1267" authorId="0" shapeId="0" xr:uid="{1F03C388-3F4A-5449-A13D-0B7AED445AEA}">
      <text>
        <r>
          <rPr>
            <sz val="14"/>
            <color rgb="FF000000"/>
            <rFont val="Calibri"/>
            <family val="34"/>
          </rPr>
          <t xml:space="preserve">HFS 1 (1809) 
</t>
        </r>
        <r>
          <rPr>
            <sz val="14"/>
            <color rgb="FF000000"/>
            <rFont val="Calibri"/>
            <family val="34"/>
          </rPr>
          <t xml:space="preserve">HFS 22 (1809)
</t>
        </r>
        <r>
          <rPr>
            <sz val="14"/>
            <color rgb="FF000000"/>
            <rFont val="Calibri"/>
            <family val="34"/>
          </rPr>
          <t>HFS 32 (1809-1810)</t>
        </r>
      </text>
    </comment>
    <comment ref="BF1268" authorId="0" shapeId="0" xr:uid="{0AC73CAF-D69D-E54E-91E4-D61790166F18}">
      <text>
        <r>
          <rPr>
            <sz val="14"/>
            <color rgb="FF000000"/>
            <rFont val="Times New Roman"/>
            <family val="18"/>
          </rPr>
          <t xml:space="preserve">16/04/1809 </t>
        </r>
        <r>
          <rPr>
            <i/>
            <sz val="14"/>
            <color rgb="FF000000"/>
            <rFont val="Times New Roman"/>
            <family val="18"/>
          </rPr>
          <t xml:space="preserve">Gegen 3Fl als Landständische Recrout assentiert </t>
        </r>
        <r>
          <rPr>
            <sz val="14"/>
            <color rgb="FF000000"/>
            <rFont val="Times New Roman"/>
            <family val="18"/>
          </rPr>
          <t>[AL 1809 &amp; ST Apr 1809]</t>
        </r>
      </text>
    </comment>
    <comment ref="BG1268" authorId="0" shapeId="0" xr:uid="{EAC9F240-7189-FD46-A677-BF5AF21C2E25}">
      <text>
        <r>
          <rPr>
            <sz val="14"/>
            <color rgb="FF000000"/>
            <rFont val="Times New Roman"/>
            <family val="18"/>
          </rPr>
          <t xml:space="preserve">ML 293 IR 3 (1809) – ST April (??)
</t>
        </r>
        <r>
          <rPr>
            <sz val="14"/>
            <color rgb="FF000000"/>
            <rFont val="Times New Roman"/>
            <family val="18"/>
          </rPr>
          <t xml:space="preserve">ML 295 IR 3 (1809) – AL Nr. 9 (Pro April 1809)
</t>
        </r>
      </text>
    </comment>
    <comment ref="BH1268" authorId="0" shapeId="0" xr:uid="{0AE6D5A4-CB88-5049-8F06-956FDA43ADFA}">
      <text>
        <r>
          <rPr>
            <sz val="14"/>
            <color rgb="FF000000"/>
            <rFont val="Calibri"/>
            <family val="34"/>
          </rPr>
          <t>IR 3 (1809)</t>
        </r>
      </text>
    </comment>
    <comment ref="BF1269" authorId="0" shapeId="0" xr:uid="{D5F958A4-5128-CC4A-87F6-C0AFA0F71D62}">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 xml:space="preserve">In </t>
        </r>
        <r>
          <rPr>
            <b/>
            <i/>
            <sz val="14"/>
            <color rgb="FF000000"/>
            <rFont val="Times New Roman"/>
            <family val="18"/>
          </rPr>
          <t xml:space="preserve">Rückzug gegen Znaym </t>
        </r>
        <r>
          <rPr>
            <i/>
            <sz val="14"/>
            <color rgb="FF000000"/>
            <rFont val="Times New Roman"/>
            <family val="18"/>
          </rPr>
          <t>unwissend verloren</t>
        </r>
        <r>
          <rPr>
            <sz val="14"/>
            <color rgb="FF000000"/>
            <rFont val="Times New Roman"/>
            <family val="18"/>
          </rPr>
          <t xml:space="preserve"> [ST July 1809]</t>
        </r>
      </text>
    </comment>
    <comment ref="BG1269" authorId="0" shapeId="0" xr:uid="{C5B24478-1D1E-334D-BCFF-97071F98CAAB}">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1269" authorId="0" shapeId="0" xr:uid="{A30224D1-E951-4A47-8BE5-81B3553B1CBB}">
      <text>
        <r>
          <rPr>
            <sz val="14"/>
            <color rgb="FF000000"/>
            <rFont val="Calibri"/>
            <family val="34"/>
          </rPr>
          <t>Mährisch-schlesischen Freiwillige (1809)</t>
        </r>
      </text>
    </comment>
    <comment ref="BF1270" authorId="0" shapeId="0" xr:uid="{871D4D7C-1E1F-3649-865A-DE4B0A6C8CCB}">
      <text>
        <r>
          <rPr>
            <i/>
            <sz val="14"/>
            <color rgb="FF000000"/>
            <rFont val="Times New Roman"/>
            <family val="18"/>
          </rPr>
          <t xml:space="preserve">Früher beim 2. Brünner Landwehr Bataillon gedient </t>
        </r>
        <r>
          <rPr>
            <sz val="14"/>
            <color rgb="FF000000"/>
            <rFont val="Calibri"/>
            <family val="34"/>
          </rPr>
          <t xml:space="preserve">
</t>
        </r>
        <r>
          <rPr>
            <i/>
            <sz val="14"/>
            <color rgb="FF000000"/>
            <rFont val="Times New Roman"/>
            <family val="18"/>
          </rPr>
          <t>Von Dominien gestellt</t>
        </r>
        <r>
          <rPr>
            <sz val="14"/>
            <color rgb="FF000000"/>
            <rFont val="Calibri"/>
            <family val="34"/>
          </rPr>
          <t xml:space="preserve">
</t>
        </r>
        <r>
          <rPr>
            <sz val="14"/>
            <color rgb="FF000000"/>
            <rFont val="Times New Roman"/>
            <family val="18"/>
          </rPr>
          <t xml:space="preserve">16/04/1809 </t>
        </r>
        <r>
          <rPr>
            <i/>
            <sz val="14"/>
            <color rgb="FF000000"/>
            <rFont val="Times New Roman"/>
            <family val="18"/>
          </rPr>
          <t>in Folge hoher General Commando Verordnung det. Brünn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FF0000"/>
            <rFont val="Times New Roman"/>
            <family val="18"/>
          </rPr>
          <t xml:space="preserve">09/07/1809 </t>
        </r>
        <r>
          <rPr>
            <i/>
            <sz val="14"/>
            <color rgb="FFFF0000"/>
            <rFont val="Times New Roman"/>
            <family val="18"/>
          </rPr>
          <t>In Rückzug gegen Znaym unwissend verloren</t>
        </r>
        <r>
          <rPr>
            <sz val="14"/>
            <color rgb="FFFF0000"/>
            <rFont val="Times New Roman"/>
            <family val="18"/>
          </rPr>
          <t xml:space="preserve"> [ST July 1809]</t>
        </r>
        <r>
          <rPr>
            <sz val="14"/>
            <color rgb="FFFF0000"/>
            <rFont val="Calibri"/>
            <family val="34"/>
          </rPr>
          <t xml:space="preserve">
</t>
        </r>
        <r>
          <rPr>
            <sz val="14"/>
            <color rgb="FF000000"/>
            <rFont val="Times New Roman"/>
            <family val="18"/>
          </rPr>
          <t xml:space="preserve">09/07/1809 </t>
        </r>
        <r>
          <rPr>
            <i/>
            <sz val="14"/>
            <color rgb="FF000000"/>
            <rFont val="Times New Roman"/>
            <family val="18"/>
          </rPr>
          <t xml:space="preserve">Bei </t>
        </r>
        <r>
          <rPr>
            <b/>
            <i/>
            <sz val="14"/>
            <color rgb="FF000000"/>
            <rFont val="Times New Roman"/>
            <family val="18"/>
          </rPr>
          <t xml:space="preserve">Znaim </t>
        </r>
        <r>
          <rPr>
            <i/>
            <sz val="14"/>
            <color rgb="FF000000"/>
            <rFont val="Times New Roman"/>
            <family val="18"/>
          </rPr>
          <t>plessiert und gefangen</t>
        </r>
        <r>
          <rPr>
            <sz val="14"/>
            <color rgb="FF000000"/>
            <rFont val="Times New Roman"/>
            <family val="18"/>
          </rPr>
          <t xml:space="preserve"> [PL March 1811]</t>
        </r>
        <r>
          <rPr>
            <sz val="14"/>
            <color rgb="FF000000"/>
            <rFont val="Calibri"/>
            <family val="34"/>
          </rPr>
          <t xml:space="preserve">
</t>
        </r>
        <r>
          <rPr>
            <i/>
            <sz val="14"/>
            <color rgb="FF000000"/>
            <rFont val="Times New Roman"/>
            <family val="18"/>
          </rPr>
          <t>Verbrachte die Gefangenschaft in französisches Spital</t>
        </r>
        <r>
          <rPr>
            <sz val="14"/>
            <color rgb="FF000000"/>
            <rFont val="Times New Roman"/>
            <family val="18"/>
          </rPr>
          <t xml:space="preserve"> [PL March 1811]</t>
        </r>
        <r>
          <rPr>
            <sz val="14"/>
            <color rgb="FF000000"/>
            <rFont val="Calibri"/>
            <family val="34"/>
          </rPr>
          <t xml:space="preserve">
</t>
        </r>
        <r>
          <rPr>
            <sz val="14"/>
            <color rgb="FF000000"/>
            <rFont val="Times New Roman"/>
            <family val="18"/>
          </rPr>
          <t xml:space="preserve">28/02/1810 </t>
        </r>
        <r>
          <rPr>
            <i/>
            <sz val="14"/>
            <color rgb="FF000000"/>
            <rFont val="Times New Roman"/>
            <family val="18"/>
          </rPr>
          <t>Sich selbst ranzioniert, gemeldet und bei der 1. Komp. zurück in Stand gebracht und dann in Folge der Vorgeführten Verordnung P. 406 Mit Abschied entlassen</t>
        </r>
        <r>
          <rPr>
            <sz val="14"/>
            <color rgb="FF000000"/>
            <rFont val="Times New Roman"/>
            <family val="18"/>
          </rPr>
          <t xml:space="preserve"> [PL March 1811 &amp; ST Jan 1810]</t>
        </r>
      </text>
    </comment>
    <comment ref="BG1270" authorId="0" shapeId="0" xr:uid="{7AA1C003-2E1F-0348-ABD2-90334C7E391A}">
      <text>
        <r>
          <rPr>
            <sz val="14"/>
            <color rgb="FF000000"/>
            <rFont val="+mn-lt"/>
            <charset val="1"/>
          </rPr>
          <t>ST 11.823 Mähr-Schls. FW 3. Bat (1809-10) – PL Nr. 30 (Olmütz 31/03/1811), April (Olmütz 01/12/1810), ST July 1809 (05/01/1811), ST Feb 1810 (Olmütz 31/03/1811)</t>
        </r>
      </text>
    </comment>
    <comment ref="BH1270" authorId="0" shapeId="0" xr:uid="{7E05A990-38F6-5F4E-8DB1-B7D1D54A4B21}">
      <text>
        <r>
          <rPr>
            <sz val="14"/>
            <color rgb="FF000000"/>
            <rFont val="Calibri"/>
            <family val="34"/>
          </rPr>
          <t>Mährisch-schlesischen Freiwillige (1809-10)</t>
        </r>
      </text>
    </comment>
    <comment ref="BF1271" authorId="0" shapeId="0" xr:uid="{6A5C848D-D2F7-A640-B8FB-4C1A5DFD1CBC}">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
</t>
        </r>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15/08/1809 </t>
        </r>
        <r>
          <rPr>
            <i/>
            <sz val="14"/>
            <color rgb="FF000000"/>
            <rFont val="Times New Roman"/>
            <family val="18"/>
          </rPr>
          <t>Sonst auswärts Krank</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148 [</t>
        </r>
        <r>
          <rPr>
            <i/>
            <sz val="14"/>
            <color rgb="FF000000"/>
            <rFont val="Times New Roman"/>
            <family val="18"/>
          </rPr>
          <t>Auf unbestimmte Urlaub</t>
        </r>
        <r>
          <rPr>
            <sz val="14"/>
            <color rgb="FF000000"/>
            <rFont val="Times New Roman"/>
            <family val="18"/>
          </rPr>
          <t>]</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1271" authorId="0" shapeId="0" xr:uid="{CD39C411-B7E1-EF41-83A3-DBF3EA4CC19A}">
      <text>
        <r>
          <rPr>
            <sz val="14"/>
            <color rgb="FF000000"/>
            <rFont val="Times New Roman"/>
            <family val="18"/>
          </rPr>
          <t>ST 11.821 Mähr-Schls. FW 1-3. Bats (1809-10) – RL 3. Bat 1. Komp. Nr. 148 (Poppowitz 31/01/1810)</t>
        </r>
        <r>
          <rPr>
            <sz val="14"/>
            <color rgb="FF000000"/>
            <rFont val="Calibri"/>
            <family val="34"/>
          </rPr>
          <t xml:space="preserve">
</t>
        </r>
        <r>
          <rPr>
            <sz val="14"/>
            <color rgb="FF000000"/>
            <rFont val="Times New Roman"/>
            <family val="18"/>
          </rPr>
          <t>ST 11.823 Mähr-Schls. FW 3. Bat (1809-10) – PL Nr. 30 (Olmütz 31/03/1811), April (Olmütz 01/12/1810), May (01/12/1810), Aug (Olmütz 11/03/1810), ST Feb 1810 (Olmütz 31/03/1811)</t>
        </r>
      </text>
    </comment>
    <comment ref="BH1271" authorId="0" shapeId="0" xr:uid="{8871E11D-80B0-A449-8B17-F3179F22972E}">
      <text>
        <r>
          <rPr>
            <sz val="14"/>
            <color rgb="FF000000"/>
            <rFont val="Calibri"/>
            <family val="34"/>
          </rPr>
          <t>Mährisch-schlesischen Freiwillige (1809-10)</t>
        </r>
      </text>
    </comment>
    <comment ref="BF1272" authorId="0" shapeId="0" xr:uid="{7E2CCB02-47C0-4844-8921-850AB5909AAC}">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11/07/1809 </t>
        </r>
        <r>
          <rPr>
            <i/>
            <sz val="14"/>
            <color rgb="FF000000"/>
            <rFont val="Times New Roman"/>
            <family val="18"/>
          </rPr>
          <t>Mit auswärtiger Gebühr Krank in Spital in Oberitz</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149 [Auf unbestimmte Urlaub]</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1272" authorId="0" shapeId="0" xr:uid="{927B535F-FA6B-4740-873C-B983617442C5}">
      <text>
        <r>
          <rPr>
            <sz val="14"/>
            <color rgb="FF000000"/>
            <rFont val="Times New Roman"/>
            <family val="18"/>
          </rPr>
          <t>ST 11.821 Mähr-Schls. FW 1-3. Bats (1809-10) – RL 3. Bat 1. Komp. Nr. 149 (Poppowitz 31/01/1810)</t>
        </r>
        <r>
          <rPr>
            <sz val="14"/>
            <color rgb="FF000000"/>
            <rFont val="Calibri"/>
            <family val="34"/>
          </rPr>
          <t xml:space="preserve">
</t>
        </r>
        <r>
          <rPr>
            <sz val="14"/>
            <color rgb="FF000000"/>
            <rFont val="Times New Roman"/>
            <family val="18"/>
          </rPr>
          <t>ST 11.823 Mähr-Schls. FW 3. Bat (1809-10) – PL Nr. 30 (Olmütz 31/03/1811), April (Olmütz 01/12/1810), May (Olmütz 01/12/1810), July (Olmütz 05/01/1811), ST Feb 1810 (Olmütz 31/03/1811)</t>
        </r>
      </text>
    </comment>
    <comment ref="BH1272" authorId="0" shapeId="0" xr:uid="{AA08BA46-4F52-1843-8A9E-9D1D9F161A8C}">
      <text>
        <r>
          <rPr>
            <sz val="14"/>
            <color rgb="FF000000"/>
            <rFont val="Calibri"/>
            <family val="34"/>
          </rPr>
          <t>Mährisch-schlesischen Freiwillige (1809-10)</t>
        </r>
      </text>
    </comment>
    <comment ref="BF1273" authorId="0" shapeId="0" xr:uid="{857D8B95-C13C-E148-8EB3-15C21C78B19F}">
      <text>
        <r>
          <rPr>
            <sz val="14"/>
            <color rgb="FF000000"/>
            <rFont val="Times New Roman"/>
            <family val="18"/>
          </rPr>
          <t xml:space="preserve">17/04/1809 </t>
        </r>
        <r>
          <rPr>
            <i/>
            <sz val="14"/>
            <color rgb="FF000000"/>
            <rFont val="Times New Roman"/>
            <family val="18"/>
          </rPr>
          <t>Gegen 3Fl Handgeld für EH Carl Legion 6. Bataillon als Inländer Rekrut freiwillig assentiert und zum 4. Kompanie eingeteilt</t>
        </r>
        <r>
          <rPr>
            <sz val="14"/>
            <color rgb="FF000000"/>
            <rFont val="Times New Roman"/>
            <family val="18"/>
          </rPr>
          <t xml:space="preserve"> [AL April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Von 4. Zum 5. Kompanie transferiert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19/12/1809 </t>
        </r>
        <r>
          <rPr>
            <i/>
            <sz val="14"/>
            <color rgb="FF000000"/>
            <rFont val="Times New Roman"/>
            <family val="18"/>
          </rPr>
          <t xml:space="preserve">Auf dem Marsch von Hustanowitz nach Kremsier unwissend verloren </t>
        </r>
        <r>
          <rPr>
            <sz val="14"/>
            <color rgb="FF000000"/>
            <rFont val="Times New Roman"/>
            <family val="18"/>
          </rPr>
          <t>[ST Dec 1809]</t>
        </r>
      </text>
    </comment>
    <comment ref="BG1273" authorId="0" shapeId="0" xr:uid="{743F2778-049B-DD46-A83D-AA709592C4FB}">
      <text>
        <r>
          <rPr>
            <sz val="14"/>
            <color rgb="FF000000"/>
            <rFont val="Times New Roman"/>
            <family val="18"/>
          </rPr>
          <t>ML 10.819 Legion EH Carl 6. Bat – AL Nr. 6 (Kuttenberg 18/04/1809), ST April (Prague 11/05/1810), ST June (Prague 31/05/1810), ST Dec (31/08/1810)</t>
        </r>
        <r>
          <rPr>
            <sz val="14"/>
            <color rgb="FF000000"/>
            <rFont val="Calibri"/>
            <family val="34"/>
          </rPr>
          <t xml:space="preserve">
</t>
        </r>
      </text>
    </comment>
    <comment ref="BH1273" authorId="0" shapeId="0" xr:uid="{FAF9B1B9-55AE-BE46-9FAA-C72559B762CC}">
      <text>
        <r>
          <rPr>
            <sz val="14"/>
            <color rgb="FF000000"/>
            <rFont val="Calibri"/>
            <family val="34"/>
          </rPr>
          <t>Legion EH Carl (1809)</t>
        </r>
      </text>
    </comment>
    <comment ref="T1274" authorId="0" shapeId="0" xr:uid="{C60F0984-E6D0-E44D-AA8E-84C7BCFC928F}">
      <text>
        <r>
          <rPr>
            <sz val="14"/>
            <color rgb="FF000000"/>
            <rFont val="Calibri"/>
            <family val="34"/>
          </rPr>
          <t xml:space="preserve">5.2.1 [163.48 (1809)]
</t>
        </r>
        <r>
          <rPr>
            <sz val="14"/>
            <color rgb="FF000000"/>
            <rFont val="Calibri"/>
            <family val="34"/>
          </rPr>
          <t>5.4 [165.52 (1810)]</t>
        </r>
      </text>
    </comment>
    <comment ref="BF1274" authorId="0" shapeId="0" xr:uid="{49A484F2-D728-6D43-9273-7A76C556FA7F}">
      <text>
        <r>
          <rPr>
            <sz val="14"/>
            <color rgb="FF000000"/>
            <rFont val="Times New Roman"/>
            <family val="18"/>
          </rPr>
          <t xml:space="preserve">21/04/1809 </t>
        </r>
        <r>
          <rPr>
            <i/>
            <sz val="14"/>
            <color rgb="FF000000"/>
            <rFont val="Times New Roman"/>
            <family val="18"/>
          </rPr>
          <t>A 3 Fl Handgeld als landständischer Recrout in III Reserve Battalion asssentiert</t>
        </r>
        <r>
          <rPr>
            <sz val="14"/>
            <color rgb="FF000000"/>
            <rFont val="Times New Roman"/>
            <family val="18"/>
          </rPr>
          <t xml:space="preserve"> [AL April 1809]</t>
        </r>
        <r>
          <rPr>
            <sz val="14"/>
            <color rgb="FF000000"/>
            <rFont val="Calibri"/>
            <family val="34"/>
          </rPr>
          <t xml:space="preserve">
</t>
        </r>
        <r>
          <rPr>
            <sz val="14"/>
            <color rgb="FF000000"/>
            <rFont val="Times New Roman"/>
            <family val="18"/>
          </rPr>
          <t xml:space="preserve">06/07/1809 </t>
        </r>
        <r>
          <rPr>
            <i/>
            <sz val="14"/>
            <color rgb="FF000000"/>
            <rFont val="Times New Roman"/>
            <family val="18"/>
          </rPr>
          <t>In der Schlacht von Deutsch Wagram in rechten Oberarm verletzt</t>
        </r>
        <r>
          <rPr>
            <sz val="14"/>
            <color rgb="FF000000"/>
            <rFont val="Times New Roman"/>
            <family val="18"/>
          </rPr>
          <t xml:space="preserve"> [SUP 1811]</t>
        </r>
        <r>
          <rPr>
            <sz val="14"/>
            <color rgb="FF000000"/>
            <rFont val="Calibri"/>
            <family val="34"/>
          </rPr>
          <t xml:space="preserve">
</t>
        </r>
        <r>
          <rPr>
            <sz val="14"/>
            <color rgb="FF000000"/>
            <rFont val="Times New Roman"/>
            <family val="18"/>
          </rPr>
          <t>24/09/1810 Revision: IR 42 8. Fus. Komp. Nr. 241 [</t>
        </r>
        <r>
          <rPr>
            <i/>
            <sz val="14"/>
            <color rgb="FF000000"/>
            <rFont val="Times New Roman"/>
            <family val="18"/>
          </rPr>
          <t>Beurlaubt bis zur Exercierzeit</t>
        </r>
        <r>
          <rPr>
            <sz val="14"/>
            <color rgb="FF000000"/>
            <rFont val="Times New Roman"/>
            <family val="18"/>
          </rPr>
          <t>]</t>
        </r>
        <r>
          <rPr>
            <sz val="14"/>
            <color rgb="FF000000"/>
            <rFont val="Calibri"/>
            <family val="34"/>
          </rPr>
          <t xml:space="preserve">
</t>
        </r>
        <r>
          <rPr>
            <sz val="14"/>
            <color rgb="FF000000"/>
            <rFont val="Times New Roman"/>
            <family val="18"/>
          </rPr>
          <t xml:space="preserve">30/09/1810 Superarbietrierung in Prag: </t>
        </r>
        <r>
          <rPr>
            <i/>
            <sz val="14"/>
            <color rgb="FF000000"/>
            <rFont val="Times New Roman"/>
            <family val="18"/>
          </rPr>
          <t>Mit Reservations Urkunde zu entlassen</t>
        </r>
        <r>
          <rPr>
            <sz val="14"/>
            <color rgb="FF000000"/>
            <rFont val="Calibri"/>
            <family val="34"/>
          </rPr>
          <t xml:space="preserve">
</t>
        </r>
        <r>
          <rPr>
            <sz val="14"/>
            <color rgb="FF000000"/>
            <rFont val="Times New Roman"/>
            <family val="18"/>
          </rPr>
          <t xml:space="preserve">05/10/1810 </t>
        </r>
        <r>
          <rPr>
            <i/>
            <sz val="14"/>
            <color rgb="FF000000"/>
            <rFont val="Times New Roman"/>
            <family val="18"/>
          </rPr>
          <t>Als Reale Invalid zum Prager Invaliden Haus transferiert</t>
        </r>
        <r>
          <rPr>
            <sz val="14"/>
            <color rgb="FF000000"/>
            <rFont val="Times New Roman"/>
            <family val="18"/>
          </rPr>
          <t xml:space="preserve"> [ML 1811]</t>
        </r>
      </text>
    </comment>
    <comment ref="BG1274" authorId="0" shapeId="0" xr:uid="{9CB55619-89C8-614B-B9B9-9CEF8595D0CD}">
      <text>
        <r>
          <rPr>
            <sz val="14"/>
            <color rgb="FF000000"/>
            <rFont val="Times New Roman"/>
            <family val="18"/>
          </rPr>
          <t>ML 3774 IR 42 (1810) – 8. Fus. Komp. Nr. 241 (Theresienstadt 24/09/1810)</t>
        </r>
        <r>
          <rPr>
            <sz val="14"/>
            <color rgb="FF000000"/>
            <rFont val="Calibri"/>
            <family val="34"/>
          </rPr>
          <t xml:space="preserve">
</t>
        </r>
        <r>
          <rPr>
            <sz val="14"/>
            <color rgb="FF000000"/>
            <rFont val="Times New Roman"/>
            <family val="18"/>
          </rPr>
          <t>ML 3775 IR 42 (1811) – 8. Fus. Komp. Abgang (Theresienstadt 10/09/1811)</t>
        </r>
        <r>
          <rPr>
            <sz val="14"/>
            <color rgb="FF000000"/>
            <rFont val="Calibri"/>
            <family val="34"/>
          </rPr>
          <t xml:space="preserve">
</t>
        </r>
        <r>
          <rPr>
            <sz val="14"/>
            <color rgb="FF000000"/>
            <rFont val="Times New Roman"/>
            <family val="18"/>
          </rPr>
          <t>ML 3835 IR 42 (1809) – AL IR 42 3. Reserve Bataillon Nr. 121 (Elbogen 28/04/1809)</t>
        </r>
        <r>
          <rPr>
            <sz val="14"/>
            <color rgb="FF000000"/>
            <rFont val="Calibri"/>
            <family val="34"/>
          </rPr>
          <t xml:space="preserve">
</t>
        </r>
        <r>
          <rPr>
            <sz val="14"/>
            <color rgb="FF000000"/>
            <rFont val="Times New Roman"/>
            <family val="18"/>
          </rPr>
          <t>ML 3838 IR 42 (1810) – SUP Nr. 1 (Prague 30/09/1810); TL IR 42-&gt; InvH Prag Nr. 1 (Eger 16/10/1810)</t>
        </r>
        <r>
          <rPr>
            <sz val="14"/>
            <color rgb="FF000000"/>
            <rFont val="Calibri"/>
            <family val="34"/>
          </rPr>
          <t xml:space="preserve">
</t>
        </r>
      </text>
    </comment>
    <comment ref="BH1274" authorId="0" shapeId="0" xr:uid="{A2AD3C91-8939-8643-A46F-91A59CD17249}">
      <text>
        <r>
          <rPr>
            <sz val="14"/>
            <color rgb="FF000000"/>
            <rFont val="Calibri"/>
            <family val="34"/>
          </rPr>
          <t xml:space="preserve">IR 42 (1809-1810)
</t>
        </r>
        <r>
          <rPr>
            <sz val="14"/>
            <color rgb="FF000000"/>
            <rFont val="Calibri"/>
            <family val="34"/>
          </rPr>
          <t xml:space="preserve">InvH Prag (1810)
</t>
        </r>
      </text>
    </comment>
    <comment ref="BI1274" authorId="0" shapeId="0" xr:uid="{B9213959-9BCE-2847-A508-FC9217871CF4}">
      <text>
        <r>
          <rPr>
            <sz val="14"/>
            <color rgb="FF000000"/>
            <rFont val="Calibri"/>
            <family val="34"/>
          </rPr>
          <t>Gut [SUP 1810]</t>
        </r>
      </text>
    </comment>
    <comment ref="BJ1274" authorId="0" shapeId="0" xr:uid="{18670B3A-7CC1-B54F-9B81-8BC1DF6361CA}">
      <text>
        <r>
          <rPr>
            <i/>
            <sz val="14"/>
            <color rgb="FF000000"/>
            <rFont val="Times New Roman"/>
            <family val="18"/>
          </rPr>
          <t>Plesirt am Rechten ober Arm, dahero Schwach und schwäche desselben‘ &amp; ‚bey Deutsch Wagram den 6. Juli 1809 eine Schuss erhalten, und sind zu dessen Herstellung Mitteln angewendet worden</t>
        </r>
        <r>
          <rPr>
            <sz val="14"/>
            <color rgb="FF000000"/>
            <rFont val="Times New Roman"/>
            <family val="18"/>
          </rPr>
          <t xml:space="preserve"> [SUP Sept 1810]</t>
        </r>
      </text>
    </comment>
    <comment ref="BF1275" authorId="0" shapeId="0" xr:uid="{420CF987-D8E2-D849-9E01-AA0438C27467}">
      <text>
        <r>
          <rPr>
            <sz val="14"/>
            <color rgb="FF000000"/>
            <rFont val="Times New Roman"/>
            <family val="18"/>
          </rPr>
          <t>22/04/1809</t>
        </r>
        <r>
          <rPr>
            <i/>
            <sz val="14"/>
            <color rgb="FF000000"/>
            <rFont val="Times New Roman"/>
            <family val="18"/>
          </rPr>
          <t xml:space="preserve"> 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assentiert und zum 4. Komp. eingeheilt </t>
        </r>
        <r>
          <rPr>
            <sz val="14"/>
            <color rgb="FF000000"/>
            <rFont val="Times New Roman"/>
            <family val="18"/>
          </rPr>
          <t>[AL April 1809]</t>
        </r>
        <r>
          <rPr>
            <sz val="14"/>
            <color rgb="FF000000"/>
            <rFont val="Calibri"/>
            <family val="34"/>
          </rPr>
          <t xml:space="preserve">
</t>
        </r>
        <r>
          <rPr>
            <sz val="14"/>
            <color rgb="FF000000"/>
            <rFont val="Times New Roman"/>
            <family val="18"/>
          </rPr>
          <t xml:space="preserve">06/12/1809 </t>
        </r>
        <r>
          <rPr>
            <i/>
            <sz val="14"/>
            <color rgb="FF000000"/>
            <rFont val="Times New Roman"/>
            <family val="18"/>
          </rPr>
          <t>Krank auswärts</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24/01/1810 </t>
        </r>
        <r>
          <rPr>
            <i/>
            <sz val="14"/>
            <color rgb="FF000000"/>
            <rFont val="Times New Roman"/>
            <family val="18"/>
          </rPr>
          <t>Mit Viaticum von 2Fl 30Xr mit Abschied entlassen</t>
        </r>
        <r>
          <rPr>
            <sz val="14"/>
            <color rgb="FF000000"/>
            <rFont val="Times New Roman"/>
            <family val="18"/>
          </rPr>
          <t xml:space="preserve"> [ST Jan 1810]</t>
        </r>
      </text>
    </comment>
    <comment ref="BG1275" authorId="0" shapeId="0" xr:uid="{4F363B17-D0D7-114D-A807-D1065F0B8182}">
      <text>
        <r>
          <rPr>
            <sz val="14"/>
            <color rgb="FF000000"/>
            <rFont val="Times New Roman"/>
            <family val="18"/>
          </rPr>
          <t>ML 10.831 WGal FB 2 (1809-10) – AL Nr. 83 (Krakow 40/04/1809), ST April (Politzka 13/07/1810), ST Dec (Tichmenitz 12/02/1811), ST 1810 Jan (Tichnowitz 03/03/1811)</t>
        </r>
        <r>
          <rPr>
            <sz val="14"/>
            <color rgb="FF000000"/>
            <rFont val="Calibri"/>
            <family val="34"/>
          </rPr>
          <t xml:space="preserve">
</t>
        </r>
      </text>
    </comment>
    <comment ref="BH1275" authorId="0" shapeId="0" xr:uid="{104D3433-E4B4-694D-A8E1-3F19EDA736C0}">
      <text>
        <r>
          <rPr>
            <sz val="14"/>
            <color rgb="FF000000"/>
            <rFont val="Calibri"/>
            <family val="34"/>
          </rPr>
          <t>WGal FB 2 (1809-10)</t>
        </r>
      </text>
    </comment>
    <comment ref="BF1276" authorId="0" shapeId="0" xr:uid="{FA27501A-9A25-4345-84AC-BFA3A08F3D06}">
      <text>
        <r>
          <rPr>
            <sz val="14"/>
            <color rgb="FF000000"/>
            <rFont val="Times New Roman"/>
            <family val="18"/>
          </rPr>
          <t xml:space="preserve">24/04/1809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5. Fus. Komp. Nr. 106 [</t>
        </r>
        <r>
          <rPr>
            <i/>
            <sz val="14"/>
            <color rgb="FF000000"/>
            <rFont val="Times New Roman"/>
            <family val="18"/>
          </rPr>
          <t>Beurlaubt bis Einberufung</t>
        </r>
        <r>
          <rPr>
            <sz val="14"/>
            <color rgb="FF000000"/>
            <rFont val="Times New Roman"/>
            <family val="18"/>
          </rPr>
          <t>]</t>
        </r>
      </text>
    </comment>
    <comment ref="BG1276" authorId="0" shapeId="0" xr:uid="{3382969C-E939-DD41-9A6B-6EC17AFA6C60}">
      <text>
        <r>
          <rPr>
            <sz val="14"/>
            <color rgb="FF000000"/>
            <rFont val="Times New Roman"/>
            <family val="18"/>
          </rPr>
          <t>IR 544 IR 8 (1811) – 5. Fus. Komp. Nr. 106 (Iglau 12/09/1811)</t>
        </r>
        <r>
          <rPr>
            <sz val="14"/>
            <color rgb="FF000000"/>
            <rFont val="Calibri"/>
            <family val="34"/>
          </rPr>
          <t xml:space="preserve">
</t>
        </r>
      </text>
    </comment>
    <comment ref="BH1276" authorId="0" shapeId="0" xr:uid="{6E4DCF04-7823-A04D-8F0B-A9E62108ABB1}">
      <text>
        <r>
          <rPr>
            <sz val="14"/>
            <color rgb="FF000000"/>
            <rFont val="Calibri"/>
            <family val="34"/>
          </rPr>
          <t>IR 8 (1809-1811)</t>
        </r>
      </text>
    </comment>
    <comment ref="BF1277" authorId="0" shapeId="0" xr:uid="{116901C0-14FC-C943-8F3C-B7BC5957EA23}">
      <text>
        <r>
          <rPr>
            <sz val="14"/>
            <color rgb="FF000000"/>
            <rFont val="Times New Roman"/>
            <family val="18"/>
          </rPr>
          <t xml:space="preserve">24/04/1809 </t>
        </r>
        <r>
          <rPr>
            <i/>
            <sz val="14"/>
            <color rgb="FF000000"/>
            <rFont val="Times New Roman"/>
            <family val="18"/>
          </rPr>
          <t>Zum IR 1 1. Reserve Bataillon zu Olmütz gestellt gestellt und zum 1. Depot Komp. assentiert, seitdem auf Anhero Marsch</t>
        </r>
        <r>
          <rPr>
            <sz val="14"/>
            <color rgb="FF000000"/>
            <rFont val="Times New Roman"/>
            <family val="18"/>
          </rPr>
          <t xml:space="preserve"> [AL May 1809 &amp; ST May 1809]</t>
        </r>
        <r>
          <rPr>
            <sz val="14"/>
            <color rgb="FF000000"/>
            <rFont val="Calibri"/>
            <family val="34"/>
          </rPr>
          <t xml:space="preserve">
</t>
        </r>
        <r>
          <rPr>
            <sz val="14"/>
            <color rgb="FF000000"/>
            <rFont val="Times New Roman"/>
            <family val="18"/>
          </rPr>
          <t xml:space="preserve">27/04/1809 </t>
        </r>
        <r>
          <rPr>
            <i/>
            <sz val="14"/>
            <color rgb="FF000000"/>
            <rFont val="Times New Roman"/>
            <family val="18"/>
          </rPr>
          <t>Von Marsch nach Regiment desertiert</t>
        </r>
        <r>
          <rPr>
            <sz val="14"/>
            <color rgb="FF000000"/>
            <rFont val="Times New Roman"/>
            <family val="18"/>
          </rPr>
          <t xml:space="preserve"> [ST May 1809] </t>
        </r>
      </text>
    </comment>
    <comment ref="BG1277" authorId="0" shapeId="0" xr:uid="{66F2DCC4-6263-414F-935B-D3A1687BF685}">
      <text>
        <r>
          <rPr>
            <sz val="14"/>
            <color rgb="FF000000"/>
            <rFont val="Times New Roman"/>
            <family val="18"/>
          </rPr>
          <t>ML 91 IR 1 (1809) – ST May (Proßnitz 09/1810)</t>
        </r>
        <r>
          <rPr>
            <sz val="14"/>
            <color rgb="FF000000"/>
            <rFont val="Calibri"/>
            <family val="34"/>
          </rPr>
          <t xml:space="preserve">
</t>
        </r>
        <r>
          <rPr>
            <sz val="14"/>
            <color rgb="FF000000"/>
            <rFont val="Times New Roman"/>
            <family val="18"/>
          </rPr>
          <t>ML 92 IR 1 (1809) AL/TL – AL Reserve Nr. 73 (Olmütz 01/05/1809)</t>
        </r>
      </text>
    </comment>
    <comment ref="BH1277" authorId="0" shapeId="0" xr:uid="{62C70E8B-E9C3-404A-844A-B796227A4BB1}">
      <text>
        <r>
          <rPr>
            <sz val="14"/>
            <color rgb="FF000000"/>
            <rFont val="Calibri"/>
            <family val="34"/>
          </rPr>
          <t>IR 1 (1809)</t>
        </r>
      </text>
    </comment>
    <comment ref="I1278" authorId="0" shapeId="0" xr:uid="{D62A4073-9CC2-B24A-9677-1FD43151F20D}">
      <text>
        <r>
          <rPr>
            <sz val="14"/>
            <color rgb="FF000000"/>
            <rFont val="Calibri"/>
            <family val="34"/>
          </rPr>
          <t xml:space="preserve">1775 [38 (SUP 1813)]
</t>
        </r>
        <r>
          <rPr>
            <sz val="14"/>
            <color rgb="FF000000"/>
            <rFont val="Calibri"/>
            <family val="34"/>
          </rPr>
          <t xml:space="preserve">OR 
</t>
        </r>
        <r>
          <rPr>
            <b/>
            <sz val="14"/>
            <color rgb="FF000000"/>
            <rFont val="Calibri"/>
            <family val="34"/>
          </rPr>
          <t>1787 [24 (ML 1811)]</t>
        </r>
      </text>
    </comment>
    <comment ref="BF1278" authorId="0" shapeId="0" xr:uid="{F8FE5AD0-99E3-C646-A4A5-D77E8D243A3C}">
      <text>
        <r>
          <rPr>
            <sz val="14"/>
            <color rgb="FF000000"/>
            <rFont val="Times New Roman"/>
            <family val="18"/>
          </rPr>
          <t xml:space="preserve">24/04/1809 </t>
        </r>
        <r>
          <rPr>
            <i/>
            <sz val="14"/>
            <color rgb="FF000000"/>
            <rFont val="Times New Roman"/>
            <family val="18"/>
          </rPr>
          <t>Als Werbbezirk Rekrut a 3Fl Handgeld zum IR 1 zu Olmütz gestellt und zum 1. Depot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26/07/1809 </t>
        </r>
        <r>
          <rPr>
            <i/>
            <sz val="14"/>
            <color rgb="FF000000"/>
            <rFont val="Times New Roman"/>
            <family val="18"/>
          </rPr>
          <t>Von 1. Depot zum 6. Fus. Komp. transferiert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01/07/1810 </t>
        </r>
        <r>
          <rPr>
            <i/>
            <sz val="14"/>
            <color rgb="FF000000"/>
            <rFont val="Times New Roman"/>
            <family val="18"/>
          </rPr>
          <t>Beurlaubt</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13/09/1811 Muster: IR 1 6. Fus. Komp. Nr. 129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29/12/1811 </t>
        </r>
        <r>
          <rPr>
            <i/>
            <sz val="14"/>
            <color rgb="FF000000"/>
            <rFont val="Times New Roman"/>
            <family val="18"/>
          </rPr>
          <t>Von Urlaub eingerückt und sofort in Arrest wegen Diebstahl</t>
        </r>
        <r>
          <rPr>
            <sz val="14"/>
            <color rgb="FF000000"/>
            <rFont val="Times New Roman"/>
            <family val="18"/>
          </rPr>
          <t xml:space="preserve"> [ST Dec 1811]</t>
        </r>
        <r>
          <rPr>
            <sz val="14"/>
            <color rgb="FF000000"/>
            <rFont val="Calibri"/>
            <family val="34"/>
          </rPr>
          <t xml:space="preserve">
</t>
        </r>
        <r>
          <rPr>
            <sz val="14"/>
            <color rgb="FF000000"/>
            <rFont val="Times New Roman"/>
            <family val="18"/>
          </rPr>
          <t xml:space="preserve">06/01/1812 </t>
        </r>
        <r>
          <rPr>
            <i/>
            <sz val="14"/>
            <color rgb="FF000000"/>
            <rFont val="Times New Roman"/>
            <family val="18"/>
          </rPr>
          <t>Von Arrest Befreit</t>
        </r>
        <r>
          <rPr>
            <sz val="14"/>
            <color rgb="FF000000"/>
            <rFont val="Times New Roman"/>
            <family val="18"/>
          </rPr>
          <t xml:space="preserve"> [ST Jan 1812]</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6. Zum 14.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14. Zum 1. Depot Komp.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29/05/1813 </t>
        </r>
        <r>
          <rPr>
            <i/>
            <sz val="14"/>
            <color rgb="FF000000"/>
            <rFont val="Times New Roman"/>
            <family val="18"/>
          </rPr>
          <t>Wegen Struppierte Füssen und Brust Defekt in Olmütz superarbietriert</t>
        </r>
        <r>
          <rPr>
            <sz val="14"/>
            <color rgb="FF000000"/>
            <rFont val="Times New Roman"/>
            <family val="18"/>
          </rPr>
          <t xml:space="preserve">: </t>
        </r>
        <r>
          <rPr>
            <i/>
            <sz val="14"/>
            <color rgb="FF000000"/>
            <rFont val="Times New Roman"/>
            <family val="18"/>
          </rPr>
          <t>Reale Invalid Gegen Renuncierung zu entlassen, Seiner triftigen Unterhalts Zeugnis liegt dabay</t>
        </r>
        <r>
          <rPr>
            <sz val="14"/>
            <color rgb="FF000000"/>
            <rFont val="Times New Roman"/>
            <family val="18"/>
          </rPr>
          <t xml:space="preserve"> [SUP May 1813 &amp; ST June 1813]</t>
        </r>
        <r>
          <rPr>
            <sz val="14"/>
            <color rgb="FF000000"/>
            <rFont val="Calibri"/>
            <family val="34"/>
          </rPr>
          <t xml:space="preserve">
</t>
        </r>
        <r>
          <rPr>
            <sz val="14"/>
            <color rgb="FF000000"/>
            <rFont val="Times New Roman"/>
            <family val="18"/>
          </rPr>
          <t xml:space="preserve">20/06/1813 </t>
        </r>
        <r>
          <rPr>
            <i/>
            <sz val="14"/>
            <color rgb="FF000000"/>
            <rFont val="Times New Roman"/>
            <family val="18"/>
          </rPr>
          <t>Zu Folge hoher General Commando Verordnung ddet. Brünn am 5. Juni 813 Litt R. nro. 4184 und der mit selbe in Olmütz gehaltene Superarbitrierung Als Reale Invalid mit Abschied entlassen</t>
        </r>
        <r>
          <rPr>
            <sz val="14"/>
            <color rgb="FF000000"/>
            <rFont val="Times New Roman"/>
            <family val="18"/>
          </rPr>
          <t xml:space="preserve"> [ST June 1813] </t>
        </r>
      </text>
    </comment>
    <comment ref="BG1278" authorId="0" shapeId="0" xr:uid="{D7DFACF9-FA7E-7248-8529-5CF9D390B1F2}">
      <text>
        <r>
          <rPr>
            <sz val="14"/>
            <color rgb="FF000000"/>
            <rFont val="Times New Roman"/>
            <family val="18"/>
          </rPr>
          <t>ML 33 IR 1 (1811) – 6. Fus. Komp. Nr. 173 (Olmütz 13/09/1811)</t>
        </r>
        <r>
          <rPr>
            <sz val="14"/>
            <color rgb="FF000000"/>
            <rFont val="Calibri"/>
            <family val="34"/>
          </rPr>
          <t xml:space="preserve">
</t>
        </r>
        <r>
          <rPr>
            <sz val="14"/>
            <color rgb="FF000000"/>
            <rFont val="Times New Roman"/>
            <family val="18"/>
          </rPr>
          <t>ML 91 IR 1 (1809) – ST May (Proßnitz 09/1810), July (Proßnitz 21/10/1810)</t>
        </r>
        <r>
          <rPr>
            <sz val="14"/>
            <color rgb="FF000000"/>
            <rFont val="Calibri"/>
            <family val="34"/>
          </rPr>
          <t xml:space="preserve">
</t>
        </r>
        <r>
          <rPr>
            <sz val="14"/>
            <color rgb="FF000000"/>
            <rFont val="Times New Roman"/>
            <family val="18"/>
          </rPr>
          <t>ML 94 IR 1 (1810) – ST July (Brünn 01/04/1811), Dec (Proßnitz 01/02/1812)</t>
        </r>
        <r>
          <rPr>
            <sz val="14"/>
            <color rgb="FF000000"/>
            <rFont val="Calibri"/>
            <family val="34"/>
          </rPr>
          <t xml:space="preserve">
</t>
        </r>
        <r>
          <rPr>
            <sz val="14"/>
            <color rgb="FF000000"/>
            <rFont val="Times New Roman"/>
            <family val="18"/>
          </rPr>
          <t>ML 97 IR 1 (1812) – ST Jan (Proßnitz 01/03/1812), May (Proßnitz 24/08/1812), Nov (Proßnitz 30/03/1813)</t>
        </r>
        <r>
          <rPr>
            <sz val="14"/>
            <color rgb="FF000000"/>
            <rFont val="Calibri"/>
            <family val="34"/>
          </rPr>
          <t xml:space="preserve">
</t>
        </r>
        <r>
          <rPr>
            <sz val="14"/>
            <color rgb="FF000000"/>
            <rFont val="Times New Roman"/>
            <family val="18"/>
          </rPr>
          <t>ML 99 IR 1 (1812) – ST June (Proßnitz 05/10/1813)</t>
        </r>
        <r>
          <rPr>
            <sz val="14"/>
            <color rgb="FF000000"/>
            <rFont val="Calibri"/>
            <family val="34"/>
          </rPr>
          <t xml:space="preserve">
</t>
        </r>
        <r>
          <rPr>
            <sz val="14"/>
            <color rgb="FF000000"/>
            <rFont val="Times New Roman"/>
            <family val="18"/>
          </rPr>
          <t>ML 100 IR 1 (1813) AL/TL – SUP Nr. 8 (Proßnitz 21/05/1813)</t>
        </r>
        <r>
          <rPr>
            <sz val="14"/>
            <color rgb="FF000000"/>
            <rFont val="Calibri"/>
            <family val="34"/>
          </rPr>
          <t xml:space="preserve">
</t>
        </r>
      </text>
    </comment>
    <comment ref="BH1278" authorId="0" shapeId="0" xr:uid="{EB17C5AE-E183-F54F-B666-E7AB6EA614A4}">
      <text>
        <r>
          <rPr>
            <sz val="14"/>
            <color rgb="FF000000"/>
            <rFont val="Calibri"/>
            <family val="34"/>
          </rPr>
          <t>IR 1 (1809-1813)</t>
        </r>
      </text>
    </comment>
    <comment ref="BI1278" authorId="0" shapeId="0" xr:uid="{E13FE658-7818-4745-9E4D-6FEF988D4120}">
      <text>
        <r>
          <rPr>
            <i/>
            <sz val="14"/>
            <color rgb="FF000000"/>
            <rFont val="Times New Roman"/>
            <family val="18"/>
          </rPr>
          <t>Gut</t>
        </r>
        <r>
          <rPr>
            <sz val="14"/>
            <color rgb="FF000000"/>
            <rFont val="Times New Roman"/>
            <family val="18"/>
          </rPr>
          <t xml:space="preserve"> [SUP May 1813] </t>
        </r>
      </text>
    </comment>
    <comment ref="BJ1278" authorId="0" shapeId="0" xr:uid="{E63ADA8C-CE0C-9A41-80BB-67208026EF8E}">
      <text>
        <r>
          <rPr>
            <i/>
            <sz val="14"/>
            <color rgb="FF000000"/>
            <rFont val="Times New Roman"/>
            <family val="18"/>
          </rPr>
          <t>Mit Gichtuntzenden Davoid beide Füssen kommt, und Brust Defekt. Nach dem Assentierung Ohne Schuld, War schon in verschiedenen Spitäler wie auch in Bad aber ohne Erfolg</t>
        </r>
        <r>
          <rPr>
            <sz val="14"/>
            <color rgb="FF000000"/>
            <rFont val="Times New Roman"/>
            <family val="18"/>
          </rPr>
          <t>, [SUP May 1813]</t>
        </r>
        <r>
          <rPr>
            <sz val="14"/>
            <color rgb="FF000000"/>
            <rFont val="Calibri"/>
            <family val="2"/>
          </rPr>
          <t xml:space="preserve"> </t>
        </r>
      </text>
    </comment>
    <comment ref="BF1279" authorId="0" shapeId="0" xr:uid="{FB20FFF5-82EB-9842-BE57-370CB8B23A52}">
      <text>
        <r>
          <rPr>
            <sz val="14"/>
            <color rgb="FF000000"/>
            <rFont val="Times New Roman"/>
            <family val="18"/>
          </rPr>
          <t xml:space="preserve">24/04/1809 </t>
        </r>
        <r>
          <rPr>
            <i/>
            <sz val="14"/>
            <color rgb="FF000000"/>
            <rFont val="Times New Roman"/>
            <family val="18"/>
          </rPr>
          <t>Gegen 3Fl Handgeld zu Weiskirch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05/09/1811 Muster: IR 7 12 Fus. Komp. Nr. 77 [</t>
        </r>
        <r>
          <rPr>
            <i/>
            <sz val="14"/>
            <color rgb="FF000000"/>
            <rFont val="Times New Roman"/>
            <family val="18"/>
          </rPr>
          <t>Beurlaubt bis zur Einberufung</t>
        </r>
        <r>
          <rPr>
            <sz val="14"/>
            <color rgb="FF000000"/>
            <rFont val="Times New Roman"/>
            <family val="18"/>
          </rPr>
          <t>]</t>
        </r>
      </text>
    </comment>
    <comment ref="BG1279" authorId="0" shapeId="0" xr:uid="{5FDBF486-83F1-2C4E-8810-8A79B51C6D71}">
      <text>
        <r>
          <rPr>
            <sz val="14"/>
            <color rgb="FF000000"/>
            <rFont val="Times New Roman"/>
            <family val="18"/>
          </rPr>
          <t>ML 465 IR 7 (1811) – 12. Fus. Komp. Nr. 77 (Weiskirchen 05/09/1811)</t>
        </r>
        <r>
          <rPr>
            <sz val="14"/>
            <color rgb="FF000000"/>
            <rFont val="Calibri"/>
            <family val="34"/>
          </rPr>
          <t xml:space="preserve">
</t>
        </r>
      </text>
    </comment>
    <comment ref="BH1279" authorId="0" shapeId="0" xr:uid="{F47ACA7B-5D6E-B84D-B0E6-9E60F982992F}">
      <text>
        <r>
          <rPr>
            <sz val="14"/>
            <color rgb="FF000000"/>
            <rFont val="Calibri"/>
            <family val="34"/>
          </rPr>
          <t>IR 7 (1809-1811)</t>
        </r>
      </text>
    </comment>
    <comment ref="I1280" authorId="0" shapeId="0" xr:uid="{8A52E39A-DFDB-DA49-A6DC-EC29DD7B05A8}">
      <text>
        <r>
          <rPr>
            <sz val="14"/>
            <color rgb="FF000000"/>
            <rFont val="Calibri"/>
            <family val="34"/>
          </rPr>
          <t xml:space="preserve">1788 [31 (ML 1817)
</t>
        </r>
        <r>
          <rPr>
            <sz val="14"/>
            <color rgb="FF000000"/>
            <rFont val="Calibri"/>
            <family val="34"/>
          </rPr>
          <t xml:space="preserve">OR
</t>
        </r>
        <r>
          <rPr>
            <b/>
            <sz val="14"/>
            <color rgb="FF000000"/>
            <rFont val="Calibri"/>
            <family val="34"/>
          </rPr>
          <t xml:space="preserve">1790 [19 (AL 1809)]
</t>
        </r>
        <r>
          <rPr>
            <sz val="14"/>
            <color rgb="FF000000"/>
            <rFont val="Calibri"/>
            <family val="34"/>
          </rPr>
          <t xml:space="preserve">OR
</t>
        </r>
        <r>
          <rPr>
            <sz val="14"/>
            <color rgb="FF000000"/>
            <rFont val="Calibri"/>
            <family val="34"/>
          </rPr>
          <t xml:space="preserve">1792 [18 (AL 1810)] </t>
        </r>
      </text>
    </comment>
    <comment ref="T1280" authorId="0" shapeId="0" xr:uid="{1F060637-B71E-8C42-A683-97F012EBDBCB}">
      <text>
        <r>
          <rPr>
            <sz val="14"/>
            <color rgb="FF000000"/>
            <rFont val="Calibri"/>
            <family val="34"/>
          </rPr>
          <t xml:space="preserve">155.33 (1809)
</t>
        </r>
        <r>
          <rPr>
            <sz val="14"/>
            <color rgb="FF000000"/>
            <rFont val="Calibri"/>
            <family val="34"/>
          </rPr>
          <t>163.9 (1810/17)</t>
        </r>
      </text>
    </comment>
    <comment ref="BF1280" authorId="0" shapeId="0" xr:uid="{B14B811E-18ED-DC4A-9994-515A73B35CF7}">
      <text>
        <r>
          <rPr>
            <sz val="14"/>
            <color rgb="FF000000"/>
            <rFont val="Times New Roman"/>
            <family val="18"/>
          </rPr>
          <t xml:space="preserve">25/04/1809 </t>
        </r>
        <r>
          <rPr>
            <i/>
            <sz val="14"/>
            <color rgb="FF000000"/>
            <rFont val="Times New Roman"/>
            <family val="18"/>
          </rPr>
          <t xml:space="preserve">Zum Westgalizischen Frei Bat. Nr. 2 auf Werbgeld von 15Fl </t>
        </r>
        <r>
          <rPr>
            <sz val="14"/>
            <color rgb="FF000000"/>
            <rFont val="Times New Roman"/>
            <family val="18"/>
          </rPr>
          <t xml:space="preserve">[davon 5 Handgeld, 8 sonstige Unkosten und 2. Anbringsgeld] </t>
        </r>
        <r>
          <rPr>
            <i/>
            <sz val="14"/>
            <color rgb="FF000000"/>
            <rFont val="Times New Roman"/>
            <family val="18"/>
          </rPr>
          <t xml:space="preserve">auf Kriegsdauer assentiert und zur 3. Komp. von Haupt. Vetter eingeheilt </t>
        </r>
        <r>
          <rPr>
            <sz val="14"/>
            <color rgb="FF000000"/>
            <rFont val="Times New Roman"/>
            <family val="18"/>
          </rPr>
          <t>[AL April 1809 &amp; ST April 1809]</t>
        </r>
        <r>
          <rPr>
            <sz val="14"/>
            <color rgb="FF000000"/>
            <rFont val="Calibri"/>
            <family val="34"/>
          </rPr>
          <t xml:space="preserve">
</t>
        </r>
        <r>
          <rPr>
            <sz val="14"/>
            <color rgb="FFFF0000"/>
            <rFont val="Times New Roman"/>
            <family val="18"/>
          </rPr>
          <t xml:space="preserve">26/05/1809 </t>
        </r>
        <r>
          <rPr>
            <i/>
            <sz val="14"/>
            <color rgb="FFFF0000"/>
            <rFont val="Times New Roman"/>
            <family val="18"/>
          </rPr>
          <t xml:space="preserve">Zum Westgalizischen Frei Bat. Nr. 2 auf Werbgeld von 15Fl </t>
        </r>
        <r>
          <rPr>
            <sz val="14"/>
            <color rgb="FFFF0000"/>
            <rFont val="Times New Roman"/>
            <family val="18"/>
          </rPr>
          <t xml:space="preserve">[davon 5 Handgeld, 8 Umkosten und 2. Anbringsgeld] </t>
        </r>
        <r>
          <rPr>
            <i/>
            <sz val="14"/>
            <color rgb="FFFF0000"/>
            <rFont val="Times New Roman"/>
            <family val="18"/>
          </rPr>
          <t xml:space="preserve">auf Kriegsdauer assentiert und zum 5. Komp. ‘Drak’ eingeheilt </t>
        </r>
        <r>
          <rPr>
            <sz val="14"/>
            <color rgb="FFFF0000"/>
            <rFont val="Times New Roman"/>
            <family val="18"/>
          </rPr>
          <t>[AL May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Ohne Viaticum mit Abschied entlassen</t>
        </r>
        <r>
          <rPr>
            <sz val="14"/>
            <color rgb="FF000000"/>
            <rFont val="Times New Roman"/>
            <family val="18"/>
          </rPr>
          <t xml:space="preserve"> [ST Jan 1810] </t>
        </r>
        <r>
          <rPr>
            <sz val="14"/>
            <color rgb="FF000000"/>
            <rFont val="Calibri"/>
            <family val="34"/>
          </rPr>
          <t xml:space="preserve">
</t>
        </r>
        <r>
          <rPr>
            <i/>
            <sz val="14"/>
            <color rgb="FFFF0000"/>
            <rFont val="Times New Roman"/>
            <family val="18"/>
          </rPr>
          <t>Hat Früher bei den 2. Westgallizischen FB gedient</t>
        </r>
        <r>
          <rPr>
            <sz val="14"/>
            <color rgb="FFFF0000"/>
            <rFont val="Times New Roman"/>
            <family val="18"/>
          </rPr>
          <t xml:space="preserve"> [AL Jan 1810]</t>
        </r>
        <r>
          <rPr>
            <sz val="14"/>
            <color rgb="FF000000"/>
            <rFont val="Calibri"/>
            <family val="34"/>
          </rPr>
          <t xml:space="preserve">
</t>
        </r>
        <r>
          <rPr>
            <sz val="14"/>
            <color rgb="FF000000"/>
            <rFont val="Times New Roman"/>
            <family val="18"/>
          </rPr>
          <t xml:space="preserve">21/01/1810 </t>
        </r>
        <r>
          <rPr>
            <i/>
            <sz val="14"/>
            <color rgb="FF000000"/>
            <rFont val="Times New Roman"/>
            <family val="18"/>
          </rPr>
          <t xml:space="preserve">Auf 12Fl Werbgeld in IR 63 als Ausländer assentiert, zur 4. Kompanie zugeheilt und seitdem mit loco Verpflegung in Leitomischel commandiert </t>
        </r>
        <r>
          <rPr>
            <sz val="14"/>
            <color rgb="FF000000"/>
            <rFont val="Times New Roman"/>
            <family val="18"/>
          </rPr>
          <t xml:space="preserve"> [AL Jan 1810 &amp; ST Jan 1810] </t>
        </r>
        <r>
          <rPr>
            <sz val="14"/>
            <color rgb="FF000000"/>
            <rFont val="Calibri"/>
            <family val="34"/>
          </rPr>
          <t xml:space="preserve">
</t>
        </r>
        <r>
          <rPr>
            <sz val="14"/>
            <color rgb="FFFF0000"/>
            <rFont val="Times New Roman"/>
            <family val="18"/>
          </rPr>
          <t xml:space="preserve">21/01/1810 </t>
        </r>
        <r>
          <rPr>
            <i/>
            <sz val="14"/>
            <color rgb="FFFF0000"/>
            <rFont val="Times New Roman"/>
            <family val="18"/>
          </rPr>
          <t>Auf 10 Jahre assentiert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12/02/1810 </t>
        </r>
        <r>
          <rPr>
            <i/>
            <sz val="14"/>
            <color rgb="FF000000"/>
            <rFont val="Times New Roman"/>
            <family val="18"/>
          </rPr>
          <t>In der Kompanie eingerückt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21/08/1810 </t>
        </r>
        <r>
          <rPr>
            <i/>
            <sz val="14"/>
            <color rgb="FF000000"/>
            <rFont val="Times New Roman"/>
            <family val="18"/>
          </rPr>
          <t>Auf Arbeit zu Comorn commandiert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01/11/1810 </t>
        </r>
        <r>
          <rPr>
            <i/>
            <sz val="14"/>
            <color rgb="FF000000"/>
            <rFont val="Times New Roman"/>
            <family val="18"/>
          </rPr>
          <t xml:space="preserve">Auf Arbeit in Comorn beurlaubt </t>
        </r>
        <r>
          <rPr>
            <sz val="14"/>
            <color rgb="FF000000"/>
            <rFont val="Times New Roman"/>
            <family val="18"/>
          </rPr>
          <t>[ST Nov 1810]</t>
        </r>
        <r>
          <rPr>
            <sz val="14"/>
            <color rgb="FF000000"/>
            <rFont val="Calibri"/>
            <family val="34"/>
          </rPr>
          <t xml:space="preserve">
</t>
        </r>
        <r>
          <rPr>
            <sz val="14"/>
            <color rgb="FF000000"/>
            <rFont val="Times New Roman"/>
            <family val="18"/>
          </rPr>
          <t xml:space="preserve">18/11/1813 </t>
        </r>
        <r>
          <rPr>
            <i/>
            <sz val="14"/>
            <color rgb="FF000000"/>
            <rFont val="Times New Roman"/>
            <family val="18"/>
          </rPr>
          <t xml:space="preserve">Zum Gefreyter avanciert </t>
        </r>
        <r>
          <rPr>
            <sz val="14"/>
            <color rgb="FF000000"/>
            <rFont val="Times New Roman"/>
            <family val="18"/>
          </rPr>
          <t>[ML 1817]</t>
        </r>
        <r>
          <rPr>
            <sz val="14"/>
            <color rgb="FF000000"/>
            <rFont val="Calibri"/>
            <family val="34"/>
          </rPr>
          <t xml:space="preserve">
</t>
        </r>
        <r>
          <rPr>
            <sz val="14"/>
            <color rgb="FF000000"/>
            <rFont val="Times New Roman"/>
            <family val="18"/>
          </rPr>
          <t xml:space="preserve">01/06/1815 </t>
        </r>
        <r>
          <rPr>
            <i/>
            <sz val="14"/>
            <color rgb="FF000000"/>
            <rFont val="Times New Roman"/>
            <family val="18"/>
          </rPr>
          <t>Von Bianchi Inf.</t>
        </r>
        <r>
          <rPr>
            <sz val="14"/>
            <color rgb="FF000000"/>
            <rFont val="Times New Roman"/>
            <family val="18"/>
          </rPr>
          <t xml:space="preserve"> </t>
        </r>
        <r>
          <rPr>
            <b/>
            <sz val="14"/>
            <color rgb="FF000000"/>
            <rFont val="Times New Roman"/>
            <family val="18"/>
          </rPr>
          <t>[NIR 63]</t>
        </r>
        <r>
          <rPr>
            <sz val="14"/>
            <color rgb="FF000000"/>
            <rFont val="Times New Roman"/>
            <family val="18"/>
          </rPr>
          <t xml:space="preserve"> </t>
        </r>
        <r>
          <rPr>
            <i/>
            <sz val="14"/>
            <color rgb="FF000000"/>
            <rFont val="Times New Roman"/>
            <family val="18"/>
          </rPr>
          <t>anherro</t>
        </r>
        <r>
          <rPr>
            <sz val="14"/>
            <color rgb="FF000000"/>
            <rFont val="Times New Roman"/>
            <family val="18"/>
          </rPr>
          <t xml:space="preserve"> </t>
        </r>
        <r>
          <rPr>
            <b/>
            <sz val="14"/>
            <color rgb="FF000000"/>
            <rFont val="Times New Roman"/>
            <family val="18"/>
          </rPr>
          <t>[IR 40]</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29/09/1817 Muster: IR 17 4. Fus Komp. Nr. 19</t>
        </r>
        <r>
          <rPr>
            <sz val="14"/>
            <color rgb="FF000000"/>
            <rFont val="Calibri"/>
            <family val="34"/>
          </rPr>
          <t xml:space="preserve">
</t>
        </r>
        <r>
          <rPr>
            <sz val="14"/>
            <color rgb="FF000000"/>
            <rFont val="Times New Roman"/>
            <family val="18"/>
          </rPr>
          <t>29/09/1817 Muster: IR 17 4. Fus Komp. Nr. 18</t>
        </r>
        <r>
          <rPr>
            <sz val="14"/>
            <color rgb="FF000000"/>
            <rFont val="Calibri"/>
            <family val="34"/>
          </rPr>
          <t xml:space="preserve">
</t>
        </r>
        <r>
          <rPr>
            <sz val="14"/>
            <color rgb="FF000000"/>
            <rFont val="Times New Roman"/>
            <family val="18"/>
          </rPr>
          <t xml:space="preserve">25/12/1818 </t>
        </r>
        <r>
          <rPr>
            <i/>
            <sz val="14"/>
            <color rgb="FF000000"/>
            <rFont val="Times New Roman"/>
            <family val="18"/>
          </rPr>
          <t>Als Ausgedienter Ausländer mit Abschied entlassen</t>
        </r>
        <r>
          <rPr>
            <sz val="14"/>
            <color rgb="FF000000"/>
            <rFont val="Times New Roman"/>
            <family val="18"/>
          </rPr>
          <t xml:space="preserve"> [ML 1819]</t>
        </r>
      </text>
    </comment>
    <comment ref="BG1280" authorId="0" shapeId="0" xr:uid="{1DA02EDE-363E-9A4F-AD2F-267B7715CBE4}">
      <text>
        <r>
          <rPr>
            <sz val="14"/>
            <color rgb="FF000000"/>
            <rFont val="Times New Roman"/>
            <family val="18"/>
          </rPr>
          <t xml:space="preserve">ML 10.831 WGal FB 2 (1809-10) – AL Nr. 91 (Krakow 30/04/1809) &amp; AL Nr. 83 (Krakow 30/05/1809), ST April (Politzka 13/07/1810), ST 1810 Jan (Tichnowitz 03/03/1811)
</t>
        </r>
        <r>
          <rPr>
            <sz val="14"/>
            <color rgb="FF000000"/>
            <rFont val="Times New Roman"/>
            <family val="18"/>
          </rPr>
          <t xml:space="preserve">ML 5292 IR 63 (1810) – Jan (Preßburg 20/06/1811), Feb (Preßburg 26/06/1811), Aug (31/10/1811), Nov (Brünn 20/11/1811)
</t>
        </r>
        <r>
          <rPr>
            <sz val="14"/>
            <color rgb="FF000000"/>
            <rFont val="Times New Roman"/>
            <family val="18"/>
          </rPr>
          <t xml:space="preserve">ML 5293 IR 63 (1810) AL/TL – AL Nr. 2 (Leitmoschil 21/01/1810)
</t>
        </r>
        <r>
          <rPr>
            <sz val="14"/>
            <color rgb="FF000000"/>
            <rFont val="Times New Roman"/>
            <family val="18"/>
          </rPr>
          <t xml:space="preserve">ML 3598 IR 40 (1817) – 4. Fus. Komp. Nr. 19 (Myszlenitz 29/09/1817)
</t>
        </r>
        <r>
          <rPr>
            <sz val="14"/>
            <color rgb="FF000000"/>
            <rFont val="Times New Roman"/>
            <family val="18"/>
          </rPr>
          <t xml:space="preserve">ML 3599 IR 40 (1818) – 4. Fus. Komp. Nr. 18 (Tarnow 29/09/1818)
</t>
        </r>
        <r>
          <rPr>
            <sz val="14"/>
            <color rgb="FF000000"/>
            <rFont val="Times New Roman"/>
            <family val="18"/>
          </rPr>
          <t xml:space="preserve">ML 3600/1 IR 40 (1819) – 4. Fus. Komp. Abgang (Jaroslau 19/09/1818)
</t>
        </r>
      </text>
    </comment>
    <comment ref="BH1280" authorId="0" shapeId="0" xr:uid="{2AC36BCB-9341-6E4B-9224-A56FB6879D07}">
      <text>
        <r>
          <rPr>
            <sz val="14"/>
            <color rgb="FF000000"/>
            <rFont val="Calibri"/>
            <family val="34"/>
          </rPr>
          <t xml:space="preserve">WGal FB 2 (1809-1810)
</t>
        </r>
        <r>
          <rPr>
            <sz val="14"/>
            <color rgb="FF000000"/>
            <rFont val="Calibri"/>
            <family val="34"/>
          </rPr>
          <t xml:space="preserve">IR 63 (1810-1815)
</t>
        </r>
        <r>
          <rPr>
            <sz val="14"/>
            <color rgb="FF000000"/>
            <rFont val="Calibri"/>
            <family val="34"/>
          </rPr>
          <t>IR 40 (1815-1818)</t>
        </r>
      </text>
    </comment>
    <comment ref="CR1280" authorId="0" shapeId="0" xr:uid="{3FAD72CC-FAAF-414A-9B24-BEF1F7304B16}">
      <text>
        <r>
          <rPr>
            <sz val="14"/>
            <color rgb="FF000000"/>
            <rFont val="Calibri"/>
            <family val="34"/>
          </rPr>
          <t xml:space="preserve">1809-1817: Jüdisch
</t>
        </r>
        <r>
          <rPr>
            <sz val="14"/>
            <color rgb="FF000000"/>
            <rFont val="Calibri"/>
            <family val="34"/>
          </rPr>
          <t>1818: Katolisch [Taufname Franz PODGURSKY]</t>
        </r>
      </text>
    </comment>
    <comment ref="BF1281" authorId="0" shapeId="0" xr:uid="{EF61DA34-D14F-7C4D-97EC-737D556686B2}">
      <text>
        <r>
          <rPr>
            <sz val="14"/>
            <color rgb="FF000000"/>
            <rFont val="Times New Roman"/>
            <family val="18"/>
          </rPr>
          <t xml:space="preserve">26/04/1809 </t>
        </r>
        <r>
          <rPr>
            <i/>
            <sz val="14"/>
            <color rgb="FF000000"/>
            <rFont val="Times New Roman"/>
            <family val="18"/>
          </rPr>
          <t>Zum IR 1 1. Reserve Bataillon gestellt</t>
        </r>
        <r>
          <rPr>
            <sz val="14"/>
            <color rgb="FF000000"/>
            <rFont val="Times New Roman"/>
            <family val="18"/>
          </rPr>
          <t xml:space="preserve"> [AL May 1809]</t>
        </r>
        <r>
          <rPr>
            <sz val="14"/>
            <color rgb="FF000000"/>
            <rFont val="Calibri"/>
            <family val="34"/>
          </rPr>
          <t xml:space="preserve">
</t>
        </r>
        <r>
          <rPr>
            <sz val="14"/>
            <color rgb="FF000000"/>
            <rFont val="Times New Roman"/>
            <family val="18"/>
          </rPr>
          <t xml:space="preserve">26/04/1809 </t>
        </r>
        <r>
          <rPr>
            <i/>
            <sz val="14"/>
            <color rgb="FF000000"/>
            <rFont val="Times New Roman"/>
            <family val="18"/>
          </rPr>
          <t>Untauglich</t>
        </r>
        <r>
          <rPr>
            <sz val="14"/>
            <color rgb="FF000000"/>
            <rFont val="Times New Roman"/>
            <family val="18"/>
          </rPr>
          <t xml:space="preserve"> [AL May 1809]</t>
        </r>
        <r>
          <rPr>
            <sz val="14"/>
            <color rgb="FF000000"/>
            <rFont val="Calibri"/>
            <family val="2"/>
          </rPr>
          <t xml:space="preserve"> </t>
        </r>
      </text>
    </comment>
    <comment ref="BG1281" authorId="0" shapeId="0" xr:uid="{AD8C3ABF-4301-0740-9DFD-F388F76280C4}">
      <text>
        <r>
          <rPr>
            <sz val="14"/>
            <color rgb="FF000000"/>
            <rFont val="Times New Roman"/>
            <family val="18"/>
          </rPr>
          <t>ML 92 IR 1 (1809) AL/TL – AL Reserve Nr. 166 [Stricked out] (Olmütz 01/05/1809)</t>
        </r>
        <r>
          <rPr>
            <sz val="14"/>
            <color rgb="FF000000"/>
            <rFont val="Calibri"/>
            <family val="34"/>
          </rPr>
          <t xml:space="preserve">
</t>
        </r>
      </text>
    </comment>
    <comment ref="BH1281" authorId="0" shapeId="0" xr:uid="{0EF27111-9544-534F-A0CA-DBA1BAB3A80A}">
      <text>
        <r>
          <rPr>
            <sz val="14"/>
            <color rgb="FF000000"/>
            <rFont val="Calibri"/>
            <family val="34"/>
          </rPr>
          <t>IR 1 (1809)</t>
        </r>
      </text>
    </comment>
    <comment ref="I1282" authorId="0" shapeId="0" xr:uid="{5379339D-7293-1448-B49B-6F1F3B26A1E9}">
      <text>
        <r>
          <rPr>
            <sz val="14"/>
            <color rgb="FF000000"/>
            <rFont val="Calibri"/>
            <family val="34"/>
          </rPr>
          <t xml:space="preserve">1788 [23 (ML 1811)]
</t>
        </r>
        <r>
          <rPr>
            <sz val="14"/>
            <color rgb="FF000000"/>
            <rFont val="Calibri"/>
            <family val="34"/>
          </rPr>
          <t xml:space="preserve">OR 
</t>
        </r>
        <r>
          <rPr>
            <b/>
            <sz val="14"/>
            <color rgb="FF000000"/>
            <rFont val="Calibri"/>
            <family val="34"/>
          </rPr>
          <t>1791 [18 (AL 1809)]</t>
        </r>
      </text>
    </comment>
    <comment ref="BF1282" authorId="0" shapeId="0" xr:uid="{CD433A55-7C13-3245-97D4-6E0672EB206E}">
      <text>
        <r>
          <rPr>
            <sz val="14"/>
            <color rgb="FFFF0000"/>
            <rFont val="Times New Roman"/>
            <family val="18"/>
          </rPr>
          <t xml:space="preserve">28/02/1809 </t>
        </r>
        <r>
          <rPr>
            <i/>
            <sz val="14"/>
            <color rgb="FFFF0000"/>
            <rFont val="Times New Roman"/>
            <family val="18"/>
          </rPr>
          <t xml:space="preserve">Dient Seit </t>
        </r>
        <r>
          <rPr>
            <sz val="14"/>
            <color rgb="FFFF0000"/>
            <rFont val="Times New Roman"/>
            <family val="18"/>
          </rPr>
          <t>[ML 1811]</t>
        </r>
        <r>
          <rPr>
            <sz val="14"/>
            <color rgb="FF000000"/>
            <rFont val="Times New Roman"/>
            <family val="18"/>
          </rPr>
          <t xml:space="preserve">
</t>
        </r>
        <r>
          <rPr>
            <sz val="14"/>
            <color rgb="FF000000"/>
            <rFont val="Times New Roman"/>
            <family val="18"/>
          </rPr>
          <t xml:space="preserve">26/04/1809 </t>
        </r>
        <r>
          <rPr>
            <i/>
            <sz val="14"/>
            <color rgb="FF000000"/>
            <rFont val="Times New Roman"/>
            <family val="18"/>
          </rPr>
          <t>Zum IR 1 a 3Fl zu Olmütz assentiert und zum 1. Depot Komp. zugeteilt</t>
        </r>
        <r>
          <rPr>
            <sz val="14"/>
            <color rgb="FF000000"/>
            <rFont val="Times New Roman"/>
            <family val="18"/>
          </rPr>
          <t xml:space="preserve"> [AL April 1809]
</t>
        </r>
        <r>
          <rPr>
            <sz val="14"/>
            <color rgb="FF000000"/>
            <rFont val="Times New Roman"/>
            <family val="18"/>
          </rPr>
          <t xml:space="preserve">26/07/1809 </t>
        </r>
        <r>
          <rPr>
            <i/>
            <sz val="14"/>
            <color rgb="FF000000"/>
            <rFont val="Times New Roman"/>
            <family val="18"/>
          </rPr>
          <t>Von 1. Depot zum 7. Fus. Komp. transferiert</t>
        </r>
        <r>
          <rPr>
            <sz val="14"/>
            <color rgb="FF000000"/>
            <rFont val="Times New Roman"/>
            <family val="18"/>
          </rPr>
          <t xml:space="preserve"> [ST July 1809]
</t>
        </r>
        <r>
          <rPr>
            <sz val="14"/>
            <color rgb="FF000000"/>
            <rFont val="Times New Roman"/>
            <family val="18"/>
          </rPr>
          <t xml:space="preserve">01/12/1809 </t>
        </r>
        <r>
          <rPr>
            <i/>
            <sz val="14"/>
            <color rgb="FF000000"/>
            <rFont val="Times New Roman"/>
            <family val="18"/>
          </rPr>
          <t>Von 7. Zum neu errichtete 13. Fus. Komp transferiert</t>
        </r>
        <r>
          <rPr>
            <sz val="14"/>
            <color rgb="FF000000"/>
            <rFont val="Times New Roman"/>
            <family val="18"/>
          </rPr>
          <t xml:space="preserve"> [ST Dec 1809]
</t>
        </r>
        <r>
          <rPr>
            <sz val="14"/>
            <color rgb="FF000000"/>
            <rFont val="Times New Roman"/>
            <family val="18"/>
          </rPr>
          <t xml:space="preserve">14/02/1810 </t>
        </r>
        <r>
          <rPr>
            <i/>
            <sz val="14"/>
            <color rgb="FF000000"/>
            <rFont val="Times New Roman"/>
            <family val="18"/>
          </rPr>
          <t>Beurlaubt</t>
        </r>
        <r>
          <rPr>
            <sz val="14"/>
            <color rgb="FF000000"/>
            <rFont val="Times New Roman"/>
            <family val="18"/>
          </rPr>
          <t xml:space="preserve"> [ST Feb 1810]
</t>
        </r>
        <r>
          <rPr>
            <sz val="14"/>
            <color rgb="FF000000"/>
            <rFont val="Times New Roman"/>
            <family val="18"/>
          </rPr>
          <t xml:space="preserve">01/09/1810 </t>
        </r>
        <r>
          <rPr>
            <i/>
            <sz val="14"/>
            <color rgb="FF000000"/>
            <rFont val="Times New Roman"/>
            <family val="18"/>
          </rPr>
          <t>Von dissolvierte 13. Zum 3. Fus Komp. transferiert</t>
        </r>
        <r>
          <rPr>
            <sz val="14"/>
            <color rgb="FF000000"/>
            <rFont val="Times New Roman"/>
            <family val="18"/>
          </rPr>
          <t xml:space="preserve"> [ST Sept 1810]
</t>
        </r>
        <r>
          <rPr>
            <sz val="14"/>
            <color rgb="FF000000"/>
            <rFont val="Times New Roman"/>
            <family val="18"/>
          </rPr>
          <t>13/09/1811 Muster: IR 1 3. Fus. Komp. Nr. 192 [</t>
        </r>
        <r>
          <rPr>
            <i/>
            <sz val="14"/>
            <color rgb="FF000000"/>
            <rFont val="Times New Roman"/>
            <family val="18"/>
          </rPr>
          <t>Beurlaubt in seinem Geburtsort bis zur Exercierzeit</t>
        </r>
        <r>
          <rPr>
            <sz val="14"/>
            <color rgb="FF000000"/>
            <rFont val="Times New Roman"/>
            <family val="18"/>
          </rPr>
          <t xml:space="preserve">]
</t>
        </r>
        <r>
          <rPr>
            <sz val="14"/>
            <color rgb="FF000000"/>
            <rFont val="Times New Roman"/>
            <family val="18"/>
          </rPr>
          <t xml:space="preserve">02/05/1812 </t>
        </r>
        <r>
          <rPr>
            <i/>
            <sz val="14"/>
            <color rgb="FF000000"/>
            <rFont val="Times New Roman"/>
            <family val="18"/>
          </rPr>
          <t>Von Bestimmte Urlaub in Kompanie eingerückt</t>
        </r>
        <r>
          <rPr>
            <sz val="14"/>
            <color rgb="FF000000"/>
            <rFont val="Times New Roman"/>
            <family val="18"/>
          </rPr>
          <t xml:space="preserve"> [ST May 1812]
</t>
        </r>
        <r>
          <rPr>
            <sz val="14"/>
            <color rgb="FF000000"/>
            <rFont val="Times New Roman"/>
            <family val="18"/>
          </rPr>
          <t xml:space="preserve">19/12/1812 </t>
        </r>
        <r>
          <rPr>
            <i/>
            <sz val="14"/>
            <color rgb="FF000000"/>
            <rFont val="Times New Roman"/>
            <family val="18"/>
          </rPr>
          <t>Krank in Armée Spital</t>
        </r>
        <r>
          <rPr>
            <sz val="14"/>
            <color rgb="FF000000"/>
            <rFont val="Times New Roman"/>
            <family val="18"/>
          </rPr>
          <t xml:space="preserve"> [ST Dec 1812]
</t>
        </r>
        <r>
          <rPr>
            <sz val="14"/>
            <color rgb="FF000000"/>
            <rFont val="Times New Roman"/>
            <family val="18"/>
          </rPr>
          <t xml:space="preserve">31/03/1814 </t>
        </r>
        <r>
          <rPr>
            <i/>
            <sz val="14"/>
            <color rgb="FF000000"/>
            <rFont val="Times New Roman"/>
            <family val="18"/>
          </rPr>
          <t xml:space="preserve">Vermog hohen Armee Kommando Befehl deto Michow am 3. April 813 R. 2425 mit ultimo Martz 814 in Auswärtiger Spitalern Verloren gegangen </t>
        </r>
        <r>
          <rPr>
            <sz val="14"/>
            <color rgb="FF000000"/>
            <rFont val="Times New Roman"/>
            <family val="18"/>
          </rPr>
          <t>[ST April 1813]</t>
        </r>
      </text>
    </comment>
    <comment ref="BG1282" authorId="0" shapeId="0" xr:uid="{DFB99F6A-DA3A-5242-A2D1-240B1D3CF95D}">
      <text>
        <r>
          <rPr>
            <sz val="14"/>
            <color rgb="FF000000"/>
            <rFont val="Times New Roman"/>
            <family val="18"/>
          </rPr>
          <t>ML 33 IR 1 (1811) – 3. Fus. Komp. Nr. 192 (Olmütz 13/09/1811)</t>
        </r>
        <r>
          <rPr>
            <sz val="14"/>
            <color rgb="FF000000"/>
            <rFont val="Calibri"/>
            <family val="34"/>
          </rPr>
          <t xml:space="preserve">
</t>
        </r>
        <r>
          <rPr>
            <sz val="14"/>
            <color rgb="FF000000"/>
            <rFont val="Times New Roman"/>
            <family val="18"/>
          </rPr>
          <t>ML 91 IR 1 (1809) – ST May (Proßnitz 09/1810), July (Proßnitz 21/10/1810), Dec (Proßnitz 15/01/1811)</t>
        </r>
        <r>
          <rPr>
            <sz val="14"/>
            <color rgb="FF000000"/>
            <rFont val="Calibri"/>
            <family val="34"/>
          </rPr>
          <t xml:space="preserve">
</t>
        </r>
        <r>
          <rPr>
            <sz val="14"/>
            <color rgb="FF000000"/>
            <rFont val="Times New Roman"/>
            <family val="18"/>
          </rPr>
          <t>ML 97 IR 1 (1812) – ST May (Proßnitz 24/08/1813), Dec (Proßnitz 08/05/1813)</t>
        </r>
        <r>
          <rPr>
            <sz val="14"/>
            <color rgb="FF000000"/>
            <rFont val="Calibri"/>
            <family val="34"/>
          </rPr>
          <t xml:space="preserve">
</t>
        </r>
        <r>
          <rPr>
            <sz val="14"/>
            <color rgb="FF000000"/>
            <rFont val="Times New Roman"/>
            <family val="18"/>
          </rPr>
          <t>ML 99 IR 1 (1813) – ST Dec (Proßnitz 20/05/1814)</t>
        </r>
        <r>
          <rPr>
            <sz val="14"/>
            <color rgb="FF000000"/>
            <rFont val="Calibri"/>
            <family val="34"/>
          </rPr>
          <t xml:space="preserve">
</t>
        </r>
        <r>
          <rPr>
            <sz val="14"/>
            <color rgb="FF000000"/>
            <rFont val="Times New Roman"/>
            <family val="18"/>
          </rPr>
          <t>ML 102 IR 1 (1814) – ST April (Proßnitz 30/09/1814)</t>
        </r>
        <r>
          <rPr>
            <sz val="14"/>
            <color rgb="FF000000"/>
            <rFont val="Calibri"/>
            <family val="34"/>
          </rPr>
          <t xml:space="preserve">
</t>
        </r>
      </text>
    </comment>
    <comment ref="BH1282" authorId="0" shapeId="0" xr:uid="{F1B1AE57-3CB7-6145-AFB7-F16668200072}">
      <text>
        <r>
          <rPr>
            <sz val="14"/>
            <color rgb="FF000000"/>
            <rFont val="Calibri"/>
            <family val="34"/>
          </rPr>
          <t>IR 1 (1809-1814)</t>
        </r>
      </text>
    </comment>
    <comment ref="BF1283" authorId="0" shapeId="0" xr:uid="{48B87957-D168-A14F-B9DF-8812B38C4297}">
      <text>
        <r>
          <rPr>
            <sz val="14"/>
            <color rgb="FF000000"/>
            <rFont val="Times New Roman"/>
            <family val="18"/>
          </rPr>
          <t xml:space="preserve">27/04/1809 </t>
        </r>
        <r>
          <rPr>
            <i/>
            <sz val="14"/>
            <color rgb="FF000000"/>
            <rFont val="Times New Roman"/>
            <family val="18"/>
          </rPr>
          <t>Auf 15 fl Handgeld zum s. Bataillon von Mährisch-schlesischen Freiwillige auf die Dauer des Krieges angeworben und zum 1. Kompanie ‚D‘Estang‘ eingeteilt</t>
        </r>
        <r>
          <rPr>
            <sz val="14"/>
            <color rgb="FF000000"/>
            <rFont val="Times New Roman"/>
            <family val="18"/>
          </rPr>
          <t xml:space="preserve"> [AL April 1809 &amp; ST April]</t>
        </r>
        <r>
          <rPr>
            <sz val="14"/>
            <color rgb="FF000000"/>
            <rFont val="Calibri"/>
            <family val="34"/>
          </rPr>
          <t xml:space="preserve">
</t>
        </r>
        <r>
          <rPr>
            <sz val="14"/>
            <color rgb="FF000000"/>
            <rFont val="Times New Roman"/>
            <family val="18"/>
          </rPr>
          <t xml:space="preserve">06/07/1809 </t>
        </r>
        <r>
          <rPr>
            <i/>
            <sz val="14"/>
            <color rgb="FF000000"/>
            <rFont val="Times New Roman"/>
            <family val="18"/>
          </rPr>
          <t>Als blessiert</t>
        </r>
        <r>
          <rPr>
            <sz val="14"/>
            <color rgb="FF000000"/>
            <rFont val="Times New Roman"/>
            <family val="18"/>
          </rPr>
          <t xml:space="preserve"> </t>
        </r>
        <r>
          <rPr>
            <b/>
            <sz val="14"/>
            <color rgb="FF000000"/>
            <rFont val="Times New Roman"/>
            <family val="18"/>
          </rPr>
          <t>[Bei Marktgrafneusiedl]</t>
        </r>
        <r>
          <rPr>
            <sz val="14"/>
            <color rgb="FF000000"/>
            <rFont val="Times New Roman"/>
            <family val="18"/>
          </rPr>
          <t xml:space="preserve"> </t>
        </r>
        <r>
          <rPr>
            <i/>
            <sz val="14"/>
            <color rgb="FF000000"/>
            <rFont val="Times New Roman"/>
            <family val="18"/>
          </rPr>
          <t>krank in Armee Spital</t>
        </r>
        <r>
          <rPr>
            <sz val="14"/>
            <color rgb="FF000000"/>
            <rFont val="Times New Roman"/>
            <family val="18"/>
          </rPr>
          <t xml:space="preserve"> [ST July 1809] </t>
        </r>
        <r>
          <rPr>
            <i/>
            <sz val="14"/>
            <color rgb="FF000000"/>
            <rFont val="Times New Roman"/>
            <family val="18"/>
          </rPr>
          <t>derselbe Tag in Kriegsgefangenschaft gerathen</t>
        </r>
        <r>
          <rPr>
            <sz val="14"/>
            <color rgb="FF000000"/>
            <rFont val="Times New Roman"/>
            <family val="18"/>
          </rPr>
          <t xml:space="preserve"> [ST March-Oct 1810]</t>
        </r>
        <r>
          <rPr>
            <sz val="14"/>
            <color rgb="FF000000"/>
            <rFont val="Calibri"/>
            <family val="34"/>
          </rPr>
          <t xml:space="preserve">
</t>
        </r>
        <r>
          <rPr>
            <sz val="14"/>
            <color rgb="FF000000"/>
            <rFont val="Times New Roman"/>
            <family val="18"/>
          </rPr>
          <t>30/01/1810 Dissolvierung: 1. Bat 6. Komp Nr. 146 [</t>
        </r>
        <r>
          <rPr>
            <i/>
            <sz val="14"/>
            <color rgb="FF000000"/>
            <rFont val="Times New Roman"/>
            <family val="18"/>
          </rPr>
          <t>In Armée Spitälern Krank und Blessiert</t>
        </r>
        <r>
          <rPr>
            <sz val="14"/>
            <color rgb="FF000000"/>
            <rFont val="Times New Roman"/>
            <family val="18"/>
          </rPr>
          <t>]</t>
        </r>
        <r>
          <rPr>
            <sz val="14"/>
            <color rgb="FF000000"/>
            <rFont val="Calibri"/>
            <family val="34"/>
          </rPr>
          <t xml:space="preserve">
</t>
        </r>
        <r>
          <rPr>
            <sz val="14"/>
            <color rgb="FF000000"/>
            <rFont val="Times New Roman"/>
            <family val="18"/>
          </rPr>
          <t xml:space="preserve">31/03/1810 </t>
        </r>
        <r>
          <rPr>
            <i/>
            <sz val="14"/>
            <color rgb="FF000000"/>
            <rFont val="Times New Roman"/>
            <family val="18"/>
          </rPr>
          <t>In loco Präsentiert als von Kriegsgefangenschaft Zurück und als ausgedienter Kriegscapitulant mit Abschied entlassen</t>
        </r>
        <r>
          <rPr>
            <sz val="14"/>
            <color rgb="FF000000"/>
            <rFont val="Times New Roman"/>
            <family val="18"/>
          </rPr>
          <t xml:space="preserve"> [ST March-Oct 1810] </t>
        </r>
      </text>
    </comment>
    <comment ref="BG1283" authorId="0" shapeId="0" xr:uid="{3C657BB1-B54E-C649-AA30-02487CD3A458}">
      <text>
        <r>
          <rPr>
            <sz val="14"/>
            <color rgb="FF000000"/>
            <rFont val="Times New Roman"/>
            <family val="18"/>
          </rPr>
          <t>ST 10.820 Mähr-Schls. FW 1-2. Bats (1809-10) – DL 2. Bat 1. Komp Nr. 146 (Austerlitz 30/01/1802)</t>
        </r>
        <r>
          <rPr>
            <sz val="14"/>
            <color rgb="FF000000"/>
            <rFont val="Calibri"/>
            <family val="34"/>
          </rPr>
          <t xml:space="preserve">
</t>
        </r>
        <r>
          <rPr>
            <sz val="14"/>
            <color rgb="FF000000"/>
            <rFont val="Times New Roman"/>
            <family val="18"/>
          </rPr>
          <t xml:space="preserve">ST 10.821 Mähr-Schls. FW 1-2. Bats (1809-10) – AL Nr. 61 (Olmütz 30/04/1809), ST April (30/04/1810), ST July (15/08/1810) </t>
        </r>
        <r>
          <rPr>
            <sz val="14"/>
            <color rgb="FF000000"/>
            <rFont val="Calibri"/>
            <family val="34"/>
          </rPr>
          <t xml:space="preserve">
</t>
        </r>
        <r>
          <rPr>
            <sz val="14"/>
            <color rgb="FF000000"/>
            <rFont val="Times New Roman"/>
            <family val="18"/>
          </rPr>
          <t>ST 10.822 Mähr-Schls. FW 1-2. Bats (1810) – ST March-Oct (28/02/1811)</t>
        </r>
      </text>
    </comment>
    <comment ref="BH1283" authorId="0" shapeId="0" xr:uid="{6D9BB529-4334-8C47-8997-37AB07E67569}">
      <text>
        <r>
          <rPr>
            <sz val="14"/>
            <color rgb="FF000000"/>
            <rFont val="Calibri"/>
            <family val="34"/>
          </rPr>
          <t>Mährisch-schlesischen Freiwillige (1809-10)</t>
        </r>
      </text>
    </comment>
    <comment ref="BF1284" authorId="0" shapeId="0" xr:uid="{9CE93AA3-C11A-0147-AC17-FF0E0A883E72}">
      <text>
        <r>
          <rPr>
            <sz val="14"/>
            <color rgb="FF000000"/>
            <rFont val="Times New Roman"/>
            <family val="18"/>
          </rPr>
          <t xml:space="preserve">27/04/1809 </t>
        </r>
        <r>
          <rPr>
            <i/>
            <sz val="14"/>
            <color rgb="FF000000"/>
            <rFont val="Times New Roman"/>
            <family val="18"/>
          </rPr>
          <t xml:space="preserve">A 3Fl Handgeld auf 10 Jahre in Wien assentiert </t>
        </r>
        <r>
          <rPr>
            <sz val="14"/>
            <color rgb="FF000000"/>
            <rFont val="Times New Roman"/>
            <family val="18"/>
          </rPr>
          <t>[ML 1811]</t>
        </r>
        <r>
          <rPr>
            <sz val="14"/>
            <color rgb="FF000000"/>
            <rFont val="Calibri"/>
            <family val="34"/>
          </rPr>
          <t xml:space="preserve">
</t>
        </r>
        <r>
          <rPr>
            <sz val="14"/>
            <color rgb="FF000000"/>
            <rFont val="Times New Roman"/>
            <family val="18"/>
          </rPr>
          <t>07/09/1811 Muster: IR 4 12. Fus. Komp. Nr. 86 [</t>
        </r>
        <r>
          <rPr>
            <i/>
            <sz val="14"/>
            <color rgb="FF000000"/>
            <rFont val="Times New Roman"/>
            <family val="18"/>
          </rPr>
          <t>Beurlaubt bis zur Einberufung zu Wien in Niederösterreich</t>
        </r>
        <r>
          <rPr>
            <sz val="14"/>
            <color rgb="FF000000"/>
            <rFont val="Times New Roman"/>
            <family val="18"/>
          </rPr>
          <t>]</t>
        </r>
        <r>
          <rPr>
            <sz val="14"/>
            <color rgb="FF000000"/>
            <rFont val="Calibri"/>
            <family val="34"/>
          </rPr>
          <t xml:space="preserve">
</t>
        </r>
      </text>
    </comment>
    <comment ref="BG1284" authorId="0" shapeId="0" xr:uid="{9FD12177-2E08-314A-8E4D-AE55C13C6453}">
      <text>
        <r>
          <rPr>
            <sz val="14"/>
            <color rgb="FF000000"/>
            <rFont val="Times New Roman"/>
            <family val="18"/>
          </rPr>
          <t>ML 351/2 IR 4 (1811) – 12. Fus. Komp. Nr. 86 (Mauer 07/09/1811)</t>
        </r>
        <r>
          <rPr>
            <sz val="14"/>
            <color rgb="FF000000"/>
            <rFont val="Calibri"/>
            <family val="34"/>
          </rPr>
          <t xml:space="preserve">
</t>
        </r>
      </text>
    </comment>
    <comment ref="BH1284" authorId="0" shapeId="0" xr:uid="{C3465957-F7D6-B645-9DD0-AA467D440E3E}">
      <text>
        <r>
          <rPr>
            <sz val="14"/>
            <color rgb="FF000000"/>
            <rFont val="Calibri"/>
            <family val="34"/>
          </rPr>
          <t>IR 4 (1809-1811)</t>
        </r>
      </text>
    </comment>
    <comment ref="I1285" authorId="0" shapeId="0" xr:uid="{2FFC9E49-13E3-7743-A47B-657B0C123F8F}">
      <text>
        <r>
          <rPr>
            <b/>
            <sz val="14"/>
            <color rgb="FF000000"/>
            <rFont val="Calibri"/>
            <family val="34"/>
          </rPr>
          <t xml:space="preserve">1791 [20 (ML 1811)]
</t>
        </r>
        <r>
          <rPr>
            <sz val="14"/>
            <color rgb="FF000000"/>
            <rFont val="Calibri"/>
            <family val="34"/>
          </rPr>
          <t xml:space="preserve">OR
</t>
        </r>
        <r>
          <rPr>
            <sz val="14"/>
            <color rgb="FF000000"/>
            <rFont val="Calibri"/>
            <family val="34"/>
          </rPr>
          <t>1792 [27 (ML 1819)]</t>
        </r>
      </text>
    </comment>
    <comment ref="T1285" authorId="0" shapeId="0" xr:uid="{E562796A-AD1C-FF45-9E02-97A476F1F1C7}">
      <text>
        <r>
          <rPr>
            <b/>
            <sz val="14"/>
            <color rgb="FF000000"/>
            <rFont val="Calibri"/>
            <family val="34"/>
          </rPr>
          <t xml:space="preserve">5.3 [165.89 cm (ML 1811)]
</t>
        </r>
        <r>
          <rPr>
            <sz val="14"/>
            <color rgb="FF000000"/>
            <rFont val="Calibri"/>
            <family val="34"/>
          </rPr>
          <t>5.3.1 [166.11 cm (ML 1817)]</t>
        </r>
      </text>
    </comment>
    <comment ref="BF1285" authorId="0" shapeId="0" xr:uid="{514708CE-0A86-1742-8D21-7C3221880D16}">
      <text>
        <r>
          <rPr>
            <sz val="14"/>
            <color rgb="FF000000"/>
            <rFont val="Times New Roman"/>
            <family val="18"/>
          </rPr>
          <t xml:space="preserve">29/04/1809 </t>
        </r>
        <r>
          <rPr>
            <i/>
            <sz val="14"/>
            <color rgb="FF000000"/>
            <rFont val="Times New Roman"/>
            <family val="18"/>
          </rPr>
          <t>A 3Fl Handgeld auf 10 Jahre zum Wien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06/09/1811 Muster: IR 4 5. Fus. Komp. Nr. 203</t>
        </r>
        <r>
          <rPr>
            <sz val="14"/>
            <color rgb="FF000000"/>
            <rFont val="Calibri"/>
            <family val="34"/>
          </rPr>
          <t xml:space="preserve">
</t>
        </r>
        <r>
          <rPr>
            <sz val="14"/>
            <color rgb="FF000000"/>
            <rFont val="Times New Roman"/>
            <family val="18"/>
          </rPr>
          <t xml:space="preserve">10/02/1814 </t>
        </r>
        <r>
          <rPr>
            <i/>
            <sz val="14"/>
            <color rgb="FF000000"/>
            <rFont val="Times New Roman"/>
            <family val="18"/>
          </rPr>
          <t>Zum Gefreyter Avanciert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IR 4 14. Fus. Komp. Nr. 24</t>
        </r>
        <r>
          <rPr>
            <sz val="14"/>
            <color rgb="FF000000"/>
            <rFont val="Calibri"/>
            <family val="34"/>
          </rPr>
          <t xml:space="preserve">
</t>
        </r>
        <r>
          <rPr>
            <sz val="14"/>
            <color rgb="FF000000"/>
            <rFont val="Times New Roman"/>
            <family val="18"/>
          </rPr>
          <t>28/09/1818 Muster: IR 4 14. Fus. Komp. Nr. 20</t>
        </r>
        <r>
          <rPr>
            <sz val="14"/>
            <color rgb="FF000000"/>
            <rFont val="Calibri"/>
            <family val="34"/>
          </rPr>
          <t xml:space="preserve">
</t>
        </r>
        <r>
          <rPr>
            <sz val="14"/>
            <color rgb="FF000000"/>
            <rFont val="Times New Roman"/>
            <family val="18"/>
          </rPr>
          <t>25/09/1819 Muster: IR 4 14. Fus. Komp. Nr. 17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30/09/1819 </t>
        </r>
        <r>
          <rPr>
            <i/>
            <sz val="14"/>
            <color rgb="FF000000"/>
            <rFont val="Times New Roman"/>
            <family val="18"/>
          </rPr>
          <t xml:space="preserve">Als ausgedienter Inländer Capitulant in Folge Hofkriegsratliche Reskript 4. Septembris a.c. R 3076 und General Kommando Verordnung detto Sept 819 a:c: R. 17037 gegen Renuncierung alle Militar Beneficien von Bestimte Urlaub mit Abschied entlassen </t>
        </r>
        <r>
          <rPr>
            <sz val="14"/>
            <color rgb="FF000000"/>
            <rFont val="Times New Roman"/>
            <family val="18"/>
          </rPr>
          <t xml:space="preserve">[ST Oct 1819] </t>
        </r>
      </text>
    </comment>
    <comment ref="BG1285" authorId="0" shapeId="0" xr:uid="{149DA6EB-FE2C-E443-A590-62EECAF8D973}">
      <text>
        <r>
          <rPr>
            <sz val="14"/>
            <color rgb="FF000000"/>
            <rFont val="Times New Roman"/>
            <family val="18"/>
          </rPr>
          <t>ML 351/2 IR 4 (1811) – 5. Fus. Komp. Nr. 203 (Vienna 06/09/1811)</t>
        </r>
        <r>
          <rPr>
            <sz val="14"/>
            <color rgb="FF000000"/>
            <rFont val="Calibri"/>
            <family val="34"/>
          </rPr>
          <t xml:space="preserve">
</t>
        </r>
        <r>
          <rPr>
            <sz val="14"/>
            <color rgb="FF000000"/>
            <rFont val="Times New Roman"/>
            <family val="18"/>
          </rPr>
          <t>ML 353/4 IR 4 (1817) – 14. Fus. Komp. Nr. 24 (St. Pölten 25/09/1817)</t>
        </r>
        <r>
          <rPr>
            <sz val="14"/>
            <color rgb="FF000000"/>
            <rFont val="Calibri"/>
            <family val="34"/>
          </rPr>
          <t xml:space="preserve">
</t>
        </r>
        <r>
          <rPr>
            <sz val="14"/>
            <color rgb="FF000000"/>
            <rFont val="Times New Roman"/>
            <family val="18"/>
          </rPr>
          <t>ML 355 IR 4 (1818) – 14. Fus. Komp. Nr. 20 (St. Pölten 28/09/1818)</t>
        </r>
        <r>
          <rPr>
            <sz val="14"/>
            <color rgb="FF000000"/>
            <rFont val="Calibri"/>
            <family val="34"/>
          </rPr>
          <t xml:space="preserve">
</t>
        </r>
        <r>
          <rPr>
            <sz val="14"/>
            <color rgb="FF000000"/>
            <rFont val="Times New Roman"/>
            <family val="18"/>
          </rPr>
          <t>ML 356/7 IR 4 (1819) – 14. Fus. Komp. Nr. 17 (St. Pölten 25/09/1819)</t>
        </r>
        <r>
          <rPr>
            <sz val="14"/>
            <color rgb="FF000000"/>
            <rFont val="Calibri"/>
            <family val="34"/>
          </rPr>
          <t xml:space="preserve">
</t>
        </r>
        <r>
          <rPr>
            <sz val="14"/>
            <color rgb="FF000000"/>
            <rFont val="Times New Roman"/>
            <family val="18"/>
          </rPr>
          <t>ML 427 IR 4 (1819) – ST Oct (St. Pölten 30/11/1819)</t>
        </r>
        <r>
          <rPr>
            <sz val="14"/>
            <color rgb="FF000000"/>
            <rFont val="Calibri"/>
            <family val="34"/>
          </rPr>
          <t xml:space="preserve">
</t>
        </r>
      </text>
    </comment>
    <comment ref="BH1285" authorId="0" shapeId="0" xr:uid="{F3299C69-2129-DD40-8D3F-F89FECD3B6A2}">
      <text>
        <r>
          <rPr>
            <sz val="14"/>
            <color rgb="FF000000"/>
            <rFont val="Calibri"/>
            <family val="34"/>
          </rPr>
          <t>IR 4 (1809-1819)</t>
        </r>
      </text>
    </comment>
    <comment ref="BF1286" authorId="0" shapeId="0" xr:uid="{FBFD0880-DACF-924C-A908-BFF84877D7A3}">
      <text>
        <r>
          <rPr>
            <sz val="14"/>
            <color rgb="FF000000"/>
            <rFont val="Times New Roman"/>
            <family val="18"/>
          </rPr>
          <t xml:space="preserve">01/05/1809 </t>
        </r>
        <r>
          <rPr>
            <i/>
            <sz val="14"/>
            <color rgb="FF000000"/>
            <rFont val="Times New Roman"/>
            <family val="18"/>
          </rPr>
          <t>A 3Fl Handgeld von der G. St. gestellt und zu Kerpen Inf</t>
        </r>
        <r>
          <rPr>
            <sz val="14"/>
            <color rgb="FF000000"/>
            <rFont val="Times New Roman"/>
            <family val="18"/>
          </rPr>
          <t xml:space="preserve">. </t>
        </r>
        <r>
          <rPr>
            <b/>
            <sz val="14"/>
            <color rgb="FF000000"/>
            <rFont val="Times New Roman"/>
            <family val="18"/>
          </rPr>
          <t>[IR 49]</t>
        </r>
        <r>
          <rPr>
            <i/>
            <sz val="14"/>
            <color rgb="FF000000"/>
            <rFont val="Times New Roman"/>
            <family val="18"/>
          </rPr>
          <t xml:space="preserve"> assentiert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 xml:space="preserve">06/11/1810 </t>
        </r>
        <r>
          <rPr>
            <i/>
            <sz val="14"/>
            <color rgb="FF000000"/>
            <rFont val="Times New Roman"/>
            <family val="18"/>
          </rPr>
          <t>Von da</t>
        </r>
        <r>
          <rPr>
            <sz val="14"/>
            <color rgb="FF000000"/>
            <rFont val="Times New Roman"/>
            <family val="18"/>
          </rPr>
          <t xml:space="preserve"> </t>
        </r>
        <r>
          <rPr>
            <b/>
            <sz val="14"/>
            <color rgb="FF000000"/>
            <rFont val="Times New Roman"/>
            <family val="18"/>
          </rPr>
          <t xml:space="preserve">[IR 49] </t>
        </r>
        <r>
          <rPr>
            <i/>
            <sz val="14"/>
            <color rgb="FF000000"/>
            <rFont val="Times New Roman"/>
            <family val="18"/>
          </rPr>
          <t>zu k.k. Niederösterreichische militär Granz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Muster: GK NÖ 1. Komp. Nr. 38</t>
        </r>
        <r>
          <rPr>
            <sz val="14"/>
            <color rgb="FF000000"/>
            <rFont val="Calibri"/>
            <family val="34"/>
          </rPr>
          <t xml:space="preserve">
</t>
        </r>
        <r>
          <rPr>
            <sz val="14"/>
            <color rgb="FF000000"/>
            <rFont val="Times New Roman"/>
            <family val="18"/>
          </rPr>
          <t>22/09/1812 Revision: GK NÖ 1. Komp. Nr. 33</t>
        </r>
        <r>
          <rPr>
            <sz val="14"/>
            <color rgb="FF000000"/>
            <rFont val="Calibri"/>
            <family val="34"/>
          </rPr>
          <t xml:space="preserve">
</t>
        </r>
        <r>
          <rPr>
            <sz val="14"/>
            <color rgb="FF000000"/>
            <rFont val="Times New Roman"/>
            <family val="18"/>
          </rPr>
          <t>15/09/1817 Muster: GK NÖ 1. Komp. Nr. 115</t>
        </r>
        <r>
          <rPr>
            <sz val="14"/>
            <color rgb="FF000000"/>
            <rFont val="Calibri"/>
            <family val="34"/>
          </rPr>
          <t xml:space="preserve">
</t>
        </r>
        <r>
          <rPr>
            <sz val="14"/>
            <color rgb="FF000000"/>
            <rFont val="Times New Roman"/>
            <family val="18"/>
          </rPr>
          <t>22/09/1818 Muster: GK NÖ 1. Komp. Nr. 116</t>
        </r>
        <r>
          <rPr>
            <sz val="14"/>
            <color rgb="FF000000"/>
            <rFont val="Calibri"/>
            <family val="34"/>
          </rPr>
          <t xml:space="preserve">
</t>
        </r>
        <r>
          <rPr>
            <sz val="14"/>
            <color rgb="FF000000"/>
            <rFont val="Times New Roman"/>
            <family val="18"/>
          </rPr>
          <t>??/09/1819 Muster: GK NÖ 1. Komp. Nr. 156</t>
        </r>
        <r>
          <rPr>
            <sz val="14"/>
            <color rgb="FF000000"/>
            <rFont val="Calibri"/>
            <family val="34"/>
          </rPr>
          <t xml:space="preserve">
</t>
        </r>
        <r>
          <rPr>
            <sz val="14"/>
            <color rgb="FF000000"/>
            <rFont val="Times New Roman"/>
            <family val="18"/>
          </rPr>
          <t xml:space="preserve">10/10/1819 </t>
        </r>
        <r>
          <rPr>
            <i/>
            <sz val="14"/>
            <color rgb="FF000000"/>
            <rFont val="Times New Roman"/>
            <family val="18"/>
          </rPr>
          <t>Als ausgedineter Capitulant mit Abschied entlassen</t>
        </r>
        <r>
          <rPr>
            <sz val="14"/>
            <color rgb="FF000000"/>
            <rFont val="Times New Roman"/>
            <family val="18"/>
          </rPr>
          <t xml:space="preserve"> [ML 1820]</t>
        </r>
        <r>
          <rPr>
            <sz val="14"/>
            <color rgb="FF000000"/>
            <rFont val="Calibri"/>
            <family val="34"/>
          </rPr>
          <t xml:space="preserve">
</t>
        </r>
      </text>
    </comment>
    <comment ref="BG1286" authorId="0" shapeId="0" xr:uid="{E2DCA836-37FE-6144-8436-780215E505C0}">
      <text>
        <r>
          <rPr>
            <sz val="14"/>
            <color rgb="FF000000"/>
            <rFont val="Times New Roman"/>
            <family val="18"/>
          </rPr>
          <t>ML 8750 GK NÖ (1811) – 1. Komp Nr. 38 (Wiener Neustat 21/09/1811)</t>
        </r>
        <r>
          <rPr>
            <sz val="14"/>
            <color rgb="FF000000"/>
            <rFont val="Calibri"/>
            <family val="34"/>
          </rPr>
          <t xml:space="preserve">
</t>
        </r>
        <r>
          <rPr>
            <sz val="14"/>
            <color rgb="FF000000"/>
            <rFont val="Times New Roman"/>
            <family val="18"/>
          </rPr>
          <t>ML 8750 GK NÖ (1812) – 1. Komp. Nr. 33 (Wiener Neustat 22/09/1812)</t>
        </r>
        <r>
          <rPr>
            <sz val="14"/>
            <color rgb="FF000000"/>
            <rFont val="Calibri"/>
            <family val="34"/>
          </rPr>
          <t xml:space="preserve">
</t>
        </r>
        <r>
          <rPr>
            <sz val="14"/>
            <color rgb="FF000000"/>
            <rFont val="Times New Roman"/>
            <family val="18"/>
          </rPr>
          <t>ML 8750 GK NÖ (1817) –1. Komp. Nr. 115 (Wiener Neustadt 15/09/1817)</t>
        </r>
        <r>
          <rPr>
            <sz val="14"/>
            <color rgb="FF000000"/>
            <rFont val="Calibri"/>
            <family val="34"/>
          </rPr>
          <t xml:space="preserve">
</t>
        </r>
        <r>
          <rPr>
            <sz val="14"/>
            <color rgb="FF000000"/>
            <rFont val="Times New Roman"/>
            <family val="18"/>
          </rPr>
          <t>ML 8750 GK NÖ (1818) –1. Komp. Nr. 116 (Wiener Neustadt 22/09/1818)</t>
        </r>
        <r>
          <rPr>
            <sz val="14"/>
            <color rgb="FF000000"/>
            <rFont val="Calibri"/>
            <family val="34"/>
          </rPr>
          <t xml:space="preserve">
</t>
        </r>
        <r>
          <rPr>
            <sz val="14"/>
            <color rgb="FF000000"/>
            <rFont val="Times New Roman"/>
            <family val="18"/>
          </rPr>
          <t>ML 8750 GK NÖ (1819) –1. Komp. Nr. 156 (Sept 1819?)</t>
        </r>
        <r>
          <rPr>
            <sz val="14"/>
            <color rgb="FF000000"/>
            <rFont val="Calibri"/>
            <family val="34"/>
          </rPr>
          <t xml:space="preserve">
</t>
        </r>
        <r>
          <rPr>
            <sz val="14"/>
            <color rgb="FF000000"/>
            <rFont val="Times New Roman"/>
            <family val="18"/>
          </rPr>
          <t>ML 8750 GK NÖ (1820) –1. Komp. Abgang (Sept 1820?)</t>
        </r>
        <r>
          <rPr>
            <sz val="14"/>
            <color rgb="FF000000"/>
            <rFont val="Calibri"/>
            <family val="34"/>
          </rPr>
          <t xml:space="preserve">
</t>
        </r>
      </text>
    </comment>
    <comment ref="BH1286" authorId="0" shapeId="0" xr:uid="{0834ACA4-FD5C-E840-B569-5B617618052E}">
      <text>
        <r>
          <rPr>
            <sz val="14"/>
            <color rgb="FF000000"/>
            <rFont val="Calibri"/>
            <family val="34"/>
          </rPr>
          <t xml:space="preserve">IR 49 (1809-1810)
</t>
        </r>
        <r>
          <rPr>
            <sz val="14"/>
            <color rgb="FF000000"/>
            <rFont val="Calibri"/>
            <family val="34"/>
          </rPr>
          <t>GK NÖ (1810-1819)</t>
        </r>
      </text>
    </comment>
    <comment ref="BF1287" authorId="0" shapeId="0" xr:uid="{B2A6FE20-2569-C947-9743-304D46742522}">
      <text>
        <r>
          <rPr>
            <sz val="14"/>
            <color rgb="FF000000"/>
            <rFont val="Times New Roman"/>
            <family val="18"/>
          </rPr>
          <t xml:space="preserve">01/05/1809 </t>
        </r>
        <r>
          <rPr>
            <i/>
            <sz val="14"/>
            <color rgb="FF000000"/>
            <rFont val="Times New Roman"/>
            <family val="18"/>
          </rPr>
          <t>A 3 Handgeld zu Wien auf 10 Jahre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06/09/1811 Muster: IR 4 1. Fus. Komp. Nr. 111 [</t>
        </r>
        <r>
          <rPr>
            <i/>
            <sz val="14"/>
            <color rgb="FF000000"/>
            <rFont val="Times New Roman"/>
            <family val="18"/>
          </rPr>
          <t>Zu Prossnitz in Mähren, Olmütz Kreis, beurlaubt bis zur Einberufung</t>
        </r>
        <r>
          <rPr>
            <sz val="14"/>
            <color rgb="FF000000"/>
            <rFont val="Times New Roman"/>
            <family val="18"/>
          </rPr>
          <t>]</t>
        </r>
        <r>
          <rPr>
            <sz val="14"/>
            <color rgb="FF000000"/>
            <rFont val="Calibri"/>
            <family val="34"/>
          </rPr>
          <t xml:space="preserve">
</t>
        </r>
      </text>
    </comment>
    <comment ref="BG1287" authorId="0" shapeId="0" xr:uid="{9770347F-0881-3E48-9C45-84C77DE3AB77}">
      <text>
        <r>
          <rPr>
            <sz val="14"/>
            <color rgb="FF000000"/>
            <rFont val="Times New Roman"/>
            <family val="18"/>
          </rPr>
          <t>ML 351/2 IR 4 (1811) – 1. Fus. Komp. Nr. 111 (Vienna 06/09/1811)</t>
        </r>
      </text>
    </comment>
    <comment ref="BH1287" authorId="0" shapeId="0" xr:uid="{A4E64124-8F2D-5F46-AF55-317C0DC5A5F6}">
      <text>
        <r>
          <rPr>
            <sz val="14"/>
            <color rgb="FF000000"/>
            <rFont val="Calibri"/>
            <family val="34"/>
          </rPr>
          <t>IR 4 (1809-1811)</t>
        </r>
      </text>
    </comment>
    <comment ref="BF1288" authorId="0" shapeId="0" xr:uid="{F2EE7C30-5DAA-1E45-946B-583BBBDC5C39}">
      <text>
        <r>
          <rPr>
            <sz val="14"/>
            <color rgb="FF000000"/>
            <rFont val="Times New Roman"/>
            <family val="18"/>
          </rPr>
          <t xml:space="preserve">01/05/1809 </t>
        </r>
        <r>
          <rPr>
            <i/>
            <sz val="14"/>
            <color rgb="FF000000"/>
            <rFont val="Times New Roman"/>
            <family val="18"/>
          </rPr>
          <t>Als landständische Rekrut a 3Fl zum IR 4 assentiert und zur 1. Depot Komp. eingeheilt</t>
        </r>
        <r>
          <rPr>
            <sz val="14"/>
            <color rgb="FF000000"/>
            <rFont val="Times New Roman"/>
            <family val="18"/>
          </rPr>
          <t xml:space="preserve"> [TL May 1809]</t>
        </r>
        <r>
          <rPr>
            <sz val="14"/>
            <color rgb="FF000000"/>
            <rFont val="Calibri"/>
            <family val="34"/>
          </rPr>
          <t xml:space="preserve">
</t>
        </r>
      </text>
    </comment>
    <comment ref="BG1288" authorId="0" shapeId="0" xr:uid="{4C058D18-179C-344B-A1F8-6B57B745807A}">
      <text>
        <r>
          <rPr>
            <sz val="14"/>
            <color rgb="FF000000"/>
            <rFont val="Times New Roman"/>
            <family val="18"/>
          </rPr>
          <t>ML 400/1 IR 4 (1809) – AL Nr. 53 (Vienna 08/05/1809)</t>
        </r>
      </text>
    </comment>
    <comment ref="BH1288" authorId="0" shapeId="0" xr:uid="{EFB24654-A024-4C47-B9AE-52BCA9DE7E11}">
      <text>
        <r>
          <rPr>
            <sz val="14"/>
            <color rgb="FF000000"/>
            <rFont val="Calibri"/>
            <family val="34"/>
          </rPr>
          <t>IR 4 (1809)</t>
        </r>
      </text>
    </comment>
    <comment ref="BF1289" authorId="0" shapeId="0" xr:uid="{805A4BAA-A3B4-EC4C-8408-571EDD0F94A3}">
      <text>
        <r>
          <rPr>
            <sz val="14"/>
            <color rgb="FF000000"/>
            <rFont val="Times New Roman"/>
            <family val="18"/>
          </rPr>
          <t xml:space="preserve">06/05/1809 </t>
        </r>
        <r>
          <rPr>
            <i/>
            <sz val="14"/>
            <color rgb="FF000000"/>
            <rFont val="Times New Roman"/>
            <family val="18"/>
          </rPr>
          <t>Als ärztliche</t>
        </r>
        <r>
          <rPr>
            <sz val="14"/>
            <color rgb="FF000000"/>
            <rFont val="Times New Roman"/>
            <family val="18"/>
          </rPr>
          <t xml:space="preserve"> </t>
        </r>
        <r>
          <rPr>
            <i/>
            <sz val="14"/>
            <color rgb="FF000000"/>
            <rFont val="Times New Roman"/>
            <family val="18"/>
          </rPr>
          <t>Praktikant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15/01/1810 </t>
        </r>
        <r>
          <rPr>
            <i/>
            <sz val="14"/>
            <color rgb="FF000000"/>
            <rFont val="Times New Roman"/>
            <family val="18"/>
          </rPr>
          <t>Mit Abschied entlassen</t>
        </r>
        <r>
          <rPr>
            <sz val="14"/>
            <color rgb="FF000000"/>
            <rFont val="Times New Roman"/>
            <family val="18"/>
          </rPr>
          <t xml:space="preserve"> [VrpfL. Jan 1810]
</t>
        </r>
      </text>
    </comment>
    <comment ref="BG1289" authorId="0" shapeId="0" xr:uid="{9931D6FD-67F4-9841-87C1-51A617CE2E13}">
      <text>
        <r>
          <rPr>
            <sz val="14"/>
            <color rgb="FF000000"/>
            <rFont val="Times New Roman"/>
            <family val="18"/>
          </rPr>
          <t xml:space="preserve">ST 11.994 HFS (1809-14) – AL Nr. 13 (Prague 23/05/1810); VerpfL Juni 1809 (Geyersberg 31/12/1809); VerpfL Jan 1810 (Opochno 30/06/1810)
</t>
        </r>
      </text>
    </comment>
    <comment ref="BH1289" authorId="0" shapeId="0" xr:uid="{EA0E0F5C-AB82-4442-B233-D76638614F79}">
      <text>
        <r>
          <rPr>
            <sz val="14"/>
            <color rgb="FF000000"/>
            <rFont val="Calibri"/>
            <family val="34"/>
          </rPr>
          <t xml:space="preserve">HFS 1 (1809) 
</t>
        </r>
        <r>
          <rPr>
            <sz val="14"/>
            <color rgb="FF000000"/>
            <rFont val="Calibri"/>
            <family val="34"/>
          </rPr>
          <t>HFS 32 (1809-1810)</t>
        </r>
      </text>
    </comment>
    <comment ref="BF1290" authorId="0" shapeId="0" xr:uid="{BF5117DA-B175-F048-8E99-789E95E1E772}">
      <text>
        <r>
          <rPr>
            <sz val="14"/>
            <color rgb="FF000000"/>
            <rFont val="Times New Roman"/>
            <family val="18"/>
          </rPr>
          <t xml:space="preserve">08/05/1809 </t>
        </r>
        <r>
          <rPr>
            <i/>
            <sz val="14"/>
            <color rgb="FF000000"/>
            <rFont val="Times New Roman"/>
            <family val="18"/>
          </rPr>
          <t>Gegen 3Fl Handgeld zu Weiskirchen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06/08/1810 </t>
        </r>
        <r>
          <rPr>
            <i/>
            <sz val="14"/>
            <color rgb="FF000000"/>
            <rFont val="Times New Roman"/>
            <family val="18"/>
          </rPr>
          <t>Zu Tambour mutiert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01/04/1811 </t>
        </r>
        <r>
          <rPr>
            <i/>
            <sz val="14"/>
            <color rgb="FF000000"/>
            <rFont val="Times New Roman"/>
            <family val="18"/>
          </rPr>
          <t>Von 11. zu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05/09/1811 Muster: IR 7 8. Fus. Komp. Nr. 24</t>
        </r>
        <r>
          <rPr>
            <sz val="14"/>
            <color rgb="FF000000"/>
            <rFont val="Calibri"/>
            <family val="34"/>
          </rPr>
          <t xml:space="preserve">
</t>
        </r>
      </text>
    </comment>
    <comment ref="BG1290" authorId="0" shapeId="0" xr:uid="{91E8B7AD-8D9E-DE4D-A8F8-26DD84ED8788}">
      <text>
        <r>
          <rPr>
            <sz val="14"/>
            <color rgb="FF000000"/>
            <rFont val="Times New Roman"/>
            <family val="18"/>
          </rPr>
          <t>ML 465 IR 7 (1811) – 8. Fus. Komp. Nr. 24 (Weiskirchen 05/09/1811)</t>
        </r>
        <r>
          <rPr>
            <sz val="14"/>
            <color rgb="FF000000"/>
            <rFont val="Calibri"/>
            <family val="34"/>
          </rPr>
          <t xml:space="preserve">
</t>
        </r>
      </text>
    </comment>
    <comment ref="BH1290" authorId="0" shapeId="0" xr:uid="{3A5D2A18-D17C-4D45-97B4-09544992A0D2}">
      <text>
        <r>
          <rPr>
            <sz val="14"/>
            <color rgb="FF000000"/>
            <rFont val="Calibri"/>
            <family val="34"/>
          </rPr>
          <t>IR 7 (1809-1811)</t>
        </r>
      </text>
    </comment>
    <comment ref="BF1291" authorId="0" shapeId="0" xr:uid="{FB5F1925-6549-8B44-A99F-2615BB58E6B2}">
      <text>
        <r>
          <rPr>
            <sz val="14"/>
            <color rgb="FF000000"/>
            <rFont val="Times New Roman"/>
            <family val="18"/>
          </rPr>
          <t xml:space="preserve">08/05/1809 </t>
        </r>
        <r>
          <rPr>
            <i/>
            <sz val="14"/>
            <color rgb="FF000000"/>
            <rFont val="Times New Roman"/>
            <family val="18"/>
          </rPr>
          <t>Zum IR 1 2. Reserve Bataillon gestellt und zum 1. Depot Komp. zegeteilt</t>
        </r>
        <r>
          <rPr>
            <sz val="14"/>
            <color rgb="FF000000"/>
            <rFont val="Times New Roman"/>
            <family val="18"/>
          </rPr>
          <t xml:space="preserve"> [AL May 1809 &amp; ST May 1809]</t>
        </r>
        <r>
          <rPr>
            <sz val="14"/>
            <color rgb="FF000000"/>
            <rFont val="Calibri"/>
            <family val="34"/>
          </rPr>
          <t xml:space="preserve">
</t>
        </r>
        <r>
          <rPr>
            <sz val="14"/>
            <color rgb="FF000000"/>
            <rFont val="Times New Roman"/>
            <family val="18"/>
          </rPr>
          <t xml:space="preserve">21/05/1809 </t>
        </r>
        <r>
          <rPr>
            <i/>
            <sz val="14"/>
            <color rgb="FF000000"/>
            <rFont val="Times New Roman"/>
            <family val="18"/>
          </rPr>
          <t>Von 1. Depot Komp. zum 12. Fus. Komp. transferiert und seitdem auf Anhero Marsch</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In der 6.</t>
        </r>
        <r>
          <rPr>
            <sz val="14"/>
            <color rgb="FF000000"/>
            <rFont val="Times New Roman"/>
            <family val="18"/>
          </rPr>
          <t xml:space="preserve"> [12.] </t>
        </r>
        <r>
          <rPr>
            <i/>
            <sz val="14"/>
            <color rgb="FF000000"/>
            <rFont val="Times New Roman"/>
            <family val="18"/>
          </rPr>
          <t>Fus. Komp. eingerückt und seitdem Krank in Armeespital</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18/06/1809 </t>
        </r>
        <r>
          <rPr>
            <i/>
            <sz val="14"/>
            <color rgb="FF000000"/>
            <rFont val="Times New Roman"/>
            <family val="18"/>
          </rPr>
          <t xml:space="preserve">Rekonvalesziert </t>
        </r>
        <r>
          <rPr>
            <sz val="14"/>
            <color rgb="FF000000"/>
            <rFont val="Times New Roman"/>
            <family val="18"/>
          </rPr>
          <t>[ST June]</t>
        </r>
        <r>
          <rPr>
            <sz val="14"/>
            <color rgb="FF000000"/>
            <rFont val="Calibri"/>
            <family val="34"/>
          </rPr>
          <t xml:space="preserve">
</t>
        </r>
        <r>
          <rPr>
            <sz val="14"/>
            <color rgb="FF000000"/>
            <rFont val="Times New Roman"/>
            <family val="18"/>
          </rPr>
          <t xml:space="preserve">06/07/1809 </t>
        </r>
        <r>
          <rPr>
            <i/>
            <sz val="14"/>
            <color rgb="FF000000"/>
            <rFont val="Times New Roman"/>
            <family val="18"/>
          </rPr>
          <t>In der Schlacht bei Deutsch Wagram unwissend verloren</t>
        </r>
        <r>
          <rPr>
            <sz val="14"/>
            <color rgb="FF000000"/>
            <rFont val="Times New Roman"/>
            <family val="18"/>
          </rPr>
          <t xml:space="preserve"> [ST July 1809]</t>
        </r>
        <r>
          <rPr>
            <b/>
            <sz val="14"/>
            <color rgb="FF000000"/>
            <rFont val="Times New Roman"/>
            <family val="18"/>
          </rPr>
          <t xml:space="preserve"> </t>
        </r>
      </text>
    </comment>
    <comment ref="BG1291" authorId="0" shapeId="0" xr:uid="{2E805BDA-D74E-3344-AB51-B7F3299C9EFC}">
      <text>
        <r>
          <rPr>
            <sz val="14"/>
            <color rgb="FF000000"/>
            <rFont val="Times New Roman"/>
            <family val="18"/>
          </rPr>
          <t>ML 91 IR 1 (1809) – ST May (Proßnitz 09/1810), June (Proßnitz 18/10/1810), July (Proßnitz 21/10/1810)</t>
        </r>
        <r>
          <rPr>
            <sz val="14"/>
            <color rgb="FF000000"/>
            <rFont val="Calibri"/>
            <family val="34"/>
          </rPr>
          <t xml:space="preserve">
</t>
        </r>
        <r>
          <rPr>
            <sz val="14"/>
            <color rgb="FF000000"/>
            <rFont val="Times New Roman"/>
            <family val="18"/>
          </rPr>
          <t>ML 92 IR 1 (1809) AL/TL – AL Reserve Nr. 78 (Olmütz 13/05/1809)</t>
        </r>
        <r>
          <rPr>
            <sz val="14"/>
            <color rgb="FF000000"/>
            <rFont val="Calibri"/>
            <family val="34"/>
          </rPr>
          <t xml:space="preserve">
</t>
        </r>
      </text>
    </comment>
    <comment ref="BH1291" authorId="0" shapeId="0" xr:uid="{F20EDC39-29A0-8C47-A3F9-6029C991B1BD}">
      <text>
        <r>
          <rPr>
            <sz val="14"/>
            <color rgb="FF000000"/>
            <rFont val="Calibri"/>
            <family val="34"/>
          </rPr>
          <t>IR 1 (1809)</t>
        </r>
      </text>
    </comment>
    <comment ref="BF1292" authorId="0" shapeId="0" xr:uid="{B6A84ACB-24A4-074A-A9DE-3B40B8497094}">
      <text>
        <r>
          <rPr>
            <sz val="14"/>
            <color rgb="FF000000"/>
            <rFont val="Times New Roman"/>
            <family val="18"/>
          </rPr>
          <t xml:space="preserve">08/05/1809 </t>
        </r>
        <r>
          <rPr>
            <i/>
            <sz val="14"/>
            <color rgb="FF000000"/>
            <rFont val="Times New Roman"/>
            <family val="18"/>
          </rPr>
          <t>Gegen 3Fl Handgeld zu Wieskirchen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06/09/1811 Muster: IR 7 5. Fus. Komp. Nr.86</t>
        </r>
        <r>
          <rPr>
            <sz val="14"/>
            <color rgb="FF000000"/>
            <rFont val="Calibri"/>
            <family val="34"/>
          </rPr>
          <t xml:space="preserve">
</t>
        </r>
      </text>
    </comment>
    <comment ref="BG1292" authorId="0" shapeId="0" xr:uid="{9DD6AB51-5E61-5646-82DD-38EC644155CB}">
      <text>
        <r>
          <rPr>
            <sz val="14"/>
            <color rgb="FF000000"/>
            <rFont val="Times New Roman"/>
            <family val="18"/>
          </rPr>
          <t>ML 465 IR 7 (1811) – 5. Fus. Komp. Nr. 86 (Neutitschein 06/09/1811)</t>
        </r>
      </text>
    </comment>
    <comment ref="BH1292" authorId="0" shapeId="0" xr:uid="{079BAE49-EC42-A64A-9515-BC9710E7169A}">
      <text>
        <r>
          <rPr>
            <sz val="14"/>
            <color rgb="FF000000"/>
            <rFont val="Calibri"/>
            <family val="34"/>
          </rPr>
          <t>IR 7 (1809-1811)</t>
        </r>
      </text>
    </comment>
    <comment ref="BF1293" authorId="0" shapeId="0" xr:uid="{7A39D6D4-E8C1-A34A-8A90-8786FD8A4DBE}">
      <text>
        <r>
          <rPr>
            <sz val="14"/>
            <color rgb="FF000000"/>
            <rFont val="Times New Roman"/>
            <family val="18"/>
          </rPr>
          <t xml:space="preserve">09/05/1809 </t>
        </r>
        <r>
          <rPr>
            <i/>
            <sz val="14"/>
            <color rgb="FF000000"/>
            <rFont val="Times New Roman"/>
            <family val="18"/>
          </rPr>
          <t>A 3Fl Handgeld auf 10 Jahren von Ständen gestellt</t>
        </r>
        <r>
          <rPr>
            <sz val="14"/>
            <color rgb="FF000000"/>
            <rFont val="Times New Roman"/>
            <family val="18"/>
          </rPr>
          <t xml:space="preserve"> [TL Mai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Von IR 28 1. Dept Komp. Haupt, Schranz zum CR 8 transferiert</t>
        </r>
        <r>
          <rPr>
            <sz val="14"/>
            <color rgb="FF000000"/>
            <rFont val="Times New Roman"/>
            <family val="18"/>
          </rPr>
          <t xml:space="preserve"> [TL Mai 1809]</t>
        </r>
        <r>
          <rPr>
            <sz val="14"/>
            <color rgb="FF000000"/>
            <rFont val="Calibri"/>
            <family val="34"/>
          </rPr>
          <t xml:space="preserve">
</t>
        </r>
      </text>
    </comment>
    <comment ref="BG1293" authorId="0" shapeId="0" xr:uid="{0A8BA031-530E-2549-9885-69A625CF5442}">
      <text>
        <r>
          <rPr>
            <sz val="14"/>
            <color rgb="FF000000"/>
            <rFont val="Times New Roman"/>
            <family val="18"/>
          </rPr>
          <t>ML CR 8 (1809) – TL IR 28-&gt;CR 8 Nr. 46 (Königgrätz 13/09/1809)</t>
        </r>
      </text>
    </comment>
    <comment ref="BH1293" authorId="0" shapeId="0" xr:uid="{28391960-3841-B341-88A3-5F1869580B99}">
      <text>
        <r>
          <rPr>
            <sz val="14"/>
            <color rgb="FF000000"/>
            <rFont val="Calibri"/>
            <family val="34"/>
          </rPr>
          <t xml:space="preserve">IR 28 (1809)
</t>
        </r>
        <r>
          <rPr>
            <sz val="14"/>
            <color rgb="FF000000"/>
            <rFont val="Calibri"/>
            <family val="34"/>
          </rPr>
          <t>CR 8 (1809)</t>
        </r>
      </text>
    </comment>
    <comment ref="BI1293" authorId="0" shapeId="0" xr:uid="{F31CF436-C4BC-E441-B2D3-7E8E69A00A07}">
      <text>
        <r>
          <rPr>
            <sz val="14"/>
            <color rgb="FF000000"/>
            <rFont val="Calibri"/>
            <family val="34"/>
          </rPr>
          <t>Gut [TL 1809]</t>
        </r>
      </text>
    </comment>
    <comment ref="BF1294" authorId="0" shapeId="0" xr:uid="{23E63BDF-D4FF-EE43-B8F9-046409894DA8}">
      <text>
        <r>
          <rPr>
            <sz val="14"/>
            <color rgb="FF000000"/>
            <rFont val="Times New Roman"/>
            <family val="18"/>
          </rPr>
          <t xml:space="preserve">09/05/1809 </t>
        </r>
        <r>
          <rPr>
            <i/>
            <sz val="14"/>
            <color rgb="FF000000"/>
            <rFont val="Times New Roman"/>
            <family val="18"/>
          </rPr>
          <t xml:space="preserve">Von königliche Freistadt Debreczyn </t>
        </r>
        <r>
          <rPr>
            <b/>
            <sz val="14"/>
            <color rgb="FF000000"/>
            <rFont val="Times New Roman"/>
            <family val="18"/>
          </rPr>
          <t>[</t>
        </r>
        <r>
          <rPr>
            <b/>
            <u/>
            <sz val="14"/>
            <color rgb="FF0563C1"/>
            <rFont val="Times New Roman"/>
            <family val="18"/>
          </rPr>
          <t>Debrecen, Hungary</t>
        </r>
        <r>
          <rPr>
            <b/>
            <sz val="14"/>
            <color rgb="FF000000"/>
            <rFont val="Times New Roman"/>
            <family val="18"/>
          </rPr>
          <t>]</t>
        </r>
        <r>
          <rPr>
            <sz val="14"/>
            <color rgb="FF000000"/>
            <rFont val="Times New Roman"/>
            <family val="18"/>
          </rPr>
          <t xml:space="preserve">, </t>
        </r>
        <r>
          <rPr>
            <i/>
            <sz val="14"/>
            <color rgb="FF000000"/>
            <rFont val="Times New Roman"/>
            <family val="18"/>
          </rPr>
          <t>in Bihar</t>
        </r>
        <r>
          <rPr>
            <sz val="14"/>
            <color rgb="FF000000"/>
            <rFont val="Times New Roman"/>
            <family val="18"/>
          </rPr>
          <t xml:space="preserve"> </t>
        </r>
        <r>
          <rPr>
            <i/>
            <sz val="14"/>
            <color rgb="FF000000"/>
            <rFont val="Times New Roman"/>
            <family val="18"/>
          </rPr>
          <t xml:space="preserve">Komität von Land gestellt und gegen 3 FL auf dem Werbplatz Debreczyn zum IR 39 assentiert und zum 20. Fus. Komp. eingeteilt </t>
        </r>
        <r>
          <rPr>
            <sz val="14"/>
            <color rgb="FF000000"/>
            <rFont val="Times New Roman"/>
            <family val="18"/>
          </rPr>
          <t xml:space="preserve">[AL März 1809]
</t>
        </r>
        <r>
          <rPr>
            <sz val="14"/>
            <color rgb="FF000000"/>
            <rFont val="Times New Roman"/>
            <family val="18"/>
          </rPr>
          <t xml:space="preserve">23/08/1809 </t>
        </r>
        <r>
          <rPr>
            <i/>
            <sz val="14"/>
            <color rgb="FF000000"/>
            <rFont val="Times New Roman"/>
            <family val="18"/>
          </rPr>
          <t>Zu Pest in Militärspital gestorben</t>
        </r>
        <r>
          <rPr>
            <sz val="14"/>
            <color rgb="FF000000"/>
            <rFont val="Times New Roman"/>
            <family val="18"/>
          </rPr>
          <t xml:space="preserve"> [ML 1811] </t>
        </r>
      </text>
    </comment>
    <comment ref="BG1294" authorId="0" shapeId="0" xr:uid="{1A694577-44DF-0541-BE88-E8BB57677FF9}">
      <text>
        <r>
          <rPr>
            <sz val="14"/>
            <color rgb="FF000000"/>
            <rFont val="Times New Roman"/>
            <family val="18"/>
          </rPr>
          <t>ML 3501/2 IR 39 (1811) – 20. Fus. Komp. Abgang (Ofen 19/09/1811)</t>
        </r>
        <r>
          <rPr>
            <sz val="14"/>
            <color rgb="FF000000"/>
            <rFont val="Calibri"/>
            <family val="34"/>
          </rPr>
          <t xml:space="preserve">
</t>
        </r>
        <r>
          <rPr>
            <sz val="14"/>
            <color rgb="FF000000"/>
            <rFont val="Times New Roman"/>
            <family val="18"/>
          </rPr>
          <t>ML 3550 IR 39 (1809) – AL Nr. 189 (Debrecen 10/05/1809)</t>
        </r>
      </text>
    </comment>
    <comment ref="BH1294" authorId="0" shapeId="0" xr:uid="{8F1EF6C2-3EEE-7446-A313-D3D450098A29}">
      <text>
        <r>
          <rPr>
            <sz val="14"/>
            <color rgb="FF000000"/>
            <rFont val="Calibri"/>
            <family val="34"/>
          </rPr>
          <t>IR 39 (1809)</t>
        </r>
      </text>
    </comment>
    <comment ref="BF1295" authorId="0" shapeId="0" xr:uid="{6BC19FE8-E230-AB47-8C3B-331ADB529972}">
      <text>
        <r>
          <rPr>
            <sz val="14"/>
            <color rgb="FF000000"/>
            <rFont val="Times New Roman"/>
            <family val="18"/>
          </rPr>
          <t xml:space="preserve">10/05/1809 </t>
        </r>
        <r>
          <rPr>
            <i/>
            <sz val="14"/>
            <color rgb="FF000000"/>
            <rFont val="Times New Roman"/>
            <family val="18"/>
          </rPr>
          <t xml:space="preserve">von Chrudimer Kreis gestellt und mit 3Fl Handgeld und 12 Jährigen Capitulation zum DR 6 assentiert </t>
        </r>
        <r>
          <rPr>
            <sz val="14"/>
            <color rgb="FF000000"/>
            <rFont val="Times New Roman"/>
            <family val="18"/>
          </rPr>
          <t>[AL Mai 1809]</t>
        </r>
        <r>
          <rPr>
            <sz val="14"/>
            <color rgb="FF000000"/>
            <rFont val="Calibri"/>
            <family val="34"/>
          </rPr>
          <t xml:space="preserve">
</t>
        </r>
        <r>
          <rPr>
            <sz val="14"/>
            <color rgb="FF000000"/>
            <rFont val="Calibri"/>
            <family val="34"/>
          </rPr>
          <t xml:space="preserve">
</t>
        </r>
      </text>
    </comment>
    <comment ref="BG1295" authorId="0" shapeId="0" xr:uid="{64E2EC58-9EC1-874C-88AE-6687D59C262F}">
      <text>
        <r>
          <rPr>
            <sz val="14"/>
            <color rgb="FF000000"/>
            <rFont val="Times New Roman"/>
            <family val="18"/>
          </rPr>
          <t>ML 7008 DR 6 (1809) – AL Nr. 9 (Chrudim 15/05/1809)</t>
        </r>
      </text>
    </comment>
    <comment ref="BH1295" authorId="0" shapeId="0" xr:uid="{672EBDC3-208B-344F-9C9D-3A9357DB0872}">
      <text>
        <r>
          <rPr>
            <sz val="14"/>
            <color rgb="FF000000"/>
            <rFont val="Calibri"/>
            <family val="34"/>
          </rPr>
          <t xml:space="preserve">DR 6 (1809)
</t>
        </r>
      </text>
    </comment>
    <comment ref="BF1296" authorId="0" shapeId="0" xr:uid="{49FC5995-CD84-DB4A-B529-D9616981EE12}">
      <text>
        <r>
          <rPr>
            <sz val="14"/>
            <color rgb="FF000000"/>
            <rFont val="Times New Roman"/>
            <family val="18"/>
          </rPr>
          <t xml:space="preserve">11/05/1809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10. Fus. Komp. Nr. 92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296" authorId="0" shapeId="0" xr:uid="{877C0ACD-2207-A044-935C-CD75D11F4147}">
      <text>
        <r>
          <rPr>
            <sz val="14"/>
            <color rgb="FF000000"/>
            <rFont val="Times New Roman"/>
            <family val="18"/>
          </rPr>
          <t>IR 544 IR 8 (1811) – 10. Fus. Komp. Nr. 92 (Iglau 12/09/1811)</t>
        </r>
        <r>
          <rPr>
            <sz val="14"/>
            <color rgb="FF000000"/>
            <rFont val="Calibri"/>
            <family val="34"/>
          </rPr>
          <t xml:space="preserve">
</t>
        </r>
      </text>
    </comment>
    <comment ref="BH1296" authorId="0" shapeId="0" xr:uid="{583138E7-F6A9-4242-80B2-518AC263F1E7}">
      <text>
        <r>
          <rPr>
            <sz val="14"/>
            <color rgb="FF000000"/>
            <rFont val="Calibri"/>
            <family val="34"/>
          </rPr>
          <t xml:space="preserve">IR 8 (1809-1811)
</t>
        </r>
      </text>
    </comment>
    <comment ref="BF1297" authorId="0" shapeId="0" xr:uid="{80447759-5082-1849-A36D-33781B7A06B0}">
      <text>
        <r>
          <rPr>
            <sz val="14"/>
            <color rgb="FF000000"/>
            <rFont val="Times New Roman"/>
            <family val="18"/>
          </rPr>
          <t xml:space="preserve">11/05/1809 </t>
        </r>
        <r>
          <rPr>
            <i/>
            <sz val="14"/>
            <color rgb="FF000000"/>
            <rFont val="Times New Roman"/>
            <family val="18"/>
          </rPr>
          <t>Als ärztliche</t>
        </r>
        <r>
          <rPr>
            <sz val="14"/>
            <color rgb="FF000000"/>
            <rFont val="Times New Roman"/>
            <family val="18"/>
          </rPr>
          <t xml:space="preserve"> </t>
        </r>
        <r>
          <rPr>
            <i/>
            <sz val="14"/>
            <color rgb="FF000000"/>
            <rFont val="Times New Roman"/>
            <family val="18"/>
          </rPr>
          <t>Praktikant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15/04/1810 </t>
        </r>
        <r>
          <rPr>
            <i/>
            <sz val="14"/>
            <color rgb="FF000000"/>
            <rFont val="Times New Roman"/>
            <family val="18"/>
          </rPr>
          <t>Mit Abschied und drei Monatliche Abfertigungsgage von 36Fl entlassen</t>
        </r>
        <r>
          <rPr>
            <sz val="14"/>
            <color rgb="FF000000"/>
            <rFont val="Times New Roman"/>
            <family val="18"/>
          </rPr>
          <t xml:space="preserve"> [Ent-Cons. April 1810 &amp; Verpf.-Cons. April 1810]
</t>
        </r>
      </text>
    </comment>
    <comment ref="BG1297" authorId="0" shapeId="0" xr:uid="{1C0D7865-1CBD-E648-A745-2AC4943C4B83}">
      <text>
        <r>
          <rPr>
            <sz val="14"/>
            <color rgb="FF000000"/>
            <rFont val="Times New Roman"/>
            <family val="18"/>
          </rPr>
          <t xml:space="preserve">ST 11.994 HFS (1809-14) – AL HFS 32 Nr. 5 (Prague 23/05/1810); Ent-Cons. HFS 32 Nr. 14 (Opočno 16/04/1810); VerpfL Juni 1809 (Geyersberg 31/12/1809); VerpfL April 1810 (Opočno 07/08/1810)
</t>
        </r>
      </text>
    </comment>
    <comment ref="BH1297" authorId="0" shapeId="0" xr:uid="{3B1ABD33-A5C6-1948-92F8-E3821F2FA409}">
      <text>
        <r>
          <rPr>
            <sz val="14"/>
            <color rgb="FF000000"/>
            <rFont val="Calibri"/>
            <family val="34"/>
          </rPr>
          <t xml:space="preserve">HFS 1 (1809) 
</t>
        </r>
        <r>
          <rPr>
            <sz val="14"/>
            <color rgb="FF000000"/>
            <rFont val="Calibri"/>
            <family val="34"/>
          </rPr>
          <t>HFS 32 (1809-1810)</t>
        </r>
      </text>
    </comment>
    <comment ref="BF1298" authorId="0" shapeId="0" xr:uid="{DDE695B8-5BE8-5B44-BD3E-7320F3F56802}">
      <text>
        <r>
          <rPr>
            <sz val="14"/>
            <color rgb="FF000000"/>
            <rFont val="Times New Roman"/>
            <family val="18"/>
          </rPr>
          <t xml:space="preserve">10 </t>
        </r>
        <r>
          <rPr>
            <i/>
            <sz val="14"/>
            <color rgb="FF000000"/>
            <rFont val="Times New Roman"/>
            <family val="18"/>
          </rPr>
          <t>Jahre Franzosen gedient unc von da entweichen</t>
        </r>
        <r>
          <rPr>
            <sz val="14"/>
            <color rgb="FF000000"/>
            <rFont val="Calibri"/>
            <family val="34"/>
          </rPr>
          <t xml:space="preserve">
</t>
        </r>
        <r>
          <rPr>
            <sz val="14"/>
            <color rgb="FF000000"/>
            <rFont val="Times New Roman"/>
            <family val="18"/>
          </rPr>
          <t xml:space="preserve">11/05/1809 </t>
        </r>
        <r>
          <rPr>
            <i/>
            <sz val="14"/>
            <color rgb="FF000000"/>
            <rFont val="Times New Roman"/>
            <family val="18"/>
          </rPr>
          <t xml:space="preserve">Zum Westgalizischen Frei Bat. Nr. 2 auf Werbgeld von 15Fl auf Kriegsdauer assentiert und zum 2. Komp. ‘St Delis’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03/07/1809 </t>
        </r>
        <r>
          <rPr>
            <i/>
            <sz val="14"/>
            <color rgb="FF000000"/>
            <rFont val="Times New Roman"/>
            <family val="18"/>
          </rPr>
          <t xml:space="preserve">Desertiert </t>
        </r>
        <r>
          <rPr>
            <sz val="14"/>
            <color rgb="FF000000"/>
            <rFont val="Times New Roman"/>
            <family val="18"/>
          </rPr>
          <t>[ST July 1809]</t>
        </r>
      </text>
    </comment>
    <comment ref="BG1298" authorId="0" shapeId="0" xr:uid="{419D30B6-0CCF-D242-A494-6C8728D40320}">
      <text>
        <r>
          <rPr>
            <sz val="14"/>
            <color rgb="FF000000"/>
            <rFont val="Times New Roman"/>
            <family val="18"/>
          </rPr>
          <t>ML 10.831 WGal FB 2 (1809-10) – AL Nr. 156 (Warsaw 23/05/1809), ST May (Tischmanitz 10/10/1810), ST July (Brünn 20/12/1810)</t>
        </r>
        <r>
          <rPr>
            <sz val="14"/>
            <color rgb="FF000000"/>
            <rFont val="Calibri"/>
            <family val="34"/>
          </rPr>
          <t xml:space="preserve">
</t>
        </r>
      </text>
    </comment>
    <comment ref="BH1298" authorId="0" shapeId="0" xr:uid="{AC07D31D-C851-4B46-9D64-84AD892D71AA}">
      <text>
        <r>
          <rPr>
            <sz val="14"/>
            <color rgb="FF000000"/>
            <rFont val="Calibri"/>
            <family val="34"/>
          </rPr>
          <t>WGal FB 2 (1809)</t>
        </r>
      </text>
    </comment>
    <comment ref="BF1299" authorId="0" shapeId="0" xr:uid="{2851CFEA-0D93-EF47-8954-08B5126BF84B}">
      <text>
        <r>
          <rPr>
            <sz val="14"/>
            <color rgb="FF000000"/>
            <rFont val="Times New Roman"/>
            <family val="18"/>
          </rPr>
          <t xml:space="preserve">11/05/1809 </t>
        </r>
        <r>
          <rPr>
            <i/>
            <sz val="14"/>
            <color rgb="FF000000"/>
            <rFont val="Times New Roman"/>
            <family val="18"/>
          </rPr>
          <t xml:space="preserve">A 3Fl Handgeld mit 10-jähriger Capitulation assentiert </t>
        </r>
        <r>
          <rPr>
            <sz val="14"/>
            <color rgb="FF000000"/>
            <rFont val="Times New Roman"/>
            <family val="18"/>
          </rPr>
          <t>[TL Oct 1809]</t>
        </r>
        <r>
          <rPr>
            <sz val="14"/>
            <color rgb="FF000000"/>
            <rFont val="Aptos"/>
            <family val="34"/>
          </rPr>
          <t xml:space="preserve">
</t>
        </r>
        <r>
          <rPr>
            <sz val="14"/>
            <color rgb="FF000000"/>
            <rFont val="Times New Roman"/>
            <family val="18"/>
          </rPr>
          <t xml:space="preserve">21/06/1809 </t>
        </r>
        <r>
          <rPr>
            <i/>
            <sz val="14"/>
            <color rgb="FF000000"/>
            <rFont val="Times New Roman"/>
            <family val="18"/>
          </rPr>
          <t xml:space="preserve">Von IR 25 Depot Division zum FAR 4 transferiert </t>
        </r>
        <r>
          <rPr>
            <sz val="14"/>
            <color rgb="FF000000"/>
            <rFont val="Times New Roman"/>
            <family val="18"/>
          </rPr>
          <t>[TL Oct 1789]</t>
        </r>
        <r>
          <rPr>
            <sz val="14"/>
            <color rgb="FF000000"/>
            <rFont val="Aptos"/>
            <family val="34"/>
          </rPr>
          <t xml:space="preserve">
</t>
        </r>
        <r>
          <rPr>
            <sz val="14"/>
            <color rgb="FF000000"/>
            <rFont val="Calibri"/>
            <family val="34"/>
          </rPr>
          <t xml:space="preserve">
</t>
        </r>
      </text>
    </comment>
    <comment ref="BG1299" authorId="0" shapeId="0" xr:uid="{87D3C338-CFAA-0E43-86F8-668943E35359}">
      <text>
        <r>
          <rPr>
            <sz val="14"/>
            <color rgb="FF000000"/>
            <rFont val="Times New Roman"/>
            <family val="18"/>
          </rPr>
          <t xml:space="preserve">ML 8209 FAR 4 (1809) </t>
        </r>
        <r>
          <rPr>
            <sz val="14"/>
            <color rgb="FF000000"/>
            <rFont val="Times New Roman"/>
            <family val="18"/>
          </rPr>
          <t>– TL IR 25-&gt;FAR 4 Nr. 2 (Pisek 02/10/1809)</t>
        </r>
        <r>
          <rPr>
            <sz val="14"/>
            <color rgb="FF000000"/>
            <rFont val="Aptos"/>
            <family val="34"/>
          </rPr>
          <t xml:space="preserve">
</t>
        </r>
      </text>
    </comment>
    <comment ref="BH1299" authorId="0" shapeId="0" xr:uid="{A59113EE-BFB4-BA44-8A2B-CBB5523F9924}">
      <text>
        <r>
          <rPr>
            <sz val="14"/>
            <color rgb="FF000000"/>
            <rFont val="Calibri"/>
            <family val="34"/>
          </rPr>
          <t xml:space="preserve">IR 25 (1809) 
</t>
        </r>
        <r>
          <rPr>
            <sz val="14"/>
            <color rgb="FF000000"/>
            <rFont val="Calibri"/>
            <family val="34"/>
          </rPr>
          <t>FAR 4 (1809)</t>
        </r>
      </text>
    </comment>
    <comment ref="BF1300" authorId="0" shapeId="0" xr:uid="{9F338D60-852B-C14A-AD8C-E37CC9434F9E}">
      <text>
        <r>
          <rPr>
            <sz val="14"/>
            <color rgb="FF000000"/>
            <rFont val="Times New Roman"/>
            <family val="18"/>
          </rPr>
          <t xml:space="preserve">14/05/1809 </t>
        </r>
        <r>
          <rPr>
            <i/>
            <sz val="14"/>
            <color rgb="FF000000"/>
            <rFont val="Times New Roman"/>
            <family val="18"/>
          </rPr>
          <t xml:space="preserve">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zu Biala assentiert und zum 4. Komp.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Auf March Desertiert</t>
        </r>
        <r>
          <rPr>
            <sz val="14"/>
            <color rgb="FF000000"/>
            <rFont val="Times New Roman"/>
            <family val="18"/>
          </rPr>
          <t xml:space="preserve"> [ST May 1809] </t>
        </r>
      </text>
    </comment>
    <comment ref="BG1300" authorId="0" shapeId="0" xr:uid="{D8D12C77-74CE-6A4E-AA67-6A0E85566215}">
      <text>
        <r>
          <rPr>
            <sz val="14"/>
            <color rgb="FF000000"/>
            <rFont val="Times New Roman"/>
            <family val="18"/>
          </rPr>
          <t>ML 10.831 WGal FB 2 (1809-10) – AL Nr. 6 (Biala 18/05/1809), ST May (Tischmanitz 10/10/1810)</t>
        </r>
        <r>
          <rPr>
            <sz val="14"/>
            <color rgb="FF000000"/>
            <rFont val="Calibri"/>
            <family val="34"/>
          </rPr>
          <t xml:space="preserve">
</t>
        </r>
      </text>
    </comment>
    <comment ref="BH1300" authorId="0" shapeId="0" xr:uid="{91AD0013-4421-0E4F-A658-29674881CFB6}">
      <text>
        <r>
          <rPr>
            <sz val="14"/>
            <color rgb="FF000000"/>
            <rFont val="Calibri"/>
            <family val="34"/>
          </rPr>
          <t>WGal FB 2 (1809)</t>
        </r>
      </text>
    </comment>
    <comment ref="BF1301" authorId="0" shapeId="0" xr:uid="{73E4622E-D747-5547-8723-8ABD17734E41}">
      <text>
        <r>
          <rPr>
            <sz val="14"/>
            <color rgb="FF000000"/>
            <rFont val="Times New Roman"/>
            <family val="18"/>
          </rPr>
          <t xml:space="preserve">14/05/1809 </t>
        </r>
        <r>
          <rPr>
            <i/>
            <sz val="14"/>
            <color rgb="FF000000"/>
            <rFont val="Times New Roman"/>
            <family val="18"/>
          </rPr>
          <t xml:space="preserve">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zu Biala assentiert und zum 4. Komp.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Auf March Desertiert</t>
        </r>
        <r>
          <rPr>
            <sz val="14"/>
            <color rgb="FF000000"/>
            <rFont val="Times New Roman"/>
            <family val="18"/>
          </rPr>
          <t xml:space="preserve"> [ST May 1809] </t>
        </r>
      </text>
    </comment>
    <comment ref="BG1301" authorId="0" shapeId="0" xr:uid="{4D85B575-4D4A-684C-B112-93010F426E9F}">
      <text>
        <r>
          <rPr>
            <sz val="14"/>
            <color rgb="FF000000"/>
            <rFont val="Times New Roman"/>
            <family val="18"/>
          </rPr>
          <t>ML 10.380 IR 45 (1809) – TL IR 41-&gt; IR 46 Nr. 90 (Sanok 08/08/1809); ST Sept-Oct (Vienna 01/05/1811), Nov (Vienna 04/05/1811)</t>
        </r>
        <r>
          <rPr>
            <sz val="14"/>
            <color rgb="FF000000"/>
            <rFont val="Calibri"/>
            <family val="34"/>
          </rPr>
          <t xml:space="preserve">
</t>
        </r>
        <r>
          <rPr>
            <sz val="14"/>
            <color rgb="FF000000"/>
            <rFont val="Times New Roman"/>
            <family val="18"/>
          </rPr>
          <t>ML 10.381 IR 45 (1810) – ST March-Oct (20/06/1811)</t>
        </r>
        <r>
          <rPr>
            <sz val="14"/>
            <color rgb="FF000000"/>
            <rFont val="Calibri"/>
            <family val="34"/>
          </rPr>
          <t xml:space="preserve">
</t>
        </r>
      </text>
    </comment>
    <comment ref="BH1301" authorId="0" shapeId="0" xr:uid="{196C6AA2-036B-AB4B-B629-E3DF8789B36A}">
      <text>
        <r>
          <rPr>
            <sz val="14"/>
            <color rgb="FF000000"/>
            <rFont val="Calibri"/>
            <family val="34"/>
          </rPr>
          <t xml:space="preserve">IR 41 (1809)
</t>
        </r>
        <r>
          <rPr>
            <sz val="14"/>
            <color rgb="FF000000"/>
            <rFont val="Calibri"/>
            <family val="34"/>
          </rPr>
          <t>IR 45 (1809-1810)</t>
        </r>
      </text>
    </comment>
    <comment ref="BF1302" authorId="0" shapeId="0" xr:uid="{57A7CD49-C827-9346-8E7E-D8F2B74194DB}">
      <text>
        <r>
          <rPr>
            <sz val="14"/>
            <color rgb="FF000000"/>
            <rFont val="Times New Roman"/>
            <family val="18"/>
          </rPr>
          <t xml:space="preserve">15/05/1809 </t>
        </r>
        <r>
          <rPr>
            <i/>
            <sz val="14"/>
            <color rgb="FF000000"/>
            <rFont val="Times New Roman"/>
            <family val="18"/>
          </rPr>
          <t>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6. Fus. Komp. Nr. 71 [</t>
        </r>
        <r>
          <rPr>
            <i/>
            <sz val="14"/>
            <color rgb="FF000000"/>
            <rFont val="Times New Roman"/>
            <family val="18"/>
          </rPr>
          <t>Beurlaubt in seiner Heimat auf bestimmte Zeit</t>
        </r>
        <r>
          <rPr>
            <sz val="14"/>
            <color rgb="FF000000"/>
            <rFont val="Calibri"/>
            <family val="2"/>
            <scheme val="minor"/>
          </rPr>
          <t xml:space="preserve"> </t>
        </r>
      </text>
    </comment>
    <comment ref="BG1302" authorId="0" shapeId="0" xr:uid="{B0EA1216-CAC8-F54E-AF74-607C8E10D4B7}">
      <text>
        <r>
          <rPr>
            <sz val="14"/>
            <color rgb="FF000000"/>
            <rFont val="Times New Roman"/>
            <family val="18"/>
          </rPr>
          <t>ML 634 IR 9 (1811) – 6. Fus. Komp. Nr. 71 (Eperies, 09/09/1811)</t>
        </r>
      </text>
    </comment>
    <comment ref="BH1302" authorId="0" shapeId="0" xr:uid="{4568F1CB-DBF8-B843-B80E-5B1C201C85C8}">
      <text>
        <r>
          <rPr>
            <sz val="14"/>
            <color rgb="FF000000"/>
            <rFont val="Calibri"/>
            <family val="34"/>
          </rPr>
          <t>IR 9 (1809-1811)</t>
        </r>
      </text>
    </comment>
    <comment ref="I1303" authorId="0" shapeId="0" xr:uid="{E43CDB29-F026-5647-830E-52CEC21FEE27}">
      <text>
        <r>
          <rPr>
            <b/>
            <sz val="14"/>
            <color rgb="FF000000"/>
            <rFont val="Calibri"/>
            <family val="34"/>
          </rPr>
          <t xml:space="preserve">1786 [23 (1809)]
</t>
        </r>
        <r>
          <rPr>
            <sz val="14"/>
            <color rgb="FF000000"/>
            <rFont val="Calibri"/>
            <family val="34"/>
          </rPr>
          <t xml:space="preserve">OR 
</t>
        </r>
        <r>
          <rPr>
            <sz val="14"/>
            <color rgb="FF000000"/>
            <rFont val="Calibri"/>
            <family val="34"/>
          </rPr>
          <t>1788 [30 (1818)]</t>
        </r>
      </text>
    </comment>
    <comment ref="K1303" authorId="0" shapeId="0" xr:uid="{AB5308DB-D87D-B642-82CE-B46613B526A2}">
      <text>
        <r>
          <rPr>
            <sz val="14"/>
            <color rgb="FF000000"/>
            <rFont val="Calibri"/>
            <family val="34"/>
          </rPr>
          <t xml:space="preserve">Ohne (1809)
</t>
        </r>
        <r>
          <rPr>
            <sz val="14"/>
            <color rgb="FF000000"/>
            <rFont val="Calibri"/>
            <family val="34"/>
          </rPr>
          <t>Schuster  (1811-1818)</t>
        </r>
      </text>
    </comment>
    <comment ref="T1303" authorId="0" shapeId="0" xr:uid="{0926CB6B-F837-BC47-9453-175161FC0FF5}">
      <text>
        <r>
          <rPr>
            <sz val="14"/>
            <color rgb="FF000000"/>
            <rFont val="Calibri"/>
            <family val="34"/>
          </rPr>
          <t xml:space="preserve">5.1 [160.63 (1809)]
</t>
        </r>
        <r>
          <rPr>
            <sz val="14"/>
            <color rgb="FF000000"/>
            <rFont val="Calibri"/>
            <family val="34"/>
          </rPr>
          <t>5.3 [165.89 (1811-18)]</t>
        </r>
      </text>
    </comment>
    <comment ref="BF1303" authorId="0" shapeId="0" xr:uid="{93F64D7B-2311-8E4A-9492-A8FF0F22A640}">
      <text>
        <r>
          <rPr>
            <sz val="14"/>
            <color rgb="FFFF0000"/>
            <rFont val="Times New Roman"/>
            <family val="18"/>
          </rPr>
          <t xml:space="preserve">25/02/1809 </t>
        </r>
        <r>
          <rPr>
            <i/>
            <sz val="14"/>
            <color rgb="FFFF0000"/>
            <rFont val="Times New Roman"/>
            <family val="18"/>
          </rPr>
          <t>dient seit in De Veaux als St. Rekrut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15/05/1809 </t>
        </r>
        <r>
          <rPr>
            <i/>
            <sz val="14"/>
            <color rgb="FF000000"/>
            <rFont val="Times New Roman"/>
            <family val="18"/>
          </rPr>
          <t>zu</t>
        </r>
        <r>
          <rPr>
            <sz val="14"/>
            <color rgb="FF000000"/>
            <rFont val="Times New Roman"/>
            <family val="18"/>
          </rPr>
          <t xml:space="preserve"> </t>
        </r>
        <r>
          <rPr>
            <i/>
            <sz val="14"/>
            <color rgb="FF000000"/>
            <rFont val="Times New Roman"/>
            <family val="18"/>
          </rPr>
          <t>Zalleszick</t>
        </r>
        <r>
          <rPr>
            <sz val="14"/>
            <color rgb="FF000000"/>
            <rFont val="Times New Roman"/>
            <family val="18"/>
          </rPr>
          <t xml:space="preserve"> </t>
        </r>
        <r>
          <rPr>
            <b/>
            <sz val="14"/>
            <color rgb="FF000000"/>
            <rFont val="Times New Roman"/>
            <family val="18"/>
          </rPr>
          <t>[</t>
        </r>
        <r>
          <rPr>
            <b/>
            <u/>
            <sz val="14"/>
            <color rgb="FF0563C1"/>
            <rFont val="Times New Roman"/>
            <family val="18"/>
          </rPr>
          <t>Zaleszczyki, Ukraine</t>
        </r>
        <r>
          <rPr>
            <b/>
            <sz val="14"/>
            <color rgb="FF000000"/>
            <rFont val="Times New Roman"/>
            <family val="18"/>
          </rPr>
          <t>]</t>
        </r>
        <r>
          <rPr>
            <sz val="14"/>
            <color rgb="FF000000"/>
            <rFont val="Times New Roman"/>
            <family val="18"/>
          </rPr>
          <t xml:space="preserve"> </t>
        </r>
        <r>
          <rPr>
            <i/>
            <sz val="14"/>
            <color rgb="FF000000"/>
            <rFont val="Times New Roman"/>
            <family val="18"/>
          </rPr>
          <t>auf 10 Jahr a 3Fl Handgeld zum IR 41 assentiert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31/07/1809 </t>
        </r>
        <r>
          <rPr>
            <i/>
            <sz val="14"/>
            <color rgb="FF000000"/>
            <rFont val="Times New Roman"/>
            <family val="18"/>
          </rPr>
          <t>Von IR 41 2. Reserve zum IR 45 transferiert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12/09/1809 </t>
        </r>
        <r>
          <rPr>
            <i/>
            <sz val="14"/>
            <color rgb="FF000000"/>
            <rFont val="Times New Roman"/>
            <family val="18"/>
          </rPr>
          <t>Ins Regiment eingerückt und zur 5. Fus Komp. eingeheilt</t>
        </r>
        <r>
          <rPr>
            <sz val="14"/>
            <color rgb="FF000000"/>
            <rFont val="Times New Roman"/>
            <family val="18"/>
          </rPr>
          <t xml:space="preserve"> [ST Sept-Oct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Commandiert bei der Artillerie Bespannung</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28/02/1810 </t>
        </r>
        <r>
          <rPr>
            <i/>
            <sz val="14"/>
            <color rgb="FF000000"/>
            <rFont val="Times New Roman"/>
            <family val="18"/>
          </rPr>
          <t>Von IR 45 5. Fus. Komp. zum IR 16 ‘Luisignan’ transferiert</t>
        </r>
        <r>
          <rPr>
            <sz val="14"/>
            <color rgb="FF000000"/>
            <rFont val="Times New Roman"/>
            <family val="18"/>
          </rPr>
          <t xml:space="preserve"> [ST March-Oct 1810]</t>
        </r>
        <r>
          <rPr>
            <sz val="14"/>
            <color rgb="FF000000"/>
            <rFont val="Calibri"/>
            <family val="34"/>
          </rPr>
          <t xml:space="preserve">
</t>
        </r>
        <r>
          <rPr>
            <sz val="14"/>
            <color rgb="FFFF0000"/>
            <rFont val="Times New Roman"/>
            <family val="18"/>
          </rPr>
          <t xml:space="preserve">06/08/1810 </t>
        </r>
        <r>
          <rPr>
            <i/>
            <sz val="14"/>
            <color rgb="FFFF0000"/>
            <rFont val="Times New Roman"/>
            <family val="18"/>
          </rPr>
          <t>Zum Luisignan transferiert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01/03/1811 </t>
        </r>
        <r>
          <rPr>
            <i/>
            <sz val="14"/>
            <color rgb="FF000000"/>
            <rFont val="Times New Roman"/>
            <family val="18"/>
          </rPr>
          <t>Von IR 16 zum GK Stiermark transferiert</t>
        </r>
        <r>
          <rPr>
            <sz val="14"/>
            <color rgb="FF000000"/>
            <rFont val="Calibri"/>
            <family val="34"/>
          </rPr>
          <t xml:space="preserve">
</t>
        </r>
        <r>
          <rPr>
            <sz val="14"/>
            <color rgb="FF000000"/>
            <rFont val="Times New Roman"/>
            <family val="18"/>
          </rPr>
          <t>23/09/1811 Muster: GK Steiermark 2. Komp. Nr. 117</t>
        </r>
        <r>
          <rPr>
            <sz val="14"/>
            <color rgb="FF000000"/>
            <rFont val="Calibri"/>
            <family val="34"/>
          </rPr>
          <t xml:space="preserve">
</t>
        </r>
        <r>
          <rPr>
            <sz val="14"/>
            <color rgb="FF000000"/>
            <rFont val="Times New Roman"/>
            <family val="18"/>
          </rPr>
          <t xml:space="preserve">09/09/1812 Revision: GK Steiermark 2. Komp. Nr. 107 </t>
        </r>
        <r>
          <rPr>
            <sz val="14"/>
            <color rgb="FF000000"/>
            <rFont val="Calibri"/>
            <family val="34"/>
          </rPr>
          <t xml:space="preserve">
</t>
        </r>
        <r>
          <rPr>
            <sz val="14"/>
            <color rgb="FF000000"/>
            <rFont val="Times New Roman"/>
            <family val="18"/>
          </rPr>
          <t>13/10/1817 Muster: GK Steiermark 2. Komp. Nr. 84</t>
        </r>
        <r>
          <rPr>
            <sz val="14"/>
            <color rgb="FF000000"/>
            <rFont val="Calibri"/>
            <family val="34"/>
          </rPr>
          <t xml:space="preserve">
</t>
        </r>
        <r>
          <rPr>
            <sz val="14"/>
            <color rgb="FF000000"/>
            <rFont val="Times New Roman"/>
            <family val="18"/>
          </rPr>
          <t>03/10/1818 Muster: GK Steirmark 2. Komp. Nr. 82</t>
        </r>
        <r>
          <rPr>
            <sz val="14"/>
            <color rgb="FF000000"/>
            <rFont val="Calibri"/>
            <family val="34"/>
          </rPr>
          <t xml:space="preserve">
</t>
        </r>
      </text>
    </comment>
    <comment ref="BG1303" authorId="0" shapeId="0" xr:uid="{C06DC9B5-B4E0-A64F-AA9D-A1E72C7D5417}">
      <text>
        <r>
          <rPr>
            <sz val="14"/>
            <color rgb="FF000000"/>
            <rFont val="Times New Roman"/>
            <family val="18"/>
          </rPr>
          <t>ML 10.380 IR 45 (1809) – TL IR 41-&gt; IR 46 Nr. 90 (Sanok 08/08/1809); ST Sept-Oct (Vienna 01/05/1811) Nov (Vienna 04/05/1811)</t>
        </r>
        <r>
          <rPr>
            <sz val="14"/>
            <color rgb="FF000000"/>
            <rFont val="Calibri"/>
            <family val="34"/>
          </rPr>
          <t xml:space="preserve">
</t>
        </r>
        <r>
          <rPr>
            <sz val="14"/>
            <color rgb="FF000000"/>
            <rFont val="Times New Roman"/>
            <family val="18"/>
          </rPr>
          <t>ML 10.381 IR 45 (1810) – ST March-Oct (20/06/1811)</t>
        </r>
        <r>
          <rPr>
            <sz val="14"/>
            <color rgb="FF000000"/>
            <rFont val="Calibri"/>
            <family val="34"/>
          </rPr>
          <t xml:space="preserve">
</t>
        </r>
        <r>
          <rPr>
            <sz val="14"/>
            <color rgb="FF000000"/>
            <rFont val="Times New Roman"/>
            <family val="18"/>
          </rPr>
          <t>ML 8796 GK Styer. (1808-12) – ML 1811 2. Komp. Nr. 117 (Graz 23/09/1811), RL 2. Komp. Nr. 107 (Hartberg 09/09/1812)</t>
        </r>
        <r>
          <rPr>
            <sz val="14"/>
            <color rgb="FF000000"/>
            <rFont val="Calibri"/>
            <family val="34"/>
          </rPr>
          <t xml:space="preserve">
</t>
        </r>
        <r>
          <rPr>
            <sz val="14"/>
            <color rgb="FF000000"/>
            <rFont val="Times New Roman"/>
            <family val="18"/>
          </rPr>
          <t>ML 8797 GK Styr. (1817-18) – ML 1817 2. Komp. Nr. 84 (Hartberg 13/10/1818), ML 1818 2. Komp. Nr. 82 (Fürstenfeld 03/10/1818)</t>
        </r>
        <r>
          <rPr>
            <sz val="14"/>
            <color rgb="FF000000"/>
            <rFont val="Calibri"/>
            <family val="34"/>
          </rPr>
          <t xml:space="preserve">
</t>
        </r>
      </text>
    </comment>
    <comment ref="BH1303" authorId="0" shapeId="0" xr:uid="{42DFCDA5-C701-204A-821B-0DB7A585CC4A}">
      <text>
        <r>
          <rPr>
            <sz val="14"/>
            <color rgb="FF000000"/>
            <rFont val="Calibri"/>
            <family val="34"/>
          </rPr>
          <t xml:space="preserve">IR 41 (1809)
</t>
        </r>
        <r>
          <rPr>
            <sz val="14"/>
            <color rgb="FF000000"/>
            <rFont val="Calibri"/>
            <family val="34"/>
          </rPr>
          <t xml:space="preserve">IR 45 (1809-1810)
</t>
        </r>
        <r>
          <rPr>
            <sz val="14"/>
            <color rgb="FF000000"/>
            <rFont val="Calibri"/>
            <family val="34"/>
          </rPr>
          <t xml:space="preserve">IR 16 (1810-1811)
</t>
        </r>
        <r>
          <rPr>
            <sz val="14"/>
            <color rgb="FF000000"/>
            <rFont val="Calibri"/>
            <family val="34"/>
          </rPr>
          <t>GK Styr. (1811-1818)</t>
        </r>
      </text>
    </comment>
    <comment ref="BF1304" authorId="0" shapeId="0" xr:uid="{18999537-AC3E-054F-B6F2-E76F6173AF52}">
      <text>
        <r>
          <rPr>
            <sz val="14"/>
            <color rgb="FF000000"/>
            <rFont val="Times New Roman"/>
            <family val="18"/>
          </rPr>
          <t xml:space="preserve">15/05/1809 </t>
        </r>
        <r>
          <rPr>
            <i/>
            <sz val="14"/>
            <color rgb="FF000000"/>
            <rFont val="Times New Roman"/>
            <family val="18"/>
          </rPr>
          <t>A 3Fl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5. Fus. Komp. Nr. 85 [</t>
        </r>
        <r>
          <rPr>
            <i/>
            <sz val="14"/>
            <color rgb="FF000000"/>
            <rFont val="Times New Roman"/>
            <family val="18"/>
          </rPr>
          <t>Auf bestimmte Zeit beurlaubt in seiner Heimat</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304" authorId="0" shapeId="0" xr:uid="{E3EC138A-9EE1-9D4E-BB67-4A6707C93C95}">
      <text>
        <r>
          <rPr>
            <sz val="14"/>
            <color rgb="FF000000"/>
            <rFont val="Times New Roman"/>
            <family val="18"/>
          </rPr>
          <t>ML 634 IR 9 (1811) – 5. Fus. Komp. Nr. 85 (Eperies, 09/09/1811)</t>
        </r>
        <r>
          <rPr>
            <sz val="14"/>
            <color rgb="FF000000"/>
            <rFont val="Calibri"/>
            <family val="34"/>
          </rPr>
          <t xml:space="preserve">
</t>
        </r>
      </text>
    </comment>
    <comment ref="BH1304" authorId="0" shapeId="0" xr:uid="{990B3418-6CB7-1041-926A-4B02A7677307}">
      <text>
        <r>
          <rPr>
            <sz val="14"/>
            <color rgb="FF000000"/>
            <rFont val="Calibri"/>
            <family val="34"/>
          </rPr>
          <t>IR 9 (1809-1811)</t>
        </r>
      </text>
    </comment>
    <comment ref="I1305" authorId="0" shapeId="0" xr:uid="{80F065FC-8CD3-9C41-AE95-F5A09591CBAB}">
      <text>
        <r>
          <rPr>
            <sz val="14"/>
            <color rgb="FF000000"/>
            <rFont val="Calibri"/>
            <family val="34"/>
          </rPr>
          <t xml:space="preserve">1780 [29 (1810)]
</t>
        </r>
        <r>
          <rPr>
            <sz val="14"/>
            <color rgb="FF000000"/>
            <rFont val="Calibri"/>
            <family val="34"/>
          </rPr>
          <t xml:space="preserve">OR
</t>
        </r>
        <r>
          <rPr>
            <b/>
            <sz val="14"/>
            <color rgb="FF000000"/>
            <rFont val="Calibri"/>
            <family val="34"/>
          </rPr>
          <t xml:space="preserve">1789 [20 (1809)]
</t>
        </r>
      </text>
    </comment>
    <comment ref="BF1305" authorId="0" shapeId="0" xr:uid="{46E76934-0204-B449-A5E5-4C7F1CF32F67}">
      <text>
        <r>
          <rPr>
            <sz val="14"/>
            <color rgb="FF000000"/>
            <rFont val="Times New Roman"/>
            <family val="18"/>
          </rPr>
          <t xml:space="preserve">16/05/1809 </t>
        </r>
        <r>
          <rPr>
            <i/>
            <sz val="14"/>
            <color rgb="FF000000"/>
            <rFont val="Times New Roman"/>
            <family val="18"/>
          </rPr>
          <t>auf 3Fl mit 10-Jähriger Capitulaiton zu Zaleszczyk gestellt und zu, IR 41 assentiert</t>
        </r>
        <r>
          <rPr>
            <sz val="14"/>
            <color rgb="FF000000"/>
            <rFont val="Times New Roman"/>
            <family val="18"/>
          </rPr>
          <t xml:space="preserve"> [TL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Kuttulinsky IR 41 anhero transferiert seitdem auf Anmarsch</t>
        </r>
        <r>
          <rPr>
            <sz val="14"/>
            <color rgb="FF000000"/>
            <rFont val="Times New Roman"/>
            <family val="18"/>
          </rPr>
          <t xml:space="preserve"> [TL 1809 &amp; ST Aug 1809]</t>
        </r>
        <r>
          <rPr>
            <sz val="14"/>
            <color rgb="FF000000"/>
            <rFont val="Calibri"/>
            <family val="34"/>
          </rPr>
          <t xml:space="preserve">
</t>
        </r>
        <r>
          <rPr>
            <sz val="14"/>
            <color rgb="FF000000"/>
            <rFont val="Times New Roman"/>
            <family val="18"/>
          </rPr>
          <t xml:space="preserve">16/08/1809 </t>
        </r>
        <r>
          <rPr>
            <i/>
            <sz val="14"/>
            <color rgb="FF000000"/>
            <rFont val="Times New Roman"/>
            <family val="18"/>
          </rPr>
          <t>In Regiment eingerückt und zum 11. Fus Comp eingeteilt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22/10/1809 </t>
        </r>
        <r>
          <rPr>
            <i/>
            <sz val="14"/>
            <color rgb="FF000000"/>
            <rFont val="Times New Roman"/>
            <family val="18"/>
          </rPr>
          <t>Krank auswärts in Armee Spitälern</t>
        </r>
        <r>
          <rPr>
            <sz val="14"/>
            <color rgb="FF000000"/>
            <rFont val="Times New Roman"/>
            <family val="18"/>
          </rPr>
          <t xml:space="preserve"> [ST Okt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Reconvalesciert</t>
        </r>
        <r>
          <rPr>
            <sz val="14"/>
            <color rgb="FF000000"/>
            <rFont val="Times New Roman"/>
            <family val="18"/>
          </rPr>
          <t xml:space="preserve"> [ST Jan 1810] </t>
        </r>
        <r>
          <rPr>
            <sz val="14"/>
            <color rgb="FF000000"/>
            <rFont val="Calibri"/>
            <family val="34"/>
          </rPr>
          <t xml:space="preserve">
</t>
        </r>
        <r>
          <rPr>
            <sz val="14"/>
            <color rgb="FF000000"/>
            <rFont val="Times New Roman"/>
            <family val="18"/>
          </rPr>
          <t>25/02/1810 Dissolvierung: IR 43 11. Fus Nr. 82 [</t>
        </r>
        <r>
          <rPr>
            <i/>
            <sz val="14"/>
            <color rgb="FF000000"/>
            <rFont val="Times New Roman"/>
            <family val="18"/>
          </rPr>
          <t>Zu IR 9 Czartoryski einzuteilen</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11. Fus Comp des Dissolvierte IR 43 zum IR 9 Czartoryski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31/07/1811 </t>
        </r>
        <r>
          <rPr>
            <i/>
            <sz val="14"/>
            <color rgb="FF000000"/>
            <rFont val="Times New Roman"/>
            <family val="18"/>
          </rPr>
          <t>Als Real Invalid Gegen Renuncierung mit Abschied entlassen</t>
        </r>
        <r>
          <rPr>
            <sz val="14"/>
            <color rgb="FF000000"/>
            <rFont val="Times New Roman"/>
            <family val="18"/>
          </rPr>
          <t xml:space="preserve"> [ML 1811]</t>
        </r>
        <r>
          <rPr>
            <sz val="14"/>
            <color rgb="FF000000"/>
            <rFont val="Calibri"/>
            <family val="34"/>
          </rPr>
          <t xml:space="preserve">
</t>
        </r>
      </text>
    </comment>
    <comment ref="BG1305" authorId="0" shapeId="0" xr:uid="{431A3363-593C-884D-83FE-96B0F9F50A92}">
      <text>
        <r>
          <rPr>
            <sz val="14"/>
            <color rgb="FF000000"/>
            <rFont val="Calibri"/>
            <family val="34"/>
          </rPr>
          <t xml:space="preserve">ML 10.279 IR 43 (1808-10) –DL IR 43 11. Fus Comp Nr. 82 (Vordenberg 25/02/1810)
</t>
        </r>
        <r>
          <rPr>
            <sz val="14"/>
            <color rgb="FF000000"/>
            <rFont val="Calibri"/>
            <family val="34"/>
          </rPr>
          <t xml:space="preserve">ML 10.323 IR 43 (1809) – ST August (12/12/1810) und Oktober (01/02/1811)
</t>
        </r>
        <r>
          <rPr>
            <sz val="14"/>
            <color rgb="FF000000"/>
            <rFont val="Calibri"/>
            <family val="34"/>
          </rPr>
          <t xml:space="preserve">ML 10.324 IR 43 (1809) – TL IR 41-&gt; IR 43 Nr. 74 (Przemysl 01/09/1810)
</t>
        </r>
        <r>
          <rPr>
            <sz val="14"/>
            <color rgb="FF000000"/>
            <rFont val="Calibri"/>
            <family val="34"/>
          </rPr>
          <t xml:space="preserve">ML 10.325 IR 43 (1810) – ST Jänner (01/03/1811) und März (11/03/1811)
</t>
        </r>
        <r>
          <rPr>
            <sz val="14"/>
            <color rgb="FF000000"/>
            <rFont val="Calibri"/>
            <family val="34"/>
          </rPr>
          <t xml:space="preserve">ML 10.326 IR 43 (1810) – TL IR 43-&gt; IR 9 Nr. 98 (Klagenfurt, 16/06/1810)
</t>
        </r>
        <r>
          <rPr>
            <sz val="14"/>
            <color rgb="FF000000"/>
            <rFont val="Calibri"/>
            <family val="34"/>
          </rPr>
          <t xml:space="preserve">ML 634 IR 9 (1811) </t>
        </r>
        <r>
          <rPr>
            <sz val="10"/>
            <color rgb="FF000000"/>
            <rFont val="Calibri"/>
            <family val="2"/>
          </rPr>
          <t xml:space="preserve">– </t>
        </r>
        <r>
          <rPr>
            <sz val="14"/>
            <color rgb="FF000000"/>
            <rFont val="Calibri"/>
            <family val="34"/>
          </rPr>
          <t xml:space="preserve"> 8. Fus Comp. – Abgang (Caschau 19/09/1811)
</t>
        </r>
      </text>
    </comment>
    <comment ref="BH1305" authorId="0" shapeId="0" xr:uid="{41CB0012-444D-5640-9CB7-106B7A7A809C}">
      <text>
        <r>
          <rPr>
            <sz val="14"/>
            <color rgb="FF000000"/>
            <rFont val="Calibri"/>
            <family val="34"/>
          </rPr>
          <t xml:space="preserve">IR 41 (1809)
</t>
        </r>
        <r>
          <rPr>
            <sz val="14"/>
            <color rgb="FF000000"/>
            <rFont val="Calibri"/>
            <family val="34"/>
          </rPr>
          <t xml:space="preserve">IR 43 (1809-10)
</t>
        </r>
        <r>
          <rPr>
            <sz val="14"/>
            <color rgb="FF000000"/>
            <rFont val="Calibri"/>
            <family val="34"/>
          </rPr>
          <t>IR 9 (1810)</t>
        </r>
      </text>
    </comment>
    <comment ref="BI1305" authorId="0" shapeId="0" xr:uid="{837D7D5A-719E-F744-AD9A-0F647729E1DF}">
      <text>
        <r>
          <rPr>
            <sz val="14"/>
            <color rgb="FF000000"/>
            <rFont val="Calibri"/>
            <family val="34"/>
          </rPr>
          <t>1810: Gut</t>
        </r>
      </text>
    </comment>
    <comment ref="BF1306" authorId="0" shapeId="0" xr:uid="{3C067D11-066D-0443-AB8B-36418940DCA4}">
      <text>
        <r>
          <rPr>
            <sz val="14"/>
            <color rgb="FF000000"/>
            <rFont val="Times New Roman"/>
            <family val="18"/>
          </rPr>
          <t xml:space="preserve">16/05/1809 </t>
        </r>
        <r>
          <rPr>
            <i/>
            <sz val="14"/>
            <color rgb="FF000000"/>
            <rFont val="Times New Roman"/>
            <family val="18"/>
          </rPr>
          <t>A 3Fl von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11/03/1810 </t>
        </r>
        <r>
          <rPr>
            <i/>
            <sz val="14"/>
            <color rgb="FF000000"/>
            <rFont val="Times New Roman"/>
            <family val="18"/>
          </rPr>
          <t>Von dissolvierte IR 13. ‘Reisky’ ins IR 9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4. Fus. Komp. Nr. 195 [</t>
        </r>
        <r>
          <rPr>
            <i/>
            <sz val="14"/>
            <color rgb="FF000000"/>
            <rFont val="Times New Roman"/>
            <family val="18"/>
          </rPr>
          <t>Beurlaubt in seiner Heimat bis zur Einberufung</t>
        </r>
        <r>
          <rPr>
            <sz val="14"/>
            <color rgb="FF000000"/>
            <rFont val="Times New Roman"/>
            <family val="18"/>
          </rPr>
          <t>]</t>
        </r>
        <r>
          <rPr>
            <sz val="14"/>
            <color rgb="FF000000"/>
            <rFont val="Calibri"/>
            <family val="34"/>
          </rPr>
          <t xml:space="preserve">
</t>
        </r>
        <r>
          <rPr>
            <sz val="14"/>
            <color rgb="FF000000"/>
            <rFont val="Calibri"/>
            <family val="34"/>
          </rPr>
          <t xml:space="preserve">
</t>
        </r>
      </text>
    </comment>
    <comment ref="BG1306" authorId="0" shapeId="0" xr:uid="{C8955C76-887C-CA47-A81B-0421C64CD329}">
      <text>
        <r>
          <rPr>
            <sz val="14"/>
            <color rgb="FF000000"/>
            <rFont val="Times New Roman"/>
            <family val="18"/>
          </rPr>
          <t>ML 634 IR 9 (1811) – 4. Fus. Komp. Nr. 195 (Eperies, 09/09/1811)</t>
        </r>
      </text>
    </comment>
    <comment ref="BH1306" authorId="0" shapeId="0" xr:uid="{491C3BA2-2C19-0941-A5C8-713652242BFB}">
      <text>
        <r>
          <rPr>
            <sz val="14"/>
            <color rgb="FF000000"/>
            <rFont val="Calibri"/>
            <family val="34"/>
          </rPr>
          <t xml:space="preserve">IR 13 (1809-1810)
</t>
        </r>
        <r>
          <rPr>
            <sz val="14"/>
            <color rgb="FF000000"/>
            <rFont val="Calibri"/>
            <family val="34"/>
          </rPr>
          <t>IR 9 (1810-1811)</t>
        </r>
      </text>
    </comment>
    <comment ref="BF1307" authorId="0" shapeId="0" xr:uid="{5D276BDD-DFB2-954D-AECA-DAD4BFEDE62A}">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1307" authorId="0" shapeId="0" xr:uid="{946EC62E-2AED-2141-950F-5BB240211AB4}">
      <text>
        <r>
          <rPr>
            <sz val="14"/>
            <color rgb="FF000000"/>
            <rFont val="Times New Roman"/>
            <family val="18"/>
          </rPr>
          <t>ML 2683 IR 30 (1809) – AL Nr. 293 (Zagota 16/08/1809)</t>
        </r>
      </text>
    </comment>
    <comment ref="BH1307" authorId="0" shapeId="0" xr:uid="{3177B3E8-5DF6-A746-B791-50C509B6416F}">
      <text>
        <r>
          <rPr>
            <sz val="14"/>
            <color rgb="FF000000"/>
            <rFont val="Calibri"/>
            <family val="34"/>
          </rPr>
          <t>IR 30 (1809)</t>
        </r>
      </text>
    </comment>
    <comment ref="BF1308" authorId="0" shapeId="0" xr:uid="{2CEB5F64-C728-EF4B-961F-2F891B549CC8}">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1308" authorId="0" shapeId="0" xr:uid="{50306DB0-55ED-0E43-BD92-80717031DADB}">
      <text>
        <r>
          <rPr>
            <sz val="14"/>
            <color rgb="FF000000"/>
            <rFont val="Times New Roman"/>
            <family val="18"/>
          </rPr>
          <t>ML 2683 IR 30 (1809) – AL Nr. 49 (Zagota 16/08/1809)</t>
        </r>
      </text>
    </comment>
    <comment ref="BH1308" authorId="0" shapeId="0" xr:uid="{118AE1AD-55B9-CA49-AD2B-7C638CE4AA8B}">
      <text>
        <r>
          <rPr>
            <sz val="14"/>
            <color rgb="FF000000"/>
            <rFont val="Calibri"/>
            <family val="34"/>
          </rPr>
          <t>IR 30 (1809)</t>
        </r>
      </text>
    </comment>
    <comment ref="BF1309" authorId="0" shapeId="0" xr:uid="{FB3CEAC2-F3B5-DF4E-A7D8-E33663BAE6C9}">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1309" authorId="0" shapeId="0" xr:uid="{A7CC35F2-6A89-3F4A-BB7D-7C1DDC71B399}">
      <text>
        <r>
          <rPr>
            <sz val="14"/>
            <color rgb="FF000000"/>
            <rFont val="Times New Roman"/>
            <family val="18"/>
          </rPr>
          <t>ML 2683 IR 30 (1809) – AL Nr. 96 (Zagota 16/08/1809)</t>
        </r>
      </text>
    </comment>
    <comment ref="BH1309" authorId="0" shapeId="0" xr:uid="{AF00D69B-FB83-2145-95F0-FD70AAD79530}">
      <text>
        <r>
          <rPr>
            <sz val="14"/>
            <color rgb="FF000000"/>
            <rFont val="Calibri"/>
            <family val="34"/>
          </rPr>
          <t>IR 30 (1809)</t>
        </r>
      </text>
    </comment>
    <comment ref="BF1310" authorId="0" shapeId="0" xr:uid="{71BEBB9E-45A2-544D-A7EC-363F597BC250}">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1310" authorId="0" shapeId="0" xr:uid="{B21A9273-B29A-C641-81D1-8E288E2854DB}">
      <text>
        <r>
          <rPr>
            <sz val="14"/>
            <color rgb="FF000000"/>
            <rFont val="Times New Roman"/>
            <family val="18"/>
          </rPr>
          <t>ML 2683 IR 30 (1809) – AL Nr. 48 (Zagota 16/08/1809)</t>
        </r>
      </text>
    </comment>
    <comment ref="BH1310" authorId="0" shapeId="0" xr:uid="{D4377EF6-F21D-0546-B8A7-37DCEEB151AF}">
      <text>
        <r>
          <rPr>
            <sz val="14"/>
            <color rgb="FF000000"/>
            <rFont val="Calibri"/>
            <family val="34"/>
          </rPr>
          <t>IR 30 (1809)</t>
        </r>
      </text>
    </comment>
    <comment ref="BF1311" authorId="0" shapeId="0" xr:uid="{21051A67-C113-2F46-8DAD-34159B9F7838}">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1311" authorId="0" shapeId="0" xr:uid="{84A24601-F941-F440-A2B3-A4FA1BBF1CFF}">
      <text>
        <r>
          <rPr>
            <sz val="14"/>
            <color rgb="FF000000"/>
            <rFont val="Times New Roman"/>
            <family val="18"/>
          </rPr>
          <t>ML 2683 IR 30 (1809) – AL Nr. 216 (Zagota 16/08/1809)</t>
        </r>
      </text>
    </comment>
    <comment ref="BH1311" authorId="0" shapeId="0" xr:uid="{1D8DF196-1BDD-7246-B231-E81761965E25}">
      <text>
        <r>
          <rPr>
            <sz val="14"/>
            <color rgb="FF000000"/>
            <rFont val="Calibri"/>
            <family val="34"/>
          </rPr>
          <t>IR 30 (1809)</t>
        </r>
      </text>
    </comment>
    <comment ref="BF1312" authorId="0" shapeId="0" xr:uid="{0B5EE9FC-31B5-2248-A9E6-FC072C5C137C}">
      <text>
        <r>
          <rPr>
            <sz val="14"/>
            <color rgb="FF000000"/>
            <rFont val="Times New Roman"/>
            <family val="18"/>
          </rPr>
          <t xml:space="preserve">18/05/1809 </t>
        </r>
        <r>
          <rPr>
            <i/>
            <sz val="14"/>
            <color rgb="FF000000"/>
            <rFont val="Times New Roman"/>
            <family val="18"/>
          </rPr>
          <t xml:space="preserve">Gegen 3 Fl Handgeld Landständisch zum IR 30 assentiert und zur 1. Depot Komp. zugeheilt </t>
        </r>
        <r>
          <rPr>
            <sz val="14"/>
            <color rgb="FF000000"/>
            <rFont val="Times New Roman"/>
            <family val="18"/>
          </rPr>
          <t xml:space="preserve">[AL Aug 1809]
</t>
        </r>
        <r>
          <rPr>
            <sz val="14"/>
            <color rgb="FF000000"/>
            <rFont val="Times New Roman"/>
            <family val="18"/>
          </rPr>
          <t xml:space="preserve">31/08/1809 </t>
        </r>
        <r>
          <rPr>
            <i/>
            <sz val="14"/>
            <color rgb="FF000000"/>
            <rFont val="Times New Roman"/>
            <family val="18"/>
          </rPr>
          <t>Von IR 30 1. Depot Komp. Zum IR 50 Stain transferiert</t>
        </r>
        <r>
          <rPr>
            <sz val="14"/>
            <color rgb="FF000000"/>
            <rFont val="Times New Roman"/>
            <family val="18"/>
          </rPr>
          <t xml:space="preserve"> [ML Sept 1809]
</t>
        </r>
      </text>
    </comment>
    <comment ref="BG1312" authorId="0" shapeId="0" xr:uid="{C364B191-9FBC-274C-B14F-41A6D55DB5B2}">
      <text>
        <r>
          <rPr>
            <sz val="14"/>
            <color rgb="FF000000"/>
            <rFont val="Times New Roman"/>
            <family val="18"/>
          </rPr>
          <t>ML 2683 IR 30 (1809) – AL Nr. 318 (Zagota 16/08/1809); ST Sept (Stanislau 25/02/1811)</t>
        </r>
        <r>
          <rPr>
            <sz val="14"/>
            <color rgb="FF000000"/>
            <rFont val="Calibri"/>
            <family val="2"/>
          </rPr>
          <t xml:space="preserve"> </t>
        </r>
      </text>
    </comment>
    <comment ref="BH1312" authorId="0" shapeId="0" xr:uid="{55AA3415-3569-934E-8916-040C685A8BCE}">
      <text>
        <r>
          <rPr>
            <sz val="14"/>
            <color rgb="FF000000"/>
            <rFont val="Calibri"/>
            <family val="34"/>
          </rPr>
          <t xml:space="preserve">IR 30 (1809)
</t>
        </r>
        <r>
          <rPr>
            <sz val="14"/>
            <color rgb="FF000000"/>
            <rFont val="Calibri"/>
            <family val="34"/>
          </rPr>
          <t>IR 50 (1809)</t>
        </r>
      </text>
    </comment>
    <comment ref="BF1313" authorId="0" shapeId="0" xr:uid="{C0636309-AEB6-BE43-BCB5-1082435979D9}">
      <text>
        <r>
          <rPr>
            <sz val="14"/>
            <color rgb="FF000000"/>
            <rFont val="Times New Roman"/>
            <family val="18"/>
          </rPr>
          <t xml:space="preserve">19/05/1809 </t>
        </r>
        <r>
          <rPr>
            <i/>
            <sz val="14"/>
            <color rgb="FF000000"/>
            <rFont val="Times New Roman"/>
            <family val="18"/>
          </rPr>
          <t xml:space="preserve">Gegen 3 Fl Handgeld Landständisch zum IR 30 assentiert und zur 1. Depot Komp. zugeheilt </t>
        </r>
        <r>
          <rPr>
            <sz val="14"/>
            <color rgb="FF000000"/>
            <rFont val="Times New Roman"/>
            <family val="18"/>
          </rPr>
          <t>[AL Aug 1809]</t>
        </r>
        <r>
          <rPr>
            <sz val="14"/>
            <color rgb="FF000000"/>
            <rFont val="Calibri"/>
            <family val="34"/>
          </rPr>
          <t xml:space="preserve">
</t>
        </r>
        <r>
          <rPr>
            <sz val="14"/>
            <color rgb="FF000000"/>
            <rFont val="Times New Roman"/>
            <family val="18"/>
          </rPr>
          <t xml:space="preserve">28/07/1809 </t>
        </r>
        <r>
          <rPr>
            <i/>
            <sz val="14"/>
            <color rgb="FF000000"/>
            <rFont val="Times New Roman"/>
            <family val="18"/>
          </rPr>
          <t>Von Transport mit Rittmeister Steickert desertiert</t>
        </r>
        <r>
          <rPr>
            <sz val="14"/>
            <color rgb="FF000000"/>
            <rFont val="Times New Roman"/>
            <family val="18"/>
          </rPr>
          <t xml:space="preserve"> [ML July 1809]</t>
        </r>
        <r>
          <rPr>
            <sz val="14"/>
            <color rgb="FF000000"/>
            <rFont val="Calibri"/>
            <family val="34"/>
          </rPr>
          <t xml:space="preserve">
</t>
        </r>
      </text>
    </comment>
    <comment ref="BG1313" authorId="0" shapeId="0" xr:uid="{7977909C-C4C4-BB48-98C7-804978F5B567}">
      <text>
        <r>
          <rPr>
            <sz val="14"/>
            <color rgb="FF000000"/>
            <rFont val="Times New Roman"/>
            <family val="18"/>
          </rPr>
          <t>ML 2683 IR 30 (1809) – AL Nr. 329 (Zagota 16/08/1809); ST Juli (Stanislau 20/01/1811)</t>
        </r>
        <r>
          <rPr>
            <sz val="14"/>
            <color rgb="FF000000"/>
            <rFont val="Calibri"/>
            <family val="34"/>
          </rPr>
          <t xml:space="preserve">
</t>
        </r>
      </text>
    </comment>
    <comment ref="BH1313" authorId="0" shapeId="0" xr:uid="{6BE7E16E-6591-CE46-89D6-304B3447325E}">
      <text>
        <r>
          <rPr>
            <sz val="14"/>
            <color rgb="FF000000"/>
            <rFont val="Calibri"/>
            <family val="34"/>
          </rPr>
          <t>IR 30 (1809)</t>
        </r>
      </text>
    </comment>
    <comment ref="BF1314" authorId="0" shapeId="0" xr:uid="{83AB99B4-36DA-B547-85C9-8BDE890BB72B}">
      <text>
        <r>
          <rPr>
            <sz val="14"/>
            <color rgb="FF000000"/>
            <rFont val="Times New Roman"/>
            <family val="18"/>
          </rPr>
          <t xml:space="preserve">19/05/1809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6. Fus. Komp. Nr. 205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314" authorId="0" shapeId="0" xr:uid="{9483970F-7813-6D44-A0BF-F098F9C8B3FA}">
      <text>
        <r>
          <rPr>
            <sz val="14"/>
            <color rgb="FF000000"/>
            <rFont val="Times New Roman"/>
            <family val="18"/>
          </rPr>
          <t>IR 544 IR 8 (1811) – 6. Fus. Komp. Nr. 205 (Iglau 12/09/1811)</t>
        </r>
        <r>
          <rPr>
            <sz val="14"/>
            <color rgb="FF000000"/>
            <rFont val="Calibri"/>
            <family val="2"/>
            <scheme val="minor"/>
          </rPr>
          <t xml:space="preserve"> </t>
        </r>
      </text>
    </comment>
    <comment ref="BH1314" authorId="0" shapeId="0" xr:uid="{9F4CC025-97FF-2947-95F6-0F2175E57918}">
      <text>
        <r>
          <rPr>
            <sz val="14"/>
            <color rgb="FF000000"/>
            <rFont val="Calibri"/>
            <family val="34"/>
          </rPr>
          <t>IR 8 (1809-1811)</t>
        </r>
      </text>
    </comment>
    <comment ref="BF1315" authorId="0" shapeId="0" xr:uid="{9C05B535-27E9-664E-AFCD-A2485CE00F24}">
      <text>
        <r>
          <rPr>
            <sz val="14"/>
            <color rgb="FF000000"/>
            <rFont val="Times New Roman"/>
            <family val="18"/>
          </rPr>
          <t xml:space="preserve">20/05/1809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7. Fus. Komp. Nr. 110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315" authorId="0" shapeId="0" xr:uid="{E6821D6E-6C0B-A541-B878-316C36CED814}">
      <text>
        <r>
          <rPr>
            <sz val="14"/>
            <color rgb="FF000000"/>
            <rFont val="Times New Roman"/>
            <family val="18"/>
          </rPr>
          <t>IR 544 IR 8 (1811) – 7. Fus. Komp. Nr. 110 (Iglau 12/09/1811)</t>
        </r>
      </text>
    </comment>
    <comment ref="BH1315" authorId="0" shapeId="0" xr:uid="{0926E4A4-C682-E743-A1A1-69EBC3C89BE4}">
      <text>
        <r>
          <rPr>
            <sz val="14"/>
            <color rgb="FF000000"/>
            <rFont val="Calibri"/>
            <family val="34"/>
          </rPr>
          <t>IR 8 (1809-1811)</t>
        </r>
      </text>
    </comment>
    <comment ref="BF1316" authorId="0" shapeId="0" xr:uid="{0D21134A-4634-4A4F-BFD7-702C4995B119}">
      <text>
        <r>
          <rPr>
            <sz val="14"/>
            <color rgb="FF000000"/>
            <rFont val="Times New Roman"/>
            <family val="18"/>
          </rPr>
          <t xml:space="preserve">01/06/1809 </t>
        </r>
        <r>
          <rPr>
            <i/>
            <sz val="14"/>
            <color rgb="FF000000"/>
            <rFont val="Times New Roman"/>
            <family val="18"/>
          </rPr>
          <t xml:space="preserve">Von HFS 1 zum HFS 32 transferiert </t>
        </r>
        <r>
          <rPr>
            <sz val="14"/>
            <color rgb="FF000000"/>
            <rFont val="Times New Roman"/>
            <family val="18"/>
          </rPr>
          <t xml:space="preserve">[Verpf.-Ent. Juni 1809]
</t>
        </r>
        <r>
          <rPr>
            <sz val="14"/>
            <color rgb="FF000000"/>
            <rFont val="Times New Roman"/>
            <family val="18"/>
          </rPr>
          <t xml:space="preserve">06/06/1809 </t>
        </r>
        <r>
          <rPr>
            <i/>
            <sz val="14"/>
            <color rgb="FF000000"/>
            <rFont val="Times New Roman"/>
            <family val="18"/>
          </rPr>
          <t>Krank ohne Gebühr</t>
        </r>
        <r>
          <rPr>
            <sz val="14"/>
            <color rgb="FF000000"/>
            <rFont val="Times New Roman"/>
            <family val="18"/>
          </rPr>
          <t xml:space="preserve"> [VerpfL Juni 1809]
</t>
        </r>
        <r>
          <rPr>
            <sz val="14"/>
            <color rgb="FF000000"/>
            <rFont val="Times New Roman"/>
            <family val="18"/>
          </rPr>
          <t xml:space="preserve">01/08/1809 </t>
        </r>
        <r>
          <rPr>
            <i/>
            <sz val="14"/>
            <color rgb="FF000000"/>
            <rFont val="Times New Roman"/>
            <family val="18"/>
          </rPr>
          <t>Kommt wieder in Stand und Gebühr</t>
        </r>
        <r>
          <rPr>
            <sz val="14"/>
            <color rgb="FF000000"/>
            <rFont val="Times New Roman"/>
            <family val="18"/>
          </rPr>
          <t xml:space="preserve"> [VerpfL Aug 1809]
</t>
        </r>
        <r>
          <rPr>
            <sz val="14"/>
            <color rgb="FF000000"/>
            <rFont val="Times New Roman"/>
            <family val="18"/>
          </rPr>
          <t xml:space="preserve">21/08/1809 </t>
        </r>
        <r>
          <rPr>
            <i/>
            <sz val="14"/>
            <color rgb="FF000000"/>
            <rFont val="Times New Roman"/>
            <family val="18"/>
          </rPr>
          <t>Nach Prag kommandiert</t>
        </r>
        <r>
          <rPr>
            <sz val="14"/>
            <color rgb="FF000000"/>
            <rFont val="Times New Roman"/>
            <family val="18"/>
          </rPr>
          <t xml:space="preserve"> [Verpf.-Ent. Aug 1809]
</t>
        </r>
        <r>
          <rPr>
            <sz val="14"/>
            <color rgb="FF000000"/>
            <rFont val="Times New Roman"/>
            <family val="18"/>
          </rPr>
          <t xml:space="preserve">31/08/1809 </t>
        </r>
        <r>
          <rPr>
            <i/>
            <sz val="14"/>
            <color rgb="FF000000"/>
            <rFont val="Times New Roman"/>
            <family val="18"/>
          </rPr>
          <t>Von HFS 32 zum HFS 1 in Prag transferiert</t>
        </r>
        <r>
          <rPr>
            <sz val="14"/>
            <color rgb="FF000000"/>
            <rFont val="Times New Roman"/>
            <family val="18"/>
          </rPr>
          <t xml:space="preserve"> [TL Aug 1810]
</t>
        </r>
      </text>
    </comment>
    <comment ref="BG1316" authorId="0" shapeId="0" xr:uid="{FEF09C06-9054-6745-A8AB-91403B11F58D}">
      <text>
        <r>
          <rPr>
            <sz val="14"/>
            <color rgb="FF000000"/>
            <rFont val="Times New Roman"/>
            <family val="18"/>
          </rPr>
          <t xml:space="preserve">ST 11.994 HFS (1809-14) – TL HFS 32-&gt;HFS 1 Nr. 1 (Opočno 06/08/1810); HFS 32 VerpfL. Juni 1809 (Geyersburg 31/12/1809); HFS 32 VerpfL. Aug 1809 (Opočno 30/06/1810)
</t>
        </r>
      </text>
    </comment>
    <comment ref="BH1316" authorId="0" shapeId="0" xr:uid="{697D2E67-FB33-CC4C-B3D5-1E1CEC7449E4}">
      <text>
        <r>
          <rPr>
            <sz val="14"/>
            <color rgb="FF000000"/>
            <rFont val="Calibri"/>
            <family val="34"/>
          </rPr>
          <t xml:space="preserve">HFS 1 (1809) 
</t>
        </r>
        <r>
          <rPr>
            <sz val="14"/>
            <color rgb="FF000000"/>
            <rFont val="Calibri"/>
            <family val="34"/>
          </rPr>
          <t xml:space="preserve">HFS 32 (1809)
</t>
        </r>
        <r>
          <rPr>
            <sz val="14"/>
            <color rgb="FF000000"/>
            <rFont val="Calibri"/>
            <family val="34"/>
          </rPr>
          <t>HFS 1 (1809)</t>
        </r>
      </text>
    </comment>
    <comment ref="BF1317" authorId="0" shapeId="0" xr:uid="{A37CD46E-A57F-BE40-8BA5-CC22855D3A61}">
      <text>
        <r>
          <rPr>
            <sz val="14"/>
            <color rgb="FF000000"/>
            <rFont val="Times New Roman"/>
            <family val="18"/>
          </rPr>
          <t xml:space="preserve">01/06/1809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20. Zur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t>
        </r>
        <r>
          <rPr>
            <sz val="14"/>
            <color rgb="FF000000"/>
            <rFont val="Times New Roman"/>
            <family val="18"/>
          </rPr>
          <t>[ML 1811]</t>
        </r>
        <r>
          <rPr>
            <sz val="14"/>
            <color rgb="FF000000"/>
            <rFont val="Calibri"/>
            <family val="34"/>
          </rPr>
          <t xml:space="preserve">
</t>
        </r>
      </text>
    </comment>
    <comment ref="BG1317" authorId="0" shapeId="0" xr:uid="{57FD7E52-73CF-BB47-B56F-F36AB834BD9B}">
      <text>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317" authorId="0" shapeId="0" xr:uid="{2C9323CE-C4B1-5544-97ED-F15057AC4285}">
      <text>
        <r>
          <rPr>
            <sz val="14"/>
            <color rgb="FF000000"/>
            <rFont val="Calibri"/>
            <family val="34"/>
          </rPr>
          <t>IR 39 (1809-1810)</t>
        </r>
      </text>
    </comment>
    <comment ref="BF1318" authorId="0" shapeId="0" xr:uid="{B93190C8-3B32-A549-B431-4BA30DD3D543}">
      <text>
        <r>
          <rPr>
            <sz val="14"/>
            <color rgb="FF000000"/>
            <rFont val="Times New Roman"/>
            <family val="18"/>
          </rPr>
          <t xml:space="preserve">01/06/1809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19/08/1809 </t>
        </r>
        <r>
          <rPr>
            <i/>
            <sz val="14"/>
            <color rgb="FF000000"/>
            <rFont val="Times New Roman"/>
            <family val="18"/>
          </rPr>
          <t>Zu Pest in Militärspital gestorben</t>
        </r>
        <r>
          <rPr>
            <sz val="14"/>
            <color rgb="FF000000"/>
            <rFont val="Times New Roman"/>
            <family val="18"/>
          </rPr>
          <t xml:space="preserve"> [ML 1811]</t>
        </r>
        <r>
          <rPr>
            <sz val="14"/>
            <color rgb="FF000000"/>
            <rFont val="Calibri"/>
            <family val="34"/>
          </rPr>
          <t xml:space="preserve">
</t>
        </r>
      </text>
    </comment>
    <comment ref="BG1318" authorId="0" shapeId="0" xr:uid="{E0B28D3A-3017-924E-98E1-41224C16A934}">
      <text>
        <r>
          <rPr>
            <sz val="14"/>
            <color rgb="FF000000"/>
            <rFont val="Times New Roman"/>
            <family val="18"/>
          </rPr>
          <t>ML 3501/2 IR 39 (1811) – 20. Fus. Komp. Abgang (Ofen 19/09/1811)</t>
        </r>
        <r>
          <rPr>
            <sz val="14"/>
            <color rgb="FF000000"/>
            <rFont val="Calibri"/>
            <family val="34"/>
          </rPr>
          <t xml:space="preserve">
</t>
        </r>
      </text>
    </comment>
    <comment ref="BH1318" authorId="0" shapeId="0" xr:uid="{55E0DD9B-58E6-4F46-8539-0087E5722A02}">
      <text>
        <r>
          <rPr>
            <sz val="14"/>
            <color rgb="FF000000"/>
            <rFont val="Calibri"/>
            <family val="34"/>
          </rPr>
          <t>IR 39 (1809)</t>
        </r>
      </text>
    </comment>
    <comment ref="BF1319" authorId="0" shapeId="0" xr:uid="{6037DB54-2077-A44C-BBC9-AC5731C9698A}">
      <text>
        <r>
          <rPr>
            <sz val="14"/>
            <color rgb="FF000000"/>
            <rFont val="Times New Roman"/>
            <family val="18"/>
          </rPr>
          <t xml:space="preserve">01/06/1809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11/10/1809 </t>
        </r>
        <r>
          <rPr>
            <i/>
            <sz val="14"/>
            <color rgb="FF000000"/>
            <rFont val="Times New Roman"/>
            <family val="18"/>
          </rPr>
          <t>Von 20. Zur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29/01/1810 </t>
        </r>
        <r>
          <rPr>
            <i/>
            <sz val="14"/>
            <color rgb="FF000000"/>
            <rFont val="Times New Roman"/>
            <family val="18"/>
          </rPr>
          <t>Krank mit auswärtiger Gebühr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06/02/1810 </t>
        </r>
        <r>
          <rPr>
            <i/>
            <sz val="14"/>
            <color rgb="FF000000"/>
            <rFont val="Times New Roman"/>
            <family val="18"/>
          </rPr>
          <t>Rekonvalesziert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10/10/1810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319" authorId="0" shapeId="0" xr:uid="{358BD14C-4D88-194C-ACEB-2125A0BA45F3}">
      <text>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3551 IR 39 (1810) – ST Jan (Ofen 03/06/1811), Feb (Ofen 06/06/1811)</t>
        </r>
        <r>
          <rPr>
            <sz val="14"/>
            <color rgb="FF000000"/>
            <rFont val="Calibri"/>
            <family val="34"/>
          </rPr>
          <t xml:space="preserve">
</t>
        </r>
      </text>
    </comment>
    <comment ref="BH1319" authorId="0" shapeId="0" xr:uid="{23616891-8928-6843-8705-024D0C526939}">
      <text>
        <r>
          <rPr>
            <sz val="14"/>
            <color rgb="FF000000"/>
            <rFont val="Calibri"/>
            <family val="34"/>
          </rPr>
          <t>IR 39 (1809-1810)</t>
        </r>
      </text>
    </comment>
    <comment ref="BF1320" authorId="0" shapeId="0" xr:uid="{150321D2-A8D7-6242-BFFE-5650284DA487}">
      <text>
        <r>
          <rPr>
            <sz val="14"/>
            <color rgb="FF000000"/>
            <rFont val="Times New Roman"/>
            <family val="18"/>
          </rPr>
          <t xml:space="preserve">01/06/1809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31/12/1809 </t>
        </r>
        <r>
          <rPr>
            <i/>
            <sz val="14"/>
            <color rgb="FF000000"/>
            <rFont val="Times New Roman"/>
            <family val="18"/>
          </rPr>
          <t>In Militärspital zu Pest gestorben</t>
        </r>
        <r>
          <rPr>
            <sz val="14"/>
            <color rgb="FF000000"/>
            <rFont val="Times New Roman"/>
            <family val="18"/>
          </rPr>
          <t xml:space="preserve"> [ML 1811]</t>
        </r>
        <r>
          <rPr>
            <sz val="14"/>
            <color rgb="FF000000"/>
            <rFont val="Calibri"/>
            <family val="34"/>
          </rPr>
          <t xml:space="preserve">
</t>
        </r>
      </text>
    </comment>
    <comment ref="BG1320" authorId="0" shapeId="0" xr:uid="{B8EAF207-12F0-684F-BC41-2269116AF567}">
      <text>
        <r>
          <rPr>
            <sz val="14"/>
            <color rgb="FF000000"/>
            <rFont val="Times New Roman"/>
            <family val="18"/>
          </rPr>
          <t>ML 3501/2 IR 39 (1811) – 20. Fus. Komp. Abgang (Ofen 19/09/1811)</t>
        </r>
        <r>
          <rPr>
            <sz val="14"/>
            <color rgb="FF000000"/>
            <rFont val="Calibri"/>
            <family val="34"/>
          </rPr>
          <t xml:space="preserve">
</t>
        </r>
      </text>
    </comment>
    <comment ref="BH1320" authorId="0" shapeId="0" xr:uid="{47DDCB8D-C73B-0A47-B067-19472F24860D}">
      <text>
        <r>
          <rPr>
            <sz val="14"/>
            <color rgb="FF000000"/>
            <rFont val="Calibri"/>
            <family val="34"/>
          </rPr>
          <t>IR 39 (1809)</t>
        </r>
      </text>
    </comment>
    <comment ref="BF1321" authorId="0" shapeId="0" xr:uid="{72770D22-3C09-5844-8B4A-42F9916B02AF}">
      <text>
        <r>
          <rPr>
            <sz val="14"/>
            <color rgb="FF000000"/>
            <rFont val="Times New Roman"/>
            <family val="18"/>
          </rPr>
          <t xml:space="preserve">06/06/1809 </t>
        </r>
        <r>
          <rPr>
            <i/>
            <sz val="14"/>
            <color rgb="FF000000"/>
            <rFont val="Times New Roman"/>
            <family val="18"/>
          </rPr>
          <t>A 3 Fl Handgeld als landständischer Recrout in V Reserve Battalion von IR 42 ‚Erbach‘ zu Luditz asssentiert</t>
        </r>
        <r>
          <rPr>
            <sz val="14"/>
            <color rgb="FF000000"/>
            <rFont val="Times New Roman"/>
            <family val="18"/>
          </rPr>
          <t xml:space="preserve"> [AL June 1809]</t>
        </r>
        <r>
          <rPr>
            <sz val="14"/>
            <color rgb="FF000000"/>
            <rFont val="Calibri"/>
            <family val="34"/>
          </rPr>
          <t xml:space="preserve">
</t>
        </r>
        <r>
          <rPr>
            <sz val="14"/>
            <color rgb="FF000000"/>
            <rFont val="Times New Roman"/>
            <family val="18"/>
          </rPr>
          <t xml:space="preserve">15/08/1809 </t>
        </r>
        <r>
          <rPr>
            <i/>
            <sz val="14"/>
            <color rgb="FF000000"/>
            <rFont val="Times New Roman"/>
            <family val="18"/>
          </rPr>
          <t>Von IR 42 ‚Erbach‘ zum IR 4 ‚Deutschmeister‘ transferiert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09/01/1801 </t>
        </r>
        <r>
          <rPr>
            <i/>
            <sz val="14"/>
            <color rgb="FF000000"/>
            <rFont val="Times New Roman"/>
            <family val="18"/>
          </rPr>
          <t>Von IR 4 ‚Deutschmeister‘ zur IR 42 ‚Erbach‘ transferiert und zur 13. Fus. Komp.</t>
        </r>
        <r>
          <rPr>
            <sz val="14"/>
            <color rgb="FF000000"/>
            <rFont val="Times New Roman"/>
            <family val="18"/>
          </rPr>
          <t xml:space="preserve"> </t>
        </r>
        <r>
          <rPr>
            <i/>
            <sz val="14"/>
            <color rgb="FF000000"/>
            <rFont val="Times New Roman"/>
            <family val="18"/>
          </rPr>
          <t>eingeteilt</t>
        </r>
        <r>
          <rPr>
            <sz val="14"/>
            <color rgb="FF000000"/>
            <rFont val="Times New Roman"/>
            <family val="18"/>
          </rPr>
          <t xml:space="preserve"> [TL Aug 1810]</t>
        </r>
        <r>
          <rPr>
            <sz val="14"/>
            <color rgb="FF000000"/>
            <rFont val="Calibri"/>
            <family val="34"/>
          </rPr>
          <t xml:space="preserve">
</t>
        </r>
        <r>
          <rPr>
            <sz val="14"/>
            <color rgb="FF000000"/>
            <rFont val="Times New Roman"/>
            <family val="18"/>
          </rPr>
          <t>30/04/1810 Superarbietrierung in Hauptfeldspital Nr. 1:</t>
        </r>
        <r>
          <rPr>
            <i/>
            <sz val="14"/>
            <color rgb="FF000000"/>
            <rFont val="Times New Roman"/>
            <family val="18"/>
          </rPr>
          <t xml:space="preserve"> Organische Fehler in deren Respirations-Organ dehero standes Fieber</t>
        </r>
        <r>
          <rPr>
            <sz val="14"/>
            <color rgb="FF000000"/>
            <rFont val="Times New Roman"/>
            <family val="18"/>
          </rPr>
          <t xml:space="preserve"> [SUP April]</t>
        </r>
        <r>
          <rPr>
            <sz val="14"/>
            <color rgb="FF000000"/>
            <rFont val="Calibri"/>
            <family val="34"/>
          </rPr>
          <t xml:space="preserve">
</t>
        </r>
        <r>
          <rPr>
            <sz val="14"/>
            <color rgb="FF000000"/>
            <rFont val="Times New Roman"/>
            <family val="18"/>
          </rPr>
          <t xml:space="preserve">05/05/1810 </t>
        </r>
        <r>
          <rPr>
            <i/>
            <sz val="14"/>
            <color rgb="FF000000"/>
            <rFont val="Times New Roman"/>
            <family val="18"/>
          </rPr>
          <t>Wegen kurze Dienstzeit mit Laufpass entlassen</t>
        </r>
        <r>
          <rPr>
            <sz val="14"/>
            <color rgb="FF000000"/>
            <rFont val="Times New Roman"/>
            <family val="18"/>
          </rPr>
          <t xml:space="preserve"> [SUP April 1810]</t>
        </r>
        <r>
          <rPr>
            <sz val="14"/>
            <color rgb="FF000000"/>
            <rFont val="Calibri"/>
            <family val="34"/>
          </rPr>
          <t xml:space="preserve">
</t>
        </r>
      </text>
    </comment>
    <comment ref="BG1321" authorId="0" shapeId="0" xr:uid="{FA92945C-4FA5-3749-9850-7AE8FD3626F1}">
      <text>
        <r>
          <rPr>
            <sz val="14"/>
            <color rgb="FF000000"/>
            <rFont val="Times New Roman"/>
            <family val="18"/>
          </rPr>
          <t>ML 3835 IR 42 (1809) – AL IR 42 5. Reserve Bataillon (1. Heft) Nr. 67 (Luditz 30/06/1809)</t>
        </r>
        <r>
          <rPr>
            <sz val="14"/>
            <color rgb="FF000000"/>
            <rFont val="Calibri"/>
            <family val="34"/>
          </rPr>
          <t xml:space="preserve">
</t>
        </r>
        <r>
          <rPr>
            <sz val="14"/>
            <color rgb="FF000000"/>
            <rFont val="Times New Roman"/>
            <family val="18"/>
          </rPr>
          <t>ML 3836 IR 42 (1809) – TL IR 42 zu IR 4 Nr. 114 (15/08/1809)</t>
        </r>
        <r>
          <rPr>
            <sz val="14"/>
            <color rgb="FF000000"/>
            <rFont val="Calibri"/>
            <family val="34"/>
          </rPr>
          <t xml:space="preserve">
</t>
        </r>
        <r>
          <rPr>
            <sz val="14"/>
            <color rgb="FF000000"/>
            <rFont val="Times New Roman"/>
            <family val="18"/>
          </rPr>
          <t>ML 3838 IR 42 (1810) – TL IR 4-&gt; IR 42 Nr. 254 (Wien 20/11/1810); SUP 13. Fus. Comp. pro Mai 1810 Nr. 1 (Prag 30/04/1810)</t>
        </r>
        <r>
          <rPr>
            <sz val="14"/>
            <color rgb="FF000000"/>
            <rFont val="Calibri"/>
            <family val="34"/>
          </rPr>
          <t xml:space="preserve">
</t>
        </r>
      </text>
    </comment>
    <comment ref="BH1321" authorId="0" shapeId="0" xr:uid="{B518C5EA-1227-E844-9925-D42F3FAF9C3D}">
      <text>
        <r>
          <rPr>
            <sz val="14"/>
            <color rgb="FF000000"/>
            <rFont val="Calibri"/>
            <family val="34"/>
          </rPr>
          <t xml:space="preserve">IR 42 (1809) 
</t>
        </r>
        <r>
          <rPr>
            <sz val="14"/>
            <color rgb="FF000000"/>
            <rFont val="Calibri"/>
            <family val="34"/>
          </rPr>
          <t xml:space="preserve">IR 4 (1809-1810)
</t>
        </r>
        <r>
          <rPr>
            <sz val="14"/>
            <color rgb="FF000000"/>
            <rFont val="Calibri"/>
            <family val="34"/>
          </rPr>
          <t>IR 42 (1810)</t>
        </r>
      </text>
    </comment>
    <comment ref="BI1321" authorId="0" shapeId="0" xr:uid="{D1427222-EB17-404C-8989-7E6CDBAB32D7}">
      <text>
        <r>
          <rPr>
            <sz val="14"/>
            <color rgb="FF000000"/>
            <rFont val="Calibri"/>
            <family val="34"/>
          </rPr>
          <t>Gut ([SUP April 1810]</t>
        </r>
      </text>
    </comment>
    <comment ref="BJ1321" authorId="0" shapeId="0" xr:uid="{63D5F3F4-F0EE-F149-B008-2C8B693B2EF4}">
      <text>
        <r>
          <rPr>
            <i/>
            <sz val="14"/>
            <color rgb="FF000000"/>
            <rFont val="Times New Roman"/>
            <family val="18"/>
          </rPr>
          <t>Organische Fehler in deren Respirations-Organ dehero standes Fieber‘ &amp; ‚diesem Defekt nach 2 Mahl Lungenentzündung erhalten, ist bereits lange Zeit in Spital und sind zu seine Herstellung alle Mittel fruchtlos angewendet worden</t>
        </r>
        <r>
          <rPr>
            <sz val="14"/>
            <color rgb="FF000000"/>
            <rFont val="Times New Roman"/>
            <family val="18"/>
          </rPr>
          <t xml:space="preserve"> [SUP April 1810]</t>
        </r>
        <r>
          <rPr>
            <sz val="14"/>
            <color rgb="FF000000"/>
            <rFont val="Calibri"/>
            <family val="2"/>
          </rPr>
          <t xml:space="preserve"> </t>
        </r>
      </text>
    </comment>
    <comment ref="BF1322" authorId="0" shapeId="0" xr:uid="{A32062CA-7A39-0C4F-9155-A4DAEE5F0528}">
      <text>
        <r>
          <rPr>
            <sz val="14"/>
            <color rgb="FF000000"/>
            <rFont val="Times New Roman"/>
            <family val="18"/>
          </rPr>
          <t xml:space="preserve">08/06/1809 </t>
        </r>
        <r>
          <rPr>
            <i/>
            <sz val="14"/>
            <color rgb="FF000000"/>
            <rFont val="Times New Roman"/>
            <family val="18"/>
          </rPr>
          <t>Als Unterarzt neu assentiert</t>
        </r>
        <r>
          <rPr>
            <sz val="14"/>
            <color rgb="FF000000"/>
            <rFont val="Times New Roman"/>
            <family val="18"/>
          </rPr>
          <t xml:space="preserve"> [VerpfL Juni 1809]
</t>
        </r>
        <r>
          <rPr>
            <sz val="14"/>
            <color rgb="FF000000"/>
            <rFont val="Times New Roman"/>
            <family val="18"/>
          </rPr>
          <t xml:space="preserve">10/03/1810 </t>
        </r>
        <r>
          <rPr>
            <i/>
            <sz val="14"/>
            <color rgb="FF000000"/>
            <rFont val="Times New Roman"/>
            <family val="18"/>
          </rPr>
          <t>Mit Abschied entlassen</t>
        </r>
        <r>
          <rPr>
            <sz val="14"/>
            <color rgb="FF000000"/>
            <rFont val="Times New Roman"/>
            <family val="18"/>
          </rPr>
          <t xml:space="preserve"> [Ent-Cons. März 1810 &amp; Veprf. März 1810]
</t>
        </r>
      </text>
    </comment>
    <comment ref="BG1322" authorId="0" shapeId="0" xr:uid="{E813B1F6-0944-A046-8B6A-82B4C1B8B1AB}">
      <text>
        <r>
          <rPr>
            <sz val="14"/>
            <color rgb="FF000000"/>
            <rFont val="Times New Roman"/>
            <family val="18"/>
          </rPr>
          <t xml:space="preserve">ST 11.994 HFS (1809-14) – Ent-Cons. Nr. 2 (Opočno 08/03/1810); VerpfL Juni 1809 (Geyersberg 31/12/1809); VerpfL März (Opočno 30/07/1810)
</t>
        </r>
      </text>
    </comment>
    <comment ref="BH1322" authorId="0" shapeId="0" xr:uid="{90820F07-0FCC-A442-B269-11134C5F0382}">
      <text>
        <r>
          <rPr>
            <sz val="14"/>
            <color rgb="FF000000"/>
            <rFont val="Calibri"/>
            <family val="34"/>
          </rPr>
          <t>HFS 32 (1809-1810)</t>
        </r>
      </text>
    </comment>
    <comment ref="BF1323" authorId="0" shapeId="0" xr:uid="{DB3BADF9-6C3F-9A46-B793-9B3410F5C8EA}">
      <text>
        <r>
          <rPr>
            <sz val="14"/>
            <color rgb="FF000000"/>
            <rFont val="Times New Roman"/>
            <family val="18"/>
          </rPr>
          <t xml:space="preserve">09/06/1809 </t>
        </r>
        <r>
          <rPr>
            <i/>
            <sz val="14"/>
            <color rgb="FF000000"/>
            <rFont val="Times New Roman"/>
            <family val="18"/>
          </rPr>
          <t>Dient seit und ist von den Pirnitzer</t>
        </r>
        <r>
          <rPr>
            <sz val="14"/>
            <color rgb="FF000000"/>
            <rFont val="Times New Roman"/>
            <family val="18"/>
          </rPr>
          <t xml:space="preserve"> </t>
        </r>
        <r>
          <rPr>
            <b/>
            <sz val="14"/>
            <color rgb="FF000000"/>
            <rFont val="Times New Roman"/>
            <family val="18"/>
          </rPr>
          <t>[</t>
        </r>
        <r>
          <rPr>
            <b/>
            <u/>
            <sz val="14"/>
            <color rgb="FF0563C1"/>
            <rFont val="Times New Roman"/>
            <family val="18"/>
          </rPr>
          <t>Brtnice, Czech Republic</t>
        </r>
        <r>
          <rPr>
            <b/>
            <sz val="14"/>
            <color rgb="FF000000"/>
            <rFont val="Times New Roman"/>
            <family val="18"/>
          </rPr>
          <t>]</t>
        </r>
        <r>
          <rPr>
            <sz val="14"/>
            <color rgb="FF000000"/>
            <rFont val="Times New Roman"/>
            <family val="18"/>
          </rPr>
          <t xml:space="preserve"> </t>
        </r>
        <r>
          <rPr>
            <i/>
            <sz val="14"/>
            <color rgb="FF000000"/>
            <rFont val="Times New Roman"/>
            <family val="18"/>
          </rPr>
          <t>Judengemeinde für einen Inländer auf 10 Jahre gestellt worden</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10. Fus. Komp. Nr. 90</t>
        </r>
        <r>
          <rPr>
            <sz val="14"/>
            <color rgb="FF000000"/>
            <rFont val="Calibri"/>
            <family val="34"/>
          </rPr>
          <t xml:space="preserve">
</t>
        </r>
      </text>
    </comment>
    <comment ref="BG1323" authorId="0" shapeId="0" xr:uid="{C78DF007-323B-9E47-AF68-FBAC357B0D07}">
      <text>
        <r>
          <rPr>
            <sz val="14"/>
            <color rgb="FF000000"/>
            <rFont val="Times New Roman"/>
            <family val="18"/>
          </rPr>
          <t>IR 544 IR 8 (1811) – 10. Fus. Komp. Nr. 90 (Iglau 12/09/1811)</t>
        </r>
        <r>
          <rPr>
            <sz val="14"/>
            <color rgb="FF000000"/>
            <rFont val="Calibri"/>
            <family val="34"/>
          </rPr>
          <t xml:space="preserve">
</t>
        </r>
      </text>
    </comment>
    <comment ref="BH1323" authorId="0" shapeId="0" xr:uid="{9EB42C47-A84E-1D46-A0F2-142BC0A51D45}">
      <text>
        <r>
          <rPr>
            <sz val="14"/>
            <color rgb="FF000000"/>
            <rFont val="Calibri"/>
            <family val="34"/>
          </rPr>
          <t xml:space="preserve">HR 8 (1809-1811)
</t>
        </r>
      </text>
    </comment>
    <comment ref="BF1324" authorId="0" shapeId="0" xr:uid="{B2D5699C-7FD7-3F4B-9188-14ED218323B3}">
      <text>
        <r>
          <rPr>
            <sz val="14"/>
            <color rgb="FF000000"/>
            <rFont val="Times New Roman"/>
            <family val="18"/>
          </rPr>
          <t xml:space="preserve">09/06/1809 </t>
        </r>
        <r>
          <rPr>
            <i/>
            <sz val="14"/>
            <color rgb="FF000000"/>
            <rFont val="Times New Roman"/>
            <family val="18"/>
          </rPr>
          <t>Von Graf Rhedey und Biharer Comitat zum HR 4 assentiert</t>
        </r>
        <r>
          <rPr>
            <sz val="14"/>
            <color rgb="FF000000"/>
            <rFont val="Times New Roman"/>
            <family val="18"/>
          </rPr>
          <t xml:space="preserve"> [TL June 1809]</t>
        </r>
        <r>
          <rPr>
            <sz val="14"/>
            <color rgb="FF000000"/>
            <rFont val="Calibri"/>
            <family val="34"/>
          </rPr>
          <t xml:space="preserve">
</t>
        </r>
      </text>
    </comment>
    <comment ref="BG1324" authorId="0" shapeId="0" xr:uid="{94064AE4-3EA5-1049-8776-53AF78C47C99}">
      <text>
        <r>
          <rPr>
            <sz val="14"/>
            <color rgb="FF000000"/>
            <rFont val="Times New Roman"/>
            <family val="18"/>
          </rPr>
          <t>ML 7470 HR 4 (1809) – AL Nr. 25 (Grosswardein 29/06/1809)</t>
        </r>
        <r>
          <rPr>
            <sz val="14"/>
            <color rgb="FF000000"/>
            <rFont val="Calibri"/>
            <family val="34"/>
          </rPr>
          <t xml:space="preserve">
</t>
        </r>
      </text>
    </comment>
    <comment ref="BH1324" authorId="0" shapeId="0" xr:uid="{D40966E0-C3EF-5047-9083-3E9E7E2EF3A2}">
      <text>
        <r>
          <rPr>
            <sz val="14"/>
            <color rgb="FF000000"/>
            <rFont val="Calibri"/>
            <family val="34"/>
          </rPr>
          <t xml:space="preserve">HR 4 (1809)
</t>
        </r>
      </text>
    </comment>
    <comment ref="I1325" authorId="0" shapeId="0" xr:uid="{AF920906-FBA7-BC40-880F-98058FD3ED9C}">
      <text>
        <r>
          <rPr>
            <sz val="14"/>
            <color rgb="FF000000"/>
            <rFont val="Calibri"/>
            <family val="34"/>
          </rPr>
          <t xml:space="preserve">1788 [23 (ML 1811)]
</t>
        </r>
        <r>
          <rPr>
            <sz val="14"/>
            <color rgb="FF000000"/>
            <rFont val="Calibri"/>
            <family val="34"/>
          </rPr>
          <t>OR</t>
        </r>
        <r>
          <rPr>
            <sz val="14"/>
            <color rgb="FF000000"/>
            <rFont val="Calibri"/>
            <family val="2"/>
          </rPr>
          <t xml:space="preserve">
</t>
        </r>
        <r>
          <rPr>
            <b/>
            <sz val="14"/>
            <color rgb="FF000000"/>
            <rFont val="Calibri"/>
            <family val="34"/>
          </rPr>
          <t>1790 [19 (AL 1809)]</t>
        </r>
        <r>
          <rPr>
            <sz val="14"/>
            <color rgb="FF000000"/>
            <rFont val="Calibri"/>
            <family val="34"/>
          </rPr>
          <t xml:space="preserve">
</t>
        </r>
      </text>
    </comment>
    <comment ref="K1325" authorId="0" shapeId="0" xr:uid="{823EE52B-7CE7-5140-8A48-F08860A26D69}">
      <text>
        <r>
          <rPr>
            <sz val="14"/>
            <color rgb="FF000000"/>
            <rFont val="Calibri"/>
            <family val="34"/>
          </rPr>
          <t xml:space="preserve">Handelsjud (1809)
</t>
        </r>
        <r>
          <rPr>
            <sz val="14"/>
            <color rgb="FF000000"/>
            <rFont val="Calibri"/>
            <family val="34"/>
          </rPr>
          <t>Ohne  (1811)</t>
        </r>
      </text>
    </comment>
    <comment ref="T1325" authorId="0" shapeId="0" xr:uid="{7E84164E-3CFD-6A46-AE62-7D3DF126CF83}">
      <text>
        <r>
          <rPr>
            <b/>
            <sz val="14"/>
            <color rgb="FF000000"/>
            <rFont val="Calibri"/>
            <family val="34"/>
          </rPr>
          <t xml:space="preserve">5.3 [165.89 cm (AL 1809)]
</t>
        </r>
        <r>
          <rPr>
            <sz val="14"/>
            <color rgb="FF000000"/>
            <rFont val="Calibri"/>
            <family val="34"/>
          </rPr>
          <t>5.6.1 [174 cm (ML 1811)]</t>
        </r>
      </text>
    </comment>
    <comment ref="BF1325" authorId="0" shapeId="0" xr:uid="{1AAB31B2-FA3B-214E-A05C-9DA45ECC73AB}">
      <text>
        <r>
          <rPr>
            <sz val="14"/>
            <color rgb="FF000000"/>
            <rFont val="Times New Roman"/>
            <family val="18"/>
          </rPr>
          <t xml:space="preserve">16/06/1809 </t>
        </r>
        <r>
          <rPr>
            <i/>
            <sz val="14"/>
            <color rgb="FF000000"/>
            <rFont val="Times New Roman"/>
            <family val="18"/>
          </rPr>
          <t xml:space="preserve">Zum 3. Reserve Bataillon gestellt und zum 1. Depot Komp. eingeteilt </t>
        </r>
        <r>
          <rPr>
            <sz val="14"/>
            <color rgb="FF000000"/>
            <rFont val="Times New Roman"/>
            <family val="18"/>
          </rPr>
          <t>[AL July 1809 &amp; ST June 1809]</t>
        </r>
        <r>
          <rPr>
            <sz val="14"/>
            <color rgb="FF000000"/>
            <rFont val="Calibri"/>
            <family val="34"/>
          </rPr>
          <t xml:space="preserve">
</t>
        </r>
        <r>
          <rPr>
            <sz val="14"/>
            <color rgb="FF000000"/>
            <rFont val="Times New Roman"/>
            <family val="18"/>
          </rPr>
          <t xml:space="preserve">26/07/1809 </t>
        </r>
        <r>
          <rPr>
            <i/>
            <sz val="14"/>
            <color rgb="FF000000"/>
            <rFont val="Times New Roman"/>
            <family val="18"/>
          </rPr>
          <t>Von 1. Depot zum 4. Fus. Komp. transferiert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4. Zum neu errichtete 16.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14/02/1810 </t>
        </r>
        <r>
          <rPr>
            <i/>
            <sz val="14"/>
            <color rgb="FF000000"/>
            <rFont val="Times New Roman"/>
            <family val="18"/>
          </rPr>
          <t>Beurlaubt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16. Zum 12.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08/09/1811 Muster: IR 1 12. Fus. Komp. Nr. 216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9. Zum 16.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21/10/1812 </t>
        </r>
        <r>
          <rPr>
            <i/>
            <sz val="14"/>
            <color rgb="FF000000"/>
            <rFont val="Times New Roman"/>
            <family val="18"/>
          </rPr>
          <t>Von unbestimmte Urlaub eingerückt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01/01/1813 </t>
        </r>
        <r>
          <rPr>
            <i/>
            <sz val="14"/>
            <color rgb="FF000000"/>
            <rFont val="Times New Roman"/>
            <family val="18"/>
          </rPr>
          <t>Bei der Abrichtung in Brünn</t>
        </r>
        <r>
          <rPr>
            <sz val="14"/>
            <color rgb="FF000000"/>
            <rFont val="Times New Roman"/>
            <family val="18"/>
          </rPr>
          <t xml:space="preserve"> [ST Jan 1813]</t>
        </r>
        <r>
          <rPr>
            <sz val="14"/>
            <color rgb="FF000000"/>
            <rFont val="Calibri"/>
            <family val="34"/>
          </rPr>
          <t xml:space="preserve">
</t>
        </r>
        <r>
          <rPr>
            <sz val="14"/>
            <color rgb="FF000000"/>
            <rFont val="Times New Roman"/>
            <family val="18"/>
          </rPr>
          <t xml:space="preserve">01/03/1813 </t>
        </r>
        <r>
          <rPr>
            <i/>
            <sz val="14"/>
            <color rgb="FF000000"/>
            <rFont val="Times New Roman"/>
            <family val="18"/>
          </rPr>
          <t>In Kompanie Eingerückt</t>
        </r>
        <r>
          <rPr>
            <sz val="14"/>
            <color rgb="FF000000"/>
            <rFont val="Times New Roman"/>
            <family val="18"/>
          </rPr>
          <t xml:space="preserve"> [ST March 1813]</t>
        </r>
        <r>
          <rPr>
            <sz val="14"/>
            <color rgb="FF000000"/>
            <rFont val="Calibri"/>
            <family val="34"/>
          </rPr>
          <t xml:space="preserve">
</t>
        </r>
        <r>
          <rPr>
            <sz val="14"/>
            <color rgb="FF000000"/>
            <rFont val="Times New Roman"/>
            <family val="18"/>
          </rPr>
          <t xml:space="preserve">01/09/1813 </t>
        </r>
        <r>
          <rPr>
            <i/>
            <sz val="14"/>
            <color rgb="FF000000"/>
            <rFont val="Times New Roman"/>
            <family val="18"/>
          </rPr>
          <t xml:space="preserve">Von Gemeiner zum Gefreyter avanciert </t>
        </r>
        <r>
          <rPr>
            <sz val="14"/>
            <color rgb="FF000000"/>
            <rFont val="Times New Roman"/>
            <family val="18"/>
          </rPr>
          <t>[ST Sept 1813]</t>
        </r>
        <r>
          <rPr>
            <sz val="14"/>
            <color rgb="FF000000"/>
            <rFont val="Calibri"/>
            <family val="34"/>
          </rPr>
          <t xml:space="preserve">
</t>
        </r>
        <r>
          <rPr>
            <sz val="14"/>
            <color rgb="FF000000"/>
            <rFont val="Times New Roman"/>
            <family val="18"/>
          </rPr>
          <t xml:space="preserve">06/11/1813 </t>
        </r>
        <r>
          <rPr>
            <i/>
            <sz val="14"/>
            <color rgb="FF000000"/>
            <rFont val="Times New Roman"/>
            <family val="18"/>
          </rPr>
          <t>Von Marsch Desertiert</t>
        </r>
        <r>
          <rPr>
            <sz val="14"/>
            <color rgb="FF000000"/>
            <rFont val="Times New Roman"/>
            <family val="18"/>
          </rPr>
          <t xml:space="preserve"> [ST Nov 1813]</t>
        </r>
        <r>
          <rPr>
            <sz val="14"/>
            <color rgb="FF000000"/>
            <rFont val="Calibri"/>
            <family val="34"/>
          </rPr>
          <t xml:space="preserve">
</t>
        </r>
        <r>
          <rPr>
            <sz val="14"/>
            <color rgb="FF000000"/>
            <rFont val="Times New Roman"/>
            <family val="18"/>
          </rPr>
          <t xml:space="preserve">16/07/1814 </t>
        </r>
        <r>
          <rPr>
            <i/>
            <sz val="14"/>
            <color rgb="FF000000"/>
            <rFont val="Times New Roman"/>
            <family val="18"/>
          </rPr>
          <t>Wurde laut Monatstabelle pro Nov 1813 unrecht als Deserteur in Abgang gebracht, war durch die ganze Zeit krank in auswärtiger Armee Spitallern, eingerückt und kommt wieder in Stand und Gebühr</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18/01/1816 </t>
        </r>
        <r>
          <rPr>
            <i/>
            <sz val="14"/>
            <color rgb="FF000000"/>
            <rFont val="Times New Roman"/>
            <family val="18"/>
          </rPr>
          <t>Krank in Kloster Hradisch</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29/02/1816 </t>
        </r>
        <r>
          <rPr>
            <i/>
            <sz val="14"/>
            <color rgb="FF000000"/>
            <rFont val="Times New Roman"/>
            <family val="18"/>
          </rPr>
          <t xml:space="preserve">Rekonvalesziert </t>
        </r>
        <r>
          <rPr>
            <sz val="14"/>
            <color rgb="FF000000"/>
            <rFont val="Times New Roman"/>
            <family val="18"/>
          </rPr>
          <t>[ST March 1816]</t>
        </r>
        <r>
          <rPr>
            <sz val="14"/>
            <color rgb="FF000000"/>
            <rFont val="Calibri"/>
            <family val="34"/>
          </rPr>
          <t xml:space="preserve">
</t>
        </r>
        <r>
          <rPr>
            <i/>
            <sz val="14"/>
            <color rgb="FFFF0000"/>
            <rFont val="Times New Roman"/>
            <family val="18"/>
          </rPr>
          <t>Dient 8 Jahr</t>
        </r>
        <r>
          <rPr>
            <sz val="14"/>
            <color rgb="FFFF0000"/>
            <rFont val="Times New Roman"/>
            <family val="18"/>
          </rPr>
          <t xml:space="preserve"> [SUP March 1816]</t>
        </r>
        <r>
          <rPr>
            <sz val="14"/>
            <color rgb="FF000000"/>
            <rFont val="Calibri"/>
            <family val="34"/>
          </rPr>
          <t xml:space="preserve">
</t>
        </r>
        <r>
          <rPr>
            <sz val="14"/>
            <color rgb="FF000000"/>
            <rFont val="Times New Roman"/>
            <family val="18"/>
          </rPr>
          <t xml:space="preserve">24/03/1816 </t>
        </r>
        <r>
          <rPr>
            <i/>
            <sz val="14"/>
            <color rgb="FF000000"/>
            <rFont val="Times New Roman"/>
            <family val="18"/>
          </rPr>
          <t>Als angehöriger von 16. Fus. Komp. wegen Chronische Gicht und Nervenschwache in Proßnitz superarbiertiert</t>
        </r>
        <r>
          <rPr>
            <sz val="14"/>
            <color rgb="FF000000"/>
            <rFont val="Times New Roman"/>
            <family val="18"/>
          </rPr>
          <t>: Bekam seines Defekt in Dienst, war schon in mehrere Spitälern wie auch in Trenchiner Baad aber ohne Erfolg: Reale Invalid gegen Renuncierung zu entlassen, vermog die beiliegende obrigkeitlich bestätigte Zeugnis ist sein Unterhalt für die Zukunft bedeckt [SUP March 1816]</t>
        </r>
        <r>
          <rPr>
            <sz val="14"/>
            <color rgb="FF000000"/>
            <rFont val="Calibri"/>
            <family val="34"/>
          </rPr>
          <t xml:space="preserve">
</t>
        </r>
        <r>
          <rPr>
            <sz val="14"/>
            <color rgb="FF000000"/>
            <rFont val="Times New Roman"/>
            <family val="18"/>
          </rPr>
          <t xml:space="preserve">05/04/1816 </t>
        </r>
        <r>
          <rPr>
            <i/>
            <sz val="14"/>
            <color rgb="FF000000"/>
            <rFont val="Times New Roman"/>
            <family val="18"/>
          </rPr>
          <t>Vermog hoher Indorsat dtto Brünn am 19. März 816 R 2984 und der mir selbe am 24. February 816 zu Olmütz geschehene Superarbietrierung Als real Invalid mit Abschied entlassen</t>
        </r>
        <r>
          <rPr>
            <sz val="14"/>
            <color rgb="FF000000"/>
            <rFont val="Times New Roman"/>
            <family val="18"/>
          </rPr>
          <t xml:space="preserve"> [ST April 1816]</t>
        </r>
      </text>
    </comment>
    <comment ref="BG1325" authorId="0" shapeId="0" xr:uid="{FEF54777-B4DE-E842-AA42-4A5800FBFFAC}">
      <text>
        <r>
          <rPr>
            <sz val="14"/>
            <color rgb="FF000000"/>
            <rFont val="Times New Roman"/>
            <family val="18"/>
          </rPr>
          <t>ML 33 IR 1 (1811) – 12. Fus. Komp. Nr. 216 (Prossnitz 08/09/1811)</t>
        </r>
        <r>
          <rPr>
            <sz val="14"/>
            <color rgb="FF000000"/>
            <rFont val="Calibri"/>
            <family val="34"/>
          </rPr>
          <t xml:space="preserve">
</t>
        </r>
        <r>
          <rPr>
            <sz val="14"/>
            <color rgb="FF000000"/>
            <rFont val="Times New Roman"/>
            <family val="18"/>
          </rPr>
          <t>ML 91 IR 1 (1809) – ST June (Proßnitz 18/10/1810), July (Proßnitz 21/10/1810), Dec (Proßnitz 15/01/1811)</t>
        </r>
        <r>
          <rPr>
            <sz val="14"/>
            <color rgb="FF000000"/>
            <rFont val="Calibri"/>
            <family val="34"/>
          </rPr>
          <t xml:space="preserve">
</t>
        </r>
        <r>
          <rPr>
            <sz val="14"/>
            <color rgb="FF000000"/>
            <rFont val="Times New Roman"/>
            <family val="18"/>
          </rPr>
          <t>ML 93 IR 1 (1809) VI-XII – AL. Nr. 39 (Olmütz 01/07/1809)</t>
        </r>
        <r>
          <rPr>
            <sz val="14"/>
            <color rgb="FF000000"/>
            <rFont val="Calibri"/>
            <family val="34"/>
          </rPr>
          <t xml:space="preserve">
</t>
        </r>
        <r>
          <rPr>
            <sz val="14"/>
            <color rgb="FF000000"/>
            <rFont val="Times New Roman"/>
            <family val="18"/>
          </rPr>
          <t>ML 94 IR (1810) – ST Feb (Proßnitz 15/02/1811), Sept (Brünn 17/04/1811)</t>
        </r>
        <r>
          <rPr>
            <sz val="14"/>
            <color rgb="FF000000"/>
            <rFont val="Calibri"/>
            <family val="34"/>
          </rPr>
          <t xml:space="preserve">
</t>
        </r>
        <r>
          <rPr>
            <sz val="14"/>
            <color rgb="FF000000"/>
            <rFont val="Times New Roman"/>
            <family val="18"/>
          </rPr>
          <t>ML 97 IR 1 (1812) – ST May (Proßnitz 24/08/1812), Oct (Proßnitz 23/02/1813)</t>
        </r>
        <r>
          <rPr>
            <sz val="14"/>
            <color rgb="FF000000"/>
            <rFont val="Calibri"/>
            <family val="34"/>
          </rPr>
          <t xml:space="preserve">
</t>
        </r>
        <r>
          <rPr>
            <sz val="14"/>
            <color rgb="FF000000"/>
            <rFont val="Times New Roman"/>
            <family val="18"/>
          </rPr>
          <t>ML 99 IR 1 (1813) – ST Jan (Proßnitz 31/05/1813), March (Proßnitz 29/06/1813), Sept (05/02/1814), Nov (26/04/1814)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July (Proßnitz 20/03/1815)</t>
        </r>
        <r>
          <rPr>
            <sz val="14"/>
            <color rgb="FF000000"/>
            <rFont val="Calibri"/>
            <family val="34"/>
          </rPr>
          <t xml:space="preserve">
</t>
        </r>
        <r>
          <rPr>
            <sz val="14"/>
            <color rgb="FF000000"/>
            <rFont val="Times New Roman"/>
            <family val="18"/>
          </rPr>
          <t>ML 107 IR 1 (1816)</t>
        </r>
        <r>
          <rPr>
            <b/>
            <sz val="14"/>
            <color rgb="FF000000"/>
            <rFont val="Times New Roman"/>
            <family val="18"/>
          </rPr>
          <t xml:space="preserve"> </t>
        </r>
        <r>
          <rPr>
            <sz val="14"/>
            <color rgb="FF000000"/>
            <rFont val="Times New Roman"/>
            <family val="18"/>
          </rPr>
          <t>– ST Jan (Proßnitz 10/04/1816), March (Proßnitz 10/05/1816), April (Proßnitz 29/05/1816)</t>
        </r>
        <r>
          <rPr>
            <sz val="14"/>
            <color rgb="FF000000"/>
            <rFont val="Calibri"/>
            <family val="34"/>
          </rPr>
          <t xml:space="preserve">
</t>
        </r>
        <r>
          <rPr>
            <sz val="14"/>
            <color rgb="FF000000"/>
            <rFont val="Times New Roman"/>
            <family val="18"/>
          </rPr>
          <t>IR 108 IR 1 (1816) AL/TL – SUP Nr. 4 (Proßnitz 04/03/1816)</t>
        </r>
        <r>
          <rPr>
            <sz val="14"/>
            <color rgb="FF000000"/>
            <rFont val="Calibri"/>
            <family val="34"/>
          </rPr>
          <t xml:space="preserve">
</t>
        </r>
      </text>
    </comment>
    <comment ref="BH1325" authorId="0" shapeId="0" xr:uid="{1354BB76-5AD8-604B-B3EF-6D810C2DB4C0}">
      <text>
        <r>
          <rPr>
            <sz val="14"/>
            <color rgb="FF000000"/>
            <rFont val="Calibri"/>
            <family val="34"/>
          </rPr>
          <t>IR 1 (1809-1816)</t>
        </r>
      </text>
    </comment>
    <comment ref="BF1326" authorId="0" shapeId="0" xr:uid="{41F145FB-5A5C-444D-8B76-231E9BB2D2D5}">
      <text>
        <r>
          <rPr>
            <sz val="14"/>
            <color rgb="FF000000"/>
            <rFont val="Times New Roman"/>
            <family val="18"/>
          </rPr>
          <t xml:space="preserve">16/06/1809 </t>
        </r>
        <r>
          <rPr>
            <i/>
            <sz val="14"/>
            <color rgb="FF000000"/>
            <rFont val="Times New Roman"/>
            <family val="18"/>
          </rPr>
          <t>Zu dem Aufgebot hat sich freiwillig und ohneentgeld des Arerai ins k.k. Bucowiner Anrauten Corps zu Fuß als Wehrmann beigetreten und zum Czernowitz assentiert Beim Assentierung hat die folgende Armatur und Munition bekommen: Feuergewehr, Kugelzieher, 24 Scharfe Patronen und 2 Steine</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18/07/1809 </t>
        </r>
        <r>
          <rPr>
            <i/>
            <sz val="14"/>
            <color rgb="FF000000"/>
            <rFont val="Times New Roman"/>
            <family val="18"/>
          </rPr>
          <t>bey Viniaska in Kriegsgefangenschaft gefallen</t>
        </r>
        <r>
          <rPr>
            <sz val="14"/>
            <color rgb="FF000000"/>
            <rFont val="Times New Roman"/>
            <family val="18"/>
          </rPr>
          <t xml:space="preserve"> [ST Juli 1809]</t>
        </r>
        <r>
          <rPr>
            <sz val="14"/>
            <color rgb="FF000000"/>
            <rFont val="Calibri"/>
            <family val="34"/>
          </rPr>
          <t xml:space="preserve">
</t>
        </r>
        <r>
          <rPr>
            <sz val="14"/>
            <color rgb="FF000000"/>
            <rFont val="+mn-lt"/>
            <charset val="1"/>
          </rPr>
          <t xml:space="preserve">
</t>
        </r>
      </text>
    </comment>
    <comment ref="BG1326" authorId="0" shapeId="0" xr:uid="{66FF22C9-4C2E-4348-887D-832DA1AB6D83}">
      <text>
        <r>
          <rPr>
            <sz val="14"/>
            <color rgb="FF000000"/>
            <rFont val="Calibri"/>
            <family val="34"/>
          </rPr>
          <t xml:space="preserve">ML 10.835 Bukovianer FK (1809) – AL Nr. 13 (Czernowitz 20/06/1809), ST Juni (Czernowitz 29/04/1810, Juli (Czernowitz 27/06/1809)
</t>
        </r>
      </text>
    </comment>
    <comment ref="BH1326" authorId="0" shapeId="0" xr:uid="{58EDBAD6-4BF3-664B-ADA0-72D57F29561A}">
      <text>
        <r>
          <rPr>
            <sz val="14"/>
            <color rgb="FF000000"/>
            <rFont val="Calibri"/>
            <family val="34"/>
          </rPr>
          <t>Buccovianer Insurrections Truppen (1809)</t>
        </r>
      </text>
    </comment>
    <comment ref="F1327" authorId="0" shapeId="0" xr:uid="{8563E2A0-09CC-CB4A-8CA3-E18D8698BB3E}">
      <text>
        <r>
          <rPr>
            <sz val="14"/>
            <color rgb="FF000000"/>
            <rFont val="Times New Roman"/>
            <family val="18"/>
          </rPr>
          <t xml:space="preserve">Given as </t>
        </r>
        <r>
          <rPr>
            <i/>
            <sz val="14"/>
            <color rgb="FF000000"/>
            <rFont val="Times New Roman"/>
            <family val="18"/>
          </rPr>
          <t>Herzgtum Warschau</t>
        </r>
        <r>
          <rPr>
            <sz val="14"/>
            <color rgb="FF000000"/>
            <rFont val="Times New Roman"/>
            <family val="18"/>
          </rPr>
          <t xml:space="preserve"> at the  re-enlistment
</t>
        </r>
      </text>
    </comment>
    <comment ref="BF1327" authorId="0" shapeId="0" xr:uid="{14540039-FF22-F343-A5AF-1978789C15F2}">
      <text>
        <r>
          <rPr>
            <i/>
            <sz val="14"/>
            <color rgb="FF000000"/>
            <rFont val="Times New Roman"/>
            <family val="18"/>
          </rPr>
          <t>Hat vorhin 2 Jahr bey Württemberg IR 38 gedient und ist als West Gallizier mit Abschied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18/06/1811 </t>
        </r>
        <r>
          <rPr>
            <i/>
            <sz val="14"/>
            <color rgb="FF000000"/>
            <rFont val="Times New Roman"/>
            <family val="18"/>
          </rPr>
          <t>A 15Fl und 6 Jahriger Capitulation Freiwillig in loco angeworben</t>
        </r>
        <r>
          <rPr>
            <sz val="14"/>
            <color rgb="FF000000"/>
            <rFont val="Times New Roman"/>
            <family val="18"/>
          </rPr>
          <t xml:space="preserve"> [ML 1811]</t>
        </r>
        <r>
          <rPr>
            <sz val="14"/>
            <color rgb="FF000000"/>
            <rFont val="Calibri"/>
            <family val="34"/>
          </rPr>
          <t xml:space="preserve">
</t>
        </r>
        <r>
          <rPr>
            <sz val="14"/>
            <color rgb="FF000000"/>
            <rFont val="Times New Roman"/>
            <family val="18"/>
          </rPr>
          <t>09/09/1811 Muster: IR 9 4. Fus. Komp. Nr. 259 [</t>
        </r>
        <r>
          <rPr>
            <i/>
            <sz val="14"/>
            <color rgb="FF000000"/>
            <rFont val="Times New Roman"/>
            <family val="18"/>
          </rPr>
          <t>Auf Laufende Commando</t>
        </r>
        <r>
          <rPr>
            <sz val="14"/>
            <color rgb="FF000000"/>
            <rFont val="Times New Roman"/>
            <family val="18"/>
          </rPr>
          <t>]</t>
        </r>
        <r>
          <rPr>
            <sz val="14"/>
            <color rgb="FF000000"/>
            <rFont val="Calibri"/>
            <family val="34"/>
          </rPr>
          <t xml:space="preserve">
</t>
        </r>
      </text>
    </comment>
    <comment ref="BG1327" authorId="0" shapeId="0" xr:uid="{C108A27E-46FD-0D44-9B5E-93F94D124E03}">
      <text>
        <r>
          <rPr>
            <sz val="14"/>
            <color rgb="FF000000"/>
            <rFont val="Times New Roman"/>
            <family val="18"/>
          </rPr>
          <t>ML 634 IR 9 (1811) – 4. Fus. Komp. Nr. 259 (Eperies, 09/09/1811)</t>
        </r>
        <r>
          <rPr>
            <sz val="14"/>
            <color rgb="FF000000"/>
            <rFont val="Calibri"/>
            <family val="34"/>
          </rPr>
          <t xml:space="preserve">
</t>
        </r>
      </text>
    </comment>
    <comment ref="BH1327" authorId="0" shapeId="0" xr:uid="{68E675FE-6643-0D45-99F0-38D9678B5F7B}">
      <text>
        <r>
          <rPr>
            <sz val="14"/>
            <color rgb="FF000000"/>
            <rFont val="Calibri"/>
            <family val="34"/>
          </rPr>
          <t xml:space="preserve">IR 38 (18??-18??)
</t>
        </r>
        <r>
          <rPr>
            <sz val="14"/>
            <color rgb="FF000000"/>
            <rFont val="Calibri"/>
            <family val="34"/>
          </rPr>
          <t>IR 9 (1811)</t>
        </r>
      </text>
    </comment>
    <comment ref="BF1328" authorId="0" shapeId="0" xr:uid="{870AC35E-A62F-924E-89FF-730CEE6F9FB6}">
      <text>
        <r>
          <rPr>
            <sz val="14"/>
            <color rgb="FF000000"/>
            <rFont val="Times New Roman"/>
            <family val="18"/>
          </rPr>
          <t xml:space="preserve">19/06/1809 </t>
        </r>
        <r>
          <rPr>
            <i/>
            <sz val="14"/>
            <color rgb="FF000000"/>
            <rFont val="Times New Roman"/>
            <family val="18"/>
          </rPr>
          <t xml:space="preserve">Zu Prag assentiert </t>
        </r>
        <r>
          <rPr>
            <sz val="14"/>
            <color rgb="FF000000"/>
            <rFont val="Times New Roman"/>
            <family val="18"/>
          </rPr>
          <t>[TL 1809]</t>
        </r>
        <r>
          <rPr>
            <sz val="14"/>
            <color rgb="FF000000"/>
            <rFont val="Calibri"/>
            <family val="34"/>
          </rPr>
          <t xml:space="preserve">
</t>
        </r>
        <r>
          <rPr>
            <sz val="14"/>
            <color rgb="FF000000"/>
            <rFont val="Times New Roman"/>
            <family val="18"/>
          </rPr>
          <t xml:space="preserve">20/07/1809 </t>
        </r>
        <r>
          <rPr>
            <i/>
            <sz val="14"/>
            <color rgb="FF000000"/>
            <rFont val="Times New Roman"/>
            <family val="18"/>
          </rPr>
          <t xml:space="preserve">Von HFS 1 zum HFS 33 transferiert </t>
        </r>
        <r>
          <rPr>
            <sz val="14"/>
            <color rgb="FF000000"/>
            <rFont val="Times New Roman"/>
            <family val="18"/>
          </rPr>
          <t>[TL 1809]</t>
        </r>
        <r>
          <rPr>
            <sz val="14"/>
            <color rgb="FF000000"/>
            <rFont val="Calibri"/>
            <family val="34"/>
          </rPr>
          <t xml:space="preserve">
</t>
        </r>
        <r>
          <rPr>
            <sz val="14"/>
            <color rgb="FF000000"/>
            <rFont val="Times New Roman"/>
            <family val="18"/>
          </rPr>
          <t>09/03/1810</t>
        </r>
        <r>
          <rPr>
            <i/>
            <sz val="14"/>
            <color rgb="FF000000"/>
            <rFont val="Times New Roman"/>
            <family val="18"/>
          </rPr>
          <t xml:space="preserve"> Krank</t>
        </r>
        <r>
          <rPr>
            <sz val="14"/>
            <color rgb="FF000000"/>
            <rFont val="Times New Roman"/>
            <family val="18"/>
          </rPr>
          <t xml:space="preserve"> [VerpfL März 1810]</t>
        </r>
        <r>
          <rPr>
            <sz val="14"/>
            <color rgb="FF000000"/>
            <rFont val="Calibri"/>
            <family val="34"/>
          </rPr>
          <t xml:space="preserve">
</t>
        </r>
        <r>
          <rPr>
            <sz val="14"/>
            <color rgb="FF000000"/>
            <rFont val="Times New Roman"/>
            <family val="18"/>
          </rPr>
          <t xml:space="preserve">10/03/1810 </t>
        </r>
        <r>
          <rPr>
            <i/>
            <sz val="14"/>
            <color rgb="FF000000"/>
            <rFont val="Times New Roman"/>
            <family val="18"/>
          </rPr>
          <t xml:space="preserve">Rekonvalesziert </t>
        </r>
        <r>
          <rPr>
            <sz val="14"/>
            <color rgb="FF000000"/>
            <rFont val="Times New Roman"/>
            <family val="18"/>
          </rPr>
          <t xml:space="preserve">[VerpfL März 1810] </t>
        </r>
        <r>
          <rPr>
            <sz val="14"/>
            <color rgb="FF000000"/>
            <rFont val="Calibri"/>
            <family val="34"/>
          </rPr>
          <t xml:space="preserve">
</t>
        </r>
        <r>
          <rPr>
            <sz val="14"/>
            <color rgb="FF000000"/>
            <rFont val="Times New Roman"/>
            <family val="18"/>
          </rPr>
          <t xml:space="preserve">20/03/1810 </t>
        </r>
        <r>
          <rPr>
            <i/>
            <sz val="14"/>
            <color rgb="FF000000"/>
            <rFont val="Times New Roman"/>
            <family val="18"/>
          </rPr>
          <t xml:space="preserve">In folge Hoher Löbl k.k. Hauptfeldspitalern Oberdirections Verordnung dd. Prag am 23. Feb 810 und Nr. 539in das Unterlages Spital Nr. 21 nach Raudnitz transferiert </t>
        </r>
        <r>
          <rPr>
            <sz val="14"/>
            <color rgb="FF000000"/>
            <rFont val="Times New Roman"/>
            <family val="18"/>
          </rPr>
          <t>[VerpfL März 1810]</t>
        </r>
        <r>
          <rPr>
            <sz val="14"/>
            <color rgb="FF000000"/>
            <rFont val="Calibri"/>
            <family val="34"/>
          </rPr>
          <t xml:space="preserve">
</t>
        </r>
      </text>
    </comment>
    <comment ref="BG1328" authorId="0" shapeId="0" xr:uid="{7A24F8D9-8919-2E4F-A79E-EC5058EA26D3}">
      <text>
        <r>
          <rPr>
            <sz val="14"/>
            <color rgb="FF000000"/>
            <rFont val="Times New Roman"/>
            <family val="18"/>
          </rPr>
          <t>ML 11.997 HFS (1809-1814) – TL HFS 1-&gt;HFS 33 Nr. 38 (Prague ??/??/1809); VeprfL März 1810</t>
        </r>
        <r>
          <rPr>
            <sz val="14"/>
            <color rgb="FF000000"/>
            <rFont val="Calibri"/>
            <family val="34"/>
          </rPr>
          <t xml:space="preserve">
</t>
        </r>
      </text>
    </comment>
    <comment ref="BH1328" authorId="0" shapeId="0" xr:uid="{63DFF3A6-E15D-1144-B6B9-EE070AD5DD89}">
      <text>
        <r>
          <rPr>
            <sz val="14"/>
            <color rgb="FF000000"/>
            <rFont val="Calibri"/>
            <family val="34"/>
          </rPr>
          <t xml:space="preserve">HFS 1 (1809)
</t>
        </r>
        <r>
          <rPr>
            <sz val="14"/>
            <color rgb="FF000000"/>
            <rFont val="Calibri"/>
            <family val="34"/>
          </rPr>
          <t xml:space="preserve">HFS 33 (1809-10)
</t>
        </r>
        <r>
          <rPr>
            <sz val="14"/>
            <color rgb="FF000000"/>
            <rFont val="Calibri"/>
            <family val="34"/>
          </rPr>
          <t>US 21 (1810)</t>
        </r>
      </text>
    </comment>
    <comment ref="BF1329" authorId="0" shapeId="0" xr:uid="{8B8093D5-7158-3041-8A40-FC7F31C4DCA6}">
      <text>
        <r>
          <rPr>
            <sz val="14"/>
            <color rgb="FF000000"/>
            <rFont val="Times New Roman"/>
            <family val="18"/>
          </rPr>
          <t xml:space="preserve">21/06/1809 </t>
        </r>
        <r>
          <rPr>
            <i/>
            <sz val="14"/>
            <color rgb="FF000000"/>
            <rFont val="Times New Roman"/>
            <family val="18"/>
          </rPr>
          <t xml:space="preserve">In 5. Reserve Bataillon gegen 3Fl assentiert </t>
        </r>
        <r>
          <rPr>
            <sz val="14"/>
            <color rgb="FF000000"/>
            <rFont val="Times New Roman"/>
            <family val="18"/>
          </rPr>
          <t xml:space="preserve">[AL June 1809]
</t>
        </r>
        <r>
          <rPr>
            <sz val="14"/>
            <color rgb="FF000000"/>
            <rFont val="Times New Roman"/>
            <family val="18"/>
          </rPr>
          <t xml:space="preserve">16/08/1809 </t>
        </r>
        <r>
          <rPr>
            <i/>
            <sz val="14"/>
            <color rgb="FF000000"/>
            <rFont val="Times New Roman"/>
            <family val="18"/>
          </rPr>
          <t>Von IR 42 ‚Erbach‘ zum IR 4 ‚Deutschmeister‘ transferiert und 1. Komp. eingeteilt</t>
        </r>
        <r>
          <rPr>
            <sz val="14"/>
            <color rgb="FF000000"/>
            <rFont val="Times New Roman"/>
            <family val="18"/>
          </rPr>
          <t xml:space="preserve"> [TL Aug 1809]
</t>
        </r>
        <r>
          <rPr>
            <sz val="14"/>
            <color rgb="FF000000"/>
            <rFont val="Times New Roman"/>
            <family val="18"/>
          </rPr>
          <t xml:space="preserve">09/05/1810 </t>
        </r>
        <r>
          <rPr>
            <i/>
            <sz val="14"/>
            <color rgb="FF000000"/>
            <rFont val="Times New Roman"/>
            <family val="18"/>
          </rPr>
          <t xml:space="preserve">In Wiener Hauptfeldspital gestorben </t>
        </r>
        <r>
          <rPr>
            <sz val="14"/>
            <color rgb="FF000000"/>
            <rFont val="Times New Roman"/>
            <family val="18"/>
          </rPr>
          <t xml:space="preserve">[ST May 1810] </t>
        </r>
      </text>
    </comment>
    <comment ref="BG1329" authorId="0" shapeId="0" xr:uid="{D28332B9-98B9-464E-9C9B-1CA883855A7D}">
      <text>
        <r>
          <rPr>
            <sz val="14"/>
            <color rgb="FF000000"/>
            <rFont val="Times New Roman"/>
            <family val="18"/>
          </rPr>
          <t>ML 3835 IR 42 (1809) AL/TL I-VI – AL unnumbered (Luditz 30/06/1809)</t>
        </r>
        <r>
          <rPr>
            <sz val="14"/>
            <color rgb="FF000000"/>
            <rFont val="Calibri"/>
            <family val="34"/>
          </rPr>
          <t xml:space="preserve">
</t>
        </r>
        <r>
          <rPr>
            <sz val="14"/>
            <color rgb="FF000000"/>
            <rFont val="Times New Roman"/>
            <family val="18"/>
          </rPr>
          <t>ML 3836 IR 42 (1809) – TL IR 42 zu IR 4 Nr. 50 (15/08/1809)</t>
        </r>
        <r>
          <rPr>
            <sz val="14"/>
            <color rgb="FF000000"/>
            <rFont val="Calibri"/>
            <family val="34"/>
          </rPr>
          <t xml:space="preserve">
</t>
        </r>
        <r>
          <rPr>
            <sz val="14"/>
            <color rgb="FF000000"/>
            <rFont val="Times New Roman"/>
            <family val="18"/>
          </rPr>
          <t>ML 399 IR 3 (1809) ST VII-XII – ST Sept (16/09/1810)</t>
        </r>
        <r>
          <rPr>
            <sz val="14"/>
            <color rgb="FF000000"/>
            <rFont val="Calibri"/>
            <family val="34"/>
          </rPr>
          <t xml:space="preserve">
</t>
        </r>
        <r>
          <rPr>
            <sz val="14"/>
            <color rgb="FF000000"/>
            <rFont val="Times New Roman"/>
            <family val="18"/>
          </rPr>
          <t>ML 402 IR 3 (1810) – ST May (Vienna 23/03/1811)</t>
        </r>
        <r>
          <rPr>
            <sz val="14"/>
            <color rgb="FF000000"/>
            <rFont val="Calibri"/>
            <family val="34"/>
          </rPr>
          <t xml:space="preserve">
</t>
        </r>
      </text>
    </comment>
    <comment ref="BH1329" authorId="0" shapeId="0" xr:uid="{4B6A6524-1F7D-1740-830E-09AFCAE78492}">
      <text>
        <r>
          <rPr>
            <sz val="14"/>
            <color rgb="FF000000"/>
            <rFont val="Calibri"/>
            <family val="34"/>
          </rPr>
          <t xml:space="preserve">IR 42 (1809)
</t>
        </r>
        <r>
          <rPr>
            <sz val="14"/>
            <color rgb="FF000000"/>
            <rFont val="Calibri"/>
            <family val="34"/>
          </rPr>
          <t>IR 4 (1809-1810)</t>
        </r>
      </text>
    </comment>
    <comment ref="BF1330" authorId="0" shapeId="0" xr:uid="{96E9EB7B-EA60-D94C-A3AE-F04698CF8ED8}">
      <text>
        <r>
          <rPr>
            <sz val="14"/>
            <color rgb="FF000000"/>
            <rFont val="Times New Roman"/>
            <family val="18"/>
          </rPr>
          <t xml:space="preserve">25/06/1809 </t>
        </r>
        <r>
          <rPr>
            <i/>
            <sz val="14"/>
            <color rgb="FF000000"/>
            <rFont val="Times New Roman"/>
            <family val="18"/>
          </rPr>
          <t>A 25Fl zum IR 39 angeworben und zum 19.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01/08/1809 </t>
        </r>
        <r>
          <rPr>
            <i/>
            <sz val="14"/>
            <color rgb="FF000000"/>
            <rFont val="Times New Roman"/>
            <family val="18"/>
          </rPr>
          <t>Von 19. zum 20. Fus. Komp. transferiert</t>
        </r>
        <r>
          <rPr>
            <sz val="14"/>
            <color rgb="FF000000"/>
            <rFont val="Times New Roman"/>
            <family val="18"/>
          </rPr>
          <t xml:space="preserve"> [ML 1811]</t>
        </r>
        <r>
          <rPr>
            <sz val="14"/>
            <color rgb="FF000000"/>
            <rFont val="Aptos"/>
            <family val="34"/>
          </rPr>
          <t xml:space="preserve">
</t>
        </r>
        <r>
          <rPr>
            <sz val="14"/>
            <color rgb="FFFF0000"/>
            <rFont val="Times New Roman"/>
            <family val="18"/>
          </rPr>
          <t xml:space="preserve">16/01/1810 </t>
        </r>
        <r>
          <rPr>
            <i/>
            <sz val="14"/>
            <color rgb="FFFF0000"/>
            <rFont val="Times New Roman"/>
            <family val="18"/>
          </rPr>
          <t>Von die Kriegsgefangenschaft zurück</t>
        </r>
        <r>
          <rPr>
            <sz val="14"/>
            <color rgb="FFFF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11. Fus. Komp zum IR 62 4.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15/08/1810 </t>
        </r>
        <r>
          <rPr>
            <i/>
            <sz val="14"/>
            <color rgb="FF000000"/>
            <rFont val="Times New Roman"/>
            <family val="18"/>
          </rPr>
          <t>Krank zu Spital in Tamesvar</t>
        </r>
        <r>
          <rPr>
            <sz val="14"/>
            <color rgb="FF000000"/>
            <rFont val="Times New Roman"/>
            <family val="18"/>
          </rPr>
          <t xml:space="preserve"> [ST Nov 1811]</t>
        </r>
        <r>
          <rPr>
            <sz val="14"/>
            <color rgb="FF000000"/>
            <rFont val="Aptos"/>
            <family val="34"/>
          </rPr>
          <t xml:space="preserve">
</t>
        </r>
        <r>
          <rPr>
            <sz val="14"/>
            <color rgb="FF000000"/>
            <rFont val="Times New Roman"/>
            <family val="18"/>
          </rPr>
          <t xml:space="preserve">05/09/1810 </t>
        </r>
        <r>
          <rPr>
            <i/>
            <sz val="14"/>
            <color rgb="FF000000"/>
            <rFont val="Times New Roman"/>
            <family val="18"/>
          </rPr>
          <t>Rekonvalesziert</t>
        </r>
        <r>
          <rPr>
            <sz val="14"/>
            <color rgb="FF000000"/>
            <rFont val="Times New Roman"/>
            <family val="18"/>
          </rPr>
          <t xml:space="preserve"> [ST Sept 1810]</t>
        </r>
        <r>
          <rPr>
            <sz val="14"/>
            <color rgb="FF000000"/>
            <rFont val="Aptos"/>
            <family val="34"/>
          </rPr>
          <t xml:space="preserve">
</t>
        </r>
        <r>
          <rPr>
            <sz val="14"/>
            <color rgb="FF000000"/>
            <rFont val="Times New Roman"/>
            <family val="18"/>
          </rPr>
          <t xml:space="preserve">10/09/1810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330" authorId="0" shapeId="0" xr:uid="{DE08CEFA-988F-B440-BC3F-63B0C2719AD3}">
      <text>
        <r>
          <rPr>
            <sz val="14"/>
            <color rgb="FF000000"/>
            <rFont val="Times New Roman"/>
            <family val="18"/>
          </rPr>
          <t>ML 3501/2 IR 39 (1811) – 11. Fus. Komp. Abgang (Ofen 19/09/1811)</t>
        </r>
        <r>
          <rPr>
            <sz val="14"/>
            <color rgb="FF000000"/>
            <rFont val="Aptos"/>
            <family val="34"/>
          </rPr>
          <t xml:space="preserve">
</t>
        </r>
        <r>
          <rPr>
            <sz val="14"/>
            <color rgb="FF000000"/>
            <rFont val="Times New Roman"/>
            <family val="18"/>
          </rPr>
          <t>ML 5223 IR 62 (1810) – TL IR 39-&gt;IR 62 Nr. 80 (Ofen 07/09/1810); ST July (03/03/1811), Aug (Tamesvar 15/03/1811), Sept (Tamesvar 07/04/1811)</t>
        </r>
        <r>
          <rPr>
            <sz val="14"/>
            <color rgb="FF000000"/>
            <rFont val="Aptos"/>
            <family val="34"/>
          </rPr>
          <t xml:space="preserve">
</t>
        </r>
      </text>
    </comment>
    <comment ref="BH1330" authorId="0" shapeId="0" xr:uid="{41724215-8E7F-EA45-922E-DAAF0855F567}">
      <text>
        <r>
          <rPr>
            <sz val="14"/>
            <color rgb="FF000000"/>
            <rFont val="Calibri"/>
            <family val="34"/>
          </rPr>
          <t xml:space="preserve">IR 39 (1809-1810)
</t>
        </r>
        <r>
          <rPr>
            <sz val="14"/>
            <color rgb="FF000000"/>
            <rFont val="Calibri"/>
            <family val="34"/>
          </rPr>
          <t>IR 62 (1810)</t>
        </r>
      </text>
    </comment>
    <comment ref="BF1331" authorId="0" shapeId="0" xr:uid="{11522917-EE9A-3543-94F4-D472BBCA8DCF}">
      <text>
        <r>
          <rPr>
            <sz val="14"/>
            <color rgb="FF000000"/>
            <rFont val="Times New Roman"/>
            <family val="18"/>
          </rPr>
          <t xml:space="preserve">07/07/1809 </t>
        </r>
        <r>
          <rPr>
            <i/>
            <sz val="14"/>
            <color rgb="FF000000"/>
            <rFont val="Times New Roman"/>
            <family val="18"/>
          </rPr>
          <t>Als Unterarzt In Hauptfeldspital Nr. 32 in Prag assentiert</t>
        </r>
        <r>
          <rPr>
            <sz val="14"/>
            <color rgb="FF000000"/>
            <rFont val="Times New Roman"/>
            <family val="18"/>
          </rPr>
          <t xml:space="preserve"> [AL Juli 1809]
</t>
        </r>
        <r>
          <rPr>
            <sz val="14"/>
            <color rgb="FF000000"/>
            <rFont val="Times New Roman"/>
            <family val="18"/>
          </rPr>
          <t xml:space="preserve">01/10/1809 </t>
        </r>
        <r>
          <rPr>
            <i/>
            <sz val="14"/>
            <color rgb="FF000000"/>
            <rFont val="Times New Roman"/>
            <family val="18"/>
          </rPr>
          <t>Am Leitomischler Civil Spital zugeheilt</t>
        </r>
        <r>
          <rPr>
            <sz val="14"/>
            <color rgb="FF000000"/>
            <rFont val="Times New Roman"/>
            <family val="18"/>
          </rPr>
          <t xml:space="preserve"> [TL Aug 1810]
</t>
        </r>
        <r>
          <rPr>
            <sz val="14"/>
            <color rgb="FF000000"/>
            <rFont val="Times New Roman"/>
            <family val="18"/>
          </rPr>
          <t xml:space="preserve">31/01/1810 </t>
        </r>
        <r>
          <rPr>
            <i/>
            <sz val="14"/>
            <color rgb="FF000000"/>
            <rFont val="Times New Roman"/>
            <family val="18"/>
          </rPr>
          <t xml:space="preserve">Von HFS 32 von HFS zum Leitomischler Civil Spital offiziell transferiert </t>
        </r>
        <r>
          <rPr>
            <sz val="14"/>
            <color rgb="FF000000"/>
            <rFont val="Times New Roman"/>
            <family val="18"/>
          </rPr>
          <t xml:space="preserve">[TL Aug 1810 &amp; VerpfL Jan 1810]
</t>
        </r>
      </text>
    </comment>
    <comment ref="BG1331" authorId="0" shapeId="0" xr:uid="{52718BD4-93C7-5741-9697-DD4E409E1AAC}">
      <text>
        <r>
          <rPr>
            <sz val="14"/>
            <color rgb="FF000000"/>
            <rFont val="Times New Roman"/>
            <family val="18"/>
          </rPr>
          <t xml:space="preserve">ST 11.994 HFS (1809-14) – HFS 32 AL Nr. 2 (Prague 07/07/1809); TL HFS 32-&gt; Leitmoschler Civil FS Nr. 2 (Opočno 06/08/1810); VrpfL Jan 1810 (Opochno 30/06/1810)
</t>
        </r>
      </text>
    </comment>
    <comment ref="BH1331" authorId="0" shapeId="0" xr:uid="{DD118B96-141E-5F44-B27C-946E68A536A7}">
      <text>
        <r>
          <rPr>
            <sz val="14"/>
            <color rgb="FF000000"/>
            <rFont val="Calibri"/>
            <family val="34"/>
          </rPr>
          <t xml:space="preserve">HFS 32 (1809-1810)
</t>
        </r>
        <r>
          <rPr>
            <sz val="14"/>
            <color rgb="FF000000"/>
            <rFont val="Calibri"/>
            <family val="34"/>
          </rPr>
          <t>Leitomyschl Civil FS (1810)</t>
        </r>
      </text>
    </comment>
    <comment ref="O1332" authorId="0" shapeId="0" xr:uid="{54AB3808-4979-834B-AFCB-D3513FA2A4EF}">
      <text>
        <r>
          <rPr>
            <sz val="14"/>
            <color rgb="FF000000"/>
            <rFont val="Calibri"/>
            <family val="34"/>
          </rPr>
          <t>2 Kinder (ohne weitere Angaben)</t>
        </r>
      </text>
    </comment>
    <comment ref="BF1332" authorId="0" shapeId="0" xr:uid="{CDB2AA9E-340E-0C46-BDA2-6BB19ACC52CB}">
      <text>
        <r>
          <rPr>
            <sz val="14"/>
            <color rgb="FF000000"/>
            <rFont val="Times New Roman"/>
            <family val="18"/>
          </rPr>
          <t xml:space="preserve">07/07/1809 </t>
        </r>
        <r>
          <rPr>
            <i/>
            <sz val="14"/>
            <color rgb="FF000000"/>
            <rFont val="Times New Roman"/>
            <family val="18"/>
          </rPr>
          <t>Als Unterarzt In Hauptfeldspital Nr. 32 in Prag assentiert</t>
        </r>
        <r>
          <rPr>
            <sz val="14"/>
            <color rgb="FF000000"/>
            <rFont val="Times New Roman"/>
            <family val="18"/>
          </rPr>
          <t xml:space="preserve"> [AL Juli 1809]
</t>
        </r>
        <r>
          <rPr>
            <sz val="14"/>
            <color rgb="FF000000"/>
            <rFont val="Times New Roman"/>
            <family val="18"/>
          </rPr>
          <t xml:space="preserve">15/09/1809 </t>
        </r>
        <r>
          <rPr>
            <i/>
            <sz val="14"/>
            <color rgb="FF000000"/>
            <rFont val="Times New Roman"/>
            <family val="18"/>
          </rPr>
          <t>nach Prag dem Criminal Gericht übergeben</t>
        </r>
        <r>
          <rPr>
            <sz val="14"/>
            <color rgb="FF000000"/>
            <rFont val="Times New Roman"/>
            <family val="18"/>
          </rPr>
          <t xml:space="preserve"> [Verpf.-Ent. Sept 1809]
</t>
        </r>
      </text>
    </comment>
    <comment ref="BG1332" authorId="0" shapeId="0" xr:uid="{2212AAF9-FFA5-9342-BB1F-A1AC458A52D8}">
      <text>
        <r>
          <rPr>
            <sz val="14"/>
            <color rgb="FF000000"/>
            <rFont val="Times New Roman"/>
            <family val="18"/>
          </rPr>
          <t xml:space="preserve">ST 11.994 HFS (1809-14) – HFS 32 AL Nr. 2 (Prague 07/07/1809); TL HFS 32-&gt; Leitmoschler Civil FS Nr. 2 (Opočno 06/08/1810); VrpfL Jan 1810 (Opochno 30/06/1810)
</t>
        </r>
      </text>
    </comment>
    <comment ref="BH1332" authorId="0" shapeId="0" xr:uid="{93AAC54E-C611-A04F-A39A-A38D91D16C8B}">
      <text>
        <r>
          <rPr>
            <sz val="14"/>
            <color rgb="FF000000"/>
            <rFont val="Calibri"/>
            <family val="34"/>
          </rPr>
          <t xml:space="preserve">HFS 32 (1809)
</t>
        </r>
        <r>
          <rPr>
            <sz val="14"/>
            <color rgb="FF000000"/>
            <rFont val="Calibri"/>
            <family val="34"/>
          </rPr>
          <t>Prag Criminal Gericht(1809)</t>
        </r>
      </text>
    </comment>
    <comment ref="BF1333" authorId="0" shapeId="0" xr:uid="{93B483C6-96CE-E445-8EE9-3C0A38469898}">
      <text>
        <r>
          <rPr>
            <sz val="14"/>
            <color rgb="FF000000"/>
            <rFont val="Times New Roman"/>
            <family val="18"/>
          </rPr>
          <t xml:space="preserve">07/07/1809 </t>
        </r>
        <r>
          <rPr>
            <i/>
            <sz val="14"/>
            <color rgb="FF000000"/>
            <rFont val="Times New Roman"/>
            <family val="18"/>
          </rPr>
          <t>Zum UL 1 Reserve gestellt</t>
        </r>
        <r>
          <rPr>
            <sz val="14"/>
            <color rgb="FF000000"/>
            <rFont val="Times New Roman"/>
            <family val="18"/>
          </rPr>
          <t xml:space="preserve"> [AL Juli 1809 &amp; ST Juli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Während des March aus Galizien nach Böhmen desertiert</t>
        </r>
        <r>
          <rPr>
            <sz val="14"/>
            <color rgb="FF000000"/>
            <rFont val="Times New Roman"/>
            <family val="18"/>
          </rPr>
          <t xml:space="preserve"> [ST Aug 1809]</t>
        </r>
        <r>
          <rPr>
            <sz val="14"/>
            <color rgb="FF000000"/>
            <rFont val="Calibri"/>
            <family val="34"/>
          </rPr>
          <t xml:space="preserve">
</t>
        </r>
      </text>
    </comment>
    <comment ref="BG1333" authorId="0" shapeId="0" xr:uid="{C79AE8AE-2759-CD42-88A1-87E5536CF5B3}">
      <text>
        <r>
          <rPr>
            <sz val="14"/>
            <color rgb="FF000000"/>
            <rFont val="Times New Roman"/>
            <family val="18"/>
          </rPr>
          <t>ML 7848 UL 1 (1809) – AL Nr. 1 (Neu Sandetz 07/07/1809), ST Juli (07/06/1810), ST August (??)</t>
        </r>
        <r>
          <rPr>
            <sz val="14"/>
            <color rgb="FF000000"/>
            <rFont val="Calibri"/>
            <family val="34"/>
          </rPr>
          <t xml:space="preserve">
</t>
        </r>
      </text>
    </comment>
    <comment ref="BH1333" authorId="0" shapeId="0" xr:uid="{77FC81DC-6719-A745-AB68-48D5AB65B080}">
      <text>
        <r>
          <rPr>
            <sz val="14"/>
            <color rgb="FF000000"/>
            <rFont val="Calibri"/>
            <family val="34"/>
          </rPr>
          <t>UL 1 (1809)</t>
        </r>
      </text>
    </comment>
    <comment ref="BF1334" authorId="0" shapeId="0" xr:uid="{A52D7685-84D3-3841-8427-7C6175864E63}">
      <text>
        <r>
          <rPr>
            <sz val="14"/>
            <color rgb="FF000000"/>
            <rFont val="Times New Roman"/>
            <family val="18"/>
          </rPr>
          <t xml:space="preserve">26/07/1809 </t>
        </r>
        <r>
          <rPr>
            <i/>
            <sz val="14"/>
            <color rgb="FF000000"/>
            <rFont val="Times New Roman"/>
            <family val="18"/>
          </rPr>
          <t xml:space="preserve">Von Makó </t>
        </r>
        <r>
          <rPr>
            <b/>
            <sz val="14"/>
            <color rgb="FF000000"/>
            <rFont val="Times New Roman"/>
            <family val="18"/>
          </rPr>
          <t>[</t>
        </r>
        <r>
          <rPr>
            <b/>
            <u/>
            <sz val="14"/>
            <color rgb="FF0563C1"/>
            <rFont val="Times New Roman"/>
            <family val="18"/>
          </rPr>
          <t>Makó, Hungary</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Csongrád </t>
        </r>
        <r>
          <rPr>
            <sz val="14"/>
            <color rgb="FF000000"/>
            <rFont val="Times New Roman"/>
            <family val="18"/>
          </rPr>
          <t xml:space="preserve">[SIC!] </t>
        </r>
        <r>
          <rPr>
            <i/>
            <sz val="14"/>
            <color rgb="FF000000"/>
            <rFont val="Times New Roman"/>
            <family val="18"/>
          </rPr>
          <t xml:space="preserve">Komität Von Land gestellt und gegen 30FL auf dem Werbplatz Szegedin zum IR 39 assentiert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19. Zum 11.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01/07/1810 </t>
        </r>
        <r>
          <rPr>
            <i/>
            <sz val="14"/>
            <color rgb="FF000000"/>
            <rFont val="Times New Roman"/>
            <family val="18"/>
          </rPr>
          <t>Von IR 39 15. zum 16.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10/09/1810 </t>
        </r>
        <r>
          <rPr>
            <i/>
            <sz val="14"/>
            <color rgb="FF000000"/>
            <rFont val="Times New Roman"/>
            <family val="18"/>
          </rPr>
          <t>Als Kriegscapitulant mit Abschied entlassen</t>
        </r>
        <r>
          <rPr>
            <sz val="14"/>
            <color rgb="FF000000"/>
            <rFont val="Times New Roman"/>
            <family val="18"/>
          </rPr>
          <t xml:space="preserve"> [ML 1811] </t>
        </r>
      </text>
    </comment>
    <comment ref="BG1334" authorId="0" shapeId="0" xr:uid="{EDE851E3-5771-0040-A597-7C7467936B34}">
      <text>
        <r>
          <rPr>
            <sz val="14"/>
            <color rgb="FF000000"/>
            <rFont val="Times New Roman"/>
            <family val="18"/>
          </rPr>
          <t>ML 3501/2 IR 39 (1811) – 16. Fus. Komp. Abgang (Ofen 19/09/1811)</t>
        </r>
        <r>
          <rPr>
            <sz val="14"/>
            <color rgb="FF000000"/>
            <rFont val="Calibri"/>
            <family val="34"/>
          </rPr>
          <t xml:space="preserve">
</t>
        </r>
        <r>
          <rPr>
            <sz val="14"/>
            <color rgb="FF000000"/>
            <rFont val="Times New Roman"/>
            <family val="18"/>
          </rPr>
          <t>ML 3550 IR 39 (1809) – AL Nr. 7 (Szegedin 08/08/1809)</t>
        </r>
      </text>
    </comment>
    <comment ref="BH1334" authorId="0" shapeId="0" xr:uid="{327F03D2-4F51-5645-A53E-A5762CF478A0}">
      <text>
        <r>
          <rPr>
            <sz val="14"/>
            <color rgb="FF000000"/>
            <rFont val="Calibri"/>
            <family val="34"/>
          </rPr>
          <t>IR 39 (1809-1810)</t>
        </r>
      </text>
    </comment>
    <comment ref="BF1335" authorId="0" shapeId="0" xr:uid="{D546754F-653D-5049-A5D8-E8E00CE1B2C7}">
      <text>
        <r>
          <rPr>
            <sz val="14"/>
            <color rgb="FF000000"/>
            <rFont val="Times New Roman"/>
            <family val="18"/>
          </rPr>
          <t xml:space="preserve">26/07/1809 </t>
        </r>
        <r>
          <rPr>
            <i/>
            <sz val="14"/>
            <color rgb="FF000000"/>
            <rFont val="Times New Roman"/>
            <family val="18"/>
          </rPr>
          <t xml:space="preserve">Von Makó </t>
        </r>
        <r>
          <rPr>
            <b/>
            <sz val="14"/>
            <color rgb="FF000000"/>
            <rFont val="Times New Roman"/>
            <family val="18"/>
          </rPr>
          <t>[</t>
        </r>
        <r>
          <rPr>
            <b/>
            <u/>
            <sz val="14"/>
            <color rgb="FF0563C1"/>
            <rFont val="Times New Roman"/>
            <family val="18"/>
          </rPr>
          <t>Makó, Hungary</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Csongrád </t>
        </r>
        <r>
          <rPr>
            <sz val="14"/>
            <color rgb="FF000000"/>
            <rFont val="Times New Roman"/>
            <family val="18"/>
          </rPr>
          <t xml:space="preserve">[SIC!] </t>
        </r>
        <r>
          <rPr>
            <i/>
            <sz val="14"/>
            <color rgb="FF000000"/>
            <rFont val="Times New Roman"/>
            <family val="18"/>
          </rPr>
          <t xml:space="preserve">Komität Von Land gestellt und gegen 30FL auf dem Werbplatz Szegedin zum IR 39 assentiert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UNBEKANNT: </t>
        </r>
        <r>
          <rPr>
            <i/>
            <sz val="14"/>
            <color rgb="FF000000"/>
            <rFont val="Times New Roman"/>
            <family val="18"/>
          </rPr>
          <t>Scheint überhaupt nicht beim Regiment anzukommen</t>
        </r>
      </text>
    </comment>
    <comment ref="BG1335" authorId="0" shapeId="0" xr:uid="{6BCD5722-4289-4649-80FD-4171879AFD51}">
      <text>
        <r>
          <rPr>
            <sz val="14"/>
            <color rgb="FF000000"/>
            <rFont val="Times New Roman"/>
            <family val="18"/>
          </rPr>
          <t>ML 3550 IR 39 (1809) – AL Nr. 6 (Szegedin 08/08/1809)</t>
        </r>
        <r>
          <rPr>
            <sz val="14"/>
            <color rgb="FF000000"/>
            <rFont val="Calibri"/>
            <family val="34"/>
          </rPr>
          <t xml:space="preserve">
</t>
        </r>
      </text>
    </comment>
    <comment ref="BH1335" authorId="0" shapeId="0" xr:uid="{E2815FB6-0830-0B44-BB82-5BC7B9139447}">
      <text>
        <r>
          <rPr>
            <sz val="14"/>
            <color rgb="FF000000"/>
            <rFont val="Calibri"/>
            <family val="34"/>
          </rPr>
          <t>IR 39 (1809)</t>
        </r>
      </text>
    </comment>
    <comment ref="BF1336" authorId="0" shapeId="0" xr:uid="{1635CB15-802C-B344-80A9-693097C278DC}">
      <text>
        <r>
          <rPr>
            <i/>
            <sz val="14"/>
            <color rgb="FFFF0000"/>
            <rFont val="Times New Roman"/>
            <family val="18"/>
          </rPr>
          <t xml:space="preserve">Dient 6 Jahren </t>
        </r>
        <r>
          <rPr>
            <sz val="14"/>
            <color rgb="FFFF0000"/>
            <rFont val="Times New Roman"/>
            <family val="18"/>
          </rPr>
          <t>[SUP Feb 1815]</t>
        </r>
        <r>
          <rPr>
            <sz val="14"/>
            <color rgb="FF000000"/>
            <rFont val="Calibri"/>
            <family val="34"/>
          </rPr>
          <t xml:space="preserve">
</t>
        </r>
        <r>
          <rPr>
            <sz val="14"/>
            <color rgb="FF000000"/>
            <rFont val="Times New Roman"/>
            <family val="18"/>
          </rPr>
          <t xml:space="preserve">03/08/1809 </t>
        </r>
        <r>
          <rPr>
            <i/>
            <sz val="14"/>
            <color rgb="FF000000"/>
            <rFont val="Times New Roman"/>
            <family val="18"/>
          </rPr>
          <t xml:space="preserve">Zum 4. Reserve Bataillon von Dominien Milotitz </t>
        </r>
        <r>
          <rPr>
            <b/>
            <sz val="14"/>
            <color rgb="FF000000"/>
            <rFont val="Times New Roman"/>
            <family val="18"/>
          </rPr>
          <t>[</t>
        </r>
        <r>
          <rPr>
            <b/>
            <u/>
            <sz val="14"/>
            <color rgb="FF0563C1"/>
            <rFont val="Times New Roman"/>
            <family val="18"/>
          </rPr>
          <t>Milotice u Kyjova, Czech Republic</t>
        </r>
        <r>
          <rPr>
            <b/>
            <sz val="14"/>
            <color rgb="FF000000"/>
            <rFont val="Times New Roman"/>
            <family val="18"/>
          </rPr>
          <t>]</t>
        </r>
        <r>
          <rPr>
            <sz val="14"/>
            <color rgb="FF000000"/>
            <rFont val="Times New Roman"/>
            <family val="18"/>
          </rPr>
          <t xml:space="preserve"> </t>
        </r>
        <r>
          <rPr>
            <i/>
            <sz val="14"/>
            <color rgb="FF000000"/>
            <rFont val="Times New Roman"/>
            <family val="18"/>
          </rPr>
          <t xml:space="preserve">für Herrschaft Gaya gestellt und zum 1. Depot Komp. eingeteilt </t>
        </r>
        <r>
          <rPr>
            <sz val="14"/>
            <color rgb="FF000000"/>
            <rFont val="Times New Roman"/>
            <family val="18"/>
          </rPr>
          <t>[AL Aug 1809]</t>
        </r>
        <r>
          <rPr>
            <sz val="14"/>
            <color rgb="FF000000"/>
            <rFont val="Calibri"/>
            <family val="34"/>
          </rPr>
          <t xml:space="preserve">
</t>
        </r>
        <r>
          <rPr>
            <sz val="14"/>
            <color rgb="FF000000"/>
            <rFont val="Times New Roman"/>
            <family val="18"/>
          </rPr>
          <t xml:space="preserve">17/08/1809 </t>
        </r>
        <r>
          <rPr>
            <i/>
            <sz val="14"/>
            <color rgb="FF000000"/>
            <rFont val="Times New Roman"/>
            <family val="18"/>
          </rPr>
          <t>Von IR 1 1. Depot Penator Komp. zum FAR 3 transferiert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01/04/1811 </t>
        </r>
        <r>
          <rPr>
            <i/>
            <sz val="14"/>
            <color rgb="FF000000"/>
            <rFont val="Times New Roman"/>
            <family val="18"/>
          </rPr>
          <t>Vom 3. Feld Artillerie Regiment 5. Haupt Hoffmeister Comp. zum Kaiser Infanterie Regiment Nr. 1 12. Füsilier Comp. mit Einverständnis transferiert</t>
        </r>
        <r>
          <rPr>
            <sz val="14"/>
            <color rgb="FF000000"/>
            <rFont val="Times New Roman"/>
            <family val="18"/>
          </rPr>
          <t xml:space="preserve"> [TL May 1811]</t>
        </r>
        <r>
          <rPr>
            <sz val="14"/>
            <color rgb="FF000000"/>
            <rFont val="Calibri"/>
            <family val="34"/>
          </rPr>
          <t xml:space="preserve">
</t>
        </r>
        <r>
          <rPr>
            <sz val="14"/>
            <color rgb="FF000000"/>
            <rFont val="Times New Roman"/>
            <family val="18"/>
          </rPr>
          <t>08/09/1811 Muster: IR 1 12. Fus. Komp. Nr. 253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9. Zum 16.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16. Zum 17. Fus. Komp.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01/02/1812 </t>
        </r>
        <r>
          <rPr>
            <i/>
            <sz val="14"/>
            <color rgb="FF000000"/>
            <rFont val="Times New Roman"/>
            <family val="18"/>
          </rPr>
          <t>Von 17. Fus. Komp. zum 2. Depot transferiert</t>
        </r>
        <r>
          <rPr>
            <sz val="14"/>
            <color rgb="FF000000"/>
            <rFont val="Times New Roman"/>
            <family val="18"/>
          </rPr>
          <t xml:space="preserve"> [ST Feb 1813]</t>
        </r>
        <r>
          <rPr>
            <sz val="14"/>
            <color rgb="FF000000"/>
            <rFont val="Calibri"/>
            <family val="34"/>
          </rPr>
          <t xml:space="preserve">
</t>
        </r>
        <r>
          <rPr>
            <sz val="14"/>
            <color rgb="FF000000"/>
            <rFont val="Times New Roman"/>
            <family val="18"/>
          </rPr>
          <t xml:space="preserve">01/12/1813 </t>
        </r>
        <r>
          <rPr>
            <i/>
            <sz val="14"/>
            <color rgb="FF000000"/>
            <rFont val="Times New Roman"/>
            <family val="18"/>
          </rPr>
          <t>Von 2. Depot zum 16. Fus. Komp. transferiert seitdem Krank in Armee Spital</t>
        </r>
        <r>
          <rPr>
            <sz val="14"/>
            <color rgb="FF000000"/>
            <rFont val="Times New Roman"/>
            <family val="18"/>
          </rPr>
          <t xml:space="preserve"> [ST Dec 1813]</t>
        </r>
        <r>
          <rPr>
            <sz val="14"/>
            <color rgb="FF000000"/>
            <rFont val="Calibri"/>
            <family val="34"/>
          </rPr>
          <t xml:space="preserve">
</t>
        </r>
        <r>
          <rPr>
            <sz val="14"/>
            <color rgb="FF000000"/>
            <rFont val="Times New Roman"/>
            <family val="18"/>
          </rPr>
          <t xml:space="preserve">31/12/1813 </t>
        </r>
        <r>
          <rPr>
            <i/>
            <sz val="14"/>
            <color rgb="FF000000"/>
            <rFont val="Times New Roman"/>
            <family val="18"/>
          </rPr>
          <t>Rekonvalesziert</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17/02/1815 </t>
        </r>
        <r>
          <rPr>
            <i/>
            <sz val="14"/>
            <color rgb="FF000000"/>
            <rFont val="Times New Roman"/>
            <family val="18"/>
          </rPr>
          <t>Als angehöriger von 7. Fus. Komp. wegen Brustdefekt und Bluthusten in Proßnitz superarbiertiert</t>
        </r>
        <r>
          <rPr>
            <sz val="14"/>
            <color rgb="FF000000"/>
            <rFont val="Times New Roman"/>
            <family val="18"/>
          </rPr>
          <t>: Befund: Mit Brust defekt periodisch mit Bluthusten und schwäche der unteren Extremitäten. Nach Assentierung, Ohne Verschulde, Bekam seinen Defekten in Dienst und sind alle Heilmittel fruchtlos angewendet worden: Reale Invalid gegen Renuncierung zu verabschieden, vermog obrigkeitlichen Zeugnis ist sein Unterhalt verbürgt [SUP Feb 1815]</t>
        </r>
        <r>
          <rPr>
            <sz val="14"/>
            <color rgb="FF000000"/>
            <rFont val="Calibri"/>
            <family val="34"/>
          </rPr>
          <t xml:space="preserve">
</t>
        </r>
        <r>
          <rPr>
            <sz val="14"/>
            <color rgb="FF000000"/>
            <rFont val="Times New Roman"/>
            <family val="18"/>
          </rPr>
          <t xml:space="preserve">01/04/1815 </t>
        </r>
        <r>
          <rPr>
            <i/>
            <sz val="14"/>
            <color rgb="FF000000"/>
            <rFont val="Times New Roman"/>
            <family val="18"/>
          </rPr>
          <t>Von 7. zum 1. Depot Komp transferiert</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30/04/1815 </t>
        </r>
        <r>
          <rPr>
            <i/>
            <sz val="14"/>
            <color rgb="FF000000"/>
            <rFont val="Times New Roman"/>
            <family val="18"/>
          </rPr>
          <t>Vermog hohen Indorsat deto Brünn am 25. Marz R: 3178als Reale Invalid Gegen Renuncierung mit Abschied entlassen</t>
        </r>
        <r>
          <rPr>
            <sz val="14"/>
            <color rgb="FF000000"/>
            <rFont val="Times New Roman"/>
            <family val="18"/>
          </rPr>
          <t xml:space="preserve"> [ST May 1815]</t>
        </r>
        <r>
          <rPr>
            <sz val="14"/>
            <color rgb="FF000000"/>
            <rFont val="Calibri"/>
            <family val="34"/>
          </rPr>
          <t xml:space="preserve">
</t>
        </r>
      </text>
    </comment>
    <comment ref="BG1336" authorId="0" shapeId="0" xr:uid="{5403F6C7-A4FE-CA42-BA25-D0D082B90DFE}">
      <text>
        <r>
          <rPr>
            <sz val="14"/>
            <color rgb="FF000000"/>
            <rFont val="Times New Roman"/>
            <family val="18"/>
          </rPr>
          <t>ML 33 IR 1 (1811) – 12. Fus. Komp. Nr. 253 (Prossnitz 08/09/1811)</t>
        </r>
        <r>
          <rPr>
            <sz val="14"/>
            <color rgb="FF000000"/>
            <rFont val="Calibri"/>
            <family val="34"/>
          </rPr>
          <t xml:space="preserve">
</t>
        </r>
        <r>
          <rPr>
            <sz val="14"/>
            <color rgb="FF000000"/>
            <rFont val="Times New Roman"/>
            <family val="18"/>
          </rPr>
          <t>ML 93 IR 1 (1809) VI-XII – TL IR 1-&gt;FAR 3 Nr. 6 (Ungarisch Hradisch 08/08/1809), TL IR 1-&gt;FAR 3 Nr. 6 (Ungarisch Hradisch 08/10/1809)</t>
        </r>
        <r>
          <rPr>
            <sz val="14"/>
            <color rgb="FF000000"/>
            <rFont val="Calibri"/>
            <family val="34"/>
          </rPr>
          <t xml:space="preserve">
</t>
        </r>
        <r>
          <rPr>
            <sz val="14"/>
            <color rgb="FF000000"/>
            <rFont val="Times New Roman"/>
            <family val="18"/>
          </rPr>
          <t>ML 96 IR 1 (1811) – TL FAR 3-&gt;IR 1 Nr. 1 (Olmütz 28/05/1811)</t>
        </r>
        <r>
          <rPr>
            <sz val="14"/>
            <color rgb="FF000000"/>
            <rFont val="Calibri"/>
            <family val="34"/>
          </rPr>
          <t xml:space="preserve">
</t>
        </r>
        <r>
          <rPr>
            <sz val="14"/>
            <color rgb="FF000000"/>
            <rFont val="Times New Roman"/>
            <family val="18"/>
          </rPr>
          <t>ML 97 IR 1 (1812) – ST May (Proßnitz 24/08/1812), Nov (Proßnitz 30/03/1813)</t>
        </r>
        <r>
          <rPr>
            <sz val="14"/>
            <color rgb="FF000000"/>
            <rFont val="Calibri"/>
            <family val="34"/>
          </rPr>
          <t xml:space="preserve">
</t>
        </r>
        <r>
          <rPr>
            <sz val="14"/>
            <color rgb="FF000000"/>
            <rFont val="Times New Roman"/>
            <family val="18"/>
          </rPr>
          <t>ML 99 IR 1 (1813) – ST Feb (Proßnitz 20/06/1813), Dec (Proßnitz 20/05/1814)</t>
        </r>
        <r>
          <rPr>
            <sz val="14"/>
            <color rgb="FF000000"/>
            <rFont val="Calibri"/>
            <family val="34"/>
          </rPr>
          <t xml:space="preserve">
</t>
        </r>
        <r>
          <rPr>
            <sz val="14"/>
            <color rgb="FF000000"/>
            <rFont val="Times New Roman"/>
            <family val="18"/>
          </rPr>
          <t>ML 99 IR 1 (1814) – ST Jan (Proßnitz 01/07/1814)</t>
        </r>
        <r>
          <rPr>
            <sz val="14"/>
            <color rgb="FF000000"/>
            <rFont val="Calibri"/>
            <family val="34"/>
          </rPr>
          <t xml:space="preserve">
</t>
        </r>
        <r>
          <rPr>
            <sz val="14"/>
            <color rgb="FF000000"/>
            <rFont val="Times New Roman"/>
            <family val="18"/>
          </rPr>
          <t>ML 105 IR 1 (1815) – ST April (Proßnitz 15/09/1815), May (Proßnitz 01/10/1815)</t>
        </r>
        <r>
          <rPr>
            <sz val="14"/>
            <color rgb="FF000000"/>
            <rFont val="Calibri"/>
            <family val="34"/>
          </rPr>
          <t xml:space="preserve">
</t>
        </r>
        <r>
          <rPr>
            <sz val="14"/>
            <color rgb="FF000000"/>
            <rFont val="Times New Roman"/>
            <family val="18"/>
          </rPr>
          <t>IR 106 IR 1 (1815) AL/TL – SUP Nr. 8 (Proßnitz 17/02/1815)</t>
        </r>
        <r>
          <rPr>
            <sz val="14"/>
            <color rgb="FF000000"/>
            <rFont val="Calibri"/>
            <family val="34"/>
          </rPr>
          <t xml:space="preserve">
</t>
        </r>
      </text>
    </comment>
    <comment ref="BH1336" authorId="0" shapeId="0" xr:uid="{F3AEDCC2-3A7C-7A48-8CF6-9CF8AB97CC3E}">
      <text>
        <r>
          <rPr>
            <sz val="14"/>
            <color rgb="FF000000"/>
            <rFont val="Calibri"/>
            <family val="34"/>
          </rPr>
          <t xml:space="preserve">IR 1 (1809-1810)
</t>
        </r>
        <r>
          <rPr>
            <sz val="14"/>
            <color rgb="FF000000"/>
            <rFont val="Calibri"/>
            <family val="34"/>
          </rPr>
          <t xml:space="preserve">FAR 3 (1809-1811)
</t>
        </r>
        <r>
          <rPr>
            <sz val="14"/>
            <color rgb="FF000000"/>
            <rFont val="Calibri"/>
            <family val="34"/>
          </rPr>
          <t>IR 1 (1811-1815)</t>
        </r>
      </text>
    </comment>
    <comment ref="BI1336" authorId="0" shapeId="0" xr:uid="{2AFA6D52-A168-3843-AE87-12D1679B37E0}">
      <text>
        <r>
          <rPr>
            <i/>
            <sz val="14"/>
            <color rgb="FF000000"/>
            <rFont val="Times New Roman"/>
            <family val="18"/>
          </rPr>
          <t>Gute</t>
        </r>
        <r>
          <rPr>
            <sz val="14"/>
            <color rgb="FF000000"/>
            <rFont val="Times New Roman"/>
            <family val="18"/>
          </rPr>
          <t xml:space="preserve"> [TL May 1811]/ 
</t>
        </r>
        <r>
          <rPr>
            <i/>
            <sz val="14"/>
            <color rgb="FF000000"/>
            <rFont val="Times New Roman"/>
            <family val="18"/>
          </rPr>
          <t>Gute</t>
        </r>
        <r>
          <rPr>
            <sz val="14"/>
            <color rgb="FF000000"/>
            <rFont val="Times New Roman"/>
            <family val="18"/>
          </rPr>
          <t xml:space="preserve"> [SUP Feb 1815]</t>
        </r>
        <r>
          <rPr>
            <sz val="14"/>
            <color rgb="FF000000"/>
            <rFont val="Calibri"/>
            <family val="2"/>
            <scheme val="minor"/>
          </rPr>
          <t xml:space="preserve"> </t>
        </r>
      </text>
    </comment>
    <comment ref="BJ1336" authorId="0" shapeId="0" xr:uid="{9CAA7DD3-2D59-9E4F-A564-12CB1FC8C4CC}">
      <text>
        <r>
          <rPr>
            <i/>
            <sz val="14"/>
            <color rgb="FF000000"/>
            <rFont val="Times New Roman"/>
            <family val="18"/>
          </rPr>
          <t xml:space="preserve">Brust defekt und Bluthusten </t>
        </r>
        <r>
          <rPr>
            <sz val="14"/>
            <color rgb="FF000000"/>
            <rFont val="Times New Roman"/>
            <family val="18"/>
          </rPr>
          <t>[SUP Feb 1815]</t>
        </r>
        <r>
          <rPr>
            <sz val="14"/>
            <color rgb="FF000000"/>
            <rFont val="Calibri"/>
            <family val="2"/>
          </rPr>
          <t xml:space="preserve"> </t>
        </r>
      </text>
    </comment>
    <comment ref="BF1337" authorId="0" shapeId="0" xr:uid="{D5123B59-0617-5944-B4DC-89AA12DB2016}">
      <text>
        <r>
          <rPr>
            <sz val="14"/>
            <color rgb="FF000000"/>
            <rFont val="Times New Roman"/>
            <family val="18"/>
          </rPr>
          <t xml:space="preserve">03/08/1809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2. Fus. Komp. Nr. 227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text>
    </comment>
    <comment ref="BG1337" authorId="0" shapeId="0" xr:uid="{04F18749-E660-3246-990A-436840103E56}">
      <text>
        <r>
          <rPr>
            <sz val="14"/>
            <color rgb="FF000000"/>
            <rFont val="Times New Roman"/>
            <family val="18"/>
          </rPr>
          <t>IR 544 IR 8 (1811) – 2. Fus. Komp. Nr. 227 (Iglau 12/09/1811)</t>
        </r>
        <r>
          <rPr>
            <sz val="14"/>
            <color rgb="FF000000"/>
            <rFont val="Calibri"/>
            <family val="34"/>
          </rPr>
          <t xml:space="preserve">
</t>
        </r>
      </text>
    </comment>
    <comment ref="BH1337" authorId="0" shapeId="0" xr:uid="{14AAD995-D0C8-3C41-9D4B-F9504F6C5B9D}">
      <text>
        <r>
          <rPr>
            <sz val="14"/>
            <color rgb="FF000000"/>
            <rFont val="Calibri"/>
            <family val="34"/>
          </rPr>
          <t>IR 8 (1809-1811)</t>
        </r>
      </text>
    </comment>
    <comment ref="I1338" authorId="0" shapeId="0" xr:uid="{9D4DE7D6-E909-3343-969E-C47465D15BA1}">
      <text>
        <r>
          <rPr>
            <b/>
            <sz val="14"/>
            <color rgb="FF000000"/>
            <rFont val="Calibri"/>
            <family val="34"/>
          </rPr>
          <t xml:space="preserve">1786 [23 (AL 1809)]
</t>
        </r>
        <r>
          <rPr>
            <sz val="14"/>
            <color rgb="FF000000"/>
            <rFont val="Calibri"/>
            <family val="34"/>
          </rPr>
          <t>OR</t>
        </r>
        <r>
          <rPr>
            <sz val="14"/>
            <color rgb="FF000000"/>
            <rFont val="Calibri"/>
            <family val="2"/>
          </rPr>
          <t xml:space="preserve">
</t>
        </r>
        <r>
          <rPr>
            <sz val="14"/>
            <color rgb="FF000000"/>
            <rFont val="Calibri"/>
            <family val="34"/>
          </rPr>
          <t xml:space="preserve">1790 [21 (ML 1811)]
</t>
        </r>
      </text>
    </comment>
    <comment ref="T1338" authorId="0" shapeId="0" xr:uid="{839D7251-C595-724D-9A48-2197250F50EB}">
      <text>
        <r>
          <rPr>
            <sz val="14"/>
            <color rgb="FF000000"/>
            <rFont val="Calibri"/>
            <family val="34"/>
          </rPr>
          <t xml:space="preserve">5.2 [163.27 cm (AL 1809)]
</t>
        </r>
        <r>
          <rPr>
            <b/>
            <sz val="14"/>
            <color rgb="FF000000"/>
            <rFont val="Calibri"/>
            <family val="34"/>
          </rPr>
          <t>5.2.2 [163 .7cm (ML 1811)]</t>
        </r>
      </text>
    </comment>
    <comment ref="BF1338" authorId="0" shapeId="0" xr:uid="{FAA65BD0-5CF2-E34F-869D-F84084109442}">
      <text>
        <r>
          <rPr>
            <sz val="14"/>
            <color rgb="FF000000"/>
            <rFont val="Times New Roman"/>
            <family val="18"/>
          </rPr>
          <t xml:space="preserve">03/08/1809 </t>
        </r>
        <r>
          <rPr>
            <i/>
            <sz val="14"/>
            <color rgb="FF000000"/>
            <rFont val="Times New Roman"/>
            <family val="18"/>
          </rPr>
          <t xml:space="preserve">Zum 4. Reserve Bataillon von Dominen Milotitz </t>
        </r>
        <r>
          <rPr>
            <b/>
            <sz val="14"/>
            <color rgb="FF000000"/>
            <rFont val="Times New Roman"/>
            <family val="18"/>
          </rPr>
          <t>[</t>
        </r>
        <r>
          <rPr>
            <b/>
            <u/>
            <sz val="14"/>
            <color rgb="FF0563C1"/>
            <rFont val="Times New Roman"/>
            <family val="18"/>
          </rPr>
          <t>Milotice u Kyjova, Czech Republic</t>
        </r>
        <r>
          <rPr>
            <b/>
            <sz val="14"/>
            <color rgb="FF000000"/>
            <rFont val="Times New Roman"/>
            <family val="18"/>
          </rPr>
          <t>]</t>
        </r>
        <r>
          <rPr>
            <sz val="14"/>
            <color rgb="FF000000"/>
            <rFont val="Times New Roman"/>
            <family val="18"/>
          </rPr>
          <t xml:space="preserve"> </t>
        </r>
        <r>
          <rPr>
            <i/>
            <sz val="14"/>
            <color rgb="FF000000"/>
            <rFont val="Times New Roman"/>
            <family val="18"/>
          </rPr>
          <t xml:space="preserve">gestellt und zum 1. Depot Komp. eingeteilt </t>
        </r>
        <r>
          <rPr>
            <sz val="14"/>
            <color rgb="FF000000"/>
            <rFont val="Times New Roman"/>
            <family val="18"/>
          </rPr>
          <t>[AL Aug 1809 &amp;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 xml:space="preserve">Von 1. Depot zum 11. Fus. Komp. transferiert </t>
        </r>
        <r>
          <rPr>
            <sz val="14"/>
            <color rgb="FF000000"/>
            <rFont val="Times New Roman"/>
            <family val="18"/>
          </rPr>
          <t>[ST Sept 1809]</t>
        </r>
        <r>
          <rPr>
            <sz val="14"/>
            <color rgb="FF000000"/>
            <rFont val="Calibri"/>
            <family val="34"/>
          </rPr>
          <t xml:space="preserve">
</t>
        </r>
        <r>
          <rPr>
            <sz val="14"/>
            <color rgb="FF000000"/>
            <rFont val="Times New Roman"/>
            <family val="18"/>
          </rPr>
          <t xml:space="preserve">10/10/1809 </t>
        </r>
        <r>
          <rPr>
            <i/>
            <sz val="14"/>
            <color rgb="FF000000"/>
            <rFont val="Times New Roman"/>
            <family val="18"/>
          </rPr>
          <t>Krank in Armee Spital</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21/10/1809 </t>
        </r>
        <r>
          <rPr>
            <i/>
            <sz val="14"/>
            <color rgb="FF000000"/>
            <rFont val="Times New Roman"/>
            <family val="18"/>
          </rPr>
          <t xml:space="preserve">Rekonvalesziert </t>
        </r>
        <r>
          <rPr>
            <sz val="14"/>
            <color rgb="FF000000"/>
            <rFont val="Times New Roman"/>
            <family val="18"/>
          </rPr>
          <t>[ST Oct 1809]</t>
        </r>
        <r>
          <rPr>
            <sz val="14"/>
            <color rgb="FF000000"/>
            <rFont val="Calibri"/>
            <family val="34"/>
          </rPr>
          <t xml:space="preserve">
</t>
        </r>
        <r>
          <rPr>
            <sz val="14"/>
            <color rgb="FF000000"/>
            <rFont val="Times New Roman"/>
            <family val="18"/>
          </rPr>
          <t xml:space="preserve">27/10/1809 </t>
        </r>
        <r>
          <rPr>
            <i/>
            <sz val="14"/>
            <color rgb="FF000000"/>
            <rFont val="Times New Roman"/>
            <family val="18"/>
          </rPr>
          <t>Wieder Krank in Armee Spital</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11. Zum neu errichtete 17.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dissolvierte 17. Zum 9. Fus. Komp. transferiert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25/02/1810 </t>
        </r>
        <r>
          <rPr>
            <i/>
            <sz val="14"/>
            <color rgb="FF000000"/>
            <rFont val="Times New Roman"/>
            <family val="18"/>
          </rPr>
          <t>Beurlaubt</t>
        </r>
        <r>
          <rPr>
            <sz val="14"/>
            <color rgb="FF000000"/>
            <rFont val="Times New Roman"/>
            <family val="18"/>
          </rPr>
          <t xml:space="preserve"> [SE Feb 1810]</t>
        </r>
        <r>
          <rPr>
            <sz val="14"/>
            <color rgb="FF000000"/>
            <rFont val="Calibri"/>
            <family val="34"/>
          </rPr>
          <t xml:space="preserve">
</t>
        </r>
        <r>
          <rPr>
            <sz val="14"/>
            <color rgb="FF000000"/>
            <rFont val="Times New Roman"/>
            <family val="18"/>
          </rPr>
          <t xml:space="preserve">19/09/1810 [seit mindestens] </t>
        </r>
        <r>
          <rPr>
            <i/>
            <sz val="14"/>
            <color rgb="FF000000"/>
            <rFont val="Times New Roman"/>
            <family val="18"/>
          </rPr>
          <t>Angehöriger von 9. Fus. Komp</t>
        </r>
        <r>
          <rPr>
            <sz val="14"/>
            <color rgb="FF000000"/>
            <rFont val="Times New Roman"/>
            <family val="18"/>
          </rPr>
          <t xml:space="preserve"> [ML 1811]</t>
        </r>
        <r>
          <rPr>
            <sz val="14"/>
            <color rgb="FF000000"/>
            <rFont val="Calibri"/>
            <family val="34"/>
          </rPr>
          <t xml:space="preserve">
</t>
        </r>
        <r>
          <rPr>
            <sz val="14"/>
            <color rgb="FF000000"/>
            <rFont val="Times New Roman"/>
            <family val="18"/>
          </rPr>
          <t>08/09/1811 Muster: IR 1 9. Fus. Komp. Nr. 129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16/05/1812 </t>
        </r>
        <r>
          <rPr>
            <i/>
            <sz val="14"/>
            <color rgb="FF000000"/>
            <rFont val="Times New Roman"/>
            <family val="18"/>
          </rPr>
          <t xml:space="preserve">Von 9. Zum 15. Fus. Komp. transferiert </t>
        </r>
        <r>
          <rPr>
            <sz val="14"/>
            <color rgb="FF000000"/>
            <rFont val="Times New Roman"/>
            <family val="18"/>
          </rPr>
          <t>[ST May 1812]</t>
        </r>
        <r>
          <rPr>
            <sz val="14"/>
            <color rgb="FF000000"/>
            <rFont val="Calibri"/>
            <family val="34"/>
          </rPr>
          <t xml:space="preserve">
</t>
        </r>
        <r>
          <rPr>
            <sz val="14"/>
            <color rgb="FF000000"/>
            <rFont val="Times New Roman"/>
            <family val="18"/>
          </rPr>
          <t xml:space="preserve">22/10/1812 </t>
        </r>
        <r>
          <rPr>
            <i/>
            <sz val="14"/>
            <color rgb="FF000000"/>
            <rFont val="Times New Roman"/>
            <family val="18"/>
          </rPr>
          <t>Von Bestimmte Urlaub eingerückt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15. Zum 18. Komp.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25/12/1812 </t>
        </r>
        <r>
          <rPr>
            <i/>
            <sz val="14"/>
            <color rgb="FF000000"/>
            <rFont val="Times New Roman"/>
            <family val="18"/>
          </rPr>
          <t>Krank in Kloster Hradisch</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20/02/1813 </t>
        </r>
        <r>
          <rPr>
            <i/>
            <sz val="14"/>
            <color rgb="FF000000"/>
            <rFont val="Times New Roman"/>
            <family val="18"/>
          </rPr>
          <t>Rekonvalesziert</t>
        </r>
        <r>
          <rPr>
            <sz val="14"/>
            <color rgb="FF000000"/>
            <rFont val="Times New Roman"/>
            <family val="18"/>
          </rPr>
          <t xml:space="preserve"> [ST Feb 1813]</t>
        </r>
        <r>
          <rPr>
            <sz val="14"/>
            <color rgb="FF000000"/>
            <rFont val="Calibri"/>
            <family val="34"/>
          </rPr>
          <t xml:space="preserve">
</t>
        </r>
        <r>
          <rPr>
            <sz val="14"/>
            <color rgb="FF000000"/>
            <rFont val="Times New Roman"/>
            <family val="18"/>
          </rPr>
          <t xml:space="preserve">04/08/1813 </t>
        </r>
        <r>
          <rPr>
            <i/>
            <sz val="14"/>
            <color rgb="FF000000"/>
            <rFont val="Times New Roman"/>
            <family val="18"/>
          </rPr>
          <t>Krank in Armee Spital</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11/09/1813 </t>
        </r>
        <r>
          <rPr>
            <i/>
            <sz val="14"/>
            <color rgb="FF000000"/>
            <rFont val="Times New Roman"/>
            <family val="18"/>
          </rPr>
          <t>Rekonvalesziert</t>
        </r>
        <r>
          <rPr>
            <sz val="14"/>
            <color rgb="FF000000"/>
            <rFont val="Times New Roman"/>
            <family val="18"/>
          </rPr>
          <t xml:space="preserve"> [ST Sept 1813]</t>
        </r>
        <r>
          <rPr>
            <sz val="14"/>
            <color rgb="FF000000"/>
            <rFont val="Calibri"/>
            <family val="34"/>
          </rPr>
          <t xml:space="preserve">
</t>
        </r>
        <r>
          <rPr>
            <sz val="14"/>
            <color rgb="FF000000"/>
            <rFont val="Times New Roman"/>
            <family val="18"/>
          </rPr>
          <t xml:space="preserve">11/11/1813 </t>
        </r>
        <r>
          <rPr>
            <i/>
            <sz val="14"/>
            <color rgb="FF000000"/>
            <rFont val="Times New Roman"/>
            <family val="18"/>
          </rPr>
          <t>Krank in Armee Spital</t>
        </r>
        <r>
          <rPr>
            <sz val="14"/>
            <color rgb="FF000000"/>
            <rFont val="Times New Roman"/>
            <family val="18"/>
          </rPr>
          <t xml:space="preserve"> [ST Nov 1813]</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18. zum 2. Depot Komp. transferiert</t>
        </r>
        <r>
          <rPr>
            <sz val="14"/>
            <color rgb="FF000000"/>
            <rFont val="Times New Roman"/>
            <family val="18"/>
          </rPr>
          <t xml:space="preserve"> [ST May 1815]</t>
        </r>
        <r>
          <rPr>
            <sz val="14"/>
            <color rgb="FF000000"/>
            <rFont val="Calibri"/>
            <family val="34"/>
          </rPr>
          <t xml:space="preserve">
</t>
        </r>
        <r>
          <rPr>
            <sz val="14"/>
            <color rgb="FF000000"/>
            <rFont val="Times New Roman"/>
            <family val="18"/>
          </rPr>
          <t xml:space="preserve">01/12/1815 </t>
        </r>
        <r>
          <rPr>
            <i/>
            <sz val="14"/>
            <color rgb="FF000000"/>
            <rFont val="Times New Roman"/>
            <family val="18"/>
          </rPr>
          <t>Von dissolvierte 1. Depot zur 1. Fus. Komp. transferiert</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31/08/1817 </t>
        </r>
        <r>
          <rPr>
            <i/>
            <sz val="14"/>
            <color rgb="FF000000"/>
            <rFont val="Times New Roman"/>
            <family val="18"/>
          </rPr>
          <t>Zu Folge hohen General Kommando Verordnung deto Brünn 7. August 817 copia P 1815 weil deren Existenz nicht zu erinnern als Krank in Armee Spital als unwissend verloren in Abgang gebracht</t>
        </r>
        <r>
          <rPr>
            <sz val="14"/>
            <color rgb="FF000000"/>
            <rFont val="Times New Roman"/>
            <family val="18"/>
          </rPr>
          <t xml:space="preserve"> [ML 1817]</t>
        </r>
        <r>
          <rPr>
            <b/>
            <sz val="14"/>
            <color rgb="FF000000"/>
            <rFont val="Times New Roman"/>
            <family val="18"/>
          </rPr>
          <t xml:space="preserve"> </t>
        </r>
      </text>
    </comment>
    <comment ref="BG1338" authorId="0" shapeId="0" xr:uid="{7D90CFC8-0ECF-E44C-BBF7-FED80686FCC1}">
      <text>
        <r>
          <rPr>
            <sz val="14"/>
            <color rgb="FF000000"/>
            <rFont val="Times New Roman"/>
            <family val="18"/>
          </rPr>
          <t>ML 33 IR 1 (1811) – 9. Fus. Komp. Nr. 129 (Prossnitz 08/09/1811)</t>
        </r>
        <r>
          <rPr>
            <sz val="14"/>
            <color rgb="FF000000"/>
            <rFont val="Calibri"/>
            <family val="34"/>
          </rPr>
          <t xml:space="preserve">
</t>
        </r>
        <r>
          <rPr>
            <sz val="14"/>
            <color rgb="FF000000"/>
            <rFont val="Times New Roman"/>
            <family val="18"/>
          </rPr>
          <t>ML 34 IR 1 (1817) – IR 1 1. Fus. Komp. Abgang (Brünn 19/09/1817)</t>
        </r>
        <r>
          <rPr>
            <sz val="14"/>
            <color rgb="FF000000"/>
            <rFont val="Calibri"/>
            <family val="34"/>
          </rPr>
          <t xml:space="preserve">
</t>
        </r>
        <r>
          <rPr>
            <sz val="14"/>
            <color rgb="FF000000"/>
            <rFont val="Times New Roman"/>
            <family val="18"/>
          </rPr>
          <t>ML 91 IR 1 (1809) – Aug (Proßnitz 15/11/1810), Sept (Proßnitz 23/11/1810), Oct (Brünn 24/12/1810), Dec (Proßnitz 15/01/1811)</t>
        </r>
        <r>
          <rPr>
            <sz val="14"/>
            <color rgb="FF000000"/>
            <rFont val="Calibri"/>
            <family val="34"/>
          </rPr>
          <t xml:space="preserve">
</t>
        </r>
        <r>
          <rPr>
            <sz val="14"/>
            <color rgb="FF000000"/>
            <rFont val="Times New Roman"/>
            <family val="18"/>
          </rPr>
          <t>ML 93 IR 1 (1809) VI-XII – AL. Reserve Nr. 27 (Ungarisch Hradisch 08/08/1809)</t>
        </r>
        <r>
          <rPr>
            <sz val="14"/>
            <color rgb="FF000000"/>
            <rFont val="Calibri"/>
            <family val="34"/>
          </rPr>
          <t xml:space="preserve">
</t>
        </r>
        <r>
          <rPr>
            <sz val="14"/>
            <color rgb="FF000000"/>
            <rFont val="Times New Roman"/>
            <family val="18"/>
          </rPr>
          <t>ML 94 IR 1 (1810) – ST Feb (Proßnitz 15/02/1811)</t>
        </r>
        <r>
          <rPr>
            <sz val="14"/>
            <color rgb="FF000000"/>
            <rFont val="Calibri"/>
            <family val="34"/>
          </rPr>
          <t xml:space="preserve">
</t>
        </r>
        <r>
          <rPr>
            <sz val="14"/>
            <color rgb="FF000000"/>
            <rFont val="Times New Roman"/>
            <family val="18"/>
          </rPr>
          <t>ML 97 IR 1 (1812) – ST May (Proßnitz 24/08/1812), Oct (Proßnitz 23/02/1813), Nov (Proßnitz 30/03/1813), Dec (08/05/1813)</t>
        </r>
        <r>
          <rPr>
            <sz val="14"/>
            <color rgb="FF000000"/>
            <rFont val="Calibri"/>
            <family val="34"/>
          </rPr>
          <t xml:space="preserve">
</t>
        </r>
        <r>
          <rPr>
            <sz val="14"/>
            <color rgb="FF000000"/>
            <rFont val="Times New Roman"/>
            <family val="18"/>
          </rPr>
          <t>ML 99 IR 1 (1813) – ST Feb (Proßnitz 20/06/1813), Aug (Proßnitz 15/12/1813), Sept (05/02/1814), Nov (Brünn 26/04/1814)</t>
        </r>
        <r>
          <rPr>
            <sz val="14"/>
            <color rgb="FF000000"/>
            <rFont val="Calibri"/>
            <family val="34"/>
          </rPr>
          <t xml:space="preserve">
</t>
        </r>
        <r>
          <rPr>
            <sz val="14"/>
            <color rgb="FF000000"/>
            <rFont val="Times New Roman"/>
            <family val="18"/>
          </rPr>
          <t xml:space="preserve">ML 105 IR 1 (1815) – ST May (Proßnitz 01/10/1815), </t>
        </r>
        <r>
          <rPr>
            <sz val="14"/>
            <color rgb="FF000000"/>
            <rFont val="Calibri"/>
            <family val="34"/>
          </rPr>
          <t xml:space="preserve">
</t>
        </r>
        <r>
          <rPr>
            <sz val="14"/>
            <color rgb="FF000000"/>
            <rFont val="Times New Roman"/>
            <family val="18"/>
          </rPr>
          <t>ML 109 IR 1 (1817) – ST Aug (Brünn 05/10/1817)</t>
        </r>
        <r>
          <rPr>
            <sz val="14"/>
            <color rgb="FF000000"/>
            <rFont val="Calibri"/>
            <family val="34"/>
          </rPr>
          <t xml:space="preserve">
</t>
        </r>
      </text>
    </comment>
    <comment ref="BH1338" authorId="0" shapeId="0" xr:uid="{EA852275-4B8B-264E-9B06-11128EEC73A8}">
      <text>
        <r>
          <rPr>
            <sz val="14"/>
            <color rgb="FF000000"/>
            <rFont val="Calibri"/>
            <family val="34"/>
          </rPr>
          <t>IR 1 (1809-1817)</t>
        </r>
      </text>
    </comment>
    <comment ref="BF1339" authorId="0" shapeId="0" xr:uid="{125B16F4-B180-B745-9DCE-4F55536991F6}">
      <text>
        <r>
          <rPr>
            <sz val="14"/>
            <color rgb="FF000000"/>
            <rFont val="Times New Roman"/>
            <family val="18"/>
          </rPr>
          <t xml:space="preserve">07/08/1809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6. Fus. Komp. Nr. 154 [</t>
        </r>
        <r>
          <rPr>
            <i/>
            <sz val="14"/>
            <color rgb="FF000000"/>
            <rFont val="Times New Roman"/>
            <family val="18"/>
          </rPr>
          <t>Beurlaubt bis Einberufung</t>
        </r>
        <r>
          <rPr>
            <sz val="14"/>
            <color rgb="FF000000"/>
            <rFont val="Times New Roman"/>
            <family val="18"/>
          </rPr>
          <t>]</t>
        </r>
        <r>
          <rPr>
            <sz val="14"/>
            <color rgb="FF000000"/>
            <rFont val="Calibri"/>
            <family val="34"/>
          </rPr>
          <t xml:space="preserve">
</t>
        </r>
      </text>
    </comment>
    <comment ref="BG1339" authorId="0" shapeId="0" xr:uid="{8040FBF2-FC34-8646-9DE7-1BD4C927C8CB}">
      <text>
        <r>
          <rPr>
            <sz val="14"/>
            <color rgb="FF000000"/>
            <rFont val="Times New Roman"/>
            <family val="18"/>
          </rPr>
          <t>IR 544 IR 8 (1811) – 6. Fus. Komp. Nr. 154 (Iglau 12/09/1811)</t>
        </r>
        <r>
          <rPr>
            <sz val="14"/>
            <color rgb="FF000000"/>
            <rFont val="Calibri"/>
            <family val="34"/>
          </rPr>
          <t xml:space="preserve">
</t>
        </r>
      </text>
    </comment>
    <comment ref="BH1339" authorId="0" shapeId="0" xr:uid="{764783DE-6CDB-984B-854C-438EDEE7F424}">
      <text>
        <r>
          <rPr>
            <sz val="14"/>
            <color rgb="FF000000"/>
            <rFont val="Calibri"/>
            <family val="34"/>
          </rPr>
          <t>IR 8 (1809-1811)</t>
        </r>
      </text>
    </comment>
    <comment ref="BF1340" authorId="0" shapeId="0" xr:uid="{947AF8B4-6333-9C4A-A02B-E9AF371FB6A7}">
      <text>
        <r>
          <rPr>
            <sz val="14"/>
            <color rgb="FF000000"/>
            <rFont val="Times New Roman"/>
            <family val="18"/>
          </rPr>
          <t xml:space="preserve">08/08/1809 </t>
        </r>
        <r>
          <rPr>
            <i/>
            <sz val="14"/>
            <color rgb="FF000000"/>
            <rFont val="Times New Roman"/>
            <family val="18"/>
          </rPr>
          <t xml:space="preserve">Von Csanad </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Csongrád Komität Von Land gestellt und gegen 30FL auf dem Werbplatz Szegedin zum IR 39 assentiert </t>
        </r>
        <r>
          <rPr>
            <sz val="14"/>
            <color rgb="FF000000"/>
            <rFont val="Times New Roman"/>
            <family val="18"/>
          </rPr>
          <t>[AL August 1809]</t>
        </r>
        <r>
          <rPr>
            <sz val="14"/>
            <color rgb="FF000000"/>
            <rFont val="Calibri"/>
            <family val="34"/>
          </rPr>
          <t xml:space="preserve">
</t>
        </r>
        <r>
          <rPr>
            <sz val="14"/>
            <color rgb="FF000000"/>
            <rFont val="Times New Roman"/>
            <family val="18"/>
          </rPr>
          <t xml:space="preserve">14/09/1809 </t>
        </r>
        <r>
          <rPr>
            <i/>
            <sz val="14"/>
            <color rgb="FF000000"/>
            <rFont val="Times New Roman"/>
            <family val="18"/>
          </rPr>
          <t>Zum Regiment eingerückt und zum 11. Fus. Komp. eingetei</t>
        </r>
        <r>
          <rPr>
            <sz val="14"/>
            <color rgb="FF000000"/>
            <rFont val="Times New Roman"/>
            <family val="18"/>
          </rPr>
          <t>lt [ML 1811]</t>
        </r>
        <r>
          <rPr>
            <sz val="14"/>
            <color rgb="FF000000"/>
            <rFont val="Calibri"/>
            <family val="34"/>
          </rPr>
          <t xml:space="preserve">
</t>
        </r>
        <r>
          <rPr>
            <sz val="14"/>
            <color rgb="FF000000"/>
            <rFont val="Times New Roman"/>
            <family val="18"/>
          </rPr>
          <t xml:space="preserve">19/12/1809 </t>
        </r>
        <r>
          <rPr>
            <i/>
            <sz val="14"/>
            <color rgb="FF000000"/>
            <rFont val="Times New Roman"/>
            <family val="18"/>
          </rPr>
          <t>In Spital zu Pest gestorben</t>
        </r>
        <r>
          <rPr>
            <sz val="14"/>
            <color rgb="FF000000"/>
            <rFont val="Times New Roman"/>
            <family val="18"/>
          </rPr>
          <t xml:space="preserve"> [ML 1811] </t>
        </r>
      </text>
    </comment>
    <comment ref="BG1340" authorId="0" shapeId="0" xr:uid="{09F6F5F0-4114-F442-B2DE-8786C3B5037D}">
      <text>
        <r>
          <rPr>
            <sz val="14"/>
            <color rgb="FF000000"/>
            <rFont val="Times New Roman"/>
            <family val="18"/>
          </rPr>
          <t xml:space="preserve">ML 3501/2 IR 39 (1811) – 11. Fus. Komp. Abgang (Ofen 19/09/1811) </t>
        </r>
        <r>
          <rPr>
            <sz val="14"/>
            <color rgb="FF000000"/>
            <rFont val="Calibri"/>
            <family val="34"/>
          </rPr>
          <t xml:space="preserve">
</t>
        </r>
        <r>
          <rPr>
            <sz val="14"/>
            <color rgb="FF000000"/>
            <rFont val="Times New Roman"/>
            <family val="18"/>
          </rPr>
          <t>ML 3550 IR 39 (1809) – AL Nr. 24 (Szegedin 08/08/1809); ST Dec (Ofen 21/05/1811)</t>
        </r>
      </text>
    </comment>
    <comment ref="BH1340" authorId="0" shapeId="0" xr:uid="{58416060-E2E3-FD4A-B069-FFFC794856D0}">
      <text>
        <r>
          <rPr>
            <sz val="14"/>
            <color rgb="FF000000"/>
            <rFont val="Calibri"/>
            <family val="34"/>
          </rPr>
          <t>IR 39 (1809)</t>
        </r>
      </text>
    </comment>
    <comment ref="BF1341" authorId="0" shapeId="0" xr:uid="{3F223535-1178-4C47-BE04-AD8575AF5F90}">
      <text>
        <r>
          <rPr>
            <sz val="14"/>
            <color rgb="FF000000"/>
            <rFont val="Times New Roman"/>
            <family val="18"/>
          </rPr>
          <t xml:space="preserve">08/08/1809 </t>
        </r>
        <r>
          <rPr>
            <i/>
            <sz val="14"/>
            <color rgb="FF000000"/>
            <rFont val="Times New Roman"/>
            <family val="18"/>
          </rPr>
          <t xml:space="preserve">Von Csanad </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Csongrád Komität Von Land gestellt und gegen 30FL auf dem Werbplatz Szegedin zum IR 39 assentiert </t>
        </r>
        <r>
          <rPr>
            <sz val="14"/>
            <color rgb="FF000000"/>
            <rFont val="Times New Roman"/>
            <family val="18"/>
          </rPr>
          <t xml:space="preserve">[AL Aug 1809]
</t>
        </r>
        <r>
          <rPr>
            <sz val="14"/>
            <color rgb="FFFF0000"/>
            <rFont val="Times New Roman"/>
            <family val="18"/>
          </rPr>
          <t xml:space="preserve">14/09/1809 </t>
        </r>
        <r>
          <rPr>
            <i/>
            <sz val="14"/>
            <color rgb="FFFF0000"/>
            <rFont val="Times New Roman"/>
            <family val="18"/>
          </rPr>
          <t xml:space="preserve">Von Sztaray Regiment </t>
        </r>
        <r>
          <rPr>
            <sz val="14"/>
            <color rgb="FFFF0000"/>
            <rFont val="Times New Roman"/>
            <family val="18"/>
          </rPr>
          <t xml:space="preserve"> </t>
        </r>
        <r>
          <rPr>
            <b/>
            <sz val="14"/>
            <color rgb="FFFF0000"/>
            <rFont val="Times New Roman"/>
            <family val="18"/>
          </rPr>
          <t>[IR 33]</t>
        </r>
        <r>
          <rPr>
            <sz val="14"/>
            <color rgb="FFFF0000"/>
            <rFont val="Times New Roman"/>
            <family val="18"/>
          </rPr>
          <t xml:space="preserve"> </t>
        </r>
        <r>
          <rPr>
            <i/>
            <sz val="14"/>
            <color rgb="FFFF0000"/>
            <rFont val="Times New Roman"/>
            <family val="18"/>
          </rPr>
          <t>transferiert</t>
        </r>
        <r>
          <rPr>
            <sz val="14"/>
            <color rgb="FFFF0000"/>
            <rFont val="Times New Roman"/>
            <family val="18"/>
          </rPr>
          <t xml:space="preserve"> [ML 1811] [SIC!]</t>
        </r>
        <r>
          <rPr>
            <sz val="14"/>
            <color rgb="FF000000"/>
            <rFont val="Times New Roman"/>
            <family val="18"/>
          </rPr>
          <t xml:space="preserve">
</t>
        </r>
        <r>
          <rPr>
            <sz val="14"/>
            <color rgb="FF000000"/>
            <rFont val="Times New Roman"/>
            <family val="18"/>
          </rPr>
          <t xml:space="preserve">21/12/1809 </t>
        </r>
        <r>
          <rPr>
            <i/>
            <sz val="14"/>
            <color rgb="FF000000"/>
            <rFont val="Times New Roman"/>
            <family val="18"/>
          </rPr>
          <t>Kommandiert zu Spitaler zu Waitzer mit Auswärtiger Gebühr</t>
        </r>
        <r>
          <rPr>
            <sz val="14"/>
            <color rgb="FF000000"/>
            <rFont val="Times New Roman"/>
            <family val="18"/>
          </rPr>
          <t xml:space="preserve"> [ST Dec 1809]
</t>
        </r>
        <r>
          <rPr>
            <sz val="14"/>
            <color rgb="FF000000"/>
            <rFont val="Times New Roman"/>
            <family val="18"/>
          </rPr>
          <t xml:space="preserve">26/03/1810 </t>
        </r>
        <r>
          <rPr>
            <i/>
            <sz val="14"/>
            <color rgb="FF000000"/>
            <rFont val="Times New Roman"/>
            <family val="18"/>
          </rPr>
          <t>In Kompanie eingerückt</t>
        </r>
        <r>
          <rPr>
            <sz val="14"/>
            <color rgb="FF000000"/>
            <rFont val="Times New Roman"/>
            <family val="18"/>
          </rPr>
          <t xml:space="preserve"> [ST March 1810]
</t>
        </r>
        <r>
          <rPr>
            <sz val="14"/>
            <color rgb="FF000000"/>
            <rFont val="Times New Roman"/>
            <family val="18"/>
          </rPr>
          <t>03/04/1810</t>
        </r>
        <r>
          <rPr>
            <i/>
            <sz val="14"/>
            <color rgb="FF000000"/>
            <rFont val="Times New Roman"/>
            <family val="18"/>
          </rPr>
          <t xml:space="preserve"> Krank mit auswärtiger Gebühr</t>
        </r>
        <r>
          <rPr>
            <sz val="14"/>
            <color rgb="FF000000"/>
            <rFont val="Times New Roman"/>
            <family val="18"/>
          </rPr>
          <t xml:space="preserve"> [ST March 1810]
</t>
        </r>
        <r>
          <rPr>
            <sz val="14"/>
            <color rgb="FF000000"/>
            <rFont val="Times New Roman"/>
            <family val="18"/>
          </rPr>
          <t xml:space="preserve">16/04/1810 </t>
        </r>
        <r>
          <rPr>
            <i/>
            <sz val="14"/>
            <color rgb="FF000000"/>
            <rFont val="Times New Roman"/>
            <family val="18"/>
          </rPr>
          <t>Rekonvalesziert</t>
        </r>
        <r>
          <rPr>
            <sz val="14"/>
            <color rgb="FF000000"/>
            <rFont val="Times New Roman"/>
            <family val="18"/>
          </rPr>
          <t xml:space="preserve"> [ST April 1810]
</t>
        </r>
        <r>
          <rPr>
            <sz val="14"/>
            <color rgb="FF000000"/>
            <rFont val="Times New Roman"/>
            <family val="18"/>
          </rPr>
          <t>19/05/1810</t>
        </r>
        <r>
          <rPr>
            <i/>
            <sz val="14"/>
            <color rgb="FF000000"/>
            <rFont val="Times New Roman"/>
            <family val="18"/>
          </rPr>
          <t xml:space="preserve"> Krank mit auswärtiger Gebühr</t>
        </r>
        <r>
          <rPr>
            <sz val="14"/>
            <color rgb="FF000000"/>
            <rFont val="Times New Roman"/>
            <family val="18"/>
          </rPr>
          <t xml:space="preserve"> [ST May1810]
</t>
        </r>
        <r>
          <rPr>
            <sz val="14"/>
            <color rgb="FF000000"/>
            <rFont val="Times New Roman"/>
            <family val="18"/>
          </rPr>
          <t xml:space="preserve">26/05/1810 </t>
        </r>
        <r>
          <rPr>
            <i/>
            <sz val="14"/>
            <color rgb="FF000000"/>
            <rFont val="Times New Roman"/>
            <family val="18"/>
          </rPr>
          <t>Rekonvalesziert</t>
        </r>
        <r>
          <rPr>
            <sz val="14"/>
            <color rgb="FF000000"/>
            <rFont val="Times New Roman"/>
            <family val="18"/>
          </rPr>
          <t xml:space="preserve"> [ST May 1810]
</t>
        </r>
        <r>
          <rPr>
            <sz val="14"/>
            <color rgb="FF000000"/>
            <rFont val="Times New Roman"/>
            <family val="18"/>
          </rPr>
          <t xml:space="preserve">16/07/1810 </t>
        </r>
        <r>
          <rPr>
            <i/>
            <sz val="14"/>
            <color rgb="FF000000"/>
            <rFont val="Times New Roman"/>
            <family val="18"/>
          </rPr>
          <t>Krank mit auswärtiger Gebühr</t>
        </r>
        <r>
          <rPr>
            <sz val="14"/>
            <color rgb="FF000000"/>
            <rFont val="Times New Roman"/>
            <family val="18"/>
          </rPr>
          <t xml:space="preserve"> [ST July1810]
</t>
        </r>
        <r>
          <rPr>
            <sz val="14"/>
            <color rgb="FF000000"/>
            <rFont val="Times New Roman"/>
            <family val="18"/>
          </rPr>
          <t xml:space="preserve">01/09/1810 </t>
        </r>
        <r>
          <rPr>
            <i/>
            <sz val="14"/>
            <color rgb="FF000000"/>
            <rFont val="Times New Roman"/>
            <family val="18"/>
          </rPr>
          <t>Rekonvalesziert</t>
        </r>
        <r>
          <rPr>
            <sz val="14"/>
            <color rgb="FF000000"/>
            <rFont val="Times New Roman"/>
            <family val="18"/>
          </rPr>
          <t xml:space="preserve"> [ST Sept 1810]
</t>
        </r>
        <r>
          <rPr>
            <sz val="14"/>
            <color rgb="FF000000"/>
            <rFont val="Times New Roman"/>
            <family val="18"/>
          </rPr>
          <t xml:space="preserve">05/09/1810 </t>
        </r>
        <r>
          <rPr>
            <i/>
            <sz val="14"/>
            <color rgb="FF000000"/>
            <rFont val="Times New Roman"/>
            <family val="18"/>
          </rPr>
          <t>Als Kriegscapitulant mit Abschied entlassen</t>
        </r>
        <r>
          <rPr>
            <sz val="14"/>
            <color rgb="FF000000"/>
            <rFont val="Times New Roman"/>
            <family val="18"/>
          </rPr>
          <t xml:space="preserve"> [ML 1811]
</t>
        </r>
      </text>
    </comment>
    <comment ref="BG1341" authorId="0" shapeId="0" xr:uid="{9AE4D749-F51C-3148-8A37-CCABF0440E74}">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3550 IR 39 (1809) – ST Dec (Dec 21/05/1811); AL Nr. 24 (Szegedin 08/08/1809)</t>
        </r>
        <r>
          <rPr>
            <sz val="14"/>
            <color rgb="FF000000"/>
            <rFont val="Calibri"/>
            <family val="34"/>
          </rPr>
          <t xml:space="preserve">
</t>
        </r>
        <r>
          <rPr>
            <sz val="14"/>
            <color rgb="FF000000"/>
            <rFont val="Times New Roman"/>
            <family val="18"/>
          </rPr>
          <t>ML 3551 IR 39 (1810) – ST March (Ofen 15/06/1810), April, May, July, Sept (15/09/1811)</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H1341" authorId="0" shapeId="0" xr:uid="{D5F1A19A-D885-2347-827D-A698F263F0F6}">
      <text>
        <r>
          <rPr>
            <sz val="14"/>
            <color rgb="FF000000"/>
            <rFont val="Calibri"/>
            <family val="34"/>
          </rPr>
          <t>IR 39 (1809-1810)</t>
        </r>
      </text>
    </comment>
    <comment ref="BF1342" authorId="0" shapeId="0" xr:uid="{B0A5378E-865E-4B40-8FA5-27B2F28EA00A}">
      <text>
        <r>
          <rPr>
            <sz val="14"/>
            <color rgb="FF000000"/>
            <rFont val="Times New Roman"/>
            <family val="18"/>
          </rPr>
          <t xml:space="preserve">09/08/1809 </t>
        </r>
        <r>
          <rPr>
            <i/>
            <sz val="14"/>
            <color rgb="FF000000"/>
            <rFont val="Times New Roman"/>
            <family val="18"/>
          </rPr>
          <t>Von Land ohne Entgelt des Araray zum IR 39 gestellt und zum 19. Fus. Komp. eingeteilt</t>
        </r>
        <r>
          <rPr>
            <sz val="14"/>
            <color rgb="FF000000"/>
            <rFont val="Aptos"/>
            <family val="34"/>
          </rPr>
          <t xml:space="preserve">
</t>
        </r>
        <r>
          <rPr>
            <sz val="14"/>
            <color rgb="FFFF0000"/>
            <rFont val="Times New Roman"/>
            <family val="18"/>
          </rPr>
          <t xml:space="preserve">27/08/1809 </t>
        </r>
        <r>
          <rPr>
            <i/>
            <sz val="14"/>
            <color rgb="FFFF0000"/>
            <rFont val="Times New Roman"/>
            <family val="18"/>
          </rPr>
          <t>Auf Kriegsdauer gestellt</t>
        </r>
        <r>
          <rPr>
            <sz val="14"/>
            <color rgb="FFFF0000"/>
            <rFont val="Times New Roman"/>
            <family val="18"/>
          </rPr>
          <t xml:space="preserve"> [TL Sept 1810]</t>
        </r>
        <r>
          <rPr>
            <sz val="14"/>
            <color rgb="FF000000"/>
            <rFont val="Aptos"/>
            <family val="34"/>
          </rPr>
          <t xml:space="preserve">
</t>
        </r>
        <r>
          <rPr>
            <sz val="14"/>
            <color rgb="FF000000"/>
            <rFont val="Times New Roman"/>
            <family val="18"/>
          </rPr>
          <t xml:space="preserve">19/09/1809 </t>
        </r>
        <r>
          <rPr>
            <i/>
            <sz val="14"/>
            <color rgb="FF000000"/>
            <rFont val="Times New Roman"/>
            <family val="18"/>
          </rPr>
          <t>Von 19. Zum 15.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01/02/1810 </t>
        </r>
        <r>
          <rPr>
            <i/>
            <sz val="14"/>
            <color rgb="FF000000"/>
            <rFont val="Times New Roman"/>
            <family val="18"/>
          </rPr>
          <t xml:space="preserve">Von 15. zum 14. Fus. Komp. transferiert </t>
        </r>
        <r>
          <rPr>
            <sz val="14"/>
            <color rgb="FF000000"/>
            <rFont val="Times New Roman"/>
            <family val="18"/>
          </rPr>
          <t>[ML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14. Fus. Komp zum IR 62 4.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2"/>
          </rPr>
          <t xml:space="preserve"> </t>
        </r>
      </text>
    </comment>
    <comment ref="BG1342" authorId="0" shapeId="0" xr:uid="{47D20E61-6F83-A542-BC8C-38FFA1CE81A0}">
      <text>
        <r>
          <rPr>
            <sz val="14"/>
            <color rgb="FF000000"/>
            <rFont val="Times New Roman"/>
            <family val="18"/>
          </rPr>
          <t>ML 3501/2 IR 39 (1811) – 14. Fus. Komp. Abgang (Gran 16/09/1811)</t>
        </r>
        <r>
          <rPr>
            <sz val="14"/>
            <color rgb="FF000000"/>
            <rFont val="Aptos"/>
            <family val="34"/>
          </rPr>
          <t xml:space="preserve">
</t>
        </r>
        <r>
          <rPr>
            <sz val="14"/>
            <color rgb="FF000000"/>
            <rFont val="Times New Roman"/>
            <family val="18"/>
          </rPr>
          <t>ML 5210 IR 62 (1810) – 4. Fus. Komp. Abgang (Tamesvar 27/09/1811)</t>
        </r>
        <r>
          <rPr>
            <sz val="14"/>
            <color rgb="FF000000"/>
            <rFont val="Aptos"/>
            <family val="34"/>
          </rPr>
          <t xml:space="preserve">
</t>
        </r>
        <r>
          <rPr>
            <sz val="14"/>
            <color rgb="FF000000"/>
            <rFont val="Times New Roman"/>
            <family val="18"/>
          </rPr>
          <t>ML 5223 IR 62 (1810) – TL IR 39-&gt;IR 62 Nr. 109 (Ofen 07/09/1810); ST July (03/03/1811), Dec (30/06/1811)</t>
        </r>
        <r>
          <rPr>
            <sz val="14"/>
            <color rgb="FF000000"/>
            <rFont val="Aptos"/>
            <family val="34"/>
          </rPr>
          <t xml:space="preserve">
</t>
        </r>
      </text>
    </comment>
    <comment ref="BH1342" authorId="0" shapeId="0" xr:uid="{09DC2F23-96E8-BB4C-8D41-7FF8918EE1ED}">
      <text>
        <r>
          <rPr>
            <sz val="14"/>
            <color rgb="FF000000"/>
            <rFont val="Calibri"/>
            <family val="34"/>
          </rPr>
          <t xml:space="preserve">IR 39 (1809-1810)
</t>
        </r>
        <r>
          <rPr>
            <sz val="14"/>
            <color rgb="FF000000"/>
            <rFont val="Calibri"/>
            <family val="34"/>
          </rPr>
          <t>IR 62 (1810-1811)</t>
        </r>
      </text>
    </comment>
    <comment ref="BF1343" authorId="0" shapeId="0" xr:uid="{C9C3FD33-DF76-1E41-96D1-40891268FEB9}">
      <text>
        <r>
          <rPr>
            <sz val="14"/>
            <color rgb="FF000000"/>
            <rFont val="Times New Roman"/>
            <family val="18"/>
          </rPr>
          <t xml:space="preserve">11/08/1809 </t>
        </r>
        <r>
          <rPr>
            <i/>
            <sz val="14"/>
            <color rgb="FF000000"/>
            <rFont val="Times New Roman"/>
            <family val="18"/>
          </rPr>
          <t>Von Halas in Klein Cumanien zum HR 12 gestellt</t>
        </r>
        <r>
          <rPr>
            <sz val="14"/>
            <color rgb="FF000000"/>
            <rFont val="Times New Roman"/>
            <family val="18"/>
          </rPr>
          <t xml:space="preserve"> [AL Aug 1809]</t>
        </r>
        <r>
          <rPr>
            <sz val="14"/>
            <color rgb="FF000000"/>
            <rFont val="Calibri"/>
            <family val="34"/>
          </rPr>
          <t xml:space="preserve">
</t>
        </r>
      </text>
    </comment>
    <comment ref="BG1343" authorId="0" shapeId="0" xr:uid="{0B76BBA9-85D3-2344-8034-F6D7924A3CAE}">
      <text>
        <r>
          <rPr>
            <sz val="14"/>
            <color rgb="FF000000"/>
            <rFont val="Times New Roman"/>
            <family val="18"/>
          </rPr>
          <t xml:space="preserve">ML 7811 HR 12 (1809) – AL Nr. 228 (?? ??/08/1809) </t>
        </r>
        <r>
          <rPr>
            <sz val="14"/>
            <color rgb="FF000000"/>
            <rFont val="Calibri"/>
            <family val="34"/>
          </rPr>
          <t xml:space="preserve">
</t>
        </r>
      </text>
    </comment>
    <comment ref="BH1343" authorId="0" shapeId="0" xr:uid="{1616C4E4-6800-C94C-B14B-7DE7F00BC01F}">
      <text>
        <r>
          <rPr>
            <sz val="14"/>
            <color rgb="FF000000"/>
            <rFont val="Calibri"/>
            <family val="34"/>
          </rPr>
          <t>IR 37 (1809)</t>
        </r>
      </text>
    </comment>
    <comment ref="BF1344" authorId="0" shapeId="0" xr:uid="{F7947016-1B8B-144B-AD0E-970B87F49DDF}">
      <text>
        <r>
          <rPr>
            <sz val="14"/>
            <color rgb="FF000000"/>
            <rFont val="Times New Roman"/>
            <family val="18"/>
          </rPr>
          <t xml:space="preserve">16/09/1809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19. zum 14.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344" authorId="0" shapeId="0" xr:uid="{BA28363F-4A35-A740-B0D5-06903203010A}">
      <text>
        <r>
          <rPr>
            <sz val="14"/>
            <color rgb="FF000000"/>
            <rFont val="Times New Roman"/>
            <family val="18"/>
          </rPr>
          <t>ML 3501/2 IR 39 (1811) – 14. Fus. Komp. Abgang (Gran 16/09/1811)</t>
        </r>
        <r>
          <rPr>
            <sz val="14"/>
            <color rgb="FF000000"/>
            <rFont val="Calibri"/>
            <family val="34"/>
          </rPr>
          <t xml:space="preserve">
</t>
        </r>
      </text>
    </comment>
    <comment ref="BH1344" authorId="0" shapeId="0" xr:uid="{105D0CAD-5C65-B744-AF95-7BAA58A22953}">
      <text>
        <r>
          <rPr>
            <sz val="14"/>
            <color rgb="FF000000"/>
            <rFont val="Calibri"/>
            <family val="34"/>
          </rPr>
          <t>IR 39 (1809-1810)</t>
        </r>
      </text>
    </comment>
    <comment ref="BF1345" authorId="0" shapeId="0" xr:uid="{EC91E199-D5FE-3B42-9FAF-48F66FF11435}">
      <text>
        <r>
          <rPr>
            <sz val="14"/>
            <color rgb="FF000000"/>
            <rFont val="Times New Roman"/>
            <family val="18"/>
          </rPr>
          <t xml:space="preserve">16/08/1809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23/09/1809 </t>
        </r>
        <r>
          <rPr>
            <i/>
            <sz val="14"/>
            <color rgb="FF000000"/>
            <rFont val="Times New Roman"/>
            <family val="18"/>
          </rPr>
          <t>Von 20. Zur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[ST Aus 1810]</t>
        </r>
      </text>
    </comment>
    <comment ref="BG1345" authorId="0" shapeId="0" xr:uid="{0A5AEAAE-2EF3-D84F-9CE7-24E95DCD0D14}">
      <text>
        <r>
          <rPr>
            <sz val="14"/>
            <color rgb="FF000000"/>
            <rFont val="Times New Roman"/>
            <family val="18"/>
          </rPr>
          <t>ML 3501/2 IR 39 (1811) – 14. Fus. Komp. Abgang (Gran 16/09/1811)</t>
        </r>
        <r>
          <rPr>
            <sz val="14"/>
            <color rgb="FF000000"/>
            <rFont val="Calibri"/>
            <family val="34"/>
          </rPr>
          <t xml:space="preserve">
</t>
        </r>
        <r>
          <rPr>
            <sz val="14"/>
            <color rgb="FF000000"/>
            <rFont val="Times New Roman"/>
            <family val="18"/>
          </rPr>
          <t xml:space="preserve">ML 3551 IR 39 (1810) – ST Aug </t>
        </r>
      </text>
    </comment>
    <comment ref="BH1345" authorId="0" shapeId="0" xr:uid="{BF9FBBB4-46D1-6340-A7FA-E57514084A1F}">
      <text>
        <r>
          <rPr>
            <sz val="14"/>
            <color rgb="FF000000"/>
            <rFont val="Calibri"/>
            <family val="34"/>
          </rPr>
          <t>IR 39 (1809-1810)</t>
        </r>
      </text>
    </comment>
    <comment ref="BF1346" authorId="0" shapeId="0" xr:uid="{3058AAFB-A431-9D4D-A8EB-2FE02CD54206}">
      <text>
        <r>
          <rPr>
            <sz val="14"/>
            <color rgb="FF000000"/>
            <rFont val="Times New Roman"/>
            <family val="18"/>
          </rPr>
          <t xml:space="preserve">16/08/1809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23/09/1809 </t>
        </r>
        <r>
          <rPr>
            <i/>
            <sz val="14"/>
            <color rgb="FF000000"/>
            <rFont val="Times New Roman"/>
            <family val="18"/>
          </rPr>
          <t>Von 20. Zur 15.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18/10/1809 </t>
        </r>
        <r>
          <rPr>
            <i/>
            <sz val="14"/>
            <color rgb="FF000000"/>
            <rFont val="Times New Roman"/>
            <family val="18"/>
          </rPr>
          <t>Zu Pest in Armee Garnison Spital gestorben</t>
        </r>
        <r>
          <rPr>
            <sz val="14"/>
            <color rgb="FF000000"/>
            <rFont val="Times New Roman"/>
            <family val="18"/>
          </rPr>
          <t xml:space="preserve"> [ML 1811]</t>
        </r>
      </text>
    </comment>
    <comment ref="BG1346" authorId="0" shapeId="0" xr:uid="{C97A8B44-9C51-C24F-BF64-41AEAEFEE197}">
      <text>
        <r>
          <rPr>
            <sz val="14"/>
            <color rgb="FF000000"/>
            <rFont val="Times New Roman"/>
            <family val="18"/>
          </rPr>
          <t>ML 3501/2 IR 39 (1811) – Neue 15. Fus. Komp. Abgang (Ofen 19/09/1811)</t>
        </r>
        <r>
          <rPr>
            <sz val="14"/>
            <color rgb="FF000000"/>
            <rFont val="Calibri"/>
            <family val="34"/>
          </rPr>
          <t xml:space="preserve">
</t>
        </r>
        <r>
          <rPr>
            <sz val="14"/>
            <color rgb="FF000000"/>
            <rFont val="Times New Roman"/>
            <family val="18"/>
          </rPr>
          <t>ML 3550 IR 39 (1810) – Oct (Ofen 21/04/1811)</t>
        </r>
      </text>
    </comment>
    <comment ref="BH1346" authorId="0" shapeId="0" xr:uid="{922DECFF-F987-8244-990E-1F46AB7837C8}">
      <text>
        <r>
          <rPr>
            <sz val="14"/>
            <color rgb="FF000000"/>
            <rFont val="Calibri"/>
            <family val="34"/>
          </rPr>
          <t>IR 39 (1809-1810)</t>
        </r>
      </text>
    </comment>
    <comment ref="BF1347" authorId="0" shapeId="0" xr:uid="{26D1A464-D5BE-BD4F-A719-9BA2A36F86C5}">
      <text>
        <r>
          <rPr>
            <sz val="14"/>
            <color rgb="FF000000"/>
            <rFont val="Times New Roman"/>
            <family val="18"/>
          </rPr>
          <t xml:space="preserve">21/08/1809 </t>
        </r>
        <r>
          <rPr>
            <i/>
            <sz val="14"/>
            <color rgb="FF000000"/>
            <rFont val="Times New Roman"/>
            <family val="18"/>
          </rPr>
          <t xml:space="preserve">Zum 4. Reserve Bataillon gestellt und zum 1. Depot Komp. eingeteilt </t>
        </r>
        <r>
          <rPr>
            <sz val="14"/>
            <color rgb="FF000000"/>
            <rFont val="Times New Roman"/>
            <family val="18"/>
          </rPr>
          <t>[AL Oct 1809 &amp; ST Aug 1809]</t>
        </r>
        <r>
          <rPr>
            <sz val="14"/>
            <color rgb="FF000000"/>
            <rFont val="Calibri"/>
            <family val="34"/>
          </rPr>
          <t xml:space="preserve">
</t>
        </r>
        <r>
          <rPr>
            <sz val="14"/>
            <color rgb="FF000000"/>
            <rFont val="Times New Roman"/>
            <family val="18"/>
          </rPr>
          <t xml:space="preserve">17/09/1809 </t>
        </r>
        <r>
          <rPr>
            <i/>
            <sz val="14"/>
            <color rgb="FF000000"/>
            <rFont val="Times New Roman"/>
            <family val="18"/>
          </rPr>
          <t>Von 1. Depot Komp. zum 4.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Von 4. Zum neu errichtete 16. Fus. Komp. transferiert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16/02/1810 </t>
        </r>
        <r>
          <rPr>
            <i/>
            <sz val="14"/>
            <color rgb="FF000000"/>
            <rFont val="Times New Roman"/>
            <family val="18"/>
          </rPr>
          <t>Beurlaubt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16 zum 10. Fus. Komp transferiert</t>
        </r>
        <r>
          <rPr>
            <sz val="14"/>
            <color rgb="FF000000"/>
            <rFont val="Times New Roman"/>
            <family val="18"/>
          </rPr>
          <t xml:space="preserve"> [ST Sept 1810]</t>
        </r>
        <r>
          <rPr>
            <sz val="14"/>
            <color rgb="FF000000"/>
            <rFont val="Calibri"/>
            <family val="34"/>
          </rPr>
          <t xml:space="preserve">
</t>
        </r>
        <r>
          <rPr>
            <sz val="14"/>
            <color rgb="FF000000"/>
            <rFont val="Times New Roman"/>
            <family val="18"/>
          </rPr>
          <t xml:space="preserve">20/09/1810 </t>
        </r>
        <r>
          <rPr>
            <i/>
            <sz val="14"/>
            <color rgb="FF000000"/>
            <rFont val="Times New Roman"/>
            <family val="18"/>
          </rPr>
          <t>Als steuerbare Wirtschaftsbesitzer von Urlaub mit Abschied entlassen</t>
        </r>
        <r>
          <rPr>
            <sz val="14"/>
            <color rgb="FF000000"/>
            <rFont val="Times New Roman"/>
            <family val="18"/>
          </rPr>
          <t xml:space="preserve"> [ST Sept 1810] </t>
        </r>
      </text>
    </comment>
    <comment ref="BG1347" authorId="0" shapeId="0" xr:uid="{5547D5A6-C816-174A-8693-04D595864B4A}">
      <text>
        <r>
          <rPr>
            <sz val="14"/>
            <color rgb="FF000000"/>
            <rFont val="Times New Roman"/>
            <family val="18"/>
          </rPr>
          <t>ML 33 IR 1 (1811) – 10. Fus. Komp. Abgang (Prossnitz 08/09/1811)</t>
        </r>
        <r>
          <rPr>
            <sz val="14"/>
            <color rgb="FF000000"/>
            <rFont val="Calibri"/>
            <family val="34"/>
          </rPr>
          <t xml:space="preserve">
</t>
        </r>
        <r>
          <rPr>
            <sz val="14"/>
            <color rgb="FF000000"/>
            <rFont val="Times New Roman"/>
            <family val="18"/>
          </rPr>
          <t>ML 91 IR 1 (1809) – Aug (Proßnitz 15/11/1810), Sept (Proßnitz 23/11/1810), Dec (Proßnitz 15/01/1811)</t>
        </r>
        <r>
          <rPr>
            <sz val="14"/>
            <color rgb="FF000000"/>
            <rFont val="Calibri"/>
            <family val="34"/>
          </rPr>
          <t xml:space="preserve">
</t>
        </r>
        <r>
          <rPr>
            <sz val="14"/>
            <color rgb="FF000000"/>
            <rFont val="Times New Roman"/>
            <family val="18"/>
          </rPr>
          <t>ML 93 IR 1 (1809) VI-XII – AL. Reserve Nr. 4 (Olmütz 04/10/1809)</t>
        </r>
        <r>
          <rPr>
            <sz val="14"/>
            <color rgb="FF000000"/>
            <rFont val="Calibri"/>
            <family val="34"/>
          </rPr>
          <t xml:space="preserve">
</t>
        </r>
        <r>
          <rPr>
            <sz val="14"/>
            <color rgb="FF000000"/>
            <rFont val="Times New Roman"/>
            <family val="18"/>
          </rPr>
          <t>ML 94 IR 1 (1810) – ST Feb (Proßnitz 15/12/1811), Sept (17/04/1811)</t>
        </r>
        <r>
          <rPr>
            <sz val="14"/>
            <color rgb="FF000000"/>
            <rFont val="Calibri"/>
            <family val="34"/>
          </rPr>
          <t xml:space="preserve">
</t>
        </r>
      </text>
    </comment>
    <comment ref="BH1347" authorId="0" shapeId="0" xr:uid="{1F7E6866-4EEC-AE42-A06D-BBFC0101F714}">
      <text>
        <r>
          <rPr>
            <sz val="14"/>
            <color rgb="FF000000"/>
            <rFont val="Calibri"/>
            <family val="34"/>
          </rPr>
          <t>IR 1 (1809-1810)</t>
        </r>
      </text>
    </comment>
    <comment ref="BF1348" authorId="0" shapeId="0" xr:uid="{8381065C-3B7C-7641-8560-6D73CBF9E088}">
      <text>
        <r>
          <rPr>
            <sz val="14"/>
            <color rgb="FF000000"/>
            <rFont val="Times New Roman"/>
            <family val="18"/>
          </rPr>
          <t xml:space="preserve">23/08/1809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 xml:space="preserve">Von 20. zur 17.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14/10/1809 </t>
        </r>
        <r>
          <rPr>
            <i/>
            <sz val="14"/>
            <color rgb="FF000000"/>
            <rFont val="Times New Roman"/>
            <family val="18"/>
          </rPr>
          <t>Gestorben</t>
        </r>
        <r>
          <rPr>
            <sz val="14"/>
            <color rgb="FF000000"/>
            <rFont val="Times New Roman"/>
            <family val="18"/>
          </rPr>
          <t xml:space="preserve"> [ML 1811]</t>
        </r>
      </text>
    </comment>
    <comment ref="BG1348" authorId="0" shapeId="0" xr:uid="{687311FA-3365-C64B-859C-46E7E53BA7D8}">
      <text>
        <r>
          <rPr>
            <sz val="14"/>
            <color rgb="FF000000"/>
            <rFont val="Times New Roman"/>
            <family val="18"/>
          </rPr>
          <t>ML 3501/2 IR 39 (1811) – 15. Fus. Komp. Abgang (Gran 16/09/1811)</t>
        </r>
        <r>
          <rPr>
            <sz val="14"/>
            <color rgb="FF000000"/>
            <rFont val="Calibri"/>
            <family val="34"/>
          </rPr>
          <t xml:space="preserve">
</t>
        </r>
      </text>
    </comment>
    <comment ref="BH1348" authorId="0" shapeId="0" xr:uid="{18C75639-5353-FA42-BDF4-11AA3B6D41FD}">
      <text>
        <r>
          <rPr>
            <sz val="14"/>
            <color rgb="FF000000"/>
            <rFont val="Calibri"/>
            <family val="34"/>
          </rPr>
          <t>IR 39 (1809)</t>
        </r>
      </text>
    </comment>
    <comment ref="BF1349" authorId="0" shapeId="0" xr:uid="{A40D00D9-EB0F-D247-85DD-E923114DAE5A}">
      <text>
        <r>
          <rPr>
            <sz val="14"/>
            <color rgb="FF000000"/>
            <rFont val="Times New Roman"/>
            <family val="18"/>
          </rPr>
          <t xml:space="preserve">23/08/1809 </t>
        </r>
        <r>
          <rPr>
            <i/>
            <sz val="14"/>
            <color rgb="FF000000"/>
            <rFont val="Times New Roman"/>
            <family val="18"/>
          </rPr>
          <t>Von Land ohne Entgelt des Araray zum IR 39 auf Kriegsdauer gestellt und zum 20. Fus. Komp. eingeteilt</t>
        </r>
        <r>
          <rPr>
            <sz val="14"/>
            <color rgb="FF000000"/>
            <rFont val="Times New Roman"/>
            <family val="18"/>
          </rPr>
          <t xml:space="preserve"> [ML 1811 &amp; TL Sept 1810]</t>
        </r>
        <r>
          <rPr>
            <sz val="14"/>
            <color rgb="FF000000"/>
            <rFont val="Aptos"/>
            <family val="34"/>
          </rPr>
          <t xml:space="preserve">
</t>
        </r>
        <r>
          <rPr>
            <sz val="14"/>
            <color rgb="FF000000"/>
            <rFont val="Times New Roman"/>
            <family val="18"/>
          </rPr>
          <t xml:space="preserve">26/01/1810 </t>
        </r>
        <r>
          <rPr>
            <i/>
            <sz val="14"/>
            <color rgb="FF000000"/>
            <rFont val="Times New Roman"/>
            <family val="18"/>
          </rPr>
          <t>Von 20. Zur 11.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11. Fus. Komp zum IR 62 12.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28/07/1810 </t>
        </r>
        <r>
          <rPr>
            <i/>
            <sz val="14"/>
            <color rgb="FF000000"/>
            <rFont val="Times New Roman"/>
            <family val="18"/>
          </rPr>
          <t>Krank zu Spital in Tamesvar</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06/09/1810 </t>
        </r>
        <r>
          <rPr>
            <i/>
            <sz val="14"/>
            <color rgb="FF000000"/>
            <rFont val="Times New Roman"/>
            <family val="18"/>
          </rPr>
          <t>Rekonvalesziert</t>
        </r>
        <r>
          <rPr>
            <sz val="14"/>
            <color rgb="FF000000"/>
            <rFont val="Times New Roman"/>
            <family val="18"/>
          </rPr>
          <t xml:space="preserve"> [ST Sept 1810]</t>
        </r>
        <r>
          <rPr>
            <sz val="14"/>
            <color rgb="FF000000"/>
            <rFont val="Aptos"/>
            <family val="34"/>
          </rPr>
          <t xml:space="preserve">
</t>
        </r>
        <r>
          <rPr>
            <sz val="14"/>
            <color rgb="FF000000"/>
            <rFont val="Times New Roman"/>
            <family val="18"/>
          </rPr>
          <t xml:space="preserve">10/09/1810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349" authorId="0" shapeId="0" xr:uid="{BDD88009-518A-C447-B4D1-44BA81FAF811}">
      <text>
        <r>
          <rPr>
            <sz val="14"/>
            <color rgb="FF000000"/>
            <rFont val="Times New Roman"/>
            <family val="18"/>
          </rPr>
          <t>ML 3501/2 IR 39 (1811) – 11. Fus. Komp. Abgang (Ofen 19/09/1811)</t>
        </r>
        <r>
          <rPr>
            <sz val="14"/>
            <color rgb="FF000000"/>
            <rFont val="Aptos"/>
            <family val="34"/>
          </rPr>
          <t xml:space="preserve">
</t>
        </r>
        <r>
          <rPr>
            <sz val="14"/>
            <color rgb="FF000000"/>
            <rFont val="Times New Roman"/>
            <family val="18"/>
          </rPr>
          <t>ML 5210 IR 62 (1810) – 12. Fus. Komp. Abgang (Arad 18/09/1811)</t>
        </r>
        <r>
          <rPr>
            <sz val="14"/>
            <color rgb="FF000000"/>
            <rFont val="Aptos"/>
            <family val="34"/>
          </rPr>
          <t xml:space="preserve">
</t>
        </r>
        <r>
          <rPr>
            <sz val="14"/>
            <color rgb="FF000000"/>
            <rFont val="Times New Roman"/>
            <family val="18"/>
          </rPr>
          <t>ML 5223 IR 62 (1810) – TL IR 39-&gt;IR 62 Nr. 77 (Ofen 07/09/1810); ST July (03/03/1811), Sept (Tamesvar 07/04/1811)</t>
        </r>
        <r>
          <rPr>
            <sz val="14"/>
            <color rgb="FF000000"/>
            <rFont val="Aptos"/>
            <family val="34"/>
          </rPr>
          <t xml:space="preserve">
</t>
        </r>
      </text>
    </comment>
    <comment ref="BH1349" authorId="0" shapeId="0" xr:uid="{6BD51AA2-889F-3248-95AB-771A0B893AF6}">
      <text>
        <r>
          <rPr>
            <sz val="14"/>
            <color rgb="FF000000"/>
            <rFont val="Calibri"/>
            <family val="34"/>
          </rPr>
          <t xml:space="preserve">IR 39 (1809-1810)
</t>
        </r>
        <r>
          <rPr>
            <sz val="14"/>
            <color rgb="FF000000"/>
            <rFont val="Calibri"/>
            <family val="34"/>
          </rPr>
          <t>IR 62 (1810)</t>
        </r>
      </text>
    </comment>
    <comment ref="BF1350" authorId="0" shapeId="0" xr:uid="{716C7D72-C6E2-244F-AF4B-A5A07C1E3951}">
      <text>
        <r>
          <rPr>
            <sz val="14"/>
            <color rgb="FF000000"/>
            <rFont val="Times New Roman"/>
            <family val="18"/>
          </rPr>
          <t xml:space="preserve">23/08/1809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 xml:space="preserve">Von 20. zur 15.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15. zur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in Spital verbliebene als unevident als unwissend verloren in Abgang</t>
        </r>
        <r>
          <rPr>
            <sz val="14"/>
            <color rgb="FF000000"/>
            <rFont val="Times New Roman"/>
            <family val="18"/>
          </rPr>
          <t xml:space="preserve"> [ML 1811 &amp; ST Aug 1810]</t>
        </r>
      </text>
    </comment>
    <comment ref="BG1350" authorId="0" shapeId="0" xr:uid="{0498393C-6B25-EB4B-8691-8B7205FBCCDE}">
      <text>
        <r>
          <rPr>
            <sz val="14"/>
            <color rgb="FF000000"/>
            <rFont val="Times New Roman"/>
            <family val="18"/>
          </rPr>
          <t>ML 3500 IR 39 (1808) – 14. Fus. Komp. Nr. 222 (Lager bei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3550 IR 39 (1809) – ST Oct (Ofen 21/04/1811)</t>
        </r>
        <r>
          <rPr>
            <sz val="14"/>
            <color rgb="FF000000"/>
            <rFont val="Calibri"/>
            <family val="34"/>
          </rPr>
          <t xml:space="preserve">
</t>
        </r>
        <r>
          <rPr>
            <sz val="14"/>
            <color rgb="FF000000"/>
            <rFont val="Times New Roman"/>
            <family val="18"/>
          </rPr>
          <t xml:space="preserve">ML 3551 IR 39 (1809) – ST Aug
</t>
        </r>
        <r>
          <rPr>
            <sz val="14"/>
            <color rgb="FF000000"/>
            <rFont val="Calibri"/>
            <family val="34"/>
          </rPr>
          <t xml:space="preserve">
</t>
        </r>
      </text>
    </comment>
    <comment ref="BH1350" authorId="0" shapeId="0" xr:uid="{C5CFDC68-6344-2D4F-93AD-1A06E6512ECE}">
      <text>
        <r>
          <rPr>
            <sz val="14"/>
            <color rgb="FF000000"/>
            <rFont val="Calibri"/>
            <family val="34"/>
          </rPr>
          <t>IR 1 (1809-1810)</t>
        </r>
      </text>
    </comment>
    <comment ref="BF1351" authorId="0" shapeId="0" xr:uid="{7C40FF00-D132-5140-A2C7-AAC24C891804}">
      <text>
        <r>
          <rPr>
            <sz val="14"/>
            <color rgb="FF000000"/>
            <rFont val="Times New Roman"/>
            <family val="18"/>
          </rPr>
          <t xml:space="preserve">23/08/1809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Von 20.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26/02/1810 </t>
        </r>
        <r>
          <rPr>
            <i/>
            <sz val="14"/>
            <color rgb="FF000000"/>
            <rFont val="Times New Roman"/>
            <family val="18"/>
          </rPr>
          <t>Krank mit Auswärtiger Gebühr</t>
        </r>
        <r>
          <rPr>
            <sz val="14"/>
            <color rgb="FF000000"/>
            <rFont val="Times New Roman"/>
            <family val="18"/>
          </rPr>
          <t xml:space="preserve"> [ST Feb 1811] </t>
        </r>
        <r>
          <rPr>
            <sz val="14"/>
            <color rgb="FF000000"/>
            <rFont val="Calibri"/>
            <family val="34"/>
          </rPr>
          <t xml:space="preserve">
</t>
        </r>
        <r>
          <rPr>
            <sz val="14"/>
            <color rgb="FF000000"/>
            <rFont val="Times New Roman"/>
            <family val="18"/>
          </rPr>
          <t xml:space="preserve">31/03/1810 </t>
        </r>
        <r>
          <rPr>
            <i/>
            <sz val="14"/>
            <color rgb="FF000000"/>
            <rFont val="Times New Roman"/>
            <family val="18"/>
          </rPr>
          <t>Rekonvalesziert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16/07/1810 </t>
        </r>
        <r>
          <rPr>
            <i/>
            <sz val="14"/>
            <color rgb="FF000000"/>
            <rFont val="Times New Roman"/>
            <family val="18"/>
          </rPr>
          <t>Krank mit auswärtiger Gebühr</t>
        </r>
        <r>
          <rPr>
            <sz val="14"/>
            <color rgb="FF000000"/>
            <rFont val="Times New Roman"/>
            <family val="18"/>
          </rPr>
          <t xml:space="preserve"> [ST July1810]</t>
        </r>
        <r>
          <rPr>
            <sz val="14"/>
            <color rgb="FF000000"/>
            <rFont val="Calibri"/>
            <family val="34"/>
          </rPr>
          <t xml:space="preserve">
</t>
        </r>
        <r>
          <rPr>
            <sz val="14"/>
            <color rgb="FF000000"/>
            <rFont val="Times New Roman"/>
            <family val="18"/>
          </rPr>
          <t xml:space="preserve">26/07/1810 </t>
        </r>
        <r>
          <rPr>
            <i/>
            <sz val="14"/>
            <color rgb="FF000000"/>
            <rFont val="Times New Roman"/>
            <family val="18"/>
          </rPr>
          <t>Rekonvalesziert</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 xml:space="preserve">05/09/1810 </t>
        </r>
        <r>
          <rPr>
            <i/>
            <sz val="14"/>
            <color rgb="FF000000"/>
            <rFont val="Times New Roman"/>
            <family val="18"/>
          </rPr>
          <t>Als Kriegscapitulant mit Abschied entlassen</t>
        </r>
        <r>
          <rPr>
            <sz val="14"/>
            <color rgb="FF000000"/>
            <rFont val="Times New Roman"/>
            <family val="18"/>
          </rPr>
          <t xml:space="preserve"> [ML 1811]</t>
        </r>
      </text>
    </comment>
    <comment ref="BG1351" authorId="0" shapeId="0" xr:uid="{668470D2-9A5B-744C-95B7-5A3348A0DF21}">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3551 IR 39 (1810) – ST Feb (Ofen 06/06/1811), ML 3551 IR 39 (1810) – ST April, July</t>
        </r>
        <r>
          <rPr>
            <sz val="14"/>
            <color rgb="FF000000"/>
            <rFont val="Calibri"/>
            <family val="34"/>
          </rPr>
          <t xml:space="preserve">
</t>
        </r>
        <r>
          <rPr>
            <sz val="14"/>
            <color rgb="FF000000"/>
            <rFont val="Times New Roman"/>
            <family val="18"/>
          </rPr>
          <t> </t>
        </r>
      </text>
    </comment>
    <comment ref="BH1351" authorId="0" shapeId="0" xr:uid="{0C342F93-8BD0-6141-9F2C-03D1AF1F2CEC}">
      <text>
        <r>
          <rPr>
            <sz val="14"/>
            <color rgb="FF000000"/>
            <rFont val="Calibri"/>
            <family val="34"/>
          </rPr>
          <t>IR 1 (1809-1810)</t>
        </r>
      </text>
    </comment>
    <comment ref="BF1352" authorId="0" shapeId="0" xr:uid="{EAAF33DD-3D43-7C46-A51C-EAEC4E2C9305}">
      <text>
        <r>
          <rPr>
            <sz val="14"/>
            <color rgb="FFFF0000"/>
            <rFont val="Times New Roman"/>
            <family val="18"/>
          </rPr>
          <t xml:space="preserve">17/03/1809 </t>
        </r>
        <r>
          <rPr>
            <i/>
            <sz val="14"/>
            <color rgb="FFFF0000"/>
            <rFont val="Times New Roman"/>
            <family val="18"/>
          </rPr>
          <t>Gestellt</t>
        </r>
        <r>
          <rPr>
            <sz val="14"/>
            <color rgb="FFFF0000"/>
            <rFont val="Times New Roman"/>
            <family val="18"/>
          </rPr>
          <t xml:space="preserve"> [TL Sept 1810]</t>
        </r>
        <r>
          <rPr>
            <sz val="14"/>
            <color rgb="FF000000"/>
            <rFont val="Aptos"/>
            <family val="34"/>
          </rPr>
          <t xml:space="preserve">
</t>
        </r>
        <r>
          <rPr>
            <sz val="14"/>
            <color rgb="FF000000"/>
            <rFont val="Times New Roman"/>
            <family val="18"/>
          </rPr>
          <t xml:space="preserve">25/08/1809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01/10/1809 </t>
        </r>
        <r>
          <rPr>
            <i/>
            <sz val="14"/>
            <color rgb="FF000000"/>
            <rFont val="Times New Roman"/>
            <family val="18"/>
          </rPr>
          <t xml:space="preserve">Von 20. zur 15. Fus. Komp. transferiert </t>
        </r>
        <r>
          <rPr>
            <sz val="14"/>
            <color rgb="FF000000"/>
            <rFont val="Times New Roman"/>
            <family val="18"/>
          </rPr>
          <t>[ML 1811]</t>
        </r>
        <r>
          <rPr>
            <sz val="14"/>
            <color rgb="FF000000"/>
            <rFont val="Aptos"/>
            <family val="34"/>
          </rPr>
          <t xml:space="preserve">
</t>
        </r>
        <r>
          <rPr>
            <sz val="14"/>
            <color rgb="FF000000"/>
            <rFont val="Times New Roman"/>
            <family val="18"/>
          </rPr>
          <t xml:space="preserve">01/02/1810 </t>
        </r>
        <r>
          <rPr>
            <i/>
            <sz val="14"/>
            <color rgb="FF000000"/>
            <rFont val="Times New Roman"/>
            <family val="18"/>
          </rPr>
          <t>Von 15. zum 6.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26/05/1810 </t>
        </r>
        <r>
          <rPr>
            <i/>
            <sz val="14"/>
            <color rgb="FF000000"/>
            <rFont val="Times New Roman"/>
            <family val="18"/>
          </rPr>
          <t>Von 6. Zum 15.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15. Fus. Komp zum IR 62 6. Fus. Komp. 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Kriegscapitulant mit Abschied entlassen</t>
        </r>
        <r>
          <rPr>
            <sz val="14"/>
            <color rgb="FF000000"/>
            <rFont val="Times New Roman"/>
            <family val="18"/>
          </rPr>
          <t xml:space="preserve"> [ML 1811] </t>
        </r>
      </text>
    </comment>
    <comment ref="BG1352" authorId="0" shapeId="0" xr:uid="{E30A8D1E-5A17-074A-AB63-45D36CC1011F}">
      <text>
        <r>
          <rPr>
            <sz val="14"/>
            <color rgb="FF000000"/>
            <rFont val="Times New Roman"/>
            <family val="18"/>
          </rPr>
          <t>ML 3501/2 IR 39 (1811) – 15. Fus. Komp. Abgang (Gran 16/09/1811)</t>
        </r>
        <r>
          <rPr>
            <sz val="14"/>
            <color rgb="FF000000"/>
            <rFont val="Aptos"/>
            <family val="34"/>
          </rPr>
          <t xml:space="preserve">
</t>
        </r>
        <r>
          <rPr>
            <sz val="14"/>
            <color rgb="FF000000"/>
            <rFont val="Times New Roman"/>
            <family val="18"/>
          </rPr>
          <t>ML 5210 IR 62 (1810) – 6. Fus. Komp. Abgang (Tamesvar 27/09/1811)</t>
        </r>
        <r>
          <rPr>
            <sz val="14"/>
            <color rgb="FF000000"/>
            <rFont val="Aptos"/>
            <family val="34"/>
          </rPr>
          <t xml:space="preserve">
</t>
        </r>
        <r>
          <rPr>
            <sz val="14"/>
            <color rgb="FF000000"/>
            <rFont val="Times New Roman"/>
            <family val="18"/>
          </rPr>
          <t>ML 5223 IR 62 (1810) – TL IR 39-&gt;IR 62 Nr. 143 (Ofen 07/09/1810); ST July (03/03/1811), Dec (30/06/1811)</t>
        </r>
        <r>
          <rPr>
            <sz val="14"/>
            <color rgb="FF000000"/>
            <rFont val="Aptos"/>
            <family val="34"/>
          </rPr>
          <t xml:space="preserve">
</t>
        </r>
      </text>
    </comment>
    <comment ref="BH1352" authorId="0" shapeId="0" xr:uid="{FF734225-4A33-C648-BCD2-72343F0CCC7B}">
      <text>
        <r>
          <rPr>
            <sz val="14"/>
            <color rgb="FF000000"/>
            <rFont val="Calibri"/>
            <family val="34"/>
          </rPr>
          <t xml:space="preserve">IR 39 (1809-1810)
</t>
        </r>
        <r>
          <rPr>
            <sz val="14"/>
            <color rgb="FF000000"/>
            <rFont val="Calibri"/>
            <family val="34"/>
          </rPr>
          <t>IR 62 (1810-1811)</t>
        </r>
      </text>
    </comment>
    <comment ref="BF1353" authorId="0" shapeId="0" xr:uid="{3A2BD3CB-D1AC-D241-8E09-61C562268638}">
      <text>
        <r>
          <rPr>
            <sz val="14"/>
            <color rgb="FF000000"/>
            <rFont val="Times New Roman"/>
            <family val="18"/>
          </rPr>
          <t xml:space="preserve">25/08/1809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01/10/1809 </t>
        </r>
        <r>
          <rPr>
            <i/>
            <sz val="14"/>
            <color rgb="FF000000"/>
            <rFont val="Times New Roman"/>
            <family val="18"/>
          </rPr>
          <t xml:space="preserve">Von 20. zur 17.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19/11/1809 </t>
        </r>
        <r>
          <rPr>
            <i/>
            <sz val="14"/>
            <color rgb="FF000000"/>
            <rFont val="Times New Roman"/>
            <family val="18"/>
          </rPr>
          <t>Gestorben</t>
        </r>
        <r>
          <rPr>
            <sz val="14"/>
            <color rgb="FF000000"/>
            <rFont val="Times New Roman"/>
            <family val="18"/>
          </rPr>
          <t xml:space="preserve"> [ML]</t>
        </r>
      </text>
    </comment>
    <comment ref="BG1353" authorId="0" shapeId="0" xr:uid="{67D3712C-07D5-694A-82D0-AC957498A32B}">
      <text>
        <r>
          <rPr>
            <sz val="14"/>
            <color rgb="FF000000"/>
            <rFont val="Times New Roman"/>
            <family val="18"/>
          </rPr>
          <t>ML 3501/2 IR 39 (1811) – 15. Fus. Komp. Abgang (Gran 16/09/1811)</t>
        </r>
        <r>
          <rPr>
            <sz val="14"/>
            <color rgb="FF000000"/>
            <rFont val="Calibri"/>
            <family val="34"/>
          </rPr>
          <t xml:space="preserve">
</t>
        </r>
      </text>
    </comment>
    <comment ref="BH1353" authorId="0" shapeId="0" xr:uid="{6EF8600A-EFBA-F246-91A5-1C6209722F19}">
      <text>
        <r>
          <rPr>
            <sz val="14"/>
            <color rgb="FF000000"/>
            <rFont val="Calibri"/>
            <family val="34"/>
          </rPr>
          <t>IR 39 (1809)</t>
        </r>
      </text>
    </comment>
    <comment ref="BF1354" authorId="0" shapeId="0" xr:uid="{F11C26FD-B7CF-9049-BEEE-A9DBF98D4CAA}">
      <text>
        <r>
          <rPr>
            <sz val="14"/>
            <color rgb="FF000000"/>
            <rFont val="Times New Roman"/>
            <family val="18"/>
          </rPr>
          <t xml:space="preserve">26/08/1809 </t>
        </r>
        <r>
          <rPr>
            <i/>
            <sz val="14"/>
            <color rgb="FF000000"/>
            <rFont val="Times New Roman"/>
            <family val="18"/>
          </rPr>
          <t>Von Land a 3Fl zum IR 39 gestellt und zum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18/09/1809 </t>
        </r>
        <r>
          <rPr>
            <i/>
            <sz val="14"/>
            <color rgb="FF000000"/>
            <rFont val="Times New Roman"/>
            <family val="18"/>
          </rPr>
          <t>Von March oder ex loco desertiert</t>
        </r>
        <r>
          <rPr>
            <sz val="14"/>
            <color rgb="FF000000"/>
            <rFont val="Times New Roman"/>
            <family val="18"/>
          </rPr>
          <t xml:space="preserve"> [ML 1811]</t>
        </r>
      </text>
    </comment>
    <comment ref="BG1354" authorId="0" shapeId="0" xr:uid="{AE53182F-D51A-0B4F-AE1D-40FC1CFE2354}">
      <text>
        <r>
          <rPr>
            <sz val="14"/>
            <color rgb="FF000000"/>
            <rFont val="Times New Roman"/>
            <family val="18"/>
          </rPr>
          <t>ML 3501/2 IR 39 (1811) – 19. Fus. Komp. Abgang (Ofen 19/09/1811)</t>
        </r>
        <r>
          <rPr>
            <sz val="14"/>
            <color rgb="FF000000"/>
            <rFont val="Calibri"/>
            <family val="34"/>
          </rPr>
          <t xml:space="preserve">
</t>
        </r>
      </text>
    </comment>
    <comment ref="BH1354" authorId="0" shapeId="0" xr:uid="{104FA1FB-DCFC-C24D-8BC3-0E1C1E04F050}">
      <text>
        <r>
          <rPr>
            <sz val="14"/>
            <color rgb="FF000000"/>
            <rFont val="Calibri"/>
            <family val="34"/>
          </rPr>
          <t>IR 39 (1809)</t>
        </r>
      </text>
    </comment>
    <comment ref="BF1355" authorId="0" shapeId="0" xr:uid="{4F701256-8415-B443-8162-A509843D5C4A}">
      <text>
        <r>
          <rPr>
            <sz val="14"/>
            <color rgb="FF000000"/>
            <rFont val="Times New Roman"/>
            <family val="18"/>
          </rPr>
          <t xml:space="preserve">30/08/1809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 xml:space="preserve">Von 20. zur 18.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21/10/1809 </t>
        </r>
        <r>
          <rPr>
            <i/>
            <sz val="14"/>
            <color rgb="FF000000"/>
            <rFont val="Times New Roman"/>
            <family val="18"/>
          </rPr>
          <t>Krank mit auswärtiger Gebühr [</t>
        </r>
        <r>
          <rPr>
            <sz val="14"/>
            <color rgb="FF000000"/>
            <rFont val="Times New Roman"/>
            <family val="18"/>
          </rPr>
          <t>ST Oct 1809]</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t>
        </r>
        <r>
          <rPr>
            <sz val="14"/>
            <color rgb="FF000000"/>
            <rFont val="Times New Roman"/>
            <family val="18"/>
          </rPr>
          <t>[ML 1811]</t>
        </r>
      </text>
    </comment>
    <comment ref="BG1355" authorId="0" shapeId="0" xr:uid="{30975017-E867-B94C-AA47-A62ADF2DAA16}">
      <text>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3550 IR 39 (1809) – ST Oct (Ofen 21/04/1811)</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355" authorId="0" shapeId="0" xr:uid="{272F2A47-1790-954C-A8E5-93B2E9EE5672}">
      <text>
        <r>
          <rPr>
            <sz val="14"/>
            <color rgb="FF000000"/>
            <rFont val="Calibri"/>
            <family val="34"/>
          </rPr>
          <t>IR 39 (1809-1810)</t>
        </r>
      </text>
    </comment>
    <comment ref="BF1356" authorId="0" shapeId="0" xr:uid="{F9BFE3E3-378A-F147-ADA7-4CCDA233B43A}">
      <text>
        <r>
          <rPr>
            <sz val="14"/>
            <color rgb="FF000000"/>
            <rFont val="Times New Roman"/>
            <family val="18"/>
          </rPr>
          <t xml:space="preserve">31/08/1809 </t>
        </r>
        <r>
          <rPr>
            <i/>
            <sz val="14"/>
            <color rgb="FF000000"/>
            <rFont val="Times New Roman"/>
            <family val="18"/>
          </rPr>
          <t>Von Land ohne Entgelt des Araray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10/10/1809 </t>
        </r>
        <r>
          <rPr>
            <i/>
            <sz val="14"/>
            <color rgb="FF000000"/>
            <rFont val="Times New Roman"/>
            <family val="18"/>
          </rPr>
          <t>Von 20.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Kommandiert zu Spital zu Waitzen mit auswärtiger Gebühr</t>
        </r>
        <r>
          <rPr>
            <sz val="14"/>
            <color rgb="FF000000"/>
            <rFont val="Times New Roman"/>
            <family val="18"/>
          </rPr>
          <t xml:space="preserve"> [ST Jan 1811]</t>
        </r>
        <r>
          <rPr>
            <sz val="14"/>
            <color rgb="FF000000"/>
            <rFont val="Calibri"/>
            <family val="34"/>
          </rPr>
          <t xml:space="preserve">
</t>
        </r>
        <r>
          <rPr>
            <sz val="14"/>
            <color rgb="FF000000"/>
            <rFont val="Times New Roman"/>
            <family val="18"/>
          </rPr>
          <t xml:space="preserve">11/03/1810 </t>
        </r>
        <r>
          <rPr>
            <i/>
            <sz val="14"/>
            <color rgb="FF000000"/>
            <rFont val="Times New Roman"/>
            <family val="18"/>
          </rPr>
          <t>In Kompanie eingerückt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17/03/1810 </t>
        </r>
        <r>
          <rPr>
            <i/>
            <sz val="14"/>
            <color rgb="FF000000"/>
            <rFont val="Times New Roman"/>
            <family val="18"/>
          </rPr>
          <t>Krank mit auswärtiger Gebühr</t>
        </r>
        <r>
          <rPr>
            <sz val="14"/>
            <color rgb="FF000000"/>
            <rFont val="Times New Roman"/>
            <family val="18"/>
          </rPr>
          <t xml:space="preserve"> [ST March]</t>
        </r>
        <r>
          <rPr>
            <sz val="14"/>
            <color rgb="FF000000"/>
            <rFont val="Calibri"/>
            <family val="34"/>
          </rPr>
          <t xml:space="preserve">
</t>
        </r>
        <r>
          <rPr>
            <sz val="14"/>
            <color rgb="FF000000"/>
            <rFont val="Times New Roman"/>
            <family val="18"/>
          </rPr>
          <t xml:space="preserve">20/04/1810 </t>
        </r>
        <r>
          <rPr>
            <i/>
            <sz val="14"/>
            <color rgb="FF000000"/>
            <rFont val="Times New Roman"/>
            <family val="18"/>
          </rPr>
          <t>In Spital zu Ofen gestorben</t>
        </r>
        <r>
          <rPr>
            <sz val="14"/>
            <color rgb="FF000000"/>
            <rFont val="Times New Roman"/>
            <family val="18"/>
          </rPr>
          <t xml:space="preserve"> [ML 1811]</t>
        </r>
      </text>
    </comment>
    <comment ref="BG1356" authorId="0" shapeId="0" xr:uid="{CC5FC925-60ED-C242-AEB4-E01761E58A3C}">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3551 IR 39 (1810) – ST Jan (Ofen 03/06/1811), March (Ofen 15/03/1811), April</t>
        </r>
        <r>
          <rPr>
            <sz val="14"/>
            <color rgb="FF000000"/>
            <rFont val="Calibri"/>
            <family val="34"/>
          </rPr>
          <t xml:space="preserve">
</t>
        </r>
        <r>
          <rPr>
            <sz val="14"/>
            <color rgb="FF000000"/>
            <rFont val="Times New Roman"/>
            <family val="18"/>
          </rPr>
          <t> </t>
        </r>
      </text>
    </comment>
    <comment ref="BH1356" authorId="0" shapeId="0" xr:uid="{62B1EFED-4E66-D445-86B5-D493866E6B1B}">
      <text>
        <r>
          <rPr>
            <sz val="14"/>
            <color rgb="FF000000"/>
            <rFont val="Calibri"/>
            <family val="34"/>
          </rPr>
          <t>IR 39 (1809-1810)</t>
        </r>
      </text>
    </comment>
    <comment ref="BF1357" authorId="0" shapeId="0" xr:uid="{3870C1B6-6DD3-E64B-9D55-8F03DCCDAF24}">
      <text>
        <r>
          <rPr>
            <sz val="14"/>
            <color rgb="FF000000"/>
            <rFont val="Times New Roman"/>
            <family val="18"/>
          </rPr>
          <t xml:space="preserve">05/09/1809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20. Zur 13.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01/07/1810 </t>
        </r>
        <r>
          <rPr>
            <i/>
            <sz val="14"/>
            <color rgb="FF000000"/>
            <rFont val="Times New Roman"/>
            <family val="18"/>
          </rPr>
          <t>Kommandiert beurlaubt zu Ziegelschlag zu Komorn</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 xml:space="preserve">31/07/1810 </t>
        </r>
        <r>
          <rPr>
            <i/>
            <sz val="14"/>
            <color rgb="FF000000"/>
            <rFont val="Times New Roman"/>
            <family val="18"/>
          </rPr>
          <t>Desertiert</t>
        </r>
        <r>
          <rPr>
            <sz val="14"/>
            <color rgb="FF000000"/>
            <rFont val="Times New Roman"/>
            <family val="18"/>
          </rPr>
          <t xml:space="preserve"> [ML 1811]</t>
        </r>
      </text>
    </comment>
    <comment ref="BG1357" authorId="0" shapeId="0" xr:uid="{C7DD25E3-7FB3-3D4D-AD02-5A8AB67742FA}">
      <text>
        <r>
          <rPr>
            <sz val="14"/>
            <color rgb="FF000000"/>
            <rFont val="Times New Roman"/>
            <family val="18"/>
          </rPr>
          <t>ML 3501/2 IR 39 (1811) – 13. Fus. Komp. Abgang (Gran 16/09/1811)</t>
        </r>
        <r>
          <rPr>
            <sz val="14"/>
            <color rgb="FF000000"/>
            <rFont val="Calibri"/>
            <family val="34"/>
          </rPr>
          <t xml:space="preserve">
</t>
        </r>
        <r>
          <rPr>
            <sz val="14"/>
            <color rgb="FF000000"/>
            <rFont val="Times New Roman"/>
            <family val="18"/>
          </rPr>
          <t>ML 3551 IR 39 (1810) – ST July, Aug</t>
        </r>
      </text>
    </comment>
    <comment ref="BH1357" authorId="0" shapeId="0" xr:uid="{E6D49648-7AD7-5D49-8BD4-FDB49EC4C00F}">
      <text>
        <r>
          <rPr>
            <sz val="14"/>
            <color rgb="FF000000"/>
            <rFont val="Calibri"/>
            <family val="34"/>
          </rPr>
          <t>IR 39 (1809-1810)</t>
        </r>
      </text>
    </comment>
    <comment ref="BF1358" authorId="0" shapeId="0" xr:uid="{9A4D9899-E3FC-8445-BC6F-85DD02AD75D4}">
      <text>
        <r>
          <rPr>
            <sz val="14"/>
            <color rgb="FF000000"/>
            <rFont val="Times New Roman"/>
            <family val="18"/>
          </rPr>
          <t xml:space="preserve">05/09/1809 </t>
        </r>
        <r>
          <rPr>
            <i/>
            <sz val="14"/>
            <color rgb="FF000000"/>
            <rFont val="Times New Roman"/>
            <family val="18"/>
          </rPr>
          <t>Von Pfarre Samson</t>
        </r>
        <r>
          <rPr>
            <sz val="14"/>
            <color rgb="FF000000"/>
            <rFont val="Times New Roman"/>
            <family val="18"/>
          </rPr>
          <t xml:space="preserve"> </t>
        </r>
        <r>
          <rPr>
            <b/>
            <sz val="14"/>
            <color rgb="FF000000"/>
            <rFont val="Times New Roman"/>
            <family val="18"/>
          </rPr>
          <t>[</t>
        </r>
        <r>
          <rPr>
            <b/>
            <u/>
            <sz val="14"/>
            <color rgb="FF0563C1"/>
            <rFont val="Times New Roman"/>
            <family val="18"/>
          </rPr>
          <t>Hajdúsámson, Hungary</t>
        </r>
        <r>
          <rPr>
            <b/>
            <sz val="14"/>
            <color rgb="FF000000"/>
            <rFont val="Times New Roman"/>
            <family val="18"/>
          </rPr>
          <t>]</t>
        </r>
        <r>
          <rPr>
            <sz val="14"/>
            <color rgb="FF000000"/>
            <rFont val="Times New Roman"/>
            <family val="18"/>
          </rPr>
          <t xml:space="preserve">  </t>
        </r>
        <r>
          <rPr>
            <i/>
            <sz val="14"/>
            <color rgb="FF000000"/>
            <rFont val="Times New Roman"/>
            <family val="18"/>
          </rPr>
          <t>Hr. von Miskolzki Biharer Comitat als landständischer Recrout gestellt, zum IR 37 assentiert, und zur 2. Depot Komp. eingeheilt</t>
        </r>
        <r>
          <rPr>
            <sz val="14"/>
            <color rgb="FF000000"/>
            <rFont val="Times New Roman"/>
            <family val="18"/>
          </rPr>
          <t xml:space="preserve"> [AL Sept 1809 &amp; ST Sept 1809]</t>
        </r>
        <r>
          <rPr>
            <sz val="14"/>
            <color rgb="FF000000"/>
            <rFont val="Calibri"/>
            <family val="34"/>
          </rPr>
          <t xml:space="preserve">
</t>
        </r>
      </text>
    </comment>
    <comment ref="BG1358" authorId="0" shapeId="0" xr:uid="{3902DEA3-4EA3-3546-9DDE-575DE8380283}">
      <text>
        <r>
          <rPr>
            <sz val="14"/>
            <color rgb="FF000000"/>
            <rFont val="Times New Roman"/>
            <family val="18"/>
          </rPr>
          <t>ML 3440 IR 37 (1809) – AL Nr. 38 (Gorsswardein 25/09/1809); ST Sept (1809 10/10/1810)</t>
        </r>
        <r>
          <rPr>
            <sz val="14"/>
            <color rgb="FF000000"/>
            <rFont val="Calibri"/>
            <family val="34"/>
          </rPr>
          <t xml:space="preserve">
</t>
        </r>
      </text>
    </comment>
    <comment ref="BH1358" authorId="0" shapeId="0" xr:uid="{4757B786-0E03-884E-BD51-BBB8075DB5F0}">
      <text>
        <r>
          <rPr>
            <sz val="14"/>
            <color rgb="FF000000"/>
            <rFont val="Calibri"/>
            <family val="34"/>
          </rPr>
          <t>HR 12 (1809)</t>
        </r>
      </text>
    </comment>
    <comment ref="BF1359" authorId="0" shapeId="0" xr:uid="{566C8E62-7832-FA4C-8945-4A49C3517DD1}">
      <text>
        <r>
          <rPr>
            <sz val="14"/>
            <color rgb="FF000000"/>
            <rFont val="Times New Roman"/>
            <family val="18"/>
          </rPr>
          <t xml:space="preserve">11/09/1809 </t>
        </r>
        <r>
          <rPr>
            <i/>
            <sz val="14"/>
            <color rgb="FF000000"/>
            <rFont val="Times New Roman"/>
            <family val="18"/>
          </rPr>
          <t>A 30Fl Handgeld von Land auf Kriegsdauer gestellt, zum IR 39 assentiert und zur 19. Fus. Komp eingeteilt</t>
        </r>
        <r>
          <rPr>
            <sz val="14"/>
            <color rgb="FF000000"/>
            <rFont val="Times New Roman"/>
            <family val="18"/>
          </rPr>
          <t xml:space="preserve"> [ML 1811 &amp; TL Sept 1810]</t>
        </r>
        <r>
          <rPr>
            <sz val="14"/>
            <color rgb="FF000000"/>
            <rFont val="Aptos"/>
            <family val="34"/>
          </rPr>
          <t xml:space="preserve">
</t>
        </r>
        <r>
          <rPr>
            <sz val="14"/>
            <color rgb="FF000000"/>
            <rFont val="Times New Roman"/>
            <family val="18"/>
          </rPr>
          <t xml:space="preserve">15/10/1809 </t>
        </r>
        <r>
          <rPr>
            <i/>
            <sz val="14"/>
            <color rgb="FF000000"/>
            <rFont val="Times New Roman"/>
            <family val="18"/>
          </rPr>
          <t>Von 19. zum 4.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11/12/1809 </t>
        </r>
        <r>
          <rPr>
            <i/>
            <sz val="14"/>
            <color rgb="FF000000"/>
            <rFont val="Times New Roman"/>
            <family val="18"/>
          </rPr>
          <t>Auf Marsch Nach Szegedin als Krankenwärter</t>
        </r>
        <r>
          <rPr>
            <sz val="14"/>
            <color rgb="FF000000"/>
            <rFont val="Times New Roman"/>
            <family val="18"/>
          </rPr>
          <t xml:space="preserve"> [ST Dec 1809]</t>
        </r>
        <r>
          <rPr>
            <sz val="14"/>
            <color rgb="FF000000"/>
            <rFont val="Aptos"/>
            <family val="34"/>
          </rPr>
          <t xml:space="preserve">
</t>
        </r>
        <r>
          <rPr>
            <sz val="14"/>
            <color rgb="FF000000"/>
            <rFont val="Times New Roman"/>
            <family val="18"/>
          </rPr>
          <t xml:space="preserve">05/01/1810 </t>
        </r>
        <r>
          <rPr>
            <i/>
            <sz val="14"/>
            <color rgb="FF000000"/>
            <rFont val="Times New Roman"/>
            <family val="18"/>
          </rPr>
          <t>Von IR 39 4. Fus. Komp. zum HFS 44 transferiert</t>
        </r>
        <r>
          <rPr>
            <sz val="14"/>
            <color rgb="FF000000"/>
            <rFont val="Times New Roman"/>
            <family val="18"/>
          </rPr>
          <t xml:space="preserve"> [ST Feb 1810]</t>
        </r>
        <r>
          <rPr>
            <sz val="14"/>
            <color rgb="FF000000"/>
            <rFont val="Aptos"/>
            <family val="34"/>
          </rPr>
          <t xml:space="preserve">
</t>
        </r>
        <r>
          <rPr>
            <sz val="14"/>
            <color rgb="FF000000"/>
            <rFont val="Times New Roman"/>
            <family val="18"/>
          </rPr>
          <t xml:space="preserve">26/05/1810 </t>
        </r>
        <r>
          <rPr>
            <i/>
            <sz val="14"/>
            <color rgb="FF000000"/>
            <rFont val="Times New Roman"/>
            <family val="18"/>
          </rPr>
          <t>Von Spital Stand zurück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4. Fus. Komp zum IR 62 2. Fus. Komp. transferiert 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359" authorId="0" shapeId="0" xr:uid="{23E97AFC-DC20-E74C-B2DD-07B7AE2B9AFC}">
      <text>
        <r>
          <rPr>
            <sz val="14"/>
            <color rgb="FF000000"/>
            <rFont val="Times New Roman"/>
            <family val="18"/>
          </rPr>
          <t>ML 3501/2 IR 39 (1811) – 4. Fus. Komp. Abgang (Szent Andree 14/09/1811)</t>
        </r>
        <r>
          <rPr>
            <sz val="14"/>
            <color rgb="FF000000"/>
            <rFont val="Aptos"/>
            <family val="34"/>
          </rPr>
          <t xml:space="preserve">
</t>
        </r>
        <r>
          <rPr>
            <sz val="14"/>
            <color rgb="FF000000"/>
            <rFont val="Times New Roman"/>
            <family val="18"/>
          </rPr>
          <t>ML 3551 IR 39 (1810) – ST Dec (Ofen 21/05/1811)</t>
        </r>
        <r>
          <rPr>
            <sz val="14"/>
            <color rgb="FF000000"/>
            <rFont val="Aptos"/>
            <family val="34"/>
          </rPr>
          <t xml:space="preserve">
</t>
        </r>
        <r>
          <rPr>
            <sz val="14"/>
            <color rgb="FF000000"/>
            <rFont val="Times New Roman"/>
            <family val="18"/>
          </rPr>
          <t>ML 3551 IR 39 (1810) – ST Jan (Ofen 03/06/1811), Feb (08/03/1811)</t>
        </r>
        <r>
          <rPr>
            <sz val="14"/>
            <color rgb="FF000000"/>
            <rFont val="Aptos"/>
            <family val="34"/>
          </rPr>
          <t xml:space="preserve">
</t>
        </r>
        <r>
          <rPr>
            <sz val="14"/>
            <color rgb="FF000000"/>
            <rFont val="Times New Roman"/>
            <family val="18"/>
          </rPr>
          <t>ML 5223 IR 62 (1810) – TL IR 39-&gt;IR 62 Nr. 22 (Ofen 07/09/1810); ST July (03/03/1811), Sept (Tamesvar 07/04/1811)</t>
        </r>
        <r>
          <rPr>
            <sz val="14"/>
            <color rgb="FF000000"/>
            <rFont val="Aptos"/>
            <family val="34"/>
          </rPr>
          <t xml:space="preserve">
</t>
        </r>
      </text>
    </comment>
    <comment ref="BH1359" authorId="0" shapeId="0" xr:uid="{8C48E273-741F-5C49-89C2-C8032D2DB4BA}">
      <text>
        <r>
          <rPr>
            <sz val="14"/>
            <color rgb="FF000000"/>
            <rFont val="Calibri"/>
            <family val="34"/>
          </rPr>
          <t xml:space="preserve">IR 39 (1809-1810)
</t>
        </r>
        <r>
          <rPr>
            <sz val="14"/>
            <color rgb="FF000000"/>
            <rFont val="Calibri"/>
            <family val="34"/>
          </rPr>
          <t xml:space="preserve">HFS 44 (1810)
</t>
        </r>
        <r>
          <rPr>
            <sz val="14"/>
            <color rgb="FF000000"/>
            <rFont val="Calibri"/>
            <family val="34"/>
          </rPr>
          <t xml:space="preserve">IR 39 (1810)
</t>
        </r>
        <r>
          <rPr>
            <sz val="14"/>
            <color rgb="FF000000"/>
            <rFont val="Calibri"/>
            <family val="34"/>
          </rPr>
          <t>IR 62 (1810)</t>
        </r>
      </text>
    </comment>
    <comment ref="BF1360" authorId="0" shapeId="0" xr:uid="{37B8FB7E-A375-0846-A32B-C2F0F90F802F}">
      <text>
        <r>
          <rPr>
            <sz val="14"/>
            <color rgb="FF000000"/>
            <rFont val="Times New Roman"/>
            <family val="18"/>
          </rPr>
          <t xml:space="preserve">11/09/1809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15/10/1809 </t>
        </r>
        <r>
          <rPr>
            <i/>
            <sz val="14"/>
            <color rgb="FF000000"/>
            <rFont val="Times New Roman"/>
            <family val="18"/>
          </rPr>
          <t>Von 19. Zum 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10/05/1811 </t>
        </r>
        <r>
          <rPr>
            <i/>
            <sz val="14"/>
            <color rgb="FF000000"/>
            <rFont val="Times New Roman"/>
            <family val="18"/>
          </rPr>
          <t>Als Kriegscapitulant mit Abschied entlassen</t>
        </r>
        <r>
          <rPr>
            <sz val="14"/>
            <color rgb="FF000000"/>
            <rFont val="Times New Roman"/>
            <family val="18"/>
          </rPr>
          <t xml:space="preserve"> [ML 1811]</t>
        </r>
      </text>
    </comment>
    <comment ref="BG1360" authorId="0" shapeId="0" xr:uid="{1EE4E079-5B74-A347-A583-A4869639637A}">
      <text>
        <r>
          <rPr>
            <sz val="14"/>
            <color rgb="FF000000"/>
            <rFont val="Times New Roman"/>
            <family val="18"/>
          </rPr>
          <t>ML 3501/2 IR 39 (1811) – 6. Fus. Komp. Abgang (Szent Andree 14/09/1811)</t>
        </r>
        <r>
          <rPr>
            <sz val="14"/>
            <color rgb="FF000000"/>
            <rFont val="Calibri"/>
            <family val="34"/>
          </rPr>
          <t xml:space="preserve">
</t>
        </r>
      </text>
    </comment>
    <comment ref="BH1360" authorId="0" shapeId="0" xr:uid="{4B77883B-29C8-284C-88ED-EAB593438A64}">
      <text>
        <r>
          <rPr>
            <sz val="14"/>
            <color rgb="FF000000"/>
            <rFont val="Calibri"/>
            <family val="34"/>
          </rPr>
          <t>IR 39 (1809-1811)</t>
        </r>
      </text>
    </comment>
    <comment ref="BF1361" authorId="0" shapeId="0" xr:uid="{A6F869A5-1531-6E4C-9F22-EC9181C19695}">
      <text>
        <r>
          <rPr>
            <sz val="14"/>
            <color rgb="FF000000"/>
            <rFont val="Times New Roman"/>
            <family val="18"/>
          </rPr>
          <t xml:space="preserve">11/09/1809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15/10/1809 </t>
        </r>
        <r>
          <rPr>
            <i/>
            <sz val="14"/>
            <color rgb="FF000000"/>
            <rFont val="Times New Roman"/>
            <family val="18"/>
          </rPr>
          <t>Von 19. Zum 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13/10/1810 </t>
        </r>
        <r>
          <rPr>
            <i/>
            <sz val="14"/>
            <color rgb="FF000000"/>
            <rFont val="Times New Roman"/>
            <family val="18"/>
          </rPr>
          <t>Krank mit auswärtiger Gebühr [</t>
        </r>
        <r>
          <rPr>
            <sz val="14"/>
            <color rgb="FF000000"/>
            <rFont val="Times New Roman"/>
            <family val="18"/>
          </rPr>
          <t>ST Oct 1810]</t>
        </r>
        <r>
          <rPr>
            <sz val="14"/>
            <color rgb="FF000000"/>
            <rFont val="Calibri"/>
            <family val="34"/>
          </rPr>
          <t xml:space="preserve">
</t>
        </r>
        <r>
          <rPr>
            <sz val="14"/>
            <color rgb="FF000000"/>
            <rFont val="Times New Roman"/>
            <family val="18"/>
          </rPr>
          <t xml:space="preserve">26/10/1810 </t>
        </r>
        <r>
          <rPr>
            <i/>
            <sz val="14"/>
            <color rgb="FF000000"/>
            <rFont val="Times New Roman"/>
            <family val="18"/>
          </rPr>
          <t>Rekonvalesziert</t>
        </r>
        <r>
          <rPr>
            <sz val="14"/>
            <color rgb="FF000000"/>
            <rFont val="Times New Roman"/>
            <family val="18"/>
          </rPr>
          <t xml:space="preserve"> [ST Oct 1810]</t>
        </r>
        <r>
          <rPr>
            <sz val="14"/>
            <color rgb="FF000000"/>
            <rFont val="Calibri"/>
            <family val="34"/>
          </rPr>
          <t xml:space="preserve">
</t>
        </r>
        <r>
          <rPr>
            <sz val="14"/>
            <color rgb="FF000000"/>
            <rFont val="Times New Roman"/>
            <family val="18"/>
          </rPr>
          <t xml:space="preserve">10/05/1811 </t>
        </r>
        <r>
          <rPr>
            <i/>
            <sz val="14"/>
            <color rgb="FF000000"/>
            <rFont val="Times New Roman"/>
            <family val="18"/>
          </rPr>
          <t>Als Kriegscapitulant mit Abschied entlassen</t>
        </r>
        <r>
          <rPr>
            <sz val="14"/>
            <color rgb="FF000000"/>
            <rFont val="Times New Roman"/>
            <family val="18"/>
          </rPr>
          <t xml:space="preserve"> [ML 1811]</t>
        </r>
      </text>
    </comment>
    <comment ref="BG1361" authorId="0" shapeId="0" xr:uid="{0D92CE19-EA72-1048-A32D-AC0F2BF6203C}">
      <text>
        <r>
          <rPr>
            <sz val="14"/>
            <color rgb="FF000000"/>
            <rFont val="Times New Roman"/>
            <family val="18"/>
          </rPr>
          <t>ML 3501/2 IR 39 (1811) – 6. Fus. Komp. Abgang (Szent Andree 14/09/1811)</t>
        </r>
        <r>
          <rPr>
            <sz val="14"/>
            <color rgb="FF000000"/>
            <rFont val="Calibri"/>
            <family val="34"/>
          </rPr>
          <t xml:space="preserve">
</t>
        </r>
        <r>
          <rPr>
            <sz val="14"/>
            <color rgb="FF000000"/>
            <rFont val="Times New Roman"/>
            <family val="18"/>
          </rPr>
          <t>ML 3551 IR 39 (1810) – ST Oct (18/12/1811)</t>
        </r>
      </text>
    </comment>
    <comment ref="BH1361" authorId="0" shapeId="0" xr:uid="{4E51339F-DCF5-D544-B27E-7A503C3F9672}">
      <text>
        <r>
          <rPr>
            <sz val="14"/>
            <color rgb="FF000000"/>
            <rFont val="Calibri"/>
            <family val="34"/>
          </rPr>
          <t>IR 39 (1809-1811)</t>
        </r>
      </text>
    </comment>
    <comment ref="BF1362" authorId="0" shapeId="0" xr:uid="{2717CB48-0125-C549-A89C-809C4F0D7008}">
      <text>
        <r>
          <rPr>
            <sz val="14"/>
            <color rgb="FF000000"/>
            <rFont val="Times New Roman"/>
            <family val="18"/>
          </rPr>
          <t xml:space="preserve">11/09/1809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15/10/1809 </t>
        </r>
        <r>
          <rPr>
            <i/>
            <sz val="14"/>
            <color rgb="FF000000"/>
            <rFont val="Times New Roman"/>
            <family val="18"/>
          </rPr>
          <t>Von 19. Zum 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Kommandiert zu Spital zu Waitzen</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12/02/1810 </t>
        </r>
        <r>
          <rPr>
            <i/>
            <sz val="14"/>
            <color rgb="FF000000"/>
            <rFont val="Times New Roman"/>
            <family val="18"/>
          </rPr>
          <t>Auf Kommando in Waitzen gestorben</t>
        </r>
        <r>
          <rPr>
            <sz val="14"/>
            <color rgb="FF000000"/>
            <rFont val="Times New Roman"/>
            <family val="18"/>
          </rPr>
          <t xml:space="preserve"> [ST Feb 1810]</t>
        </r>
        <r>
          <rPr>
            <sz val="14"/>
            <color rgb="FF000000"/>
            <rFont val="Calibri"/>
            <family val="34"/>
          </rPr>
          <t xml:space="preserve">
</t>
        </r>
      </text>
    </comment>
    <comment ref="BG1362" authorId="0" shapeId="0" xr:uid="{0FB0FC28-83F2-2F43-88E2-C4CD4A0DFA6F}">
      <text>
        <r>
          <rPr>
            <sz val="14"/>
            <color rgb="FF000000"/>
            <rFont val="Times New Roman"/>
            <family val="18"/>
          </rPr>
          <t>ML 3501/2 IR 39 (1811) – 6. Fus. Komp. Abgang (Szent Andree 14/09/1811)</t>
        </r>
        <r>
          <rPr>
            <sz val="14"/>
            <color rgb="FF000000"/>
            <rFont val="Calibri"/>
            <family val="34"/>
          </rPr>
          <t xml:space="preserve">
</t>
        </r>
        <r>
          <rPr>
            <sz val="14"/>
            <color rgb="FF000000"/>
            <rFont val="Times New Roman"/>
            <family val="18"/>
          </rPr>
          <t>ML 3551 IR 39 (1810) – ST Jan (Ofen 03/06/1811), Feb (Ofen 06/06/1811)</t>
        </r>
        <r>
          <rPr>
            <sz val="14"/>
            <color rgb="FF000000"/>
            <rFont val="Calibri"/>
            <family val="34"/>
          </rPr>
          <t xml:space="preserve">
</t>
        </r>
      </text>
    </comment>
    <comment ref="BH1362" authorId="0" shapeId="0" xr:uid="{CF2B08DA-B08E-2041-B934-FE4315CC7917}">
      <text>
        <r>
          <rPr>
            <sz val="14"/>
            <color rgb="FF000000"/>
            <rFont val="Calibri"/>
            <family val="34"/>
          </rPr>
          <t>IR 39 (1809-1810)</t>
        </r>
      </text>
    </comment>
    <comment ref="BF1363" authorId="0" shapeId="0" xr:uid="{744D3668-FC24-7748-89EF-6C28E48860F7}">
      <text>
        <r>
          <rPr>
            <sz val="14"/>
            <color rgb="FF000000"/>
            <rFont val="Times New Roman"/>
            <family val="18"/>
          </rPr>
          <t xml:space="preserve">14/09/1809 </t>
        </r>
        <r>
          <rPr>
            <i/>
            <sz val="14"/>
            <color rgb="FF000000"/>
            <rFont val="Times New Roman"/>
            <family val="18"/>
          </rPr>
          <t>In Regiment eingerückt und zum 2.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01/10/1809 </t>
        </r>
        <r>
          <rPr>
            <i/>
            <sz val="14"/>
            <color rgb="FF000000"/>
            <rFont val="Times New Roman"/>
            <family val="18"/>
          </rPr>
          <t>In Arrest a 4Xr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Von Arrest Befreit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11/02/1810 </t>
        </r>
        <r>
          <rPr>
            <i/>
            <sz val="14"/>
            <color rgb="FF000000"/>
            <rFont val="Times New Roman"/>
            <family val="18"/>
          </rPr>
          <t>In Arrest a 4Xr</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21/06/1810 </t>
        </r>
        <r>
          <rPr>
            <i/>
            <sz val="14"/>
            <color rgb="FF000000"/>
            <rFont val="Times New Roman"/>
            <family val="18"/>
          </rPr>
          <t>Krank in auswärtiger Spital</t>
        </r>
        <r>
          <rPr>
            <sz val="14"/>
            <color rgb="FF000000"/>
            <rFont val="Times New Roman"/>
            <family val="18"/>
          </rPr>
          <t xml:space="preserve"> [ST June 1810]</t>
        </r>
        <r>
          <rPr>
            <sz val="14"/>
            <color rgb="FF000000"/>
            <rFont val="Calibri"/>
            <family val="34"/>
          </rPr>
          <t xml:space="preserve">
</t>
        </r>
        <r>
          <rPr>
            <sz val="14"/>
            <color rgb="FF000000"/>
            <rFont val="Times New Roman"/>
            <family val="18"/>
          </rPr>
          <t xml:space="preserve">01/07/1810 </t>
        </r>
        <r>
          <rPr>
            <i/>
            <sz val="14"/>
            <color rgb="FF000000"/>
            <rFont val="Times New Roman"/>
            <family val="18"/>
          </rPr>
          <t xml:space="preserve">Wieder in Arrest </t>
        </r>
        <r>
          <rPr>
            <sz val="14"/>
            <color rgb="FF000000"/>
            <rFont val="Times New Roman"/>
            <family val="18"/>
          </rPr>
          <t>[ST July 1810]</t>
        </r>
        <r>
          <rPr>
            <sz val="14"/>
            <color rgb="FF000000"/>
            <rFont val="Calibri"/>
            <family val="34"/>
          </rPr>
          <t xml:space="preserve">
</t>
        </r>
        <r>
          <rPr>
            <sz val="14"/>
            <color rgb="FF000000"/>
            <rFont val="Times New Roman"/>
            <family val="18"/>
          </rPr>
          <t xml:space="preserve">23/05/1811 </t>
        </r>
        <r>
          <rPr>
            <i/>
            <sz val="14"/>
            <color rgb="FF000000"/>
            <rFont val="Times New Roman"/>
            <family val="18"/>
          </rPr>
          <t>Zur Schatz Arbeit condemniert</t>
        </r>
        <r>
          <rPr>
            <sz val="14"/>
            <color rgb="FF000000"/>
            <rFont val="Times New Roman"/>
            <family val="18"/>
          </rPr>
          <t xml:space="preserve"> [ML 1811]</t>
        </r>
        <r>
          <rPr>
            <sz val="14"/>
            <color rgb="FF000000"/>
            <rFont val="Calibri"/>
            <family val="34"/>
          </rPr>
          <t xml:space="preserve">
</t>
        </r>
      </text>
    </comment>
    <comment ref="BG1363" authorId="0" shapeId="0" xr:uid="{3DD6871F-40DB-664C-AEE3-7584E218B7CF}">
      <text>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3550 IR 39 (1809) – Oct (Ofen 21/04/1811), Nov (Ofen 28/04/1811)</t>
        </r>
        <r>
          <rPr>
            <sz val="14"/>
            <color rgb="FF000000"/>
            <rFont val="Calibri"/>
            <family val="34"/>
          </rPr>
          <t xml:space="preserve">
</t>
        </r>
        <r>
          <rPr>
            <sz val="14"/>
            <color rgb="FF000000"/>
            <rFont val="Times New Roman"/>
            <family val="18"/>
          </rPr>
          <t>ML 3551 IR 39 (1810) – Feb (06/06/1811), June, July</t>
        </r>
        <r>
          <rPr>
            <sz val="14"/>
            <color rgb="FF000000"/>
            <rFont val="Calibri"/>
            <family val="34"/>
          </rPr>
          <t xml:space="preserve">
</t>
        </r>
      </text>
    </comment>
    <comment ref="BH1363" authorId="0" shapeId="0" xr:uid="{54B05FDC-A110-C94B-9FCA-E2A3EC96BBDF}">
      <text>
        <r>
          <rPr>
            <sz val="14"/>
            <color rgb="FF000000"/>
            <rFont val="Calibri"/>
            <family val="34"/>
          </rPr>
          <t>IR 39 (1809-1811)</t>
        </r>
      </text>
    </comment>
    <comment ref="BF1364" authorId="0" shapeId="0" xr:uid="{3B28AA73-E298-934D-AC5B-1547092CAE14}">
      <text>
        <r>
          <rPr>
            <sz val="14"/>
            <color rgb="FF000000"/>
            <rFont val="Times New Roman"/>
            <family val="18"/>
          </rPr>
          <t xml:space="preserve">15/09/1809 </t>
        </r>
        <r>
          <rPr>
            <i/>
            <sz val="14"/>
            <color rgb="FF000000"/>
            <rFont val="Times New Roman"/>
            <family val="18"/>
          </rPr>
          <t>Als ärztliche Praktikant in HFS 32 assentiert</t>
        </r>
        <r>
          <rPr>
            <sz val="14"/>
            <color rgb="FF000000"/>
            <rFont val="Times New Roman"/>
            <family val="18"/>
          </rPr>
          <t xml:space="preserve"> [Verpf.-Ent Sept 1809]
</t>
        </r>
        <r>
          <rPr>
            <sz val="14"/>
            <color rgb="FF000000"/>
            <rFont val="Times New Roman"/>
            <family val="18"/>
          </rPr>
          <t xml:space="preserve">10/03/1810 </t>
        </r>
        <r>
          <rPr>
            <i/>
            <sz val="14"/>
            <color rgb="FF000000"/>
            <rFont val="Times New Roman"/>
            <family val="18"/>
          </rPr>
          <t>Mit Abschied entlassen</t>
        </r>
        <r>
          <rPr>
            <sz val="14"/>
            <color rgb="FF000000"/>
            <rFont val="Times New Roman"/>
            <family val="18"/>
          </rPr>
          <t xml:space="preserve"> [Ent-Cons. März 1810 &amp; Veprf. März 1810]
</t>
        </r>
      </text>
    </comment>
    <comment ref="BG1364" authorId="0" shapeId="0" xr:uid="{C32F8195-0FA6-C746-A18E-E51D58B31531}">
      <text>
        <r>
          <rPr>
            <sz val="14"/>
            <color rgb="FF000000"/>
            <rFont val="Times New Roman"/>
            <family val="18"/>
          </rPr>
          <t xml:space="preserve">ST 11.994 HFS (1809-14) – Ent-Cons. Nr. 3 (Opočno 08/03/1810); VerpfL (Opočno 30/07/1810)
</t>
        </r>
      </text>
    </comment>
    <comment ref="BH1364" authorId="0" shapeId="0" xr:uid="{A1CDB848-F84B-544E-9BF2-EB144DC3A2EF}">
      <text>
        <r>
          <rPr>
            <sz val="14"/>
            <color rgb="FF000000"/>
            <rFont val="Calibri"/>
            <family val="34"/>
          </rPr>
          <t>HFS 32 (1809-1810)</t>
        </r>
      </text>
    </comment>
    <comment ref="BF1365" authorId="0" shapeId="0" xr:uid="{96FDDC9D-4EAE-F549-93D8-757302FD71EA}">
      <text>
        <r>
          <rPr>
            <sz val="14"/>
            <color rgb="FF000000"/>
            <rFont val="Times New Roman"/>
            <family val="18"/>
          </rPr>
          <t xml:space="preserve">16/09/1809 </t>
        </r>
        <r>
          <rPr>
            <i/>
            <sz val="14"/>
            <color rgb="FF000000"/>
            <rFont val="Times New Roman"/>
            <family val="18"/>
          </rPr>
          <t>A 30Fl Handgeld von Land zum IR 39 gestellt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19. zum 11.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15/09/1810 </t>
        </r>
        <r>
          <rPr>
            <i/>
            <sz val="14"/>
            <color rgb="FF000000"/>
            <rFont val="Times New Roman"/>
            <family val="18"/>
          </rPr>
          <t>Als Kriegs Capitulant mit Abschied entlassen</t>
        </r>
        <r>
          <rPr>
            <sz val="14"/>
            <color rgb="FF000000"/>
            <rFont val="Times New Roman"/>
            <family val="18"/>
          </rPr>
          <t xml:space="preserve"> [ML 1811]</t>
        </r>
        <r>
          <rPr>
            <sz val="14"/>
            <color rgb="FF000000"/>
            <rFont val="Calibri"/>
            <family val="34"/>
          </rPr>
          <t xml:space="preserve">
</t>
        </r>
      </text>
    </comment>
    <comment ref="BG1365" authorId="0" shapeId="0" xr:uid="{EB7D8356-4F56-C94D-9E7C-5765B67A42E1}">
      <text>
        <r>
          <rPr>
            <sz val="14"/>
            <color rgb="FF000000"/>
            <rFont val="Times New Roman"/>
            <family val="18"/>
          </rPr>
          <t>ML 3501/2 IR 39 (1811) – 11. Fus. Komp. Abgang (Ofen 19/09/1811)</t>
        </r>
        <r>
          <rPr>
            <sz val="14"/>
            <color rgb="FF000000"/>
            <rFont val="Calibri"/>
            <family val="34"/>
          </rPr>
          <t xml:space="preserve">
</t>
        </r>
      </text>
    </comment>
    <comment ref="BH1365" authorId="0" shapeId="0" xr:uid="{9B164DBF-EEDB-1246-B000-CEDA37C08BC8}">
      <text>
        <r>
          <rPr>
            <sz val="14"/>
            <color rgb="FF000000"/>
            <rFont val="Calibri"/>
            <family val="34"/>
          </rPr>
          <t>IR 39 (1809-1810)</t>
        </r>
      </text>
    </comment>
    <comment ref="BF1366" authorId="0" shapeId="0" xr:uid="{B0A0B4A9-3B92-004A-9E13-A00896B9D73A}">
      <text>
        <r>
          <rPr>
            <sz val="14"/>
            <color rgb="FF000000"/>
            <rFont val="Times New Roman"/>
            <family val="18"/>
          </rPr>
          <t xml:space="preserve">16/09/1809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zugeheilt</t>
        </r>
        <r>
          <rPr>
            <sz val="14"/>
            <color rgb="FF000000"/>
            <rFont val="Times New Roman"/>
            <family val="18"/>
          </rPr>
          <t xml:space="preserve"> [AL Sept 1809 &amp; ST Sept 1809]</t>
        </r>
        <r>
          <rPr>
            <sz val="14"/>
            <color rgb="FF000000"/>
            <rFont val="Calibri"/>
            <family val="34"/>
          </rPr>
          <t xml:space="preserve">
</t>
        </r>
      </text>
    </comment>
    <comment ref="BG1366" authorId="0" shapeId="0" xr:uid="{BC14AFDD-A85B-F147-944F-A5A13C1774C0}">
      <text>
        <r>
          <rPr>
            <sz val="14"/>
            <color rgb="FF000000"/>
            <rFont val="Times New Roman"/>
            <family val="18"/>
          </rPr>
          <t>ML 3440 IR 37 (1809) – AL Nr. 89 (Gorsswardein 25/09/1809); ST Sept (1809 10/10/1810), ST Okt (Tarnow 15/01/1811)</t>
        </r>
        <r>
          <rPr>
            <sz val="14"/>
            <color rgb="FF000000"/>
            <rFont val="Calibri"/>
            <family val="34"/>
          </rPr>
          <t xml:space="preserve">
</t>
        </r>
      </text>
    </comment>
    <comment ref="BH1366" authorId="0" shapeId="0" xr:uid="{C5F95755-B52A-F54C-ACE1-AE2DAF59C486}">
      <text>
        <r>
          <rPr>
            <sz val="14"/>
            <color rgb="FF000000"/>
            <rFont val="Calibri"/>
            <family val="34"/>
          </rPr>
          <t>HR 37 (1809)</t>
        </r>
      </text>
    </comment>
    <comment ref="BF1367" authorId="0" shapeId="0" xr:uid="{A60247D0-E2E7-B84F-957A-25A151260A3B}">
      <text>
        <r>
          <rPr>
            <sz val="14"/>
            <color rgb="FF000000"/>
            <rFont val="Times New Roman"/>
            <family val="18"/>
          </rPr>
          <t xml:space="preserve">22/09/1809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eingeheilt</t>
        </r>
        <r>
          <rPr>
            <sz val="14"/>
            <color rgb="FF000000"/>
            <rFont val="Times New Roman"/>
            <family val="18"/>
          </rPr>
          <t xml:space="preserve"> [AL Sept 1809 &amp; ST Sept 1809]</t>
        </r>
        <r>
          <rPr>
            <sz val="14"/>
            <color rgb="FF000000"/>
            <rFont val="Calibri"/>
            <family val="34"/>
          </rPr>
          <t xml:space="preserve">
</t>
        </r>
      </text>
    </comment>
    <comment ref="BG1367" authorId="0" shapeId="0" xr:uid="{C186DB43-4347-E148-9B7D-EFB6E83F7A53}">
      <text>
        <r>
          <rPr>
            <sz val="14"/>
            <color rgb="FF000000"/>
            <rFont val="Times New Roman"/>
            <family val="18"/>
          </rPr>
          <t>ML 3440 IR 37 (1809) – AL Nr. 121 (Gorsswardein 25/09/1809); ST Sept (1809 10/10/1810)</t>
        </r>
        <r>
          <rPr>
            <sz val="14"/>
            <color rgb="FF000000"/>
            <rFont val="Calibri"/>
            <family val="2"/>
          </rPr>
          <t xml:space="preserve"> </t>
        </r>
      </text>
    </comment>
    <comment ref="BH1367" authorId="0" shapeId="0" xr:uid="{E32E9622-856C-944F-9C31-C70579C5CCF1}">
      <text>
        <r>
          <rPr>
            <sz val="14"/>
            <color rgb="FF000000"/>
            <rFont val="Calibri"/>
            <family val="34"/>
          </rPr>
          <t>IR 37 (1809)</t>
        </r>
      </text>
    </comment>
    <comment ref="BF1368" authorId="0" shapeId="0" xr:uid="{38D7AFE7-D28C-2E44-A7B3-24A83155BB35}">
      <text>
        <r>
          <rPr>
            <sz val="14"/>
            <color rgb="FF000000"/>
            <rFont val="Times New Roman"/>
            <family val="18"/>
          </rPr>
          <t xml:space="preserve">22/09/1809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eingeheilt</t>
        </r>
        <r>
          <rPr>
            <sz val="14"/>
            <color rgb="FF000000"/>
            <rFont val="Times New Roman"/>
            <family val="18"/>
          </rPr>
          <t xml:space="preserve"> [AL Sept 1809 ST Sept 1809]</t>
        </r>
        <r>
          <rPr>
            <sz val="14"/>
            <color rgb="FF000000"/>
            <rFont val="Calibri"/>
            <family val="34"/>
          </rPr>
          <t xml:space="preserve">
</t>
        </r>
      </text>
    </comment>
    <comment ref="BG1368" authorId="0" shapeId="0" xr:uid="{120A8CE8-9DE0-D24D-8818-ADA716BB0F1B}">
      <text>
        <r>
          <rPr>
            <sz val="14"/>
            <color rgb="FF000000"/>
            <rFont val="Times New Roman"/>
            <family val="18"/>
          </rPr>
          <t>ML 3440 IR 37 (1809) – AL Nr. 122 (Gorsswardein 25/09/1809); ST Sept (1809 10/10/1810)</t>
        </r>
        <r>
          <rPr>
            <sz val="14"/>
            <color rgb="FF000000"/>
            <rFont val="Calibri"/>
            <family val="34"/>
          </rPr>
          <t xml:space="preserve">
</t>
        </r>
      </text>
    </comment>
    <comment ref="BH1368" authorId="0" shapeId="0" xr:uid="{A4B8235E-7F16-E442-9189-CDF2AF14F8D4}">
      <text>
        <r>
          <rPr>
            <sz val="14"/>
            <color rgb="FF000000"/>
            <rFont val="Calibri"/>
            <family val="34"/>
          </rPr>
          <t>IR 37 (1809)</t>
        </r>
      </text>
    </comment>
    <comment ref="T1369" authorId="0" shapeId="0" xr:uid="{6B417C50-294F-7344-8261-5AB8EA706230}">
      <text>
        <r>
          <rPr>
            <sz val="14"/>
            <color rgb="FF000000"/>
            <rFont val="Calibri"/>
            <family val="34"/>
          </rPr>
          <t xml:space="preserve">163.7 [5.2.2. (ML 1811)]
</t>
        </r>
        <r>
          <rPr>
            <sz val="14"/>
            <color rgb="FF000000"/>
            <rFont val="Calibri"/>
            <family val="34"/>
          </rPr>
          <t>166.11 [5.3.1 (ML 1818)]</t>
        </r>
      </text>
    </comment>
    <comment ref="BF1369" authorId="0" shapeId="0" xr:uid="{799F5F01-CBB3-5D4D-83A6-CC8754C9DC22}">
      <text>
        <r>
          <rPr>
            <sz val="14"/>
            <color rgb="FFFF0000"/>
            <rFont val="Times New Roman"/>
            <family val="18"/>
          </rPr>
          <t xml:space="preserve">23/09/1808 </t>
        </r>
        <r>
          <rPr>
            <i/>
            <sz val="14"/>
            <color rgb="FFFF0000"/>
            <rFont val="Times New Roman"/>
            <family val="18"/>
          </rPr>
          <t>Landständisch zum IR 23 auf 10 Jahren gestellt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23/09/1809 </t>
        </r>
        <r>
          <rPr>
            <i/>
            <sz val="14"/>
            <color rgb="FF000000"/>
            <rFont val="Times New Roman"/>
            <family val="18"/>
          </rPr>
          <t xml:space="preserve">Von Stadt Andrischau </t>
        </r>
        <r>
          <rPr>
            <b/>
            <sz val="14"/>
            <color rgb="FF000000"/>
            <rFont val="Times New Roman"/>
            <family val="18"/>
          </rPr>
          <t>[</t>
        </r>
        <r>
          <rPr>
            <b/>
            <u/>
            <sz val="14"/>
            <color rgb="FF0563C1"/>
            <rFont val="Times New Roman"/>
            <family val="18"/>
          </rPr>
          <t>Andrychów, Poland</t>
        </r>
        <r>
          <rPr>
            <b/>
            <sz val="14"/>
            <color rgb="FF000000"/>
            <rFont val="Times New Roman"/>
            <family val="18"/>
          </rPr>
          <t>]</t>
        </r>
        <r>
          <rPr>
            <i/>
            <sz val="14"/>
            <color rgb="FF000000"/>
            <rFont val="Times New Roman"/>
            <family val="18"/>
          </rPr>
          <t xml:space="preserve"> Landständisch zum IR 23 auf 10 Jahren gestellt und zum Haupt Eisenmehl Komp, eingeteilt </t>
        </r>
        <r>
          <rPr>
            <sz val="14"/>
            <color rgb="FF000000"/>
            <rFont val="Times New Roman"/>
            <family val="18"/>
          </rPr>
          <t>[AL Sept 1809]</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GH Würzburg Inf Regiment</t>
        </r>
        <r>
          <rPr>
            <sz val="14"/>
            <color rgb="FF000000"/>
            <rFont val="Times New Roman"/>
            <family val="18"/>
          </rPr>
          <t xml:space="preserve"> </t>
        </r>
        <r>
          <rPr>
            <b/>
            <sz val="14"/>
            <color rgb="FF000000"/>
            <rFont val="Times New Roman"/>
            <family val="18"/>
          </rPr>
          <t xml:space="preserve">[IR 23] </t>
        </r>
        <r>
          <rPr>
            <i/>
            <sz val="14"/>
            <color rgb="FF000000"/>
            <rFont val="Times New Roman"/>
            <family val="18"/>
          </rPr>
          <t>am IR 44 transferiert und zur 8.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196</t>
        </r>
        <r>
          <rPr>
            <sz val="14"/>
            <color rgb="FF000000"/>
            <rFont val="Calibri"/>
            <family val="34"/>
          </rPr>
          <t xml:space="preserve">
</t>
        </r>
        <r>
          <rPr>
            <sz val="14"/>
            <color rgb="FF000000"/>
            <rFont val="Times New Roman"/>
            <family val="18"/>
          </rPr>
          <t>20/09/1811 Muster: IR 44 8. Fus. Komp. Nr. 130</t>
        </r>
        <r>
          <rPr>
            <sz val="14"/>
            <color rgb="FF000000"/>
            <rFont val="Calibri"/>
            <family val="34"/>
          </rPr>
          <t xml:space="preserve">
</t>
        </r>
        <r>
          <rPr>
            <sz val="14"/>
            <color rgb="FF000000"/>
            <rFont val="Times New Roman"/>
            <family val="18"/>
          </rPr>
          <t>19/09/1812 Revision: IR 44 8. Fus. Komp. Nr. 86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27/06/1813 </t>
        </r>
        <r>
          <rPr>
            <i/>
            <sz val="14"/>
            <color rgb="FF000000"/>
            <rFont val="Times New Roman"/>
            <family val="18"/>
          </rPr>
          <t>Von Gemeiner zum Corporal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14</t>
        </r>
        <r>
          <rPr>
            <sz val="14"/>
            <color rgb="FF000000"/>
            <rFont val="Calibri"/>
            <family val="34"/>
          </rPr>
          <t xml:space="preserve">
</t>
        </r>
        <r>
          <rPr>
            <sz val="14"/>
            <color rgb="FF000000"/>
            <rFont val="Times New Roman"/>
            <family val="18"/>
          </rPr>
          <t xml:space="preserve">13/10/1818 </t>
        </r>
        <r>
          <rPr>
            <i/>
            <sz val="14"/>
            <color rgb="FF000000"/>
            <rFont val="Times New Roman"/>
            <family val="18"/>
          </rPr>
          <t>Vermog Kriegsrechtlichen Sentenz auf Beständig zum Gemeinen degradiert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24/10/1818 Muster: IR 44 12. Fus. Komp. Nr. 86</t>
        </r>
        <r>
          <rPr>
            <sz val="14"/>
            <color rgb="FF000000"/>
            <rFont val="Calibri"/>
            <family val="34"/>
          </rPr>
          <t xml:space="preserve">
</t>
        </r>
        <r>
          <rPr>
            <sz val="14"/>
            <color rgb="FF000000"/>
            <rFont val="Times New Roman"/>
            <family val="18"/>
          </rPr>
          <t xml:space="preserve">11/11/1818 </t>
        </r>
        <r>
          <rPr>
            <i/>
            <sz val="14"/>
            <color rgb="FF000000"/>
            <rFont val="Times New Roman"/>
            <family val="18"/>
          </rPr>
          <t>Von 12. Zur 1.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20/10/1819 Muster: IR 44 1. Fus. Komp. Nr. 61 [</t>
        </r>
        <r>
          <rPr>
            <i/>
            <sz val="14"/>
            <color rgb="FF000000"/>
            <rFont val="Times New Roman"/>
            <family val="18"/>
          </rPr>
          <t>Ausgedienter Kapitulant</t>
        </r>
        <r>
          <rPr>
            <sz val="14"/>
            <color rgb="FF000000"/>
            <rFont val="Times New Roman"/>
            <family val="18"/>
          </rPr>
          <t>]</t>
        </r>
        <r>
          <rPr>
            <sz val="14"/>
            <color rgb="FF000000"/>
            <rFont val="Calibri"/>
            <family val="34"/>
          </rPr>
          <t xml:space="preserve">
</t>
        </r>
        <r>
          <rPr>
            <sz val="14"/>
            <color rgb="FF000000"/>
            <rFont val="Times New Roman"/>
            <family val="18"/>
          </rPr>
          <t xml:space="preserve">31/10/1819 </t>
        </r>
        <r>
          <rPr>
            <i/>
            <sz val="14"/>
            <color rgb="FF000000"/>
            <rFont val="Times New Roman"/>
            <family val="18"/>
          </rPr>
          <t>Als ausgedienter Capitulant mit Abschied entlassen</t>
        </r>
        <r>
          <rPr>
            <sz val="14"/>
            <color rgb="FF000000"/>
            <rFont val="Times New Roman"/>
            <family val="18"/>
          </rPr>
          <t xml:space="preserve"> [ML 1820]</t>
        </r>
        <r>
          <rPr>
            <sz val="14"/>
            <color rgb="FF000000"/>
            <rFont val="Calibri"/>
            <family val="34"/>
          </rPr>
          <t xml:space="preserve">
</t>
        </r>
      </text>
    </comment>
    <comment ref="BG1369" authorId="0" shapeId="0" xr:uid="{8E8F6732-84E2-F14D-92C7-9E214FB335EC}">
      <text>
        <r>
          <rPr>
            <sz val="14"/>
            <color rgb="FF000000"/>
            <rFont val="Times New Roman"/>
            <family val="18"/>
          </rPr>
          <t>ML 10.182 IR 23 (1809) AL/TL – AL Nr. 83 (Kenty 23/09/1809)</t>
        </r>
        <r>
          <rPr>
            <sz val="14"/>
            <color rgb="FF000000"/>
            <rFont val="Calibri"/>
            <family val="34"/>
          </rPr>
          <t xml:space="preserve">
</t>
        </r>
        <r>
          <rPr>
            <sz val="14"/>
            <color rgb="FF000000"/>
            <rFont val="Times New Roman"/>
            <family val="18"/>
          </rPr>
          <t>ML 3911 IR 44 (1808-10) – 8. Fus. Komp. Nr. 196 (Pappa 27/09/1810)</t>
        </r>
        <r>
          <rPr>
            <sz val="14"/>
            <color rgb="FF000000"/>
            <rFont val="Calibri"/>
            <family val="34"/>
          </rPr>
          <t xml:space="preserve">
</t>
        </r>
        <r>
          <rPr>
            <sz val="14"/>
            <color rgb="FF000000"/>
            <rFont val="Times New Roman"/>
            <family val="18"/>
          </rPr>
          <t>ML 3912/3 IR 44 (1811) – 8. Fus. Komp. Nr. 130 (Sthulweissenburg 20/09/1811)</t>
        </r>
        <r>
          <rPr>
            <sz val="14"/>
            <color rgb="FF000000"/>
            <rFont val="Calibri"/>
            <family val="34"/>
          </rPr>
          <t xml:space="preserve">
</t>
        </r>
        <r>
          <rPr>
            <sz val="14"/>
            <color rgb="FF000000"/>
            <rFont val="Times New Roman"/>
            <family val="18"/>
          </rPr>
          <t>ML 3914 IR 44 (1812/6) – 8. Fus. Komp. Nr. 86 (Pest 19/09/1812)</t>
        </r>
        <r>
          <rPr>
            <sz val="14"/>
            <color rgb="FF000000"/>
            <rFont val="Calibri"/>
            <family val="34"/>
          </rPr>
          <t xml:space="preserve">
</t>
        </r>
        <r>
          <rPr>
            <sz val="14"/>
            <color rgb="FF000000"/>
            <rFont val="Times New Roman"/>
            <family val="18"/>
          </rPr>
          <t>ML 3915/6 IR 44 (1818) – 12. Fus. Komp. Nr. 14 (Pavia 05/01/1818); 12. Fus. Komp. Nr. 86 (Pavia 24/10/1818)</t>
        </r>
        <r>
          <rPr>
            <sz val="14"/>
            <color rgb="FF000000"/>
            <rFont val="Calibri"/>
            <family val="34"/>
          </rPr>
          <t xml:space="preserve">
</t>
        </r>
        <r>
          <rPr>
            <sz val="14"/>
            <color rgb="FF000000"/>
            <rFont val="Times New Roman"/>
            <family val="18"/>
          </rPr>
          <t>ML 3918/9 IR 44 (1819) – 1. Fus. Komp. Nr. 61 (Pizzighetone 20/10/1819)</t>
        </r>
        <r>
          <rPr>
            <sz val="14"/>
            <color rgb="FF000000"/>
            <rFont val="Calibri"/>
            <family val="34"/>
          </rPr>
          <t xml:space="preserve">
</t>
        </r>
        <r>
          <rPr>
            <sz val="14"/>
            <color rgb="FF000000"/>
            <rFont val="Times New Roman"/>
            <family val="18"/>
          </rPr>
          <t>ML 3920 IR 44 (1820) – 1. Fus. Komp. Nr. 61 (Milan 25/09/1820)</t>
        </r>
        <r>
          <rPr>
            <sz val="14"/>
            <color rgb="FF000000"/>
            <rFont val="Calibri"/>
            <family val="34"/>
          </rPr>
          <t xml:space="preserve">
</t>
        </r>
      </text>
    </comment>
    <comment ref="BH1369" authorId="0" shapeId="0" xr:uid="{651FAAF5-BD55-E44E-963E-788EC8432E57}">
      <text>
        <r>
          <rPr>
            <sz val="14"/>
            <color rgb="FF000000"/>
            <rFont val="Calibri"/>
            <family val="34"/>
          </rPr>
          <t xml:space="preserve">IR 23 (1809-1810)
</t>
        </r>
        <r>
          <rPr>
            <sz val="14"/>
            <color rgb="FF000000"/>
            <rFont val="Calibri"/>
            <family val="34"/>
          </rPr>
          <t>IR 44 (1810-1819)</t>
        </r>
      </text>
    </comment>
    <comment ref="BF1370" authorId="0" shapeId="0" xr:uid="{9DCBD755-97C3-1C44-B23A-63A3716F7C8C}">
      <text>
        <r>
          <rPr>
            <sz val="14"/>
            <color rgb="FF000000"/>
            <rFont val="Times New Roman"/>
            <family val="18"/>
          </rPr>
          <t xml:space="preserve">23/09/1809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01/10/1809 </t>
        </r>
        <r>
          <rPr>
            <i/>
            <sz val="14"/>
            <color rgb="FF000000"/>
            <rFont val="Times New Roman"/>
            <family val="18"/>
          </rPr>
          <t>Von 19. zur 16.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16. zum 10.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05/09/1811 </t>
        </r>
        <r>
          <rPr>
            <i/>
            <sz val="14"/>
            <color rgb="FF000000"/>
            <rFont val="Times New Roman"/>
            <family val="18"/>
          </rPr>
          <t xml:space="preserve">Als Kriegscapitulant mit Abschied entlassen </t>
        </r>
        <r>
          <rPr>
            <sz val="14"/>
            <color rgb="FF000000"/>
            <rFont val="Times New Roman"/>
            <family val="18"/>
          </rPr>
          <t>[ML 1811]</t>
        </r>
        <r>
          <rPr>
            <sz val="14"/>
            <color rgb="FF000000"/>
            <rFont val="Calibri"/>
            <family val="34"/>
          </rPr>
          <t xml:space="preserve">
</t>
        </r>
      </text>
    </comment>
    <comment ref="BG1370" authorId="0" shapeId="0" xr:uid="{25DFB3A5-9709-6E4E-8AC9-1F44205CAAE3}">
      <text>
        <r>
          <rPr>
            <sz val="14"/>
            <color rgb="FF000000"/>
            <rFont val="Times New Roman"/>
            <family val="18"/>
          </rPr>
          <t>ML 3501/2 IR 39 (1811) – 10. Fus. Komp. Abgang (Ofen 19/09/1811)</t>
        </r>
        <r>
          <rPr>
            <sz val="14"/>
            <color rgb="FF000000"/>
            <rFont val="Calibri"/>
            <family val="2"/>
            <scheme val="minor"/>
          </rPr>
          <t xml:space="preserve"> </t>
        </r>
      </text>
    </comment>
    <comment ref="BH1370" authorId="0" shapeId="0" xr:uid="{139C7168-BE27-5943-B88F-3A36C1C8E87F}">
      <text>
        <r>
          <rPr>
            <sz val="14"/>
            <color rgb="FF000000"/>
            <rFont val="Calibri"/>
            <family val="34"/>
          </rPr>
          <t>IR 1 (1809-1810)</t>
        </r>
      </text>
    </comment>
    <comment ref="BF1371" authorId="0" shapeId="0" xr:uid="{3564F7D2-C38E-5644-BF45-0058A6488711}">
      <text>
        <r>
          <rPr>
            <sz val="14"/>
            <color rgb="FF000000"/>
            <rFont val="Times New Roman"/>
            <family val="18"/>
          </rPr>
          <t xml:space="preserve">24/09/1809 </t>
        </r>
        <r>
          <rPr>
            <i/>
            <sz val="14"/>
            <color rgb="FF000000"/>
            <rFont val="Times New Roman"/>
            <family val="18"/>
          </rPr>
          <t>A 3Fl mit 10 Jährigen Capitulation assentiert</t>
        </r>
        <r>
          <rPr>
            <sz val="14"/>
            <color rgb="FF000000"/>
            <rFont val="Times New Roman"/>
            <family val="18"/>
          </rPr>
          <t xml:space="preserve"> [ML 1811]
</t>
        </r>
        <r>
          <rPr>
            <sz val="14"/>
            <color rgb="FF000000"/>
            <rFont val="Times New Roman"/>
            <family val="18"/>
          </rPr>
          <t xml:space="preserve">05/02/1810 Reduction: FJB 4 1. Komp. Nr. 63 
</t>
        </r>
        <r>
          <rPr>
            <sz val="14"/>
            <color rgb="FF000000"/>
            <rFont val="Times New Roman"/>
            <family val="18"/>
          </rPr>
          <t>20/09/1810 Revision: FJB 4 1. Komp. Nr. 167 [</t>
        </r>
        <r>
          <rPr>
            <i/>
            <sz val="14"/>
            <color rgb="FF000000"/>
            <rFont val="Times New Roman"/>
            <family val="18"/>
          </rPr>
          <t>Beurlaubt biz zur Einberufung</t>
        </r>
        <r>
          <rPr>
            <sz val="14"/>
            <color rgb="FF000000"/>
            <rFont val="Times New Roman"/>
            <family val="18"/>
          </rPr>
          <t xml:space="preserve">]
</t>
        </r>
        <r>
          <rPr>
            <sz val="14"/>
            <color rgb="FF000000"/>
            <rFont val="Times New Roman"/>
            <family val="18"/>
          </rPr>
          <t>10/09/1811 Muster: FJB 4. 1. Komp. Nr. 184 [</t>
        </r>
        <r>
          <rPr>
            <i/>
            <sz val="14"/>
            <color rgb="FF000000"/>
            <rFont val="Times New Roman"/>
            <family val="18"/>
          </rPr>
          <t>Beurlaubt biz zur Einberufung</t>
        </r>
        <r>
          <rPr>
            <sz val="14"/>
            <color rgb="FF000000"/>
            <rFont val="Times New Roman"/>
            <family val="18"/>
          </rPr>
          <t xml:space="preserve">]
</t>
        </r>
        <r>
          <rPr>
            <sz val="14"/>
            <color rgb="FF000000"/>
            <rFont val="Times New Roman"/>
            <family val="18"/>
          </rPr>
          <t xml:space="preserve">31/03/1812 </t>
        </r>
        <r>
          <rPr>
            <i/>
            <sz val="14"/>
            <color rgb="FF000000"/>
            <rFont val="Times New Roman"/>
            <family val="18"/>
          </rPr>
          <t>Zur Depot Comp. transferiert</t>
        </r>
        <r>
          <rPr>
            <sz val="14"/>
            <color rgb="FF000000"/>
            <rFont val="Times New Roman"/>
            <family val="18"/>
          </rPr>
          <t xml:space="preserve"> [RL 1812]
</t>
        </r>
        <r>
          <rPr>
            <sz val="14"/>
            <color rgb="FF000000"/>
            <rFont val="Times New Roman"/>
            <family val="18"/>
          </rPr>
          <t xml:space="preserve">15/07/1812 </t>
        </r>
        <r>
          <rPr>
            <i/>
            <sz val="14"/>
            <color rgb="FF000000"/>
            <rFont val="Times New Roman"/>
            <family val="18"/>
          </rPr>
          <t>Zur 1. Reserve Comp. transferiert</t>
        </r>
        <r>
          <rPr>
            <sz val="14"/>
            <color rgb="FF000000"/>
            <rFont val="Times New Roman"/>
            <family val="18"/>
          </rPr>
          <t xml:space="preserve"> [RL 1812]
</t>
        </r>
        <r>
          <rPr>
            <sz val="14"/>
            <color rgb="FF000000"/>
            <rFont val="Times New Roman"/>
            <family val="18"/>
          </rPr>
          <t>05/09/1812 Revision: FJB 4 1. Reserve Komp. Nr. 115 [</t>
        </r>
        <r>
          <rPr>
            <i/>
            <sz val="14"/>
            <color rgb="FF000000"/>
            <rFont val="Times New Roman"/>
            <family val="18"/>
          </rPr>
          <t>Beurlaubt bis zur Einberufung zu Natscheradetz, Herrschaft Natscheradetz, Kaurimer Kreis, Böhmen</t>
        </r>
        <r>
          <rPr>
            <sz val="14"/>
            <color rgb="FF000000"/>
            <rFont val="Times New Roman"/>
            <family val="18"/>
          </rPr>
          <t xml:space="preserve">]
</t>
        </r>
      </text>
    </comment>
    <comment ref="BG1371" authorId="0" shapeId="0" xr:uid="{ECB8CC77-6528-D941-B68B-877BD6FC1D4A}">
      <text>
        <r>
          <rPr>
            <sz val="14"/>
            <color rgb="FF000000"/>
            <rFont val="Times New Roman"/>
            <family val="18"/>
          </rPr>
          <t>ML 3440 IR 37 (1809) – AL Nr. 89 (Gorsswardein 25/09/1809); ST Sept (1809 10/10/1810), ST Okt (Tarnow 15/01/1811)</t>
        </r>
        <r>
          <rPr>
            <sz val="14"/>
            <color rgb="FF000000"/>
            <rFont val="Calibri"/>
            <family val="34"/>
          </rPr>
          <t xml:space="preserve">
</t>
        </r>
      </text>
    </comment>
    <comment ref="BH1371" authorId="0" shapeId="0" xr:uid="{6DE6DEE1-68DF-C44C-B311-BDB716B28E71}">
      <text>
        <r>
          <rPr>
            <sz val="14"/>
            <color rgb="FF000000"/>
            <rFont val="Calibri"/>
            <family val="34"/>
          </rPr>
          <t>FJB 4 (1809-1812)</t>
        </r>
      </text>
    </comment>
    <comment ref="BF1372" authorId="0" shapeId="0" xr:uid="{4775AB70-E1FB-C244-A7FD-2870EA8AC6A6}">
      <text>
        <r>
          <rPr>
            <sz val="14"/>
            <color rgb="FF000000"/>
            <rFont val="Times New Roman"/>
            <family val="18"/>
          </rPr>
          <t xml:space="preserve">26/09/1809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26/11/1809</t>
        </r>
        <r>
          <rPr>
            <i/>
            <sz val="14"/>
            <color rgb="FF000000"/>
            <rFont val="Times New Roman"/>
            <family val="18"/>
          </rPr>
          <t xml:space="preserve"> Von 20. Zur 19.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19. Zum 6.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1372" authorId="0" shapeId="0" xr:uid="{2CE3C2E3-A9EB-0846-8BEF-96656CA76B0A}">
      <text>
        <r>
          <rPr>
            <sz val="14"/>
            <color rgb="FF000000"/>
            <rFont val="Times New Roman"/>
            <family val="18"/>
          </rPr>
          <t>ML 3501/2 IR 39 (1811) – 6. Fus. Komp. Abgang (Szent Andree 14/09/1811)</t>
        </r>
        <r>
          <rPr>
            <sz val="14"/>
            <color rgb="FF000000"/>
            <rFont val="Calibri"/>
            <family val="34"/>
          </rPr>
          <t xml:space="preserve">
</t>
        </r>
      </text>
    </comment>
    <comment ref="BH1372" authorId="0" shapeId="0" xr:uid="{05EC0C3F-4E93-D14B-A983-9D38587EB164}">
      <text>
        <r>
          <rPr>
            <sz val="14"/>
            <color rgb="FF000000"/>
            <rFont val="Calibri"/>
            <family val="34"/>
          </rPr>
          <t>IR 39 (1809-1810)</t>
        </r>
      </text>
    </comment>
    <comment ref="BF1373" authorId="0" shapeId="0" xr:uid="{A65C110B-C807-4340-807C-6B77EBAE3CFD}">
      <text>
        <r>
          <rPr>
            <sz val="14"/>
            <color rgb="FF000000"/>
            <rFont val="Times New Roman"/>
            <family val="18"/>
          </rPr>
          <t xml:space="preserve">28/09/1809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19. zum 11.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22/07/1810 </t>
        </r>
        <r>
          <rPr>
            <i/>
            <sz val="14"/>
            <color rgb="FF000000"/>
            <rFont val="Times New Roman"/>
            <family val="18"/>
          </rPr>
          <t>Auf Sonsten Kommandiert</t>
        </r>
        <r>
          <rPr>
            <sz val="14"/>
            <color rgb="FF000000"/>
            <rFont val="Times New Roman"/>
            <family val="18"/>
          </rPr>
          <t xml:space="preserve"> [ST July 1810]</t>
        </r>
        <r>
          <rPr>
            <sz val="14"/>
            <color rgb="FF000000"/>
            <rFont val="Calibri"/>
            <family val="34"/>
          </rPr>
          <t xml:space="preserve">
</t>
        </r>
        <r>
          <rPr>
            <sz val="14"/>
            <color rgb="FF000000"/>
            <rFont val="Times New Roman"/>
            <family val="18"/>
          </rPr>
          <t xml:space="preserve">05/09/1810 </t>
        </r>
        <r>
          <rPr>
            <i/>
            <sz val="14"/>
            <color rgb="FF000000"/>
            <rFont val="Times New Roman"/>
            <family val="18"/>
          </rPr>
          <t>Als Kriegs Capitulant mit Abschied entlassen</t>
        </r>
        <r>
          <rPr>
            <sz val="14"/>
            <color rgb="FF000000"/>
            <rFont val="Times New Roman"/>
            <family val="18"/>
          </rPr>
          <t xml:space="preserve"> [ML 1811]</t>
        </r>
        <r>
          <rPr>
            <sz val="14"/>
            <color rgb="FF000000"/>
            <rFont val="Calibri"/>
            <family val="34"/>
          </rPr>
          <t xml:space="preserve">
</t>
        </r>
      </text>
    </comment>
    <comment ref="BG1373" authorId="0" shapeId="0" xr:uid="{436CB385-C6BB-8F40-A632-364712879AE2}">
      <text>
        <r>
          <rPr>
            <sz val="14"/>
            <color rgb="FF000000"/>
            <rFont val="Times New Roman"/>
            <family val="18"/>
          </rPr>
          <t>ML 3501/2 IR 39 (1811) – 11. Fus. Komp. Abgang (Ofen 19/09/1811)</t>
        </r>
        <r>
          <rPr>
            <sz val="14"/>
            <color rgb="FF000000"/>
            <rFont val="Calibri"/>
            <family val="34"/>
          </rPr>
          <t xml:space="preserve">
</t>
        </r>
        <r>
          <rPr>
            <sz val="14"/>
            <color rgb="FF000000"/>
            <rFont val="Times New Roman"/>
            <family val="18"/>
          </rPr>
          <t xml:space="preserve">ML 3551 IR 39 (1810) – ST July </t>
        </r>
        <r>
          <rPr>
            <sz val="14"/>
            <color rgb="FF000000"/>
            <rFont val="Calibri"/>
            <family val="34"/>
          </rPr>
          <t xml:space="preserve">
</t>
        </r>
      </text>
    </comment>
    <comment ref="BH1373" authorId="0" shapeId="0" xr:uid="{57E82210-34EE-B341-9B7D-449DD84F5924}">
      <text>
        <r>
          <rPr>
            <sz val="14"/>
            <color rgb="FF000000"/>
            <rFont val="Calibri"/>
            <family val="34"/>
          </rPr>
          <t>IR 39 (1809-1810)</t>
        </r>
      </text>
    </comment>
    <comment ref="BF1374" authorId="0" shapeId="0" xr:uid="{E2363260-E628-9242-9710-04C0225D2119}">
      <text>
        <r>
          <rPr>
            <sz val="14"/>
            <color rgb="FF000000"/>
            <rFont val="Times New Roman"/>
            <family val="18"/>
          </rPr>
          <t xml:space="preserve">28/09/1809 </t>
        </r>
        <r>
          <rPr>
            <i/>
            <sz val="14"/>
            <color rgb="FF000000"/>
            <rFont val="Times New Roman"/>
            <family val="18"/>
          </rPr>
          <t>A 30Fl Handgeld von Land gestellt, zum IR 39 assentiert und zur 19.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01/11/1809 </t>
        </r>
        <r>
          <rPr>
            <i/>
            <sz val="14"/>
            <color rgb="FF000000"/>
            <rFont val="Times New Roman"/>
            <family val="18"/>
          </rPr>
          <t>Von 19. zum 14.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15/01/1810 </t>
        </r>
        <r>
          <rPr>
            <i/>
            <sz val="14"/>
            <color rgb="FF000000"/>
            <rFont val="Times New Roman"/>
            <family val="18"/>
          </rPr>
          <t xml:space="preserve">Krank mit auswärtiger Gebühr </t>
        </r>
        <r>
          <rPr>
            <sz val="14"/>
            <color rgb="FF000000"/>
            <rFont val="Times New Roman"/>
            <family val="18"/>
          </rPr>
          <t xml:space="preserve"> [ST Jan 1810]</t>
        </r>
        <r>
          <rPr>
            <sz val="14"/>
            <color rgb="FF000000"/>
            <rFont val="Aptos"/>
            <family val="34"/>
          </rPr>
          <t xml:space="preserve">
</t>
        </r>
        <r>
          <rPr>
            <sz val="14"/>
            <color rgb="FF000000"/>
            <rFont val="Times New Roman"/>
            <family val="18"/>
          </rPr>
          <t xml:space="preserve">22/01/1810 </t>
        </r>
        <r>
          <rPr>
            <i/>
            <sz val="14"/>
            <color rgb="FF000000"/>
            <rFont val="Times New Roman"/>
            <family val="18"/>
          </rPr>
          <t>Rekonvalesziert</t>
        </r>
        <r>
          <rPr>
            <sz val="14"/>
            <color rgb="FF000000"/>
            <rFont val="Times New Roman"/>
            <family val="18"/>
          </rPr>
          <t xml:space="preserve"> [ST Jan 1810]</t>
        </r>
        <r>
          <rPr>
            <sz val="14"/>
            <color rgb="FF000000"/>
            <rFont val="Aptos"/>
            <family val="34"/>
          </rPr>
          <t xml:space="preserve">
</t>
        </r>
        <r>
          <rPr>
            <sz val="14"/>
            <color rgb="FF000000"/>
            <rFont val="Times New Roman"/>
            <family val="18"/>
          </rPr>
          <t xml:space="preserve">01/02/1810 </t>
        </r>
        <r>
          <rPr>
            <i/>
            <sz val="14"/>
            <color rgb="FF000000"/>
            <rFont val="Times New Roman"/>
            <family val="18"/>
          </rPr>
          <t>Krank mit auswärtiger Gebühr</t>
        </r>
        <r>
          <rPr>
            <sz val="14"/>
            <color rgb="FF000000"/>
            <rFont val="Times New Roman"/>
            <family val="18"/>
          </rPr>
          <t xml:space="preserve"> [ST Jan 1810]</t>
        </r>
        <r>
          <rPr>
            <sz val="14"/>
            <color rgb="FF000000"/>
            <rFont val="Aptos"/>
            <family val="34"/>
          </rPr>
          <t xml:space="preserve">
</t>
        </r>
        <r>
          <rPr>
            <sz val="14"/>
            <color rgb="FF000000"/>
            <rFont val="Times New Roman"/>
            <family val="18"/>
          </rPr>
          <t xml:space="preserve">26/03/1810 </t>
        </r>
        <r>
          <rPr>
            <i/>
            <sz val="14"/>
            <color rgb="FF000000"/>
            <rFont val="Times New Roman"/>
            <family val="18"/>
          </rPr>
          <t>Rekonvalesziert</t>
        </r>
        <r>
          <rPr>
            <sz val="14"/>
            <color rgb="FF000000"/>
            <rFont val="Times New Roman"/>
            <family val="18"/>
          </rPr>
          <t xml:space="preserve"> [ST Jan 1810]</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14. Fus. Komp zum IR 62 5.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374" authorId="0" shapeId="0" xr:uid="{C7D1FAFF-8DF4-CC4A-AA02-577AC6854862}">
      <text>
        <r>
          <rPr>
            <sz val="14"/>
            <color rgb="FF000000"/>
            <rFont val="Times New Roman"/>
            <family val="18"/>
          </rPr>
          <t>ML 3501/2 IR 39 (1811) – 14. Fus. Komp. Abgang (Gran 16/09/1811)</t>
        </r>
        <r>
          <rPr>
            <sz val="14"/>
            <color rgb="FF000000"/>
            <rFont val="Aptos"/>
            <family val="34"/>
          </rPr>
          <t xml:space="preserve">
</t>
        </r>
        <r>
          <rPr>
            <sz val="14"/>
            <color rgb="FF000000"/>
            <rFont val="Times New Roman"/>
            <family val="18"/>
          </rPr>
          <t>ML 3551 IR 39 (1810) – ST Jan (Ofen 03/06/1811), Feb (Ofen 06/06/1811), March (Ofen 15/06/1811)</t>
        </r>
        <r>
          <rPr>
            <sz val="14"/>
            <color rgb="FF000000"/>
            <rFont val="Aptos"/>
            <family val="34"/>
          </rPr>
          <t xml:space="preserve">
</t>
        </r>
        <r>
          <rPr>
            <sz val="14"/>
            <color rgb="FF000000"/>
            <rFont val="Times New Roman"/>
            <family val="18"/>
          </rPr>
          <t>ML 5223 IR 62 (1810) – TL IR 39-&gt;IR 62 Nr. 112 (Ofen 07/09/1810), ST July (03/03/1811), Sept (Tamesvar 07/04/1811)</t>
        </r>
        <r>
          <rPr>
            <sz val="14"/>
            <color rgb="FF000000"/>
            <rFont val="Aptos"/>
            <family val="34"/>
          </rPr>
          <t xml:space="preserve">
</t>
        </r>
      </text>
    </comment>
    <comment ref="BH1374" authorId="0" shapeId="0" xr:uid="{013B7C4E-CDA2-4F44-9DE1-C9C8BAB7D7BF}">
      <text>
        <r>
          <rPr>
            <sz val="14"/>
            <color rgb="FF000000"/>
            <rFont val="Calibri"/>
            <family val="34"/>
          </rPr>
          <t xml:space="preserve">IR 39 (1809-1810)
</t>
        </r>
        <r>
          <rPr>
            <sz val="14"/>
            <color rgb="FF000000"/>
            <rFont val="Calibri"/>
            <family val="34"/>
          </rPr>
          <t>IR 62 (1810)</t>
        </r>
      </text>
    </comment>
    <comment ref="BF1375" authorId="0" shapeId="0" xr:uid="{E0943B26-A009-2144-96EC-5C7892E9D346}">
      <text>
        <r>
          <rPr>
            <sz val="14"/>
            <color rgb="FF000000"/>
            <rFont val="Times New Roman"/>
            <family val="18"/>
          </rPr>
          <t xml:space="preserve">03/10/1809 </t>
        </r>
        <r>
          <rPr>
            <i/>
            <sz val="14"/>
            <color rgb="FF000000"/>
            <rFont val="Times New Roman"/>
            <family val="18"/>
          </rPr>
          <t>Von Land ohne entgeltlich zum IR 39 auf Kriegsdauer gesellt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Von 20. Zur 19.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 xml:space="preserve">Von 19. Zur 8. Fus. Komp. transferiert und kommt in Spital </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19/02/1810 </t>
        </r>
        <r>
          <rPr>
            <i/>
            <sz val="14"/>
            <color rgb="FF000000"/>
            <rFont val="Times New Roman"/>
            <family val="18"/>
          </rPr>
          <t>In auswärtigem Spital gestorben</t>
        </r>
        <r>
          <rPr>
            <sz val="14"/>
            <color rgb="FF000000"/>
            <rFont val="Times New Roman"/>
            <family val="18"/>
          </rPr>
          <t xml:space="preserve"> [ST April 1810]</t>
        </r>
      </text>
    </comment>
    <comment ref="BG1375" authorId="0" shapeId="0" xr:uid="{98EC6253-42C1-9C41-A341-E1F13F2D2225}">
      <text>
        <r>
          <rPr>
            <sz val="14"/>
            <color rgb="FF000000"/>
            <rFont val="Times New Roman"/>
            <family val="18"/>
          </rPr>
          <t>ML 3501/2 IR 39 (1811) – 8. Fus. Komp. Abgang (Ofen 19/09/1811)</t>
        </r>
        <r>
          <rPr>
            <sz val="14"/>
            <color rgb="FF000000"/>
            <rFont val="Calibri"/>
            <family val="34"/>
          </rPr>
          <t xml:space="preserve">
</t>
        </r>
        <r>
          <rPr>
            <sz val="14"/>
            <color rgb="FF000000"/>
            <rFont val="Times New Roman"/>
            <family val="18"/>
          </rPr>
          <t>ML 3551 IR 39 (1810) – April</t>
        </r>
        <r>
          <rPr>
            <sz val="14"/>
            <color rgb="FF000000"/>
            <rFont val="Calibri"/>
            <family val="34"/>
          </rPr>
          <t xml:space="preserve">
</t>
        </r>
      </text>
    </comment>
    <comment ref="BH1375" authorId="0" shapeId="0" xr:uid="{5D9B288A-6FB2-DB4D-B6D9-310C5D1F05E5}">
      <text>
        <r>
          <rPr>
            <sz val="14"/>
            <color rgb="FF000000"/>
            <rFont val="Calibri"/>
            <family val="34"/>
          </rPr>
          <t>IR 39 (1809-1810)</t>
        </r>
      </text>
    </comment>
    <comment ref="BF1376" authorId="0" shapeId="0" xr:uid="{C81F03D9-0E3B-2F46-BF70-495449F30AE9}">
      <text>
        <r>
          <rPr>
            <sz val="14"/>
            <color rgb="FF000000"/>
            <rFont val="Times New Roman"/>
            <family val="18"/>
          </rPr>
          <t xml:space="preserve">03/10/1809 </t>
        </r>
        <r>
          <rPr>
            <i/>
            <sz val="14"/>
            <color rgb="FF000000"/>
            <rFont val="Times New Roman"/>
            <family val="18"/>
          </rPr>
          <t>Von Land ohne entgeltlich zum IR 39 auf Kriegsdauer gesellt gestellt und zum 20. Fus. Komp. eingeteilt</t>
        </r>
        <r>
          <rPr>
            <sz val="14"/>
            <color rgb="FF000000"/>
            <rFont val="Times New Roman"/>
            <family val="18"/>
          </rPr>
          <t xml:space="preserve"> [ML 1811]</t>
        </r>
        <r>
          <rPr>
            <sz val="14"/>
            <color rgb="FF000000"/>
            <rFont val="Calibri"/>
            <family val="34"/>
          </rPr>
          <t xml:space="preserve">
</t>
        </r>
        <r>
          <rPr>
            <sz val="14"/>
            <color rgb="FFFF0000"/>
            <rFont val="Times New Roman"/>
            <family val="18"/>
          </rPr>
          <t xml:space="preserve">19/09/1809 [SIC!] </t>
        </r>
        <r>
          <rPr>
            <i/>
            <sz val="14"/>
            <color rgb="FFFF0000"/>
            <rFont val="Times New Roman"/>
            <family val="18"/>
          </rPr>
          <t>Auf Marsch von Assentplatz desertiert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20. Zum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in Spital Verbliebene unwissend verloren </t>
        </r>
        <r>
          <rPr>
            <sz val="14"/>
            <color rgb="FF000000"/>
            <rFont val="Times New Roman"/>
            <family val="18"/>
          </rPr>
          <t>[ML 1811]</t>
        </r>
      </text>
    </comment>
    <comment ref="BG1376" authorId="0" shapeId="0" xr:uid="{E0A741BE-0D90-F34E-ACC0-9A58A8EE3441}">
      <text>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3551 IR 39 (1810) – ST Aug</t>
        </r>
        <r>
          <rPr>
            <sz val="14"/>
            <color rgb="FF000000"/>
            <rFont val="Calibri"/>
            <family val="34"/>
          </rPr>
          <t xml:space="preserve">
</t>
        </r>
      </text>
    </comment>
    <comment ref="BH1376" authorId="0" shapeId="0" xr:uid="{3252BBF4-34C7-6746-AFAE-EF5985039B12}">
      <text>
        <r>
          <rPr>
            <sz val="14"/>
            <color rgb="FF000000"/>
            <rFont val="Calibri"/>
            <family val="34"/>
          </rPr>
          <t>IR 39 (1809-1810)</t>
        </r>
      </text>
    </comment>
    <comment ref="BF1377" authorId="0" shapeId="0" xr:uid="{429BFD64-EEE7-4948-80DC-B93321F0722E}">
      <text>
        <r>
          <rPr>
            <sz val="14"/>
            <color rgb="FF000000"/>
            <rFont val="Times New Roman"/>
            <family val="18"/>
          </rPr>
          <t xml:space="preserve">06/10/1809 </t>
        </r>
        <r>
          <rPr>
            <i/>
            <sz val="14"/>
            <color rgb="FF000000"/>
            <rFont val="Times New Roman"/>
            <family val="18"/>
          </rPr>
          <t>A 30Fl Handgeld auf dem Assent Platz Ujhely auf Dauer des Kriges von Land gestellt, zum IR 39 assentiert und zur 19. Fus. Komp eingeteilt</t>
        </r>
        <r>
          <rPr>
            <sz val="14"/>
            <color rgb="FF000000"/>
            <rFont val="Times New Roman"/>
            <family val="18"/>
          </rPr>
          <t xml:space="preserve"> [AL Nov 1809]</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19. Zum 8. Fus. Komp. transferiert</t>
        </r>
        <r>
          <rPr>
            <sz val="14"/>
            <color rgb="FF000000"/>
            <rFont val="Times New Roman"/>
            <family val="18"/>
          </rPr>
          <t xml:space="preserve"> [ML 1809]</t>
        </r>
        <r>
          <rPr>
            <sz val="14"/>
            <color rgb="FF000000"/>
            <rFont val="Calibri"/>
            <family val="34"/>
          </rPr>
          <t xml:space="preserve">
</t>
        </r>
        <r>
          <rPr>
            <sz val="14"/>
            <color rgb="FF000000"/>
            <rFont val="Times New Roman"/>
            <family val="18"/>
          </rPr>
          <t xml:space="preserve">15/12/1810 </t>
        </r>
        <r>
          <rPr>
            <i/>
            <sz val="14"/>
            <color rgb="FF000000"/>
            <rFont val="Times New Roman"/>
            <family val="18"/>
          </rPr>
          <t>Als Kriegscapitulant mit Abschied entlassen</t>
        </r>
        <r>
          <rPr>
            <sz val="14"/>
            <color rgb="FF000000"/>
            <rFont val="Times New Roman"/>
            <family val="18"/>
          </rPr>
          <t xml:space="preserve"> [ML 1811] </t>
        </r>
      </text>
    </comment>
    <comment ref="BG1377" authorId="0" shapeId="0" xr:uid="{747F7C11-2F3D-9F4F-8452-4CA318D86C88}">
      <text>
        <r>
          <rPr>
            <sz val="14"/>
            <color rgb="FF000000"/>
            <rFont val="Times New Roman"/>
            <family val="18"/>
          </rPr>
          <t>ML 3501/2 IR 39 (1811) – 8. Fus. Komp. Abgang (Ofen 19/09/1811)</t>
        </r>
        <r>
          <rPr>
            <sz val="14"/>
            <color rgb="FF000000"/>
            <rFont val="Calibri"/>
            <family val="34"/>
          </rPr>
          <t xml:space="preserve">
</t>
        </r>
        <r>
          <rPr>
            <sz val="14"/>
            <color rgb="FF000000"/>
            <rFont val="Times New Roman"/>
            <family val="18"/>
          </rPr>
          <t>ML 3550 IR 39 (1809) – AL Nr. 14 (Ujhely 01/11/1809)</t>
        </r>
        <r>
          <rPr>
            <sz val="14"/>
            <color rgb="FF000000"/>
            <rFont val="Calibri"/>
            <family val="34"/>
          </rPr>
          <t xml:space="preserve">
</t>
        </r>
      </text>
    </comment>
    <comment ref="BH1377" authorId="0" shapeId="0" xr:uid="{B5B78E15-0E4F-0741-BEA5-21C13219BF4F}">
      <text>
        <r>
          <rPr>
            <sz val="14"/>
            <color rgb="FF000000"/>
            <rFont val="Calibri"/>
            <family val="34"/>
          </rPr>
          <t>IR 39 (1809-1810)</t>
        </r>
      </text>
    </comment>
    <comment ref="BF1378" authorId="0" shapeId="0" xr:uid="{EC2FEB63-2B45-564E-9C80-1197C1D02856}">
      <text>
        <r>
          <rPr>
            <sz val="14"/>
            <color rgb="FF000000"/>
            <rFont val="Times New Roman"/>
            <family val="18"/>
          </rPr>
          <t xml:space="preserve">06/10/1809 </t>
        </r>
        <r>
          <rPr>
            <i/>
            <sz val="14"/>
            <color rgb="FF000000"/>
            <rFont val="Times New Roman"/>
            <family val="18"/>
          </rPr>
          <t>A 30Fl Handgeld auf dem Assent Platz Ujhely auf Dauer des Kriegs von Land gestellt, zum IR 39 assentiert und zur 19. Fus. Komp eingeteilt</t>
        </r>
        <r>
          <rPr>
            <sz val="14"/>
            <color rgb="FF000000"/>
            <rFont val="Times New Roman"/>
            <family val="18"/>
          </rPr>
          <t xml:space="preserve"> [AL Nov 1809]</t>
        </r>
        <r>
          <rPr>
            <sz val="14"/>
            <color rgb="FF000000"/>
            <rFont val="Calibri"/>
            <family val="34"/>
          </rPr>
          <t xml:space="preserve">
</t>
        </r>
        <r>
          <rPr>
            <sz val="14"/>
            <color rgb="FF000000"/>
            <rFont val="Times New Roman"/>
            <family val="18"/>
          </rPr>
          <t xml:space="preserve">UNBEKKANT: </t>
        </r>
        <r>
          <rPr>
            <i/>
            <sz val="14"/>
            <color rgb="FF000000"/>
            <rFont val="Times New Roman"/>
            <family val="18"/>
          </rPr>
          <t xml:space="preserve">Erscheint nicht weiter in den Dokumenten </t>
        </r>
      </text>
    </comment>
    <comment ref="BG1378" authorId="0" shapeId="0" xr:uid="{6183D891-F528-1845-AC2C-C55A4CAAFE0B}">
      <text>
        <r>
          <rPr>
            <sz val="14"/>
            <color rgb="FF000000"/>
            <rFont val="Times New Roman"/>
            <family val="18"/>
          </rPr>
          <t>ML 3550 IR 39 (1809) – AL Nr. 13 (Ujhely 01/11/1809)</t>
        </r>
        <r>
          <rPr>
            <sz val="14"/>
            <color rgb="FF000000"/>
            <rFont val="Calibri"/>
            <family val="34"/>
          </rPr>
          <t xml:space="preserve">
</t>
        </r>
      </text>
    </comment>
    <comment ref="BH1378" authorId="0" shapeId="0" xr:uid="{59DB69BD-AC10-114D-9A7F-9C59F5237910}">
      <text>
        <r>
          <rPr>
            <sz val="14"/>
            <color rgb="FF000000"/>
            <rFont val="Calibri"/>
            <family val="34"/>
          </rPr>
          <t>IR 39 (1809)</t>
        </r>
      </text>
    </comment>
    <comment ref="BF1379" authorId="0" shapeId="0" xr:uid="{EAD68F3C-A666-8D4F-ACD7-3D3E10986D1A}">
      <text>
        <r>
          <rPr>
            <sz val="14"/>
            <color rgb="FF000000"/>
            <rFont val="Times New Roman"/>
            <family val="18"/>
          </rPr>
          <t xml:space="preserve">23/10/1809 </t>
        </r>
        <r>
          <rPr>
            <i/>
            <sz val="14"/>
            <color rgb="FF000000"/>
            <rFont val="Times New Roman"/>
            <family val="18"/>
          </rPr>
          <t>Von Land ohne entgeltlich zum IR 39 auf Kriegsdauer gesellt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20. Zur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10/02/1810 </t>
        </r>
        <r>
          <rPr>
            <i/>
            <sz val="14"/>
            <color rgb="FF000000"/>
            <rFont val="Times New Roman"/>
            <family val="18"/>
          </rPr>
          <t>Zu Gran gestorben</t>
        </r>
        <r>
          <rPr>
            <sz val="14"/>
            <color rgb="FF000000"/>
            <rFont val="Times New Roman"/>
            <family val="18"/>
          </rPr>
          <t xml:space="preserve"> [ST Feb 1810]</t>
        </r>
      </text>
    </comment>
    <comment ref="BG1379" authorId="0" shapeId="0" xr:uid="{4EE23DD5-8B15-324F-9388-579D23063BB5}">
      <text>
        <r>
          <rPr>
            <sz val="14"/>
            <color rgb="FF000000"/>
            <rFont val="Times New Roman"/>
            <family val="18"/>
          </rPr>
          <t>ML 3501/2 IR 39 (1811) – 16. Fus. Komp. Abgang (Gran 16/09/1811)</t>
        </r>
        <r>
          <rPr>
            <sz val="14"/>
            <color rgb="FF000000"/>
            <rFont val="Calibri"/>
            <family val="34"/>
          </rPr>
          <t xml:space="preserve">
</t>
        </r>
        <r>
          <rPr>
            <sz val="14"/>
            <color rgb="FF000000"/>
            <rFont val="Times New Roman"/>
            <family val="18"/>
          </rPr>
          <t>ML 3551 IR 39 (1810) – ST Feb (Ofen 06/06/1811)</t>
        </r>
        <r>
          <rPr>
            <sz val="14"/>
            <color rgb="FF000000"/>
            <rFont val="Calibri"/>
            <family val="34"/>
          </rPr>
          <t xml:space="preserve">
</t>
        </r>
      </text>
    </comment>
    <comment ref="BH1379" authorId="0" shapeId="0" xr:uid="{0145931F-67DC-2A48-B31D-E71A2ED181A7}">
      <text>
        <r>
          <rPr>
            <sz val="14"/>
            <color rgb="FF000000"/>
            <rFont val="Calibri"/>
            <family val="34"/>
          </rPr>
          <t>IR 39 (1809-1810)</t>
        </r>
      </text>
    </comment>
    <comment ref="BF1380" authorId="0" shapeId="0" xr:uid="{FFE2201D-23D1-1248-97F2-E5400FDE2D25}">
      <text>
        <r>
          <rPr>
            <sz val="14"/>
            <color rgb="FF000000"/>
            <rFont val="Times New Roman"/>
            <family val="18"/>
          </rPr>
          <t xml:space="preserve">23/10/1809 </t>
        </r>
        <r>
          <rPr>
            <i/>
            <sz val="14"/>
            <color rgb="FF000000"/>
            <rFont val="Times New Roman"/>
            <family val="18"/>
          </rPr>
          <t>Von Land ohne entgeltlich zum IR 39 auf Kriegsdauer gesellt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30/11/1809 </t>
        </r>
        <r>
          <rPr>
            <i/>
            <sz val="14"/>
            <color rgb="FF000000"/>
            <rFont val="Times New Roman"/>
            <family val="18"/>
          </rPr>
          <t>Ex loco desertiert</t>
        </r>
        <r>
          <rPr>
            <sz val="14"/>
            <color rgb="FF000000"/>
            <rFont val="Times New Roman"/>
            <family val="18"/>
          </rPr>
          <t xml:space="preserve"> [ML 1811]</t>
        </r>
      </text>
    </comment>
    <comment ref="BG1380" authorId="0" shapeId="0" xr:uid="{B0851156-EE4B-AA45-96B1-5F8CDBDFF68C}">
      <text>
        <r>
          <rPr>
            <sz val="14"/>
            <color rgb="FF000000"/>
            <rFont val="Times New Roman"/>
            <family val="18"/>
          </rPr>
          <t>ML 3501/2 IR 39 (1811) – 20. Komp. Abgang (Ofen 19/09/1811)</t>
        </r>
      </text>
    </comment>
    <comment ref="BH1380" authorId="0" shapeId="0" xr:uid="{F701B1F4-62B0-DC46-AA6F-DF6560C082B4}">
      <text>
        <r>
          <rPr>
            <sz val="14"/>
            <color rgb="FF000000"/>
            <rFont val="Calibri"/>
            <family val="34"/>
          </rPr>
          <t>IR 39 (1809)</t>
        </r>
      </text>
    </comment>
    <comment ref="BF1381" authorId="0" shapeId="0" xr:uid="{07A2F077-D053-5644-8BC9-3FE111379761}">
      <text>
        <r>
          <rPr>
            <sz val="14"/>
            <color rgb="FF000000"/>
            <rFont val="Times New Roman"/>
            <family val="18"/>
          </rPr>
          <t xml:space="preserve">27/10/1809 </t>
        </r>
        <r>
          <rPr>
            <i/>
            <sz val="14"/>
            <color rgb="FF000000"/>
            <rFont val="Times New Roman"/>
            <family val="18"/>
          </rPr>
          <t>Von Land ohne entgeltlich zum IR 39 auf Kriegsdauer gesellt gestellt und zum 20. Fus. Komp. eingeteilt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01/02/1810 </t>
        </r>
        <r>
          <rPr>
            <i/>
            <sz val="14"/>
            <color rgb="FF000000"/>
            <rFont val="Times New Roman"/>
            <family val="18"/>
          </rPr>
          <t>Von 20. Zur 17.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15. Fus. Komp zum IR 62 7.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Kriegscapitulant mit Abschied entlassen</t>
        </r>
        <r>
          <rPr>
            <sz val="14"/>
            <color rgb="FF000000"/>
            <rFont val="Times New Roman"/>
            <family val="18"/>
          </rPr>
          <t xml:space="preserve"> [ML 1811] </t>
        </r>
      </text>
    </comment>
    <comment ref="BG1381" authorId="0" shapeId="0" xr:uid="{59099765-9EC9-1B48-86D4-6A53CD13D5B1}">
      <text>
        <r>
          <rPr>
            <sz val="14"/>
            <color rgb="FF000000"/>
            <rFont val="Times New Roman"/>
            <family val="18"/>
          </rPr>
          <t>ML 3501/2 IR 39 (1811) – 15. Fus. Komp. Abgang (Gran 16/09/1811)</t>
        </r>
        <r>
          <rPr>
            <sz val="14"/>
            <color rgb="FF000000"/>
            <rFont val="Aptos"/>
            <family val="34"/>
          </rPr>
          <t xml:space="preserve">
</t>
        </r>
        <r>
          <rPr>
            <sz val="14"/>
            <color rgb="FF000000"/>
            <rFont val="Times New Roman"/>
            <family val="18"/>
          </rPr>
          <t>ML 5210 IR 62 (1810) – 7. Fus. Komp. Abgang (Arad 18/09/1811)</t>
        </r>
        <r>
          <rPr>
            <sz val="14"/>
            <color rgb="FF000000"/>
            <rFont val="Aptos"/>
            <family val="34"/>
          </rPr>
          <t xml:space="preserve">
</t>
        </r>
        <r>
          <rPr>
            <sz val="14"/>
            <color rgb="FF000000"/>
            <rFont val="Times New Roman"/>
            <family val="18"/>
          </rPr>
          <t>ML 5223 IR 62 (1810) – TL IR 39-&gt;IR 62 Nr. 124 (Ofen 07/09/1810); ST July (03/03/1811), Dec (30/06/1811)</t>
        </r>
        <r>
          <rPr>
            <sz val="14"/>
            <color rgb="FF000000"/>
            <rFont val="Aptos"/>
            <family val="34"/>
          </rPr>
          <t xml:space="preserve">
</t>
        </r>
      </text>
    </comment>
    <comment ref="BH1381" authorId="0" shapeId="0" xr:uid="{BE376B28-79E8-6C46-A2DE-D7843ADD18A0}">
      <text>
        <r>
          <rPr>
            <sz val="14"/>
            <color rgb="FF000000"/>
            <rFont val="Calibri"/>
            <family val="34"/>
          </rPr>
          <t xml:space="preserve">IR 39 (1809-1810)
</t>
        </r>
        <r>
          <rPr>
            <sz val="14"/>
            <color rgb="FF000000"/>
            <rFont val="Calibri"/>
            <family val="34"/>
          </rPr>
          <t>IR 62 (1810-1811)</t>
        </r>
      </text>
    </comment>
    <comment ref="BF1382" authorId="0" shapeId="0" xr:uid="{41CA8F21-BD18-4447-AB15-300E0B1FBCFC}">
      <text>
        <r>
          <rPr>
            <sz val="14"/>
            <color rgb="FF000000"/>
            <rFont val="Times New Roman"/>
            <family val="18"/>
          </rPr>
          <t>27/10/1809</t>
        </r>
        <r>
          <rPr>
            <i/>
            <sz val="14"/>
            <color rgb="FF000000"/>
            <rFont val="Times New Roman"/>
            <family val="18"/>
          </rPr>
          <t xml:space="preserve"> Zum 1. Ostgalizische Freibataillon gestellt, zum Kolomea assentiert und zum 2. Kompanie eingeheilt. Laut assentlisten das Handgeld zu 3 Gulden noch zu fordern</t>
        </r>
        <r>
          <rPr>
            <sz val="14"/>
            <color rgb="FF000000"/>
            <rFont val="Times New Roman"/>
            <family val="18"/>
          </rPr>
          <t xml:space="preserve"> [AL Nov 1809 &amp; ST Nov 1809]
</t>
        </r>
        <r>
          <rPr>
            <sz val="14"/>
            <color rgb="FF000000"/>
            <rFont val="Times New Roman"/>
            <family val="18"/>
          </rPr>
          <t xml:space="preserve">26/11/1809 </t>
        </r>
        <r>
          <rPr>
            <i/>
            <sz val="14"/>
            <color rgb="FF000000"/>
            <rFont val="Times New Roman"/>
            <family val="18"/>
          </rPr>
          <t>Krank in auswärtiger Spital</t>
        </r>
        <r>
          <rPr>
            <sz val="14"/>
            <color rgb="FF000000"/>
            <rFont val="Times New Roman"/>
            <family val="18"/>
          </rPr>
          <t xml:space="preserve"> [ST Nov 1809]
</t>
        </r>
        <r>
          <rPr>
            <sz val="14"/>
            <color rgb="FFFF0000"/>
            <rFont val="Times New Roman"/>
            <family val="18"/>
          </rPr>
          <t xml:space="preserve">11/12/1809 </t>
        </r>
        <r>
          <rPr>
            <i/>
            <sz val="14"/>
            <color rgb="FFFF0000"/>
            <rFont val="Times New Roman"/>
            <family val="18"/>
          </rPr>
          <t>gestorben</t>
        </r>
        <r>
          <rPr>
            <sz val="14"/>
            <color rgb="FFFF0000"/>
            <rFont val="Times New Roman"/>
            <family val="18"/>
          </rPr>
          <t xml:space="preserve"> [ST Dec 1809]</t>
        </r>
        <r>
          <rPr>
            <sz val="14"/>
            <color rgb="FF000000"/>
            <rFont val="Times New Roman"/>
            <family val="18"/>
          </rPr>
          <t xml:space="preserve">
</t>
        </r>
        <r>
          <rPr>
            <sz val="14"/>
            <color rgb="FF000000"/>
            <rFont val="Times New Roman"/>
            <family val="18"/>
          </rPr>
          <t xml:space="preserve">05/01/1810 Von </t>
        </r>
        <r>
          <rPr>
            <i/>
            <sz val="14"/>
            <color rgb="FF000000"/>
            <rFont val="Times New Roman"/>
            <family val="18"/>
          </rPr>
          <t xml:space="preserve">1. Ostgalizische Freibataillon 2. Kompanie zum IR 41 Kottulinsky transferiert, seitdem auf anhero Marsch </t>
        </r>
        <r>
          <rPr>
            <sz val="14"/>
            <color rgb="FF000000"/>
            <rFont val="Times New Roman"/>
            <family val="18"/>
          </rPr>
          <t xml:space="preserve">[TL Jan 1810 &amp; ST Jan 1810]
</t>
        </r>
        <r>
          <rPr>
            <sz val="14"/>
            <color rgb="FF000000"/>
            <rFont val="Times New Roman"/>
            <family val="18"/>
          </rPr>
          <t xml:space="preserve">09/01/1810 </t>
        </r>
        <r>
          <rPr>
            <i/>
            <sz val="14"/>
            <color rgb="FF000000"/>
            <rFont val="Times New Roman"/>
            <family val="18"/>
          </rPr>
          <t>Eingerückt und zum 1. Reserve Komp eingeteilt</t>
        </r>
        <r>
          <rPr>
            <sz val="14"/>
            <color rgb="FF000000"/>
            <rFont val="Times New Roman"/>
            <family val="18"/>
          </rPr>
          <t xml:space="preserve"> [ST Jan 1810] 
</t>
        </r>
        <r>
          <rPr>
            <sz val="14"/>
            <color rgb="FF000000"/>
            <rFont val="Times New Roman"/>
            <family val="18"/>
          </rPr>
          <t xml:space="preserve">01/02/1810 </t>
        </r>
        <r>
          <rPr>
            <i/>
            <sz val="14"/>
            <color rgb="FF000000"/>
            <rFont val="Times New Roman"/>
            <family val="18"/>
          </rPr>
          <t>Von 1. Zum 6. Fus. Komp. transferiert</t>
        </r>
        <r>
          <rPr>
            <sz val="14"/>
            <color rgb="FF000000"/>
            <rFont val="Times New Roman"/>
            <family val="18"/>
          </rPr>
          <t xml:space="preserve"> [ST Feb 1810]
</t>
        </r>
        <r>
          <rPr>
            <sz val="14"/>
            <color rgb="FF000000"/>
            <rFont val="Times New Roman"/>
            <family val="18"/>
          </rPr>
          <t xml:space="preserve">15/08/1810 </t>
        </r>
        <r>
          <rPr>
            <i/>
            <sz val="14"/>
            <color rgb="FF000000"/>
            <rFont val="Times New Roman"/>
            <family val="18"/>
          </rPr>
          <t xml:space="preserve">Vermog General Kommando Verordnung ddo. Lemberg am 25. Juli 810 Nr. 5854 mittels Kossion </t>
        </r>
        <r>
          <rPr>
            <sz val="14"/>
            <color rgb="FF000000"/>
            <rFont val="Times New Roman"/>
            <family val="18"/>
          </rPr>
          <t xml:space="preserve">[Konzession] </t>
        </r>
        <r>
          <rPr>
            <i/>
            <sz val="14"/>
            <color rgb="FF000000"/>
            <rFont val="Times New Roman"/>
            <family val="18"/>
          </rPr>
          <t>mit Abschied entlassen</t>
        </r>
        <r>
          <rPr>
            <sz val="14"/>
            <color rgb="FF000000"/>
            <rFont val="Times New Roman"/>
            <family val="18"/>
          </rPr>
          <t xml:space="preserve"> [ST Aug 1810] 
</t>
        </r>
      </text>
    </comment>
    <comment ref="BG1382" authorId="0" shapeId="0" xr:uid="{1BE4C737-57C8-BE4D-AAA6-2EF7CF2A3849}">
      <text>
        <r>
          <rPr>
            <sz val="14"/>
            <color rgb="FF000000"/>
            <rFont val="Times New Roman"/>
            <family val="18"/>
          </rPr>
          <t>ML 10.829 Ostgalizische 1. FB (1809) – AL Nr. 49 (Kolomea 03/11/1809), ST Nov (Stanislau 03/08/1810), Dec (Stanislau 03/08/1810)</t>
        </r>
        <r>
          <rPr>
            <sz val="14"/>
            <color rgb="FF000000"/>
            <rFont val="Aptos"/>
            <family val="34"/>
          </rPr>
          <t xml:space="preserve">
</t>
        </r>
        <r>
          <rPr>
            <sz val="14"/>
            <color rgb="FF000000"/>
            <rFont val="Times New Roman"/>
            <family val="18"/>
          </rPr>
          <t>ML 10.830 Ostgalizische 1. FB (1810) – TL Nr. 42 (Stanislau 02/07/1810)</t>
        </r>
        <r>
          <rPr>
            <sz val="14"/>
            <color rgb="FF000000"/>
            <rFont val="Aptos"/>
            <family val="34"/>
          </rPr>
          <t xml:space="preserve">
</t>
        </r>
        <r>
          <rPr>
            <sz val="14"/>
            <color rgb="FF000000"/>
            <rFont val="Times New Roman"/>
            <family val="18"/>
          </rPr>
          <t>ML 3727 IR 41 (1810) – ST Jan (20/10/1810), Feb (24/10/1810), Aug (Sanok 22/12/1810)</t>
        </r>
        <r>
          <rPr>
            <sz val="14"/>
            <color rgb="FF000000"/>
            <rFont val="Aptos"/>
            <family val="34"/>
          </rPr>
          <t xml:space="preserve">
</t>
        </r>
        <r>
          <rPr>
            <sz val="14"/>
            <color rgb="FF000000"/>
            <rFont val="Times New Roman"/>
            <family val="18"/>
          </rPr>
          <t>ML 3728 IR 41 (1810) AL/TL – TL FB EGal 1-&gt;IR 41 Nr. 52 (Stanislau 02/07/1810)</t>
        </r>
        <r>
          <rPr>
            <sz val="14"/>
            <color rgb="FF000000"/>
            <rFont val="Aptos"/>
            <family val="34"/>
          </rPr>
          <t xml:space="preserve">
</t>
        </r>
      </text>
    </comment>
    <comment ref="BH1382" authorId="0" shapeId="0" xr:uid="{2883CCA5-C4F4-8D42-847B-0B958D221694}">
      <text>
        <r>
          <rPr>
            <sz val="14"/>
            <color rgb="FF000000"/>
            <rFont val="Calibri"/>
            <family val="34"/>
          </rPr>
          <t xml:space="preserve">FB EGal 1 (1809-1810)
</t>
        </r>
        <r>
          <rPr>
            <sz val="14"/>
            <color rgb="FF000000"/>
            <rFont val="Calibri"/>
            <family val="34"/>
          </rPr>
          <t>IR 41 (1810)</t>
        </r>
      </text>
    </comment>
    <comment ref="BI1382" authorId="0" shapeId="0" xr:uid="{3F78D590-B354-1144-B006-0082E3CD21F5}">
      <text>
        <r>
          <rPr>
            <i/>
            <sz val="14"/>
            <color rgb="FF000000"/>
            <rFont val="Times New Roman"/>
            <family val="18"/>
          </rPr>
          <t>Gut</t>
        </r>
        <r>
          <rPr>
            <sz val="14"/>
            <color rgb="FF000000"/>
            <rFont val="Times New Roman"/>
            <family val="18"/>
          </rPr>
          <t xml:space="preserve"> [TL Jan 1810]</t>
        </r>
      </text>
    </comment>
    <comment ref="BF1383" authorId="0" shapeId="0" xr:uid="{4E88DC84-20F5-EC4C-A738-A7A70FF88334}">
      <text>
        <r>
          <rPr>
            <sz val="14"/>
            <color rgb="FF000000"/>
            <rFont val="Times New Roman"/>
            <family val="18"/>
          </rPr>
          <t>27/10/1809</t>
        </r>
        <r>
          <rPr>
            <i/>
            <sz val="14"/>
            <color rgb="FF000000"/>
            <rFont val="Times New Roman"/>
            <family val="18"/>
          </rPr>
          <t xml:space="preserve"> mit zehnjährigen Capitulation zum 1. Ostgalizische Freibataillon von der Stanislauer Kreis gestellt und zum 4. Kompanie eingeheilt</t>
        </r>
        <r>
          <rPr>
            <sz val="14"/>
            <color rgb="FF000000"/>
            <rFont val="Times New Roman"/>
            <family val="18"/>
          </rPr>
          <t xml:space="preserve"> [AL Oct 1809 &amp; ST Nov 1809]</t>
        </r>
        <r>
          <rPr>
            <sz val="14"/>
            <color rgb="FF000000"/>
            <rFont val="Calibri"/>
            <family val="34"/>
          </rPr>
          <t xml:space="preserve">
</t>
        </r>
        <r>
          <rPr>
            <sz val="14"/>
            <color rgb="FF000000"/>
            <rFont val="Times New Roman"/>
            <family val="18"/>
          </rPr>
          <t xml:space="preserve">14/12/1809 </t>
        </r>
        <r>
          <rPr>
            <i/>
            <sz val="14"/>
            <color rgb="FF000000"/>
            <rFont val="Times New Roman"/>
            <family val="18"/>
          </rPr>
          <t>Bis zur erhoffenden Entlausung beurlaubt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13/12/1809 </t>
        </r>
        <r>
          <rPr>
            <i/>
            <sz val="14"/>
            <color rgb="FF000000"/>
            <rFont val="Times New Roman"/>
            <family val="18"/>
          </rPr>
          <t>Gegen Stellung des Gemeinen Johann Schiminski so in diesem Monat bei eben derselben companie in zuwachs erscheinend und Erlag des Monturgeldes gr. 53Fl 28xr laut hoher General Commando Verordnung det. Lemberg am 12 Jannuer 1810 Nr. 22 Lit U auf Steuerbare Wirtschaft mit Abschied entlassen</t>
        </r>
        <r>
          <rPr>
            <sz val="14"/>
            <color rgb="FF000000"/>
            <rFont val="Times New Roman"/>
            <family val="18"/>
          </rPr>
          <t xml:space="preserve"> [ST Jan 1810]</t>
        </r>
        <r>
          <rPr>
            <sz val="14"/>
            <color rgb="FF000000"/>
            <rFont val="Calibri"/>
            <family val="34"/>
          </rPr>
          <t xml:space="preserve">
</t>
        </r>
      </text>
    </comment>
    <comment ref="BG1383" authorId="0" shapeId="0" xr:uid="{0EFA5F5D-86F3-DC44-93F9-748E8DDAD6F9}">
      <text>
        <r>
          <rPr>
            <sz val="14"/>
            <color rgb="FF000000"/>
            <rFont val="Times New Roman"/>
            <family val="18"/>
          </rPr>
          <t>ML 10.829 Ostgalizische 1. FB (1809) – AL Nr. 47 (Stanislau 27/10/1809), ST Nov (Stanislau 03/08/1810), ST Dec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1383" authorId="0" shapeId="0" xr:uid="{58BC2EE6-A577-584A-8DED-A80920FE1BD1}">
      <text>
        <r>
          <rPr>
            <sz val="14"/>
            <color rgb="FF000000"/>
            <rFont val="Calibri"/>
            <family val="34"/>
          </rPr>
          <t>Ostgalizische 1. Freibataillon (1809)</t>
        </r>
      </text>
    </comment>
    <comment ref="BF1384" authorId="0" shapeId="0" xr:uid="{5D532A43-FF66-AB4E-8CF5-2DD2A8A824E0}">
      <text>
        <r>
          <rPr>
            <sz val="14"/>
            <color rgb="FF000000"/>
            <rFont val="Times New Roman"/>
            <family val="18"/>
          </rPr>
          <t>29/10/1809</t>
        </r>
        <r>
          <rPr>
            <i/>
            <sz val="14"/>
            <color rgb="FF000000"/>
            <rFont val="Times New Roman"/>
            <family val="18"/>
          </rPr>
          <t xml:space="preserve"> Zum 1. Ostgalizische Freibataillon gestellt, zum Kolomea assentiert und zum 3. Kompanie eingeheilt. Laut assentlisten das Handgeld zu 3 Gulden noch zu fordern</t>
        </r>
        <r>
          <rPr>
            <sz val="14"/>
            <color rgb="FF000000"/>
            <rFont val="Times New Roman"/>
            <family val="18"/>
          </rPr>
          <t xml:space="preserve"> [AL Nov 1809 &amp; ST Nov 1809] [AL Nov 1809 &amp; ST Nov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Gegen Stellung des Gemeinen Conrad Konszarowski so in diesem Monat bei eben derselben companie in zuwachs erscheinend und Erlad des Monturgeldes gr. 53Fl 28xr laut hoher General Commando Verordnung det. Lemberg am 12 Jannuer 1810 Nr. 22 Lit U auf Steurbare Wirtschaft mit Abschied entlassen</t>
        </r>
        <r>
          <rPr>
            <sz val="14"/>
            <color rgb="FF000000"/>
            <rFont val="Times New Roman"/>
            <family val="18"/>
          </rPr>
          <t xml:space="preserve"> [ST Jan 1810]</t>
        </r>
        <r>
          <rPr>
            <sz val="14"/>
            <color rgb="FF000000"/>
            <rFont val="Calibri"/>
            <family val="34"/>
          </rPr>
          <t xml:space="preserve">
</t>
        </r>
      </text>
    </comment>
    <comment ref="BG1384" authorId="0" shapeId="0" xr:uid="{8D1E6AFD-9D26-7E40-9337-EA80E87C1490}">
      <text>
        <r>
          <rPr>
            <sz val="14"/>
            <color rgb="FF000000"/>
            <rFont val="Times New Roman"/>
            <family val="18"/>
          </rPr>
          <t>ML 10.829 Ostgalizische 1. FB (1809) – AL Nr. 79 (Kolomea 03/11/1809), ST Nov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1384" authorId="0" shapeId="0" xr:uid="{D023F466-633C-C042-96B4-1BE7DB3331F1}">
      <text>
        <r>
          <rPr>
            <sz val="14"/>
            <color rgb="FF000000"/>
            <rFont val="Calibri"/>
            <family val="34"/>
          </rPr>
          <t>Ostgalizische 1. Freibataillon (1809)</t>
        </r>
      </text>
    </comment>
    <comment ref="BF1385" authorId="0" shapeId="0" xr:uid="{482061BC-8488-6948-9F94-2F5FA42135AC}">
      <text>
        <r>
          <rPr>
            <sz val="14"/>
            <color rgb="FF000000"/>
            <rFont val="Times New Roman"/>
            <family val="18"/>
          </rPr>
          <t xml:space="preserve">16/11/1809 </t>
        </r>
        <r>
          <rPr>
            <i/>
            <sz val="14"/>
            <color rgb="FF000000"/>
            <rFont val="Times New Roman"/>
            <family val="18"/>
          </rPr>
          <t>Von der Galizischen Fuhr- und Packwesen Einrichtungsdivision Zum 1. Ostgalizische FBat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21/11/1809 </t>
        </r>
        <r>
          <rPr>
            <i/>
            <sz val="14"/>
            <color rgb="FF000000"/>
            <rFont val="Times New Roman"/>
            <family val="18"/>
          </rPr>
          <t>Krank auswärts</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05/01/1809 </t>
        </r>
        <r>
          <rPr>
            <i/>
            <sz val="14"/>
            <color rgb="FF000000"/>
            <rFont val="Times New Roman"/>
            <family val="18"/>
          </rPr>
          <t>Zur Galizische Fuhr- und Packeinrichtungsdivision transferiert</t>
        </r>
        <r>
          <rPr>
            <sz val="14"/>
            <color rgb="FF000000"/>
            <rFont val="Times New Roman"/>
            <family val="18"/>
          </rPr>
          <t xml:space="preserve"> [ST Jan 1810]</t>
        </r>
        <r>
          <rPr>
            <sz val="14"/>
            <color rgb="FF000000"/>
            <rFont val="Calibri"/>
            <family val="34"/>
          </rPr>
          <t xml:space="preserve">
</t>
        </r>
      </text>
    </comment>
    <comment ref="BG1385" authorId="0" shapeId="0" xr:uid="{0EC538B4-FE24-4B47-A254-51A0FC8ADB87}">
      <text>
        <r>
          <rPr>
            <sz val="14"/>
            <color rgb="FF000000"/>
            <rFont val="Times New Roman"/>
            <family val="18"/>
          </rPr>
          <t>ML 10.829 Ostgalizische 1. FB (1809) – ST Nov (Stanislau 03/08/1810)</t>
        </r>
        <r>
          <rPr>
            <sz val="14"/>
            <color rgb="FF000000"/>
            <rFont val="Calibri"/>
            <family val="34"/>
          </rPr>
          <t xml:space="preserve">
</t>
        </r>
        <r>
          <rPr>
            <sz val="14"/>
            <color rgb="FF000000"/>
            <rFont val="Times New Roman"/>
            <family val="18"/>
          </rPr>
          <t>ML 10.830 Ostgalizische 1. FB (1809) – ST Jan (Stanislau 03/08/1810)</t>
        </r>
        <r>
          <rPr>
            <sz val="14"/>
            <color rgb="FF000000"/>
            <rFont val="Calibri"/>
            <family val="34"/>
          </rPr>
          <t xml:space="preserve">
</t>
        </r>
      </text>
    </comment>
    <comment ref="BH1385" authorId="0" shapeId="0" xr:uid="{D741C36D-5D80-0F48-8E7B-791855CF033B}">
      <text>
        <r>
          <rPr>
            <sz val="14"/>
            <color rgb="FF000000"/>
            <rFont val="Calibri"/>
            <family val="34"/>
          </rPr>
          <t>MFWK (1809)</t>
        </r>
      </text>
    </comment>
    <comment ref="BF1386" authorId="0" shapeId="0" xr:uid="{BF745784-D00E-9B4F-8C7A-0DCE93123BD5}">
      <text>
        <r>
          <rPr>
            <sz val="14"/>
            <color rgb="FF000000"/>
            <rFont val="Times New Roman"/>
            <family val="18"/>
          </rPr>
          <t xml:space="preserve">16/11/1809 </t>
        </r>
        <r>
          <rPr>
            <i/>
            <sz val="14"/>
            <color rgb="FF000000"/>
            <rFont val="Times New Roman"/>
            <family val="18"/>
          </rPr>
          <t>Von Dominien a drey Gulden Handgeld aud die Kriegsdauer gestellt und ins k.k. Buccoviner Cavallerie Frey Corps 2. Jager Escadron in Czernowitz assentiert; hat mit seinem eigenen Pferd beigetreten</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20/02/1810 </t>
        </r>
        <r>
          <rPr>
            <i/>
            <sz val="14"/>
            <color rgb="FF000000"/>
            <rFont val="Times New Roman"/>
            <family val="18"/>
          </rPr>
          <t>In Folge hoher General Commando Verordnung det. Lemberg ddt. Den 20. Janner 810 als unentbehrlich bei der Wirtschaft als Kriegscapitulant mit Abschied entlassen</t>
        </r>
        <r>
          <rPr>
            <sz val="14"/>
            <color rgb="FF000000"/>
            <rFont val="Times New Roman"/>
            <family val="18"/>
          </rPr>
          <t xml:space="preserve"> [ST Feb 1810]</t>
        </r>
        <r>
          <rPr>
            <sz val="14"/>
            <color rgb="FF000000"/>
            <rFont val="Calibri"/>
            <family val="34"/>
          </rPr>
          <t xml:space="preserve">
</t>
        </r>
        <r>
          <rPr>
            <sz val="14"/>
            <color rgb="FF000000"/>
            <rFont val="+mn-lt"/>
            <charset val="1"/>
          </rPr>
          <t xml:space="preserve">
</t>
        </r>
      </text>
    </comment>
    <comment ref="BG1386" authorId="0" shapeId="0" xr:uid="{398A7F90-64AD-3242-BF67-F524E04612C9}">
      <text>
        <r>
          <rPr>
            <sz val="14"/>
            <color rgb="FF000000"/>
            <rFont val="Calibri"/>
            <family val="34"/>
          </rPr>
          <t xml:space="preserve">ML 10.835 Bukovianer FK (1809) – AL Nr. 13 (Czernowitz 27/11/1809) &amp; ST Nov (Czernowitz 23/02/1811)
</t>
        </r>
        <r>
          <rPr>
            <sz val="14"/>
            <color rgb="FF000000"/>
            <rFont val="Calibri"/>
            <family val="34"/>
          </rPr>
          <t xml:space="preserve">ML 10.836 Bukovianer FK (1810) – ST Feb (Czernowitz 01/03/1811)
</t>
        </r>
      </text>
    </comment>
    <comment ref="BH1386" authorId="0" shapeId="0" xr:uid="{1FD8A779-9C2E-154A-B3CD-0CDFA4C03D71}">
      <text>
        <r>
          <rPr>
            <sz val="14"/>
            <color rgb="FF000000"/>
            <rFont val="Calibri"/>
            <family val="34"/>
          </rPr>
          <t>Buccovianer KavallerieiFK  (1809-10)</t>
        </r>
      </text>
    </comment>
    <comment ref="BF1387" authorId="0" shapeId="0" xr:uid="{7F1C0A2B-72C0-9B4B-A194-386EB6A209D3}">
      <text>
        <r>
          <rPr>
            <sz val="14"/>
            <color rgb="FF000000"/>
            <rFont val="Times New Roman"/>
            <family val="18"/>
          </rPr>
          <t xml:space="preserve">18/11/1809 </t>
        </r>
        <r>
          <rPr>
            <i/>
            <sz val="14"/>
            <color rgb="FF000000"/>
            <rFont val="Times New Roman"/>
            <family val="18"/>
          </rPr>
          <t>Von Land ohne Entgelt des Araray auf Kriegsdauer zum IR 39 gestellt und zum 19. Fus. Komp. eingeteilt</t>
        </r>
        <r>
          <rPr>
            <sz val="14"/>
            <color rgb="FF000000"/>
            <rFont val="Times New Roman"/>
            <family val="18"/>
          </rPr>
          <t xml:space="preserve"> [ML 1811] </t>
        </r>
        <r>
          <rPr>
            <sz val="14"/>
            <color rgb="FF000000"/>
            <rFont val="Aptos"/>
            <family val="34"/>
          </rPr>
          <t xml:space="preserve">
</t>
        </r>
        <r>
          <rPr>
            <sz val="14"/>
            <color rgb="FFFF0000"/>
            <rFont val="Times New Roman"/>
            <family val="18"/>
          </rPr>
          <t xml:space="preserve">26/11/1809 </t>
        </r>
        <r>
          <rPr>
            <i/>
            <sz val="14"/>
            <color rgb="FFFF0000"/>
            <rFont val="Times New Roman"/>
            <family val="18"/>
          </rPr>
          <t>Auf Kriegsdauer gestellt</t>
        </r>
        <r>
          <rPr>
            <sz val="14"/>
            <color rgb="FFFF0000"/>
            <rFont val="Times New Roman"/>
            <family val="18"/>
          </rPr>
          <t xml:space="preserve"> [TL Sept 1810]</t>
        </r>
        <r>
          <rPr>
            <sz val="14"/>
            <color rgb="FF000000"/>
            <rFont val="Aptos"/>
            <family val="34"/>
          </rPr>
          <t xml:space="preserve">
</t>
        </r>
        <r>
          <rPr>
            <sz val="14"/>
            <color rgb="FF000000"/>
            <rFont val="Times New Roman"/>
            <family val="18"/>
          </rPr>
          <t xml:space="preserve">11/01/1810 </t>
        </r>
        <r>
          <rPr>
            <i/>
            <sz val="14"/>
            <color rgb="FF000000"/>
            <rFont val="Times New Roman"/>
            <family val="18"/>
          </rPr>
          <t xml:space="preserve">Von 19. zur 20. Fus. Komp. transferiert </t>
        </r>
        <r>
          <rPr>
            <sz val="14"/>
            <color rgb="FF000000"/>
            <rFont val="Times New Roman"/>
            <family val="18"/>
          </rPr>
          <t>[ML 1811]</t>
        </r>
        <r>
          <rPr>
            <sz val="14"/>
            <color rgb="FF000000"/>
            <rFont val="Aptos"/>
            <family val="34"/>
          </rPr>
          <t xml:space="preserve">
</t>
        </r>
        <r>
          <rPr>
            <sz val="14"/>
            <color rgb="FF000000"/>
            <rFont val="Times New Roman"/>
            <family val="18"/>
          </rPr>
          <t xml:space="preserve">01/02/1810 </t>
        </r>
        <r>
          <rPr>
            <i/>
            <sz val="14"/>
            <color rgb="FF000000"/>
            <rFont val="Times New Roman"/>
            <family val="18"/>
          </rPr>
          <t>Von 20. Zur 13. Fus. Komp. transferiert</t>
        </r>
        <r>
          <rPr>
            <sz val="14"/>
            <color rgb="FF000000"/>
            <rFont val="Times New Roman"/>
            <family val="18"/>
          </rPr>
          <t xml:space="preserve"> [ML 1811]</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13. Fus. Komp zum IR 62 8. Fus. Komp. transferiert</t>
        </r>
        <r>
          <rPr>
            <sz val="14"/>
            <color rgb="FF000000"/>
            <rFont val="Times New Roman"/>
            <family val="18"/>
          </rPr>
          <t xml:space="preserve"> </t>
        </r>
        <r>
          <rPr>
            <i/>
            <sz val="14"/>
            <color rgb="FF000000"/>
            <rFont val="Times New Roman"/>
            <family val="18"/>
          </rPr>
          <t>seitdem auf anhero Marsch</t>
        </r>
        <r>
          <rPr>
            <sz val="14"/>
            <color rgb="FF000000"/>
            <rFont val="Times New Roman"/>
            <family val="18"/>
          </rPr>
          <t xml:space="preserve"> [TL Sept 1810 &amp; ST July 1810]</t>
        </r>
        <r>
          <rPr>
            <sz val="14"/>
            <color rgb="FF000000"/>
            <rFont val="Aptos"/>
            <family val="34"/>
          </rPr>
          <t xml:space="preserve">
</t>
        </r>
        <r>
          <rPr>
            <sz val="14"/>
            <color rgb="FF000000"/>
            <rFont val="Times New Roman"/>
            <family val="18"/>
          </rPr>
          <t xml:space="preserve">26/07/1810 </t>
        </r>
        <r>
          <rPr>
            <i/>
            <sz val="14"/>
            <color rgb="FF000000"/>
            <rFont val="Times New Roman"/>
            <family val="18"/>
          </rPr>
          <t>In Regiment eingerückt</t>
        </r>
        <r>
          <rPr>
            <sz val="14"/>
            <color rgb="FF000000"/>
            <rFont val="Times New Roman"/>
            <family val="18"/>
          </rPr>
          <t xml:space="preserve"> [ST July 1810]</t>
        </r>
        <r>
          <rPr>
            <sz val="14"/>
            <color rgb="FF000000"/>
            <rFont val="Aptos"/>
            <family val="34"/>
          </rPr>
          <t xml:space="preserve">
</t>
        </r>
        <r>
          <rPr>
            <sz val="14"/>
            <color rgb="FF000000"/>
            <rFont val="Times New Roman"/>
            <family val="18"/>
          </rPr>
          <t xml:space="preserve">05/09/1810 </t>
        </r>
        <r>
          <rPr>
            <i/>
            <sz val="14"/>
            <color rgb="FF000000"/>
            <rFont val="Times New Roman"/>
            <family val="18"/>
          </rPr>
          <t xml:space="preserve">Als ausgedienter Kriegscapitulant mit Abschied entlassen </t>
        </r>
        <r>
          <rPr>
            <sz val="14"/>
            <color rgb="FF000000"/>
            <rFont val="Times New Roman"/>
            <family val="18"/>
          </rPr>
          <t>[ST Sept 1810]</t>
        </r>
      </text>
    </comment>
    <comment ref="BG1387" authorId="0" shapeId="0" xr:uid="{9E244134-BAB7-CA43-B97F-C5C86CB51FD8}">
      <text>
        <r>
          <rPr>
            <sz val="14"/>
            <color rgb="FF000000"/>
            <rFont val="Times New Roman"/>
            <family val="18"/>
          </rPr>
          <t>ML 3501/2 IR 39 (1811) – 13. Fus. Komp. Abgang (Gran 16/09/1811)</t>
        </r>
        <r>
          <rPr>
            <sz val="14"/>
            <color rgb="FF000000"/>
            <rFont val="Aptos"/>
            <family val="34"/>
          </rPr>
          <t xml:space="preserve">
</t>
        </r>
        <r>
          <rPr>
            <sz val="14"/>
            <color rgb="FF000000"/>
            <rFont val="Times New Roman"/>
            <family val="18"/>
          </rPr>
          <t>ML 5223 IR 62 (1810) – TL IR 39-&gt;IR 62 Nr. 80 (Ofen 07/09/1810); ST July (03/03/1811), Sept (Tamesvar 07/04/1811)</t>
        </r>
        <r>
          <rPr>
            <sz val="14"/>
            <color rgb="FF000000"/>
            <rFont val="Aptos"/>
            <family val="34"/>
          </rPr>
          <t xml:space="preserve">
</t>
        </r>
      </text>
    </comment>
    <comment ref="BH1387" authorId="0" shapeId="0" xr:uid="{A878E98A-6B39-0C4C-B0EE-0F6E2DD8446E}">
      <text>
        <r>
          <rPr>
            <sz val="14"/>
            <color rgb="FF000000"/>
            <rFont val="Calibri"/>
            <family val="34"/>
          </rPr>
          <t xml:space="preserve">IR 39 (1809-1810)
</t>
        </r>
        <r>
          <rPr>
            <sz val="14"/>
            <color rgb="FF000000"/>
            <rFont val="Calibri"/>
            <family val="34"/>
          </rPr>
          <t>IR 62 (1810)</t>
        </r>
      </text>
    </comment>
    <comment ref="BF1388" authorId="0" shapeId="0" xr:uid="{2445A065-0B68-4F4D-B3E2-EC8517110091}">
      <text>
        <r>
          <rPr>
            <sz val="14"/>
            <color rgb="FF000000"/>
            <rFont val="Times New Roman"/>
            <family val="18"/>
          </rPr>
          <t xml:space="preserve">18/11/1809 </t>
        </r>
        <r>
          <rPr>
            <i/>
            <sz val="14"/>
            <color rgb="FF000000"/>
            <rFont val="Times New Roman"/>
            <family val="18"/>
          </rPr>
          <t>Von Land ohne Entgelt des Araray auf Kriegsdauer zum IR 39 gestellt und zum 19. Fus. Komp. eingeteilt</t>
        </r>
        <r>
          <rPr>
            <sz val="14"/>
            <color rgb="FF000000"/>
            <rFont val="Times New Roman"/>
            <family val="18"/>
          </rPr>
          <t xml:space="preserve"> [ML 1811] [ML 1811]</t>
        </r>
        <r>
          <rPr>
            <sz val="14"/>
            <color rgb="FF000000"/>
            <rFont val="Calibri"/>
            <family val="34"/>
          </rPr>
          <t xml:space="preserve">
</t>
        </r>
        <r>
          <rPr>
            <sz val="14"/>
            <color rgb="FF000000"/>
            <rFont val="Times New Roman"/>
            <family val="18"/>
          </rPr>
          <t xml:space="preserve">06/01/1810 </t>
        </r>
        <r>
          <rPr>
            <i/>
            <sz val="14"/>
            <color rgb="FF000000"/>
            <rFont val="Times New Roman"/>
            <family val="18"/>
          </rPr>
          <t>In Militärspital zu Oroshaza gestorben</t>
        </r>
        <r>
          <rPr>
            <sz val="14"/>
            <color rgb="FF000000"/>
            <rFont val="Times New Roman"/>
            <family val="18"/>
          </rPr>
          <t xml:space="preserve"> [ML 1811]</t>
        </r>
      </text>
    </comment>
    <comment ref="BG1388" authorId="0" shapeId="0" xr:uid="{2C7F4AE1-DC35-D548-AD08-1FB88D749EE8}">
      <text>
        <r>
          <rPr>
            <sz val="14"/>
            <color rgb="FF000000"/>
            <rFont val="Times New Roman"/>
            <family val="18"/>
          </rPr>
          <t>ML 3501/2 IR 39 (1811) – 19. Komp. Abgang (Ofen 19/09/1811)</t>
        </r>
      </text>
    </comment>
    <comment ref="BH1388" authorId="0" shapeId="0" xr:uid="{9FA4DA9E-2732-C248-9B5F-B614A935918D}">
      <text>
        <r>
          <rPr>
            <sz val="14"/>
            <color rgb="FF000000"/>
            <rFont val="Calibri"/>
            <family val="34"/>
          </rPr>
          <t>IR 39 (1809-1810)</t>
        </r>
      </text>
    </comment>
    <comment ref="BF1389" authorId="0" shapeId="0" xr:uid="{82679D25-0849-2049-9445-697380495035}">
      <text>
        <r>
          <rPr>
            <sz val="14"/>
            <color rgb="FF000000"/>
            <rFont val="Times New Roman"/>
            <family val="18"/>
          </rPr>
          <t xml:space="preserve">05/12/1809 </t>
        </r>
        <r>
          <rPr>
            <i/>
            <sz val="14"/>
            <color rgb="FF000000"/>
            <rFont val="Times New Roman"/>
            <family val="18"/>
          </rPr>
          <t>Von Land ohne Entgelt des Araray zum IR 39 gestellt und zum 19. Fus. Komp. eingeteilt</t>
        </r>
        <r>
          <rPr>
            <sz val="14"/>
            <color rgb="FF000000"/>
            <rFont val="Calibri"/>
            <family val="34"/>
          </rPr>
          <t xml:space="preserve">
</t>
        </r>
        <r>
          <rPr>
            <sz val="14"/>
            <color rgb="FF000000"/>
            <rFont val="Times New Roman"/>
            <family val="18"/>
          </rPr>
          <t xml:space="preserve">18/12/1809 </t>
        </r>
        <r>
          <rPr>
            <i/>
            <sz val="14"/>
            <color rgb="FF000000"/>
            <rFont val="Times New Roman"/>
            <family val="18"/>
          </rPr>
          <t>ex loco und auf dem Marsch desertiert</t>
        </r>
        <r>
          <rPr>
            <sz val="14"/>
            <color rgb="FF000000"/>
            <rFont val="Times New Roman"/>
            <family val="18"/>
          </rPr>
          <t xml:space="preserve"> [ML 1811]</t>
        </r>
      </text>
    </comment>
    <comment ref="BG1389" authorId="0" shapeId="0" xr:uid="{D02E38A2-9819-B74A-BD17-52F3AAF003AD}">
      <text>
        <r>
          <rPr>
            <sz val="14"/>
            <color rgb="FF000000"/>
            <rFont val="Times New Roman"/>
            <family val="18"/>
          </rPr>
          <t>ML 3501/2 IR 39 (1811) – 19. Komp. Abgang (Ofen 19/09/1811)</t>
        </r>
      </text>
    </comment>
    <comment ref="BH1389" authorId="0" shapeId="0" xr:uid="{6F6A2002-DACF-9142-B31C-1CBB79C266C4}">
      <text>
        <r>
          <rPr>
            <sz val="14"/>
            <color rgb="FF000000"/>
            <rFont val="Calibri"/>
            <family val="34"/>
          </rPr>
          <t>IR 39 (1809)</t>
        </r>
      </text>
    </comment>
    <comment ref="BF1390" authorId="0" shapeId="0" xr:uid="{AE23419D-38FA-0C4B-B177-0D87B9E876EA}">
      <text>
        <r>
          <rPr>
            <sz val="14"/>
            <color rgb="FF000000"/>
            <rFont val="Times New Roman"/>
            <family val="18"/>
          </rPr>
          <t xml:space="preserve">21/02/1810 </t>
        </r>
        <r>
          <rPr>
            <i/>
            <sz val="14"/>
            <color rgb="FF000000"/>
            <rFont val="Times New Roman"/>
            <family val="18"/>
          </rPr>
          <t>Gegen 15Fl Handgeld auf 6 Jähriger Capitulation assentiert</t>
        </r>
        <r>
          <rPr>
            <sz val="14"/>
            <color rgb="FF000000"/>
            <rFont val="Times New Roman"/>
            <family val="18"/>
          </rPr>
          <t xml:space="preserve"> [TL Jan 1813]</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IR 29 4. Fus. Komp zum IR 1 transferiert und zur 1. Depot Komp. eingeheilt</t>
        </r>
        <r>
          <rPr>
            <sz val="14"/>
            <color rgb="FF000000"/>
            <rFont val="Times New Roman"/>
            <family val="18"/>
          </rPr>
          <t xml:space="preserve"> [TL Jan 1813 &amp; ST Dec 1812]</t>
        </r>
        <r>
          <rPr>
            <sz val="14"/>
            <color rgb="FF000000"/>
            <rFont val="Calibri"/>
            <family val="34"/>
          </rPr>
          <t xml:space="preserve">
</t>
        </r>
        <r>
          <rPr>
            <sz val="14"/>
            <color rgb="FF000000"/>
            <rFont val="Times New Roman"/>
            <family val="18"/>
          </rPr>
          <t xml:space="preserve">01/03/1813 </t>
        </r>
        <r>
          <rPr>
            <i/>
            <sz val="14"/>
            <color rgb="FF000000"/>
            <rFont val="Times New Roman"/>
            <family val="18"/>
          </rPr>
          <t>Von 1. Depot zum 2. Fus. Komp. transferiert, seitdem auf anhero Marsch</t>
        </r>
        <r>
          <rPr>
            <sz val="14"/>
            <color rgb="FF000000"/>
            <rFont val="Times New Roman"/>
            <family val="18"/>
          </rPr>
          <t xml:space="preserve"> [ST March 1813]</t>
        </r>
        <r>
          <rPr>
            <sz val="14"/>
            <color rgb="FF000000"/>
            <rFont val="Calibri"/>
            <family val="34"/>
          </rPr>
          <t xml:space="preserve">
</t>
        </r>
        <r>
          <rPr>
            <sz val="14"/>
            <color rgb="FF000000"/>
            <rFont val="Times New Roman"/>
            <family val="18"/>
          </rPr>
          <t xml:space="preserve">06/03/1813 </t>
        </r>
        <r>
          <rPr>
            <i/>
            <sz val="14"/>
            <color rgb="FF000000"/>
            <rFont val="Times New Roman"/>
            <family val="18"/>
          </rPr>
          <t>In Kompanie eingerückt</t>
        </r>
        <r>
          <rPr>
            <sz val="14"/>
            <color rgb="FF000000"/>
            <rFont val="Times New Roman"/>
            <family val="18"/>
          </rPr>
          <t xml:space="preserve"> [ST March 1813]</t>
        </r>
        <r>
          <rPr>
            <sz val="14"/>
            <color rgb="FF000000"/>
            <rFont val="Calibri"/>
            <family val="34"/>
          </rPr>
          <t xml:space="preserve">
</t>
        </r>
        <r>
          <rPr>
            <sz val="14"/>
            <color rgb="FF000000"/>
            <rFont val="Times New Roman"/>
            <family val="18"/>
          </rPr>
          <t xml:space="preserve">15/05/1813 </t>
        </r>
        <r>
          <rPr>
            <i/>
            <sz val="14"/>
            <color rgb="FF000000"/>
            <rFont val="Times New Roman"/>
            <family val="18"/>
          </rPr>
          <t>Krank in Armee Spital</t>
        </r>
        <r>
          <rPr>
            <sz val="14"/>
            <color rgb="FF000000"/>
            <rFont val="Times New Roman"/>
            <family val="18"/>
          </rPr>
          <t xml:space="preserve"> [ST May 1813]</t>
        </r>
        <r>
          <rPr>
            <sz val="14"/>
            <color rgb="FF000000"/>
            <rFont val="Calibri"/>
            <family val="34"/>
          </rPr>
          <t xml:space="preserve">
</t>
        </r>
        <r>
          <rPr>
            <sz val="14"/>
            <color rgb="FF000000"/>
            <rFont val="Times New Roman"/>
            <family val="18"/>
          </rPr>
          <t xml:space="preserve">01/07/1813 </t>
        </r>
        <r>
          <rPr>
            <i/>
            <sz val="14"/>
            <color rgb="FF000000"/>
            <rFont val="Times New Roman"/>
            <family val="18"/>
          </rPr>
          <t>Rekonvalesziert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01/09/1813 </t>
        </r>
        <r>
          <rPr>
            <i/>
            <sz val="14"/>
            <color rgb="FF000000"/>
            <rFont val="Times New Roman"/>
            <family val="18"/>
          </rPr>
          <t>Krank in Armee Spital</t>
        </r>
        <r>
          <rPr>
            <sz val="14"/>
            <color rgb="FF000000"/>
            <rFont val="Times New Roman"/>
            <family val="18"/>
          </rPr>
          <t xml:space="preserve"> </t>
        </r>
        <r>
          <rPr>
            <b/>
            <sz val="14"/>
            <color rgb="FF000000"/>
            <rFont val="Times New Roman"/>
            <family val="18"/>
          </rPr>
          <t>[Schlacht von Dresden]</t>
        </r>
        <r>
          <rPr>
            <sz val="14"/>
            <color rgb="FF000000"/>
            <rFont val="Times New Roman"/>
            <family val="18"/>
          </rPr>
          <t xml:space="preserve"> [ST Sept 1813]</t>
        </r>
        <r>
          <rPr>
            <sz val="14"/>
            <color rgb="FF000000"/>
            <rFont val="Calibri"/>
            <family val="34"/>
          </rPr>
          <t xml:space="preserve">
</t>
        </r>
        <r>
          <rPr>
            <sz val="14"/>
            <color rgb="FF000000"/>
            <rFont val="Times New Roman"/>
            <family val="18"/>
          </rPr>
          <t xml:space="preserve">01/05/1814 </t>
        </r>
        <r>
          <rPr>
            <i/>
            <sz val="14"/>
            <color rgb="FF000000"/>
            <rFont val="Times New Roman"/>
            <family val="18"/>
          </rPr>
          <t>Von 2. zum 13. Fus. Komp. transferiert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13. zum 1. Depot Komp. transferiert</t>
        </r>
        <r>
          <rPr>
            <sz val="14"/>
            <color rgb="FF000000"/>
            <rFont val="Times New Roman"/>
            <family val="18"/>
          </rPr>
          <t xml:space="preserve"> [ST May 1815]</t>
        </r>
        <r>
          <rPr>
            <sz val="14"/>
            <color rgb="FF000000"/>
            <rFont val="Calibri"/>
            <family val="34"/>
          </rPr>
          <t xml:space="preserve">
</t>
        </r>
        <r>
          <rPr>
            <sz val="14"/>
            <color rgb="FF000000"/>
            <rFont val="Times New Roman"/>
            <family val="18"/>
          </rPr>
          <t xml:space="preserve">01/12/1815 </t>
        </r>
        <r>
          <rPr>
            <i/>
            <sz val="14"/>
            <color rgb="FF000000"/>
            <rFont val="Times New Roman"/>
            <family val="18"/>
          </rPr>
          <t>Von dissolvierte 1. Depot zur 1. Fus. Komp. transferiert</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31/08/1817 </t>
        </r>
        <r>
          <rPr>
            <i/>
            <sz val="14"/>
            <color rgb="FF000000"/>
            <rFont val="Times New Roman"/>
            <family val="18"/>
          </rPr>
          <t>Zu Folge hohen General Kommando Verordnung deto Brünn 7. August 817 copia P 1815 weil deren Existenz nicht zu erinnern als Krank in Armee Spital als unwissend verloren in Abgang gebracht</t>
        </r>
        <r>
          <rPr>
            <sz val="14"/>
            <color rgb="FF000000"/>
            <rFont val="Times New Roman"/>
            <family val="18"/>
          </rPr>
          <t xml:space="preserve"> [ML 1817] </t>
        </r>
      </text>
    </comment>
    <comment ref="BG1390" authorId="0" shapeId="0" xr:uid="{E32A0C04-26BD-FC41-87A8-2AE3681EABB0}">
      <text>
        <r>
          <rPr>
            <sz val="14"/>
            <color rgb="FF000000"/>
            <rFont val="Times New Roman"/>
            <family val="18"/>
          </rPr>
          <t>ML 34 IR 1 (1817) – IR 1 1. Fus. Komp. Abgang (Brünn 19/09/1817)</t>
        </r>
        <r>
          <rPr>
            <sz val="14"/>
            <color rgb="FF000000"/>
            <rFont val="Calibri"/>
            <family val="34"/>
          </rPr>
          <t xml:space="preserve">
</t>
        </r>
        <r>
          <rPr>
            <sz val="14"/>
            <color rgb="FF000000"/>
            <rFont val="Times New Roman"/>
            <family val="18"/>
          </rPr>
          <t>ML 97 IR 1 (1812) – ST Dec (Proßnitz 08/05/1813)</t>
        </r>
        <r>
          <rPr>
            <sz val="14"/>
            <color rgb="FF000000"/>
            <rFont val="Calibri"/>
            <family val="34"/>
          </rPr>
          <t xml:space="preserve">
</t>
        </r>
        <r>
          <rPr>
            <sz val="14"/>
            <color rgb="FF000000"/>
            <rFont val="Times New Roman"/>
            <family val="18"/>
          </rPr>
          <t>ML 98 IR 1 (1812) AL/TL – TL IR 29-&gt;IR 1 Nr. 18 (Brünn 13/01/1813)</t>
        </r>
        <r>
          <rPr>
            <sz val="14"/>
            <color rgb="FF000000"/>
            <rFont val="Calibri"/>
            <family val="34"/>
          </rPr>
          <t xml:space="preserve">
</t>
        </r>
        <r>
          <rPr>
            <sz val="14"/>
            <color rgb="FF000000"/>
            <rFont val="Times New Roman"/>
            <family val="18"/>
          </rPr>
          <t>ML 99 IR 1 (1813) – ST March (Proßnitz 20/06/1813), ST May (Proßnitz 02/09/1813), ST July (Proßnitz 11/1813), Sept (Proßnitz 15/02/1814)</t>
        </r>
        <r>
          <rPr>
            <sz val="14"/>
            <color rgb="FF000000"/>
            <rFont val="Calibri"/>
            <family val="34"/>
          </rPr>
          <t xml:space="preserve">
</t>
        </r>
        <r>
          <rPr>
            <sz val="14"/>
            <color rgb="FF000000"/>
            <rFont val="Times New Roman"/>
            <family val="18"/>
          </rPr>
          <t>ML 102 IR 1 (1814) – ST May (Proßnitz 02/05/1815)</t>
        </r>
        <r>
          <rPr>
            <sz val="14"/>
            <color rgb="FF000000"/>
            <rFont val="Calibri"/>
            <family val="34"/>
          </rPr>
          <t xml:space="preserve">
</t>
        </r>
        <r>
          <rPr>
            <sz val="14"/>
            <color rgb="FF000000"/>
            <rFont val="Times New Roman"/>
            <family val="18"/>
          </rPr>
          <t>ML 105 IR 1 (1815) – ST May (Proßnitz 01/10/1815), Dec (Proßnitz 27/03/1816)</t>
        </r>
        <r>
          <rPr>
            <sz val="14"/>
            <color rgb="FF000000"/>
            <rFont val="Calibri"/>
            <family val="34"/>
          </rPr>
          <t xml:space="preserve">
</t>
        </r>
        <r>
          <rPr>
            <sz val="14"/>
            <color rgb="FF000000"/>
            <rFont val="Times New Roman"/>
            <family val="18"/>
          </rPr>
          <t>ML 109 IR 1 (1817) – ST Aug (Brünn 05/10/1817)</t>
        </r>
      </text>
    </comment>
    <comment ref="BH1390" authorId="0" shapeId="0" xr:uid="{8BFBDAD7-6FDB-594A-BD85-030D9DD78543}">
      <text>
        <r>
          <rPr>
            <sz val="14"/>
            <color rgb="FF000000"/>
            <rFont val="Calibri"/>
            <family val="34"/>
          </rPr>
          <t xml:space="preserve">IR 29 (1810-1812)
</t>
        </r>
        <r>
          <rPr>
            <sz val="14"/>
            <color rgb="FF000000"/>
            <rFont val="Calibri"/>
            <family val="34"/>
          </rPr>
          <t>IR 1 (1812-1817)</t>
        </r>
      </text>
    </comment>
    <comment ref="BF1391" authorId="0" shapeId="0" xr:uid="{C5B2705F-B13C-F544-8C07-43F646B86328}">
      <text>
        <r>
          <rPr>
            <sz val="14"/>
            <color rgb="FF000000"/>
            <rFont val="Times New Roman"/>
            <family val="18"/>
          </rPr>
          <t xml:space="preserve">20/04/1810 </t>
        </r>
        <r>
          <rPr>
            <i/>
            <sz val="14"/>
            <color rgb="FF000000"/>
            <rFont val="Times New Roman"/>
            <family val="18"/>
          </rPr>
          <t>Dient seit</t>
        </r>
        <r>
          <rPr>
            <sz val="14"/>
            <color rgb="FF000000"/>
            <rFont val="Times New Roman"/>
            <family val="18"/>
          </rPr>
          <t xml:space="preserve"> [ML 1811]</t>
        </r>
        <r>
          <rPr>
            <sz val="14"/>
            <color rgb="FF000000"/>
            <rFont val="Calibri"/>
            <family val="34"/>
          </rPr>
          <t xml:space="preserve">
</t>
        </r>
        <r>
          <rPr>
            <sz val="14"/>
            <color rgb="FF000000"/>
            <rFont val="Times New Roman"/>
            <family val="18"/>
          </rPr>
          <t>12/09/1811 Muster: IR 8 2. Fus. Komp. Nr. 179 [</t>
        </r>
        <r>
          <rPr>
            <i/>
            <sz val="14"/>
            <color rgb="FF000000"/>
            <rFont val="Times New Roman"/>
            <family val="18"/>
          </rPr>
          <t>Beurlaubt bis Einberufung</t>
        </r>
        <r>
          <rPr>
            <sz val="14"/>
            <color rgb="FF000000"/>
            <rFont val="Times New Roman"/>
            <family val="18"/>
          </rPr>
          <t>]</t>
        </r>
      </text>
    </comment>
    <comment ref="BG1391" authorId="0" shapeId="0" xr:uid="{63CD134B-97C7-C844-975F-6C24288F25FB}">
      <text>
        <r>
          <rPr>
            <sz val="14"/>
            <color rgb="FF000000"/>
            <rFont val="Times New Roman"/>
            <family val="18"/>
          </rPr>
          <t>IR 544 IR 8 (1811) – 2. Fus. Komp. Nr. 179 (Iglau 12/09/1811)</t>
        </r>
        <r>
          <rPr>
            <sz val="14"/>
            <color rgb="FF000000"/>
            <rFont val="Calibri"/>
            <family val="34"/>
          </rPr>
          <t xml:space="preserve">
</t>
        </r>
      </text>
    </comment>
    <comment ref="BH1391" authorId="0" shapeId="0" xr:uid="{F3F86AE3-0B0E-9E4D-B3E8-8D9837190813}">
      <text>
        <r>
          <rPr>
            <sz val="14"/>
            <color rgb="FF000000"/>
            <rFont val="Calibri"/>
            <family val="34"/>
          </rPr>
          <t>IR 8 (1810-1811)</t>
        </r>
      </text>
    </comment>
    <comment ref="BF1392" authorId="0" shapeId="0" xr:uid="{AA64626D-3E75-C441-B624-5D93C261A96C}">
      <text>
        <r>
          <rPr>
            <i/>
            <sz val="14"/>
            <color rgb="FF000000"/>
            <rFont val="Times New Roman"/>
            <family val="18"/>
          </rPr>
          <t xml:space="preserve">Hat bei Hohenlohe Bartenstein Infant Nro 26 gedient und mit Abschied entlassen, der Abschied liegt hierbey </t>
        </r>
        <r>
          <rPr>
            <sz val="14"/>
            <color rgb="FF000000"/>
            <rFont val="Times New Roman"/>
            <family val="18"/>
          </rPr>
          <t>[AL Sept 1810]</t>
        </r>
        <r>
          <rPr>
            <sz val="14"/>
            <color rgb="FF000000"/>
            <rFont val="Aptos"/>
            <family val="34"/>
          </rPr>
          <t xml:space="preserve">
</t>
        </r>
        <r>
          <rPr>
            <sz val="14"/>
            <color rgb="FF000000"/>
            <rFont val="Times New Roman"/>
            <family val="18"/>
          </rPr>
          <t xml:space="preserve">27/09/1810 </t>
        </r>
        <r>
          <rPr>
            <i/>
            <sz val="14"/>
            <color rgb="FF000000"/>
            <rFont val="Times New Roman"/>
            <family val="18"/>
          </rPr>
          <t xml:space="preserve">Hat sich a Werbbegeld von 28 Fl, gegen 15 Fl Handgeld welche er 4 Fl beyn Regiment erhält mit Capitulation auf 10 Jahre zur Cavallerie freiwillig engagiert </t>
        </r>
        <r>
          <rPr>
            <sz val="14"/>
            <color rgb="FF000000"/>
            <rFont val="Times New Roman"/>
            <family val="18"/>
          </rPr>
          <t>[AL Sept 1810]</t>
        </r>
        <r>
          <rPr>
            <sz val="14"/>
            <color rgb="FF000000"/>
            <rFont val="Aptos"/>
            <family val="34"/>
          </rPr>
          <t xml:space="preserve">
</t>
        </r>
      </text>
    </comment>
    <comment ref="BG1392" authorId="0" shapeId="0" xr:uid="{9685113E-79A5-844C-B5E1-EF39EE001094}">
      <text>
        <r>
          <rPr>
            <sz val="14"/>
            <color rgb="FF000000"/>
            <rFont val="Times New Roman"/>
            <family val="18"/>
          </rPr>
          <t>ML 9226 MFK LPK Galizien (1813) – Deserteur Consignation, Nr. 34 (Berzesko 24/03/1813)</t>
        </r>
      </text>
    </comment>
    <comment ref="BH1392" authorId="0" shapeId="0" xr:uid="{53628C87-A5F7-BD40-9307-3DD716856C91}">
      <text>
        <r>
          <rPr>
            <sz val="14"/>
            <color rgb="FF000000"/>
            <rFont val="Calibri"/>
            <family val="34"/>
          </rPr>
          <t xml:space="preserve">IR 26 (????-18??)
</t>
        </r>
        <r>
          <rPr>
            <sz val="14"/>
            <color rgb="FF000000"/>
            <rFont val="Calibri"/>
            <family val="34"/>
          </rPr>
          <t>CL 2 (1810)</t>
        </r>
      </text>
    </comment>
    <comment ref="BF1393" authorId="0" shapeId="0" xr:uid="{A390D7DF-1778-0E48-9F18-CE3A9B636BA2}">
      <text>
        <r>
          <rPr>
            <sz val="14"/>
            <color rgb="FF000000"/>
            <rFont val="Times New Roman"/>
            <family val="18"/>
          </rPr>
          <t xml:space="preserve">29/09/1810 </t>
        </r>
        <r>
          <rPr>
            <i/>
            <sz val="14"/>
            <color rgb="FF000000"/>
            <rFont val="Times New Roman"/>
            <family val="18"/>
          </rPr>
          <t>Dient seit mindestens bei IR 9</t>
        </r>
        <r>
          <rPr>
            <sz val="14"/>
            <color rgb="FF000000"/>
            <rFont val="Times New Roman"/>
            <family val="18"/>
          </rPr>
          <t xml:space="preserve"> [ML 1811]</t>
        </r>
        <r>
          <rPr>
            <sz val="14"/>
            <color rgb="FF000000"/>
            <rFont val="Calibri"/>
            <family val="34"/>
          </rPr>
          <t xml:space="preserve">
</t>
        </r>
        <r>
          <rPr>
            <sz val="14"/>
            <color rgb="FF000000"/>
            <rFont val="Times New Roman"/>
            <family val="18"/>
          </rPr>
          <t>31/07/1811</t>
        </r>
        <r>
          <rPr>
            <i/>
            <sz val="14"/>
            <color rgb="FF000000"/>
            <rFont val="Times New Roman"/>
            <family val="18"/>
          </rPr>
          <t xml:space="preserve"> Als anerkannter Reale Invalid gegen Renuncierung mit Abschied entlassen</t>
        </r>
        <r>
          <rPr>
            <sz val="14"/>
            <color rgb="FF000000"/>
            <rFont val="Times New Roman"/>
            <family val="18"/>
          </rPr>
          <t xml:space="preserve"> [ML 1811]</t>
        </r>
        <r>
          <rPr>
            <sz val="14"/>
            <color rgb="FF000000"/>
            <rFont val="Calibri"/>
            <family val="34"/>
          </rPr>
          <t xml:space="preserve">
</t>
        </r>
      </text>
    </comment>
    <comment ref="BG1393" authorId="0" shapeId="0" xr:uid="{4A18F364-45A9-A64A-A005-FEAA8D2CDDBA}">
      <text>
        <r>
          <rPr>
            <sz val="14"/>
            <color rgb="FF000000"/>
            <rFont val="Times New Roman"/>
            <family val="18"/>
          </rPr>
          <t>ML 634 IR 9 (1811) – 10. Fus. Komp. Abgang (Caschau 19/09/1811)</t>
        </r>
      </text>
    </comment>
    <comment ref="BH1393" authorId="0" shapeId="0" xr:uid="{9F8D10C0-8DCE-1A45-97EE-88CC1A3E1B31}">
      <text>
        <r>
          <rPr>
            <sz val="14"/>
            <color rgb="FF000000"/>
            <rFont val="Calibri"/>
            <family val="34"/>
          </rPr>
          <t>IR 9 (1810-1811)</t>
        </r>
      </text>
    </comment>
    <comment ref="BF1394" authorId="0" shapeId="0" xr:uid="{325A27FC-3D8B-9145-9A75-CE6FBF13B89C}">
      <text>
        <r>
          <rPr>
            <sz val="14"/>
            <color rgb="FF000000"/>
            <rFont val="Times New Roman"/>
            <family val="18"/>
          </rPr>
          <t>Fehlen die Assent-Daten [TL Sept 1810]</t>
        </r>
        <r>
          <rPr>
            <sz val="14"/>
            <color rgb="FF000000"/>
            <rFont val="Aptos"/>
            <family val="34"/>
          </rPr>
          <t xml:space="preserve">
</t>
        </r>
        <r>
          <rPr>
            <sz val="14"/>
            <color rgb="FF000000"/>
            <rFont val="Times New Roman"/>
            <family val="18"/>
          </rPr>
          <t xml:space="preserve">11/07/1810 </t>
        </r>
        <r>
          <rPr>
            <i/>
            <sz val="14"/>
            <color rgb="FF000000"/>
            <rFont val="Times New Roman"/>
            <family val="18"/>
          </rPr>
          <t>Von IR 39 15. Fus. Komp zum IR 62 8. Fus. Komp. transferiert</t>
        </r>
        <r>
          <rPr>
            <sz val="14"/>
            <color rgb="FF000000"/>
            <rFont val="Times New Roman"/>
            <family val="18"/>
          </rPr>
          <t xml:space="preserve"> [TL Sept 1810]</t>
        </r>
        <r>
          <rPr>
            <sz val="14"/>
            <color rgb="FF000000"/>
            <rFont val="Aptos"/>
            <family val="34"/>
          </rPr>
          <t xml:space="preserve">
</t>
        </r>
        <r>
          <rPr>
            <sz val="14"/>
            <color rgb="FF000000"/>
            <rFont val="Times New Roman"/>
            <family val="18"/>
          </rPr>
          <t xml:space="preserve">15/02/1811 </t>
        </r>
        <r>
          <rPr>
            <i/>
            <sz val="14"/>
            <color rgb="FF000000"/>
            <rFont val="Times New Roman"/>
            <family val="18"/>
          </rPr>
          <t>Als ausgedienter Kriegscapitulant mit Abschied entlassen</t>
        </r>
        <r>
          <rPr>
            <sz val="14"/>
            <color rgb="FF000000"/>
            <rFont val="Times New Roman"/>
            <family val="18"/>
          </rPr>
          <t xml:space="preserve"> [ML 1811] </t>
        </r>
      </text>
    </comment>
    <comment ref="BG1394" authorId="0" shapeId="0" xr:uid="{458DA393-4F46-D740-8978-050AEFAA695E}">
      <text>
        <r>
          <rPr>
            <sz val="14"/>
            <color rgb="FF000000"/>
            <rFont val="Times New Roman"/>
            <family val="18"/>
          </rPr>
          <t>ML 3501/2 IR 39 (1811) – 15. Fus. Komp. Abgang (Gran 16/09/1811)</t>
        </r>
        <r>
          <rPr>
            <sz val="14"/>
            <color rgb="FF000000"/>
            <rFont val="Aptos"/>
            <family val="34"/>
          </rPr>
          <t xml:space="preserve">
</t>
        </r>
        <r>
          <rPr>
            <sz val="14"/>
            <color rgb="FF000000"/>
            <rFont val="Times New Roman"/>
            <family val="18"/>
          </rPr>
          <t>ML 5210 IR 62 (1810) – 6. Fus. Komp. Abgang (Tamesvar 27/09/1811)</t>
        </r>
        <r>
          <rPr>
            <sz val="14"/>
            <color rgb="FF000000"/>
            <rFont val="Aptos"/>
            <family val="34"/>
          </rPr>
          <t xml:space="preserve">
</t>
        </r>
        <r>
          <rPr>
            <sz val="14"/>
            <color rgb="FF000000"/>
            <rFont val="Times New Roman"/>
            <family val="18"/>
          </rPr>
          <t>ML 5223 IR 62 (1810) – TL IR 39-&gt;IR 62 Nr. 123 (Ofen 07/09/1810); ST July (03/03/1811)</t>
        </r>
        <r>
          <rPr>
            <sz val="14"/>
            <color rgb="FF000000"/>
            <rFont val="Aptos"/>
            <family val="34"/>
          </rPr>
          <t xml:space="preserve">
</t>
        </r>
      </text>
    </comment>
    <comment ref="BH1394" authorId="0" shapeId="0" xr:uid="{C3F3E1A5-4DD7-F047-BB9A-C33B1E9AC83E}">
      <text>
        <r>
          <rPr>
            <sz val="14"/>
            <color rgb="FF000000"/>
            <rFont val="Calibri"/>
            <family val="34"/>
          </rPr>
          <t xml:space="preserve">IR 39 (1810)
</t>
        </r>
        <r>
          <rPr>
            <sz val="14"/>
            <color rgb="FF000000"/>
            <rFont val="Calibri"/>
            <family val="34"/>
          </rPr>
          <t>IR 62 (1810-1811)</t>
        </r>
      </text>
    </comment>
    <comment ref="BF1395" authorId="0" shapeId="0" xr:uid="{F319112D-C6EF-164B-A206-2176990A549E}">
      <text>
        <r>
          <rPr>
            <sz val="14"/>
            <color rgb="FF000000"/>
            <rFont val="Times New Roman"/>
            <family val="18"/>
          </rPr>
          <t xml:space="preserve">Pro October 1810 </t>
        </r>
        <r>
          <rPr>
            <i/>
            <sz val="14"/>
            <color rgb="FF000000"/>
            <rFont val="Times New Roman"/>
            <family val="18"/>
          </rPr>
          <t>von IR 45 De Vaux zu, IR 30 De Ligne transferiert und zum 5. Fus Comp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Muster: IR 30 5. Fus Komp. Nr. 276</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1395" authorId="0" shapeId="0" xr:uid="{BF616F5D-F2BF-C04D-9560-CD986832BAEC}">
      <text>
        <r>
          <rPr>
            <sz val="14"/>
            <color rgb="FF000000"/>
            <rFont val="Times New Roman"/>
            <family val="18"/>
          </rPr>
          <t>ML 2633 IR 30 (1811) –5. Fus. Komp Nr. 275 (Stanislau 21/09/1811)</t>
        </r>
        <r>
          <rPr>
            <sz val="14"/>
            <color rgb="FF000000"/>
            <rFont val="Calibri"/>
            <family val="34"/>
          </rPr>
          <t xml:space="preserve">
</t>
        </r>
        <r>
          <rPr>
            <sz val="14"/>
            <color rgb="FF000000"/>
            <rFont val="Times New Roman"/>
            <family val="18"/>
          </rPr>
          <t>ML 2635 IR 30 (1817) – 5. Fus. Komp – Abgang (Stry 15/10/1817)</t>
        </r>
        <r>
          <rPr>
            <sz val="14"/>
            <color rgb="FF000000"/>
            <rFont val="Calibri"/>
            <family val="34"/>
          </rPr>
          <t xml:space="preserve">
</t>
        </r>
      </text>
    </comment>
    <comment ref="BH1395" authorId="0" shapeId="0" xr:uid="{6C402D54-77C9-3940-8FA1-4F3543189640}">
      <text>
        <r>
          <rPr>
            <sz val="14"/>
            <color rgb="FF000000"/>
            <rFont val="Calibri"/>
            <family val="34"/>
          </rPr>
          <t xml:space="preserve">IR 45 (????-1810)
</t>
        </r>
        <r>
          <rPr>
            <sz val="14"/>
            <color rgb="FF000000"/>
            <rFont val="Calibri"/>
            <family val="34"/>
          </rPr>
          <t>IR 30 (1810-1817)</t>
        </r>
      </text>
    </comment>
    <comment ref="BF1396" authorId="0" shapeId="0" xr:uid="{7F8A42FA-9CC9-6F43-9488-371E0F75D744}">
      <text>
        <r>
          <rPr>
            <sz val="14"/>
            <color rgb="FF000000"/>
            <rFont val="Times New Roman"/>
            <family val="18"/>
          </rPr>
          <t xml:space="preserve">01/12/1810 </t>
        </r>
        <r>
          <rPr>
            <i/>
            <sz val="14"/>
            <color rgb="FF000000"/>
            <rFont val="Times New Roman"/>
            <family val="18"/>
          </rPr>
          <t>Als Reserve Mann gestellt</t>
        </r>
        <r>
          <rPr>
            <sz val="14"/>
            <color rgb="FF000000"/>
            <rFont val="Times New Roman"/>
            <family val="18"/>
          </rPr>
          <t xml:space="preserve"> [ML 1811]</t>
        </r>
        <r>
          <rPr>
            <sz val="14"/>
            <color rgb="FF000000"/>
            <rFont val="Calibri"/>
            <family val="34"/>
          </rPr>
          <t xml:space="preserve">
</t>
        </r>
        <r>
          <rPr>
            <sz val="14"/>
            <color rgb="FFFF0000"/>
            <rFont val="Times New Roman"/>
            <family val="18"/>
          </rPr>
          <t xml:space="preserve">01/12/1810 </t>
        </r>
        <r>
          <rPr>
            <i/>
            <sz val="14"/>
            <color rgb="FFFF0000"/>
            <rFont val="Times New Roman"/>
            <family val="18"/>
          </rPr>
          <t>Als Deserteur sich selbst gemeldet</t>
        </r>
        <r>
          <rPr>
            <sz val="14"/>
            <color rgb="FFFF0000"/>
            <rFont val="Times New Roman"/>
            <family val="18"/>
          </rPr>
          <t xml:space="preserve"> [ML 1811 DOC]</t>
        </r>
        <r>
          <rPr>
            <sz val="14"/>
            <color rgb="FF000000"/>
            <rFont val="Calibri"/>
            <family val="34"/>
          </rPr>
          <t xml:space="preserve">
</t>
        </r>
        <r>
          <rPr>
            <sz val="14"/>
            <color rgb="FF000000"/>
            <rFont val="Times New Roman"/>
            <family val="18"/>
          </rPr>
          <t>09/09/1811 Muster: IR 9 6. Fus. Komp. Nr. 199 [</t>
        </r>
        <r>
          <rPr>
            <i/>
            <sz val="14"/>
            <color rgb="FF000000"/>
            <rFont val="Times New Roman"/>
            <family val="18"/>
          </rPr>
          <t>Bis zur Einberufung, auf Heimat</t>
        </r>
        <r>
          <rPr>
            <sz val="14"/>
            <color rgb="FF000000"/>
            <rFont val="Times New Roman"/>
            <family val="18"/>
          </rPr>
          <t>]</t>
        </r>
        <r>
          <rPr>
            <sz val="14"/>
            <color rgb="FF000000"/>
            <rFont val="Calibri"/>
            <family val="34"/>
          </rPr>
          <t xml:space="preserve">
</t>
        </r>
      </text>
    </comment>
    <comment ref="BG1396" authorId="0" shapeId="0" xr:uid="{F2BB6A4E-F61E-FF4C-9D8E-40A6C8A6762C}">
      <text>
        <r>
          <rPr>
            <sz val="14"/>
            <color rgb="FF000000"/>
            <rFont val="Times New Roman"/>
            <family val="18"/>
          </rPr>
          <t>ML 634 IR 9 (1811) – 6. Fus. Komp. Nr. 199 (Eperies, 09/09/1811)</t>
        </r>
      </text>
    </comment>
    <comment ref="BH1396" authorId="0" shapeId="0" xr:uid="{9FF7C532-60E6-9943-826F-F76A390386E2}">
      <text>
        <r>
          <rPr>
            <sz val="14"/>
            <color rgb="FF000000"/>
            <rFont val="Calibri"/>
            <family val="34"/>
          </rPr>
          <t>IR 9 (1810-1811)</t>
        </r>
      </text>
    </comment>
    <comment ref="F1397" authorId="0" shapeId="0" xr:uid="{2708CAE5-BEFB-D644-A502-DF64DF27CD52}">
      <text>
        <r>
          <rPr>
            <sz val="14"/>
            <color rgb="FF000000"/>
            <rFont val="Times New Roman"/>
            <family val="18"/>
          </rPr>
          <t xml:space="preserve">Given as </t>
        </r>
        <r>
          <rPr>
            <i/>
            <sz val="14"/>
            <color rgb="FF000000"/>
            <rFont val="Times New Roman"/>
            <family val="18"/>
          </rPr>
          <t>West Galizien</t>
        </r>
      </text>
    </comment>
    <comment ref="BF1397" authorId="0" shapeId="0" xr:uid="{B0FE9853-2A76-4B4A-BF9A-29C1EF82291C}">
      <text>
        <r>
          <rPr>
            <sz val="14"/>
            <color rgb="FF000000"/>
            <rFont val="Times New Roman"/>
            <family val="18"/>
          </rPr>
          <t xml:space="preserve">02/12/1810 </t>
        </r>
        <r>
          <rPr>
            <i/>
            <sz val="14"/>
            <color rgb="FF000000"/>
            <rFont val="Times New Roman"/>
            <family val="18"/>
          </rPr>
          <t>Durch die Confinen Werbung auf 10 Jahr zu Rzeszów engagiert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19/09/1811 Muster: IR 9 11. Fus. Komp. Nr. 254 [</t>
        </r>
        <r>
          <rPr>
            <i/>
            <sz val="14"/>
            <color rgb="FF000000"/>
            <rFont val="Times New Roman"/>
            <family val="18"/>
          </rPr>
          <t>Beurlaubt zu Caschau auf bestimmte Zeit</t>
        </r>
        <r>
          <rPr>
            <sz val="14"/>
            <color rgb="FF000000"/>
            <rFont val="Calibri"/>
            <family val="2"/>
            <scheme val="minor"/>
          </rPr>
          <t xml:space="preserve"> </t>
        </r>
      </text>
    </comment>
    <comment ref="BG1397" authorId="0" shapeId="0" xr:uid="{13763236-0FC0-A144-B0BB-F6BEDD3C37A7}">
      <text>
        <r>
          <rPr>
            <sz val="14"/>
            <color rgb="FF000000"/>
            <rFont val="Times New Roman"/>
            <family val="18"/>
          </rPr>
          <t>ML 634 IR 9 (1811) – 11. Fus. Komp. Nr. 254 (Caschau 19/09/1811)</t>
        </r>
      </text>
    </comment>
    <comment ref="BH1397" authorId="0" shapeId="0" xr:uid="{5F4F1D75-7147-4648-9BBE-97C23E561C2B}">
      <text>
        <r>
          <rPr>
            <sz val="14"/>
            <color rgb="FF000000"/>
            <rFont val="Calibri"/>
            <family val="34"/>
          </rPr>
          <t>IR 9 (1810-1811)</t>
        </r>
      </text>
    </comment>
    <comment ref="BF1398" authorId="0" shapeId="0" xr:uid="{B8836D3C-B25A-C74F-B5EB-0C0B8B18D2C3}">
      <text>
        <r>
          <rPr>
            <sz val="14"/>
            <color rgb="FF000000"/>
            <rFont val="Times New Roman"/>
            <family val="18"/>
          </rPr>
          <t xml:space="preserve">28/12/1810 </t>
        </r>
        <r>
          <rPr>
            <i/>
            <sz val="14"/>
            <color rgb="FF000000"/>
            <rFont val="Times New Roman"/>
            <family val="18"/>
          </rPr>
          <t>auf 25 Fl Handgeld zum IR 2 ‘Hiller’ auf beständig angeworben und zu Trentischin assentiert</t>
        </r>
        <r>
          <rPr>
            <sz val="14"/>
            <color rgb="FF000000"/>
            <rFont val="Times New Roman"/>
            <family val="18"/>
          </rPr>
          <t xml:space="preserve"> [AL 1810 &amp; ST Feb 1811]</t>
        </r>
        <r>
          <rPr>
            <sz val="14"/>
            <color rgb="FF000000"/>
            <rFont val="Calibri"/>
            <family val="34"/>
          </rPr>
          <t xml:space="preserve">
</t>
        </r>
        <r>
          <rPr>
            <sz val="14"/>
            <color rgb="FF000000"/>
            <rFont val="Times New Roman"/>
            <family val="18"/>
          </rPr>
          <t xml:space="preserve">09/02/1811 </t>
        </r>
        <r>
          <rPr>
            <i/>
            <sz val="14"/>
            <color rgb="FF000000"/>
            <rFont val="Times New Roman"/>
            <family val="18"/>
          </rPr>
          <t>In 14. Fusilier Comp. eingerückt</t>
        </r>
        <r>
          <rPr>
            <sz val="14"/>
            <color rgb="FF000000"/>
            <rFont val="Times New Roman"/>
            <family val="18"/>
          </rPr>
          <t xml:space="preserve"> [ST Feb 1811]</t>
        </r>
        <r>
          <rPr>
            <sz val="14"/>
            <color rgb="FF000000"/>
            <rFont val="Calibri"/>
            <family val="34"/>
          </rPr>
          <t xml:space="preserve">
</t>
        </r>
        <r>
          <rPr>
            <sz val="14"/>
            <color rgb="FF000000"/>
            <rFont val="Times New Roman"/>
            <family val="18"/>
          </rPr>
          <t xml:space="preserve">20/02/1811 </t>
        </r>
        <r>
          <rPr>
            <i/>
            <sz val="14"/>
            <color rgb="FF000000"/>
            <rFont val="Times New Roman"/>
            <family val="18"/>
          </rPr>
          <t>Ex loco ohne Feuerwehr Desertiert</t>
        </r>
        <r>
          <rPr>
            <sz val="14"/>
            <color rgb="FF000000"/>
            <rFont val="Times New Roman"/>
            <family val="18"/>
          </rPr>
          <t xml:space="preserve"> [ST Feb 1811]</t>
        </r>
        <r>
          <rPr>
            <sz val="14"/>
            <color rgb="FF000000"/>
            <rFont val="Calibri"/>
            <family val="34"/>
          </rPr>
          <t xml:space="preserve">
</t>
        </r>
      </text>
    </comment>
    <comment ref="BG1398" authorId="0" shapeId="0" xr:uid="{CBCB340B-D92C-E64B-BFEF-88EDDDE9C93E}">
      <text>
        <r>
          <rPr>
            <sz val="14"/>
            <color rgb="FF000000"/>
            <rFont val="Times New Roman"/>
            <family val="18"/>
          </rPr>
          <t>ML 195 IR 2 (1811) – AL Nr. 3 (Trentschin, 28/12/1810) &amp; 14. Fus ST Feb. – ‚Angeworben‘ &amp; ‚Deserteurt‘ (Wien 04/12/1811)</t>
        </r>
        <r>
          <rPr>
            <sz val="14"/>
            <color rgb="FF000000"/>
            <rFont val="Calibri"/>
            <family val="34"/>
          </rPr>
          <t xml:space="preserve">
</t>
        </r>
      </text>
    </comment>
    <comment ref="BH1398" authorId="0" shapeId="0" xr:uid="{4C655B9B-FF89-3A4D-84DA-A6C730A41CA9}">
      <text>
        <r>
          <rPr>
            <sz val="14"/>
            <color rgb="FF000000"/>
            <rFont val="Calibri"/>
            <family val="34"/>
          </rPr>
          <t>IR 2 (1810-1811)</t>
        </r>
      </text>
    </comment>
    <comment ref="BF1399" authorId="0" shapeId="0" xr:uid="{83E04D8F-BE45-744C-8F7E-986687F9D550}">
      <text>
        <r>
          <rPr>
            <sz val="14"/>
            <color rgb="FF000000"/>
            <rFont val="Times New Roman"/>
            <family val="18"/>
          </rPr>
          <t xml:space="preserve">21/05/1811 </t>
        </r>
        <r>
          <rPr>
            <i/>
            <sz val="14"/>
            <color rgb="FF000000"/>
            <rFont val="Times New Roman"/>
            <family val="18"/>
          </rPr>
          <t xml:space="preserve">Zu Prinz Coburg Inf. Regiment </t>
        </r>
        <r>
          <rPr>
            <b/>
            <sz val="14"/>
            <color rgb="FF000000"/>
            <rFont val="Times New Roman"/>
            <family val="18"/>
          </rPr>
          <t>[IR 22]</t>
        </r>
        <r>
          <rPr>
            <i/>
            <sz val="14"/>
            <color rgb="FF000000"/>
            <rFont val="Times New Roman"/>
            <family val="18"/>
          </rPr>
          <t xml:space="preserve">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IR 22 14. Fus Komp. zum IR 1 transferiert</t>
        </r>
        <r>
          <rPr>
            <sz val="14"/>
            <color rgb="FF000000"/>
            <rFont val="Times New Roman"/>
            <family val="18"/>
          </rPr>
          <t xml:space="preserve"> [TL Dec 1812]</t>
        </r>
        <r>
          <rPr>
            <sz val="14"/>
            <color rgb="FF000000"/>
            <rFont val="Calibri"/>
            <family val="34"/>
          </rPr>
          <t xml:space="preserve">
</t>
        </r>
        <r>
          <rPr>
            <sz val="14"/>
            <color rgb="FF000000"/>
            <rFont val="Times New Roman"/>
            <family val="18"/>
          </rPr>
          <t xml:space="preserve">01/03/1813 </t>
        </r>
        <r>
          <rPr>
            <i/>
            <sz val="14"/>
            <color rgb="FF000000"/>
            <rFont val="Times New Roman"/>
            <family val="18"/>
          </rPr>
          <t>Von 14. Zum 11 Fus. Komp. transferiert</t>
        </r>
        <r>
          <rPr>
            <sz val="14"/>
            <color rgb="FF000000"/>
            <rFont val="Times New Roman"/>
            <family val="18"/>
          </rPr>
          <t xml:space="preserve"> [TL March 1813]</t>
        </r>
        <r>
          <rPr>
            <sz val="14"/>
            <color rgb="FF000000"/>
            <rFont val="Calibri"/>
            <family val="34"/>
          </rPr>
          <t xml:space="preserve">
</t>
        </r>
        <r>
          <rPr>
            <sz val="14"/>
            <color rgb="FF000000"/>
            <rFont val="Times New Roman"/>
            <family val="18"/>
          </rPr>
          <t xml:space="preserve">23/09/1817 Muster: IR 1 11. Fus. Komp. Nr. 26 </t>
        </r>
        <r>
          <rPr>
            <sz val="14"/>
            <color rgb="FF000000"/>
            <rFont val="Calibri"/>
            <family val="34"/>
          </rPr>
          <t xml:space="preserve">
</t>
        </r>
        <r>
          <rPr>
            <sz val="14"/>
            <color rgb="FF000000"/>
            <rFont val="Times New Roman"/>
            <family val="18"/>
          </rPr>
          <t xml:space="preserve">05/11/1817 </t>
        </r>
        <r>
          <rPr>
            <i/>
            <sz val="14"/>
            <color rgb="FF000000"/>
            <rFont val="Times New Roman"/>
            <family val="18"/>
          </rPr>
          <t>Als ausgedienter Ausländischer Capitulant in Folge hoher General Kommando Verordnung det. Brünn am 5. October 817 R. 962 mit Abschied entlassen</t>
        </r>
        <r>
          <rPr>
            <sz val="14"/>
            <color rgb="FF000000"/>
            <rFont val="Times New Roman"/>
            <family val="18"/>
          </rPr>
          <t xml:space="preserve"> [ST Nov 1817]</t>
        </r>
        <r>
          <rPr>
            <sz val="14"/>
            <color rgb="FF000000"/>
            <rFont val="Calibri"/>
            <family val="34"/>
          </rPr>
          <t xml:space="preserve">
</t>
        </r>
      </text>
    </comment>
    <comment ref="BG1399" authorId="0" shapeId="0" xr:uid="{4CF9DB3B-EC5C-AF46-A362-5BAED618AFE3}">
      <text>
        <r>
          <rPr>
            <sz val="14"/>
            <color rgb="FF000000"/>
            <rFont val="Times New Roman"/>
            <family val="18"/>
          </rPr>
          <t xml:space="preserve">ML 34/5 IR 1 (1817) – IR 1 11. Fus. Komp. Nr. 26 (Austerlitz 23/09/1817) </t>
        </r>
        <r>
          <rPr>
            <sz val="14"/>
            <color rgb="FF000000"/>
            <rFont val="Calibri"/>
            <family val="34"/>
          </rPr>
          <t xml:space="preserve">
</t>
        </r>
        <r>
          <rPr>
            <sz val="14"/>
            <color rgb="FF000000"/>
            <rFont val="Times New Roman"/>
            <family val="18"/>
          </rPr>
          <t>ML 36/7 IR 1 (1818) – IR 1 11. Fus. Komp. Abgang (Kremsier 22/09/1818)</t>
        </r>
        <r>
          <rPr>
            <sz val="14"/>
            <color rgb="FF000000"/>
            <rFont val="Calibri"/>
            <family val="34"/>
          </rPr>
          <t xml:space="preserve">
</t>
        </r>
        <r>
          <rPr>
            <sz val="14"/>
            <color rgb="FF000000"/>
            <rFont val="Times New Roman"/>
            <family val="18"/>
          </rPr>
          <t>ML 98 IR 1 (1812) AL/TL – TL IR 22-&gt;IR 1 Nr. 27 (Znaim 20/12/1812)</t>
        </r>
        <r>
          <rPr>
            <sz val="14"/>
            <color rgb="FF000000"/>
            <rFont val="Calibri"/>
            <family val="34"/>
          </rPr>
          <t xml:space="preserve">
</t>
        </r>
      </text>
    </comment>
    <comment ref="BH1399" authorId="0" shapeId="0" xr:uid="{50FA4B5F-BFA6-4447-A669-CD87EF9205BC}">
      <text>
        <r>
          <rPr>
            <sz val="14"/>
            <color rgb="FF000000"/>
            <rFont val="Calibri"/>
            <family val="34"/>
          </rPr>
          <t xml:space="preserve">IR 22 (1811-1812)
</t>
        </r>
        <r>
          <rPr>
            <sz val="14"/>
            <color rgb="FF000000"/>
            <rFont val="Calibri"/>
            <family val="34"/>
          </rPr>
          <t>IR 1 (1812-1817)</t>
        </r>
      </text>
    </comment>
    <comment ref="BI1399" authorId="0" shapeId="0" xr:uid="{C5474272-BADE-BE47-B76C-9502D9CA1BC4}">
      <text>
        <r>
          <rPr>
            <i/>
            <sz val="14"/>
            <color rgb="FF000000"/>
            <rFont val="Times New Roman"/>
            <family val="18"/>
          </rPr>
          <t xml:space="preserve">Gute [TL Dec 1812] </t>
        </r>
      </text>
    </comment>
    <comment ref="BF1400" authorId="0" shapeId="0" xr:uid="{EA2244E8-419B-8943-97FD-76ECAF753AB4}">
      <text>
        <r>
          <rPr>
            <sz val="14"/>
            <color rgb="FF000000"/>
            <rFont val="Times New Roman"/>
            <family val="18"/>
          </rPr>
          <t xml:space="preserve">15/10/1811 </t>
        </r>
        <r>
          <rPr>
            <i/>
            <sz val="14"/>
            <color rgb="FF000000"/>
            <rFont val="Times New Roman"/>
            <family val="18"/>
          </rPr>
          <t>A 3Fl Auf 14 Jahren zu Zloczow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01/02/1815 </t>
        </r>
        <r>
          <rPr>
            <i/>
            <sz val="14"/>
            <color rgb="FF000000"/>
            <rFont val="Times New Roman"/>
            <family val="18"/>
          </rPr>
          <t>Von Baron Strauch Infanterie</t>
        </r>
        <r>
          <rPr>
            <sz val="14"/>
            <color rgb="FF000000"/>
            <rFont val="Times New Roman"/>
            <family val="18"/>
          </rPr>
          <t xml:space="preserve"> </t>
        </r>
        <r>
          <rPr>
            <b/>
            <sz val="14"/>
            <color rgb="FF000000"/>
            <rFont val="Times New Roman"/>
            <family val="18"/>
          </rPr>
          <t>[IR 24]</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 xml:space="preserve">[IR 3] </t>
        </r>
        <r>
          <rPr>
            <i/>
            <sz val="14"/>
            <color rgb="FF000000"/>
            <rFont val="Times New Roman"/>
            <family val="18"/>
          </rPr>
          <t>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18/09/1817 Muster: IR 3 14. Fus. Komp. Nr. 128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15/09/1818 Muster: IR 3 14. Fus. Komp. Nr. 112 [</t>
        </r>
        <r>
          <rPr>
            <i/>
            <sz val="14"/>
            <color rgb="FF000000"/>
            <rFont val="Times New Roman"/>
            <family val="18"/>
          </rPr>
          <t>Beurlaubt bis Einberufung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13/09/1819 Muster: IR 3 14. Fus. Komp. Nr. 107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11/09/1820 Muster: IR 3 14. Fus. Komp. Nr. 90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text>
    </comment>
    <comment ref="BG1400" authorId="0" shapeId="0" xr:uid="{FA35E8E5-BDF0-AC43-8402-371E04AB387E}">
      <text>
        <r>
          <rPr>
            <sz val="14"/>
            <color rgb="FF000000"/>
            <rFont val="Times New Roman"/>
            <family val="18"/>
          </rPr>
          <t>ML 241 IR 3 (1817) – 14. Fus. Komp. Nr. 128 (Krems 18/09/1817)</t>
        </r>
        <r>
          <rPr>
            <sz val="14"/>
            <color rgb="FF000000"/>
            <rFont val="Calibri"/>
            <family val="34"/>
          </rPr>
          <t xml:space="preserve">
</t>
        </r>
        <r>
          <rPr>
            <sz val="14"/>
            <color rgb="FF000000"/>
            <rFont val="Times New Roman"/>
            <family val="18"/>
          </rPr>
          <t>ML 242 IR 3 (1818) – 14. Fus. Komp. Nr. 112 (Krems 15/09/1818)</t>
        </r>
        <r>
          <rPr>
            <sz val="14"/>
            <color rgb="FF000000"/>
            <rFont val="Calibri"/>
            <family val="34"/>
          </rPr>
          <t xml:space="preserve">
</t>
        </r>
        <r>
          <rPr>
            <sz val="14"/>
            <color rgb="FF000000"/>
            <rFont val="Times New Roman"/>
            <family val="18"/>
          </rPr>
          <t>ML 243 IR 3 (1819) – 14. Fus. Komp. Nr. 107 (Krems 13/09/1819)</t>
        </r>
        <r>
          <rPr>
            <sz val="14"/>
            <color rgb="FF000000"/>
            <rFont val="Calibri"/>
            <family val="34"/>
          </rPr>
          <t xml:space="preserve">
</t>
        </r>
        <r>
          <rPr>
            <sz val="14"/>
            <color rgb="FF000000"/>
            <rFont val="Times New Roman"/>
            <family val="18"/>
          </rPr>
          <t>ML 244 IR 3 (1820) – 14. Fus. Komp. Nr. 107 (Krems 11/09/1820)</t>
        </r>
        <r>
          <rPr>
            <sz val="14"/>
            <color rgb="FF000000"/>
            <rFont val="Calibri"/>
            <family val="34"/>
          </rPr>
          <t xml:space="preserve">
</t>
        </r>
      </text>
    </comment>
    <comment ref="BH1400" authorId="0" shapeId="0" xr:uid="{BC32887B-E1F8-1F45-8FB1-461A71BB68F3}">
      <text>
        <r>
          <rPr>
            <sz val="14"/>
            <color rgb="FF000000"/>
            <rFont val="Calibri"/>
            <family val="34"/>
          </rPr>
          <t xml:space="preserve">IR 24 (1811-1815)
</t>
        </r>
        <r>
          <rPr>
            <sz val="14"/>
            <color rgb="FF000000"/>
            <rFont val="Calibri"/>
            <family val="34"/>
          </rPr>
          <t>IR 3 (1815-1820)</t>
        </r>
      </text>
    </comment>
    <comment ref="T1401" authorId="0" shapeId="0" xr:uid="{E2492850-CE18-C74E-BEBE-08AB0DBF2529}">
      <text>
        <r>
          <rPr>
            <sz val="14"/>
            <color rgb="FF000000"/>
            <rFont val="Calibri"/>
            <family val="34"/>
          </rPr>
          <t xml:space="preserve">5.1.2 [161.07] [ML 1819)
</t>
        </r>
        <r>
          <rPr>
            <sz val="14"/>
            <color rgb="FF000000"/>
            <rFont val="Calibri"/>
            <family val="34"/>
          </rPr>
          <t>5.2 [163.26] (ML 1819)</t>
        </r>
      </text>
    </comment>
    <comment ref="BF1401" authorId="0" shapeId="0" xr:uid="{114FE967-3551-764C-8D68-CBEF98D270ED}">
      <text>
        <r>
          <rPr>
            <sz val="14"/>
            <color rgb="FF000000"/>
            <rFont val="Times New Roman"/>
            <family val="18"/>
          </rPr>
          <t xml:space="preserve">23/01/1812 </t>
        </r>
        <r>
          <rPr>
            <i/>
            <sz val="14"/>
            <color rgb="FF000000"/>
            <rFont val="Times New Roman"/>
            <family val="18"/>
          </rPr>
          <t>Gegen 3 Fl Handgeld auf 12 Jahre Capitulation freywillig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28/09/1818 Muster: IR 62 1. Fus. Komp. Nr. 184 [</t>
        </r>
        <r>
          <rPr>
            <i/>
            <sz val="14"/>
            <color rgb="FF000000"/>
            <rFont val="Times New Roman"/>
            <family val="18"/>
          </rPr>
          <t>Beurlaubt auf bestimmte Zeit</t>
        </r>
        <r>
          <rPr>
            <sz val="14"/>
            <color rgb="FF000000"/>
            <rFont val="Times New Roman"/>
            <family val="18"/>
          </rPr>
          <t>]</t>
        </r>
        <r>
          <rPr>
            <sz val="14"/>
            <color rgb="FF000000"/>
            <rFont val="Calibri"/>
            <family val="34"/>
          </rPr>
          <t xml:space="preserve">
</t>
        </r>
        <r>
          <rPr>
            <sz val="14"/>
            <color rgb="FF000000"/>
            <rFont val="Times New Roman"/>
            <family val="18"/>
          </rPr>
          <t xml:space="preserve">07/09/1819 </t>
        </r>
        <r>
          <rPr>
            <i/>
            <sz val="14"/>
            <color rgb="FF000000"/>
            <rFont val="Times New Roman"/>
            <family val="18"/>
          </rPr>
          <t>Von 1. zum 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07/10/1819 Muster: IR 62 8. Fus. Komp. Nr. 180 [</t>
        </r>
        <r>
          <rPr>
            <i/>
            <sz val="14"/>
            <color rgb="FF000000"/>
            <rFont val="Times New Roman"/>
            <family val="18"/>
          </rPr>
          <t>Beurlaubt mit Herrn OberLt. Nicodem zu Prag</t>
        </r>
        <r>
          <rPr>
            <sz val="14"/>
            <color rgb="FF000000"/>
            <rFont val="Times New Roman"/>
            <family val="18"/>
          </rPr>
          <t>]</t>
        </r>
        <r>
          <rPr>
            <sz val="14"/>
            <color rgb="FF000000"/>
            <rFont val="Calibri"/>
            <family val="34"/>
          </rPr>
          <t xml:space="preserve">
</t>
        </r>
        <r>
          <rPr>
            <sz val="14"/>
            <color rgb="FF000000"/>
            <rFont val="Times New Roman"/>
            <family val="18"/>
          </rPr>
          <t>04/09/1820 Revision: IR 62 8. Fus. Komp. Nr. 177 [</t>
        </r>
        <r>
          <rPr>
            <i/>
            <sz val="14"/>
            <color rgb="FF000000"/>
            <rFont val="Times New Roman"/>
            <family val="18"/>
          </rPr>
          <t>Zugetheilt beim 3. Baon in Siebenburgen</t>
        </r>
        <r>
          <rPr>
            <sz val="14"/>
            <color rgb="FF000000"/>
            <rFont val="Times New Roman"/>
            <family val="18"/>
          </rPr>
          <t>]</t>
        </r>
        <r>
          <rPr>
            <sz val="14"/>
            <color rgb="FF000000"/>
            <rFont val="Calibri"/>
            <family val="34"/>
          </rPr>
          <t xml:space="preserve">
</t>
        </r>
      </text>
    </comment>
    <comment ref="BG1401" authorId="0" shapeId="0" xr:uid="{DF798C18-0ABE-754F-8885-ED1F230463AF}">
      <text>
        <r>
          <rPr>
            <sz val="14"/>
            <color rgb="FF000000"/>
            <rFont val="Times New Roman"/>
            <family val="18"/>
          </rPr>
          <t>ML 5213/4 IR 62 (1818) – 1. Fus. Komp. Nr. 184 (Mantua 28/09/1818)</t>
        </r>
        <r>
          <rPr>
            <sz val="14"/>
            <color rgb="FF000000"/>
            <rFont val="Calibri"/>
            <family val="34"/>
          </rPr>
          <t xml:space="preserve">
</t>
        </r>
        <r>
          <rPr>
            <sz val="14"/>
            <color rgb="FF000000"/>
            <rFont val="Times New Roman"/>
            <family val="18"/>
          </rPr>
          <t>ML 5215/6 IR 62 (1819) – 8. Fus. Komp. Nr. 180 (Mantua 07/10/1819)</t>
        </r>
        <r>
          <rPr>
            <sz val="14"/>
            <color rgb="FF000000"/>
            <rFont val="Calibri"/>
            <family val="34"/>
          </rPr>
          <t xml:space="preserve">
</t>
        </r>
        <r>
          <rPr>
            <sz val="14"/>
            <color rgb="FF000000"/>
            <rFont val="Times New Roman"/>
            <family val="18"/>
          </rPr>
          <t>ML 5217 IR 62 (1820) – 8. Fus. Komp. Nr. 177 (Cremona 04/09/1820)</t>
        </r>
        <r>
          <rPr>
            <sz val="14"/>
            <color rgb="FF000000"/>
            <rFont val="Calibri"/>
            <family val="34"/>
          </rPr>
          <t xml:space="preserve">
</t>
        </r>
      </text>
    </comment>
    <comment ref="BH1401" authorId="0" shapeId="0" xr:uid="{E5985EF4-2C3C-2747-9A27-E865C3C83B99}">
      <text>
        <r>
          <rPr>
            <sz val="14"/>
            <color rgb="FF000000"/>
            <rFont val="Calibri"/>
            <family val="34"/>
          </rPr>
          <t>IR 62 (1812-1820)</t>
        </r>
      </text>
    </comment>
    <comment ref="BF1402" authorId="0" shapeId="0" xr:uid="{26415827-B8A0-AD4F-9B3E-03860C9598DC}">
      <text>
        <r>
          <rPr>
            <sz val="14"/>
            <color rgb="FF000000"/>
            <rFont val="Times New Roman"/>
            <family val="18"/>
          </rPr>
          <t xml:space="preserve">??/03/1812 </t>
        </r>
        <r>
          <rPr>
            <i/>
            <sz val="14"/>
            <color rgb="FF000000"/>
            <rFont val="Times New Roman"/>
            <family val="18"/>
          </rPr>
          <t>Dienst seit</t>
        </r>
        <r>
          <rPr>
            <sz val="14"/>
            <color rgb="FF000000"/>
            <rFont val="Times New Roman"/>
            <family val="18"/>
          </rPr>
          <t xml:space="preserve"> [Desert. Con March 1813]</t>
        </r>
        <r>
          <rPr>
            <sz val="14"/>
            <color rgb="FF000000"/>
            <rFont val="Calibri"/>
            <family val="34"/>
          </rPr>
          <t xml:space="preserve">
</t>
        </r>
        <r>
          <rPr>
            <sz val="14"/>
            <color rgb="FF000000"/>
            <rFont val="Times New Roman"/>
            <family val="18"/>
          </rPr>
          <t xml:space="preserve">29/08/1812 </t>
        </r>
        <r>
          <rPr>
            <i/>
            <sz val="14"/>
            <color rgb="FF000000"/>
            <rFont val="Times New Roman"/>
            <family val="18"/>
          </rPr>
          <t>Aus dem Feldlager bei Weschwa Desertiert ‘Wegen beschlechtiger Dienstes Nachlässigkeit und am bei der hang zum Diebstall‘</t>
        </r>
        <r>
          <rPr>
            <sz val="14"/>
            <color rgb="FF000000"/>
            <rFont val="Times New Roman"/>
            <family val="18"/>
          </rPr>
          <t xml:space="preserve"> [Desert. Con March 1813]</t>
        </r>
        <r>
          <rPr>
            <sz val="14"/>
            <color rgb="FF000000"/>
            <rFont val="Calibri"/>
            <family val="34"/>
          </rPr>
          <t xml:space="preserve">
</t>
        </r>
      </text>
    </comment>
    <comment ref="BG1402" authorId="0" shapeId="0" xr:uid="{7602E17B-A3EA-C347-BEC9-6CD9A82DF30B}">
      <text>
        <r>
          <rPr>
            <sz val="14"/>
            <color rgb="FF000000"/>
            <rFont val="Times New Roman"/>
            <family val="18"/>
          </rPr>
          <t>ML 9226 MFK LPK Galizien (1813) – Deserteur Consignation, Nr. 32 (Berzesko 24/03/1813)</t>
        </r>
      </text>
    </comment>
    <comment ref="BH1402" authorId="0" shapeId="0" xr:uid="{90141D6C-B55F-EB4C-A6A2-5E20D59F4F0D}">
      <text>
        <r>
          <rPr>
            <sz val="14"/>
            <color rgb="FF000000"/>
            <rFont val="Calibri"/>
            <family val="34"/>
          </rPr>
          <t>MFWK LPK Galizien (1812)</t>
        </r>
      </text>
    </comment>
    <comment ref="BF1403" authorId="0" shapeId="0" xr:uid="{E5C54EE0-B5ED-584F-9371-0382C347AE12}">
      <text>
        <r>
          <rPr>
            <sz val="14"/>
            <color rgb="FF000000"/>
            <rFont val="Times New Roman"/>
            <family val="18"/>
          </rPr>
          <t xml:space="preserve">??/05/1812 </t>
        </r>
        <r>
          <rPr>
            <i/>
            <sz val="14"/>
            <color rgb="FF000000"/>
            <rFont val="Times New Roman"/>
            <family val="18"/>
          </rPr>
          <t>Dienst seit</t>
        </r>
        <r>
          <rPr>
            <sz val="14"/>
            <color rgb="FF000000"/>
            <rFont val="Times New Roman"/>
            <family val="18"/>
          </rPr>
          <t xml:space="preserve"> [Desert. Con March 1813]</t>
        </r>
        <r>
          <rPr>
            <sz val="14"/>
            <color rgb="FF000000"/>
            <rFont val="Calibri"/>
            <family val="34"/>
          </rPr>
          <t xml:space="preserve">
</t>
        </r>
        <r>
          <rPr>
            <sz val="14"/>
            <color rgb="FF000000"/>
            <rFont val="Times New Roman"/>
            <family val="18"/>
          </rPr>
          <t xml:space="preserve">29/08/1812 </t>
        </r>
        <r>
          <rPr>
            <i/>
            <sz val="14"/>
            <color rgb="FF000000"/>
            <rFont val="Times New Roman"/>
            <family val="18"/>
          </rPr>
          <t>Aus dem Feldlager bei Weschwa Desertiert ‘Wegen beschlechtiger Dienstes Nachlässigkeit und am bei der hang zum Diebstall‘</t>
        </r>
        <r>
          <rPr>
            <sz val="14"/>
            <color rgb="FF000000"/>
            <rFont val="Times New Roman"/>
            <family val="18"/>
          </rPr>
          <t xml:space="preserve"> [Desert. Con March 1813]</t>
        </r>
        <r>
          <rPr>
            <sz val="14"/>
            <color rgb="FF000000"/>
            <rFont val="Calibri"/>
            <family val="34"/>
          </rPr>
          <t xml:space="preserve">
</t>
        </r>
      </text>
    </comment>
    <comment ref="BG1403" authorId="0" shapeId="0" xr:uid="{58F4B70A-1D17-C845-BF31-D722AC7E5292}">
      <text>
        <r>
          <rPr>
            <sz val="14"/>
            <color rgb="FF000000"/>
            <rFont val="Times New Roman"/>
            <family val="18"/>
          </rPr>
          <t>ML 9226 MFK LPK Galizien (1813) – Deserteur Consignation, Nr. 34 (Berzesko 24/03/1813)</t>
        </r>
      </text>
    </comment>
    <comment ref="BH1403" authorId="0" shapeId="0" xr:uid="{A6445EF9-1619-5048-AAB3-D82CD7453B86}">
      <text>
        <r>
          <rPr>
            <sz val="14"/>
            <color rgb="FF000000"/>
            <rFont val="Calibri"/>
            <family val="34"/>
          </rPr>
          <t>MFWK LPK Galizien (1812)</t>
        </r>
      </text>
    </comment>
    <comment ref="BF1404" authorId="0" shapeId="0" xr:uid="{CF650EB0-E84A-9645-A894-40526695A5A9}">
      <text>
        <r>
          <rPr>
            <sz val="14"/>
            <color rgb="FF000000"/>
            <rFont val="Times New Roman"/>
            <family val="18"/>
          </rPr>
          <t xml:space="preserve">06/06/1812 </t>
        </r>
        <r>
          <rPr>
            <i/>
            <sz val="14"/>
            <color rgb="FF000000"/>
            <rFont val="Times New Roman"/>
            <family val="18"/>
          </rPr>
          <t>Gegen 15Fl Handgeld auf 12 Jahren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23/09/1817 Musterung: HR 7 Obrist 2. Esk. Nr. 118 [</t>
        </r>
        <r>
          <rPr>
            <i/>
            <sz val="14"/>
            <color rgb="FF000000"/>
            <rFont val="Times New Roman"/>
            <family val="18"/>
          </rPr>
          <t>Krank in loco Regiments Spital</t>
        </r>
        <r>
          <rPr>
            <sz val="14"/>
            <color rgb="FF000000"/>
            <rFont val="Times New Roman"/>
            <family val="18"/>
          </rPr>
          <t>]</t>
        </r>
        <r>
          <rPr>
            <sz val="14"/>
            <color rgb="FF000000"/>
            <rFont val="Calibri"/>
            <family val="34"/>
          </rPr>
          <t xml:space="preserve">
</t>
        </r>
      </text>
    </comment>
    <comment ref="BG1404" authorId="0" shapeId="0" xr:uid="{90B79334-2DAB-B44F-8152-8CCA4C733BC7}">
      <text>
        <r>
          <rPr>
            <sz val="14"/>
            <color rgb="FF000000"/>
            <rFont val="Times New Roman"/>
            <family val="18"/>
          </rPr>
          <t>ML 7595 HR 7 (1817) – Heft von Obrist 2. Esk. Nr. 118 (Esseg 23/09/1817)</t>
        </r>
      </text>
    </comment>
    <comment ref="BH1404" authorId="0" shapeId="0" xr:uid="{A3E75A28-7030-E643-8186-9DE71F7B6077}">
      <text>
        <r>
          <rPr>
            <sz val="14"/>
            <color rgb="FF000000"/>
            <rFont val="Calibri"/>
            <family val="34"/>
          </rPr>
          <t>HR 2 (1812-17)</t>
        </r>
      </text>
    </comment>
    <comment ref="BF1405" authorId="0" shapeId="0" xr:uid="{4D851B8F-B973-884F-835E-DFD9AB628748}">
      <text>
        <r>
          <rPr>
            <sz val="14"/>
            <color rgb="FF000000"/>
            <rFont val="Times New Roman"/>
            <family val="18"/>
          </rPr>
          <t xml:space="preserve">08/06/1812 </t>
        </r>
        <r>
          <rPr>
            <i/>
            <sz val="14"/>
            <color rgb="FF000000"/>
            <rFont val="Times New Roman"/>
            <family val="18"/>
          </rPr>
          <t>Als Rekrut zum MFWK assentiert</t>
        </r>
        <r>
          <rPr>
            <sz val="14"/>
            <color rgb="FF000000"/>
            <rFont val="Times New Roman"/>
            <family val="18"/>
          </rPr>
          <t xml:space="preserve"> [TL June 1812]</t>
        </r>
        <r>
          <rPr>
            <sz val="14"/>
            <color rgb="FF000000"/>
            <rFont val="Calibri"/>
            <family val="34"/>
          </rPr>
          <t xml:space="preserve">
</t>
        </r>
        <r>
          <rPr>
            <sz val="14"/>
            <color rgb="FF000000"/>
            <rFont val="Times New Roman"/>
            <family val="18"/>
          </rPr>
          <t xml:space="preserve">30/06/1812 </t>
        </r>
        <r>
          <rPr>
            <i/>
            <sz val="14"/>
            <color rgb="FF000000"/>
            <rFont val="Times New Roman"/>
            <family val="18"/>
          </rPr>
          <t>Von MFWK zum IR 1 Feld Bataillons transferiert und zum Packpersonal eingeteilt</t>
        </r>
        <r>
          <rPr>
            <sz val="14"/>
            <color rgb="FF000000"/>
            <rFont val="Times New Roman"/>
            <family val="18"/>
          </rPr>
          <t xml:space="preserve"> [TL June 1812 &amp; ST June 1812]</t>
        </r>
        <r>
          <rPr>
            <sz val="14"/>
            <color rgb="FF000000"/>
            <rFont val="Calibri"/>
            <family val="34"/>
          </rPr>
          <t xml:space="preserve">
</t>
        </r>
        <r>
          <rPr>
            <sz val="14"/>
            <color rgb="FF000000"/>
            <rFont val="Times New Roman"/>
            <family val="18"/>
          </rPr>
          <t xml:space="preserve">01/12/1812 </t>
        </r>
        <r>
          <rPr>
            <i/>
            <sz val="14"/>
            <color rgb="FF000000"/>
            <rFont val="Times New Roman"/>
            <family val="18"/>
          </rPr>
          <t>Krank in Armee Spital</t>
        </r>
        <r>
          <rPr>
            <sz val="14"/>
            <color rgb="FF000000"/>
            <rFont val="Times New Roman"/>
            <family val="18"/>
          </rPr>
          <t xml:space="preserve"> [ST Jan 1813]</t>
        </r>
        <r>
          <rPr>
            <sz val="14"/>
            <color rgb="FF000000"/>
            <rFont val="Calibri"/>
            <family val="34"/>
          </rPr>
          <t xml:space="preserve">
</t>
        </r>
        <r>
          <rPr>
            <sz val="14"/>
            <color rgb="FF000000"/>
            <rFont val="Times New Roman"/>
            <family val="18"/>
          </rPr>
          <t xml:space="preserve">30/04/1813 </t>
        </r>
        <r>
          <rPr>
            <i/>
            <sz val="14"/>
            <color rgb="FF000000"/>
            <rFont val="Times New Roman"/>
            <family val="18"/>
          </rPr>
          <t>Mit unbewusste Dato als Krank in Armee Spitälern verloren gegangen</t>
        </r>
        <r>
          <rPr>
            <sz val="14"/>
            <color rgb="FF000000"/>
            <rFont val="Times New Roman"/>
            <family val="18"/>
          </rPr>
          <t xml:space="preserve"> [ST April 1813]</t>
        </r>
        <r>
          <rPr>
            <sz val="14"/>
            <color rgb="FF000000"/>
            <rFont val="Calibri"/>
            <family val="34"/>
          </rPr>
          <t xml:space="preserve">
</t>
        </r>
      </text>
    </comment>
    <comment ref="BG1405" authorId="0" shapeId="0" xr:uid="{A5375138-2463-0D44-85DE-8BDD3777E678}">
      <text>
        <r>
          <rPr>
            <sz val="14"/>
            <color rgb="FF000000"/>
            <rFont val="Times New Roman"/>
            <family val="18"/>
          </rPr>
          <t>ML 97 IR 1 (1812) – ST June (Proßnitz 14/09/1812)</t>
        </r>
        <r>
          <rPr>
            <sz val="14"/>
            <color rgb="FF000000"/>
            <rFont val="Calibri"/>
            <family val="34"/>
          </rPr>
          <t xml:space="preserve">
</t>
        </r>
        <r>
          <rPr>
            <sz val="14"/>
            <color rgb="FF000000"/>
            <rFont val="Times New Roman"/>
            <family val="18"/>
          </rPr>
          <t>ML 98 IR 1 (1812) AL/TL – TL MFWK-&gt;IR 1 Nr. 11 (Rzeszow 27/06/1812)</t>
        </r>
        <r>
          <rPr>
            <sz val="14"/>
            <color rgb="FF000000"/>
            <rFont val="Calibri"/>
            <family val="34"/>
          </rPr>
          <t xml:space="preserve">
</t>
        </r>
        <r>
          <rPr>
            <sz val="14"/>
            <color rgb="FF000000"/>
            <rFont val="Times New Roman"/>
            <family val="18"/>
          </rPr>
          <t>ML 99 IR 1 (1813) – ST Jan (Proßnitz 31/05/1813)</t>
        </r>
        <r>
          <rPr>
            <sz val="14"/>
            <color rgb="FF000000"/>
            <rFont val="Calibri"/>
            <family val="34"/>
          </rPr>
          <t xml:space="preserve">
</t>
        </r>
      </text>
    </comment>
    <comment ref="BH1405" authorId="0" shapeId="0" xr:uid="{7B19A545-1CB5-0742-9506-2DB87AC263FE}">
      <text>
        <r>
          <rPr>
            <sz val="14"/>
            <color rgb="FF000000"/>
            <rFont val="Calibri"/>
            <family val="34"/>
          </rPr>
          <t>MFWK (1812-1813)</t>
        </r>
      </text>
    </comment>
    <comment ref="BF1406" authorId="0" shapeId="0" xr:uid="{558C6257-D52F-524E-88A4-6AECE48A5148}">
      <text>
        <r>
          <rPr>
            <sz val="14"/>
            <color rgb="FF000000"/>
            <rFont val="Times New Roman"/>
            <family val="18"/>
          </rPr>
          <t xml:space="preserve">24/08/1812 </t>
        </r>
        <r>
          <rPr>
            <i/>
            <sz val="14"/>
            <color rgb="FF000000"/>
            <rFont val="Times New Roman"/>
            <family val="18"/>
          </rPr>
          <t>bei der Regiment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19/09/1817 Musterung: HR 7 1. Major 2. Esk Nr. 113 [</t>
        </r>
        <r>
          <rPr>
            <i/>
            <sz val="14"/>
            <color rgb="FF000000"/>
            <rFont val="Times New Roman"/>
            <family val="18"/>
          </rPr>
          <t>Krank in loco Spital</t>
        </r>
        <r>
          <rPr>
            <sz val="14"/>
            <color rgb="FF000000"/>
            <rFont val="Times New Roman"/>
            <family val="18"/>
          </rPr>
          <t xml:space="preserve">] </t>
        </r>
        <r>
          <rPr>
            <sz val="14"/>
            <color rgb="FF000000"/>
            <rFont val="Calibri"/>
            <family val="34"/>
          </rPr>
          <t xml:space="preserve">
</t>
        </r>
      </text>
    </comment>
    <comment ref="BG1406" authorId="0" shapeId="0" xr:uid="{29541B3B-2A91-D546-969B-95F9F08D7D73}">
      <text>
        <r>
          <rPr>
            <sz val="14"/>
            <color rgb="FF000000"/>
            <rFont val="Times New Roman"/>
            <family val="18"/>
          </rPr>
          <t>ML 7595 HR 7 (1817) – Heft von 1. Major 2. Esk. Nr. 113 (Czernek 19/09/1817)</t>
        </r>
      </text>
    </comment>
    <comment ref="BH1406" authorId="0" shapeId="0" xr:uid="{FC60DDEA-8206-9949-BD7E-798B0EA9E69B}">
      <text>
        <r>
          <rPr>
            <sz val="14"/>
            <color rgb="FF000000"/>
            <rFont val="Calibri"/>
            <family val="34"/>
          </rPr>
          <t>HR 2 (1812-17)</t>
        </r>
      </text>
    </comment>
    <comment ref="BF1407" authorId="0" shapeId="0" xr:uid="{1A90B111-4D36-864E-94F6-031257E815D7}">
      <text>
        <r>
          <rPr>
            <sz val="14"/>
            <color rgb="FFFF0000"/>
            <rFont val="Times New Roman"/>
            <family val="18"/>
          </rPr>
          <t xml:space="preserve">Im Jahr 1808 </t>
        </r>
        <r>
          <rPr>
            <i/>
            <sz val="14"/>
            <color rgb="FFFF0000"/>
            <rFont val="Times New Roman"/>
            <family val="18"/>
          </rPr>
          <t>Zu Prinz Vied</t>
        </r>
        <r>
          <rPr>
            <sz val="14"/>
            <color rgb="FFFF0000"/>
            <rFont val="Times New Roman"/>
            <family val="18"/>
          </rPr>
          <t xml:space="preserve"> </t>
        </r>
        <r>
          <rPr>
            <b/>
            <sz val="14"/>
            <color rgb="FFFF0000"/>
            <rFont val="Times New Roman"/>
            <family val="18"/>
          </rPr>
          <t>[IR 34]</t>
        </r>
        <r>
          <rPr>
            <sz val="14"/>
            <color rgb="FFFF0000"/>
            <rFont val="Times New Roman"/>
            <family val="18"/>
          </rPr>
          <t xml:space="preserve"> </t>
        </r>
        <r>
          <rPr>
            <i/>
            <sz val="14"/>
            <color rgb="FFFF0000"/>
            <rFont val="Times New Roman"/>
            <family val="18"/>
          </rPr>
          <t>ohne Capitulation assentiert</t>
        </r>
        <r>
          <rPr>
            <sz val="14"/>
            <color rgb="FFFF0000"/>
            <rFont val="Times New Roman"/>
            <family val="18"/>
          </rPr>
          <t xml:space="preserve"> [TL June 1816]</t>
        </r>
        <r>
          <rPr>
            <sz val="14"/>
            <color rgb="FF000000"/>
            <rFont val="Times New Roman"/>
            <family val="18"/>
          </rPr>
          <t xml:space="preserve">
</t>
        </r>
        <r>
          <rPr>
            <sz val="14"/>
            <color rgb="FF000000"/>
            <rFont val="Times New Roman"/>
            <family val="18"/>
          </rPr>
          <t xml:space="preserve">26/08/1812 </t>
        </r>
        <r>
          <rPr>
            <i/>
            <sz val="14"/>
            <color rgb="FF000000"/>
            <rFont val="Times New Roman"/>
            <family val="18"/>
          </rPr>
          <t>Durch das Zempliner Komität a 10Fl Handgeld auf Beständig gestellt</t>
        </r>
        <r>
          <rPr>
            <sz val="14"/>
            <color rgb="FF000000"/>
            <rFont val="Times New Roman"/>
            <family val="18"/>
          </rPr>
          <t xml:space="preserve"> [TL Juli 1816]
</t>
        </r>
        <r>
          <rPr>
            <sz val="14"/>
            <color rgb="FF000000"/>
            <rFont val="Times New Roman"/>
            <family val="18"/>
          </rPr>
          <t xml:space="preserve">15/10/1814 </t>
        </r>
        <r>
          <rPr>
            <i/>
            <sz val="14"/>
            <color rgb="FF000000"/>
            <rFont val="Times New Roman"/>
            <family val="18"/>
          </rPr>
          <t xml:space="preserve">Von IR 34 2. Fus. Komp. zum HFS 32 transferiert </t>
        </r>
        <r>
          <rPr>
            <sz val="14"/>
            <color rgb="FF000000"/>
            <rFont val="Times New Roman"/>
            <family val="18"/>
          </rPr>
          <t xml:space="preserve">[TL Juli 1816]
</t>
        </r>
        <r>
          <rPr>
            <sz val="14"/>
            <color rgb="FF000000"/>
            <rFont val="Times New Roman"/>
            <family val="18"/>
          </rPr>
          <t xml:space="preserve">10/08/1815 </t>
        </r>
        <r>
          <rPr>
            <i/>
            <sz val="14"/>
            <color rgb="FF000000"/>
            <rFont val="Times New Roman"/>
            <family val="18"/>
          </rPr>
          <t>Von HFS 32 zum HFS 24 transferiert</t>
        </r>
        <r>
          <rPr>
            <sz val="14"/>
            <color rgb="FF000000"/>
            <rFont val="Times New Roman"/>
            <family val="18"/>
          </rPr>
          <t xml:space="preserve"> [VrpfL Aug 1815]
</t>
        </r>
        <r>
          <rPr>
            <sz val="14"/>
            <color rgb="FF000000"/>
            <rFont val="Times New Roman"/>
            <family val="18"/>
          </rPr>
          <t xml:space="preserve">06/11/1815 </t>
        </r>
        <r>
          <rPr>
            <i/>
            <sz val="14"/>
            <color rgb="FF000000"/>
            <rFont val="Times New Roman"/>
            <family val="18"/>
          </rPr>
          <t>Von HFS 24 zum HFS 32	 transferiert</t>
        </r>
        <r>
          <rPr>
            <sz val="14"/>
            <color rgb="FF000000"/>
            <rFont val="Times New Roman"/>
            <family val="18"/>
          </rPr>
          <t xml:space="preserve"> [VrpfL Nov 1815]
</t>
        </r>
        <r>
          <rPr>
            <sz val="14"/>
            <color rgb="FF000000"/>
            <rFont val="Times New Roman"/>
            <family val="18"/>
          </rPr>
          <t xml:space="preserve">31/12/1815 </t>
        </r>
        <r>
          <rPr>
            <i/>
            <sz val="14"/>
            <color rgb="FF000000"/>
            <rFont val="Times New Roman"/>
            <family val="18"/>
          </rPr>
          <t>Von HFS 32 zum HFS 34 transferiert</t>
        </r>
        <r>
          <rPr>
            <sz val="14"/>
            <color rgb="FF000000"/>
            <rFont val="Times New Roman"/>
            <family val="18"/>
          </rPr>
          <t xml:space="preserve"> [TL June 1815]
</t>
        </r>
      </text>
    </comment>
    <comment ref="BG1407" authorId="0" shapeId="0" xr:uid="{E04B0766-6CB3-6949-A5A8-7947CA77B95D}">
      <text>
        <r>
          <rPr>
            <sz val="14"/>
            <color rgb="FF000000"/>
            <rFont val="Times New Roman"/>
            <family val="18"/>
          </rPr>
          <t>ML 11.994 HFS (1809/10; 1813/4) – 1814 TL IR 34-&gt;HFS Nr. 3 (Caschau 12/07/1816); 1815 VrpfL Aug (Padua 05/11/1815); Nov (Padua 10/12/1815); Dec (Padua 10/01/1816)</t>
        </r>
        <r>
          <rPr>
            <sz val="14"/>
            <color rgb="FF000000"/>
            <rFont val="Calibri"/>
            <family val="34"/>
          </rPr>
          <t xml:space="preserve">
</t>
        </r>
        <r>
          <rPr>
            <sz val="14"/>
            <color rgb="FF000000"/>
            <rFont val="Times New Roman"/>
            <family val="18"/>
          </rPr>
          <t>ML 11.995 HFS 32 (1815/6) – TL HFS 32-&gt; HFS 34 Nr. 20 (Padua 17/06/1816)</t>
        </r>
        <r>
          <rPr>
            <sz val="14"/>
            <color rgb="FF000000"/>
            <rFont val="Calibri"/>
            <family val="34"/>
          </rPr>
          <t xml:space="preserve">
</t>
        </r>
        <r>
          <rPr>
            <sz val="14"/>
            <color rgb="FF000000"/>
            <rFont val="Times New Roman"/>
            <family val="18"/>
          </rPr>
          <t>)</t>
        </r>
      </text>
    </comment>
    <comment ref="BH1407" authorId="0" shapeId="0" xr:uid="{2BD2405F-882C-8146-8639-D75EC2BD6935}">
      <text>
        <r>
          <rPr>
            <sz val="14"/>
            <color rgb="FF000000"/>
            <rFont val="Calibri"/>
            <family val="34"/>
          </rPr>
          <t xml:space="preserve">IR 34 (1812-1814)
</t>
        </r>
        <r>
          <rPr>
            <sz val="14"/>
            <color rgb="FF000000"/>
            <rFont val="Calibri"/>
            <family val="34"/>
          </rPr>
          <t xml:space="preserve">HFS 32 (1814-1815)
</t>
        </r>
        <r>
          <rPr>
            <sz val="14"/>
            <color rgb="FF000000"/>
            <rFont val="Calibri"/>
            <family val="34"/>
          </rPr>
          <t xml:space="preserve">HFS 24 (1815)
</t>
        </r>
        <r>
          <rPr>
            <sz val="14"/>
            <color rgb="FF000000"/>
            <rFont val="Calibri"/>
            <family val="34"/>
          </rPr>
          <t xml:space="preserve">HFS 32 (1815)
</t>
        </r>
        <r>
          <rPr>
            <sz val="14"/>
            <color rgb="FF000000"/>
            <rFont val="Calibri"/>
            <family val="34"/>
          </rPr>
          <t>HFS 34 (1816)</t>
        </r>
      </text>
    </comment>
    <comment ref="BI1407" authorId="0" shapeId="0" xr:uid="{F479D181-BEEB-8249-8E37-D269078533BE}">
      <text>
        <r>
          <rPr>
            <i/>
            <sz val="14"/>
            <color rgb="FF000000"/>
            <rFont val="Times New Roman"/>
            <family val="18"/>
          </rPr>
          <t>Gutte</t>
        </r>
        <r>
          <rPr>
            <sz val="14"/>
            <color rgb="FF000000"/>
            <rFont val="Calibri"/>
            <family val="2"/>
          </rPr>
          <t xml:space="preserve"> [TL July 1816]</t>
        </r>
      </text>
    </comment>
    <comment ref="BJ1407" authorId="0" shapeId="0" xr:uid="{34880362-C6B5-514F-9914-F0013D249D2E}">
      <text>
        <r>
          <rPr>
            <i/>
            <sz val="14"/>
            <color rgb="FF000000"/>
            <rFont val="Times New Roman"/>
            <family val="18"/>
          </rPr>
          <t xml:space="preserve">Mit einem Erbgründ behattet (In Dienst) </t>
        </r>
        <r>
          <rPr>
            <sz val="14"/>
            <color rgb="FF000000"/>
            <rFont val="Times New Roman"/>
            <family val="18"/>
          </rPr>
          <t>[TL July 1816]</t>
        </r>
      </text>
    </comment>
    <comment ref="BF1408" authorId="0" shapeId="0" xr:uid="{3E1DA52E-0A93-BE44-8A32-9698D46669F9}">
      <text>
        <r>
          <rPr>
            <sz val="14"/>
            <color rgb="FF000000"/>
            <rFont val="Times New Roman"/>
            <family val="18"/>
          </rPr>
          <t xml:space="preserve">20/09/1812 </t>
        </r>
        <r>
          <rPr>
            <i/>
            <sz val="14"/>
            <color rgb="FF000000"/>
            <rFont val="Times New Roman"/>
            <family val="18"/>
          </rPr>
          <t>Gegen 1Fl Handgeld als Reserve Mann zum IR 1 gestellt</t>
        </r>
        <r>
          <rPr>
            <sz val="14"/>
            <color rgb="FF000000"/>
            <rFont val="Times New Roman"/>
            <family val="18"/>
          </rPr>
          <t xml:space="preserve"> [AL Oct 1812] </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408" authorId="0" shapeId="0" xr:uid="{483CBE35-A152-6D42-A9F4-FB5A3FE7B230}">
      <text>
        <r>
          <rPr>
            <sz val="14"/>
            <color rgb="FF000000"/>
            <rFont val="Times New Roman"/>
            <family val="18"/>
          </rPr>
          <t>ML 98 IR 1 (1812) AL/TL – AL Nr. 1 (Neu Sandetz 12/10/1812)</t>
        </r>
        <r>
          <rPr>
            <sz val="14"/>
            <color rgb="FF000000"/>
            <rFont val="Calibri"/>
            <family val="34"/>
          </rPr>
          <t xml:space="preserve">
</t>
        </r>
      </text>
    </comment>
    <comment ref="BH1408" authorId="0" shapeId="0" xr:uid="{B6CE2987-9769-B84D-A182-D7268A8F2166}">
      <text>
        <r>
          <rPr>
            <sz val="14"/>
            <color rgb="FF000000"/>
            <rFont val="Calibri"/>
            <family val="34"/>
          </rPr>
          <t>IR 1 (1812)</t>
        </r>
      </text>
    </comment>
    <comment ref="BF1409" authorId="0" shapeId="0" xr:uid="{081D6CEC-DBFB-E642-BBF7-0760F9EF7493}">
      <text>
        <r>
          <rPr>
            <sz val="14"/>
            <color rgb="FF000000"/>
            <rFont val="Times New Roman"/>
            <family val="18"/>
          </rPr>
          <t xml:space="preserve">26/09/1812 </t>
        </r>
        <r>
          <rPr>
            <i/>
            <sz val="14"/>
            <color rgb="FF000000"/>
            <rFont val="Times New Roman"/>
            <family val="18"/>
          </rPr>
          <t>Gegen 1Fl Handgeld als Reserve Mann zum IR 1 gestellt</t>
        </r>
        <r>
          <rPr>
            <sz val="14"/>
            <color rgb="FF000000"/>
            <rFont val="Times New Roman"/>
            <family val="18"/>
          </rPr>
          <t xml:space="preserve"> [AL Oct 1812] </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409" authorId="0" shapeId="0" xr:uid="{AF1B1AD1-C2A0-1B43-AC52-9963AD5F6593}">
      <text>
        <r>
          <rPr>
            <sz val="14"/>
            <color rgb="FF000000"/>
            <rFont val="Times New Roman"/>
            <family val="18"/>
          </rPr>
          <t>ML 98 IR 1 (1812) AL/TL – AL Nr. 208 (Neu Sandetz 12/10/1812)</t>
        </r>
        <r>
          <rPr>
            <sz val="14"/>
            <color rgb="FF000000"/>
            <rFont val="Calibri"/>
            <family val="34"/>
          </rPr>
          <t xml:space="preserve">
</t>
        </r>
      </text>
    </comment>
    <comment ref="BH1409" authorId="0" shapeId="0" xr:uid="{E6C5A938-F808-F542-B109-4C972CBF82ED}">
      <text>
        <r>
          <rPr>
            <sz val="14"/>
            <color rgb="FF000000"/>
            <rFont val="Calibri"/>
            <family val="34"/>
          </rPr>
          <t>IR 1 (1812)</t>
        </r>
      </text>
    </comment>
    <comment ref="BF1410" authorId="0" shapeId="0" xr:uid="{4FEECBD9-4E0E-EB40-B1EA-6CB4BED7AE6E}">
      <text>
        <r>
          <rPr>
            <sz val="14"/>
            <color rgb="FF000000"/>
            <rFont val="Times New Roman"/>
            <family val="18"/>
          </rPr>
          <t xml:space="preserve">26/09/1812 </t>
        </r>
        <r>
          <rPr>
            <i/>
            <sz val="14"/>
            <color rgb="FF000000"/>
            <rFont val="Times New Roman"/>
            <family val="18"/>
          </rPr>
          <t>Gegen 1Fl Handgeld als Reserve Mann zum IR 1 gestellt</t>
        </r>
        <r>
          <rPr>
            <sz val="14"/>
            <color rgb="FF000000"/>
            <rFont val="Times New Roman"/>
            <family val="18"/>
          </rPr>
          <t xml:space="preserve"> [AL Oct 1812] </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410" authorId="0" shapeId="0" xr:uid="{D6E9786D-4D74-C24A-B9C6-2FF47B68FBEB}">
      <text>
        <r>
          <rPr>
            <sz val="14"/>
            <color rgb="FF000000"/>
            <rFont val="Times New Roman"/>
            <family val="18"/>
          </rPr>
          <t>ML 98 IR 1 (1812) AL/TL – AL Nr. 208 (Neu Sandetz 12/10/1812)</t>
        </r>
        <r>
          <rPr>
            <sz val="14"/>
            <color rgb="FF000000"/>
            <rFont val="Calibri"/>
            <family val="34"/>
          </rPr>
          <t xml:space="preserve">
</t>
        </r>
      </text>
    </comment>
    <comment ref="BH1410" authorId="0" shapeId="0" xr:uid="{8AE2FF47-94D5-7143-B757-99DBE5F9FDB8}">
      <text>
        <r>
          <rPr>
            <sz val="14"/>
            <color rgb="FF000000"/>
            <rFont val="Calibri"/>
            <family val="34"/>
          </rPr>
          <t>IR 1 (1812)</t>
        </r>
      </text>
    </comment>
    <comment ref="BF1411" authorId="0" shapeId="0" xr:uid="{3E728A0D-ECE6-5F4E-A542-73C1B4D36311}">
      <text>
        <r>
          <rPr>
            <sz val="14"/>
            <color rgb="FF000000"/>
            <rFont val="Times New Roman"/>
            <family val="18"/>
          </rPr>
          <t xml:space="preserve">01/10/1812 </t>
        </r>
        <r>
          <rPr>
            <i/>
            <sz val="14"/>
            <color rgb="FF000000"/>
            <rFont val="Times New Roman"/>
            <family val="18"/>
          </rPr>
          <t xml:space="preserve">Zum IR 1 1. Reserve Bataillon von Herrschaft Plumenau </t>
        </r>
        <r>
          <rPr>
            <b/>
            <sz val="14"/>
            <color rgb="FF000000"/>
            <rFont val="Times New Roman"/>
            <family val="18"/>
          </rPr>
          <t>[</t>
        </r>
        <r>
          <rPr>
            <b/>
            <u/>
            <sz val="14"/>
            <color rgb="FF0563C1"/>
            <rFont val="Times New Roman"/>
            <family val="18"/>
          </rPr>
          <t>Plumlov, Czech Republic</t>
        </r>
        <r>
          <rPr>
            <b/>
            <sz val="14"/>
            <color rgb="FF000000"/>
            <rFont val="Times New Roman"/>
            <family val="18"/>
          </rPr>
          <t>]</t>
        </r>
        <r>
          <rPr>
            <sz val="14"/>
            <color rgb="FF000000"/>
            <rFont val="Times New Roman"/>
            <family val="18"/>
          </rPr>
          <t xml:space="preserve"> </t>
        </r>
        <r>
          <rPr>
            <i/>
            <sz val="14"/>
            <color rgb="FF000000"/>
            <rFont val="Times New Roman"/>
            <family val="18"/>
          </rPr>
          <t>gestellt</t>
        </r>
        <r>
          <rPr>
            <sz val="14"/>
            <color rgb="FF000000"/>
            <rFont val="Times New Roman"/>
            <family val="18"/>
          </rPr>
          <t xml:space="preserve"> [AL Jan 1813]</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411" authorId="0" shapeId="0" xr:uid="{B0888F86-1345-184D-AA3E-EEF41BB69EAF}">
      <text>
        <r>
          <rPr>
            <sz val="14"/>
            <color rgb="FF000000"/>
            <rFont val="Times New Roman"/>
            <family val="18"/>
          </rPr>
          <t>ML 98 IR 1 (1812) AL/TL – AL Unnumbered (Olmütz 31/10/1812)</t>
        </r>
        <r>
          <rPr>
            <sz val="14"/>
            <color rgb="FF000000"/>
            <rFont val="Calibri"/>
            <family val="2"/>
            <scheme val="minor"/>
          </rPr>
          <t xml:space="preserve"> </t>
        </r>
      </text>
    </comment>
    <comment ref="BH1411" authorId="0" shapeId="0" xr:uid="{5D4B672F-3DC5-9C48-8CF6-157A0FBF2B03}">
      <text>
        <r>
          <rPr>
            <sz val="14"/>
            <color rgb="FF000000"/>
            <rFont val="Calibri"/>
            <family val="34"/>
          </rPr>
          <t>IR 1 (1812)</t>
        </r>
      </text>
    </comment>
    <comment ref="BF1412" authorId="0" shapeId="0" xr:uid="{F7DDA3CB-4FB1-DC48-8260-1DDE546B85F7}">
      <text>
        <r>
          <rPr>
            <i/>
            <sz val="14"/>
            <color rgb="FFFF0000"/>
            <rFont val="Times New Roman"/>
            <family val="18"/>
          </rPr>
          <t>Dient 2 Jahren 3 Monaten</t>
        </r>
        <r>
          <rPr>
            <sz val="14"/>
            <color rgb="FFFF0000"/>
            <rFont val="Times New Roman"/>
            <family val="18"/>
          </rPr>
          <t xml:space="preserve"> [SUP Jan 1815]</t>
        </r>
        <r>
          <rPr>
            <sz val="14"/>
            <color rgb="FF000000"/>
            <rFont val="Calibri"/>
            <family val="34"/>
          </rPr>
          <t xml:space="preserve">
</t>
        </r>
        <r>
          <rPr>
            <sz val="14"/>
            <color rgb="FF000000"/>
            <rFont val="Times New Roman"/>
            <family val="18"/>
          </rPr>
          <t>29/10/1812</t>
        </r>
        <r>
          <rPr>
            <i/>
            <sz val="14"/>
            <color rgb="FF000000"/>
            <rFont val="Times New Roman"/>
            <family val="18"/>
          </rPr>
          <t xml:space="preserve"> Als Reserve Mann zum IR 8 1. Depot Komp präsentiert</t>
        </r>
        <r>
          <rPr>
            <sz val="14"/>
            <color rgb="FF000000"/>
            <rFont val="Calibri"/>
            <family val="34"/>
          </rPr>
          <t xml:space="preserve">
</t>
        </r>
        <r>
          <rPr>
            <sz val="14"/>
            <color rgb="FF000000"/>
            <rFont val="Times New Roman"/>
            <family val="18"/>
          </rPr>
          <t xml:space="preserve">31/10/1812 </t>
        </r>
        <r>
          <rPr>
            <i/>
            <sz val="14"/>
            <color rgb="FF000000"/>
            <rFont val="Times New Roman"/>
            <family val="18"/>
          </rPr>
          <t>Von IR 8 zum IR 1 transferiert und zum 2. Depot Komp.</t>
        </r>
        <r>
          <rPr>
            <sz val="14"/>
            <color rgb="FF000000"/>
            <rFont val="Times New Roman"/>
            <family val="18"/>
          </rPr>
          <t xml:space="preserve"> [Haupt Jande] </t>
        </r>
        <r>
          <rPr>
            <i/>
            <sz val="14"/>
            <color rgb="FF000000"/>
            <rFont val="Times New Roman"/>
            <family val="18"/>
          </rPr>
          <t>eingeteilt, seitdem auf anhero March</t>
        </r>
        <r>
          <rPr>
            <sz val="14"/>
            <color rgb="FF000000"/>
            <rFont val="Times New Roman"/>
            <family val="18"/>
          </rPr>
          <t xml:space="preserve"> [TL Nov 1812 &amp; ST Nov 1812]</t>
        </r>
        <r>
          <rPr>
            <sz val="14"/>
            <color rgb="FF000000"/>
            <rFont val="Calibri"/>
            <family val="34"/>
          </rPr>
          <t xml:space="preserve">
</t>
        </r>
        <r>
          <rPr>
            <sz val="14"/>
            <color rgb="FF000000"/>
            <rFont val="Times New Roman"/>
            <family val="18"/>
          </rPr>
          <t xml:space="preserve">15/11/1812 </t>
        </r>
        <r>
          <rPr>
            <i/>
            <sz val="14"/>
            <color rgb="FF000000"/>
            <rFont val="Times New Roman"/>
            <family val="18"/>
          </rPr>
          <t>In Regiment eingerückt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29/12/1812 </t>
        </r>
        <r>
          <rPr>
            <i/>
            <sz val="14"/>
            <color rgb="FF000000"/>
            <rFont val="Times New Roman"/>
            <family val="18"/>
          </rPr>
          <t>Krank zu Iglau</t>
        </r>
        <r>
          <rPr>
            <sz val="14"/>
            <color rgb="FF000000"/>
            <rFont val="Times New Roman"/>
            <family val="18"/>
          </rPr>
          <t xml:space="preserve"> [ST Jan 1813]</t>
        </r>
        <r>
          <rPr>
            <sz val="14"/>
            <color rgb="FF000000"/>
            <rFont val="Calibri"/>
            <family val="34"/>
          </rPr>
          <t xml:space="preserve">
</t>
        </r>
        <r>
          <rPr>
            <sz val="14"/>
            <color rgb="FF000000"/>
            <rFont val="Times New Roman"/>
            <family val="18"/>
          </rPr>
          <t xml:space="preserve">21/02/1813 </t>
        </r>
        <r>
          <rPr>
            <i/>
            <sz val="14"/>
            <color rgb="FF000000"/>
            <rFont val="Times New Roman"/>
            <family val="18"/>
          </rPr>
          <t>Von 2. Depot zum 17. Fus. Komp. transferiert, beliebt Krank in Iglau</t>
        </r>
        <r>
          <rPr>
            <sz val="14"/>
            <color rgb="FF000000"/>
            <rFont val="Times New Roman"/>
            <family val="18"/>
          </rPr>
          <t xml:space="preserve"> [ST Feb 1817]</t>
        </r>
        <r>
          <rPr>
            <sz val="14"/>
            <color rgb="FF000000"/>
            <rFont val="Calibri"/>
            <family val="34"/>
          </rPr>
          <t xml:space="preserve">
</t>
        </r>
        <r>
          <rPr>
            <sz val="14"/>
            <color rgb="FF000000"/>
            <rFont val="Times New Roman"/>
            <family val="18"/>
          </rPr>
          <t xml:space="preserve">21/03/1813 </t>
        </r>
        <r>
          <rPr>
            <i/>
            <sz val="14"/>
            <color rgb="FF000000"/>
            <rFont val="Times New Roman"/>
            <family val="18"/>
          </rPr>
          <t xml:space="preserve">Rekonvalesziert </t>
        </r>
        <r>
          <rPr>
            <sz val="14"/>
            <color rgb="FF000000"/>
            <rFont val="Times New Roman"/>
            <family val="18"/>
          </rPr>
          <t>[ST March 1813]</t>
        </r>
        <r>
          <rPr>
            <sz val="14"/>
            <color rgb="FF000000"/>
            <rFont val="Calibri"/>
            <family val="34"/>
          </rPr>
          <t xml:space="preserve">
</t>
        </r>
        <r>
          <rPr>
            <sz val="14"/>
            <color rgb="FF000000"/>
            <rFont val="Times New Roman"/>
            <family val="18"/>
          </rPr>
          <t xml:space="preserve">21/09/1813 </t>
        </r>
        <r>
          <rPr>
            <i/>
            <sz val="14"/>
            <color rgb="FF000000"/>
            <rFont val="Times New Roman"/>
            <family val="18"/>
          </rPr>
          <t>Krank in Armee Spital</t>
        </r>
        <r>
          <rPr>
            <sz val="14"/>
            <color rgb="FF000000"/>
            <rFont val="Times New Roman"/>
            <family val="18"/>
          </rPr>
          <t xml:space="preserve"> </t>
        </r>
        <r>
          <rPr>
            <b/>
            <sz val="14"/>
            <color rgb="FF000000"/>
            <rFont val="Times New Roman"/>
            <family val="18"/>
          </rPr>
          <t xml:space="preserve">[Schuss Verletzung bei Leipzig] </t>
        </r>
        <r>
          <rPr>
            <sz val="14"/>
            <color rgb="FF000000"/>
            <rFont val="Times New Roman"/>
            <family val="18"/>
          </rPr>
          <t>[ST Sept 1813]</t>
        </r>
        <r>
          <rPr>
            <sz val="14"/>
            <color rgb="FF000000"/>
            <rFont val="Calibri"/>
            <family val="34"/>
          </rPr>
          <t xml:space="preserve">
</t>
        </r>
        <r>
          <rPr>
            <sz val="14"/>
            <color rgb="FF000000"/>
            <rFont val="Times New Roman"/>
            <family val="18"/>
          </rPr>
          <t xml:space="preserve">24/12/1814 </t>
        </r>
        <r>
          <rPr>
            <i/>
            <sz val="14"/>
            <color rgb="FF000000"/>
            <rFont val="Times New Roman"/>
            <family val="18"/>
          </rPr>
          <t>Zu Regimentsspital in Proßnitz übersetzt</t>
        </r>
        <r>
          <rPr>
            <sz val="14"/>
            <color rgb="FF000000"/>
            <rFont val="Times New Roman"/>
            <family val="18"/>
          </rPr>
          <t xml:space="preserve"> [ST Dec 1814]</t>
        </r>
        <r>
          <rPr>
            <sz val="14"/>
            <color rgb="FF000000"/>
            <rFont val="Calibri"/>
            <family val="34"/>
          </rPr>
          <t xml:space="preserve">
</t>
        </r>
        <r>
          <rPr>
            <sz val="14"/>
            <color rgb="FF000000"/>
            <rFont val="Times New Roman"/>
            <family val="18"/>
          </rPr>
          <t xml:space="preserve">29/01/1815 </t>
        </r>
        <r>
          <rPr>
            <i/>
            <sz val="14"/>
            <color rgb="FF000000"/>
            <rFont val="Times New Roman"/>
            <family val="18"/>
          </rPr>
          <t>Als angehöriger von 17. Fus. Komp. wegen Bluthusten in Proßnitz superarbiertiert</t>
        </r>
        <r>
          <rPr>
            <sz val="14"/>
            <color rgb="FF000000"/>
            <rFont val="Times New Roman"/>
            <family val="18"/>
          </rPr>
          <t>: Befund: Mit Verlust dem Ringfingers der rechten Hand wie durch schwache des Oberarmes durch erlittenen Schusswunde Brust Defekt und Blindhusten, Wurde bei Leipzig blesiert und sind alle Heilmittel fruchtlos angewendet worden: Reake Invalid gegen Renuncierung zu verabschieden, vermog obrigkeitlichen Zeugnis ist sein Unterhalt verbürgt [SUP Jan 1815]</t>
        </r>
        <r>
          <rPr>
            <sz val="14"/>
            <color rgb="FF000000"/>
            <rFont val="Calibri"/>
            <family val="34"/>
          </rPr>
          <t xml:space="preserve">
</t>
        </r>
        <r>
          <rPr>
            <sz val="14"/>
            <color rgb="FF000000"/>
            <rFont val="Times New Roman"/>
            <family val="18"/>
          </rPr>
          <t xml:space="preserve">30/04/1815 </t>
        </r>
        <r>
          <rPr>
            <i/>
            <sz val="14"/>
            <color rgb="FF000000"/>
            <rFont val="Times New Roman"/>
            <family val="18"/>
          </rPr>
          <t>Vermog hoher Indorsat dato Brünn am 8. März 815 R: 2485 als Vermog Superarbitrio als anerkrante Reale Invalid mit Abschied entlassen</t>
        </r>
        <r>
          <rPr>
            <sz val="14"/>
            <color rgb="FF000000"/>
            <rFont val="Times New Roman"/>
            <family val="18"/>
          </rPr>
          <t xml:space="preserve"> [ST May 1815] </t>
        </r>
      </text>
    </comment>
    <comment ref="BG1412" authorId="0" shapeId="0" xr:uid="{29DFEA1D-1299-A24C-9F7D-E9DC723AD630}">
      <text>
        <r>
          <rPr>
            <sz val="14"/>
            <color rgb="FF000000"/>
            <rFont val="Times New Roman"/>
            <family val="18"/>
          </rPr>
          <t>ML 97 IR 1 (1812) – ST Nov (Proßnitz 30/03/1813)</t>
        </r>
        <r>
          <rPr>
            <sz val="14"/>
            <color rgb="FF000000"/>
            <rFont val="Calibri"/>
            <family val="34"/>
          </rPr>
          <t xml:space="preserve">
</t>
        </r>
        <r>
          <rPr>
            <sz val="14"/>
            <color rgb="FF000000"/>
            <rFont val="Times New Roman"/>
            <family val="18"/>
          </rPr>
          <t>ML 98 IR 1 (1812) AL/TL – TL IR 8-&gt;IR 1 Nr. 111 (Iglau 19/11/1812)</t>
        </r>
        <r>
          <rPr>
            <sz val="14"/>
            <color rgb="FF000000"/>
            <rFont val="Calibri"/>
            <family val="34"/>
          </rPr>
          <t xml:space="preserve">
</t>
        </r>
        <r>
          <rPr>
            <sz val="14"/>
            <color rgb="FF000000"/>
            <rFont val="Times New Roman"/>
            <family val="18"/>
          </rPr>
          <t>ML 99 IR 1 (1813) – ST Jan (Proßnitz 31/05/1813), Feb (Proßnitz 10/06/1813), March (Proßnitz 20/06/1813), Sept (05/02/1814)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Dec (Proßnitz 26/07/1815)</t>
        </r>
        <r>
          <rPr>
            <sz val="14"/>
            <color rgb="FF000000"/>
            <rFont val="Calibri"/>
            <family val="34"/>
          </rPr>
          <t xml:space="preserve">
</t>
        </r>
        <r>
          <rPr>
            <sz val="14"/>
            <color rgb="FF000000"/>
            <rFont val="Times New Roman"/>
            <family val="18"/>
          </rPr>
          <t>ML 105 IR 1 (1815) – ST May (Proßnitz 01/10/1815)</t>
        </r>
        <r>
          <rPr>
            <sz val="14"/>
            <color rgb="FF000000"/>
            <rFont val="Calibri"/>
            <family val="34"/>
          </rPr>
          <t xml:space="preserve">
</t>
        </r>
        <r>
          <rPr>
            <sz val="14"/>
            <color rgb="FF000000"/>
            <rFont val="Times New Roman"/>
            <family val="18"/>
          </rPr>
          <t>IR 106 IR 1 (1815) AL/TL – SUP Nr. 4 (Proßnitz 29/01/1815)</t>
        </r>
        <r>
          <rPr>
            <sz val="14"/>
            <color rgb="FF000000"/>
            <rFont val="Calibri"/>
            <family val="34"/>
          </rPr>
          <t xml:space="preserve">
</t>
        </r>
      </text>
    </comment>
    <comment ref="BH1412" authorId="0" shapeId="0" xr:uid="{BA043A8C-0BD6-CA41-9AB2-FF570A2E4F8A}">
      <text>
        <r>
          <rPr>
            <sz val="14"/>
            <color rgb="FF000000"/>
            <rFont val="Calibri"/>
            <family val="34"/>
          </rPr>
          <t xml:space="preserve">IR 8 (1812)
</t>
        </r>
        <r>
          <rPr>
            <sz val="14"/>
            <color rgb="FF000000"/>
            <rFont val="Calibri"/>
            <family val="34"/>
          </rPr>
          <t>IR 1 (1812-1815)</t>
        </r>
      </text>
    </comment>
    <comment ref="BI1412" authorId="0" shapeId="0" xr:uid="{D0049721-C8B5-4A49-9147-B5889EE1A679}">
      <text>
        <r>
          <rPr>
            <i/>
            <sz val="14"/>
            <color rgb="FF000000"/>
            <rFont val="Times New Roman"/>
            <family val="18"/>
          </rPr>
          <t>Gute</t>
        </r>
        <r>
          <rPr>
            <sz val="14"/>
            <color rgb="FF000000"/>
            <rFont val="Times New Roman"/>
            <family val="18"/>
          </rPr>
          <t xml:space="preserve"> [TL Nov 1812] </t>
        </r>
        <r>
          <rPr>
            <i/>
            <sz val="14"/>
            <color rgb="FF000000"/>
            <rFont val="Times New Roman"/>
            <family val="18"/>
          </rPr>
          <t>Gute</t>
        </r>
        <r>
          <rPr>
            <sz val="14"/>
            <color rgb="FF000000"/>
            <rFont val="Times New Roman"/>
            <family val="18"/>
          </rPr>
          <t xml:space="preserve"> [SUP Jan 1815]</t>
        </r>
        <r>
          <rPr>
            <sz val="14"/>
            <color rgb="FF000000"/>
            <rFont val="Calibri"/>
            <family val="2"/>
          </rPr>
          <t xml:space="preserve"> </t>
        </r>
      </text>
    </comment>
    <comment ref="BJ1412" authorId="0" shapeId="0" xr:uid="{1EED01DD-AEC6-A048-8907-1F5C96E92D8B}">
      <text>
        <r>
          <rPr>
            <i/>
            <sz val="14"/>
            <color rgb="FF000000"/>
            <rFont val="Times New Roman"/>
            <family val="18"/>
          </rPr>
          <t>Bluthusten</t>
        </r>
        <r>
          <rPr>
            <sz val="14"/>
            <color rgb="FF000000"/>
            <rFont val="Times New Roman"/>
            <family val="18"/>
          </rPr>
          <t xml:space="preserve"> [SUP Feb 1815]</t>
        </r>
      </text>
    </comment>
    <comment ref="BF1413" authorId="0" shapeId="0" xr:uid="{C3481C4C-36AA-CB45-8E4A-5D7E70FBF9D3}">
      <text>
        <r>
          <rPr>
            <sz val="14"/>
            <color rgb="FF000000"/>
            <rFont val="Times New Roman"/>
            <family val="18"/>
          </rPr>
          <t xml:space="preserve">10/11/1812 </t>
        </r>
        <r>
          <rPr>
            <i/>
            <sz val="14"/>
            <color rgb="FF000000"/>
            <rFont val="Times New Roman"/>
            <family val="18"/>
          </rPr>
          <t>Von Reserve Mannschaft Zum IR 8 präsentiert und dasselbe Tag zum IR 1 transferiert und zum 1. Depot Komp.</t>
        </r>
        <r>
          <rPr>
            <sz val="14"/>
            <color rgb="FF000000"/>
            <rFont val="Times New Roman"/>
            <family val="18"/>
          </rPr>
          <t xml:space="preserve"> [Haupt Galler] </t>
        </r>
        <r>
          <rPr>
            <i/>
            <sz val="14"/>
            <color rgb="FF000000"/>
            <rFont val="Times New Roman"/>
            <family val="18"/>
          </rPr>
          <t>eingeteilt, seitdem auf Anhero Marsch</t>
        </r>
        <r>
          <rPr>
            <sz val="14"/>
            <color rgb="FF000000"/>
            <rFont val="Times New Roman"/>
            <family val="18"/>
          </rPr>
          <t xml:space="preserve"> [TL Nov 1811 &amp; ST Nov 1811]</t>
        </r>
        <r>
          <rPr>
            <sz val="14"/>
            <color rgb="FF000000"/>
            <rFont val="Calibri"/>
            <family val="34"/>
          </rPr>
          <t xml:space="preserve">
</t>
        </r>
        <r>
          <rPr>
            <sz val="14"/>
            <color rgb="FF000000"/>
            <rFont val="Times New Roman"/>
            <family val="18"/>
          </rPr>
          <t xml:space="preserve">15/11/1812 </t>
        </r>
        <r>
          <rPr>
            <i/>
            <sz val="14"/>
            <color rgb="FF000000"/>
            <rFont val="Times New Roman"/>
            <family val="18"/>
          </rPr>
          <t>In Regiment eingerückt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05/01/1813 </t>
        </r>
        <r>
          <rPr>
            <i/>
            <sz val="14"/>
            <color rgb="FF000000"/>
            <rFont val="Times New Roman"/>
            <family val="18"/>
          </rPr>
          <t>Von 1. Depot zum 6. Fus. Komp. transferiert</t>
        </r>
        <r>
          <rPr>
            <sz val="14"/>
            <color rgb="FF000000"/>
            <rFont val="Times New Roman"/>
            <family val="18"/>
          </rPr>
          <t xml:space="preserve"> [ST Jan 1813]</t>
        </r>
        <r>
          <rPr>
            <sz val="14"/>
            <color rgb="FF000000"/>
            <rFont val="Calibri"/>
            <family val="34"/>
          </rPr>
          <t xml:space="preserve">
</t>
        </r>
        <r>
          <rPr>
            <sz val="14"/>
            <color rgb="FF000000"/>
            <rFont val="Times New Roman"/>
            <family val="18"/>
          </rPr>
          <t xml:space="preserve">15/05/1813 </t>
        </r>
        <r>
          <rPr>
            <i/>
            <sz val="14"/>
            <color rgb="FF000000"/>
            <rFont val="Times New Roman"/>
            <family val="18"/>
          </rPr>
          <t>Krank in Armee Spital</t>
        </r>
        <r>
          <rPr>
            <sz val="14"/>
            <color rgb="FF000000"/>
            <rFont val="Times New Roman"/>
            <family val="18"/>
          </rPr>
          <t xml:space="preserve"> [ST May 1813]</t>
        </r>
        <r>
          <rPr>
            <sz val="14"/>
            <color rgb="FF000000"/>
            <rFont val="Calibri"/>
            <family val="34"/>
          </rPr>
          <t xml:space="preserve">
</t>
        </r>
        <r>
          <rPr>
            <sz val="14"/>
            <color rgb="FF000000"/>
            <rFont val="Times New Roman"/>
            <family val="18"/>
          </rPr>
          <t xml:space="preserve">30/06/1813 </t>
        </r>
        <r>
          <rPr>
            <i/>
            <sz val="14"/>
            <color rgb="FF000000"/>
            <rFont val="Times New Roman"/>
            <family val="18"/>
          </rPr>
          <t>Rekonvalesziert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01/09/1813 </t>
        </r>
        <r>
          <rPr>
            <i/>
            <sz val="14"/>
            <color rgb="FF000000"/>
            <rFont val="Times New Roman"/>
            <family val="18"/>
          </rPr>
          <t>Krank in Armee Spital</t>
        </r>
        <r>
          <rPr>
            <sz val="14"/>
            <color rgb="FF000000"/>
            <rFont val="Times New Roman"/>
            <family val="18"/>
          </rPr>
          <t xml:space="preserve"> </t>
        </r>
        <r>
          <rPr>
            <b/>
            <sz val="14"/>
            <color rgb="FFFF0000"/>
            <rFont val="Times New Roman"/>
            <family val="18"/>
          </rPr>
          <t>[mit 30 andere - Schlacht von Dresden]</t>
        </r>
        <r>
          <rPr>
            <sz val="14"/>
            <color rgb="FFFF0000"/>
            <rFont val="Times New Roman"/>
            <family val="18"/>
          </rPr>
          <t xml:space="preserve"> </t>
        </r>
        <r>
          <rPr>
            <sz val="14"/>
            <color rgb="FF000000"/>
            <rFont val="Times New Roman"/>
            <family val="18"/>
          </rPr>
          <t>[ST Sept 1813]</t>
        </r>
        <r>
          <rPr>
            <sz val="14"/>
            <color rgb="FF000000"/>
            <rFont val="Calibri"/>
            <family val="34"/>
          </rPr>
          <t xml:space="preserve">
</t>
        </r>
        <r>
          <rPr>
            <sz val="14"/>
            <color rgb="FF000000"/>
            <rFont val="Times New Roman"/>
            <family val="18"/>
          </rPr>
          <t xml:space="preserve">01/05/1814 </t>
        </r>
        <r>
          <rPr>
            <i/>
            <sz val="14"/>
            <color rgb="FF000000"/>
            <rFont val="Times New Roman"/>
            <family val="18"/>
          </rPr>
          <t>Von 6. zum 15. Fus. Komp. transferiert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15. zum 2. Depot Komp. transferiert</t>
        </r>
        <r>
          <rPr>
            <sz val="14"/>
            <color rgb="FF000000"/>
            <rFont val="Times New Roman"/>
            <family val="18"/>
          </rPr>
          <t xml:space="preserve"> [ST May 1815]</t>
        </r>
        <r>
          <rPr>
            <sz val="14"/>
            <color rgb="FF000000"/>
            <rFont val="Calibri"/>
            <family val="34"/>
          </rPr>
          <t xml:space="preserve">
</t>
        </r>
        <r>
          <rPr>
            <sz val="14"/>
            <color rgb="FF000000"/>
            <rFont val="Times New Roman"/>
            <family val="18"/>
          </rPr>
          <t xml:space="preserve">01/12/1815 </t>
        </r>
        <r>
          <rPr>
            <i/>
            <sz val="14"/>
            <color rgb="FF000000"/>
            <rFont val="Times New Roman"/>
            <family val="18"/>
          </rPr>
          <t>Von dissolvierte 2. Depot zur 1. Fus. Komp. transferiert</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31/08/1817 </t>
        </r>
        <r>
          <rPr>
            <i/>
            <sz val="14"/>
            <color rgb="FF000000"/>
            <rFont val="Times New Roman"/>
            <family val="18"/>
          </rPr>
          <t>Zu Folge hohen General Kommando Verordnung deto Brünn 7. August 817 copia P 1815 weil deren Existenz nicht zu erinnern als Krank in Armee Spital als unwissend verloren in Abgang gebracht</t>
        </r>
        <r>
          <rPr>
            <sz val="14"/>
            <color rgb="FF000000"/>
            <rFont val="Times New Roman"/>
            <family val="18"/>
          </rPr>
          <t xml:space="preserve"> [ML 1817] </t>
        </r>
      </text>
    </comment>
    <comment ref="BG1413" authorId="0" shapeId="0" xr:uid="{EE1A4151-E518-864F-87E0-FCBFCCEC4B7B}">
      <text>
        <r>
          <rPr>
            <sz val="14"/>
            <color rgb="FF000000"/>
            <rFont val="Times New Roman"/>
            <family val="18"/>
          </rPr>
          <t>ML 97 IR 1 (1812) – ST Nov (Proßnitz 30/03/1813)</t>
        </r>
        <r>
          <rPr>
            <sz val="14"/>
            <color rgb="FF000000"/>
            <rFont val="Calibri"/>
            <family val="34"/>
          </rPr>
          <t xml:space="preserve">
</t>
        </r>
        <r>
          <rPr>
            <sz val="14"/>
            <color rgb="FF000000"/>
            <rFont val="Times New Roman"/>
            <family val="18"/>
          </rPr>
          <t>ML 34 IR 1 (1817) – IR 1 1. Fus. Komp. Abgang (Brünn 19/09/1817)</t>
        </r>
        <r>
          <rPr>
            <sz val="14"/>
            <color rgb="FF000000"/>
            <rFont val="Calibri"/>
            <family val="34"/>
          </rPr>
          <t xml:space="preserve">
</t>
        </r>
        <r>
          <rPr>
            <sz val="14"/>
            <color rgb="FF000000"/>
            <rFont val="Times New Roman"/>
            <family val="18"/>
          </rPr>
          <t>ML 98 IR 1 (1812) AL/TL – TL IR 8-&gt;IR 1 Nr. 44 (Iglau 19/11/1812)</t>
        </r>
        <r>
          <rPr>
            <sz val="14"/>
            <color rgb="FF000000"/>
            <rFont val="Calibri"/>
            <family val="34"/>
          </rPr>
          <t xml:space="preserve">
</t>
        </r>
        <r>
          <rPr>
            <sz val="14"/>
            <color rgb="FF000000"/>
            <rFont val="Times New Roman"/>
            <family val="18"/>
          </rPr>
          <t>ML 99 IR 1 (1813) – ST Jan (Proßnitz 31/03/1813), May (Proßnitz 02/09/1813), July (Proßnitz 05/11/1813), Sept (Proßnitz 05/02/1814)</t>
        </r>
        <r>
          <rPr>
            <sz val="14"/>
            <color rgb="FF000000"/>
            <rFont val="Calibri"/>
            <family val="34"/>
          </rPr>
          <t xml:space="preserve">
</t>
        </r>
        <r>
          <rPr>
            <sz val="14"/>
            <color rgb="FF000000"/>
            <rFont val="Times New Roman"/>
            <family val="18"/>
          </rPr>
          <t>ML 102 IR 1 (1814) – ST May (Proßnitz 02/05/1815)</t>
        </r>
        <r>
          <rPr>
            <sz val="14"/>
            <color rgb="FF000000"/>
            <rFont val="Calibri"/>
            <family val="34"/>
          </rPr>
          <t xml:space="preserve">
</t>
        </r>
        <r>
          <rPr>
            <sz val="14"/>
            <color rgb="FF000000"/>
            <rFont val="Times New Roman"/>
            <family val="18"/>
          </rPr>
          <t>ML 105 IR 1 (1815) – ST May (Proßnitz 01/10/1815), Dec (Proßnitz 27/03/1816)</t>
        </r>
        <r>
          <rPr>
            <sz val="14"/>
            <color rgb="FF000000"/>
            <rFont val="Calibri"/>
            <family val="34"/>
          </rPr>
          <t xml:space="preserve">
</t>
        </r>
        <r>
          <rPr>
            <sz val="14"/>
            <color rgb="FF000000"/>
            <rFont val="Times New Roman"/>
            <family val="18"/>
          </rPr>
          <t>ML 109 IR 1 (1817) – ST Aug (Brünn 05/10/1817)</t>
        </r>
        <r>
          <rPr>
            <sz val="14"/>
            <color rgb="FF000000"/>
            <rFont val="Calibri"/>
            <family val="34"/>
          </rPr>
          <t xml:space="preserve">
</t>
        </r>
      </text>
    </comment>
    <comment ref="BH1413" authorId="0" shapeId="0" xr:uid="{36E047B3-26E2-EC42-92C0-AB124EC65E07}">
      <text>
        <r>
          <rPr>
            <sz val="14"/>
            <color rgb="FF000000"/>
            <rFont val="Calibri"/>
            <family val="34"/>
          </rPr>
          <t xml:space="preserve">IR 8 (1812)
</t>
        </r>
        <r>
          <rPr>
            <sz val="14"/>
            <color rgb="FF000000"/>
            <rFont val="Calibri"/>
            <family val="34"/>
          </rPr>
          <t>IR 1 (1812-1817)</t>
        </r>
      </text>
    </comment>
    <comment ref="BI1413" authorId="0" shapeId="0" xr:uid="{B2D9504D-330B-5747-84F3-34E7422D9595}">
      <text>
        <r>
          <rPr>
            <i/>
            <sz val="14"/>
            <color rgb="FF000000"/>
            <rFont val="Times New Roman"/>
            <family val="18"/>
          </rPr>
          <t>Gute</t>
        </r>
        <r>
          <rPr>
            <sz val="14"/>
            <color rgb="FF000000"/>
            <rFont val="Times New Roman"/>
            <family val="18"/>
          </rPr>
          <t xml:space="preserve"> [TL Nov 1812]</t>
        </r>
        <r>
          <rPr>
            <sz val="14"/>
            <color rgb="FF000000"/>
            <rFont val="Calibri"/>
            <family val="2"/>
            <scheme val="minor"/>
          </rPr>
          <t xml:space="preserve"> </t>
        </r>
      </text>
    </comment>
    <comment ref="BF1414" authorId="0" shapeId="0" xr:uid="{B5BEE8D2-5B72-B141-A108-2C54819BA28E}">
      <text>
        <r>
          <rPr>
            <sz val="14"/>
            <color rgb="FF000000"/>
            <rFont val="Times New Roman"/>
            <family val="18"/>
          </rPr>
          <t xml:space="preserve">07/04/1813 </t>
        </r>
        <r>
          <rPr>
            <i/>
            <sz val="14"/>
            <color rgb="FF000000"/>
            <rFont val="Times New Roman"/>
            <family val="18"/>
          </rPr>
          <t xml:space="preserve">Von die Hommenauer </t>
        </r>
        <r>
          <rPr>
            <b/>
            <sz val="14"/>
            <color rgb="FF000000"/>
            <rFont val="Times New Roman"/>
            <family val="18"/>
          </rPr>
          <t>[</t>
        </r>
        <r>
          <rPr>
            <b/>
            <u/>
            <sz val="14"/>
            <color rgb="FF0563C1"/>
            <rFont val="Times New Roman"/>
            <family val="18"/>
          </rPr>
          <t>Humenné, Slovakia</t>
        </r>
        <r>
          <rPr>
            <b/>
            <sz val="14"/>
            <color rgb="FF000000"/>
            <rFont val="Times New Roman"/>
            <family val="18"/>
          </rPr>
          <t>]</t>
        </r>
        <r>
          <rPr>
            <sz val="14"/>
            <color rgb="FF000000"/>
            <rFont val="Times New Roman"/>
            <family val="18"/>
          </rPr>
          <t xml:space="preserve"> </t>
        </r>
        <r>
          <rPr>
            <i/>
            <sz val="14"/>
            <color rgb="FF000000"/>
            <rFont val="Times New Roman"/>
            <family val="18"/>
          </rPr>
          <t>Judengemeinde a 10Fl Handgeld gestellt ohne Capitulation</t>
        </r>
        <r>
          <rPr>
            <sz val="14"/>
            <color rgb="FF000000"/>
            <rFont val="Times New Roman"/>
            <family val="18"/>
          </rPr>
          <t xml:space="preserve"> [TL Juli 1816]</t>
        </r>
        <r>
          <rPr>
            <sz val="14"/>
            <color rgb="FF000000"/>
            <rFont val="Calibri"/>
            <family val="34"/>
          </rPr>
          <t xml:space="preserve">
</t>
        </r>
        <r>
          <rPr>
            <sz val="14"/>
            <color rgb="FF000000"/>
            <rFont val="Times New Roman"/>
            <family val="18"/>
          </rPr>
          <t xml:space="preserve">15/10/1814 </t>
        </r>
        <r>
          <rPr>
            <i/>
            <sz val="14"/>
            <color rgb="FF000000"/>
            <rFont val="Times New Roman"/>
            <family val="18"/>
          </rPr>
          <t>Von IR 34 4. Fus. Komp. zum HFS 32 transferiert</t>
        </r>
        <r>
          <rPr>
            <sz val="14"/>
            <color rgb="FF000000"/>
            <rFont val="Times New Roman"/>
            <family val="18"/>
          </rPr>
          <t xml:space="preserve"> [TL Juli 1816]</t>
        </r>
        <r>
          <rPr>
            <sz val="14"/>
            <color rgb="FF000000"/>
            <rFont val="Calibri"/>
            <family val="34"/>
          </rPr>
          <t xml:space="preserve">
</t>
        </r>
        <r>
          <rPr>
            <sz val="14"/>
            <color rgb="FF000000"/>
            <rFont val="Times New Roman"/>
            <family val="18"/>
          </rPr>
          <t xml:space="preserve">10/08/1815 </t>
        </r>
        <r>
          <rPr>
            <i/>
            <sz val="14"/>
            <color rgb="FF000000"/>
            <rFont val="Times New Roman"/>
            <family val="18"/>
          </rPr>
          <t>Von HFS 34 zum HFS 24 transferiert</t>
        </r>
        <r>
          <rPr>
            <sz val="14"/>
            <color rgb="FF000000"/>
            <rFont val="Times New Roman"/>
            <family val="18"/>
          </rPr>
          <t xml:space="preserve"> [VrpfL Aug 1815]</t>
        </r>
        <r>
          <rPr>
            <sz val="14"/>
            <color rgb="FF000000"/>
            <rFont val="Calibri"/>
            <family val="34"/>
          </rPr>
          <t xml:space="preserve">
</t>
        </r>
      </text>
    </comment>
    <comment ref="BG1414" authorId="0" shapeId="0" xr:uid="{B3D24EDA-0F97-0B42-969E-1B8EDADD4972}">
      <text>
        <r>
          <rPr>
            <sz val="14"/>
            <color rgb="FF000000"/>
            <rFont val="Times New Roman"/>
            <family val="18"/>
          </rPr>
          <t>ML 11.994 HFS (1809/10; 1813/4) – 1814 TL IR 34-&gt;HFS Nr. 7 (Caschau 12/07/1816); 1815 VrpfL Aug (Padua 05/11/1815)</t>
        </r>
      </text>
    </comment>
    <comment ref="BH1414" authorId="0" shapeId="0" xr:uid="{3C76AF7E-BDE7-A148-A73A-21DE41B7589B}">
      <text>
        <r>
          <rPr>
            <sz val="14"/>
            <color rgb="FF000000"/>
            <rFont val="Calibri"/>
            <family val="34"/>
          </rPr>
          <t xml:space="preserve">IR 34 (1812-1814)
</t>
        </r>
        <r>
          <rPr>
            <sz val="14"/>
            <color rgb="FF000000"/>
            <rFont val="Calibri"/>
            <family val="34"/>
          </rPr>
          <t xml:space="preserve">HFS 32 (1814-1815)
</t>
        </r>
        <r>
          <rPr>
            <sz val="14"/>
            <color rgb="FF000000"/>
            <rFont val="Calibri"/>
            <family val="34"/>
          </rPr>
          <t>HFS 24 (1815)</t>
        </r>
      </text>
    </comment>
    <comment ref="BI1414" authorId="0" shapeId="0" xr:uid="{0A139A8A-FD7E-3B4B-8011-D604B08EF1EA}">
      <text>
        <r>
          <rPr>
            <i/>
            <sz val="14"/>
            <color rgb="FF000000"/>
            <rFont val="Times New Roman"/>
            <family val="18"/>
          </rPr>
          <t>Gutte</t>
        </r>
        <r>
          <rPr>
            <sz val="14"/>
            <color rgb="FF000000"/>
            <rFont val="Calibri"/>
            <family val="2"/>
          </rPr>
          <t xml:space="preserve"> [TL July 1816]</t>
        </r>
      </text>
    </comment>
    <comment ref="BJ1414" authorId="0" shapeId="0" xr:uid="{64B6AD2E-0EE3-6F44-AD29-E99ECABAA327}">
      <text>
        <r>
          <rPr>
            <i/>
            <sz val="14"/>
            <color rgb="FF000000"/>
            <rFont val="Times New Roman"/>
            <family val="18"/>
          </rPr>
          <t>Stieffheit das Linkes Fußes durch erlittenen Krankheit und Brustschwache, kann in Marsch nicht Vorkommen</t>
        </r>
        <r>
          <rPr>
            <sz val="14"/>
            <color rgb="FF000000"/>
            <rFont val="Calibri"/>
            <family val="2"/>
          </rPr>
          <t xml:space="preserve"> </t>
        </r>
        <r>
          <rPr>
            <i/>
            <sz val="14"/>
            <color rgb="FF000000"/>
            <rFont val="Times New Roman"/>
            <family val="18"/>
          </rPr>
          <t xml:space="preserve"> </t>
        </r>
        <r>
          <rPr>
            <sz val="14"/>
            <color rgb="FF000000"/>
            <rFont val="Times New Roman"/>
            <family val="18"/>
          </rPr>
          <t>[TL July 1816]</t>
        </r>
      </text>
    </comment>
    <comment ref="BF1415" authorId="0" shapeId="0" xr:uid="{AD912A54-4CF0-1B40-B41C-C4FFBC1C15E5}">
      <text>
        <r>
          <rPr>
            <sz val="14"/>
            <color rgb="FF000000"/>
            <rFont val="Times New Roman"/>
            <family val="18"/>
          </rPr>
          <t xml:space="preserve">26/04/1813 </t>
        </r>
        <r>
          <rPr>
            <i/>
            <sz val="14"/>
            <color rgb="FF000000"/>
            <rFont val="Times New Roman"/>
            <family val="18"/>
          </rPr>
          <t xml:space="preserve">Gegen 1 Gulden Handgeld als Reserve Mann assentiert und kommt in IR 1 zu der Abrichtung </t>
        </r>
        <r>
          <rPr>
            <sz val="14"/>
            <color rgb="FF000000"/>
            <rFont val="Times New Roman"/>
            <family val="18"/>
          </rPr>
          <t>[AL May 1813]</t>
        </r>
        <r>
          <rPr>
            <sz val="14"/>
            <color rgb="FF000000"/>
            <rFont val="Calibri"/>
            <family val="34"/>
          </rPr>
          <t xml:space="preserve">
</t>
        </r>
        <r>
          <rPr>
            <sz val="14"/>
            <color rgb="FF000000"/>
            <rFont val="Times New Roman"/>
            <family val="18"/>
          </rPr>
          <t>Unbekannt:</t>
        </r>
        <r>
          <rPr>
            <b/>
            <sz val="14"/>
            <color rgb="FF000000"/>
            <rFont val="Times New Roman"/>
            <family val="18"/>
          </rPr>
          <t xml:space="preserve"> Kommt nicht in den aktiven Dienst</t>
        </r>
        <r>
          <rPr>
            <sz val="14"/>
            <color rgb="FF000000"/>
            <rFont val="Calibri"/>
            <family val="34"/>
          </rPr>
          <t xml:space="preserve">
</t>
        </r>
      </text>
    </comment>
    <comment ref="BG1415" authorId="0" shapeId="0" xr:uid="{740E4869-A4E6-AC4B-9308-B55FA04AB0E7}">
      <text>
        <r>
          <rPr>
            <sz val="14"/>
            <color rgb="FF000000"/>
            <rFont val="Times New Roman"/>
            <family val="18"/>
          </rPr>
          <t>ML 100 IR 1 (1813) AL/TL – AL Nr. 76 (Neu Sandez 26/05/1813)</t>
        </r>
      </text>
    </comment>
    <comment ref="BH1415" authorId="0" shapeId="0" xr:uid="{29FA1245-760D-3A45-BD67-0D1D4BFBD72D}">
      <text>
        <r>
          <rPr>
            <sz val="14"/>
            <color rgb="FF000000"/>
            <rFont val="Calibri"/>
            <family val="34"/>
          </rPr>
          <t>IR 1 (1813)</t>
        </r>
      </text>
    </comment>
    <comment ref="BF1416" authorId="0" shapeId="0" xr:uid="{F3FF947C-1550-ED4F-91D4-039015FA1F6F}">
      <text>
        <r>
          <rPr>
            <sz val="14"/>
            <color rgb="FF000000"/>
            <rFont val="Times New Roman"/>
            <family val="18"/>
          </rPr>
          <t xml:space="preserve">29/04/1813 </t>
        </r>
        <r>
          <rPr>
            <i/>
            <sz val="14"/>
            <color rgb="FF000000"/>
            <rFont val="Times New Roman"/>
            <family val="18"/>
          </rPr>
          <t>A 2Fl Auf 14 Jahr zu Sambor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10. Fus. Komp. Nr. 45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24/10/1818 Muster: IR 44 10. Fus. Komp. Nr. 44</t>
        </r>
        <r>
          <rPr>
            <sz val="14"/>
            <color rgb="FF000000"/>
            <rFont val="Calibri"/>
            <family val="34"/>
          </rPr>
          <t xml:space="preserve">
</t>
        </r>
        <r>
          <rPr>
            <sz val="14"/>
            <color rgb="FF000000"/>
            <rFont val="Times New Roman"/>
            <family val="18"/>
          </rPr>
          <t>18/10/1819 Muster: IR 44 10. Fus. Komp. Nr. 34</t>
        </r>
        <r>
          <rPr>
            <sz val="14"/>
            <color rgb="FF000000"/>
            <rFont val="Calibri"/>
            <family val="34"/>
          </rPr>
          <t xml:space="preserve">
</t>
        </r>
        <r>
          <rPr>
            <sz val="14"/>
            <color rgb="FF000000"/>
            <rFont val="Times New Roman"/>
            <family val="18"/>
          </rPr>
          <t xml:space="preserve">21/06/1820 </t>
        </r>
        <r>
          <rPr>
            <i/>
            <sz val="14"/>
            <color rgb="FF000000"/>
            <rFont val="Times New Roman"/>
            <family val="18"/>
          </rPr>
          <t>Zum Gefreyter avanciert</t>
        </r>
        <r>
          <rPr>
            <sz val="14"/>
            <color rgb="FF000000"/>
            <rFont val="Times New Roman"/>
            <family val="18"/>
          </rPr>
          <t xml:space="preserve"> [ML 1820]</t>
        </r>
        <r>
          <rPr>
            <sz val="14"/>
            <color rgb="FF000000"/>
            <rFont val="Calibri"/>
            <family val="34"/>
          </rPr>
          <t xml:space="preserve">
</t>
        </r>
        <r>
          <rPr>
            <sz val="14"/>
            <color rgb="FF000000"/>
            <rFont val="Times New Roman"/>
            <family val="18"/>
          </rPr>
          <t>25/09/1820 Muster: IR 44 10. Fus. Komp. Nr. 21</t>
        </r>
        <r>
          <rPr>
            <sz val="14"/>
            <color rgb="FF000000"/>
            <rFont val="Calibri"/>
            <family val="34"/>
          </rPr>
          <t xml:space="preserve">
</t>
        </r>
      </text>
    </comment>
    <comment ref="BG1416" authorId="0" shapeId="0" xr:uid="{8443AC4D-1230-F649-ABE0-0B52849D9DBD}">
      <text>
        <r>
          <rPr>
            <sz val="14"/>
            <color rgb="FF000000"/>
            <rFont val="Times New Roman"/>
            <family val="18"/>
          </rPr>
          <t>ML 3915/6 IR 44 (1818) – 10. Fus. Komp. Nr. 45 (Pavia 05/01/1818); 10. Fus. Komp. Nr. 44 (Pavia 24/10/1818)</t>
        </r>
        <r>
          <rPr>
            <sz val="14"/>
            <color rgb="FF000000"/>
            <rFont val="Calibri"/>
            <family val="34"/>
          </rPr>
          <t xml:space="preserve">
</t>
        </r>
        <r>
          <rPr>
            <sz val="14"/>
            <color rgb="FF000000"/>
            <rFont val="Times New Roman"/>
            <family val="18"/>
          </rPr>
          <t>ML 3918/9 IR 44 (1819) – 10. Fus. Komp. Nr. 34 (Pavia 18/10/1819)</t>
        </r>
        <r>
          <rPr>
            <sz val="14"/>
            <color rgb="FF000000"/>
            <rFont val="Calibri"/>
            <family val="34"/>
          </rPr>
          <t xml:space="preserve">
</t>
        </r>
        <r>
          <rPr>
            <sz val="14"/>
            <color rgb="FF000000"/>
            <rFont val="Times New Roman"/>
            <family val="18"/>
          </rPr>
          <t>ML 3920 IR 44 (1820) – 10. Fus. Komp. Nr. 21 (Milan 25/09/1820)</t>
        </r>
      </text>
    </comment>
    <comment ref="BH1416" authorId="0" shapeId="0" xr:uid="{25873361-75AE-B24A-B557-A2F838F2C657}">
      <text>
        <r>
          <rPr>
            <sz val="14"/>
            <color rgb="FF000000"/>
            <rFont val="Calibri"/>
            <family val="34"/>
          </rPr>
          <t>IR 44 (1813-1820)</t>
        </r>
      </text>
    </comment>
    <comment ref="BF1417" authorId="0" shapeId="0" xr:uid="{BB3F16ED-91BF-1942-BB17-D088CD266C03}">
      <text>
        <r>
          <rPr>
            <sz val="14"/>
            <color rgb="FF000000"/>
            <rFont val="Times New Roman"/>
            <family val="18"/>
          </rPr>
          <t xml:space="preserve">30/04/1813 </t>
        </r>
        <r>
          <rPr>
            <i/>
            <sz val="14"/>
            <color rgb="FF000000"/>
            <rFont val="Times New Roman"/>
            <family val="18"/>
          </rPr>
          <t>A 3Fl auf 14 Jahr zu Sambor präsentiert</t>
        </r>
        <r>
          <rPr>
            <sz val="14"/>
            <color rgb="FF000000"/>
            <rFont val="Times New Roman"/>
            <family val="18"/>
          </rPr>
          <t xml:space="preserve"> [ML 1818] </t>
        </r>
        <r>
          <rPr>
            <sz val="14"/>
            <color rgb="FF000000"/>
            <rFont val="Calibri"/>
            <family val="34"/>
          </rPr>
          <t xml:space="preserve">
</t>
        </r>
        <r>
          <rPr>
            <sz val="14"/>
            <color rgb="FF000000"/>
            <rFont val="Times New Roman"/>
            <family val="18"/>
          </rPr>
          <t xml:space="preserve">15/10/1813 </t>
        </r>
        <r>
          <rPr>
            <i/>
            <sz val="14"/>
            <color rgb="FF000000"/>
            <rFont val="Times New Roman"/>
            <family val="18"/>
          </rPr>
          <t xml:space="preserve">Zu Gefreyter avanciert </t>
        </r>
        <r>
          <rPr>
            <sz val="14"/>
            <color rgb="FF000000"/>
            <rFont val="Times New Roman"/>
            <family val="18"/>
          </rPr>
          <t>[ML 1818]</t>
        </r>
        <r>
          <rPr>
            <sz val="14"/>
            <color rgb="FF000000"/>
            <rFont val="Calibri"/>
            <family val="34"/>
          </rPr>
          <t xml:space="preserve">
</t>
        </r>
        <r>
          <rPr>
            <sz val="14"/>
            <color rgb="FF000000"/>
            <rFont val="Times New Roman"/>
            <family val="18"/>
          </rPr>
          <t>05/01/1818 Muster: IR 44 18. Fus. Komp. Nr. 18</t>
        </r>
        <r>
          <rPr>
            <sz val="14"/>
            <color rgb="FF000000"/>
            <rFont val="Calibri"/>
            <family val="34"/>
          </rPr>
          <t xml:space="preserve">
</t>
        </r>
        <r>
          <rPr>
            <sz val="14"/>
            <color rgb="FF000000"/>
            <rFont val="Times New Roman"/>
            <family val="18"/>
          </rPr>
          <t>24/10/1818 Muster: IR 44 18. Fus. Komp. Nr. 18</t>
        </r>
        <r>
          <rPr>
            <sz val="14"/>
            <color rgb="FF000000"/>
            <rFont val="Calibri"/>
            <family val="34"/>
          </rPr>
          <t xml:space="preserve">
</t>
        </r>
        <r>
          <rPr>
            <sz val="14"/>
            <color rgb="FF000000"/>
            <rFont val="Times New Roman"/>
            <family val="18"/>
          </rPr>
          <t>18/10/1819 Muster: IR 44 18. Fus. Komp. Nr. 16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27/09/1820 Muster: IR 44 18. Fus. Komp. Nr. 16</t>
        </r>
        <r>
          <rPr>
            <sz val="14"/>
            <color rgb="FF000000"/>
            <rFont val="Calibri"/>
            <family val="34"/>
          </rPr>
          <t xml:space="preserve">
</t>
        </r>
      </text>
    </comment>
    <comment ref="BG1417" authorId="0" shapeId="0" xr:uid="{DC395C7E-F841-8E4C-9C0E-B9645285C886}">
      <text>
        <r>
          <rPr>
            <sz val="14"/>
            <color rgb="FF000000"/>
            <rFont val="Times New Roman"/>
            <family val="18"/>
          </rPr>
          <t>ML 3915/6 IR 44 (1818) – 18. Fus. Komp. Nr. 18 (Pavia 05/01/1818); 18. Fus. Komp. Nr. 18 (Pavia 24/10/1818)</t>
        </r>
        <r>
          <rPr>
            <sz val="14"/>
            <color rgb="FF000000"/>
            <rFont val="Calibri"/>
            <family val="34"/>
          </rPr>
          <t xml:space="preserve">
</t>
        </r>
        <r>
          <rPr>
            <sz val="14"/>
            <color rgb="FF000000"/>
            <rFont val="Times New Roman"/>
            <family val="18"/>
          </rPr>
          <t>ML 3918/9 IR 44 (1819) – 18. Fus. Komp. Nr. 16 (Pavia 18/10/1819)</t>
        </r>
        <r>
          <rPr>
            <sz val="14"/>
            <color rgb="FF000000"/>
            <rFont val="Calibri"/>
            <family val="34"/>
          </rPr>
          <t xml:space="preserve">
</t>
        </r>
        <r>
          <rPr>
            <sz val="14"/>
            <color rgb="FF000000"/>
            <rFont val="Times New Roman"/>
            <family val="18"/>
          </rPr>
          <t>ML 3920 IR 44 (1820) – 18. Fus. Komp. Nr. 15 (Como 27/09/1820)</t>
        </r>
      </text>
    </comment>
    <comment ref="BH1417" authorId="0" shapeId="0" xr:uid="{E41A9E64-D653-C145-8F21-A212713BFE2E}">
      <text>
        <r>
          <rPr>
            <sz val="14"/>
            <color rgb="FF000000"/>
            <rFont val="Calibri"/>
            <family val="34"/>
          </rPr>
          <t>IR 44 (1813-1820)</t>
        </r>
      </text>
    </comment>
    <comment ref="BF1418" authorId="0" shapeId="0" xr:uid="{7677F979-85BF-5B43-9F96-000F10213E94}">
      <text>
        <r>
          <rPr>
            <sz val="14"/>
            <color rgb="FF000000"/>
            <rFont val="Times New Roman"/>
            <family val="18"/>
          </rPr>
          <t xml:space="preserve">01/05/1813 </t>
        </r>
        <r>
          <rPr>
            <i/>
            <sz val="14"/>
            <color rgb="FF000000"/>
            <rFont val="Times New Roman"/>
            <family val="18"/>
          </rPr>
          <t>Aus das Löbl Fürst Lichtensteinische Inf Regiment Aushilfbezirk als Reserve Mann für IR 1 gestellt</t>
        </r>
        <r>
          <rPr>
            <sz val="14"/>
            <color rgb="FF000000"/>
            <rFont val="Times New Roman"/>
            <family val="18"/>
          </rPr>
          <t xml:space="preserve">; </t>
        </r>
        <r>
          <rPr>
            <i/>
            <sz val="14"/>
            <color rgb="FF000000"/>
            <rFont val="Times New Roman"/>
            <family val="18"/>
          </rPr>
          <t>Großer Statur, Dunkler Haar, Grune Augen, kleiner Nase, Länglicher glatte Angesichts</t>
        </r>
        <r>
          <rPr>
            <sz val="14"/>
            <color rgb="FF000000"/>
            <rFont val="Times New Roman"/>
            <family val="18"/>
          </rPr>
          <t xml:space="preserve"> [AL May 1813]</t>
        </r>
        <r>
          <rPr>
            <sz val="14"/>
            <color rgb="FF000000"/>
            <rFont val="Calibri"/>
            <family val="34"/>
          </rPr>
          <t xml:space="preserve">
</t>
        </r>
        <r>
          <rPr>
            <sz val="14"/>
            <color rgb="FF000000"/>
            <rFont val="Times New Roman"/>
            <family val="18"/>
          </rPr>
          <t xml:space="preserve">14/05/1813 </t>
        </r>
        <r>
          <rPr>
            <i/>
            <sz val="14"/>
            <color rgb="FF000000"/>
            <rFont val="Times New Roman"/>
            <family val="18"/>
          </rPr>
          <t>Desertiert</t>
        </r>
        <r>
          <rPr>
            <sz val="14"/>
            <color rgb="FF000000"/>
            <rFont val="Times New Roman"/>
            <family val="18"/>
          </rPr>
          <t xml:space="preserve"> [AL May 1813] </t>
        </r>
      </text>
    </comment>
    <comment ref="BG1418" authorId="0" shapeId="0" xr:uid="{32CF03DC-9EBD-7C4B-95DF-32B3EC784154}">
      <text>
        <r>
          <rPr>
            <sz val="12"/>
            <color rgb="FF000000"/>
            <rFont val="Times New Roman"/>
            <family val="18"/>
          </rPr>
          <t>ML 100 IR 1 (1813) AL/TL – PL Nr. 66 (Tarnow 28/05/1813)</t>
        </r>
        <r>
          <rPr>
            <sz val="10"/>
            <color rgb="FF000000"/>
            <rFont val="Calibri"/>
            <family val="34"/>
          </rPr>
          <t xml:space="preserve">
</t>
        </r>
      </text>
    </comment>
    <comment ref="BH1418" authorId="0" shapeId="0" xr:uid="{2347AA58-E304-5847-8D26-79F8C7DACEFE}">
      <text>
        <r>
          <rPr>
            <sz val="14"/>
            <color rgb="FF000000"/>
            <rFont val="Calibri"/>
            <family val="34"/>
          </rPr>
          <t>IR 12 (1813)</t>
        </r>
      </text>
    </comment>
    <comment ref="BF1419" authorId="0" shapeId="0" xr:uid="{EFB18171-DF02-284C-ABC0-B6F3ED238B61}">
      <text>
        <r>
          <rPr>
            <sz val="14"/>
            <color rgb="FF000000"/>
            <rFont val="Times New Roman"/>
            <family val="18"/>
          </rPr>
          <t xml:space="preserve">01/05/1813 </t>
        </r>
        <r>
          <rPr>
            <i/>
            <sz val="14"/>
            <color rgb="FF000000"/>
            <rFont val="Times New Roman"/>
            <family val="18"/>
          </rPr>
          <t>Aus das Lobl Fürst Lichtensteinische Inf Regiment Aushilfbezirk als Reserve Mann zum IR 1 gestellt</t>
        </r>
        <r>
          <rPr>
            <sz val="14"/>
            <color rgb="FF000000"/>
            <rFont val="Times New Roman"/>
            <family val="18"/>
          </rPr>
          <t xml:space="preserve">; </t>
        </r>
        <r>
          <rPr>
            <i/>
            <sz val="14"/>
            <color rgb="FF000000"/>
            <rFont val="Times New Roman"/>
            <family val="18"/>
          </rPr>
          <t>Von mittlerer Statur, Lichtbrauner Haar, Grune Augen, mitte Nase, Högner Angesichts</t>
        </r>
        <r>
          <rPr>
            <sz val="14"/>
            <color rgb="FF000000"/>
            <rFont val="Times New Roman"/>
            <family val="18"/>
          </rPr>
          <t xml:space="preserve"> [AL May 1813]</t>
        </r>
        <r>
          <rPr>
            <sz val="14"/>
            <color rgb="FF000000"/>
            <rFont val="Calibri"/>
            <family val="34"/>
          </rPr>
          <t xml:space="preserve">
</t>
        </r>
        <r>
          <rPr>
            <sz val="14"/>
            <color rgb="FF000000"/>
            <rFont val="Times New Roman"/>
            <family val="18"/>
          </rPr>
          <t xml:space="preserve">21/06/1813 </t>
        </r>
        <r>
          <rPr>
            <i/>
            <sz val="14"/>
            <color rgb="FF000000"/>
            <rFont val="Times New Roman"/>
            <family val="18"/>
          </rPr>
          <t>Von IR 12 anhero</t>
        </r>
        <r>
          <rPr>
            <sz val="14"/>
            <color rgb="FF000000"/>
            <rFont val="Times New Roman"/>
            <family val="18"/>
          </rPr>
          <t xml:space="preserve"> </t>
        </r>
        <r>
          <rPr>
            <b/>
            <sz val="14"/>
            <color rgb="FF000000"/>
            <rFont val="Times New Roman"/>
            <family val="18"/>
          </rPr>
          <t xml:space="preserve">[IR 1] </t>
        </r>
        <r>
          <rPr>
            <i/>
            <sz val="14"/>
            <color rgb="FF000000"/>
            <rFont val="Times New Roman"/>
            <family val="18"/>
          </rPr>
          <t xml:space="preserve">transferiert und zum 2. Depot Komp eingeheilt </t>
        </r>
        <r>
          <rPr>
            <sz val="14"/>
            <color rgb="FF000000"/>
            <rFont val="Times New Roman"/>
            <family val="18"/>
          </rPr>
          <t>[TL Dec 1813 &amp; ST June 1813]</t>
        </r>
        <r>
          <rPr>
            <sz val="14"/>
            <color rgb="FF000000"/>
            <rFont val="Calibri"/>
            <family val="34"/>
          </rPr>
          <t xml:space="preserve">
</t>
        </r>
        <r>
          <rPr>
            <sz val="14"/>
            <color rgb="FF000000"/>
            <rFont val="Times New Roman"/>
            <family val="18"/>
          </rPr>
          <t xml:space="preserve">24/06/1812 </t>
        </r>
        <r>
          <rPr>
            <i/>
            <sz val="14"/>
            <color rgb="FF000000"/>
            <rFont val="Times New Roman"/>
            <family val="18"/>
          </rPr>
          <t xml:space="preserve">In Depot eingerückt </t>
        </r>
        <r>
          <rPr>
            <sz val="14"/>
            <color rgb="FF000000"/>
            <rFont val="Times New Roman"/>
            <family val="18"/>
          </rPr>
          <t>[ST June 1813]</t>
        </r>
        <r>
          <rPr>
            <sz val="14"/>
            <color rgb="FF000000"/>
            <rFont val="Calibri"/>
            <family val="34"/>
          </rPr>
          <t xml:space="preserve">
</t>
        </r>
        <r>
          <rPr>
            <sz val="14"/>
            <color rgb="FF000000"/>
            <rFont val="Times New Roman"/>
            <family val="18"/>
          </rPr>
          <t xml:space="preserve">05/07/1813 </t>
        </r>
        <r>
          <rPr>
            <i/>
            <sz val="14"/>
            <color rgb="FF000000"/>
            <rFont val="Times New Roman"/>
            <family val="18"/>
          </rPr>
          <t>Zu Folge von Hocher General Militär Kommando Verordnung ddto. Brünn von IR 1 2. Depot Komp. zum Bianchi IR 63 transferiert</t>
        </r>
        <r>
          <rPr>
            <sz val="14"/>
            <color rgb="FF000000"/>
            <rFont val="Times New Roman"/>
            <family val="18"/>
          </rPr>
          <t xml:space="preserve"> [TL Dec 1813 &amp; ST July 1813]</t>
        </r>
        <r>
          <rPr>
            <sz val="14"/>
            <color rgb="FF000000"/>
            <rFont val="Calibri"/>
            <family val="34"/>
          </rPr>
          <t xml:space="preserve">
</t>
        </r>
      </text>
    </comment>
    <comment ref="BG1419" authorId="0" shapeId="0" xr:uid="{DF30A6AD-D54E-E14D-9AEE-14689F8B56D0}">
      <text>
        <r>
          <rPr>
            <sz val="14"/>
            <color rgb="FF000000"/>
            <rFont val="Times New Roman"/>
            <family val="18"/>
          </rPr>
          <t xml:space="preserve">ML 99 IR 1 (1813) – ST June (Proßnitz 05/10/1813), ST July (Proßnitz 12/12/1813)
</t>
        </r>
        <r>
          <rPr>
            <sz val="14"/>
            <color rgb="FF000000"/>
            <rFont val="Times New Roman"/>
            <family val="18"/>
          </rPr>
          <t xml:space="preserve">ML 100 IR 1 (1813) AL/TL – PL Nr. 71 (Tarnow 28/05/1813)
</t>
        </r>
        <r>
          <rPr>
            <sz val="14"/>
            <color rgb="FF000000"/>
            <rFont val="Times New Roman"/>
            <family val="18"/>
          </rPr>
          <t xml:space="preserve">ML 101 IR 1 (1813) AL/TL VII-XII – TL IR 1-&gt;IR 63 Nr. 198 (Proßnitz 14/12/1813)
</t>
        </r>
      </text>
    </comment>
    <comment ref="BH1419" authorId="0" shapeId="0" xr:uid="{9521D3C4-9038-6A43-B4FE-5BE7AEA895A4}">
      <text>
        <r>
          <rPr>
            <sz val="14"/>
            <color rgb="FF000000"/>
            <rFont val="Calibri"/>
            <family val="34"/>
          </rPr>
          <t xml:space="preserve">IR 12 (1813)
</t>
        </r>
        <r>
          <rPr>
            <sz val="14"/>
            <color rgb="FF000000"/>
            <rFont val="Calibri"/>
            <family val="34"/>
          </rPr>
          <t xml:space="preserve">IR 1 (1813)
</t>
        </r>
        <r>
          <rPr>
            <sz val="14"/>
            <color rgb="FF000000"/>
            <rFont val="Calibri"/>
            <family val="34"/>
          </rPr>
          <t>IR 63 (1813)</t>
        </r>
      </text>
    </comment>
    <comment ref="BF1420" authorId="0" shapeId="0" xr:uid="{48D12385-E26F-1D46-8073-347F5B611686}">
      <text>
        <r>
          <rPr>
            <sz val="14"/>
            <color rgb="FF000000"/>
            <rFont val="Times New Roman"/>
            <family val="18"/>
          </rPr>
          <t xml:space="preserve">01/05/1813 </t>
        </r>
        <r>
          <rPr>
            <i/>
            <sz val="14"/>
            <color rgb="FF000000"/>
            <rFont val="Times New Roman"/>
            <family val="18"/>
          </rPr>
          <t>Aus das Löbl Fürst Lichtensteinische Inf Regiment Aushilfbezirk als Reserve Mann für IR 1 gestellt</t>
        </r>
        <r>
          <rPr>
            <sz val="14"/>
            <color rgb="FF000000"/>
            <rFont val="Times New Roman"/>
            <family val="18"/>
          </rPr>
          <t xml:space="preserve">: </t>
        </r>
        <r>
          <rPr>
            <i/>
            <sz val="14"/>
            <color rgb="FF000000"/>
            <rFont val="Times New Roman"/>
            <family val="18"/>
          </rPr>
          <t>Großer Statur, Brauner Haar, Grune Augen, engerer Nase, Langlicher mit Blätter Angesichts</t>
        </r>
        <r>
          <rPr>
            <sz val="14"/>
            <color rgb="FF000000"/>
            <rFont val="Times New Roman"/>
            <family val="18"/>
          </rPr>
          <t xml:space="preserve"> [AL May 1813]</t>
        </r>
        <r>
          <rPr>
            <sz val="14"/>
            <color rgb="FF000000"/>
            <rFont val="Calibri"/>
            <family val="34"/>
          </rPr>
          <t xml:space="preserve">
</t>
        </r>
        <r>
          <rPr>
            <sz val="14"/>
            <color rgb="FF000000"/>
            <rFont val="Times New Roman"/>
            <family val="18"/>
          </rPr>
          <t xml:space="preserve">21/06/1813 </t>
        </r>
        <r>
          <rPr>
            <i/>
            <sz val="14"/>
            <color rgb="FF000000"/>
            <rFont val="Times New Roman"/>
            <family val="18"/>
          </rPr>
          <t>Von IR 12 anhero</t>
        </r>
        <r>
          <rPr>
            <sz val="14"/>
            <color rgb="FF000000"/>
            <rFont val="Times New Roman"/>
            <family val="18"/>
          </rPr>
          <t xml:space="preserve"> </t>
        </r>
        <r>
          <rPr>
            <b/>
            <sz val="14"/>
            <color rgb="FF000000"/>
            <rFont val="Times New Roman"/>
            <family val="18"/>
          </rPr>
          <t xml:space="preserve">[IR 1] </t>
        </r>
        <r>
          <rPr>
            <i/>
            <sz val="14"/>
            <color rgb="FF000000"/>
            <rFont val="Times New Roman"/>
            <family val="18"/>
          </rPr>
          <t xml:space="preserve">transferiert und zum 2. Depot Komp eingeheilt </t>
        </r>
        <r>
          <rPr>
            <sz val="14"/>
            <color rgb="FF000000"/>
            <rFont val="Times New Roman"/>
            <family val="18"/>
          </rPr>
          <t>[TL Dec 1813 &amp; ST June 1813]</t>
        </r>
        <r>
          <rPr>
            <sz val="14"/>
            <color rgb="FF000000"/>
            <rFont val="Calibri"/>
            <family val="34"/>
          </rPr>
          <t xml:space="preserve">
</t>
        </r>
        <r>
          <rPr>
            <sz val="14"/>
            <color rgb="FF000000"/>
            <rFont val="Times New Roman"/>
            <family val="18"/>
          </rPr>
          <t xml:space="preserve">24/06/1812 </t>
        </r>
        <r>
          <rPr>
            <i/>
            <sz val="14"/>
            <color rgb="FF000000"/>
            <rFont val="Times New Roman"/>
            <family val="18"/>
          </rPr>
          <t xml:space="preserve">In Depot eingerückt </t>
        </r>
        <r>
          <rPr>
            <sz val="14"/>
            <color rgb="FF000000"/>
            <rFont val="Times New Roman"/>
            <family val="18"/>
          </rPr>
          <t>[ST June 1813]</t>
        </r>
        <r>
          <rPr>
            <sz val="14"/>
            <color rgb="FF000000"/>
            <rFont val="Calibri"/>
            <family val="34"/>
          </rPr>
          <t xml:space="preserve">
</t>
        </r>
        <r>
          <rPr>
            <sz val="14"/>
            <color rgb="FF000000"/>
            <rFont val="Times New Roman"/>
            <family val="18"/>
          </rPr>
          <t xml:space="preserve">05/07/1813 </t>
        </r>
        <r>
          <rPr>
            <i/>
            <sz val="14"/>
            <color rgb="FF000000"/>
            <rFont val="Times New Roman"/>
            <family val="18"/>
          </rPr>
          <t>Zu Folge von Hocher General Militär Kommando Verordnung ddto. Brünn von IR 1 2. Depot Komp. zum Bianchi IR 63 transferiert</t>
        </r>
        <r>
          <rPr>
            <sz val="14"/>
            <color rgb="FF000000"/>
            <rFont val="Times New Roman"/>
            <family val="18"/>
          </rPr>
          <t xml:space="preserve"> [TL Dec 1813 &amp; ST July 1813]</t>
        </r>
        <r>
          <rPr>
            <sz val="14"/>
            <color rgb="FF000000"/>
            <rFont val="Calibri"/>
            <family val="34"/>
          </rPr>
          <t xml:space="preserve">
</t>
        </r>
      </text>
    </comment>
    <comment ref="BG1420" authorId="0" shapeId="0" xr:uid="{5D92B46A-2BB9-B54B-8263-1ADF53ED2551}">
      <text>
        <r>
          <rPr>
            <sz val="14"/>
            <color rgb="FF000000"/>
            <rFont val="Times New Roman"/>
            <family val="18"/>
          </rPr>
          <t>ML 99 IR 1 (1813) – ST June (Proßnitz 05/10/1813), ST July (Proßnitz 12/12/1813)</t>
        </r>
        <r>
          <rPr>
            <sz val="14"/>
            <color rgb="FF000000"/>
            <rFont val="Calibri"/>
            <family val="34"/>
          </rPr>
          <t xml:space="preserve">
</t>
        </r>
        <r>
          <rPr>
            <sz val="14"/>
            <color rgb="FF000000"/>
            <rFont val="Times New Roman"/>
            <family val="18"/>
          </rPr>
          <t>ML 100 IR 1 (1813) AL/TL – PL Nr. 56 (Tarnow 28/05/1813), TL IR 12-&gt;IR 1 Nr. 2 (Mährisch Neustadt 09/09/1813)</t>
        </r>
        <r>
          <rPr>
            <sz val="14"/>
            <color rgb="FF000000"/>
            <rFont val="Calibri"/>
            <family val="34"/>
          </rPr>
          <t xml:space="preserve">
</t>
        </r>
        <r>
          <rPr>
            <sz val="14"/>
            <color rgb="FF000000"/>
            <rFont val="Times New Roman"/>
            <family val="18"/>
          </rPr>
          <t>ML 101 IR 1 (1813) AL/TL VII-XII – TL IR 1-&gt;IR 63 Nr. 121 (Proßnitz 14/12/1813)</t>
        </r>
        <r>
          <rPr>
            <sz val="14"/>
            <color rgb="FF000000"/>
            <rFont val="Calibri"/>
            <family val="34"/>
          </rPr>
          <t xml:space="preserve">
</t>
        </r>
      </text>
    </comment>
    <comment ref="BH1420" authorId="0" shapeId="0" xr:uid="{2F58A86A-DA5A-864F-B276-8258523958A8}">
      <text>
        <r>
          <rPr>
            <sz val="14"/>
            <color rgb="FF000000"/>
            <rFont val="Calibri"/>
            <family val="34"/>
          </rPr>
          <t xml:space="preserve">IR 12 (1813)
</t>
        </r>
        <r>
          <rPr>
            <sz val="14"/>
            <color rgb="FF000000"/>
            <rFont val="Calibri"/>
            <family val="34"/>
          </rPr>
          <t xml:space="preserve">IR 1 (1813)
</t>
        </r>
        <r>
          <rPr>
            <sz val="14"/>
            <color rgb="FF000000"/>
            <rFont val="Calibri"/>
            <family val="34"/>
          </rPr>
          <t>IR 63 (1813)</t>
        </r>
      </text>
    </comment>
    <comment ref="BF1421" authorId="0" shapeId="0" xr:uid="{375F6364-8AA1-C347-8E8B-2ED9C7E4CAFF}">
      <text>
        <r>
          <rPr>
            <sz val="14"/>
            <color rgb="FF000000"/>
            <rFont val="Times New Roman"/>
            <family val="18"/>
          </rPr>
          <t xml:space="preserve">03/10/1812 </t>
        </r>
        <r>
          <rPr>
            <i/>
            <sz val="14"/>
            <color rgb="FF000000"/>
            <rFont val="Times New Roman"/>
            <family val="18"/>
          </rPr>
          <t xml:space="preserve">Zum IR 1 1. Reserve Bataillon von Herrschaft Plumenau </t>
        </r>
        <r>
          <rPr>
            <b/>
            <sz val="14"/>
            <color rgb="FF000000"/>
            <rFont val="Times New Roman"/>
            <family val="18"/>
          </rPr>
          <t>[</t>
        </r>
        <r>
          <rPr>
            <b/>
            <u/>
            <sz val="14"/>
            <color rgb="FF0563C1"/>
            <rFont val="Times New Roman"/>
            <family val="18"/>
          </rPr>
          <t>Plumlov, Czech Republic</t>
        </r>
        <r>
          <rPr>
            <b/>
            <sz val="14"/>
            <color rgb="FF000000"/>
            <rFont val="Times New Roman"/>
            <family val="18"/>
          </rPr>
          <t>]</t>
        </r>
        <r>
          <rPr>
            <sz val="14"/>
            <color rgb="FF000000"/>
            <rFont val="Times New Roman"/>
            <family val="18"/>
          </rPr>
          <t xml:space="preserve"> </t>
        </r>
        <r>
          <rPr>
            <i/>
            <sz val="14"/>
            <color rgb="FF000000"/>
            <rFont val="Times New Roman"/>
            <family val="18"/>
          </rPr>
          <t>gestellt</t>
        </r>
        <r>
          <rPr>
            <sz val="14"/>
            <color rgb="FF000000"/>
            <rFont val="Times New Roman"/>
            <family val="18"/>
          </rPr>
          <t xml:space="preserve"> [AL Jan 1813] </t>
        </r>
        <r>
          <rPr>
            <sz val="14"/>
            <color rgb="FF000000"/>
            <rFont val="Calibri"/>
            <family val="34"/>
          </rPr>
          <t xml:space="preserve">
</t>
        </r>
        <r>
          <rPr>
            <sz val="14"/>
            <color rgb="FF000000"/>
            <rFont val="Times New Roman"/>
            <family val="18"/>
          </rPr>
          <t xml:space="preserve">03/05/1813 </t>
        </r>
        <r>
          <rPr>
            <i/>
            <sz val="14"/>
            <color rgb="FF000000"/>
            <rFont val="Times New Roman"/>
            <family val="18"/>
          </rPr>
          <t xml:space="preserve">Als Reserve Mann gegen 3Fl Handgeld und 14 Jährige Kapitulation zum IR 1 präsentiert und zum 1. Depot Komp eingeheilt </t>
        </r>
        <r>
          <rPr>
            <sz val="14"/>
            <color rgb="FF000000"/>
            <rFont val="Times New Roman"/>
            <family val="18"/>
          </rPr>
          <t>[PL May 1813 &amp; ST May 1813]</t>
        </r>
        <r>
          <rPr>
            <sz val="14"/>
            <color rgb="FF000000"/>
            <rFont val="Calibri"/>
            <family val="34"/>
          </rPr>
          <t xml:space="preserve">
</t>
        </r>
        <r>
          <rPr>
            <sz val="14"/>
            <color rgb="FF000000"/>
            <rFont val="Times New Roman"/>
            <family val="18"/>
          </rPr>
          <t xml:space="preserve">16/06/1814 </t>
        </r>
        <r>
          <rPr>
            <i/>
            <sz val="14"/>
            <color rgb="FF000000"/>
            <rFont val="Times New Roman"/>
            <family val="18"/>
          </rPr>
          <t>Von dissolvierte 19. zum 18. Fus. Komp. transferiert und sofort beurlaubt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15/07/1814 </t>
        </r>
        <r>
          <rPr>
            <i/>
            <sz val="14"/>
            <color rgb="FF000000"/>
            <rFont val="Times New Roman"/>
            <family val="18"/>
          </rPr>
          <t>zu Folge hoher Militar Commando Verordnung ddto Brünn am 4. July 814 R. 6328 als Reale Invaliden gegen Renuncierung mit Abschied entlassen</t>
        </r>
        <r>
          <rPr>
            <sz val="14"/>
            <color rgb="FF000000"/>
            <rFont val="Times New Roman"/>
            <family val="18"/>
          </rPr>
          <t xml:space="preserve"> [ST July 1814] 
</t>
        </r>
      </text>
    </comment>
    <comment ref="BG1421" authorId="0" shapeId="0" xr:uid="{3C88C169-EC0E-BF48-BEF5-A1F48E7E42BC}">
      <text>
        <r>
          <rPr>
            <sz val="14"/>
            <color rgb="FF000000"/>
            <rFont val="Times New Roman"/>
            <family val="18"/>
          </rPr>
          <t>ML 98 IR 1 (1812) AL/TL – AL Unnumbered (Olmütz 31/10/1812)</t>
        </r>
        <r>
          <rPr>
            <sz val="14"/>
            <color rgb="FF000000"/>
            <rFont val="Calibri"/>
            <family val="34"/>
          </rPr>
          <t xml:space="preserve">
</t>
        </r>
        <r>
          <rPr>
            <sz val="14"/>
            <color rgb="FF000000"/>
            <rFont val="Times New Roman"/>
            <family val="18"/>
          </rPr>
          <t>ML 99 IR 1 (1813) – ST May (Proßnitz 01/09/1813)</t>
        </r>
        <r>
          <rPr>
            <sz val="14"/>
            <color rgb="FF000000"/>
            <rFont val="Calibri"/>
            <family val="34"/>
          </rPr>
          <t xml:space="preserve">
</t>
        </r>
        <r>
          <rPr>
            <sz val="14"/>
            <color rgb="FF000000"/>
            <rFont val="Times New Roman"/>
            <family val="18"/>
          </rPr>
          <t>ML 100 IR 1 (1813) AL/TL – PL Nr. 47 (Olmütz 24/05/1813)</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June (Proßnitz 26/01/1815)</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July (Proßnitz 20/03/1815)</t>
        </r>
        <r>
          <rPr>
            <sz val="14"/>
            <color rgb="FF000000"/>
            <rFont val="Calibri"/>
            <family val="34"/>
          </rPr>
          <t xml:space="preserve">
</t>
        </r>
      </text>
    </comment>
    <comment ref="BH1421" authorId="0" shapeId="0" xr:uid="{0BC1D940-F54C-0D4B-92FA-102722C43825}">
      <text>
        <r>
          <rPr>
            <sz val="14"/>
            <color rgb="FF000000"/>
            <rFont val="Calibri"/>
            <family val="34"/>
          </rPr>
          <t>IR 1 (1813-1814)</t>
        </r>
      </text>
    </comment>
    <comment ref="I1422" authorId="0" shapeId="0" xr:uid="{6954DABD-F24C-6345-B97C-E1A74AA67667}">
      <text>
        <r>
          <rPr>
            <sz val="14"/>
            <color rgb="FF000000"/>
            <rFont val="Calibri"/>
            <family val="34"/>
          </rPr>
          <t>1792 [25 (ML 1817)]</t>
        </r>
        <r>
          <rPr>
            <b/>
            <sz val="14"/>
            <color rgb="FF000000"/>
            <rFont val="Calibri"/>
            <family val="34"/>
          </rPr>
          <t xml:space="preserve">
</t>
        </r>
        <r>
          <rPr>
            <sz val="14"/>
            <color rgb="FF000000"/>
            <rFont val="Calibri"/>
            <family val="34"/>
          </rPr>
          <t xml:space="preserve">OR
</t>
        </r>
        <r>
          <rPr>
            <b/>
            <sz val="14"/>
            <color rgb="FF000000"/>
            <rFont val="Calibri"/>
            <family val="34"/>
          </rPr>
          <t>1794 [18 (PL 1812)]</t>
        </r>
      </text>
    </comment>
    <comment ref="K1422" authorId="0" shapeId="0" xr:uid="{FBBC3158-319E-A646-9395-A53DE6E29FE9}">
      <text>
        <r>
          <rPr>
            <sz val="14"/>
            <color rgb="FF000000"/>
            <rFont val="Calibri"/>
            <family val="34"/>
          </rPr>
          <t xml:space="preserve">Ohne  (1812-1817)
</t>
        </r>
        <r>
          <rPr>
            <sz val="14"/>
            <color rgb="FF000000"/>
            <rFont val="Calibri"/>
            <family val="34"/>
          </rPr>
          <t>Schneider (seit 1818)</t>
        </r>
      </text>
    </comment>
    <comment ref="T1422" authorId="0" shapeId="0" xr:uid="{511C52B8-20E4-1D4F-B82F-57012E58B89F}">
      <text>
        <r>
          <rPr>
            <b/>
            <sz val="14"/>
            <color rgb="FF000000"/>
            <rFont val="Calibri"/>
            <family val="34"/>
          </rPr>
          <t xml:space="preserve">5.3.2 [166.33 cm (PL 1812)]
</t>
        </r>
        <r>
          <rPr>
            <sz val="14"/>
            <color rgb="FF000000"/>
            <rFont val="Calibri"/>
            <family val="34"/>
          </rPr>
          <t>5.4.2 [168.96 cm (ML 1817]</t>
        </r>
      </text>
    </comment>
    <comment ref="BF1422" authorId="0" shapeId="0" xr:uid="{CB80D102-48DF-8648-9851-1BB94552C926}">
      <text>
        <r>
          <rPr>
            <sz val="14"/>
            <color rgb="FF000000"/>
            <rFont val="Times New Roman"/>
            <family val="18"/>
          </rPr>
          <t xml:space="preserve">24/10/1812 </t>
        </r>
        <r>
          <rPr>
            <i/>
            <sz val="14"/>
            <color rgb="FF000000"/>
            <rFont val="Times New Roman"/>
            <family val="18"/>
          </rPr>
          <t>Zum IR 1 1. Reserve Bataillon assentiert</t>
        </r>
        <r>
          <rPr>
            <sz val="14"/>
            <color rgb="FF000000"/>
            <rFont val="Times New Roman"/>
            <family val="18"/>
          </rPr>
          <t xml:space="preserve"> [AL Jan 1813]</t>
        </r>
        <r>
          <rPr>
            <sz val="14"/>
            <color rgb="FF000000"/>
            <rFont val="Calibri"/>
            <family val="34"/>
          </rPr>
          <t xml:space="preserve">
</t>
        </r>
        <r>
          <rPr>
            <sz val="14"/>
            <color rgb="FF000000"/>
            <rFont val="Times New Roman"/>
            <family val="18"/>
          </rPr>
          <t xml:space="preserve">03/05/1813 </t>
        </r>
        <r>
          <rPr>
            <i/>
            <sz val="14"/>
            <color rgb="FF000000"/>
            <rFont val="Times New Roman"/>
            <family val="18"/>
          </rPr>
          <t xml:space="preserve">Als Reserve Mann gegen 3Fl Handgeld und 14 Jährige Kapitulation zum IR 1 präsentiert und zum 1. Depot Komp eingeheilt </t>
        </r>
        <r>
          <rPr>
            <sz val="14"/>
            <color rgb="FF000000"/>
            <rFont val="Times New Roman"/>
            <family val="18"/>
          </rPr>
          <t>[PL May 1813 &amp; ST May 1813]</t>
        </r>
        <r>
          <rPr>
            <sz val="14"/>
            <color rgb="FF000000"/>
            <rFont val="Calibri"/>
            <family val="34"/>
          </rPr>
          <t xml:space="preserve">
</t>
        </r>
        <r>
          <rPr>
            <sz val="14"/>
            <color rgb="FF000000"/>
            <rFont val="Times New Roman"/>
            <family val="18"/>
          </rPr>
          <t xml:space="preserve">01/06/1813 </t>
        </r>
        <r>
          <rPr>
            <i/>
            <sz val="14"/>
            <color rgb="FF000000"/>
            <rFont val="Times New Roman"/>
            <family val="18"/>
          </rPr>
          <t>Von 1. Depot zum 6. Fus. Komp. transferiert</t>
        </r>
        <r>
          <rPr>
            <sz val="14"/>
            <color rgb="FF000000"/>
            <rFont val="Times New Roman"/>
            <family val="18"/>
          </rPr>
          <t xml:space="preserve"> [ST June 1813]</t>
        </r>
        <r>
          <rPr>
            <sz val="14"/>
            <color rgb="FF000000"/>
            <rFont val="Calibri"/>
            <family val="34"/>
          </rPr>
          <t xml:space="preserve">
</t>
        </r>
        <r>
          <rPr>
            <sz val="14"/>
            <color rgb="FF000000"/>
            <rFont val="Times New Roman"/>
            <family val="18"/>
          </rPr>
          <t xml:space="preserve">01/09/1815 </t>
        </r>
        <r>
          <rPr>
            <i/>
            <sz val="14"/>
            <color rgb="FF000000"/>
            <rFont val="Times New Roman"/>
            <family val="18"/>
          </rPr>
          <t>Zum Gefreyter avanciert</t>
        </r>
        <r>
          <rPr>
            <sz val="14"/>
            <color rgb="FF000000"/>
            <rFont val="Times New Roman"/>
            <family val="18"/>
          </rPr>
          <t xml:space="preserve"> [ML 1817 &amp; ST Sept 1815]</t>
        </r>
        <r>
          <rPr>
            <sz val="14"/>
            <color rgb="FF000000"/>
            <rFont val="Calibri"/>
            <family val="34"/>
          </rPr>
          <t xml:space="preserve">
</t>
        </r>
        <r>
          <rPr>
            <sz val="14"/>
            <color rgb="FF000000"/>
            <rFont val="Times New Roman"/>
            <family val="18"/>
          </rPr>
          <t>19/09/1817 Muster: IR 1 6. Fus. Komp. Nr. 21</t>
        </r>
        <r>
          <rPr>
            <sz val="14"/>
            <color rgb="FF000000"/>
            <rFont val="Calibri"/>
            <family val="34"/>
          </rPr>
          <t xml:space="preserve">
</t>
        </r>
        <r>
          <rPr>
            <sz val="14"/>
            <color rgb="FF000000"/>
            <rFont val="Times New Roman"/>
            <family val="18"/>
          </rPr>
          <t>19/09/1818 Muster: IR 1 6. Fus. Komp. Nr. 22</t>
        </r>
        <r>
          <rPr>
            <sz val="14"/>
            <color rgb="FF000000"/>
            <rFont val="Calibri"/>
            <family val="34"/>
          </rPr>
          <t xml:space="preserve">
</t>
        </r>
        <r>
          <rPr>
            <sz val="14"/>
            <color rgb="FF000000"/>
            <rFont val="Times New Roman"/>
            <family val="18"/>
          </rPr>
          <t xml:space="preserve">14/09/1819 Muster: IR 1 6. Fus. Komp. Nr. 18 </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Gefreyter in 6. Fus Komp</t>
        </r>
        <r>
          <rPr>
            <sz val="14"/>
            <color rgb="FF000000"/>
            <rFont val="Times New Roman"/>
            <family val="18"/>
          </rPr>
          <t xml:space="preserve"> [ST Oct 1820]</t>
        </r>
      </text>
    </comment>
    <comment ref="BG1422" authorId="0" shapeId="0" xr:uid="{30A36585-4AA6-104D-8D98-954F974F7C70}">
      <text>
        <r>
          <rPr>
            <sz val="14"/>
            <color rgb="FF000000"/>
            <rFont val="Times New Roman"/>
            <family val="18"/>
          </rPr>
          <t>ML 34/5 IR 1 (1817) – IR 1 6. Fus. Komp. 21 (Brünn 19/09/1817)</t>
        </r>
        <r>
          <rPr>
            <sz val="14"/>
            <color rgb="FF000000"/>
            <rFont val="Calibri"/>
            <family val="34"/>
          </rPr>
          <t xml:space="preserve">
</t>
        </r>
        <r>
          <rPr>
            <sz val="14"/>
            <color rgb="FF000000"/>
            <rFont val="Times New Roman"/>
            <family val="18"/>
          </rPr>
          <t>ML 36/7 IR 1 (1818) – IR 1 4. Fus. Komp. 22 (Brünn 19/09/1818)</t>
        </r>
        <r>
          <rPr>
            <sz val="14"/>
            <color rgb="FF000000"/>
            <rFont val="Calibri"/>
            <family val="34"/>
          </rPr>
          <t xml:space="preserve">
</t>
        </r>
        <r>
          <rPr>
            <sz val="14"/>
            <color rgb="FF000000"/>
            <rFont val="Times New Roman"/>
            <family val="18"/>
          </rPr>
          <t>ML 38/9 IR 1 (1819) – IR 1 4. Fus. Komp. 18 (Olmütz 14/09/1819)</t>
        </r>
        <r>
          <rPr>
            <sz val="14"/>
            <color rgb="FF000000"/>
            <rFont val="Calibri"/>
            <family val="34"/>
          </rPr>
          <t xml:space="preserve">
</t>
        </r>
        <r>
          <rPr>
            <sz val="14"/>
            <color rgb="FF000000"/>
            <rFont val="Times New Roman"/>
            <family val="18"/>
          </rPr>
          <t>ML 98 IR 1 (1812) AL/TL – AL Nr. 286 (Hradisch 05/01/1813)</t>
        </r>
        <r>
          <rPr>
            <sz val="14"/>
            <color rgb="FF000000"/>
            <rFont val="Calibri"/>
            <family val="34"/>
          </rPr>
          <t xml:space="preserve">
</t>
        </r>
        <r>
          <rPr>
            <sz val="14"/>
            <color rgb="FF000000"/>
            <rFont val="Times New Roman"/>
            <family val="18"/>
          </rPr>
          <t>ML 99 IR 1 (1813) – ST May (Proßnitz 01/09/1813), ST June (Proßnitz 05/10/1813)</t>
        </r>
        <r>
          <rPr>
            <sz val="14"/>
            <color rgb="FF000000"/>
            <rFont val="Calibri"/>
            <family val="34"/>
          </rPr>
          <t xml:space="preserve">
</t>
        </r>
        <r>
          <rPr>
            <sz val="14"/>
            <color rgb="FF000000"/>
            <rFont val="Times New Roman"/>
            <family val="18"/>
          </rPr>
          <t>ML 100 IR 1 (1813) AL/TL – PL Nr. 75 (Olmütz 24/05/1813)</t>
        </r>
        <r>
          <rPr>
            <sz val="14"/>
            <color rgb="FF000000"/>
            <rFont val="Calibri"/>
            <family val="34"/>
          </rPr>
          <t xml:space="preserve">
</t>
        </r>
        <r>
          <rPr>
            <sz val="14"/>
            <color rgb="FF000000"/>
            <rFont val="Times New Roman"/>
            <family val="18"/>
          </rPr>
          <t>ML 105 IR 1 (1815) – ST Sept (Proßnitz 18/02/1816)</t>
        </r>
        <r>
          <rPr>
            <sz val="14"/>
            <color rgb="FF000000"/>
            <rFont val="Calibri"/>
            <family val="34"/>
          </rPr>
          <t xml:space="preserve">
</t>
        </r>
        <r>
          <rPr>
            <sz val="14"/>
            <color rgb="FF000000"/>
            <rFont val="Times New Roman"/>
            <family val="18"/>
          </rPr>
          <t>ML 115 IR 1 (1820) – ST Oct (15/01/1820)</t>
        </r>
        <r>
          <rPr>
            <sz val="14"/>
            <color rgb="FF000000"/>
            <rFont val="Calibri"/>
            <family val="34"/>
          </rPr>
          <t xml:space="preserve">
</t>
        </r>
      </text>
    </comment>
    <comment ref="BH1422" authorId="0" shapeId="0" xr:uid="{01D2CB9A-5C9A-A547-A12C-14A86E3F5D1B}">
      <text>
        <r>
          <rPr>
            <sz val="14"/>
            <color rgb="FF000000"/>
            <rFont val="Calibri"/>
            <family val="34"/>
          </rPr>
          <t>IR 1 (1813-1820)</t>
        </r>
      </text>
    </comment>
    <comment ref="CR1422" authorId="0" shapeId="0" xr:uid="{1E9B3386-D3CE-664E-A05F-3F85CA79921E}">
      <text>
        <r>
          <rPr>
            <sz val="14"/>
            <color rgb="FF000000"/>
            <rFont val="Calibri"/>
            <family val="34"/>
          </rPr>
          <t xml:space="preserve">1812-1818: Jüdisch
</t>
        </r>
        <r>
          <rPr>
            <sz val="14"/>
            <color rgb="FF000000"/>
            <rFont val="Calibri"/>
            <family val="34"/>
          </rPr>
          <t>1818: Katolisch [Taufname Vinzenz]</t>
        </r>
      </text>
    </comment>
    <comment ref="I1423" authorId="0" shapeId="0" xr:uid="{DBCC3DE1-6EC2-1D4A-8D77-2F3954583F88}">
      <text>
        <r>
          <rPr>
            <b/>
            <sz val="14"/>
            <color rgb="FF000000"/>
            <rFont val="Calibri"/>
            <family val="34"/>
          </rPr>
          <t xml:space="preserve">1792 [21 (PL 1813)]
</t>
        </r>
        <r>
          <rPr>
            <sz val="14"/>
            <color rgb="FF000000"/>
            <rFont val="Calibri"/>
            <family val="34"/>
          </rPr>
          <t xml:space="preserve">OR
</t>
        </r>
        <r>
          <rPr>
            <sz val="14"/>
            <color rgb="FF000000"/>
            <rFont val="Calibri"/>
            <family val="34"/>
          </rPr>
          <t>1794 [18 (PL 1812)]</t>
        </r>
      </text>
    </comment>
    <comment ref="BF1423" authorId="0" shapeId="0" xr:uid="{A2F0A97F-F7AC-A74D-9F4C-D051E4406424}">
      <text>
        <r>
          <rPr>
            <sz val="14"/>
            <color rgb="FF000000"/>
            <rFont val="Times New Roman"/>
            <family val="18"/>
          </rPr>
          <t xml:space="preserve">15/10/1812 </t>
        </r>
        <r>
          <rPr>
            <i/>
            <sz val="14"/>
            <color rgb="FF000000"/>
            <rFont val="Times New Roman"/>
            <family val="18"/>
          </rPr>
          <t>Zum IR 1 1. Reserve Bataillon assentiert</t>
        </r>
        <r>
          <rPr>
            <sz val="14"/>
            <color rgb="FF000000"/>
            <rFont val="Times New Roman"/>
            <family val="18"/>
          </rPr>
          <t xml:space="preserve"> [AL Jan 1813]</t>
        </r>
        <r>
          <rPr>
            <sz val="14"/>
            <color rgb="FF000000"/>
            <rFont val="Calibri"/>
            <family val="34"/>
          </rPr>
          <t xml:space="preserve">
</t>
        </r>
        <r>
          <rPr>
            <sz val="14"/>
            <color rgb="FF000000"/>
            <rFont val="Times New Roman"/>
            <family val="18"/>
          </rPr>
          <t xml:space="preserve">03/05/1813 </t>
        </r>
        <r>
          <rPr>
            <i/>
            <sz val="14"/>
            <color rgb="FF000000"/>
            <rFont val="Times New Roman"/>
            <family val="18"/>
          </rPr>
          <t xml:space="preserve">Als Reserve Mann gegen 3Fl Handgeld und 14 Jährige Kapitulation zum IR 1 präsentiert und zum 1. Depot Komp eingeheilt </t>
        </r>
        <r>
          <rPr>
            <sz val="14"/>
            <color rgb="FF000000"/>
            <rFont val="Times New Roman"/>
            <family val="18"/>
          </rPr>
          <t>[PL May 1813]</t>
        </r>
        <r>
          <rPr>
            <sz val="14"/>
            <color rgb="FF000000"/>
            <rFont val="Calibri"/>
            <family val="34"/>
          </rPr>
          <t xml:space="preserve">
</t>
        </r>
        <r>
          <rPr>
            <sz val="14"/>
            <color rgb="FFFF0000"/>
            <rFont val="Times New Roman"/>
            <family val="18"/>
          </rPr>
          <t xml:space="preserve">07/05/1813 </t>
        </r>
        <r>
          <rPr>
            <i/>
            <sz val="14"/>
            <color rgb="FFFF0000"/>
            <rFont val="Times New Roman"/>
            <family val="18"/>
          </rPr>
          <t xml:space="preserve">Zu Proßnitz präsentiert </t>
        </r>
        <r>
          <rPr>
            <sz val="14"/>
            <color rgb="FFFF0000"/>
            <rFont val="Times New Roman"/>
            <family val="18"/>
          </rPr>
          <t>[TL June 1813]</t>
        </r>
        <r>
          <rPr>
            <sz val="14"/>
            <color rgb="FF000000"/>
            <rFont val="Calibri"/>
            <family val="34"/>
          </rPr>
          <t xml:space="preserve">
</t>
        </r>
        <r>
          <rPr>
            <sz val="14"/>
            <color rgb="FF000000"/>
            <rFont val="Times New Roman"/>
            <family val="18"/>
          </rPr>
          <t xml:space="preserve">12/05/1813 </t>
        </r>
        <r>
          <rPr>
            <i/>
            <sz val="14"/>
            <color rgb="FF000000"/>
            <rFont val="Times New Roman"/>
            <family val="18"/>
          </rPr>
          <t>Zu Folge hoher General Kommando Verordenung ddt. Brünn am 28. April 813 litter Nro 2850 von IR 1 1. Depot zum IR 15 transferiert</t>
        </r>
        <r>
          <rPr>
            <sz val="14"/>
            <color rgb="FF000000"/>
            <rFont val="Times New Roman"/>
            <family val="18"/>
          </rPr>
          <t xml:space="preserve"> [TL June 1813 &amp; ST May 1813]</t>
        </r>
        <r>
          <rPr>
            <sz val="14"/>
            <color rgb="FF000000"/>
            <rFont val="Calibri"/>
            <family val="34"/>
          </rPr>
          <t xml:space="preserve">
</t>
        </r>
      </text>
    </comment>
    <comment ref="BG1423" authorId="0" shapeId="0" xr:uid="{5F356B4C-5870-B049-8D04-1B2C12F283A2}">
      <text>
        <r>
          <rPr>
            <sz val="14"/>
            <color rgb="FF000000"/>
            <rFont val="Times New Roman"/>
            <family val="18"/>
          </rPr>
          <t>ML 98 IR 1 (1812) AL/TL – AL Nr. 280 (Hradisch 05/01/1813)</t>
        </r>
        <r>
          <rPr>
            <sz val="14"/>
            <color rgb="FF000000"/>
            <rFont val="Calibri"/>
            <family val="34"/>
          </rPr>
          <t xml:space="preserve">
</t>
        </r>
        <r>
          <rPr>
            <sz val="14"/>
            <color rgb="FF000000"/>
            <rFont val="Times New Roman"/>
            <family val="18"/>
          </rPr>
          <t>ML 99 IR 1 (1813) – ST May (Prosnitz 02/09/1813)</t>
        </r>
        <r>
          <rPr>
            <sz val="14"/>
            <color rgb="FF000000"/>
            <rFont val="Calibri"/>
            <family val="34"/>
          </rPr>
          <t xml:space="preserve">
</t>
        </r>
        <r>
          <rPr>
            <sz val="14"/>
            <color rgb="FF000000"/>
            <rFont val="Times New Roman"/>
            <family val="18"/>
          </rPr>
          <t>ML 100 IR 1 (1813) AL/TL – PL Nr. 99 (Olmütz 24/05/1813), TL IR 1-&gt;IR 15 Nr. 84 (Prosnitz 14/06/1813)</t>
        </r>
        <r>
          <rPr>
            <sz val="14"/>
            <color rgb="FF000000"/>
            <rFont val="Calibri"/>
            <family val="34"/>
          </rPr>
          <t xml:space="preserve">
</t>
        </r>
      </text>
    </comment>
    <comment ref="BH1423" authorId="0" shapeId="0" xr:uid="{F553BCC8-9D67-C64A-A310-C151F4C22E5F}">
      <text>
        <r>
          <rPr>
            <sz val="14"/>
            <color rgb="FF000000"/>
            <rFont val="Calibri"/>
            <family val="34"/>
          </rPr>
          <t xml:space="preserve">IR 1 (1813)
</t>
        </r>
        <r>
          <rPr>
            <sz val="14"/>
            <color rgb="FF000000"/>
            <rFont val="Calibri"/>
            <family val="34"/>
          </rPr>
          <t>IR 15 (1813)</t>
        </r>
      </text>
    </comment>
    <comment ref="I1424" authorId="0" shapeId="0" xr:uid="{2F5F6D01-AB74-8A4C-A691-5B4D32114809}">
      <text>
        <r>
          <rPr>
            <sz val="14"/>
            <color rgb="FF000000"/>
            <rFont val="Calibri"/>
            <family val="34"/>
          </rPr>
          <t xml:space="preserve">1780 [38 (TL 1818)]
</t>
        </r>
        <r>
          <rPr>
            <sz val="14"/>
            <color rgb="FF000000"/>
            <rFont val="Calibri"/>
            <family val="34"/>
          </rPr>
          <t xml:space="preserve">OR
</t>
        </r>
        <r>
          <rPr>
            <b/>
            <sz val="14"/>
            <color rgb="FF000000"/>
            <rFont val="Calibri"/>
            <family val="34"/>
          </rPr>
          <t>1783 [36 (ML 1819)]</t>
        </r>
      </text>
    </comment>
    <comment ref="BF1424" authorId="0" shapeId="0" xr:uid="{C30739AE-E2FB-B243-8941-C06BCA03193D}">
      <text>
        <r>
          <rPr>
            <sz val="14"/>
            <color rgb="FF000000"/>
            <rFont val="Times New Roman"/>
            <family val="18"/>
          </rPr>
          <t xml:space="preserve">15/05/1813 </t>
        </r>
        <r>
          <rPr>
            <i/>
            <sz val="14"/>
            <color rgb="FF000000"/>
            <rFont val="Times New Roman"/>
            <family val="18"/>
          </rPr>
          <t>A 3Fl Handgeld auf 14-Jahrezu Baron Lindenau Infanterie assentiert</t>
        </r>
        <r>
          <rPr>
            <sz val="14"/>
            <color rgb="FF000000"/>
            <rFont val="Times New Roman"/>
            <family val="18"/>
          </rPr>
          <t xml:space="preserve"> [ML 1819]</t>
        </r>
        <r>
          <rPr>
            <sz val="14"/>
            <color rgb="FF000000"/>
            <rFont val="Calibri"/>
            <family val="34"/>
          </rPr>
          <t xml:space="preserve">
</t>
        </r>
        <r>
          <rPr>
            <sz val="14"/>
            <color rgb="FFFF0000"/>
            <rFont val="Times New Roman"/>
            <family val="18"/>
          </rPr>
          <t xml:space="preserve">18/10/1813 </t>
        </r>
        <r>
          <rPr>
            <i/>
            <sz val="14"/>
            <color rgb="FFFF0000"/>
            <rFont val="Times New Roman"/>
            <family val="18"/>
          </rPr>
          <t xml:space="preserve">Ohne Capitulation von Land gestellt </t>
        </r>
        <r>
          <rPr>
            <sz val="14"/>
            <color rgb="FFFF0000"/>
            <rFont val="Times New Roman"/>
            <family val="18"/>
          </rPr>
          <t>[TL Nov 1818]</t>
        </r>
        <r>
          <rPr>
            <sz val="14"/>
            <color rgb="FF000000"/>
            <rFont val="Calibri"/>
            <family val="34"/>
          </rPr>
          <t xml:space="preserve">
</t>
        </r>
        <r>
          <rPr>
            <sz val="14"/>
            <color rgb="FF000000"/>
            <rFont val="Times New Roman"/>
            <family val="18"/>
          </rPr>
          <t xml:space="preserve">10/05/1814 </t>
        </r>
        <r>
          <rPr>
            <i/>
            <sz val="14"/>
            <color rgb="FF000000"/>
            <rFont val="Times New Roman"/>
            <family val="18"/>
          </rPr>
          <t>Desertiert</t>
        </r>
        <r>
          <rPr>
            <sz val="14"/>
            <color rgb="FF000000"/>
            <rFont val="Times New Roman"/>
            <family val="18"/>
          </rPr>
          <t xml:space="preserve"> [TL Nov 1818]</t>
        </r>
        <r>
          <rPr>
            <sz val="14"/>
            <color rgb="FF000000"/>
            <rFont val="Calibri"/>
            <family val="34"/>
          </rPr>
          <t xml:space="preserve">
</t>
        </r>
        <r>
          <rPr>
            <sz val="14"/>
            <color rgb="FFFF0000"/>
            <rFont val="Times New Roman"/>
            <family val="18"/>
          </rPr>
          <t xml:space="preserve">01/09/1814 </t>
        </r>
        <r>
          <rPr>
            <i/>
            <sz val="14"/>
            <color rgb="FFFF0000"/>
            <rFont val="Times New Roman"/>
            <family val="18"/>
          </rPr>
          <t>Auf Unbekannte Art revidiert</t>
        </r>
        <r>
          <rPr>
            <sz val="14"/>
            <color rgb="FFFF0000"/>
            <rFont val="Times New Roman"/>
            <family val="18"/>
          </rPr>
          <t xml:space="preserve"> [TL Nov 1818]</t>
        </r>
        <r>
          <rPr>
            <sz val="14"/>
            <color rgb="FF000000"/>
            <rFont val="Calibri"/>
            <family val="34"/>
          </rPr>
          <t xml:space="preserve">
</t>
        </r>
        <r>
          <rPr>
            <sz val="14"/>
            <color rgb="FF000000"/>
            <rFont val="Times New Roman"/>
            <family val="18"/>
          </rPr>
          <t xml:space="preserve">01/09/1814 </t>
        </r>
        <r>
          <rPr>
            <i/>
            <sz val="14"/>
            <color rgb="FF000000"/>
            <rFont val="Times New Roman"/>
            <family val="18"/>
          </rPr>
          <t>Von Landmann gegen 24Fl Taglia eingebracht, derselbe wurde vermog rechtliche Erkentnis die Halbe Inländer Capitulation verlängert</t>
        </r>
        <r>
          <rPr>
            <sz val="14"/>
            <color rgb="FF000000"/>
            <rFont val="Times New Roman"/>
            <family val="18"/>
          </rPr>
          <t xml:space="preserve"> [ML 1819] </t>
        </r>
        <r>
          <rPr>
            <sz val="14"/>
            <color rgb="FF000000"/>
            <rFont val="Calibri"/>
            <family val="34"/>
          </rPr>
          <t xml:space="preserve">
</t>
        </r>
        <r>
          <rPr>
            <sz val="14"/>
            <color rgb="FF000000"/>
            <rFont val="Times New Roman"/>
            <family val="18"/>
          </rPr>
          <t xml:space="preserve">01/02/1816 </t>
        </r>
        <r>
          <rPr>
            <i/>
            <sz val="14"/>
            <color rgb="FF000000"/>
            <rFont val="Times New Roman"/>
            <family val="18"/>
          </rPr>
          <t>Zum obligaten Fourierschütz mutiert</t>
        </r>
        <r>
          <rPr>
            <sz val="14"/>
            <color rgb="FF000000"/>
            <rFont val="Times New Roman"/>
            <family val="18"/>
          </rPr>
          <t xml:space="preserve"> [TL Nov 1818]</t>
        </r>
        <r>
          <rPr>
            <sz val="14"/>
            <color rgb="FF000000"/>
            <rFont val="Calibri"/>
            <family val="34"/>
          </rPr>
          <t xml:space="preserve">
</t>
        </r>
        <r>
          <rPr>
            <sz val="14"/>
            <color rgb="FF000000"/>
            <rFont val="Times New Roman"/>
            <family val="18"/>
          </rPr>
          <t xml:space="preserve">01/08/1818 </t>
        </r>
        <r>
          <rPr>
            <i/>
            <sz val="14"/>
            <color rgb="FF000000"/>
            <rFont val="Times New Roman"/>
            <family val="18"/>
          </rPr>
          <t>Wieder zum Gemeinen mutiert</t>
        </r>
        <r>
          <rPr>
            <sz val="14"/>
            <color rgb="FF000000"/>
            <rFont val="Times New Roman"/>
            <family val="18"/>
          </rPr>
          <t xml:space="preserve"> [TL Nov 1818]</t>
        </r>
        <r>
          <rPr>
            <sz val="14"/>
            <color rgb="FF000000"/>
            <rFont val="Calibri"/>
            <family val="34"/>
          </rPr>
          <t xml:space="preserve">
</t>
        </r>
        <r>
          <rPr>
            <sz val="14"/>
            <color rgb="FF000000"/>
            <rFont val="Times New Roman"/>
            <family val="18"/>
          </rPr>
          <t xml:space="preserve">15/10/1818 </t>
        </r>
        <r>
          <rPr>
            <i/>
            <sz val="14"/>
            <color rgb="FF000000"/>
            <rFont val="Times New Roman"/>
            <family val="18"/>
          </rPr>
          <t>Wegen Einverständnis beider Regimenter von IR 29 16. Fus. Komp zum IR 1 transferiert und zum 9. Fus. Komp Eigenheit</t>
        </r>
        <r>
          <rPr>
            <sz val="14"/>
            <color rgb="FF000000"/>
            <rFont val="Times New Roman"/>
            <family val="18"/>
          </rPr>
          <t xml:space="preserve"> [TL Nov 1818]</t>
        </r>
        <r>
          <rPr>
            <sz val="14"/>
            <color rgb="FF000000"/>
            <rFont val="Calibri"/>
            <family val="34"/>
          </rPr>
          <t xml:space="preserve">
</t>
        </r>
        <r>
          <rPr>
            <sz val="14"/>
            <color rgb="FF000000"/>
            <rFont val="Times New Roman"/>
            <family val="18"/>
          </rPr>
          <t>14/09/1819 Muster: IR 1 6. Fus. Komp. Nr. 257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27/09/1819 </t>
        </r>
        <r>
          <rPr>
            <i/>
            <sz val="14"/>
            <color rgb="FF000000"/>
            <rFont val="Times New Roman"/>
            <family val="18"/>
          </rPr>
          <t>Von Urlaub desertiert</t>
        </r>
        <r>
          <rPr>
            <sz val="14"/>
            <color rgb="FF000000"/>
            <rFont val="Times New Roman"/>
            <family val="18"/>
          </rPr>
          <t xml:space="preserve"> [ST Nov 1819]</t>
        </r>
        <r>
          <rPr>
            <sz val="14"/>
            <color rgb="FF000000"/>
            <rFont val="Calibri"/>
            <family val="34"/>
          </rPr>
          <t xml:space="preserve">
</t>
        </r>
        <r>
          <rPr>
            <sz val="14"/>
            <color rgb="FF000000"/>
            <rFont val="Times New Roman"/>
            <family val="18"/>
          </rPr>
          <t xml:space="preserve">05/06/1820 </t>
        </r>
        <r>
          <rPr>
            <i/>
            <sz val="14"/>
            <color rgb="FF000000"/>
            <rFont val="Times New Roman"/>
            <family val="18"/>
          </rPr>
          <t>Als gegen 24 Taglia von Landmann in Cachau attrapiert, seitdem auf Anhero Marsch</t>
        </r>
        <r>
          <rPr>
            <sz val="14"/>
            <color rgb="FF000000"/>
            <rFont val="Times New Roman"/>
            <family val="18"/>
          </rPr>
          <t xml:space="preserve"> [ST June 1820] </t>
        </r>
        <r>
          <rPr>
            <sz val="14"/>
            <color rgb="FF000000"/>
            <rFont val="Calibri"/>
            <family val="34"/>
          </rPr>
          <t xml:space="preserve">
</t>
        </r>
        <r>
          <rPr>
            <sz val="14"/>
            <color rgb="FF000000"/>
            <rFont val="Times New Roman"/>
            <family val="18"/>
          </rPr>
          <t xml:space="preserve">31/07/1820 </t>
        </r>
        <r>
          <rPr>
            <i/>
            <sz val="14"/>
            <color rgb="FF000000"/>
            <rFont val="Times New Roman"/>
            <family val="18"/>
          </rPr>
          <t>In die Kompanie eingerückt und zum 17. Fus. Komp. transferiert und bei 11. Fus. Komp zugeteilt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17/08/1820 </t>
        </r>
        <r>
          <rPr>
            <i/>
            <sz val="14"/>
            <color rgb="FF000000"/>
            <rFont val="Times New Roman"/>
            <family val="18"/>
          </rPr>
          <t>In Kompanie eingerückt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17. Fus Komp</t>
        </r>
        <r>
          <rPr>
            <sz val="14"/>
            <color rgb="FF000000"/>
            <rFont val="Times New Roman"/>
            <family val="18"/>
          </rPr>
          <t xml:space="preserve"> [ST Oct 1820]</t>
        </r>
      </text>
    </comment>
    <comment ref="BG1424" authorId="0" shapeId="0" xr:uid="{97427634-3F83-B04E-9550-07A4A6A6A32F}">
      <text>
        <r>
          <rPr>
            <sz val="14"/>
            <color rgb="FF000000"/>
            <rFont val="Times New Roman"/>
            <family val="18"/>
          </rPr>
          <t>ML 38/9 IR 1 (1819) – IR 1 9. Fus. Komp. 265 (Olmütz 14/09/1819)</t>
        </r>
        <r>
          <rPr>
            <sz val="14"/>
            <color rgb="FF000000"/>
            <rFont val="Calibri"/>
            <family val="34"/>
          </rPr>
          <t xml:space="preserve">
</t>
        </r>
        <r>
          <rPr>
            <sz val="14"/>
            <color rgb="FF000000"/>
            <rFont val="Times New Roman"/>
            <family val="18"/>
          </rPr>
          <t>ML 112 IR 1 (1818) AL/TL – AL Nr. 1 (Brünn 03/11/1818)</t>
        </r>
        <r>
          <rPr>
            <sz val="14"/>
            <color rgb="FF000000"/>
            <rFont val="Calibri"/>
            <family val="34"/>
          </rPr>
          <t xml:space="preserve">
</t>
        </r>
        <r>
          <rPr>
            <sz val="14"/>
            <color rgb="FF000000"/>
            <rFont val="Times New Roman"/>
            <family val="18"/>
          </rPr>
          <t>ML 113 IR 1 (1819) – AL Nov (Kremsier 20/01/1820)</t>
        </r>
        <r>
          <rPr>
            <sz val="14"/>
            <color rgb="FF000000"/>
            <rFont val="Calibri"/>
            <family val="34"/>
          </rPr>
          <t xml:space="preserve">
</t>
        </r>
        <r>
          <rPr>
            <sz val="14"/>
            <color rgb="FF000000"/>
            <rFont val="Times New Roman"/>
            <family val="18"/>
          </rPr>
          <t>ML 115 IR 1 (1820) – ST June (Olmütz 20/07/1820), Aug (Cremsier 15/11/1820), Oct (15/01/1820)</t>
        </r>
        <r>
          <rPr>
            <sz val="14"/>
            <color rgb="FF000000"/>
            <rFont val="Calibri"/>
            <family val="34"/>
          </rPr>
          <t xml:space="preserve">
</t>
        </r>
      </text>
    </comment>
    <comment ref="BH1424" authorId="0" shapeId="0" xr:uid="{5D9F579F-83A0-FA43-A57A-A8B1E613AD5F}">
      <text>
        <r>
          <rPr>
            <sz val="14"/>
            <color rgb="FF000000"/>
            <rFont val="Calibri"/>
            <family val="34"/>
          </rPr>
          <t xml:space="preserve">IR 29 (1813-1818)
</t>
        </r>
        <r>
          <rPr>
            <sz val="14"/>
            <color rgb="FF000000"/>
            <rFont val="Calibri"/>
            <family val="34"/>
          </rPr>
          <t>IR 1 (1818-1820)</t>
        </r>
      </text>
    </comment>
    <comment ref="BF1425" authorId="0" shapeId="0" xr:uid="{7ACA1311-46B9-A84E-8149-11DBC661D6D2}">
      <text>
        <r>
          <rPr>
            <sz val="14"/>
            <color rgb="FF000000"/>
            <rFont val="Times New Roman"/>
            <family val="18"/>
          </rPr>
          <t xml:space="preserve">24/05/1813 </t>
        </r>
        <r>
          <rPr>
            <i/>
            <sz val="14"/>
            <color rgb="FF000000"/>
            <rFont val="Times New Roman"/>
            <family val="18"/>
          </rPr>
          <t xml:space="preserve">Als Reserve Mann gegen 3Fl Handgeld und 14-jährige Kapitulation zum IR 1 präsentiert und zum 15. Fus. Komp eingeheilt </t>
        </r>
        <r>
          <rPr>
            <sz val="14"/>
            <color rgb="FF000000"/>
            <rFont val="Times New Roman"/>
            <family val="18"/>
          </rPr>
          <t>[PL June 1813 &amp; ST June 1813]</t>
        </r>
        <r>
          <rPr>
            <sz val="14"/>
            <color rgb="FF000000"/>
            <rFont val="Calibri"/>
            <family val="34"/>
          </rPr>
          <t xml:space="preserve">
</t>
        </r>
        <r>
          <rPr>
            <sz val="14"/>
            <color rgb="FF000000"/>
            <rFont val="Times New Roman"/>
            <family val="18"/>
          </rPr>
          <t xml:space="preserve">10/06/1813 </t>
        </r>
        <r>
          <rPr>
            <i/>
            <sz val="14"/>
            <color rgb="FF000000"/>
            <rFont val="Times New Roman"/>
            <family val="18"/>
          </rPr>
          <t xml:space="preserve">Zu Folge hoher General Kommando Verordnung ddt. Brünn am 5. Juni 813 Litt R. Nr. 4080 von IR 1 15. Fus. Komp. zum IR 15 ‚Baron Zach‘ transferiert </t>
        </r>
        <r>
          <rPr>
            <sz val="14"/>
            <color rgb="FF000000"/>
            <rFont val="Times New Roman"/>
            <family val="18"/>
          </rPr>
          <t>[TL July 1813 &amp; ST June 1813]</t>
        </r>
        <r>
          <rPr>
            <sz val="14"/>
            <color rgb="FF000000"/>
            <rFont val="Calibri"/>
            <family val="34"/>
          </rPr>
          <t xml:space="preserve">
</t>
        </r>
      </text>
    </comment>
    <comment ref="BG1425" authorId="0" shapeId="0" xr:uid="{A9F97F6A-CCDC-C545-9966-18EB7C447B8C}">
      <text>
        <r>
          <rPr>
            <sz val="12"/>
            <color rgb="FF000000"/>
            <rFont val="Times New Roman"/>
            <family val="18"/>
          </rPr>
          <t>ML 99 IR 1 (1813) – ST June (Prosnitz 05/10/1813)</t>
        </r>
        <r>
          <rPr>
            <sz val="12"/>
            <color rgb="FF000000"/>
            <rFont val="Calibri"/>
            <family val="34"/>
          </rPr>
          <t xml:space="preserve">
</t>
        </r>
        <r>
          <rPr>
            <sz val="12"/>
            <color rgb="FF000000"/>
            <rFont val="Times New Roman"/>
            <family val="18"/>
          </rPr>
          <t>ML 100 IR 1 (1813) AL/TL – PL Nr. 99 (Prosnitz 06/06/1813), TL IR 1-&gt;IR 15 Nr. 215 (Proßnitz 24/07/1813)</t>
        </r>
        <r>
          <rPr>
            <sz val="12"/>
            <color rgb="FF000000"/>
            <rFont val="Calibri"/>
            <family val="34"/>
          </rPr>
          <t xml:space="preserve">
</t>
        </r>
      </text>
    </comment>
    <comment ref="BH1425" authorId="0" shapeId="0" xr:uid="{921AD979-0311-FB4C-A3C1-ADAF6B271188}">
      <text>
        <r>
          <rPr>
            <sz val="14"/>
            <color rgb="FF000000"/>
            <rFont val="Calibri"/>
            <family val="34"/>
          </rPr>
          <t xml:space="preserve">IR 1 (1813)
</t>
        </r>
        <r>
          <rPr>
            <sz val="14"/>
            <color rgb="FF000000"/>
            <rFont val="Calibri"/>
            <family val="34"/>
          </rPr>
          <t>IR 15 (1813)</t>
        </r>
      </text>
    </comment>
    <comment ref="BI1425" authorId="0" shapeId="0" xr:uid="{AA19CC22-43D4-2240-8253-B4EFE4CCC733}">
      <text>
        <r>
          <rPr>
            <i/>
            <sz val="14"/>
            <color rgb="FF000000"/>
            <rFont val="Times New Roman"/>
            <family val="18"/>
          </rPr>
          <t>Gute</t>
        </r>
        <r>
          <rPr>
            <sz val="14"/>
            <color rgb="FF000000"/>
            <rFont val="Times New Roman"/>
            <family val="18"/>
          </rPr>
          <t xml:space="preserve"> [TL July 1813]</t>
        </r>
        <r>
          <rPr>
            <sz val="14"/>
            <color rgb="FF000000"/>
            <rFont val="Calibri"/>
            <family val="2"/>
          </rPr>
          <t xml:space="preserve"> </t>
        </r>
      </text>
    </comment>
    <comment ref="BF1426" authorId="0" shapeId="0" xr:uid="{72379642-E7CD-ED4E-A863-C63FB78B36BE}">
      <text>
        <r>
          <rPr>
            <sz val="14"/>
            <color rgb="FF000000"/>
            <rFont val="Times New Roman"/>
            <family val="18"/>
          </rPr>
          <t xml:space="preserve">01/06/1813 </t>
        </r>
        <r>
          <rPr>
            <i/>
            <sz val="14"/>
            <color rgb="FF000000"/>
            <rFont val="Times New Roman"/>
            <family val="18"/>
          </rPr>
          <t>A 3 Fl. Handgeld auf 14 Jahre als Inländer zu Schlan</t>
        </r>
        <r>
          <rPr>
            <sz val="14"/>
            <color rgb="FF000000"/>
            <rFont val="Times New Roman"/>
            <family val="18"/>
          </rPr>
          <t xml:space="preserve"> </t>
        </r>
        <r>
          <rPr>
            <b/>
            <sz val="14"/>
            <color rgb="FF000000"/>
            <rFont val="Times New Roman"/>
            <family val="18"/>
          </rPr>
          <t>[</t>
        </r>
        <r>
          <rPr>
            <b/>
            <u/>
            <sz val="14"/>
            <color rgb="FF0563C1"/>
            <rFont val="Times New Roman"/>
            <family val="18"/>
          </rPr>
          <t>Slaný, Czech Republic</t>
        </r>
        <r>
          <rPr>
            <b/>
            <sz val="14"/>
            <color rgb="FF000000"/>
            <rFont val="Times New Roman"/>
            <family val="18"/>
          </rPr>
          <t>]</t>
        </r>
        <r>
          <rPr>
            <b/>
            <i/>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01/06/1815 </t>
        </r>
        <r>
          <rPr>
            <i/>
            <sz val="14"/>
            <color rgb="FF000000"/>
            <rFont val="Times New Roman"/>
            <family val="18"/>
          </rPr>
          <t>Erhielt den Armee Ehrenkreuz</t>
        </r>
        <r>
          <rPr>
            <sz val="14"/>
            <color rgb="FF000000"/>
            <rFont val="Times New Roman"/>
            <family val="18"/>
          </rPr>
          <t xml:space="preserve"> [ML 1817]</t>
        </r>
        <r>
          <rPr>
            <sz val="14"/>
            <color rgb="FF000000"/>
            <rFont val="Calibri"/>
            <family val="34"/>
          </rPr>
          <t xml:space="preserve">
</t>
        </r>
        <r>
          <rPr>
            <sz val="14"/>
            <color rgb="FF000000"/>
            <rFont val="Times New Roman"/>
            <family val="18"/>
          </rPr>
          <t>11/09/1817 Muster: FJB 7 2. Komp. Nr. 36</t>
        </r>
        <r>
          <rPr>
            <sz val="14"/>
            <color rgb="FF000000"/>
            <rFont val="Calibri"/>
            <family val="34"/>
          </rPr>
          <t xml:space="preserve">
</t>
        </r>
        <r>
          <rPr>
            <sz val="14"/>
            <color rgb="FF000000"/>
            <rFont val="Times New Roman"/>
            <family val="18"/>
          </rPr>
          <t>16/09/1818 Muster: FJB 7 2. Komp. Nr. 30</t>
        </r>
        <r>
          <rPr>
            <sz val="14"/>
            <color rgb="FF000000"/>
            <rFont val="Calibri"/>
            <family val="34"/>
          </rPr>
          <t xml:space="preserve">
</t>
        </r>
        <r>
          <rPr>
            <sz val="14"/>
            <color rgb="FF000000"/>
            <rFont val="Times New Roman"/>
            <family val="18"/>
          </rPr>
          <t>20/09/1819 Muster: FJB 7 2. Komp. Nr. 30 [</t>
        </r>
        <r>
          <rPr>
            <i/>
            <sz val="14"/>
            <color rgb="FF000000"/>
            <rFont val="Times New Roman"/>
            <family val="18"/>
          </rPr>
          <t>In der Schießplatz zu Linz beim 2. Jäger Bat. zugeheilt</t>
        </r>
        <r>
          <rPr>
            <sz val="14"/>
            <color rgb="FF000000"/>
            <rFont val="Times New Roman"/>
            <family val="18"/>
          </rPr>
          <t>]</t>
        </r>
        <r>
          <rPr>
            <sz val="14"/>
            <color rgb="FF000000"/>
            <rFont val="Calibri"/>
            <family val="34"/>
          </rPr>
          <t xml:space="preserve">
</t>
        </r>
        <r>
          <rPr>
            <sz val="14"/>
            <color rgb="FF000000"/>
            <rFont val="Times New Roman"/>
            <family val="18"/>
          </rPr>
          <t xml:space="preserve">01/10/1819 </t>
        </r>
        <r>
          <rPr>
            <i/>
            <sz val="14"/>
            <color rgb="FF000000"/>
            <rFont val="Times New Roman"/>
            <family val="18"/>
          </rPr>
          <t>In Kompanie eingerückt</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01/05/1820 </t>
        </r>
        <r>
          <rPr>
            <i/>
            <sz val="14"/>
            <color rgb="FF000000"/>
            <rFont val="Times New Roman"/>
            <family val="18"/>
          </rPr>
          <t>Zu Folge hoher General Kommando Verordnung det. Wien am 13. April 820 R 6435 zum Patrouillenführer avanciert</t>
        </r>
        <r>
          <rPr>
            <sz val="14"/>
            <color rgb="FF000000"/>
            <rFont val="Times New Roman"/>
            <family val="18"/>
          </rPr>
          <t xml:space="preserve"> [ST May 1820]</t>
        </r>
        <r>
          <rPr>
            <sz val="14"/>
            <color rgb="FF000000"/>
            <rFont val="Calibri"/>
            <family val="34"/>
          </rPr>
          <t xml:space="preserve">
</t>
        </r>
        <r>
          <rPr>
            <sz val="14"/>
            <color rgb="FF000000"/>
            <rFont val="Times New Roman"/>
            <family val="18"/>
          </rPr>
          <t>12/08/1820 Revision: FJB 7 2. Komp. Nr. 17</t>
        </r>
      </text>
    </comment>
    <comment ref="BG1426" authorId="0" shapeId="0" xr:uid="{22D763A1-DE89-BD43-A4FC-74391BCFAC0F}">
      <text>
        <r>
          <rPr>
            <sz val="12"/>
            <color rgb="FF000000"/>
            <rFont val="Times New Roman"/>
            <family val="18"/>
          </rPr>
          <t>ML 5409 FJB 7 (1817-20) – ML 2. Komp. Nr. 36 (Leoben 11/09/1817), ML 2. Komp. Nr. 30 (Carlstadt 16/09/1818), ML 2. Komp. Nr. 30 (Wels 20/09/1819), RL 2. Komp. Nr. 17 (Wels 12/08/1820)</t>
        </r>
        <r>
          <rPr>
            <sz val="12"/>
            <color rgb="FF000000"/>
            <rFont val="Calibri"/>
            <family val="34"/>
          </rPr>
          <t xml:space="preserve">
</t>
        </r>
        <r>
          <rPr>
            <sz val="12"/>
            <color rgb="FF000000"/>
            <rFont val="Times New Roman"/>
            <family val="18"/>
          </rPr>
          <t>ML 5420 FJB 7 (1819-20) – ST Oct (Wels 14/11/1819), ST May (Wels 15/06/1820)</t>
        </r>
        <r>
          <rPr>
            <sz val="12"/>
            <color rgb="FF000000"/>
            <rFont val="Calibri"/>
            <family val="34"/>
          </rPr>
          <t xml:space="preserve">
</t>
        </r>
      </text>
    </comment>
    <comment ref="BH1426" authorId="0" shapeId="0" xr:uid="{332E09F0-CEEB-1B4A-8C9A-6A7ABD1F5337}">
      <text>
        <r>
          <rPr>
            <sz val="14"/>
            <color rgb="FF000000"/>
            <rFont val="Calibri"/>
            <family val="34"/>
          </rPr>
          <t>FJB 7 (1813-1820)</t>
        </r>
      </text>
    </comment>
    <comment ref="BF1427" authorId="0" shapeId="0" xr:uid="{C6EA61A6-5972-CE4A-9F78-A8110FE00FB1}">
      <text>
        <r>
          <rPr>
            <sz val="14"/>
            <color rgb="FF000000"/>
            <rFont val="Times New Roman"/>
            <family val="18"/>
          </rPr>
          <t xml:space="preserve">22/06/1813 </t>
        </r>
        <r>
          <rPr>
            <i/>
            <sz val="14"/>
            <color rgb="FF000000"/>
            <rFont val="Times New Roman"/>
            <family val="18"/>
          </rPr>
          <t xml:space="preserve">A 2Fl Handgeld aus der Reserve auf den Aktiven Stand des IR 30 Fürst De Ligne Regiment zum IR 63 präsentiert </t>
        </r>
        <r>
          <rPr>
            <i/>
            <sz val="14"/>
            <color rgb="FFFF0000"/>
            <rFont val="Times New Roman"/>
            <family val="18"/>
          </rPr>
          <t xml:space="preserve">und derselbe Dato zum IR 1 Kaiser transferiert </t>
        </r>
        <r>
          <rPr>
            <sz val="14"/>
            <color rgb="FF000000"/>
            <rFont val="Times New Roman"/>
            <family val="18"/>
          </rPr>
          <t>[TL July 1813 ST Jan 1814]</t>
        </r>
        <r>
          <rPr>
            <sz val="14"/>
            <color rgb="FF000000"/>
            <rFont val="Calibri"/>
            <family val="34"/>
          </rPr>
          <t xml:space="preserve">
</t>
        </r>
        <r>
          <rPr>
            <sz val="14"/>
            <color rgb="FF000000"/>
            <rFont val="Times New Roman"/>
            <family val="18"/>
          </rPr>
          <t xml:space="preserve">15/07/1813 </t>
        </r>
        <r>
          <rPr>
            <i/>
            <sz val="14"/>
            <color rgb="FF000000"/>
            <rFont val="Times New Roman"/>
            <family val="18"/>
          </rPr>
          <t>Von IR 63 Bianchi zum IR 1 transferiert und zur 22. Fus. Komp. eingeteilt</t>
        </r>
        <r>
          <rPr>
            <sz val="14"/>
            <color rgb="FF000000"/>
            <rFont val="Times New Roman"/>
            <family val="18"/>
          </rPr>
          <t xml:space="preserve"> [ST Jan 1814] </t>
        </r>
        <r>
          <rPr>
            <sz val="14"/>
            <color rgb="FF000000"/>
            <rFont val="Calibri"/>
            <family val="34"/>
          </rPr>
          <t xml:space="preserve">
</t>
        </r>
        <r>
          <rPr>
            <sz val="14"/>
            <color rgb="FF000000"/>
            <rFont val="Times New Roman"/>
            <family val="18"/>
          </rPr>
          <t xml:space="preserve">10/08/1813 </t>
        </r>
        <r>
          <rPr>
            <i/>
            <sz val="14"/>
            <color rgb="FF000000"/>
            <rFont val="Times New Roman"/>
            <family val="18"/>
          </rPr>
          <t>Von IR 1 22. Fus. Komp. zum IR 7 Würzburg transferiert</t>
        </r>
        <r>
          <rPr>
            <sz val="14"/>
            <color rgb="FF000000"/>
            <rFont val="Times New Roman"/>
            <family val="18"/>
          </rPr>
          <t xml:space="preserve"> [TL July 1813]</t>
        </r>
      </text>
    </comment>
    <comment ref="BG1427" authorId="0" shapeId="0" xr:uid="{2F053220-0010-6E49-9632-9153AC4C477C}">
      <text>
        <r>
          <rPr>
            <sz val="14"/>
            <color rgb="FF000000"/>
            <rFont val="Times New Roman"/>
            <family val="18"/>
          </rPr>
          <t>ML 102 IR 1 (1814) – ST January (Proßnitz 01/07/1814)</t>
        </r>
        <r>
          <rPr>
            <sz val="14"/>
            <color rgb="FF000000"/>
            <rFont val="Calibri"/>
            <family val="34"/>
          </rPr>
          <t xml:space="preserve">
</t>
        </r>
        <r>
          <rPr>
            <sz val="14"/>
            <color rgb="FF000000"/>
            <rFont val="Times New Roman"/>
            <family val="18"/>
          </rPr>
          <t>ML 104 IR 1 (1814) AL/TL – TL IR 1-&gt;IR 7 Nr. 176 (Proßnitz 04/07/1814)</t>
        </r>
        <r>
          <rPr>
            <sz val="14"/>
            <color rgb="FF000000"/>
            <rFont val="Calibri"/>
            <family val="34"/>
          </rPr>
          <t xml:space="preserve">
</t>
        </r>
      </text>
    </comment>
    <comment ref="BH1427" authorId="0" shapeId="0" xr:uid="{779DB0BE-69CC-3545-BCEF-1620E904B505}">
      <text>
        <r>
          <rPr>
            <sz val="14"/>
            <color rgb="FF000000"/>
            <rFont val="Calibri"/>
            <family val="34"/>
          </rPr>
          <t xml:space="preserve">IR 30 (1813) [RESERVE]
</t>
        </r>
        <r>
          <rPr>
            <sz val="14"/>
            <color rgb="FF000000"/>
            <rFont val="Calibri"/>
            <family val="34"/>
          </rPr>
          <t xml:space="preserve">IR 63 (1813)
</t>
        </r>
        <r>
          <rPr>
            <sz val="14"/>
            <color rgb="FF000000"/>
            <rFont val="Calibri"/>
            <family val="34"/>
          </rPr>
          <t xml:space="preserve">IR 1 (1813)
</t>
        </r>
        <r>
          <rPr>
            <sz val="14"/>
            <color rgb="FF000000"/>
            <rFont val="Calibri"/>
            <family val="34"/>
          </rPr>
          <t>IR 7 (1813)</t>
        </r>
      </text>
    </comment>
    <comment ref="BF1428" authorId="0" shapeId="0" xr:uid="{75AB4A57-E2F7-2540-A7EF-DAD394C35077}">
      <text>
        <r>
          <rPr>
            <sz val="14"/>
            <color rgb="FF000000"/>
            <rFont val="Times New Roman"/>
            <family val="18"/>
          </rPr>
          <t xml:space="preserve">22/06/1813 </t>
        </r>
        <r>
          <rPr>
            <i/>
            <sz val="14"/>
            <color rgb="FF000000"/>
            <rFont val="Times New Roman"/>
            <family val="18"/>
          </rPr>
          <t xml:space="preserve">A 2Fl Handgeld aus der Reserve auf den Aktiven Stand des IR 30 Fürst De Ligne Regiment zum IR 63 präsentiert </t>
        </r>
        <r>
          <rPr>
            <i/>
            <sz val="14"/>
            <color rgb="FFFF0000"/>
            <rFont val="Times New Roman"/>
            <family val="18"/>
          </rPr>
          <t xml:space="preserve">und derselbe Dato zum IR 1 Kaiser transferiert </t>
        </r>
        <r>
          <rPr>
            <sz val="14"/>
            <color rgb="FF000000"/>
            <rFont val="Times New Roman"/>
            <family val="18"/>
          </rPr>
          <t>[TL July 1813 ST Jan 1814]</t>
        </r>
        <r>
          <rPr>
            <sz val="14"/>
            <color rgb="FF000000"/>
            <rFont val="Calibri"/>
            <family val="34"/>
          </rPr>
          <t xml:space="preserve">
</t>
        </r>
        <r>
          <rPr>
            <sz val="14"/>
            <color rgb="FF000000"/>
            <rFont val="Times New Roman"/>
            <family val="18"/>
          </rPr>
          <t xml:space="preserve">15/07/1813 </t>
        </r>
        <r>
          <rPr>
            <i/>
            <sz val="14"/>
            <color rgb="FF000000"/>
            <rFont val="Times New Roman"/>
            <family val="18"/>
          </rPr>
          <t>Von IR 63 Bianchi zum IR 1 transferiert und zur 22. Fus. Komp. eingeteilt</t>
        </r>
        <r>
          <rPr>
            <sz val="14"/>
            <color rgb="FF000000"/>
            <rFont val="Times New Roman"/>
            <family val="18"/>
          </rPr>
          <t xml:space="preserve"> [ST Jan 1814] </t>
        </r>
        <r>
          <rPr>
            <sz val="14"/>
            <color rgb="FF000000"/>
            <rFont val="Calibri"/>
            <family val="34"/>
          </rPr>
          <t xml:space="preserve">
</t>
        </r>
        <r>
          <rPr>
            <sz val="14"/>
            <color rgb="FF000000"/>
            <rFont val="Times New Roman"/>
            <family val="18"/>
          </rPr>
          <t xml:space="preserve">10/08/1813 </t>
        </r>
        <r>
          <rPr>
            <i/>
            <sz val="14"/>
            <color rgb="FF000000"/>
            <rFont val="Times New Roman"/>
            <family val="18"/>
          </rPr>
          <t>Von IR 1 22. Fus. Komp. zum IR 7 Würzburg transferiert</t>
        </r>
        <r>
          <rPr>
            <sz val="14"/>
            <color rgb="FF000000"/>
            <rFont val="Times New Roman"/>
            <family val="18"/>
          </rPr>
          <t xml:space="preserve"> [TL July 1813]</t>
        </r>
      </text>
    </comment>
    <comment ref="BG1428" authorId="0" shapeId="0" xr:uid="{7246F07C-C1CD-3745-815A-69F277CE6763}">
      <text>
        <r>
          <rPr>
            <sz val="14"/>
            <color rgb="FF000000"/>
            <rFont val="Times New Roman"/>
            <family val="18"/>
          </rPr>
          <t>ML 102 IR 1 (1814) – ST January (Proßnitz 01/07/1814)</t>
        </r>
        <r>
          <rPr>
            <sz val="14"/>
            <color rgb="FF000000"/>
            <rFont val="Calibri"/>
            <family val="34"/>
          </rPr>
          <t xml:space="preserve">
</t>
        </r>
        <r>
          <rPr>
            <sz val="14"/>
            <color rgb="FF000000"/>
            <rFont val="Times New Roman"/>
            <family val="18"/>
          </rPr>
          <t>ML 104 IR 1 (1814) AL/TL – TL IR 1-&gt;IR 7 Nr. 171 (Proßnitz 04/07/1814)</t>
        </r>
        <r>
          <rPr>
            <sz val="14"/>
            <color rgb="FF000000"/>
            <rFont val="Calibri"/>
            <family val="34"/>
          </rPr>
          <t xml:space="preserve">
</t>
        </r>
      </text>
    </comment>
    <comment ref="BH1428" authorId="0" shapeId="0" xr:uid="{B5BC4E96-2C3E-F34C-BA8C-32ACE03EE8D3}">
      <text>
        <r>
          <rPr>
            <sz val="14"/>
            <color rgb="FF000000"/>
            <rFont val="Calibri"/>
            <family val="34"/>
          </rPr>
          <t xml:space="preserve">IR 30 (1813) [RESERVE]
</t>
        </r>
        <r>
          <rPr>
            <sz val="14"/>
            <color rgb="FF000000"/>
            <rFont val="Calibri"/>
            <family val="34"/>
          </rPr>
          <t xml:space="preserve">IR 63 (1813)
</t>
        </r>
        <r>
          <rPr>
            <sz val="14"/>
            <color rgb="FF000000"/>
            <rFont val="Calibri"/>
            <family val="34"/>
          </rPr>
          <t xml:space="preserve">IR 1 (1813)
</t>
        </r>
        <r>
          <rPr>
            <sz val="14"/>
            <color rgb="FF000000"/>
            <rFont val="Calibri"/>
            <family val="34"/>
          </rPr>
          <t>IR 7 (1813)</t>
        </r>
      </text>
    </comment>
    <comment ref="J1429" authorId="0" shapeId="0" xr:uid="{76111C97-A4D9-CE40-8EAB-9C0B588A9679}">
      <text>
        <r>
          <rPr>
            <sz val="14"/>
            <color rgb="FF000000"/>
            <rFont val="Calibri"/>
            <family val="34"/>
          </rPr>
          <t xml:space="preserve">Ledig (1817-1818)
</t>
        </r>
        <r>
          <rPr>
            <sz val="14"/>
            <color rgb="FF000000"/>
            <rFont val="Calibri"/>
            <family val="34"/>
          </rPr>
          <t>Veheiratet (Seit Nov. 1818)</t>
        </r>
      </text>
    </comment>
    <comment ref="T1429" authorId="0" shapeId="0" xr:uid="{836B794A-8306-9D47-BFE9-D9EDCB30EEDD}">
      <text>
        <r>
          <rPr>
            <sz val="14"/>
            <color rgb="FF000000"/>
            <rFont val="Calibri"/>
            <family val="34"/>
          </rPr>
          <t xml:space="preserve">5.2 [163.26 cm] (ML 1819)]
</t>
        </r>
        <r>
          <rPr>
            <sz val="14"/>
            <color rgb="FF000000"/>
            <rFont val="Calibri"/>
            <family val="34"/>
          </rPr>
          <t xml:space="preserve">5.3.2 [166.133 cm (ML 1820)]
</t>
        </r>
        <r>
          <rPr>
            <b/>
            <sz val="14"/>
            <color rgb="FF000000"/>
            <rFont val="Calibri"/>
            <family val="34"/>
          </rPr>
          <t>5.5.2 [171.59 cm (ML 1817/8]</t>
        </r>
      </text>
    </comment>
    <comment ref="BF1429" authorId="0" shapeId="0" xr:uid="{487420AB-3693-C443-9994-4A7F1D6CD63A}">
      <text>
        <r>
          <rPr>
            <sz val="14"/>
            <color rgb="FF000000"/>
            <rFont val="Times New Roman"/>
            <family val="18"/>
          </rPr>
          <t xml:space="preserve">01/07/1813 </t>
        </r>
        <r>
          <rPr>
            <i/>
            <sz val="14"/>
            <color rgb="FF000000"/>
            <rFont val="Times New Roman"/>
            <family val="18"/>
          </rPr>
          <t>A 3Fl auf 14 Jahre zu EH Ludwig Inf</t>
        </r>
        <r>
          <rPr>
            <sz val="14"/>
            <color rgb="FF000000"/>
            <rFont val="Times New Roman"/>
            <family val="18"/>
          </rPr>
          <t xml:space="preserve"> </t>
        </r>
        <r>
          <rPr>
            <b/>
            <sz val="14"/>
            <color rgb="FF000000"/>
            <rFont val="Times New Roman"/>
            <family val="18"/>
          </rPr>
          <t xml:space="preserve">[IR 8]. </t>
        </r>
        <r>
          <rPr>
            <i/>
            <sz val="14"/>
            <color rgb="FF000000"/>
            <rFont val="Times New Roman"/>
            <family val="18"/>
          </rPr>
          <t>assentiert, eodem zum 4. Jäger Battalion</t>
        </r>
        <r>
          <rPr>
            <sz val="14"/>
            <color rgb="FF000000"/>
            <rFont val="Times New Roman"/>
            <family val="18"/>
          </rPr>
          <t xml:space="preserve"> [ML 1817]</t>
        </r>
        <r>
          <rPr>
            <sz val="14"/>
            <color rgb="FF000000"/>
            <rFont val="Aptos"/>
            <family val="34"/>
          </rPr>
          <t xml:space="preserve">
</t>
        </r>
        <r>
          <rPr>
            <sz val="14"/>
            <color rgb="FF000000"/>
            <rFont val="Times New Roman"/>
            <family val="18"/>
          </rPr>
          <t xml:space="preserve">01/09/1813 </t>
        </r>
        <r>
          <rPr>
            <i/>
            <sz val="14"/>
            <color rgb="FF000000"/>
            <rFont val="Times New Roman"/>
            <family val="18"/>
          </rPr>
          <t>Von da</t>
        </r>
        <r>
          <rPr>
            <sz val="14"/>
            <color rgb="FF000000"/>
            <rFont val="Times New Roman"/>
            <family val="18"/>
          </rPr>
          <t xml:space="preserve"> </t>
        </r>
        <r>
          <rPr>
            <b/>
            <sz val="14"/>
            <color rgb="FF000000"/>
            <rFont val="Times New Roman"/>
            <family val="18"/>
          </rPr>
          <t>[FJB 4]</t>
        </r>
        <r>
          <rPr>
            <sz val="14"/>
            <color rgb="FF000000"/>
            <rFont val="Times New Roman"/>
            <family val="18"/>
          </rPr>
          <t xml:space="preserve"> </t>
        </r>
        <r>
          <rPr>
            <i/>
            <sz val="14"/>
            <color rgb="FF000000"/>
            <rFont val="Times New Roman"/>
            <family val="18"/>
          </rPr>
          <t>anherro</t>
        </r>
        <r>
          <rPr>
            <sz val="14"/>
            <color rgb="FF000000"/>
            <rFont val="Times New Roman"/>
            <family val="18"/>
          </rPr>
          <t xml:space="preserve"> </t>
        </r>
        <r>
          <rPr>
            <b/>
            <sz val="14"/>
            <color rgb="FF000000"/>
            <rFont val="Times New Roman"/>
            <family val="18"/>
          </rPr>
          <t>[FJB 12]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Aptos"/>
            <family val="34"/>
          </rPr>
          <t xml:space="preserve">
</t>
        </r>
        <r>
          <rPr>
            <sz val="14"/>
            <color rgb="FF000000"/>
            <rFont val="Times New Roman"/>
            <family val="18"/>
          </rPr>
          <t>24/09/1817 Muster: FJB 12 1. Komp. Nr. 203 [</t>
        </r>
        <r>
          <rPr>
            <i/>
            <sz val="14"/>
            <color rgb="FF000000"/>
            <rFont val="Times New Roman"/>
            <family val="18"/>
          </rPr>
          <t>Beurlaubt</t>
        </r>
        <r>
          <rPr>
            <sz val="14"/>
            <color rgb="FF000000"/>
            <rFont val="Times New Roman"/>
            <family val="18"/>
          </rPr>
          <t>]</t>
        </r>
        <r>
          <rPr>
            <sz val="14"/>
            <color rgb="FF000000"/>
            <rFont val="Aptos"/>
            <family val="34"/>
          </rPr>
          <t xml:space="preserve">
</t>
        </r>
        <r>
          <rPr>
            <sz val="14"/>
            <color rgb="FF000000"/>
            <rFont val="Times New Roman"/>
            <family val="18"/>
          </rPr>
          <t>18/09/1818 Muster: FJB 12 1. Komp. Nr. 204 [</t>
        </r>
        <r>
          <rPr>
            <i/>
            <sz val="14"/>
            <color rgb="FF000000"/>
            <rFont val="Times New Roman"/>
            <family val="18"/>
          </rPr>
          <t>Beurlaubt zu Krzowy in Moravia</t>
        </r>
        <r>
          <rPr>
            <sz val="14"/>
            <color rgb="FF000000"/>
            <rFont val="Times New Roman"/>
            <family val="18"/>
          </rPr>
          <t>]</t>
        </r>
        <r>
          <rPr>
            <sz val="14"/>
            <color rgb="FF000000"/>
            <rFont val="Aptos"/>
            <family val="34"/>
          </rPr>
          <t xml:space="preserve">
</t>
        </r>
        <r>
          <rPr>
            <sz val="14"/>
            <color rgb="FF000000"/>
            <rFont val="Times New Roman"/>
            <family val="18"/>
          </rPr>
          <t xml:space="preserve">1818 </t>
        </r>
        <r>
          <rPr>
            <i/>
            <sz val="14"/>
            <color rgb="FF000000"/>
            <rFont val="Times New Roman"/>
            <family val="18"/>
          </rPr>
          <t>Die Katholische Religion ausgenommen und bey der Taufe den Namen Konstantin erhalten</t>
        </r>
        <r>
          <rPr>
            <sz val="14"/>
            <color rgb="FF000000"/>
            <rFont val="Times New Roman"/>
            <family val="18"/>
          </rPr>
          <t xml:space="preserve"> [ML 1819]</t>
        </r>
        <r>
          <rPr>
            <sz val="14"/>
            <color rgb="FF000000"/>
            <rFont val="Aptos"/>
            <family val="34"/>
          </rPr>
          <t xml:space="preserve">
</t>
        </r>
        <r>
          <rPr>
            <sz val="14"/>
            <color rgb="FF000000"/>
            <rFont val="Times New Roman"/>
            <family val="18"/>
          </rPr>
          <t xml:space="preserve">11/1818 </t>
        </r>
        <r>
          <rPr>
            <i/>
            <sz val="14"/>
            <color rgb="FF000000"/>
            <rFont val="Times New Roman"/>
            <family val="18"/>
          </rPr>
          <t>Vermog Bataillon Bewilligung capuliert</t>
        </r>
        <r>
          <rPr>
            <sz val="14"/>
            <color rgb="FF000000"/>
            <rFont val="Times New Roman"/>
            <family val="18"/>
          </rPr>
          <t xml:space="preserve"> [ML 1819]</t>
        </r>
        <r>
          <rPr>
            <sz val="14"/>
            <color rgb="FF000000"/>
            <rFont val="Aptos"/>
            <family val="34"/>
          </rPr>
          <t xml:space="preserve">
</t>
        </r>
        <r>
          <rPr>
            <sz val="14"/>
            <color rgb="FF000000"/>
            <rFont val="Times New Roman"/>
            <family val="18"/>
          </rPr>
          <t>19/09/1819 Muster: FJB 12 1. Komp. Nr. 216 [</t>
        </r>
        <r>
          <rPr>
            <i/>
            <sz val="14"/>
            <color rgb="FF000000"/>
            <rFont val="Times New Roman"/>
            <family val="18"/>
          </rPr>
          <t>Beurlaubt zu Krzowy</t>
        </r>
        <r>
          <rPr>
            <sz val="14"/>
            <color rgb="FF000000"/>
            <rFont val="Times New Roman"/>
            <family val="18"/>
          </rPr>
          <t xml:space="preserve"> </t>
        </r>
        <r>
          <rPr>
            <b/>
            <sz val="14"/>
            <color rgb="FF000000"/>
            <rFont val="Times New Roman"/>
            <family val="18"/>
          </rPr>
          <t>[</t>
        </r>
        <r>
          <rPr>
            <b/>
            <u/>
            <sz val="14"/>
            <color rgb="FF467886"/>
            <rFont val="Times New Roman"/>
            <family val="18"/>
          </rPr>
          <t>Křoví, Czech Republic</t>
        </r>
        <r>
          <rPr>
            <b/>
            <sz val="14"/>
            <color rgb="FF000000"/>
            <rFont val="Times New Roman"/>
            <family val="18"/>
          </rPr>
          <t>]</t>
        </r>
        <r>
          <rPr>
            <sz val="14"/>
            <color rgb="FF000000"/>
            <rFont val="Times New Roman"/>
            <family val="18"/>
          </rPr>
          <t xml:space="preserve"> </t>
        </r>
        <r>
          <rPr>
            <i/>
            <sz val="14"/>
            <color rgb="FF000000"/>
            <rFont val="Times New Roman"/>
            <family val="18"/>
          </rPr>
          <t>in Mähren</t>
        </r>
        <r>
          <rPr>
            <sz val="14"/>
            <color rgb="FF000000"/>
            <rFont val="Times New Roman"/>
            <family val="18"/>
          </rPr>
          <t xml:space="preserve">] </t>
        </r>
        <r>
          <rPr>
            <sz val="14"/>
            <color rgb="FF000000"/>
            <rFont val="Aptos"/>
            <family val="34"/>
          </rPr>
          <t xml:space="preserve">
</t>
        </r>
        <r>
          <rPr>
            <sz val="14"/>
            <color rgb="FF000000"/>
            <rFont val="Times New Roman"/>
            <family val="18"/>
          </rPr>
          <t>12/09/1820 Muster: FJB 12 1. Komp. Nr. 211 [</t>
        </r>
        <r>
          <rPr>
            <i/>
            <sz val="14"/>
            <color rgb="FF000000"/>
            <rFont val="Times New Roman"/>
            <family val="18"/>
          </rPr>
          <t>Beurlaubt zu Krzowy</t>
        </r>
        <r>
          <rPr>
            <sz val="14"/>
            <color rgb="FF000000"/>
            <rFont val="Times New Roman"/>
            <family val="18"/>
          </rPr>
          <t xml:space="preserve"> </t>
        </r>
        <r>
          <rPr>
            <b/>
            <sz val="14"/>
            <color rgb="FF000000"/>
            <rFont val="Times New Roman"/>
            <family val="18"/>
          </rPr>
          <t>[</t>
        </r>
        <r>
          <rPr>
            <b/>
            <u/>
            <sz val="14"/>
            <color rgb="FF467886"/>
            <rFont val="Times New Roman"/>
            <family val="18"/>
          </rPr>
          <t>Křoví, Czech Republic</t>
        </r>
        <r>
          <rPr>
            <b/>
            <sz val="14"/>
            <color rgb="FF000000"/>
            <rFont val="Times New Roman"/>
            <family val="18"/>
          </rPr>
          <t>]</t>
        </r>
        <r>
          <rPr>
            <sz val="14"/>
            <color rgb="FF000000"/>
            <rFont val="Times New Roman"/>
            <family val="18"/>
          </rPr>
          <t xml:space="preserve"> </t>
        </r>
        <r>
          <rPr>
            <i/>
            <sz val="14"/>
            <color rgb="FF000000"/>
            <rFont val="Times New Roman"/>
            <family val="18"/>
          </rPr>
          <t>in Mähren</t>
        </r>
        <r>
          <rPr>
            <sz val="14"/>
            <color rgb="FF000000"/>
            <rFont val="Times New Roman"/>
            <family val="18"/>
          </rPr>
          <t xml:space="preserve">] </t>
        </r>
      </text>
    </comment>
    <comment ref="BG1429" authorId="0" shapeId="0" xr:uid="{80D7634F-ED74-A64B-B4F9-4DA3A73E79CC}">
      <text>
        <r>
          <rPr>
            <sz val="14"/>
            <color rgb="FF000000"/>
            <rFont val="Times New Roman"/>
            <family val="18"/>
          </rPr>
          <t>ML 5467 FJB 12 (1816-18) – 1. Komp. Nr. 203 (Freudenthal 24/09/1817); 1. Komp. Nr. 204 (Freudenthal 18/09/1818)</t>
        </r>
        <r>
          <rPr>
            <sz val="14"/>
            <color rgb="FF000000"/>
            <rFont val="Aptos"/>
            <family val="34"/>
          </rPr>
          <t xml:space="preserve">
</t>
        </r>
        <r>
          <rPr>
            <sz val="14"/>
            <color rgb="FF000000"/>
            <rFont val="Times New Roman"/>
            <family val="18"/>
          </rPr>
          <t>ML 5468 FJB 12 (1819/20) – 1. Komp. Nr. 216 (Jägersdorf 29/09/1819), 1. Komp. Nr. 211 (Troppau 12/09/1820)</t>
        </r>
        <r>
          <rPr>
            <sz val="14"/>
            <color rgb="FF000000"/>
            <rFont val="Aptos"/>
            <family val="34"/>
          </rPr>
          <t xml:space="preserve">
</t>
        </r>
      </text>
    </comment>
    <comment ref="BH1429" authorId="0" shapeId="0" xr:uid="{4181C925-CEC4-B244-8357-54D92B99B8B8}">
      <text>
        <r>
          <rPr>
            <sz val="14"/>
            <color rgb="FF000000"/>
            <rFont val="Calibri"/>
            <family val="34"/>
          </rPr>
          <t xml:space="preserve">IR (1813)
</t>
        </r>
        <r>
          <rPr>
            <sz val="14"/>
            <color rgb="FF000000"/>
            <rFont val="Calibri"/>
            <family val="34"/>
          </rPr>
          <t xml:space="preserve">FJB 4 (1813)
</t>
        </r>
        <r>
          <rPr>
            <sz val="14"/>
            <color rgb="FF000000"/>
            <rFont val="Calibri"/>
            <family val="34"/>
          </rPr>
          <t>FJB 12 (1813-1820)</t>
        </r>
      </text>
    </comment>
    <comment ref="CR1429" authorId="0" shapeId="0" xr:uid="{2207F4EC-83C7-A045-8037-BC1E20413DCC}">
      <text>
        <r>
          <rPr>
            <sz val="14"/>
            <color rgb="FF000000"/>
            <rFont val="Calibri"/>
            <family val="34"/>
          </rPr>
          <t xml:space="preserve">1817-1818: Jüdisch
</t>
        </r>
        <r>
          <rPr>
            <sz val="14"/>
            <color rgb="FF000000"/>
            <rFont val="Calibri"/>
            <family val="34"/>
          </rPr>
          <t>1818: Katolisch [Taufname Konstantin]</t>
        </r>
      </text>
    </comment>
    <comment ref="I1430" authorId="0" shapeId="0" xr:uid="{B89300A2-765D-9943-A97D-181DC1B1BFEE}">
      <text>
        <r>
          <rPr>
            <sz val="14"/>
            <color rgb="FF000000"/>
            <rFont val="Calibri"/>
            <family val="34"/>
          </rPr>
          <t xml:space="preserve">1774 [43 (ML 1817)]
</t>
        </r>
        <r>
          <rPr>
            <sz val="14"/>
            <color rgb="FF000000"/>
            <rFont val="Calibri"/>
            <family val="34"/>
          </rPr>
          <t xml:space="preserve">OR 
</t>
        </r>
        <r>
          <rPr>
            <sz val="14"/>
            <color rgb="FF000000"/>
            <rFont val="Calibri"/>
            <family val="34"/>
          </rPr>
          <t xml:space="preserve">1778 [41 (ML 1819)]
</t>
        </r>
        <r>
          <rPr>
            <sz val="14"/>
            <color rgb="FF000000"/>
            <rFont val="Calibri"/>
            <family val="34"/>
          </rPr>
          <t xml:space="preserve">OR
</t>
        </r>
        <r>
          <rPr>
            <b/>
            <sz val="14"/>
            <color rgb="FF000000"/>
            <rFont val="Calibri"/>
            <family val="34"/>
          </rPr>
          <t>1783 [36 (ML 1819)]</t>
        </r>
      </text>
    </comment>
    <comment ref="T1430" authorId="0" shapeId="0" xr:uid="{4B544DFA-19D2-AA4B-9858-78EA9930AA54}">
      <text>
        <r>
          <rPr>
            <b/>
            <sz val="14"/>
            <color rgb="FF000000"/>
            <rFont val="Calibri"/>
            <family val="34"/>
          </rPr>
          <t xml:space="preserve">5.4 [168.52 cm] (TL 1813/ML 1818)]
</t>
        </r>
        <r>
          <rPr>
            <sz val="14"/>
            <color rgb="FF000000"/>
            <rFont val="Calibri"/>
            <family val="34"/>
          </rPr>
          <t xml:space="preserve">5.4.2 [168.96 cm (ML 1817)]
</t>
        </r>
        <r>
          <rPr>
            <sz val="14"/>
            <color rgb="FF000000"/>
            <rFont val="Calibri"/>
            <family val="34"/>
          </rPr>
          <t>5.5.2 [171.59 cm (ML 1819)]</t>
        </r>
      </text>
    </comment>
    <comment ref="BF1430" authorId="0" shapeId="0" xr:uid="{B7442A40-1553-944F-A897-A132EDD92A53}">
      <text>
        <r>
          <rPr>
            <sz val="14"/>
            <color rgb="FF000000"/>
            <rFont val="Times New Roman"/>
            <family val="18"/>
          </rPr>
          <t xml:space="preserve">06/07/1813 </t>
        </r>
        <r>
          <rPr>
            <i/>
            <sz val="14"/>
            <color rgb="FF000000"/>
            <rFont val="Times New Roman"/>
            <family val="18"/>
          </rPr>
          <t xml:space="preserve">Von Reserve der IR 1 präsentiert und darrselbe Tag zum k.k. Handlanger Korps transferiert </t>
        </r>
        <r>
          <rPr>
            <sz val="14"/>
            <color rgb="FF000000"/>
            <rFont val="Times New Roman"/>
            <family val="18"/>
          </rPr>
          <t>[PL Oct 1813 &amp; TL Nov 1813]</t>
        </r>
        <r>
          <rPr>
            <sz val="14"/>
            <color rgb="FF000000"/>
            <rFont val="Calibri"/>
            <family val="34"/>
          </rPr>
          <t xml:space="preserve">
</t>
        </r>
        <r>
          <rPr>
            <sz val="14"/>
            <color rgb="FF000000"/>
            <rFont val="Times New Roman"/>
            <family val="18"/>
          </rPr>
          <t xml:space="preserve">01/09/1816 </t>
        </r>
        <r>
          <rPr>
            <i/>
            <sz val="14"/>
            <color rgb="FF000000"/>
            <rFont val="Times New Roman"/>
            <family val="18"/>
          </rPr>
          <t xml:space="preserve">Zu Folge hoher General Militair Verordnung dtto Brünn am 23, August 816 R 9428 von dem aufgelösten Artillerie Handlanger Corps zum IR 1 transferiert und bei der 1. Fus. Komp zugeheilt </t>
        </r>
        <r>
          <rPr>
            <sz val="14"/>
            <color rgb="FF000000"/>
            <rFont val="Times New Roman"/>
            <family val="18"/>
          </rPr>
          <t xml:space="preserve"> [ML 1817 &amp; ST Sept 1816]</t>
        </r>
        <r>
          <rPr>
            <sz val="14"/>
            <color rgb="FF000000"/>
            <rFont val="Calibri"/>
            <family val="34"/>
          </rPr>
          <t xml:space="preserve">
</t>
        </r>
        <r>
          <rPr>
            <sz val="14"/>
            <color rgb="FF000000"/>
            <rFont val="Times New Roman"/>
            <family val="18"/>
          </rPr>
          <t xml:space="preserve">16/09/1816 </t>
        </r>
        <r>
          <rPr>
            <i/>
            <sz val="14"/>
            <color rgb="FF000000"/>
            <rFont val="Times New Roman"/>
            <family val="18"/>
          </rPr>
          <t>Beurlaubt bis zur Einberufung</t>
        </r>
        <r>
          <rPr>
            <sz val="14"/>
            <color rgb="FF000000"/>
            <rFont val="Times New Roman"/>
            <family val="18"/>
          </rPr>
          <t xml:space="preserve"> [ST Sept 1816]</t>
        </r>
        <r>
          <rPr>
            <sz val="14"/>
            <color rgb="FF000000"/>
            <rFont val="Calibri"/>
            <family val="34"/>
          </rPr>
          <t xml:space="preserve">
</t>
        </r>
        <r>
          <rPr>
            <sz val="14"/>
            <color rgb="FF000000"/>
            <rFont val="Times New Roman"/>
            <family val="18"/>
          </rPr>
          <t>24/09/1817 Muster: IR 1 17. Fus. Komp. Nr. 167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21/09/1818 Muster: IR 1 17. Fus. Komp. Nr. 26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24/05/1819 </t>
        </r>
        <r>
          <rPr>
            <i/>
            <sz val="14"/>
            <color rgb="FF000000"/>
            <rFont val="Times New Roman"/>
            <family val="18"/>
          </rPr>
          <t>Von unbestimmte Urlaub eingerückt</t>
        </r>
        <r>
          <rPr>
            <sz val="14"/>
            <color rgb="FF000000"/>
            <rFont val="Times New Roman"/>
            <family val="18"/>
          </rPr>
          <t xml:space="preserve"> [ST May 1819]</t>
        </r>
        <r>
          <rPr>
            <sz val="14"/>
            <color rgb="FF000000"/>
            <rFont val="Calibri"/>
            <family val="34"/>
          </rPr>
          <t xml:space="preserve">
</t>
        </r>
        <r>
          <rPr>
            <sz val="14"/>
            <color rgb="FF000000"/>
            <rFont val="Times New Roman"/>
            <family val="18"/>
          </rPr>
          <t xml:space="preserve">26/05/1819 </t>
        </r>
        <r>
          <rPr>
            <i/>
            <sz val="14"/>
            <color rgb="FF000000"/>
            <rFont val="Times New Roman"/>
            <family val="18"/>
          </rPr>
          <t>Von 17. zum 6. Fus. Komp. transferiert und wieder bis zur Einberufung beurluabt</t>
        </r>
        <r>
          <rPr>
            <sz val="14"/>
            <color rgb="FF000000"/>
            <rFont val="Times New Roman"/>
            <family val="18"/>
          </rPr>
          <t xml:space="preserve"> [ML 1819]</t>
        </r>
        <r>
          <rPr>
            <sz val="14"/>
            <color rgb="FF000000"/>
            <rFont val="Calibri"/>
            <family val="34"/>
          </rPr>
          <t xml:space="preserve">
</t>
        </r>
        <r>
          <rPr>
            <sz val="14"/>
            <color rgb="FF000000"/>
            <rFont val="Times New Roman"/>
            <family val="18"/>
          </rPr>
          <t>14/09/1819 Muster: IR 1 6. Fus. Komp. Nr. 257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6. zum 15.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15. Fus Komp</t>
        </r>
        <r>
          <rPr>
            <sz val="14"/>
            <color rgb="FF000000"/>
            <rFont val="Times New Roman"/>
            <family val="18"/>
          </rPr>
          <t xml:space="preserve"> [ST Oct 1820]</t>
        </r>
      </text>
    </comment>
    <comment ref="BG1430" authorId="0" shapeId="0" xr:uid="{EC3DA4DF-4D07-3A4C-B6EC-B8091EB7BDA5}">
      <text>
        <r>
          <rPr>
            <sz val="14"/>
            <color rgb="FF000000"/>
            <rFont val="Times New Roman"/>
            <family val="18"/>
          </rPr>
          <t>ML 34/5 IR 1 (1817) – IR 1 17. Fus. Komp. Nr. 167 (Proßnitz 24/09/1817)</t>
        </r>
        <r>
          <rPr>
            <sz val="14"/>
            <color rgb="FF000000"/>
            <rFont val="Calibri"/>
            <family val="34"/>
          </rPr>
          <t xml:space="preserve">
</t>
        </r>
        <r>
          <rPr>
            <sz val="14"/>
            <color rgb="FF000000"/>
            <rFont val="Times New Roman"/>
            <family val="18"/>
          </rPr>
          <t>ML 36/7 IR 1 (1818) – IR 1 17. Fus. Komp. Nr. 26 (Proßnitz 21/09/1818)</t>
        </r>
        <r>
          <rPr>
            <sz val="14"/>
            <color rgb="FF000000"/>
            <rFont val="Calibri"/>
            <family val="34"/>
          </rPr>
          <t xml:space="preserve">
</t>
        </r>
        <r>
          <rPr>
            <sz val="14"/>
            <color rgb="FF000000"/>
            <rFont val="Times New Roman"/>
            <family val="18"/>
          </rPr>
          <t>ML 38/9 IR 1 (1819) – IR 1 6. Fus. Komp. 260 (Olmütz 14/09/1819)</t>
        </r>
        <r>
          <rPr>
            <sz val="14"/>
            <color rgb="FF000000"/>
            <rFont val="Calibri"/>
            <family val="34"/>
          </rPr>
          <t xml:space="preserve">
</t>
        </r>
        <r>
          <rPr>
            <sz val="14"/>
            <color rgb="FF000000"/>
            <rFont val="Times New Roman"/>
            <family val="18"/>
          </rPr>
          <t>ML 99 IR 1 (1813) – PL ST (Proßnitz 05/02/1814)</t>
        </r>
        <r>
          <rPr>
            <sz val="14"/>
            <color rgb="FF000000"/>
            <rFont val="Calibri"/>
            <family val="34"/>
          </rPr>
          <t xml:space="preserve">
</t>
        </r>
        <r>
          <rPr>
            <sz val="14"/>
            <color rgb="FF000000"/>
            <rFont val="Times New Roman"/>
            <family val="18"/>
          </rPr>
          <t>ML 101 IR 1 (1813) AL/TL VII-XII – PL Nr. 17 (Olmütz 20/10/1813), TL IR 1-&gt;ArtHandK Nr. 20 (Proßnitz 10/11/1813)</t>
        </r>
        <r>
          <rPr>
            <sz val="14"/>
            <color rgb="FF000000"/>
            <rFont val="Calibri"/>
            <family val="34"/>
          </rPr>
          <t xml:space="preserve">
</t>
        </r>
        <r>
          <rPr>
            <sz val="14"/>
            <color rgb="FF000000"/>
            <rFont val="Times New Roman"/>
            <family val="18"/>
          </rPr>
          <t>ML 107 IR 1 (1816) – ST Sept (Brünn 25/11/1816)</t>
        </r>
        <r>
          <rPr>
            <sz val="14"/>
            <color rgb="FF000000"/>
            <rFont val="Calibri"/>
            <family val="34"/>
          </rPr>
          <t xml:space="preserve">
</t>
        </r>
        <r>
          <rPr>
            <sz val="14"/>
            <color rgb="FF000000"/>
            <rFont val="Times New Roman"/>
            <family val="18"/>
          </rPr>
          <t>ML 113 IR 1 (1819) – ST May (Cremsier 24/06/1819)</t>
        </r>
        <r>
          <rPr>
            <sz val="14"/>
            <color rgb="FF000000"/>
            <rFont val="Calibri"/>
            <family val="34"/>
          </rPr>
          <t xml:space="preserve">
</t>
        </r>
        <r>
          <rPr>
            <sz val="14"/>
            <color rgb="FF000000"/>
            <rFont val="Times New Roman"/>
            <family val="18"/>
          </rPr>
          <t>ML 115 IR 1 (1820) – ST Aug (Cremsier 15/11/1820), Oct (15/01/1820)</t>
        </r>
        <r>
          <rPr>
            <sz val="14"/>
            <color rgb="FF000000"/>
            <rFont val="Calibri"/>
            <family val="34"/>
          </rPr>
          <t xml:space="preserve">
</t>
        </r>
      </text>
    </comment>
    <comment ref="BH1430" authorId="0" shapeId="0" xr:uid="{8DC8B5E3-EDA6-0F48-A8AB-F29A35AD1C55}">
      <text>
        <r>
          <rPr>
            <sz val="14"/>
            <color rgb="FF000000"/>
            <rFont val="Calibri"/>
            <family val="34"/>
          </rPr>
          <t xml:space="preserve">IR 1 (1813)
</t>
        </r>
        <r>
          <rPr>
            <sz val="14"/>
            <color rgb="FF000000"/>
            <rFont val="Calibri"/>
            <family val="34"/>
          </rPr>
          <t xml:space="preserve">ArtHandK (1813-1816)
</t>
        </r>
        <r>
          <rPr>
            <sz val="14"/>
            <color rgb="FF000000"/>
            <rFont val="Calibri"/>
            <family val="34"/>
          </rPr>
          <t>IR 1 (1816-1820)</t>
        </r>
      </text>
    </comment>
    <comment ref="CR1430" authorId="0" shapeId="0" xr:uid="{20BEB33E-2A82-8C47-800D-3CFC975270BB}">
      <text>
        <r>
          <rPr>
            <sz val="14"/>
            <color rgb="FF000000"/>
            <rFont val="Calibri"/>
            <family val="34"/>
          </rPr>
          <t xml:space="preserve">1813-1818: Jüdisch
</t>
        </r>
        <r>
          <rPr>
            <sz val="14"/>
            <color rgb="FF000000"/>
            <rFont val="Calibri"/>
            <family val="34"/>
          </rPr>
          <t xml:space="preserve">1819: detto 'Katolisch' </t>
        </r>
      </text>
    </comment>
    <comment ref="BF1431" authorId="0" shapeId="0" xr:uid="{E70B390B-10B5-3B4E-91DF-576921B652A7}">
      <text>
        <r>
          <rPr>
            <sz val="14"/>
            <color rgb="FF000000"/>
            <rFont val="Times New Roman"/>
            <family val="18"/>
          </rPr>
          <t xml:space="preserve">06/07/1813 </t>
        </r>
        <r>
          <rPr>
            <i/>
            <sz val="14"/>
            <color rgb="FF000000"/>
            <rFont val="Times New Roman"/>
            <family val="18"/>
          </rPr>
          <t>Zu Brünn präsentiert und zum 1. Landwehr Komp. eigeteilt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01/08/1813 </t>
        </r>
        <r>
          <rPr>
            <i/>
            <sz val="14"/>
            <color rgb="FF000000"/>
            <rFont val="Times New Roman"/>
            <family val="18"/>
          </rPr>
          <t>Von 1. zum 5. Landwehr Komp transferiert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01/11/1814 </t>
        </r>
        <r>
          <rPr>
            <i/>
            <sz val="14"/>
            <color rgb="FF000000"/>
            <rFont val="Times New Roman"/>
            <family val="18"/>
          </rPr>
          <t>Beurlaubt</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27/04/1815 </t>
        </r>
        <r>
          <rPr>
            <i/>
            <sz val="14"/>
            <color rgb="FF000000"/>
            <rFont val="Times New Roman"/>
            <family val="18"/>
          </rPr>
          <t>Von Unbestimmte Urlaub zurück</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16/09/1815 </t>
        </r>
        <r>
          <rPr>
            <i/>
            <sz val="14"/>
            <color rgb="FF000000"/>
            <rFont val="Times New Roman"/>
            <family val="18"/>
          </rPr>
          <t>Bis zur Einberufung beurlaubt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29/02/1816 </t>
        </r>
        <r>
          <rPr>
            <i/>
            <sz val="14"/>
            <color rgb="FF000000"/>
            <rFont val="Times New Roman"/>
            <family val="18"/>
          </rPr>
          <t xml:space="preserve">Zu Folge hoher General Commando Verordnung ddeto Brünn von 1. Februar a:d: copia R 1154 mit der ferner Widmung zur Landwehr mit Landwehr Karte von unbestimmte Urlaub entlassen </t>
        </r>
        <r>
          <rPr>
            <sz val="14"/>
            <color rgb="FF000000"/>
            <rFont val="Times New Roman"/>
            <family val="18"/>
          </rPr>
          <t>[ST March 1816]</t>
        </r>
      </text>
    </comment>
    <comment ref="BG1431" authorId="0" shapeId="0" xr:uid="{B6DDE56C-2F4E-5741-A950-2835AF07782B}">
      <text>
        <r>
          <rPr>
            <sz val="14"/>
            <color rgb="FF000000"/>
            <rFont val="Times New Roman"/>
            <family val="18"/>
          </rPr>
          <t>ML 99 IR 1 (1813) – ST July (Proßnitz 12/12/1813)</t>
        </r>
        <r>
          <rPr>
            <sz val="14"/>
            <color rgb="FF000000"/>
            <rFont val="Calibri"/>
            <family val="34"/>
          </rPr>
          <t xml:space="preserve">
</t>
        </r>
        <r>
          <rPr>
            <sz val="14"/>
            <color rgb="FF000000"/>
            <rFont val="Times New Roman"/>
            <family val="18"/>
          </rPr>
          <t>ML 105 IR 1 (1815) – ST April (Proßnitz 15/09/1815), Sept (Proßnitz 18/02/1816)</t>
        </r>
        <r>
          <rPr>
            <sz val="14"/>
            <color rgb="FF000000"/>
            <rFont val="Calibri"/>
            <family val="34"/>
          </rPr>
          <t xml:space="preserve">
</t>
        </r>
        <r>
          <rPr>
            <sz val="14"/>
            <color rgb="FF000000"/>
            <rFont val="Times New Roman"/>
            <family val="18"/>
          </rPr>
          <t>ML 107 IR 1 (1816) – ST March (Proßnitz 10/05/1816)</t>
        </r>
        <r>
          <rPr>
            <sz val="14"/>
            <color rgb="FF000000"/>
            <rFont val="Calibri"/>
            <family val="34"/>
          </rPr>
          <t xml:space="preserve">
</t>
        </r>
      </text>
    </comment>
    <comment ref="BH1431" authorId="0" shapeId="0" xr:uid="{DB8792C2-CAE8-4A42-A3AF-49DB608446EF}">
      <text>
        <r>
          <rPr>
            <sz val="14"/>
            <color rgb="FF000000"/>
            <rFont val="Calibri"/>
            <family val="34"/>
          </rPr>
          <t>IR 1 [Landwehr] (1813-1816)</t>
        </r>
      </text>
    </comment>
    <comment ref="BF1432" authorId="0" shapeId="0" xr:uid="{2E9E0EDE-D21C-2B4C-B030-CF4F515C84FA}">
      <text>
        <r>
          <rPr>
            <sz val="14"/>
            <color rgb="FF000000"/>
            <rFont val="Times New Roman"/>
            <family val="18"/>
          </rPr>
          <t xml:space="preserve">06/07/1813 </t>
        </r>
        <r>
          <rPr>
            <i/>
            <sz val="14"/>
            <color rgb="FF000000"/>
            <rFont val="Times New Roman"/>
            <family val="18"/>
          </rPr>
          <t>Zu Brünn präsentiert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06/09/1814 </t>
        </r>
        <r>
          <rPr>
            <i/>
            <sz val="14"/>
            <color rgb="FF000000"/>
            <rFont val="Times New Roman"/>
            <family val="18"/>
          </rPr>
          <t>Beurlaubt bis zur Einberufung</t>
        </r>
        <r>
          <rPr>
            <sz val="14"/>
            <color rgb="FF000000"/>
            <rFont val="Times New Roman"/>
            <family val="18"/>
          </rPr>
          <t xml:space="preserve"> [ST Sept 1814]</t>
        </r>
        <r>
          <rPr>
            <sz val="14"/>
            <color rgb="FF000000"/>
            <rFont val="Calibri"/>
            <family val="34"/>
          </rPr>
          <t xml:space="preserve">
</t>
        </r>
        <r>
          <rPr>
            <sz val="14"/>
            <color rgb="FF000000"/>
            <rFont val="Times New Roman"/>
            <family val="18"/>
          </rPr>
          <t xml:space="preserve">30/03/1815 </t>
        </r>
        <r>
          <rPr>
            <i/>
            <sz val="14"/>
            <color rgb="FF000000"/>
            <rFont val="Times New Roman"/>
            <family val="18"/>
          </rPr>
          <t>Von unbestimmte Urlaub zurück</t>
        </r>
        <r>
          <rPr>
            <sz val="14"/>
            <color rgb="FF000000"/>
            <rFont val="Times New Roman"/>
            <family val="18"/>
          </rPr>
          <t xml:space="preserve"> [ST April 1814]</t>
        </r>
        <r>
          <rPr>
            <sz val="14"/>
            <color rgb="FF000000"/>
            <rFont val="Calibri"/>
            <family val="34"/>
          </rPr>
          <t xml:space="preserve">
</t>
        </r>
        <r>
          <rPr>
            <sz val="14"/>
            <color rgb="FF000000"/>
            <rFont val="Times New Roman"/>
            <family val="18"/>
          </rPr>
          <t xml:space="preserve">15/04/1815 </t>
        </r>
        <r>
          <rPr>
            <i/>
            <sz val="14"/>
            <color rgb="FF000000"/>
            <rFont val="Times New Roman"/>
            <family val="18"/>
          </rPr>
          <t>Krank zu Obrowitz</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01/11/1815 </t>
        </r>
        <r>
          <rPr>
            <i/>
            <sz val="14"/>
            <color rgb="FF000000"/>
            <rFont val="Times New Roman"/>
            <family val="18"/>
          </rPr>
          <t>Rekonvalesziert</t>
        </r>
        <r>
          <rPr>
            <sz val="14"/>
            <color rgb="FF000000"/>
            <rFont val="Times New Roman"/>
            <family val="18"/>
          </rPr>
          <t xml:space="preserve"> [ST Nov 1815]</t>
        </r>
        <r>
          <rPr>
            <sz val="14"/>
            <color rgb="FF000000"/>
            <rFont val="Calibri"/>
            <family val="34"/>
          </rPr>
          <t xml:space="preserve">
</t>
        </r>
        <r>
          <rPr>
            <sz val="14"/>
            <color rgb="FF000000"/>
            <rFont val="Times New Roman"/>
            <family val="18"/>
          </rPr>
          <t xml:space="preserve">11/12/1815 </t>
        </r>
        <r>
          <rPr>
            <i/>
            <sz val="14"/>
            <color rgb="FF000000"/>
            <rFont val="Times New Roman"/>
            <family val="18"/>
          </rPr>
          <t>Beurlaubt bis zur Einberufung</t>
        </r>
        <r>
          <rPr>
            <sz val="14"/>
            <color rgb="FF000000"/>
            <rFont val="Times New Roman"/>
            <family val="18"/>
          </rPr>
          <t xml:space="preserve"> [ST Dec 1815]</t>
        </r>
        <r>
          <rPr>
            <sz val="14"/>
            <color rgb="FF000000"/>
            <rFont val="Calibri"/>
            <family val="34"/>
          </rPr>
          <t xml:space="preserve">
</t>
        </r>
        <r>
          <rPr>
            <sz val="14"/>
            <color rgb="FF000000"/>
            <rFont val="Times New Roman"/>
            <family val="18"/>
          </rPr>
          <t xml:space="preserve">29/02/1816 </t>
        </r>
        <r>
          <rPr>
            <i/>
            <sz val="14"/>
            <color rgb="FF000000"/>
            <rFont val="Times New Roman"/>
            <family val="18"/>
          </rPr>
          <t xml:space="preserve">Zu Folge hoher General Commando Verordnung ddeto Brünn von 1. Februar a:d: copia R 1154 mit der ferner Widmung zur Landwehr mit Landwehr Karte von unbestimmte Urlaub entlassen </t>
        </r>
        <r>
          <rPr>
            <sz val="14"/>
            <color rgb="FF000000"/>
            <rFont val="Times New Roman"/>
            <family val="18"/>
          </rPr>
          <t>[ST March 1816]</t>
        </r>
        <r>
          <rPr>
            <sz val="14"/>
            <color rgb="FF000000"/>
            <rFont val="Calibri"/>
            <family val="2"/>
          </rPr>
          <t xml:space="preserve"> </t>
        </r>
      </text>
    </comment>
    <comment ref="BG1432" authorId="0" shapeId="0" xr:uid="{51BDD493-118F-B44D-BC9C-8A964849BEC5}">
      <text>
        <r>
          <rPr>
            <sz val="14"/>
            <color rgb="FF000000"/>
            <rFont val="Times New Roman"/>
            <family val="18"/>
          </rPr>
          <t>ML 99 IR 1 (1813) – ST July (Proßnitz 12/12/1813)</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Sept (Proßnitz 17/04/1815)</t>
        </r>
        <r>
          <rPr>
            <sz val="14"/>
            <color rgb="FF000000"/>
            <rFont val="Calibri"/>
            <family val="34"/>
          </rPr>
          <t xml:space="preserve">
</t>
        </r>
        <r>
          <rPr>
            <sz val="14"/>
            <color rgb="FF000000"/>
            <rFont val="Times New Roman"/>
            <family val="18"/>
          </rPr>
          <t>ML 105 IR 1 (1815) – ST April (Proßnitz 15/09/1815), Nov (Proßnitz 15/03/1816), Dec (Proßnitz 27/03/1816)</t>
        </r>
        <r>
          <rPr>
            <sz val="14"/>
            <color rgb="FF000000"/>
            <rFont val="Calibri"/>
            <family val="34"/>
          </rPr>
          <t xml:space="preserve">
</t>
        </r>
        <r>
          <rPr>
            <sz val="14"/>
            <color rgb="FF000000"/>
            <rFont val="Times New Roman"/>
            <family val="18"/>
          </rPr>
          <t>ML 107 IR 1 (1816) – ST March (Proßnitz 10/05/1816)</t>
        </r>
        <r>
          <rPr>
            <sz val="14"/>
            <color rgb="FF000000"/>
            <rFont val="Calibri"/>
            <family val="34"/>
          </rPr>
          <t xml:space="preserve">
</t>
        </r>
      </text>
    </comment>
    <comment ref="BH1432" authorId="0" shapeId="0" xr:uid="{16C5B7B6-7C54-404A-A6D0-F60BD77C024C}">
      <text>
        <r>
          <rPr>
            <sz val="14"/>
            <color rgb="FF000000"/>
            <rFont val="Calibri"/>
            <family val="34"/>
          </rPr>
          <t>IR 1 [Landwehr] (1813-1816)</t>
        </r>
      </text>
    </comment>
    <comment ref="BF1433" authorId="0" shapeId="0" xr:uid="{81E4FA33-4DFE-334E-B72D-14B29003EE1E}">
      <text>
        <r>
          <rPr>
            <sz val="14"/>
            <color rgb="FF000000"/>
            <rFont val="Times New Roman"/>
            <family val="18"/>
          </rPr>
          <t xml:space="preserve">06/07/1813 </t>
        </r>
        <r>
          <rPr>
            <i/>
            <sz val="14"/>
            <color rgb="FF000000"/>
            <rFont val="Times New Roman"/>
            <family val="18"/>
          </rPr>
          <t>Zu Brünn präsentiert und zum 1. Landwehr Komp. eigeteilt</t>
        </r>
        <r>
          <rPr>
            <sz val="14"/>
            <color rgb="FF000000"/>
            <rFont val="Times New Roman"/>
            <family val="18"/>
          </rPr>
          <t xml:space="preserve"> [ST July 1813]
</t>
        </r>
        <r>
          <rPr>
            <sz val="14"/>
            <color rgb="FF000000"/>
            <rFont val="Times New Roman"/>
            <family val="18"/>
          </rPr>
          <t xml:space="preserve">01/08/1813 </t>
        </r>
        <r>
          <rPr>
            <i/>
            <sz val="14"/>
            <color rgb="FF000000"/>
            <rFont val="Times New Roman"/>
            <family val="18"/>
          </rPr>
          <t>Von 1. zum 5. Landwehr Komp transferiert</t>
        </r>
        <r>
          <rPr>
            <sz val="14"/>
            <color rgb="FF000000"/>
            <rFont val="Times New Roman"/>
            <family val="18"/>
          </rPr>
          <t xml:space="preserve"> [ST July 1813]
</t>
        </r>
        <r>
          <rPr>
            <sz val="14"/>
            <color rgb="FF000000"/>
            <rFont val="Times New Roman"/>
            <family val="18"/>
          </rPr>
          <t xml:space="preserve">01/09/1813 </t>
        </r>
        <r>
          <rPr>
            <i/>
            <sz val="14"/>
            <color rgb="FF000000"/>
            <rFont val="Times New Roman"/>
            <family val="18"/>
          </rPr>
          <t>Krank zu Kloster Hradisch</t>
        </r>
        <r>
          <rPr>
            <sz val="14"/>
            <color rgb="FF000000"/>
            <rFont val="Times New Roman"/>
            <family val="18"/>
          </rPr>
          <t xml:space="preserve"> [ST Sept 1813]
</t>
        </r>
        <r>
          <rPr>
            <sz val="14"/>
            <color rgb="FF000000"/>
            <rFont val="Times New Roman"/>
            <family val="18"/>
          </rPr>
          <t xml:space="preserve">25/10/1813 </t>
        </r>
        <r>
          <rPr>
            <i/>
            <sz val="14"/>
            <color rgb="FF000000"/>
            <rFont val="Times New Roman"/>
            <family val="18"/>
          </rPr>
          <t>Rekonvalesziert</t>
        </r>
        <r>
          <rPr>
            <sz val="14"/>
            <color rgb="FF000000"/>
            <rFont val="Times New Roman"/>
            <family val="18"/>
          </rPr>
          <t xml:space="preserve"> [ST Oct 1813
</t>
        </r>
        <r>
          <rPr>
            <sz val="14"/>
            <color rgb="FF000000"/>
            <rFont val="Times New Roman"/>
            <family val="18"/>
          </rPr>
          <t xml:space="preserve">01/12/1813 </t>
        </r>
        <r>
          <rPr>
            <i/>
            <sz val="14"/>
            <color rgb="FF000000"/>
            <rFont val="Times New Roman"/>
            <family val="18"/>
          </rPr>
          <t>Von 5. zum 6. Landwehr Komp. transferiert</t>
        </r>
        <r>
          <rPr>
            <sz val="14"/>
            <color rgb="FF000000"/>
            <rFont val="Times New Roman"/>
            <family val="18"/>
          </rPr>
          <t xml:space="preserve"> [ST Dec 1813]
</t>
        </r>
        <r>
          <rPr>
            <i/>
            <sz val="14"/>
            <color rgb="FFFF0000"/>
            <rFont val="Times New Roman"/>
            <family val="18"/>
          </rPr>
          <t>Dient 4 Monaten</t>
        </r>
        <r>
          <rPr>
            <sz val="14"/>
            <color rgb="FFFF0000"/>
            <rFont val="Times New Roman"/>
            <family val="18"/>
          </rPr>
          <t xml:space="preserve"> [SUP March 1813]</t>
        </r>
        <r>
          <rPr>
            <sz val="14"/>
            <color rgb="FF000000"/>
            <rFont val="Times New Roman"/>
            <family val="18"/>
          </rPr>
          <t xml:space="preserve">
</t>
        </r>
        <r>
          <rPr>
            <sz val="14"/>
            <color rgb="FF000000"/>
            <rFont val="Times New Roman"/>
            <family val="18"/>
          </rPr>
          <t xml:space="preserve">24/03/1813 </t>
        </r>
        <r>
          <rPr>
            <i/>
            <sz val="14"/>
            <color rgb="FF000000"/>
            <rFont val="Times New Roman"/>
            <family val="18"/>
          </rPr>
          <t>In Olmütz superarbitriert</t>
        </r>
        <r>
          <rPr>
            <sz val="14"/>
            <color rgb="FF000000"/>
            <rFont val="Times New Roman"/>
            <family val="18"/>
          </rPr>
          <t xml:space="preserve">: Nach assentieren ohne Verschulde: Sind alle mittel Fruchtlos angewendet worden: Reale Invalid gegen Renuncierung zu Vormaligen, die amtlichen Unterhalt Zeugnis liegt hier dabei [SUP March 1815]
</t>
        </r>
        <r>
          <rPr>
            <sz val="14"/>
            <color rgb="FF000000"/>
            <rFont val="Times New Roman"/>
            <family val="18"/>
          </rPr>
          <t xml:space="preserve">25/04/1814 </t>
        </r>
        <r>
          <rPr>
            <i/>
            <sz val="14"/>
            <color rgb="FF000000"/>
            <rFont val="Times New Roman"/>
            <family val="18"/>
          </rPr>
          <t>Vermog h:M:Commando ddo Brünn und am 15. d.M.. R. 5710 und der mit selber unter 24. zu Olmütz zugehaltenen hoher Superarbietrerung als real Invalid mit Abschied entlassen</t>
        </r>
        <r>
          <rPr>
            <sz val="14"/>
            <color rgb="FF000000"/>
            <rFont val="Times New Roman"/>
            <family val="18"/>
          </rPr>
          <t xml:space="preserve"> [ST April 1814] </t>
        </r>
      </text>
    </comment>
    <comment ref="BG1433" authorId="0" shapeId="0" xr:uid="{B1DBF506-33F7-8746-83CF-8CF141A08B6F}">
      <text>
        <r>
          <rPr>
            <sz val="14"/>
            <color rgb="FF000000"/>
            <rFont val="Times New Roman"/>
            <family val="18"/>
          </rPr>
          <t>ML 99 IR 1 (1813) – ST LW July-Aug (Proßnitz 12/12/1813), ST Sept (Proßnitz 15/02/1814), ST Oct (Proßnitz 15/03/1814), Dec (Proßnitz 20/05/1814)</t>
        </r>
        <r>
          <rPr>
            <sz val="14"/>
            <color rgb="FF000000"/>
            <rFont val="Calibri"/>
            <family val="34"/>
          </rPr>
          <t xml:space="preserve">
</t>
        </r>
        <r>
          <rPr>
            <sz val="14"/>
            <color rgb="FF000000"/>
            <rFont val="Times New Roman"/>
            <family val="18"/>
          </rPr>
          <t>ML 102 IR 1 (1814) – ST April (Proßnitz 30/09/1814)</t>
        </r>
        <r>
          <rPr>
            <sz val="14"/>
            <color rgb="FF000000"/>
            <rFont val="Calibri"/>
            <family val="34"/>
          </rPr>
          <t xml:space="preserve">
</t>
        </r>
        <r>
          <rPr>
            <sz val="14"/>
            <color rgb="FF000000"/>
            <rFont val="Times New Roman"/>
            <family val="18"/>
          </rPr>
          <t>ML 104 IR 1 (1814) AL/TL – SUP Nr. 2 (Proßnitz 15/03/1814)</t>
        </r>
      </text>
    </comment>
    <comment ref="BH1433" authorId="0" shapeId="0" xr:uid="{C4F0A063-5E05-4B44-AEF5-DC300170610B}">
      <text>
        <r>
          <rPr>
            <sz val="14"/>
            <color rgb="FF000000"/>
            <rFont val="Calibri"/>
            <family val="34"/>
          </rPr>
          <t>IR 1 [Landwehr] (1813-1814)</t>
        </r>
      </text>
    </comment>
    <comment ref="BI1433" authorId="0" shapeId="0" xr:uid="{10C0AB82-2843-2442-914C-AE749F6C394A}">
      <text>
        <r>
          <rPr>
            <i/>
            <sz val="14"/>
            <color rgb="FF000000"/>
            <rFont val="Times New Roman"/>
            <family val="18"/>
          </rPr>
          <t>Gut</t>
        </r>
        <r>
          <rPr>
            <sz val="14"/>
            <color rgb="FF000000"/>
            <rFont val="Times New Roman"/>
            <family val="18"/>
          </rPr>
          <t xml:space="preserve"> [SUP March 1814]</t>
        </r>
        <r>
          <rPr>
            <sz val="14"/>
            <color rgb="FF000000"/>
            <rFont val="Calibri"/>
            <family val="2"/>
          </rPr>
          <t xml:space="preserve"> </t>
        </r>
      </text>
    </comment>
    <comment ref="BF1434" authorId="0" shapeId="0" xr:uid="{9DED17EE-DD31-9841-8398-069912E4B4B7}">
      <text>
        <r>
          <rPr>
            <sz val="14"/>
            <color rgb="FF000000"/>
            <rFont val="Times New Roman"/>
            <family val="18"/>
          </rPr>
          <t xml:space="preserve">07/07/1813 </t>
        </r>
        <r>
          <rPr>
            <i/>
            <sz val="14"/>
            <color rgb="FF000000"/>
            <rFont val="Times New Roman"/>
            <family val="18"/>
          </rPr>
          <t>Zu Brünn präsentiert und zum 2. Landwehr Komp. eigeteilt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27/07/1813 </t>
        </r>
        <r>
          <rPr>
            <i/>
            <sz val="14"/>
            <color rgb="FF000000"/>
            <rFont val="Times New Roman"/>
            <family val="18"/>
          </rPr>
          <t>Krank in Kaiser Infant Bataillon Spital</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01/08/1813 </t>
        </r>
        <r>
          <rPr>
            <i/>
            <sz val="14"/>
            <color rgb="FF000000"/>
            <rFont val="Times New Roman"/>
            <family val="18"/>
          </rPr>
          <t>Von 1. zum 6. Landwehr Komp transferiert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06/08/1813 </t>
        </r>
        <r>
          <rPr>
            <i/>
            <sz val="14"/>
            <color rgb="FF000000"/>
            <rFont val="Times New Roman"/>
            <family val="18"/>
          </rPr>
          <t xml:space="preserve">Rekonvalesziert </t>
        </r>
        <r>
          <rPr>
            <sz val="14"/>
            <color rgb="FF000000"/>
            <rFont val="Times New Roman"/>
            <family val="18"/>
          </rPr>
          <t>[ST July 1813]</t>
        </r>
        <r>
          <rPr>
            <sz val="14"/>
            <color rgb="FF000000"/>
            <rFont val="Calibri"/>
            <family val="34"/>
          </rPr>
          <t xml:space="preserve">
</t>
        </r>
        <r>
          <rPr>
            <sz val="14"/>
            <color rgb="FF000000"/>
            <rFont val="Times New Roman"/>
            <family val="18"/>
          </rPr>
          <t xml:space="preserve">09/06/1814 </t>
        </r>
        <r>
          <rPr>
            <i/>
            <sz val="14"/>
            <color rgb="FF000000"/>
            <rFont val="Times New Roman"/>
            <family val="18"/>
          </rPr>
          <t>Beurlaubt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23/04/1815 </t>
        </r>
        <r>
          <rPr>
            <i/>
            <sz val="14"/>
            <color rgb="FF000000"/>
            <rFont val="Times New Roman"/>
            <family val="18"/>
          </rPr>
          <t>Von Unbestimmte Urlaub zurück</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16/09/1815 </t>
        </r>
        <r>
          <rPr>
            <i/>
            <sz val="14"/>
            <color rgb="FF000000"/>
            <rFont val="Times New Roman"/>
            <family val="18"/>
          </rPr>
          <t>Bis zur Einberufung beurlaubt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29/02/1816 </t>
        </r>
        <r>
          <rPr>
            <i/>
            <sz val="14"/>
            <color rgb="FF000000"/>
            <rFont val="Times New Roman"/>
            <family val="18"/>
          </rPr>
          <t xml:space="preserve">Zu Folge hoher General Commando Verordnung ddeto Brünn von 1. Februar a:d: copia R 1154 mit der ferner Widmung zur Landwehr mit Landwehr Karte von unbestimmte Urlaub entlassen </t>
        </r>
        <r>
          <rPr>
            <sz val="14"/>
            <color rgb="FF000000"/>
            <rFont val="Times New Roman"/>
            <family val="18"/>
          </rPr>
          <t>[ST March 1816]</t>
        </r>
      </text>
    </comment>
    <comment ref="BG1434" authorId="0" shapeId="0" xr:uid="{D63CAABB-1DB2-B44D-9EE5-AA437D6EE936}">
      <text>
        <r>
          <rPr>
            <sz val="14"/>
            <color rgb="FF000000"/>
            <rFont val="Times New Roman"/>
            <family val="18"/>
          </rPr>
          <t>ML 99 IR 1 (1813) – ST LW July-Aug (Proßnitz 12/12/1813)</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June (Proßnitz 26/01/1815), Sept (Proßnitz 18/02/1816)</t>
        </r>
        <r>
          <rPr>
            <sz val="14"/>
            <color rgb="FF000000"/>
            <rFont val="Calibri"/>
            <family val="34"/>
          </rPr>
          <t xml:space="preserve">
</t>
        </r>
        <r>
          <rPr>
            <sz val="14"/>
            <color rgb="FF000000"/>
            <rFont val="Times New Roman"/>
            <family val="18"/>
          </rPr>
          <t>ML 105 IR 1 (1815) – ST April (Proßnitz 15/09/1815)</t>
        </r>
        <r>
          <rPr>
            <sz val="14"/>
            <color rgb="FF000000"/>
            <rFont val="Calibri"/>
            <family val="34"/>
          </rPr>
          <t xml:space="preserve">
</t>
        </r>
        <r>
          <rPr>
            <sz val="14"/>
            <color rgb="FF000000"/>
            <rFont val="Times New Roman"/>
            <family val="18"/>
          </rPr>
          <t>ML 107 IR 1 (1816) – ST March (Proßnitz 10/05/1816)</t>
        </r>
        <r>
          <rPr>
            <sz val="14"/>
            <color rgb="FF000000"/>
            <rFont val="Calibri"/>
            <family val="34"/>
          </rPr>
          <t xml:space="preserve">
</t>
        </r>
      </text>
    </comment>
    <comment ref="BH1434" authorId="0" shapeId="0" xr:uid="{D7A2D404-291B-8543-833E-31E9BA1F875E}">
      <text>
        <r>
          <rPr>
            <sz val="14"/>
            <color rgb="FF000000"/>
            <rFont val="Calibri"/>
            <family val="34"/>
          </rPr>
          <t>IR 1 [Landwehr] (1813-1816)</t>
        </r>
      </text>
    </comment>
    <comment ref="BF1435" authorId="0" shapeId="0" xr:uid="{637196FE-D8B5-A547-80E1-9E9ED7A032AE}">
      <text>
        <r>
          <rPr>
            <sz val="14"/>
            <color rgb="FF000000"/>
            <rFont val="Times New Roman"/>
            <family val="18"/>
          </rPr>
          <t xml:space="preserve">08/07/1813 </t>
        </r>
        <r>
          <rPr>
            <i/>
            <sz val="14"/>
            <color rgb="FF000000"/>
            <rFont val="Times New Roman"/>
            <family val="18"/>
          </rPr>
          <t>Zu Brünn präsentiert und zum 6. Landwehr Komp. eigeteilt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08/07/1813 </t>
        </r>
        <r>
          <rPr>
            <i/>
            <sz val="14"/>
            <color rgb="FF000000"/>
            <rFont val="Times New Roman"/>
            <family val="18"/>
          </rPr>
          <t>Als von Dominien reklamierte absent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10/08/1813 </t>
        </r>
        <r>
          <rPr>
            <i/>
            <sz val="14"/>
            <color rgb="FF000000"/>
            <rFont val="Times New Roman"/>
            <family val="18"/>
          </rPr>
          <t>Auf Anhero Marsche</t>
        </r>
        <r>
          <rPr>
            <sz val="14"/>
            <color rgb="FF000000"/>
            <rFont val="Times New Roman"/>
            <family val="18"/>
          </rPr>
          <t xml:space="preserve"> [ST Aug 1813]</t>
        </r>
        <r>
          <rPr>
            <sz val="14"/>
            <color rgb="FF000000"/>
            <rFont val="Calibri"/>
            <family val="34"/>
          </rPr>
          <t xml:space="preserve">
</t>
        </r>
        <r>
          <rPr>
            <sz val="14"/>
            <color rgb="FF000000"/>
            <rFont val="Times New Roman"/>
            <family val="18"/>
          </rPr>
          <t xml:space="preserve">29/02/1816 </t>
        </r>
        <r>
          <rPr>
            <i/>
            <sz val="14"/>
            <color rgb="FF000000"/>
            <rFont val="Times New Roman"/>
            <family val="18"/>
          </rPr>
          <t>Zu Folge hoher General Commando Verordnung ddeto Brünn von 1. Februar a:d: copia R 1154 mit der ferner Widmung zur Landwehr mit Landwehr Karte entlassen</t>
        </r>
        <r>
          <rPr>
            <sz val="14"/>
            <color rgb="FF000000"/>
            <rFont val="Times New Roman"/>
            <family val="18"/>
          </rPr>
          <t xml:space="preserve"> [ST March 1816]</t>
        </r>
      </text>
    </comment>
    <comment ref="BG1435" authorId="0" shapeId="0" xr:uid="{73017C8D-2AF5-2C48-B466-2224A9B18DA0}">
      <text>
        <r>
          <rPr>
            <sz val="14"/>
            <color rgb="FF000000"/>
            <rFont val="Times New Roman"/>
            <family val="18"/>
          </rPr>
          <t>ML 99 IR 1 (1813) – ST LW July-Aug (Proßnitz 12/12/1813), ST Aug (Proßnitz 15/12/1813)</t>
        </r>
        <r>
          <rPr>
            <sz val="14"/>
            <color rgb="FF000000"/>
            <rFont val="Calibri"/>
            <family val="34"/>
          </rPr>
          <t xml:space="preserve">
</t>
        </r>
        <r>
          <rPr>
            <sz val="14"/>
            <color rgb="FF000000"/>
            <rFont val="Times New Roman"/>
            <family val="18"/>
          </rPr>
          <t>ML 107 IR 1 (1816) – ST March (Proßnitz 10/05/1816)</t>
        </r>
        <r>
          <rPr>
            <sz val="14"/>
            <color rgb="FF000000"/>
            <rFont val="Calibri"/>
            <family val="34"/>
          </rPr>
          <t xml:space="preserve">
</t>
        </r>
      </text>
    </comment>
    <comment ref="BH1435" authorId="0" shapeId="0" xr:uid="{3FAB0FC9-3895-B743-8CDC-976EDD7E9A54}">
      <text>
        <r>
          <rPr>
            <sz val="14"/>
            <color rgb="FF000000"/>
            <rFont val="Calibri"/>
            <family val="34"/>
          </rPr>
          <t>IR 1 [Landwehr] (1813-1816)</t>
        </r>
      </text>
    </comment>
    <comment ref="BF1436" authorId="0" shapeId="0" xr:uid="{AD3F1E8B-F730-7343-B162-BA1171D17447}">
      <text>
        <r>
          <rPr>
            <i/>
            <sz val="14"/>
            <color rgb="FF000000"/>
            <rFont val="Times New Roman"/>
            <family val="18"/>
          </rPr>
          <t>Dient 4 Jahr</t>
        </r>
        <r>
          <rPr>
            <sz val="14"/>
            <color rgb="FF000000"/>
            <rFont val="Times New Roman"/>
            <family val="18"/>
          </rPr>
          <t xml:space="preserve"> [SUP Aug 1815]</t>
        </r>
        <r>
          <rPr>
            <sz val="14"/>
            <color rgb="FF000000"/>
            <rFont val="Calibri"/>
            <family val="34"/>
          </rPr>
          <t xml:space="preserve">
</t>
        </r>
        <r>
          <rPr>
            <sz val="14"/>
            <color rgb="FF000000"/>
            <rFont val="Times New Roman"/>
            <family val="18"/>
          </rPr>
          <t xml:space="preserve">08/07/1813 </t>
        </r>
        <r>
          <rPr>
            <i/>
            <sz val="14"/>
            <color rgb="FF000000"/>
            <rFont val="Times New Roman"/>
            <family val="18"/>
          </rPr>
          <t>Zum IR 1 2. Landwehr Abt. neu ersetzt und zum 6. Landwehr Komp. eigeteilt</t>
        </r>
        <r>
          <rPr>
            <sz val="14"/>
            <color rgb="FF000000"/>
            <rFont val="Times New Roman"/>
            <family val="18"/>
          </rPr>
          <t xml:space="preserve"> [ST July 1813]</t>
        </r>
        <r>
          <rPr>
            <sz val="14"/>
            <color rgb="FF000000"/>
            <rFont val="Calibri"/>
            <family val="34"/>
          </rPr>
          <t xml:space="preserve">
</t>
        </r>
        <r>
          <rPr>
            <sz val="14"/>
            <color rgb="FF000000"/>
            <rFont val="Times New Roman"/>
            <family val="18"/>
          </rPr>
          <t xml:space="preserve">02/03/1814 </t>
        </r>
        <r>
          <rPr>
            <i/>
            <sz val="14"/>
            <color rgb="FF000000"/>
            <rFont val="Times New Roman"/>
            <family val="18"/>
          </rPr>
          <t>In Armee Spitalern kommandiert</t>
        </r>
        <r>
          <rPr>
            <sz val="14"/>
            <color rgb="FF000000"/>
            <rFont val="Times New Roman"/>
            <family val="18"/>
          </rPr>
          <t xml:space="preserve"> [ST March 1813]</t>
        </r>
        <r>
          <rPr>
            <sz val="14"/>
            <color rgb="FF000000"/>
            <rFont val="Calibri"/>
            <family val="34"/>
          </rPr>
          <t xml:space="preserve">
</t>
        </r>
        <r>
          <rPr>
            <sz val="14"/>
            <color rgb="FF000000"/>
            <rFont val="Times New Roman"/>
            <family val="18"/>
          </rPr>
          <t xml:space="preserve">01/04/1814 </t>
        </r>
        <r>
          <rPr>
            <i/>
            <sz val="14"/>
            <color rgb="FF000000"/>
            <rFont val="Times New Roman"/>
            <family val="18"/>
          </rPr>
          <t xml:space="preserve">Wieder in Landwehr Depot </t>
        </r>
        <r>
          <rPr>
            <sz val="14"/>
            <color rgb="FF000000"/>
            <rFont val="Times New Roman"/>
            <family val="18"/>
          </rPr>
          <t>[ST April 1814]</t>
        </r>
        <r>
          <rPr>
            <sz val="14"/>
            <color rgb="FF000000"/>
            <rFont val="Calibri"/>
            <family val="34"/>
          </rPr>
          <t xml:space="preserve">
</t>
        </r>
        <r>
          <rPr>
            <sz val="14"/>
            <color rgb="FF000000"/>
            <rFont val="Times New Roman"/>
            <family val="18"/>
          </rPr>
          <t xml:space="preserve">09/06/1814 </t>
        </r>
        <r>
          <rPr>
            <i/>
            <sz val="14"/>
            <color rgb="FF000000"/>
            <rFont val="Times New Roman"/>
            <family val="18"/>
          </rPr>
          <t>Beurlaubt</t>
        </r>
        <r>
          <rPr>
            <sz val="14"/>
            <color rgb="FF000000"/>
            <rFont val="Times New Roman"/>
            <family val="18"/>
          </rPr>
          <t xml:space="preserve"> [ST June 1814]</t>
        </r>
        <r>
          <rPr>
            <sz val="14"/>
            <color rgb="FF000000"/>
            <rFont val="Calibri"/>
            <family val="34"/>
          </rPr>
          <t xml:space="preserve">
</t>
        </r>
        <r>
          <rPr>
            <sz val="14"/>
            <color rgb="FF000000"/>
            <rFont val="Times New Roman"/>
            <family val="18"/>
          </rPr>
          <t xml:space="preserve">08/04/1815 </t>
        </r>
        <r>
          <rPr>
            <i/>
            <sz val="14"/>
            <color rgb="FF000000"/>
            <rFont val="Times New Roman"/>
            <family val="18"/>
          </rPr>
          <t>Von Unbestimmte Urlaub zurück</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24/08/1815 </t>
        </r>
        <r>
          <rPr>
            <i/>
            <sz val="14"/>
            <color rgb="FF000000"/>
            <rFont val="Times New Roman"/>
            <family val="18"/>
          </rPr>
          <t>Als angehöriger von 3. Fus. Komp. des 2. Landwehr Bataillon of IR 40 wegen Bruch und Taubheit in Brünn superarbiertiert</t>
        </r>
        <r>
          <rPr>
            <sz val="14"/>
            <color rgb="FF000000"/>
            <rFont val="Times New Roman"/>
            <family val="18"/>
          </rPr>
          <t>: Befund: Hodensackbruch und ganz Taub, In dienst ohne Verschuld, War 6 Wochen ohne Besserung in Spital: Als Teils Invalid zu entlassen [SUP Aug 1815]</t>
        </r>
        <r>
          <rPr>
            <sz val="14"/>
            <color rgb="FF000000"/>
            <rFont val="Calibri"/>
            <family val="34"/>
          </rPr>
          <t xml:space="preserve">
</t>
        </r>
        <r>
          <rPr>
            <sz val="14"/>
            <color rgb="FF000000"/>
            <rFont val="Times New Roman"/>
            <family val="18"/>
          </rPr>
          <t xml:space="preserve">25/09/1815 </t>
        </r>
        <r>
          <rPr>
            <i/>
            <sz val="14"/>
            <color rgb="FF000000"/>
            <rFont val="Times New Roman"/>
            <family val="18"/>
          </rPr>
          <t>Vermog hoher General Commando Verordnung deto Brunn am 30. Agusut a:C: R 9204 als Vermog Superarbitrio anerkannter Invalid Gegen Renuncierung mit Abschied entlassen</t>
        </r>
        <r>
          <rPr>
            <sz val="14"/>
            <color rgb="FF000000"/>
            <rFont val="Times New Roman"/>
            <family val="18"/>
          </rPr>
          <t xml:space="preserve"> [ST Sept 1815]</t>
        </r>
        <r>
          <rPr>
            <sz val="14"/>
            <color rgb="FF000000"/>
            <rFont val="Calibri"/>
            <family val="2"/>
          </rPr>
          <t xml:space="preserve"> </t>
        </r>
      </text>
    </comment>
    <comment ref="BG1436" authorId="0" shapeId="0" xr:uid="{152FBC10-000C-3844-B78B-B5668ED589C2}">
      <text>
        <r>
          <rPr>
            <sz val="14"/>
            <color rgb="FF000000"/>
            <rFont val="Times New Roman"/>
            <family val="18"/>
          </rPr>
          <t>ML 99 IR 1 (1813) – ST LW July-Aug (Proßnitz 12/12/1813),</t>
        </r>
        <r>
          <rPr>
            <sz val="14"/>
            <color rgb="FF000000"/>
            <rFont val="Calibri"/>
            <family val="34"/>
          </rPr>
          <t xml:space="preserve">
</t>
        </r>
        <r>
          <rPr>
            <sz val="14"/>
            <color rgb="FF000000"/>
            <rFont val="Times New Roman"/>
            <family val="18"/>
          </rPr>
          <t>ML 102 IR 1 (1814) – ST March (Proßnitz 01/08/1814), April (Proßnitz 30/09/1814)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June (Proßnitz 26/01/1815)</t>
        </r>
        <r>
          <rPr>
            <sz val="14"/>
            <color rgb="FF000000"/>
            <rFont val="Calibri"/>
            <family val="34"/>
          </rPr>
          <t xml:space="preserve">
</t>
        </r>
        <r>
          <rPr>
            <sz val="14"/>
            <color rgb="FF000000"/>
            <rFont val="Times New Roman"/>
            <family val="18"/>
          </rPr>
          <t>ML 105 IR 1 (1815) – ST April (Proßnitz 15/09/1815), Sept (Proßnitz 18/02/1816)</t>
        </r>
        <r>
          <rPr>
            <sz val="14"/>
            <color rgb="FF000000"/>
            <rFont val="Calibri"/>
            <family val="34"/>
          </rPr>
          <t xml:space="preserve">
</t>
        </r>
        <r>
          <rPr>
            <sz val="14"/>
            <color rgb="FF000000"/>
            <rFont val="Times New Roman"/>
            <family val="18"/>
          </rPr>
          <t>IR 106 IR 1 (1815) AL/TL – SUP IR 40 1. LW Bat Nr. 5 (Brünn 24/08/1815)</t>
        </r>
        <r>
          <rPr>
            <sz val="14"/>
            <color rgb="FF000000"/>
            <rFont val="Calibri"/>
            <family val="34"/>
          </rPr>
          <t xml:space="preserve">
</t>
        </r>
      </text>
    </comment>
    <comment ref="BH1436" authorId="0" shapeId="0" xr:uid="{344A0BB3-4837-EB43-8485-1A1DAB318475}">
      <text>
        <r>
          <rPr>
            <sz val="14"/>
            <color rgb="FF000000"/>
            <rFont val="Calibri"/>
            <family val="34"/>
          </rPr>
          <t xml:space="preserve">LANDWEHR (1811-1813)
</t>
        </r>
        <r>
          <rPr>
            <sz val="14"/>
            <color rgb="FF000000"/>
            <rFont val="Calibri"/>
            <family val="34"/>
          </rPr>
          <t>IR 1 [Landwehr] (1813-1815)</t>
        </r>
      </text>
    </comment>
    <comment ref="BI1436" authorId="0" shapeId="0" xr:uid="{72F2FDF5-44AC-814D-944B-CDEA5C297C7B}">
      <text>
        <r>
          <rPr>
            <i/>
            <sz val="14"/>
            <color rgb="FF000000"/>
            <rFont val="Times New Roman"/>
            <family val="18"/>
          </rPr>
          <t>Gute</t>
        </r>
        <r>
          <rPr>
            <sz val="14"/>
            <color rgb="FF000000"/>
            <rFont val="Times New Roman"/>
            <family val="18"/>
          </rPr>
          <t xml:space="preserve"> [SUP Aug 1815]</t>
        </r>
        <r>
          <rPr>
            <sz val="14"/>
            <color rgb="FF000000"/>
            <rFont val="Calibri"/>
            <family val="2"/>
          </rPr>
          <t xml:space="preserve"> </t>
        </r>
      </text>
    </comment>
    <comment ref="BJ1436" authorId="0" shapeId="0" xr:uid="{B3C04DF9-BD8E-724A-8BB3-24D29F642A21}">
      <text>
        <r>
          <rPr>
            <i/>
            <sz val="14"/>
            <color rgb="FF000000"/>
            <rFont val="Times New Roman"/>
            <family val="18"/>
          </rPr>
          <t xml:space="preserve">Bruch und Taub </t>
        </r>
        <r>
          <rPr>
            <sz val="14"/>
            <color rgb="FF000000"/>
            <rFont val="Times New Roman"/>
            <family val="18"/>
          </rPr>
          <t>[SUP Aug 1815]</t>
        </r>
        <r>
          <rPr>
            <sz val="14"/>
            <color rgb="FF000000"/>
            <rFont val="Calibri"/>
            <family val="2"/>
            <scheme val="minor"/>
          </rPr>
          <t xml:space="preserve"> </t>
        </r>
      </text>
    </comment>
    <comment ref="BF1437" authorId="0" shapeId="0" xr:uid="{FC13FDFB-3CD0-9E41-8556-E66801E8E8D9}">
      <text>
        <r>
          <rPr>
            <sz val="14"/>
            <color rgb="FF000000"/>
            <rFont val="Times New Roman"/>
            <family val="18"/>
          </rPr>
          <t xml:space="preserve">13/07/1813 </t>
        </r>
        <r>
          <rPr>
            <i/>
            <sz val="14"/>
            <color rgb="FF000000"/>
            <rFont val="Times New Roman"/>
            <family val="18"/>
          </rPr>
          <t>A 3Fl Handgeld von Lande gestellt und zu Klausenburg auf Beständig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11/08/1814 </t>
        </r>
        <r>
          <rPr>
            <i/>
            <sz val="14"/>
            <color rgb="FF000000"/>
            <rFont val="Times New Roman"/>
            <family val="18"/>
          </rPr>
          <t>Zum Gefreiter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01/12/1815 </t>
        </r>
        <r>
          <rPr>
            <i/>
            <sz val="14"/>
            <color rgb="FF000000"/>
            <rFont val="Times New Roman"/>
            <family val="18"/>
          </rPr>
          <t>Zum Kopralen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26/09/1818 Muster: IR 62 11. Fus. Komp. Nr. 10 [</t>
        </r>
        <r>
          <rPr>
            <i/>
            <sz val="14"/>
            <color rgb="FF000000"/>
            <rFont val="Times New Roman"/>
            <family val="18"/>
          </rPr>
          <t>Zugeteilt beim 1. Battalion zu Mantua</t>
        </r>
        <r>
          <rPr>
            <sz val="14"/>
            <color rgb="FF000000"/>
            <rFont val="Times New Roman"/>
            <family val="18"/>
          </rPr>
          <t>]</t>
        </r>
        <r>
          <rPr>
            <sz val="14"/>
            <color rgb="FF000000"/>
            <rFont val="Calibri"/>
            <family val="34"/>
          </rPr>
          <t xml:space="preserve">
</t>
        </r>
        <r>
          <rPr>
            <sz val="14"/>
            <color rgb="FF000000"/>
            <rFont val="Times New Roman"/>
            <family val="18"/>
          </rPr>
          <t>07/10/1819 Muster: IR 62 11. Fus. Komp. Nr. 9 [</t>
        </r>
        <r>
          <rPr>
            <i/>
            <sz val="14"/>
            <color rgb="FF000000"/>
            <rFont val="Times New Roman"/>
            <family val="18"/>
          </rPr>
          <t>Halb Invalid</t>
        </r>
        <r>
          <rPr>
            <sz val="14"/>
            <color rgb="FF000000"/>
            <rFont val="Times New Roman"/>
            <family val="18"/>
          </rPr>
          <t>]</t>
        </r>
        <r>
          <rPr>
            <sz val="14"/>
            <color rgb="FF000000"/>
            <rFont val="Calibri"/>
            <family val="34"/>
          </rPr>
          <t xml:space="preserve">
</t>
        </r>
        <r>
          <rPr>
            <sz val="14"/>
            <color rgb="FF000000"/>
            <rFont val="Times New Roman"/>
            <family val="18"/>
          </rPr>
          <t>04/09/1820 Revision: IR 62 11. Fus. Komp. Nr. 10</t>
        </r>
        <r>
          <rPr>
            <sz val="14"/>
            <color rgb="FF000000"/>
            <rFont val="Calibri"/>
            <family val="34"/>
          </rPr>
          <t xml:space="preserve">
</t>
        </r>
      </text>
    </comment>
    <comment ref="BG1437" authorId="0" shapeId="0" xr:uid="{A0018687-562B-8D4B-A0BD-67EB366B3D64}">
      <text>
        <r>
          <rPr>
            <sz val="14"/>
            <color rgb="FF000000"/>
            <rFont val="Times New Roman"/>
            <family val="18"/>
          </rPr>
          <t>ML 5213/4 IR 62 (1818) – 11. Fus. Komp. Nr. 10 (Cremona 26/09/1818)</t>
        </r>
        <r>
          <rPr>
            <sz val="14"/>
            <color rgb="FF000000"/>
            <rFont val="Calibri"/>
            <family val="34"/>
          </rPr>
          <t xml:space="preserve">
</t>
        </r>
        <r>
          <rPr>
            <sz val="14"/>
            <color rgb="FF000000"/>
            <rFont val="Times New Roman"/>
            <family val="18"/>
          </rPr>
          <t>ML 5215/6 IR 62 (1819) – 11. Fus. Komp. Nr. 9 (Mantua 07/10/1819)</t>
        </r>
        <r>
          <rPr>
            <sz val="14"/>
            <color rgb="FF000000"/>
            <rFont val="Calibri"/>
            <family val="34"/>
          </rPr>
          <t xml:space="preserve">
</t>
        </r>
        <r>
          <rPr>
            <sz val="14"/>
            <color rgb="FF000000"/>
            <rFont val="Times New Roman"/>
            <family val="18"/>
          </rPr>
          <t>ML 5217 IR 62 (1820) – 11. Fus. Komp. Nr. 10 (Cremona 04/0/1820)</t>
        </r>
      </text>
    </comment>
    <comment ref="BH1437" authorId="0" shapeId="0" xr:uid="{918266CF-3A88-7E4C-84C0-4BD07AC3D58A}">
      <text>
        <r>
          <rPr>
            <sz val="14"/>
            <color rgb="FF000000"/>
            <rFont val="Calibri"/>
            <family val="34"/>
          </rPr>
          <t>IR 62 (1813-20)</t>
        </r>
      </text>
    </comment>
    <comment ref="BF1438" authorId="0" shapeId="0" xr:uid="{E71EBF77-A58A-484C-8F48-252064360AE9}">
      <text>
        <r>
          <rPr>
            <sz val="14"/>
            <color rgb="FF000000"/>
            <rFont val="Times New Roman"/>
            <family val="18"/>
          </rPr>
          <t xml:space="preserve">24/08/1813 </t>
        </r>
        <r>
          <rPr>
            <i/>
            <sz val="14"/>
            <color rgb="FF000000"/>
            <rFont val="Times New Roman"/>
            <family val="18"/>
          </rPr>
          <t>Als unobliganter Unterarzt zum HFS 9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01/11/1813 </t>
        </r>
        <r>
          <rPr>
            <i/>
            <sz val="14"/>
            <color rgb="FF000000"/>
            <rFont val="Times New Roman"/>
            <family val="18"/>
          </rPr>
          <t>Von dort</t>
        </r>
        <r>
          <rPr>
            <sz val="14"/>
            <color rgb="FF000000"/>
            <rFont val="Times New Roman"/>
            <family val="18"/>
          </rPr>
          <t xml:space="preserve"> [HFS 9] </t>
        </r>
        <r>
          <rPr>
            <i/>
            <sz val="14"/>
            <color rgb="FF000000"/>
            <rFont val="Times New Roman"/>
            <family val="18"/>
          </rPr>
          <t>anhero</t>
        </r>
        <r>
          <rPr>
            <sz val="14"/>
            <color rgb="FF000000"/>
            <rFont val="Times New Roman"/>
            <family val="18"/>
          </rPr>
          <t xml:space="preserve"> [IR 3]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18/09/1817 Muster: IR 3 Staff Nr. 23</t>
        </r>
        <r>
          <rPr>
            <sz val="14"/>
            <color rgb="FF000000"/>
            <rFont val="Calibri"/>
            <family val="34"/>
          </rPr>
          <t xml:space="preserve">
</t>
        </r>
        <r>
          <rPr>
            <sz val="14"/>
            <color rgb="FF000000"/>
            <rFont val="Times New Roman"/>
            <family val="18"/>
          </rPr>
          <t>15/09/1818 Muster: IR 3 Staff Nr. 23</t>
        </r>
        <r>
          <rPr>
            <sz val="14"/>
            <color rgb="FF000000"/>
            <rFont val="Calibri"/>
            <family val="34"/>
          </rPr>
          <t xml:space="preserve">
</t>
        </r>
        <r>
          <rPr>
            <sz val="14"/>
            <color rgb="FF000000"/>
            <rFont val="Times New Roman"/>
            <family val="18"/>
          </rPr>
          <t>13/09/1819 Muster: IR 3 Staff Nr. 23</t>
        </r>
        <r>
          <rPr>
            <sz val="14"/>
            <color rgb="FF000000"/>
            <rFont val="Calibri"/>
            <family val="34"/>
          </rPr>
          <t xml:space="preserve">
</t>
        </r>
        <r>
          <rPr>
            <sz val="14"/>
            <color rgb="FF000000"/>
            <rFont val="Times New Roman"/>
            <family val="18"/>
          </rPr>
          <t>11/09/1820 Muster: IR 3 Staff Nr. 22</t>
        </r>
        <r>
          <rPr>
            <sz val="14"/>
            <color rgb="FF000000"/>
            <rFont val="Calibri"/>
            <family val="34"/>
          </rPr>
          <t xml:space="preserve">
</t>
        </r>
        <r>
          <rPr>
            <i/>
            <sz val="14"/>
            <color rgb="FF000000"/>
            <rFont val="Times New Roman"/>
            <family val="18"/>
          </rPr>
          <t>Ist durch deutsch Staabsarzt Von Verig geprüft</t>
        </r>
        <r>
          <rPr>
            <sz val="14"/>
            <color rgb="FF000000"/>
            <rFont val="Times New Roman"/>
            <family val="18"/>
          </rPr>
          <t xml:space="preserve"> [ML 1817] </t>
        </r>
        <r>
          <rPr>
            <sz val="14"/>
            <color rgb="FF000000"/>
            <rFont val="Calibri"/>
            <family val="34"/>
          </rPr>
          <t xml:space="preserve">
</t>
        </r>
      </text>
    </comment>
    <comment ref="BG1438" authorId="0" shapeId="0" xr:uid="{F0B886C0-DB3A-184A-B992-FC74C05F8547}">
      <text>
        <r>
          <rPr>
            <sz val="14"/>
            <color rgb="FF000000"/>
            <rFont val="Times New Roman"/>
            <family val="18"/>
          </rPr>
          <t>ML 241 IR 3 (1817) – Staff Nr. 23 (Krems 18/09/1817)</t>
        </r>
        <r>
          <rPr>
            <sz val="14"/>
            <color rgb="FF000000"/>
            <rFont val="Calibri"/>
            <family val="34"/>
          </rPr>
          <t xml:space="preserve">
</t>
        </r>
        <r>
          <rPr>
            <sz val="14"/>
            <color rgb="FF000000"/>
            <rFont val="Times New Roman"/>
            <family val="18"/>
          </rPr>
          <t>ML 242 IR 3 (1818) – Staff Nr. 23 (Krems 15/09/1818)</t>
        </r>
        <r>
          <rPr>
            <sz val="14"/>
            <color rgb="FF000000"/>
            <rFont val="Calibri"/>
            <family val="34"/>
          </rPr>
          <t xml:space="preserve">
</t>
        </r>
        <r>
          <rPr>
            <sz val="14"/>
            <color rgb="FF000000"/>
            <rFont val="Times New Roman"/>
            <family val="18"/>
          </rPr>
          <t>ML 243 IR 3 (1819) – Staff Nr. 23 (Krems 13/09/1819)</t>
        </r>
        <r>
          <rPr>
            <sz val="14"/>
            <color rgb="FF000000"/>
            <rFont val="Calibri"/>
            <family val="34"/>
          </rPr>
          <t xml:space="preserve">
</t>
        </r>
        <r>
          <rPr>
            <sz val="14"/>
            <color rgb="FF000000"/>
            <rFont val="Times New Roman"/>
            <family val="18"/>
          </rPr>
          <t>ML 244 IR 3 (1820) – Staff Nr. 23 (Krems 11/09/1820)</t>
        </r>
      </text>
    </comment>
    <comment ref="BH1438" authorId="0" shapeId="0" xr:uid="{4FA18C52-772E-814E-89EC-2FBB06BB15FA}">
      <text>
        <r>
          <rPr>
            <sz val="14"/>
            <color rgb="FF000000"/>
            <rFont val="Calibri"/>
            <family val="34"/>
          </rPr>
          <t xml:space="preserve">HFS 9 (1813)
</t>
        </r>
        <r>
          <rPr>
            <sz val="14"/>
            <color rgb="FF000000"/>
            <rFont val="Calibri"/>
            <family val="34"/>
          </rPr>
          <t>IR 3 (1813-1820)</t>
        </r>
      </text>
    </comment>
    <comment ref="K1439" authorId="0" shapeId="0" xr:uid="{CB366DF3-0ED2-2845-B943-ED5C8C9EF5C5}">
      <text>
        <r>
          <rPr>
            <sz val="14"/>
            <color rgb="FF000000"/>
            <rFont val="Calibri"/>
            <family val="34"/>
          </rPr>
          <t xml:space="preserve">Schneider (1817-1818)
</t>
        </r>
        <r>
          <rPr>
            <sz val="14"/>
            <color rgb="FF000000"/>
            <rFont val="Calibri"/>
            <family val="34"/>
          </rPr>
          <t>Ohne (1819)</t>
        </r>
      </text>
    </comment>
    <comment ref="BF1439" authorId="0" shapeId="0" xr:uid="{126AB49D-199E-9E4C-B25C-D64A8E5C79ED}">
      <text>
        <r>
          <rPr>
            <sz val="14"/>
            <color rgb="FF000000"/>
            <rFont val="Times New Roman"/>
            <family val="18"/>
          </rPr>
          <t xml:space="preserve">05/09/1813 </t>
        </r>
        <r>
          <rPr>
            <i/>
            <sz val="14"/>
            <color rgb="FF000000"/>
            <rFont val="Times New Roman"/>
            <family val="18"/>
          </rPr>
          <t xml:space="preserve">Von Dominien ausgehoben und zum IR 1 in Pest assentiert </t>
        </r>
        <r>
          <rPr>
            <sz val="14"/>
            <color rgb="FF000000"/>
            <rFont val="Times New Roman"/>
            <family val="18"/>
          </rPr>
          <t>[AL Oct 1817 &amp; ST May 1817]</t>
        </r>
        <r>
          <rPr>
            <sz val="14"/>
            <color rgb="FF000000"/>
            <rFont val="Calibri"/>
            <family val="34"/>
          </rPr>
          <t xml:space="preserve">
</t>
        </r>
        <r>
          <rPr>
            <sz val="14"/>
            <color rgb="FF000000"/>
            <rFont val="Times New Roman"/>
            <family val="18"/>
          </rPr>
          <t xml:space="preserve">17/09/1813 </t>
        </r>
        <r>
          <rPr>
            <i/>
            <sz val="14"/>
            <color rgb="FF000000"/>
            <rFont val="Times New Roman"/>
            <family val="18"/>
          </rPr>
          <t>Von Pest entwichen</t>
        </r>
        <r>
          <rPr>
            <sz val="14"/>
            <color rgb="FF000000"/>
            <rFont val="Times New Roman"/>
            <family val="18"/>
          </rPr>
          <t xml:space="preserve"> [ML 1817 &amp; ST May 1817]</t>
        </r>
        <r>
          <rPr>
            <sz val="14"/>
            <color rgb="FF000000"/>
            <rFont val="Calibri"/>
            <family val="34"/>
          </rPr>
          <t xml:space="preserve">
</t>
        </r>
        <r>
          <rPr>
            <sz val="14"/>
            <color rgb="FF000000"/>
            <rFont val="Times New Roman"/>
            <family val="18"/>
          </rPr>
          <t xml:space="preserve">17/07/1817 </t>
        </r>
        <r>
          <rPr>
            <i/>
            <sz val="14"/>
            <color rgb="FF000000"/>
            <rFont val="Times New Roman"/>
            <family val="18"/>
          </rPr>
          <t>Als Anerkannter von dem Wiener Kriminalgericht eingeliefert seitdem in Regiments Arrest</t>
        </r>
        <r>
          <rPr>
            <sz val="14"/>
            <color rgb="FF000000"/>
            <rFont val="Times New Roman"/>
            <family val="18"/>
          </rPr>
          <t xml:space="preserve"> [ST Aug 1817 &amp; ML 1817]</t>
        </r>
        <r>
          <rPr>
            <sz val="14"/>
            <color rgb="FF000000"/>
            <rFont val="Calibri"/>
            <family val="34"/>
          </rPr>
          <t xml:space="preserve">
</t>
        </r>
        <r>
          <rPr>
            <sz val="14"/>
            <color rgb="FF000000"/>
            <rFont val="Times New Roman"/>
            <family val="18"/>
          </rPr>
          <t xml:space="preserve">31/08/1817 </t>
        </r>
        <r>
          <rPr>
            <i/>
            <sz val="14"/>
            <color rgb="FF000000"/>
            <rFont val="Times New Roman"/>
            <family val="18"/>
          </rPr>
          <t>Von Arrest befreit und bei Brünner Transport Kommando zugeteilt</t>
        </r>
        <r>
          <rPr>
            <sz val="14"/>
            <color rgb="FF000000"/>
            <rFont val="Times New Roman"/>
            <family val="18"/>
          </rPr>
          <t xml:space="preserve"> [ST Sept 1817]</t>
        </r>
        <r>
          <rPr>
            <sz val="14"/>
            <color rgb="FF000000"/>
            <rFont val="Calibri"/>
            <family val="34"/>
          </rPr>
          <t xml:space="preserve">
</t>
        </r>
        <r>
          <rPr>
            <sz val="14"/>
            <color rgb="FF000000"/>
            <rFont val="Times New Roman"/>
            <family val="18"/>
          </rPr>
          <t xml:space="preserve">09/09/1817 </t>
        </r>
        <r>
          <rPr>
            <i/>
            <sz val="14"/>
            <color rgb="FF000000"/>
            <rFont val="Times New Roman"/>
            <family val="18"/>
          </rPr>
          <t>Krank in Regimentsspital zu Obrowitz</t>
        </r>
        <r>
          <rPr>
            <sz val="14"/>
            <color rgb="FF000000"/>
            <rFont val="Times New Roman"/>
            <family val="18"/>
          </rPr>
          <t xml:space="preserve"> [ST Sept 1817]</t>
        </r>
        <r>
          <rPr>
            <sz val="14"/>
            <color rgb="FF000000"/>
            <rFont val="Calibri"/>
            <family val="34"/>
          </rPr>
          <t xml:space="preserve">
</t>
        </r>
        <r>
          <rPr>
            <sz val="14"/>
            <color rgb="FF000000"/>
            <rFont val="Times New Roman"/>
            <family val="18"/>
          </rPr>
          <t>19/09/1817 Muster: IR 1 4. Fus. Komp. Nr. 80 [</t>
        </r>
        <r>
          <rPr>
            <i/>
            <sz val="14"/>
            <color rgb="FF000000"/>
            <rFont val="Times New Roman"/>
            <family val="18"/>
          </rPr>
          <t>Krank zu Obrowitz</t>
        </r>
        <r>
          <rPr>
            <sz val="14"/>
            <color rgb="FF000000"/>
            <rFont val="Times New Roman"/>
            <family val="18"/>
          </rPr>
          <t>]</t>
        </r>
        <r>
          <rPr>
            <sz val="14"/>
            <color rgb="FF000000"/>
            <rFont val="Calibri"/>
            <family val="34"/>
          </rPr>
          <t xml:space="preserve">
</t>
        </r>
        <r>
          <rPr>
            <sz val="14"/>
            <color rgb="FF000000"/>
            <rFont val="Times New Roman"/>
            <family val="18"/>
          </rPr>
          <t xml:space="preserve">21/09/1817 </t>
        </r>
        <r>
          <rPr>
            <i/>
            <sz val="14"/>
            <color rgb="FF000000"/>
            <rFont val="Times New Roman"/>
            <family val="18"/>
          </rPr>
          <t>Rekonvalesziert und wieder bei Brünner Transport Kommando zugeteilt</t>
        </r>
        <r>
          <rPr>
            <sz val="14"/>
            <color rgb="FF000000"/>
            <rFont val="Times New Roman"/>
            <family val="18"/>
          </rPr>
          <t xml:space="preserve"> [ST Sept 1817]</t>
        </r>
        <r>
          <rPr>
            <sz val="14"/>
            <color rgb="FF000000"/>
            <rFont val="Calibri"/>
            <family val="34"/>
          </rPr>
          <t xml:space="preserve">
</t>
        </r>
        <r>
          <rPr>
            <sz val="14"/>
            <color rgb="FF000000"/>
            <rFont val="Times New Roman"/>
            <family val="18"/>
          </rPr>
          <t xml:space="preserve">01/11/1817 </t>
        </r>
        <r>
          <rPr>
            <i/>
            <sz val="14"/>
            <color rgb="FF000000"/>
            <rFont val="Times New Roman"/>
            <family val="18"/>
          </rPr>
          <t>Bei der Aburteilung in Wien</t>
        </r>
        <r>
          <rPr>
            <sz val="14"/>
            <color rgb="FF000000"/>
            <rFont val="Times New Roman"/>
            <family val="18"/>
          </rPr>
          <t xml:space="preserve"> [ST Nov 1817]</t>
        </r>
        <r>
          <rPr>
            <sz val="14"/>
            <color rgb="FF000000"/>
            <rFont val="Calibri"/>
            <family val="34"/>
          </rPr>
          <t xml:space="preserve">
</t>
        </r>
        <r>
          <rPr>
            <sz val="14"/>
            <color rgb="FF000000"/>
            <rFont val="Times New Roman"/>
            <family val="18"/>
          </rPr>
          <t>19/09/1818 Muster: IR 1 4. Fus. Komp. Nr. 91 [</t>
        </r>
        <r>
          <rPr>
            <i/>
            <sz val="14"/>
            <color rgb="FF000000"/>
            <rFont val="Times New Roman"/>
            <family val="18"/>
          </rPr>
          <t>Bei der Aburteilung in Wien</t>
        </r>
        <r>
          <rPr>
            <sz val="14"/>
            <color rgb="FF000000"/>
            <rFont val="Times New Roman"/>
            <family val="18"/>
          </rPr>
          <t>]</t>
        </r>
        <r>
          <rPr>
            <sz val="14"/>
            <color rgb="FF000000"/>
            <rFont val="Calibri"/>
            <family val="34"/>
          </rPr>
          <t xml:space="preserve">
</t>
        </r>
        <r>
          <rPr>
            <sz val="14"/>
            <color rgb="FF000000"/>
            <rFont val="Times New Roman"/>
            <family val="18"/>
          </rPr>
          <t xml:space="preserve">01/07/1819 </t>
        </r>
        <r>
          <rPr>
            <i/>
            <sz val="14"/>
            <color rgb="FF000000"/>
            <rFont val="Times New Roman"/>
            <family val="18"/>
          </rPr>
          <t>In Kompanie eingerückt,</t>
        </r>
        <r>
          <rPr>
            <sz val="14"/>
            <color rgb="FF000000"/>
            <rFont val="Times New Roman"/>
            <family val="18"/>
          </rPr>
          <t xml:space="preserve"> </t>
        </r>
        <r>
          <rPr>
            <i/>
            <sz val="14"/>
            <color rgb="FF000000"/>
            <rFont val="Times New Roman"/>
            <family val="18"/>
          </rPr>
          <t>Ist gemäß rechtlichen Erkanntnis nicht als Deserteur behandelt worden weil selber nicht zum Fahnen geschworen hat, ist daher von der Nachdienung ab instantia losgesprochen worden</t>
        </r>
        <r>
          <rPr>
            <sz val="14"/>
            <color rgb="FF000000"/>
            <rFont val="Times New Roman"/>
            <family val="18"/>
          </rPr>
          <t xml:space="preserve"> [ML 1819 &amp; ST July 1819]</t>
        </r>
        <r>
          <rPr>
            <sz val="14"/>
            <color rgb="FF000000"/>
            <rFont val="Calibri"/>
            <family val="34"/>
          </rPr>
          <t xml:space="preserve">
</t>
        </r>
        <r>
          <rPr>
            <sz val="14"/>
            <color rgb="FF000000"/>
            <rFont val="Times New Roman"/>
            <family val="18"/>
          </rPr>
          <t xml:space="preserve">30/07/1819 </t>
        </r>
        <r>
          <rPr>
            <i/>
            <sz val="14"/>
            <color rgb="FF000000"/>
            <rFont val="Times New Roman"/>
            <family val="18"/>
          </rPr>
          <t>In Arrest wegen Absentierung</t>
        </r>
        <r>
          <rPr>
            <sz val="14"/>
            <color rgb="FF000000"/>
            <rFont val="Times New Roman"/>
            <family val="18"/>
          </rPr>
          <t xml:space="preserve"> [ST Aug 1817]</t>
        </r>
        <r>
          <rPr>
            <sz val="14"/>
            <color rgb="FF000000"/>
            <rFont val="Calibri"/>
            <family val="34"/>
          </rPr>
          <t xml:space="preserve">
</t>
        </r>
        <r>
          <rPr>
            <sz val="14"/>
            <color rgb="FF000000"/>
            <rFont val="Times New Roman"/>
            <family val="18"/>
          </rPr>
          <t xml:space="preserve">13/08/1819 </t>
        </r>
        <r>
          <rPr>
            <i/>
            <sz val="14"/>
            <color rgb="FF000000"/>
            <rFont val="Times New Roman"/>
            <family val="18"/>
          </rPr>
          <t xml:space="preserve">Befreit </t>
        </r>
        <r>
          <rPr>
            <sz val="14"/>
            <color rgb="FF000000"/>
            <rFont val="Calibri"/>
            <family val="34"/>
          </rPr>
          <t xml:space="preserve">
</t>
        </r>
        <r>
          <rPr>
            <sz val="14"/>
            <color rgb="FF000000"/>
            <rFont val="Times New Roman"/>
            <family val="18"/>
          </rPr>
          <t xml:space="preserve">16/08/1819 </t>
        </r>
        <r>
          <rPr>
            <i/>
            <sz val="14"/>
            <color rgb="FF000000"/>
            <rFont val="Times New Roman"/>
            <family val="18"/>
          </rPr>
          <t xml:space="preserve">Beurlaubt bis zur Einberufung </t>
        </r>
        <r>
          <rPr>
            <sz val="14"/>
            <color rgb="FF000000"/>
            <rFont val="Times New Roman"/>
            <family val="18"/>
          </rPr>
          <t>[ST Aug 1817]</t>
        </r>
        <r>
          <rPr>
            <sz val="14"/>
            <color rgb="FF000000"/>
            <rFont val="Calibri"/>
            <family val="34"/>
          </rPr>
          <t xml:space="preserve">
</t>
        </r>
        <r>
          <rPr>
            <sz val="14"/>
            <color rgb="FF000000"/>
            <rFont val="Times New Roman"/>
            <family val="18"/>
          </rPr>
          <t>14/09/1819 Muster: IR 1 4. Fus. Komp. Nr. 78 [</t>
        </r>
        <r>
          <rPr>
            <i/>
            <sz val="14"/>
            <color rgb="FF000000"/>
            <rFont val="Times New Roman"/>
            <family val="18"/>
          </rPr>
          <t>Beurlaubt bis zur Einberufung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4. zum 14.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14. Fus Komp</t>
        </r>
        <r>
          <rPr>
            <sz val="14"/>
            <color rgb="FF000000"/>
            <rFont val="Times New Roman"/>
            <family val="18"/>
          </rPr>
          <t xml:space="preserve"> [ST Oct 1820]</t>
        </r>
        <r>
          <rPr>
            <sz val="14"/>
            <color rgb="FF000000"/>
            <rFont val="Calibri"/>
            <family val="34"/>
          </rPr>
          <t xml:space="preserve">
</t>
        </r>
      </text>
    </comment>
    <comment ref="BG1439" authorId="0" shapeId="0" xr:uid="{41016A79-2400-2540-9C7E-2E473AFFE37B}">
      <text>
        <r>
          <rPr>
            <sz val="14"/>
            <color rgb="FF000000"/>
            <rFont val="Times New Roman"/>
            <family val="18"/>
          </rPr>
          <t>ML 34/5 IR 1 (1817) – IR 1 4. Fus. Komp. 80 (Brünn 19/09/1817)</t>
        </r>
        <r>
          <rPr>
            <sz val="14"/>
            <color rgb="FF000000"/>
            <rFont val="Calibri"/>
            <family val="34"/>
          </rPr>
          <t xml:space="preserve">
</t>
        </r>
        <r>
          <rPr>
            <sz val="14"/>
            <color rgb="FF000000"/>
            <rFont val="Times New Roman"/>
            <family val="18"/>
          </rPr>
          <t>ML 36/7 IR 1 (1818) – IR 1 4. Fus. Komp. 91 (Brünn 19/09/1818)</t>
        </r>
        <r>
          <rPr>
            <sz val="14"/>
            <color rgb="FF000000"/>
            <rFont val="Calibri"/>
            <family val="34"/>
          </rPr>
          <t xml:space="preserve">
</t>
        </r>
        <r>
          <rPr>
            <sz val="14"/>
            <color rgb="FF000000"/>
            <rFont val="Times New Roman"/>
            <family val="18"/>
          </rPr>
          <t>ML 38/9 IR 1 (1819) – IR 1 4. Fus. Komp. 78 (Olmütz 14/09/1819)</t>
        </r>
        <r>
          <rPr>
            <sz val="14"/>
            <color rgb="FF000000"/>
            <rFont val="Calibri"/>
            <family val="34"/>
          </rPr>
          <t xml:space="preserve">
</t>
        </r>
        <r>
          <rPr>
            <sz val="14"/>
            <color rgb="FF000000"/>
            <rFont val="Times New Roman"/>
            <family val="18"/>
          </rPr>
          <t>ML 109 IR 1 (1817) – ST May (Brünn 25/06/1817),  Aug (Brünn 05/10/1817), Sept (Brünn 31/10/1817), Nov (Brünn 25/12/1817), Dec (Brünn 25/01/1818)</t>
        </r>
        <r>
          <rPr>
            <sz val="14"/>
            <color rgb="FF000000"/>
            <rFont val="Calibri"/>
            <family val="34"/>
          </rPr>
          <t xml:space="preserve">
</t>
        </r>
        <r>
          <rPr>
            <sz val="14"/>
            <color rgb="FF000000"/>
            <rFont val="Times New Roman"/>
            <family val="18"/>
          </rPr>
          <t>ML 110 IR 1 (1817) AL/TL – AL Nr. 1 (Pest 01/10/1817)</t>
        </r>
        <r>
          <rPr>
            <sz val="14"/>
            <color rgb="FF000000"/>
            <rFont val="Calibri"/>
            <family val="34"/>
          </rPr>
          <t xml:space="preserve">
</t>
        </r>
        <r>
          <rPr>
            <sz val="14"/>
            <color rgb="FF000000"/>
            <rFont val="Times New Roman"/>
            <family val="18"/>
          </rPr>
          <t>ML 113 IR 1 (1819) – ST July (Cremsier 21/08/1819), Aug (Cremsier 24/10/1819)</t>
        </r>
        <r>
          <rPr>
            <sz val="14"/>
            <color rgb="FF000000"/>
            <rFont val="Calibri"/>
            <family val="34"/>
          </rPr>
          <t xml:space="preserve">
</t>
        </r>
        <r>
          <rPr>
            <sz val="14"/>
            <color rgb="FF000000"/>
            <rFont val="Times New Roman"/>
            <family val="18"/>
          </rPr>
          <t>ML 115 IR 1 (1820) – ST Aug (Cremsier 15/11/1820), Oct (15/01/1820)</t>
        </r>
        <r>
          <rPr>
            <sz val="14"/>
            <color rgb="FF000000"/>
            <rFont val="Calibri"/>
            <family val="34"/>
          </rPr>
          <t xml:space="preserve">
</t>
        </r>
      </text>
    </comment>
    <comment ref="BH1439" authorId="0" shapeId="0" xr:uid="{6D4E437E-0A3E-3E4A-B4F0-A55806C8316A}">
      <text>
        <r>
          <rPr>
            <sz val="14"/>
            <color rgb="FF000000"/>
            <rFont val="Calibri"/>
            <family val="34"/>
          </rPr>
          <t>IR 1 (1813-1820)</t>
        </r>
      </text>
    </comment>
    <comment ref="BF1440" authorId="0" shapeId="0" xr:uid="{BC78CC56-856E-F143-A475-D0C9953D1892}">
      <text>
        <r>
          <rPr>
            <sz val="14"/>
            <color rgb="FF000000"/>
            <rFont val="Times New Roman"/>
            <family val="18"/>
          </rPr>
          <t xml:space="preserve">18/09/1813 </t>
        </r>
        <r>
          <rPr>
            <i/>
            <sz val="14"/>
            <color rgb="FF000000"/>
            <rFont val="Times New Roman"/>
            <family val="18"/>
          </rPr>
          <t xml:space="preserve">Als landständischer Rekrut gegen 3Fl Handgeld zum IR 1 gestellt und zum 21. Fus. Komp. eingeteilt </t>
        </r>
        <r>
          <rPr>
            <sz val="14"/>
            <color rgb="FF000000"/>
            <rFont val="Times New Roman"/>
            <family val="18"/>
          </rPr>
          <t>[AL Oct 1813 &amp; ST Oct 1813]</t>
        </r>
        <r>
          <rPr>
            <sz val="14"/>
            <color rgb="FF000000"/>
            <rFont val="Calibri"/>
            <family val="34"/>
          </rPr>
          <t xml:space="preserve">
</t>
        </r>
        <r>
          <rPr>
            <sz val="14"/>
            <color rgb="FF000000"/>
            <rFont val="Times New Roman"/>
            <family val="18"/>
          </rPr>
          <t xml:space="preserve">28/02/1814 </t>
        </r>
        <r>
          <rPr>
            <i/>
            <sz val="14"/>
            <color rgb="FF000000"/>
            <rFont val="Times New Roman"/>
            <family val="18"/>
          </rPr>
          <t>Aus der Station Neu Sandetz desertiert</t>
        </r>
        <r>
          <rPr>
            <sz val="14"/>
            <color rgb="FF000000"/>
            <rFont val="Times New Roman"/>
            <family val="18"/>
          </rPr>
          <t xml:space="preserve"> [ST March 1814] </t>
        </r>
      </text>
    </comment>
    <comment ref="BG1440" authorId="0" shapeId="0" xr:uid="{DF99037D-F812-6C43-8600-3610AA9B50F5}">
      <text>
        <r>
          <rPr>
            <sz val="14"/>
            <color rgb="FF000000"/>
            <rFont val="Times New Roman"/>
            <family val="18"/>
          </rPr>
          <t>ML 99 IR 1 (1813) – ST Oct (Proßnitz 15/03/1814)</t>
        </r>
        <r>
          <rPr>
            <sz val="14"/>
            <color rgb="FF000000"/>
            <rFont val="Calibri"/>
            <family val="34"/>
          </rPr>
          <t xml:space="preserve">
</t>
        </r>
        <r>
          <rPr>
            <sz val="14"/>
            <color rgb="FF000000"/>
            <rFont val="Times New Roman"/>
            <family val="18"/>
          </rPr>
          <t>ML 101 IR 1 (1813) AL/TL VII-XII – AL Nr. 18 (Sandec 10/10/1813)</t>
        </r>
        <r>
          <rPr>
            <sz val="14"/>
            <color rgb="FF000000"/>
            <rFont val="Calibri"/>
            <family val="34"/>
          </rPr>
          <t xml:space="preserve">
</t>
        </r>
        <r>
          <rPr>
            <sz val="14"/>
            <color rgb="FF000000"/>
            <rFont val="Times New Roman"/>
            <family val="18"/>
          </rPr>
          <t>ML 102 IR 1 (1814) – ST March (Proßnitz 01/08/1814)</t>
        </r>
      </text>
    </comment>
    <comment ref="BH1440" authorId="0" shapeId="0" xr:uid="{8765F4CA-0710-2543-90B5-707AC7B4FF24}">
      <text>
        <r>
          <rPr>
            <sz val="14"/>
            <color rgb="FF000000"/>
            <rFont val="Calibri"/>
            <family val="34"/>
          </rPr>
          <t>IR 1 (1813-1814)</t>
        </r>
      </text>
    </comment>
    <comment ref="BF1441" authorId="0" shapeId="0" xr:uid="{2561901F-3C69-CB48-8903-AF7DEBF5F17A}">
      <text>
        <r>
          <rPr>
            <sz val="14"/>
            <color rgb="FF000000"/>
            <rFont val="Times New Roman"/>
            <family val="18"/>
          </rPr>
          <t xml:space="preserve">23/09/1813 </t>
        </r>
        <r>
          <rPr>
            <i/>
            <sz val="14"/>
            <color rgb="FF000000"/>
            <rFont val="Times New Roman"/>
            <family val="18"/>
          </rPr>
          <t xml:space="preserve">Zum IR 1 2. Landwehr Abt. zu Olmütz gestellt und zum 5. Komp eingeteilt </t>
        </r>
        <r>
          <rPr>
            <sz val="14"/>
            <color rgb="FF000000"/>
            <rFont val="Times New Roman"/>
            <family val="18"/>
          </rPr>
          <t>[AL Dec 1813 &amp; ST Sept 1813]</t>
        </r>
        <r>
          <rPr>
            <sz val="14"/>
            <color rgb="FF000000"/>
            <rFont val="Calibri"/>
            <family val="34"/>
          </rPr>
          <t xml:space="preserve">
</t>
        </r>
        <r>
          <rPr>
            <sz val="14"/>
            <color rgb="FF000000"/>
            <rFont val="Times New Roman"/>
            <family val="18"/>
          </rPr>
          <t xml:space="preserve">06/11/1813 </t>
        </r>
        <r>
          <rPr>
            <i/>
            <sz val="14"/>
            <color rgb="FF000000"/>
            <rFont val="Times New Roman"/>
            <family val="18"/>
          </rPr>
          <t>Kommandiert zu Kloster Hradisch</t>
        </r>
        <r>
          <rPr>
            <sz val="14"/>
            <color rgb="FF000000"/>
            <rFont val="Times New Roman"/>
            <family val="18"/>
          </rPr>
          <t xml:space="preserve"> [ST Nov 1813]</t>
        </r>
        <r>
          <rPr>
            <sz val="14"/>
            <color rgb="FF000000"/>
            <rFont val="Calibri"/>
            <family val="34"/>
          </rPr>
          <t xml:space="preserve">
</t>
        </r>
        <r>
          <rPr>
            <sz val="14"/>
            <color rgb="FF000000"/>
            <rFont val="Times New Roman"/>
            <family val="18"/>
          </rPr>
          <t xml:space="preserve">01/12/1813 </t>
        </r>
        <r>
          <rPr>
            <i/>
            <sz val="14"/>
            <color rgb="FF000000"/>
            <rFont val="Times New Roman"/>
            <family val="18"/>
          </rPr>
          <t>Von 5. zum 6. Landwehr Komp. transferiert, bleibt kommandiert in Kloster Hradisch</t>
        </r>
        <r>
          <rPr>
            <sz val="14"/>
            <color rgb="FF000000"/>
            <rFont val="Times New Roman"/>
            <family val="18"/>
          </rPr>
          <t xml:space="preserve"> [ST Dec 1813]</t>
        </r>
        <r>
          <rPr>
            <sz val="14"/>
            <color rgb="FF000000"/>
            <rFont val="Calibri"/>
            <family val="34"/>
          </rPr>
          <t xml:space="preserve">
</t>
        </r>
        <r>
          <rPr>
            <sz val="14"/>
            <color rgb="FF000000"/>
            <rFont val="Times New Roman"/>
            <family val="18"/>
          </rPr>
          <t xml:space="preserve">09/12/1813 </t>
        </r>
        <r>
          <rPr>
            <i/>
            <sz val="14"/>
            <color rgb="FF000000"/>
            <rFont val="Times New Roman"/>
            <family val="18"/>
          </rPr>
          <t>In HFS 3 in Kloster Hradisch gestorben</t>
        </r>
        <r>
          <rPr>
            <sz val="14"/>
            <color rgb="FF000000"/>
            <rFont val="Times New Roman"/>
            <family val="18"/>
          </rPr>
          <t xml:space="preserve"> [ST Jan 1813] </t>
        </r>
      </text>
    </comment>
    <comment ref="BG1441" authorId="0" shapeId="0" xr:uid="{F7CEAECA-318F-264D-A165-B7C534DD6AC3}">
      <text>
        <r>
          <rPr>
            <sz val="14"/>
            <color rgb="FF000000"/>
            <rFont val="Times New Roman"/>
            <family val="18"/>
          </rPr>
          <t>ML 99 IR 1 (1813) – ST Sept (Proßnitz 05/02/1814), Nov (Brünn 26/04/1814), Dec (Proßnitz 20/05/1814)</t>
        </r>
        <r>
          <rPr>
            <sz val="14"/>
            <color rgb="FF000000"/>
            <rFont val="Calibri"/>
            <family val="34"/>
          </rPr>
          <t xml:space="preserve">
</t>
        </r>
        <r>
          <rPr>
            <sz val="14"/>
            <color rgb="FF000000"/>
            <rFont val="Times New Roman"/>
            <family val="18"/>
          </rPr>
          <t>ML 101 IR 1 (1813) AL/TL VII-XII – AL Nr. 195 (Olmütz 14/12/1813)</t>
        </r>
        <r>
          <rPr>
            <sz val="14"/>
            <color rgb="FF000000"/>
            <rFont val="Calibri"/>
            <family val="34"/>
          </rPr>
          <t xml:space="preserve">
</t>
        </r>
        <r>
          <rPr>
            <sz val="14"/>
            <color rgb="FF000000"/>
            <rFont val="Times New Roman"/>
            <family val="18"/>
          </rPr>
          <t>ML 102 IR 1 (1814) – ST January (Proßnitz 01/07/1814)</t>
        </r>
      </text>
    </comment>
    <comment ref="BH1441" authorId="0" shapeId="0" xr:uid="{BF7B7DC9-7BAC-DC41-89B4-7C1F1AF2F69B}">
      <text>
        <r>
          <rPr>
            <sz val="14"/>
            <color rgb="FF000000"/>
            <rFont val="Calibri"/>
            <family val="34"/>
          </rPr>
          <t>IR 1 [Landwehr] (1813)</t>
        </r>
      </text>
    </comment>
    <comment ref="BF1442" authorId="0" shapeId="0" xr:uid="{B08F3D67-4396-E04C-B811-7307BF238EC7}">
      <text>
        <r>
          <rPr>
            <sz val="14"/>
            <color rgb="FF000000"/>
            <rFont val="Times New Roman"/>
            <family val="18"/>
          </rPr>
          <t xml:space="preserve">29/09/1813 </t>
        </r>
        <r>
          <rPr>
            <i/>
            <sz val="14"/>
            <color rgb="FF000000"/>
            <rFont val="Times New Roman"/>
            <family val="18"/>
          </rPr>
          <t xml:space="preserve">a 3Fl Handgeld von Dominien auf 14 Jahr gestellt </t>
        </r>
        <r>
          <rPr>
            <sz val="14"/>
            <color rgb="FF000000"/>
            <rFont val="Times New Roman"/>
            <family val="18"/>
          </rPr>
          <t>[TL Juli 1815]</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GB 8 4. Komp. Zum neu errichtete HFS 48 transferiert</t>
        </r>
        <r>
          <rPr>
            <sz val="14"/>
            <color rgb="FF000000"/>
            <rFont val="Times New Roman"/>
            <family val="18"/>
          </rPr>
          <t xml:space="preserve"> [TL Jul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Von Dissolvierte HFS 48 zum GB 8 transferiert</t>
        </r>
        <r>
          <rPr>
            <sz val="14"/>
            <color rgb="FF000000"/>
            <rFont val="Times New Roman"/>
            <family val="18"/>
          </rPr>
          <t xml:space="preserve"> [VerpfL Jan 1816]</t>
        </r>
        <r>
          <rPr>
            <sz val="14"/>
            <color rgb="FF000000"/>
            <rFont val="Calibri"/>
            <family val="34"/>
          </rPr>
          <t xml:space="preserve">
</t>
        </r>
      </text>
    </comment>
    <comment ref="BG1442" authorId="0" shapeId="0" xr:uid="{04948C5F-4DF4-9046-9FB5-71FEF0B83795}">
      <text>
        <r>
          <rPr>
            <sz val="14"/>
            <color rgb="FF000000"/>
            <rFont val="Times New Roman"/>
            <family val="18"/>
          </rPr>
          <t>ML 12.017 HFS 48 (1815) – TL GB 8-&gt;HFS 48 Nr. 13 (Czernowitz 31/07/1815)</t>
        </r>
        <r>
          <rPr>
            <sz val="14"/>
            <color rgb="FF000000"/>
            <rFont val="Calibri"/>
            <family val="34"/>
          </rPr>
          <t xml:space="preserve">
</t>
        </r>
        <r>
          <rPr>
            <sz val="14"/>
            <color rgb="FF000000"/>
            <rFont val="Times New Roman"/>
            <family val="18"/>
          </rPr>
          <t>ML 12.018 HFS 48 (1816) – VerpfL Jan 1816 (Prague 20/01/1816)</t>
        </r>
      </text>
    </comment>
    <comment ref="BH1442" authorId="0" shapeId="0" xr:uid="{1A2746B6-D4C4-E641-BE3A-71FFF09AB5F2}">
      <text>
        <r>
          <rPr>
            <sz val="14"/>
            <color rgb="FF000000"/>
            <rFont val="Calibri"/>
            <family val="34"/>
          </rPr>
          <t xml:space="preserve">GB 8 (1813-15)
</t>
        </r>
        <r>
          <rPr>
            <sz val="14"/>
            <color rgb="FF000000"/>
            <rFont val="Calibri"/>
            <family val="34"/>
          </rPr>
          <t xml:space="preserve">HFS 48 (1815-1816)
</t>
        </r>
        <r>
          <rPr>
            <sz val="14"/>
            <color rgb="FF000000"/>
            <rFont val="Calibri"/>
            <family val="34"/>
          </rPr>
          <t>GB 8 (1816)</t>
        </r>
      </text>
    </comment>
    <comment ref="BI1442" authorId="0" shapeId="0" xr:uid="{C0CE4E25-4841-5447-99B6-1CDAA5F3A458}">
      <text>
        <r>
          <rPr>
            <sz val="14"/>
            <color rgb="FF000000"/>
            <rFont val="Calibri"/>
            <family val="34"/>
          </rPr>
          <t>Gut [TL Juli 1815]</t>
        </r>
      </text>
    </comment>
    <comment ref="BF1443" authorId="0" shapeId="0" xr:uid="{1FFA43E8-F1EC-1440-81E8-A44B6CD9B94A}">
      <text>
        <r>
          <rPr>
            <sz val="14"/>
            <color rgb="FF000000"/>
            <rFont val="Times New Roman"/>
            <family val="18"/>
          </rPr>
          <t xml:space="preserve">24/11/1813 </t>
        </r>
        <r>
          <rPr>
            <i/>
            <sz val="14"/>
            <color rgb="FF000000"/>
            <rFont val="Times New Roman"/>
            <family val="18"/>
          </rPr>
          <t xml:space="preserve">Als landständischer Rekrut von eigene Werbbezirk für IR 1 zu Neu Sandez assentiert </t>
        </r>
        <r>
          <rPr>
            <sz val="14"/>
            <color rgb="FF000000"/>
            <rFont val="Calibri"/>
            <family val="34"/>
          </rPr>
          <t xml:space="preserve"> </t>
        </r>
        <r>
          <rPr>
            <sz val="14"/>
            <color rgb="FF000000"/>
            <rFont val="Times New Roman"/>
            <family val="18"/>
          </rPr>
          <t>[AL Nov 1813 &amp; ST Nov 1813]</t>
        </r>
        <r>
          <rPr>
            <sz val="14"/>
            <color rgb="FF000000"/>
            <rFont val="Calibri"/>
            <family val="34"/>
          </rPr>
          <t xml:space="preserve">
</t>
        </r>
        <r>
          <rPr>
            <sz val="14"/>
            <color rgb="FF000000"/>
            <rFont val="Times New Roman"/>
            <family val="18"/>
          </rPr>
          <t xml:space="preserve">30/11/1813 [Nach] UNBEKANNT: </t>
        </r>
        <r>
          <rPr>
            <b/>
            <sz val="14"/>
            <color rgb="FF000000"/>
            <rFont val="Times New Roman"/>
            <family val="18"/>
          </rPr>
          <t>Der Soldat erscheint danach nicht mehr in die Quellen</t>
        </r>
        <r>
          <rPr>
            <sz val="14"/>
            <color rgb="FF000000"/>
            <rFont val="Calibri"/>
            <family val="34"/>
          </rPr>
          <t xml:space="preserve">
</t>
        </r>
      </text>
    </comment>
    <comment ref="BG1443" authorId="0" shapeId="0" xr:uid="{3578AD22-44A7-CD4F-AD3A-89B424083004}">
      <text>
        <r>
          <rPr>
            <sz val="14"/>
            <color rgb="FF000000"/>
            <rFont val="Times New Roman"/>
            <family val="18"/>
          </rPr>
          <t>ML 99 IR 1 (1813) – ST Nov (Brünn 26/04/1814)</t>
        </r>
        <r>
          <rPr>
            <sz val="14"/>
            <color rgb="FF000000"/>
            <rFont val="Calibri"/>
            <family val="34"/>
          </rPr>
          <t xml:space="preserve">
</t>
        </r>
        <r>
          <rPr>
            <sz val="14"/>
            <color rgb="FF000000"/>
            <rFont val="Times New Roman"/>
            <family val="18"/>
          </rPr>
          <t>ML 101 IR 1 (1813) AL/TL VII-XII – AL Nr. 84 (Neu Sandec 27/10/1813)</t>
        </r>
        <r>
          <rPr>
            <sz val="14"/>
            <color rgb="FF000000"/>
            <rFont val="Calibri"/>
            <family val="34"/>
          </rPr>
          <t xml:space="preserve">
</t>
        </r>
        <r>
          <rPr>
            <sz val="14"/>
            <color rgb="FF000000"/>
            <rFont val="Times New Roman"/>
            <family val="18"/>
          </rPr>
          <t>)</t>
        </r>
      </text>
    </comment>
    <comment ref="BH1443" authorId="0" shapeId="0" xr:uid="{240DBA77-94E3-204C-B454-C3C2854471B5}">
      <text>
        <r>
          <rPr>
            <sz val="14"/>
            <color rgb="FF000000"/>
            <rFont val="Calibri"/>
            <family val="34"/>
          </rPr>
          <t>IR 1 (1813)</t>
        </r>
      </text>
    </comment>
    <comment ref="BF1444" authorId="0" shapeId="0" xr:uid="{2776DDC7-C55B-4648-8E3C-86DCB185A86D}">
      <text>
        <r>
          <rPr>
            <sz val="14"/>
            <color rgb="FF000000"/>
            <rFont val="Times New Roman"/>
            <family val="18"/>
          </rPr>
          <t xml:space="preserve">12/10/1813 </t>
        </r>
        <r>
          <rPr>
            <i/>
            <sz val="14"/>
            <color rgb="FF000000"/>
            <rFont val="Times New Roman"/>
            <family val="18"/>
          </rPr>
          <t xml:space="preserve">Als Werbbezirk Rekrut a 3Fl gestellt und zur Landwehr 2. Abteilung 5. Komp. eingeteilt </t>
        </r>
        <r>
          <rPr>
            <sz val="14"/>
            <color rgb="FF000000"/>
            <rFont val="Times New Roman"/>
            <family val="18"/>
          </rPr>
          <t>[ST Oct 1813]</t>
        </r>
        <r>
          <rPr>
            <sz val="14"/>
            <color rgb="FF000000"/>
            <rFont val="Calibri"/>
            <family val="34"/>
          </rPr>
          <t xml:space="preserve">
</t>
        </r>
        <r>
          <rPr>
            <sz val="14"/>
            <color rgb="FF000000"/>
            <rFont val="Times New Roman"/>
            <family val="18"/>
          </rPr>
          <t xml:space="preserve">28/12/1813 </t>
        </r>
        <r>
          <rPr>
            <i/>
            <sz val="14"/>
            <color rgb="FF000000"/>
            <rFont val="Times New Roman"/>
            <family val="18"/>
          </rPr>
          <t>Krank in Armee Spital</t>
        </r>
        <r>
          <rPr>
            <sz val="14"/>
            <color rgb="FF000000"/>
            <rFont val="Times New Roman"/>
            <family val="18"/>
          </rPr>
          <t xml:space="preserve"> [ST Dec 1813]</t>
        </r>
        <r>
          <rPr>
            <sz val="14"/>
            <color rgb="FF000000"/>
            <rFont val="Calibri"/>
            <family val="34"/>
          </rPr>
          <t xml:space="preserve">
</t>
        </r>
        <r>
          <rPr>
            <sz val="14"/>
            <color rgb="FF000000"/>
            <rFont val="Times New Roman"/>
            <family val="18"/>
          </rPr>
          <t xml:space="preserve">11/01/1814 </t>
        </r>
        <r>
          <rPr>
            <i/>
            <sz val="14"/>
            <color rgb="FF000000"/>
            <rFont val="Times New Roman"/>
            <family val="18"/>
          </rPr>
          <t>Rekonvalesziert</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21/12/1814 </t>
        </r>
        <r>
          <rPr>
            <i/>
            <sz val="14"/>
            <color rgb="FF000000"/>
            <rFont val="Times New Roman"/>
            <family val="18"/>
          </rPr>
          <t>Beurlaubt bis zur Einberufung</t>
        </r>
        <r>
          <rPr>
            <sz val="14"/>
            <color rgb="FF000000"/>
            <rFont val="Times New Roman"/>
            <family val="18"/>
          </rPr>
          <t xml:space="preserve"> [ST Dec 1814]</t>
        </r>
        <r>
          <rPr>
            <sz val="14"/>
            <color rgb="FF000000"/>
            <rFont val="Calibri"/>
            <family val="34"/>
          </rPr>
          <t xml:space="preserve">
</t>
        </r>
        <r>
          <rPr>
            <sz val="14"/>
            <color rgb="FF000000"/>
            <rFont val="Times New Roman"/>
            <family val="18"/>
          </rPr>
          <t xml:space="preserve">30/04/1815 </t>
        </r>
        <r>
          <rPr>
            <i/>
            <sz val="14"/>
            <color rgb="FF000000"/>
            <rFont val="Times New Roman"/>
            <family val="18"/>
          </rPr>
          <t>Von Unbestimmte Urlaub zurück</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16/09/1815 </t>
        </r>
        <r>
          <rPr>
            <i/>
            <sz val="14"/>
            <color rgb="FF000000"/>
            <rFont val="Times New Roman"/>
            <family val="18"/>
          </rPr>
          <t>Bis zur Einberufung beurlaubt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29/02/1816 </t>
        </r>
        <r>
          <rPr>
            <i/>
            <sz val="14"/>
            <color rgb="FF000000"/>
            <rFont val="Times New Roman"/>
            <family val="18"/>
          </rPr>
          <t>Zu Folge hoher General Commando Verordnung ddeto Brünn von 1. Februar a:d: copia R 1154 mit der ferner Widmung zur Landwehr mit Landwehr Karte von unbestimmte Urlaub entlassen</t>
        </r>
        <r>
          <rPr>
            <sz val="14"/>
            <color rgb="FF000000"/>
            <rFont val="Times New Roman"/>
            <family val="18"/>
          </rPr>
          <t xml:space="preserve"> [ST March 1816]</t>
        </r>
      </text>
    </comment>
    <comment ref="BG1444" authorId="0" shapeId="0" xr:uid="{85768595-FBD3-AB4F-9806-AC2387E0EFB9}">
      <text>
        <r>
          <rPr>
            <sz val="14"/>
            <color rgb="FF000000"/>
            <rFont val="Times New Roman"/>
            <family val="18"/>
          </rPr>
          <t>ML 99 IR 1 (1813) – ST Oct (Proßnitz 15/03/1814), Dec (Proßnitz 20/05/1814)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Dec  (Proßnitz 20/03/1815)</t>
        </r>
        <r>
          <rPr>
            <sz val="14"/>
            <color rgb="FF000000"/>
            <rFont val="Calibri"/>
            <family val="34"/>
          </rPr>
          <t xml:space="preserve">
</t>
        </r>
        <r>
          <rPr>
            <sz val="14"/>
            <color rgb="FF000000"/>
            <rFont val="Times New Roman"/>
            <family val="18"/>
          </rPr>
          <t>ML 105 IR 1 (1815) – ST April (Proßnitz 15/09/1815), Sept (Proßnitz 18/02/1816)</t>
        </r>
        <r>
          <rPr>
            <sz val="14"/>
            <color rgb="FF000000"/>
            <rFont val="Calibri"/>
            <family val="34"/>
          </rPr>
          <t xml:space="preserve">
</t>
        </r>
        <r>
          <rPr>
            <sz val="14"/>
            <color rgb="FF000000"/>
            <rFont val="Times New Roman"/>
            <family val="18"/>
          </rPr>
          <t>ML 107 IR 1 (1816) – ST March (Proßnitz 10/05/1816)</t>
        </r>
      </text>
    </comment>
    <comment ref="BH1444" authorId="0" shapeId="0" xr:uid="{B9BAE1FC-B456-AB46-9348-0D1EA5F0E6CD}">
      <text>
        <r>
          <rPr>
            <sz val="14"/>
            <color rgb="FF000000"/>
            <rFont val="Calibri"/>
            <family val="34"/>
          </rPr>
          <t>IR 1 [Landwehr] (1813-1816)</t>
        </r>
      </text>
    </comment>
    <comment ref="BF1445" authorId="0" shapeId="0" xr:uid="{02C2C8BC-DB8A-374D-8735-8708DAD9B676}">
      <text>
        <r>
          <rPr>
            <sz val="14"/>
            <color rgb="FF000000"/>
            <rFont val="Times New Roman"/>
            <family val="18"/>
          </rPr>
          <t xml:space="preserve">16/10/1813 </t>
        </r>
        <r>
          <rPr>
            <i/>
            <sz val="14"/>
            <color rgb="FF000000"/>
            <rFont val="Times New Roman"/>
            <family val="18"/>
          </rPr>
          <t xml:space="preserve">Als Werbbezirk Rekrut a 3Fl gestellt und zur Landwehr 2. Abteilung 5. Komp. eingeteilt </t>
        </r>
        <r>
          <rPr>
            <sz val="14"/>
            <color rgb="FF000000"/>
            <rFont val="Times New Roman"/>
            <family val="18"/>
          </rPr>
          <t>[ST Oct 1813]</t>
        </r>
        <r>
          <rPr>
            <sz val="14"/>
            <color rgb="FF000000"/>
            <rFont val="Calibri"/>
            <family val="34"/>
          </rPr>
          <t xml:space="preserve">
</t>
        </r>
        <r>
          <rPr>
            <sz val="14"/>
            <color rgb="FF000000"/>
            <rFont val="Times New Roman"/>
            <family val="18"/>
          </rPr>
          <t xml:space="preserve">11/07/1814 </t>
        </r>
        <r>
          <rPr>
            <i/>
            <sz val="14"/>
            <color rgb="FF000000"/>
            <rFont val="Times New Roman"/>
            <family val="18"/>
          </rPr>
          <t>Beurlaubt bis zur Einberufung</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27/03/1815 </t>
        </r>
        <r>
          <rPr>
            <i/>
            <sz val="14"/>
            <color rgb="FF000000"/>
            <rFont val="Times New Roman"/>
            <family val="18"/>
          </rPr>
          <t>Von Unbestimmte Urlaub zurück</t>
        </r>
        <r>
          <rPr>
            <sz val="14"/>
            <color rgb="FF000000"/>
            <rFont val="Times New Roman"/>
            <family val="18"/>
          </rPr>
          <t xml:space="preserve"> [ST April 1815]</t>
        </r>
        <r>
          <rPr>
            <sz val="14"/>
            <color rgb="FF000000"/>
            <rFont val="Calibri"/>
            <family val="34"/>
          </rPr>
          <t xml:space="preserve">
</t>
        </r>
        <r>
          <rPr>
            <sz val="14"/>
            <color rgb="FF000000"/>
            <rFont val="Times New Roman"/>
            <family val="18"/>
          </rPr>
          <t xml:space="preserve">16/09/1815 </t>
        </r>
        <r>
          <rPr>
            <i/>
            <sz val="14"/>
            <color rgb="FF000000"/>
            <rFont val="Times New Roman"/>
            <family val="18"/>
          </rPr>
          <t>Bis zur Einberufung beurlaubt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29/02/1816 </t>
        </r>
        <r>
          <rPr>
            <i/>
            <sz val="14"/>
            <color rgb="FF000000"/>
            <rFont val="Times New Roman"/>
            <family val="18"/>
          </rPr>
          <t>Zu Folge hoher General Commando Verordnung ddeto Brünn von 1. Februar a:d: copia R 1154 mit der ferner Widmung zur Landwehr mit Landwehr Karte von unbestimmte Urlaub entlassen entlassen</t>
        </r>
        <r>
          <rPr>
            <sz val="14"/>
            <color rgb="FF000000"/>
            <rFont val="Times New Roman"/>
            <family val="18"/>
          </rPr>
          <t xml:space="preserve"> [ST March 1816]</t>
        </r>
      </text>
    </comment>
    <comment ref="BG1445" authorId="0" shapeId="0" xr:uid="{8E1160D0-6241-DF42-BBD5-45420276678B}">
      <text>
        <r>
          <rPr>
            <sz val="14"/>
            <color rgb="FF000000"/>
            <rFont val="Times New Roman"/>
            <family val="18"/>
          </rPr>
          <t>ML 99 IR 1 (1813) – ST Oct (Proßnitz 15/03/1814)</t>
        </r>
        <r>
          <rPr>
            <sz val="14"/>
            <color rgb="FF000000"/>
            <rFont val="Calibri"/>
            <family val="34"/>
          </rPr>
          <t xml:space="preserve">
</t>
        </r>
        <r>
          <rPr>
            <sz val="14"/>
            <color rgb="FF000000"/>
            <rFont val="Times New Roman"/>
            <family val="18"/>
          </rPr>
          <t>ML 103 IR 1 (1814) VI-XII</t>
        </r>
        <r>
          <rPr>
            <b/>
            <sz val="14"/>
            <color rgb="FF000000"/>
            <rFont val="Times New Roman"/>
            <family val="18"/>
          </rPr>
          <t xml:space="preserve"> </t>
        </r>
        <r>
          <rPr>
            <sz val="14"/>
            <color rgb="FF000000"/>
            <rFont val="Times New Roman"/>
            <family val="18"/>
          </rPr>
          <t>– ST July (Proßnitz 26/06/1815)</t>
        </r>
        <r>
          <rPr>
            <sz val="14"/>
            <color rgb="FF000000"/>
            <rFont val="Calibri"/>
            <family val="34"/>
          </rPr>
          <t xml:space="preserve">
</t>
        </r>
        <r>
          <rPr>
            <sz val="14"/>
            <color rgb="FF000000"/>
            <rFont val="Times New Roman"/>
            <family val="18"/>
          </rPr>
          <t>ML 105 IR 1 (1815) – ST April (Proßnitz 15/09/1815), Sept (Proßnitz 18/02/1816)</t>
        </r>
        <r>
          <rPr>
            <sz val="14"/>
            <color rgb="FF000000"/>
            <rFont val="Calibri"/>
            <family val="34"/>
          </rPr>
          <t xml:space="preserve">
</t>
        </r>
        <r>
          <rPr>
            <sz val="14"/>
            <color rgb="FF000000"/>
            <rFont val="Times New Roman"/>
            <family val="18"/>
          </rPr>
          <t>ML 107 IR 1 (1816) – ST March (Proßnitz 10/05/1816)</t>
        </r>
      </text>
    </comment>
    <comment ref="BH1445" authorId="0" shapeId="0" xr:uid="{72941E4A-1803-894F-BC62-5056C70ABCFC}">
      <text>
        <r>
          <rPr>
            <sz val="14"/>
            <color rgb="FF000000"/>
            <rFont val="Calibri"/>
            <family val="34"/>
          </rPr>
          <t>IR 1 [Landwehr] (1813-1816)</t>
        </r>
      </text>
    </comment>
    <comment ref="T1446" authorId="0" shapeId="0" xr:uid="{DC051CAE-ADA9-F04B-9A70-97A4AADB9302}">
      <text>
        <r>
          <rPr>
            <b/>
            <sz val="14"/>
            <color rgb="FF000000"/>
            <rFont val="Calibri"/>
            <family val="34"/>
          </rPr>
          <t xml:space="preserve">5.6.3 [174.44 cm (TL 1818)]
</t>
        </r>
        <r>
          <rPr>
            <sz val="14"/>
            <color rgb="FF000000"/>
            <rFont val="Calibri"/>
            <family val="34"/>
          </rPr>
          <t>5.7 [176.41 cm (ML 1818)]</t>
        </r>
      </text>
    </comment>
    <comment ref="BF1446" authorId="0" shapeId="0" xr:uid="{1CCE48D4-A29E-0642-9E5F-06C67D12FF96}">
      <text>
        <r>
          <rPr>
            <sz val="14"/>
            <color rgb="FF000000"/>
            <rFont val="Times New Roman"/>
            <family val="18"/>
          </rPr>
          <t xml:space="preserve">16/10/1813 </t>
        </r>
        <r>
          <rPr>
            <i/>
            <sz val="14"/>
            <color rgb="FF000000"/>
            <rFont val="Times New Roman"/>
            <family val="18"/>
          </rPr>
          <t>A 3Fl Handgeld assentiert</t>
        </r>
        <r>
          <rPr>
            <sz val="14"/>
            <color rgb="FF000000"/>
            <rFont val="Times New Roman"/>
            <family val="18"/>
          </rPr>
          <t xml:space="preserve"> [TL Oct 1817]</t>
        </r>
        <r>
          <rPr>
            <sz val="14"/>
            <color rgb="FF000000"/>
            <rFont val="Calibri"/>
            <family val="34"/>
          </rPr>
          <t xml:space="preserve">
</t>
        </r>
        <r>
          <rPr>
            <sz val="14"/>
            <color rgb="FF000000"/>
            <rFont val="Times New Roman"/>
            <family val="18"/>
          </rPr>
          <t xml:space="preserve">01/10/1817 </t>
        </r>
        <r>
          <rPr>
            <i/>
            <sz val="14"/>
            <color rgb="FF000000"/>
            <rFont val="Times New Roman"/>
            <family val="18"/>
          </rPr>
          <t>Von IR 7 5. Fus Komp. als in Hradischer und Prerauer gebürtige unbestimmt Urlauber zum IR 1 transferiert und zum 6. Fus. Komp. eingeteilt</t>
        </r>
        <r>
          <rPr>
            <sz val="14"/>
            <color rgb="FF000000"/>
            <rFont val="Times New Roman"/>
            <family val="18"/>
          </rPr>
          <t xml:space="preserve"> [TL Oct 1817 &amp; ML 1818]</t>
        </r>
        <r>
          <rPr>
            <sz val="14"/>
            <color rgb="FF000000"/>
            <rFont val="Calibri"/>
            <family val="34"/>
          </rPr>
          <t xml:space="preserve">
</t>
        </r>
        <r>
          <rPr>
            <sz val="14"/>
            <color rgb="FF000000"/>
            <rFont val="Times New Roman"/>
            <family val="18"/>
          </rPr>
          <t>19/09/1818 Muster: IR 1 6. Fus. Komp. Nr. 204 [</t>
        </r>
        <r>
          <rPr>
            <i/>
            <sz val="14"/>
            <color rgb="FF000000"/>
            <rFont val="Times New Roman"/>
            <family val="18"/>
          </rPr>
          <t>Bis zur Einberufung beurlaubt</t>
        </r>
        <r>
          <rPr>
            <sz val="14"/>
            <color rgb="FF000000"/>
            <rFont val="Times New Roman"/>
            <family val="18"/>
          </rPr>
          <t>]</t>
        </r>
        <r>
          <rPr>
            <sz val="14"/>
            <color rgb="FF000000"/>
            <rFont val="Calibri"/>
            <family val="34"/>
          </rPr>
          <t xml:space="preserve">
</t>
        </r>
        <r>
          <rPr>
            <sz val="14"/>
            <color rgb="FF000000"/>
            <rFont val="Times New Roman"/>
            <family val="18"/>
          </rPr>
          <t xml:space="preserve">21/08/1819 </t>
        </r>
        <r>
          <rPr>
            <i/>
            <sz val="14"/>
            <color rgb="FF000000"/>
            <rFont val="Times New Roman"/>
            <family val="18"/>
          </rPr>
          <t>Von unbestimmte Urlaub eingerückt</t>
        </r>
        <r>
          <rPr>
            <sz val="14"/>
            <color rgb="FF000000"/>
            <rFont val="Times New Roman"/>
            <family val="18"/>
          </rPr>
          <t xml:space="preserve"> [ST Aug 1819]</t>
        </r>
        <r>
          <rPr>
            <sz val="14"/>
            <color rgb="FF000000"/>
            <rFont val="Calibri"/>
            <family val="34"/>
          </rPr>
          <t xml:space="preserve">
</t>
        </r>
        <r>
          <rPr>
            <sz val="14"/>
            <color rgb="FF000000"/>
            <rFont val="Times New Roman"/>
            <family val="18"/>
          </rPr>
          <t xml:space="preserve">24/08/1819 </t>
        </r>
        <r>
          <rPr>
            <i/>
            <sz val="14"/>
            <color rgb="FF000000"/>
            <rFont val="Times New Roman"/>
            <family val="18"/>
          </rPr>
          <t>Bei der Grenadier Division zugeteilt</t>
        </r>
        <r>
          <rPr>
            <sz val="14"/>
            <color rgb="FF000000"/>
            <rFont val="Times New Roman"/>
            <family val="18"/>
          </rPr>
          <t xml:space="preserve"> [ST Aug 1819]</t>
        </r>
        <r>
          <rPr>
            <sz val="14"/>
            <color rgb="FF000000"/>
            <rFont val="Calibri"/>
            <family val="34"/>
          </rPr>
          <t xml:space="preserve">
</t>
        </r>
        <r>
          <rPr>
            <sz val="14"/>
            <color rgb="FF000000"/>
            <rFont val="Times New Roman"/>
            <family val="18"/>
          </rPr>
          <t>14/09/1819 Muster: IR 1 6. Fus. Komp. Nr. 257 [</t>
        </r>
        <r>
          <rPr>
            <i/>
            <sz val="14"/>
            <color rgb="FF000000"/>
            <rFont val="Times New Roman"/>
            <family val="18"/>
          </rPr>
          <t>Zum Complementierungs der Grenadier bei der Grenadier Division zugeteilt</t>
        </r>
        <r>
          <rPr>
            <sz val="14"/>
            <color rgb="FF000000"/>
            <rFont val="Times New Roman"/>
            <family val="18"/>
          </rPr>
          <t>]</t>
        </r>
        <r>
          <rPr>
            <sz val="14"/>
            <color rgb="FF000000"/>
            <rFont val="Calibri"/>
            <family val="34"/>
          </rPr>
          <t xml:space="preserve">
</t>
        </r>
        <r>
          <rPr>
            <sz val="14"/>
            <color rgb="FF000000"/>
            <rFont val="Times New Roman"/>
            <family val="18"/>
          </rPr>
          <t xml:space="preserve">17/09/1819 </t>
        </r>
        <r>
          <rPr>
            <i/>
            <sz val="14"/>
            <color rgb="FF000000"/>
            <rFont val="Times New Roman"/>
            <family val="18"/>
          </rPr>
          <t>Beurlaubt auf Bestimmte Zeit</t>
        </r>
        <r>
          <rPr>
            <sz val="14"/>
            <color rgb="FF000000"/>
            <rFont val="Times New Roman"/>
            <family val="18"/>
          </rPr>
          <t xml:space="preserve"> [ST Sept 1819[</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6. zum 15.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15. Fus Komp</t>
        </r>
        <r>
          <rPr>
            <sz val="14"/>
            <color rgb="FF000000"/>
            <rFont val="Times New Roman"/>
            <family val="18"/>
          </rPr>
          <t xml:space="preserve"> [ST Oct 1820]</t>
        </r>
        <r>
          <rPr>
            <sz val="14"/>
            <color rgb="FF000000"/>
            <rFont val="Calibri"/>
            <family val="34"/>
          </rPr>
          <t xml:space="preserve">
</t>
        </r>
      </text>
    </comment>
    <comment ref="BG1446" authorId="0" shapeId="0" xr:uid="{5713E244-4CE9-0A46-B13B-4768C1DDFFE3}">
      <text>
        <r>
          <rPr>
            <sz val="14"/>
            <color rgb="FF000000"/>
            <rFont val="Times New Roman"/>
            <family val="18"/>
          </rPr>
          <t>ML 36/7 IR 1 (1818) – IR 1 4. Fus. Komp. 204 (Brünn 19/09/1818)</t>
        </r>
        <r>
          <rPr>
            <sz val="14"/>
            <color rgb="FF000000"/>
            <rFont val="Calibri"/>
            <family val="34"/>
          </rPr>
          <t xml:space="preserve">
</t>
        </r>
        <r>
          <rPr>
            <sz val="14"/>
            <color rgb="FF000000"/>
            <rFont val="Times New Roman"/>
            <family val="18"/>
          </rPr>
          <t>ML 38/9 IR 1 (1819) – IR 1 6. Fus. Komp. 270 (Olmütz 14/09/1819)</t>
        </r>
        <r>
          <rPr>
            <sz val="14"/>
            <color rgb="FF000000"/>
            <rFont val="Calibri"/>
            <family val="34"/>
          </rPr>
          <t xml:space="preserve">
</t>
        </r>
        <r>
          <rPr>
            <sz val="14"/>
            <color rgb="FF000000"/>
            <rFont val="Times New Roman"/>
            <family val="18"/>
          </rPr>
          <t>ML 110 IR 1 (1817) AL/TL – TL IR 7-&gt;IR 1 Nr. 327 (Neutischein 15/10/1817)</t>
        </r>
        <r>
          <rPr>
            <sz val="14"/>
            <color rgb="FF000000"/>
            <rFont val="Calibri"/>
            <family val="34"/>
          </rPr>
          <t xml:space="preserve">
</t>
        </r>
        <r>
          <rPr>
            <sz val="14"/>
            <color rgb="FF000000"/>
            <rFont val="Times New Roman"/>
            <family val="18"/>
          </rPr>
          <t>ML 113 IR 1 (1819) – TL ST Aug (Cremsier 24/10/1819), Sept (20/11/1819)</t>
        </r>
        <r>
          <rPr>
            <sz val="14"/>
            <color rgb="FF000000"/>
            <rFont val="Calibri"/>
            <family val="34"/>
          </rPr>
          <t xml:space="preserve">
</t>
        </r>
        <r>
          <rPr>
            <sz val="14"/>
            <color rgb="FF000000"/>
            <rFont val="Times New Roman"/>
            <family val="18"/>
          </rPr>
          <t>ML 115 IR 1 (1820) – ST Aug (Cremsier 15/11/1820), Oct (15/01/1820)</t>
        </r>
        <r>
          <rPr>
            <sz val="14"/>
            <color rgb="FF000000"/>
            <rFont val="Calibri"/>
            <family val="34"/>
          </rPr>
          <t xml:space="preserve">
</t>
        </r>
      </text>
    </comment>
    <comment ref="BH1446" authorId="0" shapeId="0" xr:uid="{5EF6ECE8-F74D-FF4D-847A-BFF66B54C5A4}">
      <text>
        <r>
          <rPr>
            <sz val="14"/>
            <color rgb="FF000000"/>
            <rFont val="Calibri"/>
            <family val="34"/>
          </rPr>
          <t xml:space="preserve">IR 7 (1813-1817)
</t>
        </r>
        <r>
          <rPr>
            <sz val="14"/>
            <color rgb="FF000000"/>
            <rFont val="Calibri"/>
            <family val="34"/>
          </rPr>
          <t>IR 1 (1817-1820)</t>
        </r>
      </text>
    </comment>
    <comment ref="T1447" authorId="0" shapeId="0" xr:uid="{F8074828-7F64-E84C-AE2C-94F902C3383B}">
      <text>
        <r>
          <rPr>
            <sz val="14"/>
            <color rgb="FF000000"/>
            <rFont val="Calibri"/>
            <family val="34"/>
          </rPr>
          <t xml:space="preserve">5.1 [160.63 cm] (AL 1813]
</t>
        </r>
        <r>
          <rPr>
            <b/>
            <sz val="14"/>
            <color rgb="FF000000"/>
            <rFont val="Calibri"/>
            <family val="34"/>
          </rPr>
          <t>5.3 [165.89 cm (ML 1817)]</t>
        </r>
      </text>
    </comment>
    <comment ref="BF1447" authorId="0" shapeId="0" xr:uid="{4229A999-CC28-1A4B-A8BF-327E8E36DEE7}">
      <text>
        <r>
          <rPr>
            <sz val="14"/>
            <color rgb="FF000000"/>
            <rFont val="Times New Roman"/>
            <family val="18"/>
          </rPr>
          <t xml:space="preserve">22/10/1813 </t>
        </r>
        <r>
          <rPr>
            <i/>
            <sz val="14"/>
            <color rgb="FF000000"/>
            <rFont val="Times New Roman"/>
            <family val="18"/>
          </rPr>
          <t>Als inländischer Rekrut von Werbbezirk von 10. Reisky Regiment für IR 1 gestellt und zu Tarnow assentiert</t>
        </r>
        <r>
          <rPr>
            <sz val="14"/>
            <color rgb="FF000000"/>
            <rFont val="Times New Roman"/>
            <family val="18"/>
          </rPr>
          <t xml:space="preserve">; Galizier, </t>
        </r>
        <r>
          <rPr>
            <i/>
            <sz val="14"/>
            <color rgb="FF000000"/>
            <rFont val="Times New Roman"/>
            <family val="18"/>
          </rPr>
          <t>Kleiner Statur, schwarzer Haare und Augen, gespitzte Nase, länglichen Angesichts</t>
        </r>
        <r>
          <rPr>
            <sz val="14"/>
            <color rgb="FF000000"/>
            <rFont val="Times New Roman"/>
            <family val="18"/>
          </rPr>
          <t xml:space="preserve"> [AL Oct 1813 &amp; ST Oct 1813]</t>
        </r>
        <r>
          <rPr>
            <sz val="14"/>
            <color rgb="FF000000"/>
            <rFont val="Calibri"/>
            <family val="34"/>
          </rPr>
          <t xml:space="preserve">
</t>
        </r>
        <r>
          <rPr>
            <sz val="14"/>
            <color rgb="FF000000"/>
            <rFont val="Times New Roman"/>
            <family val="18"/>
          </rPr>
          <t xml:space="preserve">28/10/1813 </t>
        </r>
        <r>
          <rPr>
            <i/>
            <sz val="14"/>
            <color rgb="FF000000"/>
            <rFont val="Times New Roman"/>
            <family val="18"/>
          </rPr>
          <t>Kommt in Depot</t>
        </r>
        <r>
          <rPr>
            <sz val="14"/>
            <color rgb="FF000000"/>
            <rFont val="Times New Roman"/>
            <family val="18"/>
          </rPr>
          <t xml:space="preserve"> [ST Oct 1813]</t>
        </r>
        <r>
          <rPr>
            <sz val="14"/>
            <color rgb="FF000000"/>
            <rFont val="Calibri"/>
            <family val="34"/>
          </rPr>
          <t xml:space="preserve">
</t>
        </r>
        <r>
          <rPr>
            <sz val="14"/>
            <color rgb="FF000000"/>
            <rFont val="Times New Roman"/>
            <family val="18"/>
          </rPr>
          <t xml:space="preserve">16/11/1813 </t>
        </r>
        <r>
          <rPr>
            <i/>
            <sz val="14"/>
            <color rgb="FF000000"/>
            <rFont val="Times New Roman"/>
            <family val="18"/>
          </rPr>
          <t>Von 21 Fus. [2. Depot] zum 20. Fus. Komp. transferiert</t>
        </r>
        <r>
          <rPr>
            <sz val="14"/>
            <color rgb="FF000000"/>
            <rFont val="Times New Roman"/>
            <family val="18"/>
          </rPr>
          <t xml:space="preserve"> [ST Nov 1813]</t>
        </r>
        <r>
          <rPr>
            <sz val="14"/>
            <color rgb="FF000000"/>
            <rFont val="Calibri"/>
            <family val="34"/>
          </rPr>
          <t xml:space="preserve">
</t>
        </r>
        <r>
          <rPr>
            <sz val="14"/>
            <color rgb="FF000000"/>
            <rFont val="Times New Roman"/>
            <family val="18"/>
          </rPr>
          <t xml:space="preserve">01/03/1814 </t>
        </r>
        <r>
          <rPr>
            <i/>
            <sz val="14"/>
            <color rgb="FF000000"/>
            <rFont val="Times New Roman"/>
            <family val="18"/>
          </rPr>
          <t>Von 20. zum 12. Fus. Komp. transferiert, seitdem auf Etappen auswärts</t>
        </r>
        <r>
          <rPr>
            <sz val="14"/>
            <color rgb="FF000000"/>
            <rFont val="Times New Roman"/>
            <family val="18"/>
          </rPr>
          <t xml:space="preserve"> [ST April 1814]</t>
        </r>
        <r>
          <rPr>
            <sz val="14"/>
            <color rgb="FF000000"/>
            <rFont val="Calibri"/>
            <family val="34"/>
          </rPr>
          <t xml:space="preserve">
</t>
        </r>
        <r>
          <rPr>
            <sz val="14"/>
            <color rgb="FF000000"/>
            <rFont val="Times New Roman"/>
            <family val="18"/>
          </rPr>
          <t xml:space="preserve">07/03/1814 </t>
        </r>
        <r>
          <rPr>
            <i/>
            <sz val="14"/>
            <color rgb="FF000000"/>
            <rFont val="Times New Roman"/>
            <family val="18"/>
          </rPr>
          <t xml:space="preserve">In Kompanie eigeruckt </t>
        </r>
        <r>
          <rPr>
            <sz val="14"/>
            <color rgb="FF000000"/>
            <rFont val="Times New Roman"/>
            <family val="18"/>
          </rPr>
          <t>[ST April 1814]</t>
        </r>
        <r>
          <rPr>
            <sz val="14"/>
            <color rgb="FF000000"/>
            <rFont val="Calibri"/>
            <family val="34"/>
          </rPr>
          <t xml:space="preserve">
</t>
        </r>
        <r>
          <rPr>
            <sz val="14"/>
            <color rgb="FF000000"/>
            <rFont val="Times New Roman"/>
            <family val="18"/>
          </rPr>
          <t xml:space="preserve">01/05/1814 </t>
        </r>
        <r>
          <rPr>
            <i/>
            <sz val="14"/>
            <color rgb="FF000000"/>
            <rFont val="Times New Roman"/>
            <family val="18"/>
          </rPr>
          <t>Von 13. zum 2. Fus. Komp. transferiert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28/02/1816 </t>
        </r>
        <r>
          <rPr>
            <i/>
            <sz val="14"/>
            <color rgb="FF000000"/>
            <rFont val="Times New Roman"/>
            <family val="18"/>
          </rPr>
          <t>Bis zur Einberufung Beurlaubt</t>
        </r>
        <r>
          <rPr>
            <sz val="14"/>
            <color rgb="FF000000"/>
            <rFont val="Times New Roman"/>
            <family val="18"/>
          </rPr>
          <t xml:space="preserve"> [ST Feb 1816]</t>
        </r>
        <r>
          <rPr>
            <sz val="14"/>
            <color rgb="FF000000"/>
            <rFont val="Calibri"/>
            <family val="34"/>
          </rPr>
          <t xml:space="preserve">
</t>
        </r>
        <r>
          <rPr>
            <sz val="14"/>
            <color rgb="FF000000"/>
            <rFont val="Times New Roman"/>
            <family val="18"/>
          </rPr>
          <t>19/09/1817 Muster: IR 1 2. Fus. Komp. Nr. 117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31/10/1817 </t>
        </r>
        <r>
          <rPr>
            <i/>
            <sz val="14"/>
            <color rgb="FF000000"/>
            <rFont val="Times New Roman"/>
            <family val="18"/>
          </rPr>
          <t>Vermog Verordnung als in Tarnower und Jaslauer Kreis gebürtige unbestimmt beurlaubte Soldaten von IR 1 2. Fus. Komp zum IR 40 transferiert</t>
        </r>
        <r>
          <rPr>
            <sz val="14"/>
            <color rgb="FF000000"/>
            <rFont val="Times New Roman"/>
            <family val="18"/>
          </rPr>
          <t xml:space="preserve"> [TL March 1818]</t>
        </r>
        <r>
          <rPr>
            <sz val="14"/>
            <color rgb="FF000000"/>
            <rFont val="Calibri"/>
            <family val="34"/>
          </rPr>
          <t xml:space="preserve">
</t>
        </r>
      </text>
    </comment>
    <comment ref="BG1447" authorId="0" shapeId="0" xr:uid="{98D78FCA-3824-B84C-B81E-7C5C2758794C}">
      <text>
        <r>
          <rPr>
            <sz val="14"/>
            <color rgb="FF000000"/>
            <rFont val="Times New Roman"/>
            <family val="18"/>
          </rPr>
          <t>ML 34/5 IR 1 (1817) – IR 1 2. Fus. Komp. 117 (Brünn 19/09/1817)</t>
        </r>
        <r>
          <rPr>
            <sz val="14"/>
            <color rgb="FF000000"/>
            <rFont val="Calibri"/>
            <family val="34"/>
          </rPr>
          <t xml:space="preserve">
</t>
        </r>
        <r>
          <rPr>
            <sz val="14"/>
            <color rgb="FF000000"/>
            <rFont val="Times New Roman"/>
            <family val="18"/>
          </rPr>
          <t>ML 36/7 IR 1 (1818) – IR 1 2. Fus. Komp. Abgang (Brünn 19/09/1818)</t>
        </r>
        <r>
          <rPr>
            <sz val="14"/>
            <color rgb="FF000000"/>
            <rFont val="Calibri"/>
            <family val="34"/>
          </rPr>
          <t xml:space="preserve">
</t>
        </r>
        <r>
          <rPr>
            <sz val="14"/>
            <color rgb="FF000000"/>
            <rFont val="Times New Roman"/>
            <family val="18"/>
          </rPr>
          <t>ML 99 IR 1 (1813) – ST Oct (Proßnitz 15/03/1814), Nov (Brünn 24/04/1814)</t>
        </r>
        <r>
          <rPr>
            <sz val="14"/>
            <color rgb="FF000000"/>
            <rFont val="Calibri"/>
            <family val="34"/>
          </rPr>
          <t xml:space="preserve">
</t>
        </r>
        <r>
          <rPr>
            <sz val="14"/>
            <color rgb="FF000000"/>
            <rFont val="Times New Roman"/>
            <family val="18"/>
          </rPr>
          <t>ML 101 IR 1 (1813) AL/TL VII-XII – AL Nr. 22 (Tarnow 27/10/1813)</t>
        </r>
        <r>
          <rPr>
            <sz val="14"/>
            <color rgb="FF000000"/>
            <rFont val="Calibri"/>
            <family val="34"/>
          </rPr>
          <t xml:space="preserve">
</t>
        </r>
        <r>
          <rPr>
            <sz val="14"/>
            <color rgb="FF000000"/>
            <rFont val="Times New Roman"/>
            <family val="18"/>
          </rPr>
          <t>ML 102 IR 1 (1814) – ST March (Proßnitz 01/10/1814), May (Proßnitz 02/01/1815)</t>
        </r>
        <r>
          <rPr>
            <sz val="14"/>
            <color rgb="FF000000"/>
            <rFont val="Calibri"/>
            <family val="34"/>
          </rPr>
          <t xml:space="preserve">
</t>
        </r>
        <r>
          <rPr>
            <sz val="14"/>
            <color rgb="FF000000"/>
            <rFont val="Times New Roman"/>
            <family val="18"/>
          </rPr>
          <t>ML 107 IR 1 (1816) – ST Feb (Proßnitz 25/04/1816)</t>
        </r>
        <r>
          <rPr>
            <sz val="14"/>
            <color rgb="FF000000"/>
            <rFont val="Calibri"/>
            <family val="34"/>
          </rPr>
          <t xml:space="preserve">
</t>
        </r>
        <r>
          <rPr>
            <sz val="14"/>
            <color rgb="FF000000"/>
            <rFont val="Times New Roman"/>
            <family val="18"/>
          </rPr>
          <t>ML 110 IR 1 (1817) AL/TL – TL IR 1-&gt;IR 40 Nr. 25 (Brünn 28/03/1818)</t>
        </r>
        <r>
          <rPr>
            <sz val="14"/>
            <color rgb="FF000000"/>
            <rFont val="Calibri"/>
            <family val="34"/>
          </rPr>
          <t xml:space="preserve">
</t>
        </r>
      </text>
    </comment>
    <comment ref="BH1447" authorId="0" shapeId="0" xr:uid="{B91A65C1-C1D9-6642-9F78-31602F7777F8}">
      <text>
        <r>
          <rPr>
            <sz val="14"/>
            <color rgb="FF000000"/>
            <rFont val="Calibri"/>
            <family val="34"/>
          </rPr>
          <t xml:space="preserve">IR 1 (1813-1817)
</t>
        </r>
        <r>
          <rPr>
            <sz val="14"/>
            <color rgb="FF000000"/>
            <rFont val="Calibri"/>
            <family val="34"/>
          </rPr>
          <t>IR 40 (1817)</t>
        </r>
      </text>
    </comment>
    <comment ref="BF1448" authorId="0" shapeId="0" xr:uid="{3250B3D2-319E-DF42-A5C9-143221BDF0ED}">
      <text>
        <r>
          <rPr>
            <sz val="14"/>
            <color rgb="FF000000"/>
            <rFont val="Times New Roman"/>
            <family val="18"/>
          </rPr>
          <t>07/12/1813</t>
        </r>
        <r>
          <rPr>
            <i/>
            <sz val="14"/>
            <color rgb="FF000000"/>
            <rFont val="Times New Roman"/>
            <family val="18"/>
          </rPr>
          <t xml:space="preserve"> A 15Fl Werbgeld mit 6 Jährige Capitulation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21/10/1817 Muster: FJB 9 1. Komp. Nr. 173 [</t>
        </r>
        <r>
          <rPr>
            <i/>
            <sz val="14"/>
            <color rgb="FF000000"/>
            <rFont val="Times New Roman"/>
            <family val="18"/>
          </rPr>
          <t>Beurlaubt zu Tarnow in Ost Galizien bis zur Einberufung</t>
        </r>
        <r>
          <rPr>
            <sz val="14"/>
            <color rgb="FF000000"/>
            <rFont val="Times New Roman"/>
            <family val="18"/>
          </rPr>
          <t>]</t>
        </r>
        <r>
          <rPr>
            <sz val="14"/>
            <color rgb="FF000000"/>
            <rFont val="Calibri"/>
            <family val="34"/>
          </rPr>
          <t xml:space="preserve">
</t>
        </r>
        <r>
          <rPr>
            <sz val="14"/>
            <color rgb="FF000000"/>
            <rFont val="Times New Roman"/>
            <family val="18"/>
          </rPr>
          <t>24/09/1818 Muster: FJB 9 1. Komp. Nr. 154 [</t>
        </r>
        <r>
          <rPr>
            <i/>
            <sz val="14"/>
            <color rgb="FF000000"/>
            <rFont val="Times New Roman"/>
            <family val="18"/>
          </rPr>
          <t>Beurlaubt bis zur Einberufung in zu Tarnow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13/05/1819 </t>
        </r>
        <r>
          <rPr>
            <i/>
            <sz val="14"/>
            <color rgb="FF000000"/>
            <rFont val="Times New Roman"/>
            <family val="18"/>
          </rPr>
          <t>Zu Namesto in seiner Heimat zu Urlaub gestorben</t>
        </r>
        <r>
          <rPr>
            <sz val="14"/>
            <color rgb="FF000000"/>
            <rFont val="Times New Roman"/>
            <family val="18"/>
          </rPr>
          <t xml:space="preserve"> [ML 1819]</t>
        </r>
      </text>
    </comment>
    <comment ref="BG1448" authorId="0" shapeId="0" xr:uid="{E3B83039-4FA6-2346-99B4-0278B159016F}">
      <text>
        <r>
          <rPr>
            <sz val="14"/>
            <color rgb="FF000000"/>
            <rFont val="Times New Roman"/>
            <family val="18"/>
          </rPr>
          <t>07/12/1813</t>
        </r>
        <r>
          <rPr>
            <i/>
            <sz val="14"/>
            <color rgb="FF000000"/>
            <rFont val="Times New Roman"/>
            <family val="18"/>
          </rPr>
          <t xml:space="preserve"> A 15Fl Werbgeld mit 6 Jährige Capitulation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21/10/1817 Muster: FJB 9 1. Komp. Nr. 173 [</t>
        </r>
        <r>
          <rPr>
            <i/>
            <sz val="14"/>
            <color rgb="FF000000"/>
            <rFont val="Times New Roman"/>
            <family val="18"/>
          </rPr>
          <t>Beurlaubt zu Tarnow in Ost Galizien bis zur Einberufung</t>
        </r>
        <r>
          <rPr>
            <sz val="14"/>
            <color rgb="FF000000"/>
            <rFont val="Times New Roman"/>
            <family val="18"/>
          </rPr>
          <t>]</t>
        </r>
        <r>
          <rPr>
            <sz val="14"/>
            <color rgb="FF000000"/>
            <rFont val="Calibri"/>
            <family val="34"/>
          </rPr>
          <t xml:space="preserve">
</t>
        </r>
        <r>
          <rPr>
            <sz val="14"/>
            <color rgb="FF000000"/>
            <rFont val="Times New Roman"/>
            <family val="18"/>
          </rPr>
          <t>24/09/1818 Muster: FJB 9 1. Komp. Nr. 154 [</t>
        </r>
        <r>
          <rPr>
            <i/>
            <sz val="14"/>
            <color rgb="FF000000"/>
            <rFont val="Times New Roman"/>
            <family val="18"/>
          </rPr>
          <t>Beurlaubt bis zur Einberufung in zu Tarnow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13/05/1819 </t>
        </r>
        <r>
          <rPr>
            <i/>
            <sz val="14"/>
            <color rgb="FF000000"/>
            <rFont val="Times New Roman"/>
            <family val="18"/>
          </rPr>
          <t>Zu Namesto in seiner Heimat zu Urlaub gestorben</t>
        </r>
        <r>
          <rPr>
            <sz val="14"/>
            <color rgb="FF000000"/>
            <rFont val="Times New Roman"/>
            <family val="18"/>
          </rPr>
          <t xml:space="preserve"> [ML 1819]</t>
        </r>
      </text>
    </comment>
    <comment ref="BH1448" authorId="0" shapeId="0" xr:uid="{5BEAD4C2-81B6-1E4B-AE18-D70464810B2A}">
      <text>
        <r>
          <rPr>
            <sz val="14"/>
            <color rgb="FF000000"/>
            <rFont val="Calibri"/>
            <family val="34"/>
          </rPr>
          <t>FJB 9 (1813-1819)</t>
        </r>
      </text>
    </comment>
    <comment ref="T1449" authorId="0" shapeId="0" xr:uid="{A573E000-FAFD-8242-91C2-7C768488FDB1}">
      <text>
        <r>
          <rPr>
            <b/>
            <sz val="14"/>
            <color rgb="FF000000"/>
            <rFont val="Calibri"/>
            <family val="34"/>
          </rPr>
          <t xml:space="preserve">5.2.2 [163.7 cm] (ML 1817/8)]
</t>
        </r>
        <r>
          <rPr>
            <sz val="14"/>
            <color rgb="FF000000"/>
            <rFont val="Calibri"/>
            <family val="34"/>
          </rPr>
          <t>5.5 [171.15 cm (ML 1819)]</t>
        </r>
      </text>
    </comment>
    <comment ref="BF1449" authorId="0" shapeId="0" xr:uid="{817839FF-876E-EB4B-B3F7-0F7446687E2C}">
      <text>
        <r>
          <rPr>
            <sz val="14"/>
            <color rgb="FF000000"/>
            <rFont val="Times New Roman"/>
            <family val="18"/>
          </rPr>
          <t xml:space="preserve">10/12/1813 </t>
        </r>
        <r>
          <rPr>
            <i/>
            <sz val="14"/>
            <color rgb="FF000000"/>
            <rFont val="Times New Roman"/>
            <family val="18"/>
          </rPr>
          <t>A 3Fl auf 14 Jahr zu Pilsen zu Argentau</t>
        </r>
        <r>
          <rPr>
            <sz val="14"/>
            <color rgb="FF000000"/>
            <rFont val="Times New Roman"/>
            <family val="18"/>
          </rPr>
          <t xml:space="preserve"> [IR 35] </t>
        </r>
        <r>
          <rPr>
            <i/>
            <sz val="14"/>
            <color rgb="FF000000"/>
            <rFont val="Times New Roman"/>
            <family val="18"/>
          </rPr>
          <t>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10/12/1813 </t>
        </r>
        <r>
          <rPr>
            <i/>
            <sz val="14"/>
            <color rgb="FF000000"/>
            <rFont val="Times New Roman"/>
            <family val="18"/>
          </rPr>
          <t>Von da</t>
        </r>
        <r>
          <rPr>
            <sz val="14"/>
            <color rgb="FF000000"/>
            <rFont val="Times New Roman"/>
            <family val="18"/>
          </rPr>
          <t xml:space="preserve"> [IR 35] </t>
        </r>
        <r>
          <rPr>
            <i/>
            <sz val="14"/>
            <color rgb="FF000000"/>
            <rFont val="Times New Roman"/>
            <family val="18"/>
          </rPr>
          <t>anhero</t>
        </r>
        <r>
          <rPr>
            <sz val="14"/>
            <color rgb="FF000000"/>
            <rFont val="Times New Roman"/>
            <family val="18"/>
          </rPr>
          <t xml:space="preserve"> [FJB 1]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15/09/1817 Muster: FJB 1 1. Komp. Nr. 234 [</t>
        </r>
        <r>
          <rPr>
            <i/>
            <sz val="14"/>
            <color rgb="FF000000"/>
            <rFont val="Times New Roman"/>
            <family val="18"/>
          </rPr>
          <t>Bis zur Einberufung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12/09/1818 Muster: FJB 1 1. Komp. Nr. 228 [</t>
        </r>
        <r>
          <rPr>
            <i/>
            <sz val="14"/>
            <color rgb="FF000000"/>
            <rFont val="Times New Roman"/>
            <family val="18"/>
          </rPr>
          <t>Bis zur Einberufung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20/09/1819 Muster: FJB 1 1. Komp. Nr. 134</t>
        </r>
        <r>
          <rPr>
            <sz val="14"/>
            <color rgb="FF000000"/>
            <rFont val="Calibri"/>
            <family val="34"/>
          </rPr>
          <t xml:space="preserve">
</t>
        </r>
        <r>
          <rPr>
            <sz val="14"/>
            <color rgb="FF000000"/>
            <rFont val="Times New Roman"/>
            <family val="18"/>
          </rPr>
          <t>12/08/1820 Revision: FJB 1 1. Komp. Nr. 106 [</t>
        </r>
        <r>
          <rPr>
            <i/>
            <sz val="14"/>
            <color rgb="FF000000"/>
            <rFont val="Times New Roman"/>
            <family val="18"/>
          </rPr>
          <t>Bis zur Exercierzeit zu Trochow Herrschaft Tuborschitz, Berauner Kreis in Böhmen</t>
        </r>
        <r>
          <rPr>
            <sz val="14"/>
            <color rgb="FF000000"/>
            <rFont val="Times New Roman"/>
            <family val="18"/>
          </rPr>
          <t>]</t>
        </r>
        <r>
          <rPr>
            <sz val="14"/>
            <color rgb="FF000000"/>
            <rFont val="Calibri"/>
            <family val="34"/>
          </rPr>
          <t xml:space="preserve">
</t>
        </r>
      </text>
    </comment>
    <comment ref="BG1449" authorId="0" shapeId="0" xr:uid="{95445AFF-0A7E-B643-8A33-D6477A2B5C85}">
      <text>
        <r>
          <rPr>
            <sz val="14"/>
            <color rgb="FF000000"/>
            <rFont val="Times New Roman"/>
            <family val="18"/>
          </rPr>
          <t>ML 5338 FJB 1 (1817) – 1. Komp. Nr. 234 (Salzburg 15/09/1817)</t>
        </r>
        <r>
          <rPr>
            <sz val="14"/>
            <color rgb="FF000000"/>
            <rFont val="Calibri"/>
            <family val="34"/>
          </rPr>
          <t xml:space="preserve">
</t>
        </r>
        <r>
          <rPr>
            <sz val="14"/>
            <color rgb="FF000000"/>
            <rFont val="Times New Roman"/>
            <family val="18"/>
          </rPr>
          <t>ML 5339 FJB 1 (1818) – 1. Komp. Nr. 228 (Linz 12/09/1818)</t>
        </r>
        <r>
          <rPr>
            <sz val="14"/>
            <color rgb="FF000000"/>
            <rFont val="Calibri"/>
            <family val="34"/>
          </rPr>
          <t xml:space="preserve">
</t>
        </r>
        <r>
          <rPr>
            <sz val="14"/>
            <color rgb="FF000000"/>
            <rFont val="Times New Roman"/>
            <family val="18"/>
          </rPr>
          <t>ML 5340 FJB 1 (1819-20) – ML 1819 1. Komp. Nr. 134 (Kuttenberg 20/09/1819), RL 1820 1. Komp. Nr. 106 (Nettolitz 12/08/1820)</t>
        </r>
      </text>
    </comment>
    <comment ref="BH1449" authorId="0" shapeId="0" xr:uid="{C200E274-2658-D94A-B659-BE960B0DFB21}">
      <text>
        <r>
          <rPr>
            <sz val="14"/>
            <color rgb="FF000000"/>
            <rFont val="Calibri"/>
            <family val="34"/>
          </rPr>
          <t xml:space="preserve">IR 35 (1813)
</t>
        </r>
        <r>
          <rPr>
            <sz val="14"/>
            <color rgb="FF000000"/>
            <rFont val="Calibri"/>
            <family val="34"/>
          </rPr>
          <t>FJB 1 (1813-1820)</t>
        </r>
      </text>
    </comment>
    <comment ref="BF1450" authorId="0" shapeId="0" xr:uid="{9881729C-0A11-DD40-BF0A-F30D4C2764B9}">
      <text>
        <r>
          <rPr>
            <i/>
            <sz val="14"/>
            <color rgb="FF000000"/>
            <rFont val="Times New Roman"/>
            <family val="18"/>
          </rPr>
          <t>Hat vorher beim 2. Schweizer Regiment als Feldwebel durch 4 Jahren gedient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20/12/1813 </t>
        </r>
        <r>
          <rPr>
            <i/>
            <sz val="14"/>
            <color rgb="FF000000"/>
            <rFont val="Times New Roman"/>
            <family val="18"/>
          </rPr>
          <t>Ohne Handgeld auf 14 Jahr zu 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19/07/1815 </t>
        </r>
        <r>
          <rPr>
            <i/>
            <sz val="14"/>
            <color rgb="FF000000"/>
            <rFont val="Times New Roman"/>
            <family val="18"/>
          </rPr>
          <t>Von Gemeiner zur Corporal avanciert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01/11/1819 </t>
        </r>
        <r>
          <rPr>
            <i/>
            <sz val="14"/>
            <color rgb="FF000000"/>
            <rFont val="Times New Roman"/>
            <family val="18"/>
          </rPr>
          <t>Von IR 47 6. Fus. Komp Zum IR 28 transferiert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21/09/1820 Muster: IR 28 18. Fus. Komp. Nr. 10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text>
    </comment>
    <comment ref="BG1450" authorId="0" shapeId="0" xr:uid="{34163CF2-6D70-C140-9C67-F6130319F67C}">
      <text>
        <r>
          <rPr>
            <sz val="14"/>
            <color rgb="FF000000"/>
            <rFont val="Times New Roman"/>
            <family val="18"/>
          </rPr>
          <t>ML 4099 IR 47 (1819) AL/TL – TL IR 47-&gt;IR 28 Nr. 1 (Marburg 19/11/1819)</t>
        </r>
        <r>
          <rPr>
            <sz val="14"/>
            <color rgb="FF000000"/>
            <rFont val="Calibri"/>
            <family val="34"/>
          </rPr>
          <t xml:space="preserve">
</t>
        </r>
        <r>
          <rPr>
            <sz val="14"/>
            <color rgb="FF000000"/>
            <rFont val="Times New Roman"/>
            <family val="18"/>
          </rPr>
          <t>ML 2416/7 IR 28 (1820) 18. Fus. Komp. Nr. 10 (Prague 21/09/1820)</t>
        </r>
      </text>
    </comment>
    <comment ref="BH1450" authorId="0" shapeId="0" xr:uid="{39C65C4E-1652-4545-B5F2-D2D96E4E7D87}">
      <text>
        <r>
          <rPr>
            <sz val="14"/>
            <color rgb="FF000000"/>
            <rFont val="Calibri"/>
            <family val="34"/>
          </rPr>
          <t xml:space="preserve">4 Jahren in 2. Schwezer Regt. (NAP)
</t>
        </r>
        <r>
          <rPr>
            <sz val="14"/>
            <color rgb="FF000000"/>
            <rFont val="Calibri"/>
            <family val="34"/>
          </rPr>
          <t xml:space="preserve">IR 47 (1813-1819)
</t>
        </r>
        <r>
          <rPr>
            <sz val="14"/>
            <color rgb="FF000000"/>
            <rFont val="Calibri"/>
            <family val="34"/>
          </rPr>
          <t>IR 28 (1819-1820)</t>
        </r>
      </text>
    </comment>
    <comment ref="BF1451" authorId="0" shapeId="0" xr:uid="{2E2935F0-9A11-BC4A-A8E0-369FA99C4A63}">
      <text>
        <r>
          <rPr>
            <sz val="14"/>
            <color rgb="FF000000"/>
            <rFont val="Times New Roman"/>
            <family val="18"/>
          </rPr>
          <t xml:space="preserve">30/01/1814 </t>
        </r>
        <r>
          <rPr>
            <i/>
            <sz val="14"/>
            <color rgb="FF000000"/>
            <rFont val="Times New Roman"/>
            <family val="18"/>
          </rPr>
          <t xml:space="preserve">Gegen 10Fl Handgeld von Land ausgehoben und zum HR 9 ‚Frimond‘ in Arad auf Beständig assentiert </t>
        </r>
        <r>
          <rPr>
            <sz val="14"/>
            <color rgb="FF000000"/>
            <rFont val="Times New Roman"/>
            <family val="18"/>
          </rPr>
          <t>[AL Feb 1814]</t>
        </r>
        <r>
          <rPr>
            <sz val="14"/>
            <color rgb="FF000000"/>
            <rFont val="Calibri"/>
            <family val="34"/>
          </rPr>
          <t xml:space="preserve">
</t>
        </r>
      </text>
    </comment>
    <comment ref="BG1451" authorId="0" shapeId="0" xr:uid="{64765929-1ABD-8A43-90A7-0E466EDAD8FE}">
      <text>
        <r>
          <rPr>
            <sz val="14"/>
            <color rgb="FF000000"/>
            <rFont val="Times New Roman"/>
            <family val="18"/>
          </rPr>
          <t>ML 5184 IR 61 (1814) AL/TL – AL. Nr. 13 (Arad 14/03/1814)</t>
        </r>
        <r>
          <rPr>
            <sz val="14"/>
            <color rgb="FF000000"/>
            <rFont val="Calibri"/>
            <family val="34"/>
          </rPr>
          <t xml:space="preserve">
</t>
        </r>
      </text>
    </comment>
    <comment ref="BH1451" authorId="0" shapeId="0" xr:uid="{B2CCF844-2B09-B847-B4BC-EBFC009FDC9A}">
      <text>
        <r>
          <rPr>
            <sz val="14"/>
            <color rgb="FF000000"/>
            <rFont val="Calibri"/>
            <family val="34"/>
          </rPr>
          <t>HR 9 (1814)</t>
        </r>
      </text>
    </comment>
    <comment ref="BF1452" authorId="0" shapeId="0" xr:uid="{71CF5CF0-9A8E-E54C-8E30-A6F4088C6CAC}">
      <text>
        <r>
          <rPr>
            <i/>
            <sz val="14"/>
            <color rgb="FF000000"/>
            <rFont val="Times New Roman"/>
            <family val="18"/>
          </rPr>
          <t xml:space="preserve">Hat beim Feldt Spital Nr. 21 als Unterarzt durch 1 Jahr 3 Monat gedient </t>
        </r>
        <r>
          <rPr>
            <sz val="14"/>
            <color rgb="FF000000"/>
            <rFont val="Times New Roman"/>
            <family val="18"/>
          </rPr>
          <t>[AL April 1815]</t>
        </r>
        <r>
          <rPr>
            <sz val="14"/>
            <color rgb="FF000000"/>
            <rFont val="Calibri"/>
            <family val="34"/>
          </rPr>
          <t xml:space="preserve">
</t>
        </r>
        <r>
          <rPr>
            <sz val="14"/>
            <color rgb="FF000000"/>
            <rFont val="Times New Roman"/>
            <family val="18"/>
          </rPr>
          <t>01/04/1815</t>
        </r>
        <r>
          <rPr>
            <i/>
            <sz val="14"/>
            <color rgb="FF000000"/>
            <rFont val="Times New Roman"/>
            <family val="18"/>
          </rPr>
          <t xml:space="preserve"> Zum HFS 44 als Unterarzt neu assentiert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 Folge N.Ö General Commando Verordnung d. 21/ Januar a:C: Nr, 1507 mit einer 2. Monatliche Gage entlassen</t>
        </r>
        <r>
          <rPr>
            <sz val="14"/>
            <color rgb="FF000000"/>
            <rFont val="Times New Roman"/>
            <family val="18"/>
          </rPr>
          <t xml:space="preserve"> [Vepf. Jan 1816]</t>
        </r>
      </text>
    </comment>
    <comment ref="BG1452" authorId="0" shapeId="0" xr:uid="{B8D1E4C5-8368-0346-8A45-5F37E35A8AE5}">
      <text>
        <r>
          <rPr>
            <sz val="14"/>
            <color rgb="FF000000"/>
            <rFont val="Times New Roman"/>
            <family val="18"/>
          </rPr>
          <t>ML 12.011 HFS 44 (1815-16) – TL Nr. 1 (Vienna 01/04/1815); VerpfL Jan 1816 (Rohrbach 29/02/1816)</t>
        </r>
        <r>
          <rPr>
            <sz val="14"/>
            <color rgb="FF000000"/>
            <rFont val="Calibri"/>
            <family val="34"/>
          </rPr>
          <t xml:space="preserve">
</t>
        </r>
      </text>
    </comment>
    <comment ref="BH1452" authorId="0" shapeId="0" xr:uid="{1B2EC526-FB28-A14F-977B-3EC9A9484481}">
      <text>
        <r>
          <rPr>
            <sz val="14"/>
            <color rgb="FF000000"/>
            <rFont val="Calibri"/>
            <family val="34"/>
          </rPr>
          <t xml:space="preserve">HFS 21 (?1814-?1815)
</t>
        </r>
        <r>
          <rPr>
            <sz val="14"/>
            <color rgb="FF000000"/>
            <rFont val="Calibri"/>
            <family val="34"/>
          </rPr>
          <t>HFS 44 (1815-1816)</t>
        </r>
      </text>
    </comment>
    <comment ref="BF1453" authorId="0" shapeId="0" xr:uid="{2678A61D-6B06-B748-89D0-E982CB9E9557}">
      <text>
        <r>
          <rPr>
            <sz val="14"/>
            <color rgb="FF000000"/>
            <rFont val="Times New Roman"/>
            <family val="18"/>
          </rPr>
          <t xml:space="preserve">03/02/1814 </t>
        </r>
        <r>
          <rPr>
            <i/>
            <sz val="14"/>
            <color rgb="FF000000"/>
            <rFont val="Times New Roman"/>
            <family val="18"/>
          </rPr>
          <t>A 10Fl Handgeld ohne Kapitulation bey IR 34 in Venedig assentiert</t>
        </r>
        <r>
          <rPr>
            <sz val="14"/>
            <color rgb="FF000000"/>
            <rFont val="Times New Roman"/>
            <family val="18"/>
          </rPr>
          <t xml:space="preserve"> [TL Feb 1817 &amp; ML 1818]</t>
        </r>
        <r>
          <rPr>
            <sz val="14"/>
            <color rgb="FF000000"/>
            <rFont val="Calibri"/>
            <family val="34"/>
          </rPr>
          <t xml:space="preserve">
</t>
        </r>
        <r>
          <rPr>
            <sz val="14"/>
            <color rgb="FF000000"/>
            <rFont val="Times New Roman"/>
            <family val="18"/>
          </rPr>
          <t xml:space="preserve">31/01/1817 </t>
        </r>
        <r>
          <rPr>
            <i/>
            <sz val="14"/>
            <color rgb="FF000000"/>
            <rFont val="Times New Roman"/>
            <family val="18"/>
          </rPr>
          <t>Von IR 34 17. Fus. Komp. zum IR 29 transferiert und zur 13. Fus. Komp. eingeheilt</t>
        </r>
        <r>
          <rPr>
            <sz val="14"/>
            <color rgb="FF000000"/>
            <rFont val="Times New Roman"/>
            <family val="18"/>
          </rPr>
          <t xml:space="preserve"> [TL Feb 1817]</t>
        </r>
        <r>
          <rPr>
            <sz val="14"/>
            <color rgb="FF000000"/>
            <rFont val="Calibri"/>
            <family val="34"/>
          </rPr>
          <t xml:space="preserve">
</t>
        </r>
        <r>
          <rPr>
            <sz val="14"/>
            <color rgb="FF000000"/>
            <rFont val="Times New Roman"/>
            <family val="18"/>
          </rPr>
          <t>29/09/1817 Revision: IR 29 13. Fus. Komp. Nr. 199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31/10/1817 </t>
        </r>
        <r>
          <rPr>
            <i/>
            <sz val="14"/>
            <color rgb="FF000000"/>
            <rFont val="Times New Roman"/>
            <family val="18"/>
          </rPr>
          <t xml:space="preserve">Von IR 29 13. Fus. Komp. zur Mazzucheli Inf. </t>
        </r>
        <r>
          <rPr>
            <b/>
            <sz val="14"/>
            <color rgb="FF000000"/>
            <rFont val="Times New Roman"/>
            <family val="18"/>
          </rPr>
          <t>[IR 10]</t>
        </r>
        <r>
          <rPr>
            <i/>
            <sz val="14"/>
            <color rgb="FF000000"/>
            <rFont val="Times New Roman"/>
            <family val="18"/>
          </rPr>
          <t xml:space="preserve"> transferiert und zur 1. Fus. Komp. eingeteilt</t>
        </r>
        <r>
          <rPr>
            <sz val="14"/>
            <color rgb="FF000000"/>
            <rFont val="Times New Roman"/>
            <family val="18"/>
          </rPr>
          <t xml:space="preserve"> [ML 1818]</t>
        </r>
        <r>
          <rPr>
            <sz val="14"/>
            <color rgb="FF000000"/>
            <rFont val="Calibri"/>
            <family val="34"/>
          </rPr>
          <t xml:space="preserve">
</t>
        </r>
        <r>
          <rPr>
            <sz val="14"/>
            <color rgb="FF000000"/>
            <rFont val="Times New Roman"/>
            <family val="18"/>
          </rPr>
          <t>14/09/1818 Muster: IR 10 1. Fus. Komp. Nr. 104 [</t>
        </r>
        <r>
          <rPr>
            <i/>
            <sz val="14"/>
            <color rgb="FF000000"/>
            <rFont val="Times New Roman"/>
            <family val="18"/>
          </rPr>
          <t>In Geburtsort bis zur Einberufung beurlaubt</t>
        </r>
        <r>
          <rPr>
            <sz val="14"/>
            <color rgb="FF000000"/>
            <rFont val="Times New Roman"/>
            <family val="18"/>
          </rPr>
          <t>]</t>
        </r>
        <r>
          <rPr>
            <sz val="14"/>
            <color rgb="FF000000"/>
            <rFont val="Calibri"/>
            <family val="34"/>
          </rPr>
          <t xml:space="preserve">
</t>
        </r>
        <r>
          <rPr>
            <sz val="14"/>
            <color rgb="FF000000"/>
            <rFont val="Times New Roman"/>
            <family val="18"/>
          </rPr>
          <t>18/09/1819 Muster: IR 10 1. Fus. Komp. Nr. 106 [</t>
        </r>
        <r>
          <rPr>
            <i/>
            <sz val="14"/>
            <color rgb="FF000000"/>
            <rFont val="Times New Roman"/>
            <family val="18"/>
          </rPr>
          <t>Bis zur Einberufung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16/08/1820 Muster: IR 10 1. Fus. Komp/ Nr. 140 [</t>
        </r>
        <r>
          <rPr>
            <i/>
            <sz val="14"/>
            <color rgb="FF000000"/>
            <rFont val="Times New Roman"/>
            <family val="18"/>
          </rPr>
          <t>bis zur Einberufung in seinem Geburtsort beurlaubt</t>
        </r>
        <r>
          <rPr>
            <sz val="14"/>
            <color rgb="FF000000"/>
            <rFont val="Times New Roman"/>
            <family val="18"/>
          </rPr>
          <t>]</t>
        </r>
      </text>
    </comment>
    <comment ref="BG1453" authorId="0" shapeId="0" xr:uid="{F59D10CB-AF6E-2F4A-B7F6-C8BFFDA4900D}">
      <text>
        <r>
          <rPr>
            <sz val="14"/>
            <color rgb="FF000000"/>
            <rFont val="Times New Roman"/>
            <family val="18"/>
          </rPr>
          <t>ML 3155 IR 34 (1817) – TL IR 34-&gt;IR 29 Nr. 1 (Venice 28/02/1817)</t>
        </r>
        <r>
          <rPr>
            <sz val="14"/>
            <color rgb="FF000000"/>
            <rFont val="Calibri"/>
            <family val="34"/>
          </rPr>
          <t xml:space="preserve">
</t>
        </r>
        <r>
          <rPr>
            <sz val="14"/>
            <color rgb="FF000000"/>
            <rFont val="Times New Roman"/>
            <family val="18"/>
          </rPr>
          <t>ML 2527 IR 29 (1812-18) – RL 1817 13. Fus. Komp. Nr. 199 (Karthaus 29/09/1817); RL 13. Fus. Komp Abgang (Brünn 18/09/1818)</t>
        </r>
        <r>
          <rPr>
            <sz val="14"/>
            <color rgb="FF000000"/>
            <rFont val="Calibri"/>
            <family val="34"/>
          </rPr>
          <t xml:space="preserve">
</t>
        </r>
        <r>
          <rPr>
            <sz val="14"/>
            <color rgb="FF000000"/>
            <rFont val="Times New Roman"/>
            <family val="18"/>
          </rPr>
          <t xml:space="preserve">ML 719 IR 10 (1818) – 1. Fus. Komp. Nr. 104 (Caschau 14/09/1818) </t>
        </r>
        <r>
          <rPr>
            <sz val="14"/>
            <color rgb="FF000000"/>
            <rFont val="Calibri"/>
            <family val="34"/>
          </rPr>
          <t xml:space="preserve">
</t>
        </r>
        <r>
          <rPr>
            <sz val="14"/>
            <color rgb="FF000000"/>
            <rFont val="Times New Roman"/>
            <family val="18"/>
          </rPr>
          <t>ML 720/1 IR 10 (1819) – 1. Fus. Komp. Nr. 106 (Caschau 18/09/1819)</t>
        </r>
        <r>
          <rPr>
            <sz val="14"/>
            <color rgb="FF000000"/>
            <rFont val="Calibri"/>
            <family val="34"/>
          </rPr>
          <t xml:space="preserve">
</t>
        </r>
        <r>
          <rPr>
            <sz val="14"/>
            <color rgb="FF000000"/>
            <rFont val="Times New Roman"/>
            <family val="18"/>
          </rPr>
          <t>ML 722 IR 10 (1820) – 1. Fus. Komp. Nr. 140 (Caschau 16/08/1820)</t>
        </r>
        <r>
          <rPr>
            <sz val="14"/>
            <color rgb="FF000000"/>
            <rFont val="Calibri"/>
            <family val="34"/>
          </rPr>
          <t xml:space="preserve">
</t>
        </r>
      </text>
    </comment>
    <comment ref="BH1453" authorId="0" shapeId="0" xr:uid="{0AC95DBF-09F9-3345-8A17-95A01DF93F56}">
      <text>
        <r>
          <rPr>
            <sz val="14"/>
            <color rgb="FF000000"/>
            <rFont val="Calibri"/>
            <family val="34"/>
          </rPr>
          <t xml:space="preserve">IR 34 (?1814-1817)
</t>
        </r>
        <r>
          <rPr>
            <sz val="14"/>
            <color rgb="FF000000"/>
            <rFont val="Calibri"/>
            <family val="34"/>
          </rPr>
          <t xml:space="preserve">IR 29 (1817)
</t>
        </r>
        <r>
          <rPr>
            <sz val="14"/>
            <color rgb="FF000000"/>
            <rFont val="Calibri"/>
            <family val="34"/>
          </rPr>
          <t>IR 10 (1817-1820)</t>
        </r>
      </text>
    </comment>
    <comment ref="BI1453" authorId="0" shapeId="0" xr:uid="{C86FC30F-CD0A-224D-86EA-0F875AE319D8}">
      <text>
        <r>
          <rPr>
            <sz val="14"/>
            <color rgb="FF000000"/>
            <rFont val="Calibri"/>
            <family val="34"/>
          </rPr>
          <t>Gut [TL Feb 181]</t>
        </r>
      </text>
    </comment>
    <comment ref="BF1454" authorId="0" shapeId="0" xr:uid="{9F27370B-7A21-1F49-8D3D-A251FE74427C}">
      <text>
        <r>
          <rPr>
            <sz val="14"/>
            <color rgb="FF000000"/>
            <rFont val="Times New Roman"/>
            <family val="18"/>
          </rPr>
          <t xml:space="preserve">08/02/1814 </t>
        </r>
        <r>
          <rPr>
            <i/>
            <sz val="14"/>
            <color rgb="FF000000"/>
            <rFont val="Times New Roman"/>
            <family val="18"/>
          </rPr>
          <t xml:space="preserve">A 3Fl Handgeld auf 14 Jahr zu Argentau Inft </t>
        </r>
        <r>
          <rPr>
            <b/>
            <sz val="14"/>
            <color rgb="FF000000"/>
            <rFont val="Times New Roman"/>
            <family val="18"/>
          </rPr>
          <t>[IR 35]</t>
        </r>
        <r>
          <rPr>
            <sz val="14"/>
            <color rgb="FF000000"/>
            <rFont val="Times New Roman"/>
            <family val="18"/>
          </rPr>
          <t xml:space="preserve"> </t>
        </r>
        <r>
          <rPr>
            <i/>
            <sz val="14"/>
            <color rgb="FF000000"/>
            <rFont val="Times New Roman"/>
            <family val="18"/>
          </rPr>
          <t xml:space="preserve">assentiert </t>
        </r>
        <r>
          <rPr>
            <sz val="14"/>
            <color rgb="FF000000"/>
            <rFont val="Times New Roman"/>
            <family val="18"/>
          </rPr>
          <t>[TL Okt 1817]</t>
        </r>
        <r>
          <rPr>
            <sz val="14"/>
            <color rgb="FF000000"/>
            <rFont val="Calibri"/>
            <family val="34"/>
          </rPr>
          <t xml:space="preserve">
</t>
        </r>
        <r>
          <rPr>
            <sz val="14"/>
            <color rgb="FF000000"/>
            <rFont val="Times New Roman"/>
            <family val="18"/>
          </rPr>
          <t xml:space="preserve">11/03/1814 </t>
        </r>
        <r>
          <rPr>
            <i/>
            <sz val="14"/>
            <color rgb="FF000000"/>
            <rFont val="Times New Roman"/>
            <family val="18"/>
          </rPr>
          <t>Von IR 35 zum IR 18 transferiert</t>
        </r>
        <r>
          <rPr>
            <sz val="14"/>
            <color rgb="FF000000"/>
            <rFont val="Times New Roman"/>
            <family val="18"/>
          </rPr>
          <t xml:space="preserve"> [TL Okt 1817]</t>
        </r>
        <r>
          <rPr>
            <sz val="14"/>
            <color rgb="FF000000"/>
            <rFont val="Calibri"/>
            <family val="34"/>
          </rPr>
          <t xml:space="preserve">
</t>
        </r>
        <r>
          <rPr>
            <sz val="14"/>
            <color rgb="FF000000"/>
            <rFont val="Times New Roman"/>
            <family val="18"/>
          </rPr>
          <t>18/09/1817 Musterung: IR 18 11. Fus Komp. Nr. 148</t>
        </r>
        <r>
          <rPr>
            <sz val="14"/>
            <color rgb="FF000000"/>
            <rFont val="Calibri"/>
            <family val="34"/>
          </rPr>
          <t xml:space="preserve">
</t>
        </r>
        <r>
          <rPr>
            <sz val="14"/>
            <color rgb="FF000000"/>
            <rFont val="Times New Roman"/>
            <family val="18"/>
          </rPr>
          <t xml:space="preserve">06/11/1817 </t>
        </r>
        <r>
          <rPr>
            <i/>
            <sz val="14"/>
            <color rgb="FF000000"/>
            <rFont val="Times New Roman"/>
            <family val="18"/>
          </rPr>
          <t>Von IR 18 11. Fus. Komp. zum IR 35 Argenteau 9. Fus. Komp. wegen Einverständnis transferiert</t>
        </r>
        <r>
          <rPr>
            <sz val="14"/>
            <color rgb="FF000000"/>
            <rFont val="Times New Roman"/>
            <family val="18"/>
          </rPr>
          <t xml:space="preserve"> [TL Okt 1817, ST Nov 1817]</t>
        </r>
        <r>
          <rPr>
            <sz val="14"/>
            <color rgb="FF000000"/>
            <rFont val="Calibri"/>
            <family val="34"/>
          </rPr>
          <t xml:space="preserve">
</t>
        </r>
        <r>
          <rPr>
            <sz val="14"/>
            <color rgb="FF000000"/>
            <rFont val="Times New Roman"/>
            <family val="18"/>
          </rPr>
          <t>24/09/1818 Muster: IR 35 9. Fus. Komp. Nr. 50 [</t>
        </r>
        <r>
          <rPr>
            <i/>
            <sz val="14"/>
            <color rgb="FF000000"/>
            <rFont val="Times New Roman"/>
            <family val="18"/>
          </rPr>
          <t>Commandiert in Garnisonsspital zu Theresienstadt</t>
        </r>
        <r>
          <rPr>
            <sz val="14"/>
            <color rgb="FF000000"/>
            <rFont val="Times New Roman"/>
            <family val="18"/>
          </rPr>
          <t xml:space="preserve"> </t>
        </r>
        <r>
          <rPr>
            <b/>
            <sz val="14"/>
            <color rgb="FF000000"/>
            <rFont val="Times New Roman"/>
            <family val="18"/>
          </rPr>
          <t>[</t>
        </r>
        <r>
          <rPr>
            <b/>
            <u/>
            <sz val="14"/>
            <color rgb="FF0563C1"/>
            <rFont val="Times New Roman"/>
            <family val="18"/>
          </rPr>
          <t>Terezín, Czech Republic</t>
        </r>
        <r>
          <rPr>
            <b/>
            <sz val="14"/>
            <color rgb="FF000000"/>
            <rFont val="Times New Roman"/>
            <family val="18"/>
          </rPr>
          <t>]</t>
        </r>
        <r>
          <rPr>
            <i/>
            <sz val="14"/>
            <color rgb="FF000000"/>
            <rFont val="Times New Roman"/>
            <family val="18"/>
          </rPr>
          <t>, Böhmen</t>
        </r>
        <r>
          <rPr>
            <sz val="14"/>
            <color rgb="FF000000"/>
            <rFont val="Times New Roman"/>
            <family val="18"/>
          </rPr>
          <t>]</t>
        </r>
        <r>
          <rPr>
            <sz val="14"/>
            <color rgb="FF000000"/>
            <rFont val="Calibri"/>
            <family val="34"/>
          </rPr>
          <t xml:space="preserve">
</t>
        </r>
        <r>
          <rPr>
            <sz val="14"/>
            <color rgb="FF000000"/>
            <rFont val="Times New Roman"/>
            <family val="18"/>
          </rPr>
          <t>16/09/1819 Muster: IR 35 9. Fus. Komp. Nr. 51</t>
        </r>
        <r>
          <rPr>
            <sz val="14"/>
            <color rgb="FF000000"/>
            <rFont val="Calibri"/>
            <family val="34"/>
          </rPr>
          <t xml:space="preserve">
</t>
        </r>
        <r>
          <rPr>
            <sz val="14"/>
            <color rgb="FF000000"/>
            <rFont val="Times New Roman"/>
            <family val="18"/>
          </rPr>
          <t>15/09/1820 Muster: IR 35 9. Fus. Komp, Nr. 41 [</t>
        </r>
        <r>
          <rPr>
            <i/>
            <sz val="14"/>
            <color rgb="FF000000"/>
            <rFont val="Times New Roman"/>
            <family val="18"/>
          </rPr>
          <t>Halb Invalid</t>
        </r>
        <r>
          <rPr>
            <sz val="14"/>
            <color rgb="FF000000"/>
            <rFont val="Times New Roman"/>
            <family val="18"/>
          </rPr>
          <t>]</t>
        </r>
        <r>
          <rPr>
            <sz val="14"/>
            <color rgb="FF000000"/>
            <rFont val="Calibri"/>
            <family val="34"/>
          </rPr>
          <t xml:space="preserve">
</t>
        </r>
      </text>
    </comment>
    <comment ref="BG1454" authorId="0" shapeId="0" xr:uid="{C96606B9-1DF9-0348-A0A5-CE0656B17C73}">
      <text>
        <r>
          <rPr>
            <sz val="14"/>
            <color rgb="FF000000"/>
            <rFont val="Times New Roman"/>
            <family val="18"/>
          </rPr>
          <t>ML 1435 IR 18 (1817) – 11. Fus Komp. Nr. 148 (Königgrätz 18/09/1817)</t>
        </r>
        <r>
          <rPr>
            <sz val="14"/>
            <color rgb="FF000000"/>
            <rFont val="Calibri"/>
            <family val="34"/>
          </rPr>
          <t xml:space="preserve">
</t>
        </r>
        <r>
          <rPr>
            <sz val="14"/>
            <color rgb="FF000000"/>
            <rFont val="Times New Roman"/>
            <family val="18"/>
          </rPr>
          <t>ML 1494 IR 18 (1817) – TL IR 18-&gt;IR 35 Nr. 1 (Gitschin 30/10/1817), ST Nov (Jungbunzlau 26/12/1817)</t>
        </r>
        <r>
          <rPr>
            <sz val="14"/>
            <color rgb="FF000000"/>
            <rFont val="Calibri"/>
            <family val="34"/>
          </rPr>
          <t xml:space="preserve">
</t>
        </r>
        <r>
          <rPr>
            <sz val="14"/>
            <color rgb="FF000000"/>
            <rFont val="Times New Roman"/>
            <family val="18"/>
          </rPr>
          <t>ML 3201/2 IR 35 (1818) – 9. Fus. Komp. Nr. 50 (Theresienstadt, 24/09/1818)</t>
        </r>
        <r>
          <rPr>
            <sz val="14"/>
            <color rgb="FF000000"/>
            <rFont val="Calibri"/>
            <family val="34"/>
          </rPr>
          <t xml:space="preserve">
</t>
        </r>
        <r>
          <rPr>
            <sz val="14"/>
            <color rgb="FF000000"/>
            <rFont val="Times New Roman"/>
            <family val="18"/>
          </rPr>
          <t>ML 3204 IR 35 (1819) – 9. Fus. Komp. Nr. 51 (Theresienstadt 16/09/1819)</t>
        </r>
        <r>
          <rPr>
            <sz val="14"/>
            <color rgb="FF000000"/>
            <rFont val="Calibri"/>
            <family val="34"/>
          </rPr>
          <t xml:space="preserve">
</t>
        </r>
        <r>
          <rPr>
            <sz val="14"/>
            <color rgb="FF000000"/>
            <rFont val="Times New Roman"/>
            <family val="18"/>
          </rPr>
          <t>ML 3206/7 IR 35 (1820) – 9. Fus. Komp. Nr. 41 (Pilsen 15/09/1820)</t>
        </r>
        <r>
          <rPr>
            <sz val="14"/>
            <color rgb="FF000000"/>
            <rFont val="Calibri"/>
            <family val="34"/>
          </rPr>
          <t xml:space="preserve">
</t>
        </r>
        <r>
          <rPr>
            <sz val="14"/>
            <color rgb="FF000000"/>
            <rFont val="Calibri"/>
            <family val="34"/>
          </rPr>
          <t xml:space="preserve">
</t>
        </r>
      </text>
    </comment>
    <comment ref="BH1454" authorId="0" shapeId="0" xr:uid="{28AA2B4B-3BBC-7C4F-8F2D-44730016C421}">
      <text>
        <r>
          <rPr>
            <sz val="14"/>
            <color rgb="FF000000"/>
            <rFont val="Calibri"/>
            <family val="34"/>
          </rPr>
          <t xml:space="preserve">IR 35 (1814)
</t>
        </r>
        <r>
          <rPr>
            <sz val="14"/>
            <color rgb="FF000000"/>
            <rFont val="Calibri"/>
            <family val="34"/>
          </rPr>
          <t xml:space="preserve">IR 18 (1814-1817)
</t>
        </r>
        <r>
          <rPr>
            <sz val="14"/>
            <color rgb="FF000000"/>
            <rFont val="Calibri"/>
            <family val="34"/>
          </rPr>
          <t>IR 35 (1817-1820)</t>
        </r>
      </text>
    </comment>
    <comment ref="BF1455" authorId="0" shapeId="0" xr:uid="{A12471C3-730F-ED4A-A61B-D5192EEBFA0A}">
      <text>
        <r>
          <rPr>
            <sz val="14"/>
            <color rgb="FF000000"/>
            <rFont val="Times New Roman"/>
            <family val="18"/>
          </rPr>
          <t xml:space="preserve">17/02/1814 </t>
        </r>
        <r>
          <rPr>
            <i/>
            <sz val="14"/>
            <color rgb="FF000000"/>
            <rFont val="Times New Roman"/>
            <family val="18"/>
          </rPr>
          <t>Ohne Capitulation von Lande gestellt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10/07/1817 </t>
        </r>
        <r>
          <rPr>
            <i/>
            <sz val="14"/>
            <color rgb="FF000000"/>
            <rFont val="Times New Roman"/>
            <family val="18"/>
          </rPr>
          <t>Als Reale Invalid superarbietriert</t>
        </r>
        <r>
          <rPr>
            <sz val="14"/>
            <color rgb="FF000000"/>
            <rFont val="Times New Roman"/>
            <family val="18"/>
          </rPr>
          <t xml:space="preserve"> [SUP Juli 1817]</t>
        </r>
        <r>
          <rPr>
            <sz val="14"/>
            <color rgb="FF000000"/>
            <rFont val="Calibri"/>
            <family val="34"/>
          </rPr>
          <t xml:space="preserve">
</t>
        </r>
        <r>
          <rPr>
            <sz val="14"/>
            <color rgb="FF000000"/>
            <rFont val="Times New Roman"/>
            <family val="18"/>
          </rPr>
          <t xml:space="preserve">01/08/1817 </t>
        </r>
        <r>
          <rPr>
            <i/>
            <sz val="14"/>
            <color rgb="FF000000"/>
            <rFont val="Times New Roman"/>
            <family val="18"/>
          </rPr>
          <t>Von Feuergewehrstand zum obligante Fourierschütz übersetzt</t>
        </r>
        <r>
          <rPr>
            <sz val="14"/>
            <color rgb="FF000000"/>
            <rFont val="Times New Roman"/>
            <family val="18"/>
          </rPr>
          <t xml:space="preserve"> [ML 1817]</t>
        </r>
        <r>
          <rPr>
            <sz val="14"/>
            <color rgb="FF000000"/>
            <rFont val="Calibri"/>
            <family val="34"/>
          </rPr>
          <t xml:space="preserve">
</t>
        </r>
        <r>
          <rPr>
            <sz val="14"/>
            <color rgb="FF000000"/>
            <rFont val="Times New Roman"/>
            <family val="18"/>
          </rPr>
          <t>29/10/1817 Muster: IR 34 13. Fus. Komp. Nr. 15</t>
        </r>
        <r>
          <rPr>
            <sz val="14"/>
            <color rgb="FF000000"/>
            <rFont val="Calibri"/>
            <family val="34"/>
          </rPr>
          <t xml:space="preserve">
</t>
        </r>
        <r>
          <rPr>
            <sz val="14"/>
            <color rgb="FF000000"/>
            <rFont val="Times New Roman"/>
            <family val="18"/>
          </rPr>
          <t>13/10/1818 Muster: IR 34 13. Fus. Komp. Nr. 26</t>
        </r>
        <r>
          <rPr>
            <sz val="14"/>
            <color rgb="FF000000"/>
            <rFont val="Calibri"/>
            <family val="34"/>
          </rPr>
          <t xml:space="preserve">
</t>
        </r>
        <r>
          <rPr>
            <sz val="14"/>
            <color rgb="FF000000"/>
            <rFont val="Times New Roman"/>
            <family val="18"/>
          </rPr>
          <t>30/09/1819 Muster: IR 34 13. Fus. Komp. Nr. 22</t>
        </r>
        <r>
          <rPr>
            <sz val="14"/>
            <color rgb="FF000000"/>
            <rFont val="Calibri"/>
            <family val="34"/>
          </rPr>
          <t xml:space="preserve">
</t>
        </r>
        <r>
          <rPr>
            <sz val="14"/>
            <color rgb="FF000000"/>
            <rFont val="Times New Roman"/>
            <family val="18"/>
          </rPr>
          <t>05/09/1820 Muster: IR 34 13. Fus. Komp. Nr. 19</t>
        </r>
        <r>
          <rPr>
            <sz val="14"/>
            <color rgb="FF000000"/>
            <rFont val="Calibri"/>
            <family val="34"/>
          </rPr>
          <t xml:space="preserve">
</t>
        </r>
      </text>
    </comment>
    <comment ref="BG1455" authorId="0" shapeId="0" xr:uid="{4C007BD2-2A62-F847-9445-178AE0DD08F5}">
      <text>
        <r>
          <rPr>
            <sz val="14"/>
            <color rgb="FF000000"/>
            <rFont val="Times New Roman"/>
            <family val="18"/>
          </rPr>
          <t>ML 3085/6 IR 34 (1817) – 13. Fus. Komp. Nr. 15 (Venice 29/10/1817)</t>
        </r>
        <r>
          <rPr>
            <sz val="14"/>
            <color rgb="FF000000"/>
            <rFont val="Calibri"/>
            <family val="34"/>
          </rPr>
          <t xml:space="preserve">
</t>
        </r>
        <r>
          <rPr>
            <sz val="14"/>
            <color rgb="FF000000"/>
            <rFont val="Times New Roman"/>
            <family val="18"/>
          </rPr>
          <t xml:space="preserve">ML 3087/8 IR 34 (1818) – 13. Fus. Komp. Nr. 26 (Chiogga 13/10/1818) </t>
        </r>
        <r>
          <rPr>
            <sz val="14"/>
            <color rgb="FF000000"/>
            <rFont val="Calibri"/>
            <family val="34"/>
          </rPr>
          <t xml:space="preserve">
</t>
        </r>
        <r>
          <rPr>
            <sz val="14"/>
            <color rgb="FF000000"/>
            <rFont val="Times New Roman"/>
            <family val="18"/>
          </rPr>
          <t>ML 3089/90 (1819) – 13. Fus. Komp. Nr. 22 (Venice 30/09/1819)</t>
        </r>
        <r>
          <rPr>
            <sz val="14"/>
            <color rgb="FF000000"/>
            <rFont val="Calibri"/>
            <family val="34"/>
          </rPr>
          <t xml:space="preserve">
</t>
        </r>
        <r>
          <rPr>
            <sz val="14"/>
            <color rgb="FF000000"/>
            <rFont val="Times New Roman"/>
            <family val="18"/>
          </rPr>
          <t>ML 3091/2 (1820) – 13. Fus. Komp. Nr. 19 (Lido 05/09/1820)</t>
        </r>
        <r>
          <rPr>
            <sz val="14"/>
            <color rgb="FF000000"/>
            <rFont val="Calibri"/>
            <family val="34"/>
          </rPr>
          <t xml:space="preserve">
</t>
        </r>
        <r>
          <rPr>
            <sz val="14"/>
            <color rgb="FF000000"/>
            <rFont val="Times New Roman"/>
            <family val="18"/>
          </rPr>
          <t xml:space="preserve">ML 3155 IR 34 (1817) – SUP Nr. 3 (Venice 10/07/1817) </t>
        </r>
        <r>
          <rPr>
            <sz val="14"/>
            <color rgb="FF000000"/>
            <rFont val="Calibri"/>
            <family val="34"/>
          </rPr>
          <t xml:space="preserve">
</t>
        </r>
        <r>
          <rPr>
            <sz val="14"/>
            <color rgb="FF000000"/>
            <rFont val="Calibri"/>
            <family val="34"/>
          </rPr>
          <t xml:space="preserve">
</t>
        </r>
        <r>
          <rPr>
            <sz val="14"/>
            <color rgb="FF000000"/>
            <rFont val="Calibri"/>
            <family val="34"/>
          </rPr>
          <t xml:space="preserve">
</t>
        </r>
      </text>
    </comment>
    <comment ref="BH1455" authorId="0" shapeId="0" xr:uid="{19122887-2541-5D4A-A4D4-B2215AFF82C2}">
      <text>
        <r>
          <rPr>
            <sz val="14"/>
            <color rgb="FF000000"/>
            <rFont val="Calibri"/>
            <family val="34"/>
          </rPr>
          <t>IR 34 (1814-1820)</t>
        </r>
      </text>
    </comment>
    <comment ref="BI1455" authorId="0" shapeId="0" xr:uid="{9B1DCC94-3267-9049-8C51-9578AE1BEA57}">
      <text>
        <r>
          <rPr>
            <sz val="14"/>
            <color rgb="FF000000"/>
            <rFont val="Calibri"/>
            <family val="34"/>
          </rPr>
          <t>Gut [SUP Juli 1817]</t>
        </r>
      </text>
    </comment>
    <comment ref="BJ1455" authorId="0" shapeId="0" xr:uid="{0188ABD0-ABCD-1F4A-A126-0F590394A452}">
      <text>
        <r>
          <rPr>
            <i/>
            <sz val="14"/>
            <color rgb="FF000000"/>
            <rFont val="Times New Roman"/>
            <family val="18"/>
          </rPr>
          <t>Mangel am Zahnen und mit Brust schwache belastet</t>
        </r>
        <r>
          <rPr>
            <sz val="14"/>
            <color rgb="FF000000"/>
            <rFont val="Calibri"/>
            <family val="2"/>
          </rPr>
          <t xml:space="preserve"> </t>
        </r>
        <r>
          <rPr>
            <sz val="14"/>
            <color rgb="FF000000"/>
            <rFont val="Times New Roman"/>
            <family val="18"/>
          </rPr>
          <t>[SUP Juli 1817]</t>
        </r>
      </text>
    </comment>
    <comment ref="BF1456" authorId="0" shapeId="0" xr:uid="{CB3D2723-F0B6-6F41-BE50-B35A22FC8483}">
      <text>
        <r>
          <rPr>
            <sz val="14"/>
            <color rgb="FF000000"/>
            <rFont val="Times New Roman"/>
            <family val="18"/>
          </rPr>
          <t xml:space="preserve">24/02/1814 </t>
        </r>
        <r>
          <rPr>
            <i/>
            <sz val="14"/>
            <color rgb="FF000000"/>
            <rFont val="Times New Roman"/>
            <family val="18"/>
          </rPr>
          <t>Gegen 3Fl Handgeld als landständischer Rekrut um IR 61 auf beständig assentiert und zur 18. Kompanie eingeheilt</t>
        </r>
        <r>
          <rPr>
            <sz val="14"/>
            <color rgb="FF000000"/>
            <rFont val="Times New Roman"/>
            <family val="18"/>
          </rPr>
          <t xml:space="preserve"> [AL Feb 1814]</t>
        </r>
        <r>
          <rPr>
            <sz val="14"/>
            <color rgb="FF000000"/>
            <rFont val="Calibri"/>
            <family val="34"/>
          </rPr>
          <t xml:space="preserve">
</t>
        </r>
      </text>
    </comment>
    <comment ref="BG1456" authorId="0" shapeId="0" xr:uid="{80DF3D41-CE08-F549-BC81-7EB100AE8B6C}">
      <text>
        <r>
          <rPr>
            <sz val="14"/>
            <color rgb="FF000000"/>
            <rFont val="Times New Roman"/>
            <family val="18"/>
          </rPr>
          <t>ML 5184 IR 61 (1814) AL/TL – AL. Nr. 2 (Tamesvar 24/02/1814)</t>
        </r>
        <r>
          <rPr>
            <sz val="14"/>
            <color rgb="FF000000"/>
            <rFont val="Calibri"/>
            <family val="34"/>
          </rPr>
          <t xml:space="preserve">
</t>
        </r>
      </text>
    </comment>
    <comment ref="BH1456" authorId="0" shapeId="0" xr:uid="{8AF6FF1B-5886-1548-9D2A-38491136F925}">
      <text>
        <r>
          <rPr>
            <sz val="14"/>
            <color rgb="FF000000"/>
            <rFont val="Calibri"/>
            <family val="34"/>
          </rPr>
          <t>IR 61 (1814)</t>
        </r>
      </text>
    </comment>
    <comment ref="BF1457" authorId="0" shapeId="0" xr:uid="{487765DF-3B16-5942-8E95-7E7723D93B02}">
      <text>
        <r>
          <rPr>
            <sz val="14"/>
            <color rgb="FF000000"/>
            <rFont val="Times New Roman"/>
            <family val="18"/>
          </rPr>
          <t xml:space="preserve">25/02/1814 </t>
        </r>
        <r>
          <rPr>
            <i/>
            <sz val="14"/>
            <color rgb="FF000000"/>
            <rFont val="Times New Roman"/>
            <family val="18"/>
          </rPr>
          <t>A 3Fl Handgeld mit 14 Jährigen Capitulation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18/09/1817 Muster: IR 3 12. Fus. Komp. Nr. 84</t>
        </r>
        <r>
          <rPr>
            <sz val="14"/>
            <color rgb="FF000000"/>
            <rFont val="Calibri"/>
            <family val="34"/>
          </rPr>
          <t xml:space="preserve">
</t>
        </r>
        <r>
          <rPr>
            <sz val="14"/>
            <color rgb="FF000000"/>
            <rFont val="Times New Roman"/>
            <family val="18"/>
          </rPr>
          <t>15/09/1818 Muster: IR 3 12. Fus. Komp. Nr. 72</t>
        </r>
        <r>
          <rPr>
            <sz val="14"/>
            <color rgb="FF000000"/>
            <rFont val="Calibri"/>
            <family val="34"/>
          </rPr>
          <t xml:space="preserve">
</t>
        </r>
        <r>
          <rPr>
            <sz val="14"/>
            <color rgb="FF000000"/>
            <rFont val="Times New Roman"/>
            <family val="18"/>
          </rPr>
          <t>13/09/1819 Muster: IR 3 12. Fus. Komp. Nr. 67</t>
        </r>
        <r>
          <rPr>
            <sz val="14"/>
            <color rgb="FF000000"/>
            <rFont val="Calibri"/>
            <family val="34"/>
          </rPr>
          <t xml:space="preserve">
</t>
        </r>
        <r>
          <rPr>
            <sz val="14"/>
            <color rgb="FF000000"/>
            <rFont val="Times New Roman"/>
            <family val="18"/>
          </rPr>
          <t xml:space="preserve">01/01/1820 </t>
        </r>
        <r>
          <rPr>
            <i/>
            <sz val="14"/>
            <color rgb="FF000000"/>
            <rFont val="Times New Roman"/>
            <family val="18"/>
          </rPr>
          <t>Zum Gefreyter avanciert</t>
        </r>
        <r>
          <rPr>
            <sz val="14"/>
            <color rgb="FF000000"/>
            <rFont val="Times New Roman"/>
            <family val="18"/>
          </rPr>
          <t xml:space="preserve"> [ML 1820] </t>
        </r>
        <r>
          <rPr>
            <sz val="14"/>
            <color rgb="FF000000"/>
            <rFont val="Calibri"/>
            <family val="34"/>
          </rPr>
          <t xml:space="preserve">
</t>
        </r>
        <r>
          <rPr>
            <sz val="14"/>
            <color rgb="FF000000"/>
            <rFont val="Times New Roman"/>
            <family val="18"/>
          </rPr>
          <t>11/09/1820 Muster: IR 3 12. Fus. Komp. Nr. 22 [</t>
        </r>
        <r>
          <rPr>
            <i/>
            <sz val="14"/>
            <color rgb="FF000000"/>
            <rFont val="Times New Roman"/>
            <family val="18"/>
          </rPr>
          <t>Auf Gneixendorfer Pulverwache</t>
        </r>
        <r>
          <rPr>
            <sz val="14"/>
            <color rgb="FF000000"/>
            <rFont val="Times New Roman"/>
            <family val="18"/>
          </rPr>
          <t>]</t>
        </r>
        <r>
          <rPr>
            <sz val="14"/>
            <color rgb="FF000000"/>
            <rFont val="Calibri"/>
            <family val="34"/>
          </rPr>
          <t xml:space="preserve">
</t>
        </r>
      </text>
    </comment>
    <comment ref="BG1457" authorId="0" shapeId="0" xr:uid="{CC1FE9CF-2B02-464B-97F6-77E0485605AC}">
      <text>
        <r>
          <rPr>
            <sz val="14"/>
            <color rgb="FF000000"/>
            <rFont val="Times New Roman"/>
            <family val="18"/>
          </rPr>
          <t>ML 241 IR 3 (1817) – 12. Fus. Komp. Nr. 84 (Krems 18/09/1817)</t>
        </r>
        <r>
          <rPr>
            <sz val="14"/>
            <color rgb="FF000000"/>
            <rFont val="Calibri"/>
            <family val="34"/>
          </rPr>
          <t xml:space="preserve">
</t>
        </r>
        <r>
          <rPr>
            <sz val="14"/>
            <color rgb="FF000000"/>
            <rFont val="Times New Roman"/>
            <family val="18"/>
          </rPr>
          <t>ML 242 IR 3 (1818) – 12. Fus. Komp. Nr. 72 (Krems 15/09/1818)</t>
        </r>
        <r>
          <rPr>
            <sz val="14"/>
            <color rgb="FF000000"/>
            <rFont val="Calibri"/>
            <family val="34"/>
          </rPr>
          <t xml:space="preserve">
</t>
        </r>
        <r>
          <rPr>
            <sz val="14"/>
            <color rgb="FF000000"/>
            <rFont val="Times New Roman"/>
            <family val="18"/>
          </rPr>
          <t>ML 243 IR 3 (1819) – 12. Fus. Komp. Nr. 67 (Krems 13/09/1819)</t>
        </r>
        <r>
          <rPr>
            <sz val="14"/>
            <color rgb="FF000000"/>
            <rFont val="Calibri"/>
            <family val="34"/>
          </rPr>
          <t xml:space="preserve">
</t>
        </r>
        <r>
          <rPr>
            <sz val="14"/>
            <color rgb="FF000000"/>
            <rFont val="Times New Roman"/>
            <family val="18"/>
          </rPr>
          <t>ML 243 IR 3 (1820) – 12. Fus. Komp. Nr. 22 (Krems 11/09/1820)</t>
        </r>
        <r>
          <rPr>
            <sz val="14"/>
            <color rgb="FF000000"/>
            <rFont val="Calibri"/>
            <family val="34"/>
          </rPr>
          <t xml:space="preserve">
</t>
        </r>
      </text>
    </comment>
    <comment ref="BH1457" authorId="0" shapeId="0" xr:uid="{01006BE6-6744-0843-B052-6EE9E5987B75}">
      <text>
        <r>
          <rPr>
            <sz val="14"/>
            <color rgb="FF000000"/>
            <rFont val="Calibri"/>
            <family val="34"/>
          </rPr>
          <t>IR 3 (1814-1820)</t>
        </r>
      </text>
    </comment>
    <comment ref="T1458" authorId="0" shapeId="0" xr:uid="{E105F018-698A-E44C-BAB4-48B3F6BC2585}">
      <text>
        <r>
          <rPr>
            <b/>
            <sz val="14"/>
            <color rgb="FF000000"/>
            <rFont val="Calibri"/>
            <family val="34"/>
          </rPr>
          <t xml:space="preserve">5.1.2 [161.07 cm (ML 1819)]
</t>
        </r>
        <r>
          <rPr>
            <sz val="14"/>
            <color rgb="FF000000"/>
            <rFont val="Calibri"/>
            <family val="34"/>
          </rPr>
          <t>5.4.1 [168.74 cm (ML 1820)]</t>
        </r>
      </text>
    </comment>
    <comment ref="BF1458" authorId="0" shapeId="0" xr:uid="{10921C41-2247-144D-8182-416D237DB662}">
      <text>
        <r>
          <rPr>
            <sz val="14"/>
            <color rgb="FF000000"/>
            <rFont val="Times New Roman"/>
            <family val="18"/>
          </rPr>
          <t xml:space="preserve">01/03/1814 </t>
        </r>
        <r>
          <rPr>
            <i/>
            <sz val="14"/>
            <color rgb="FF000000"/>
            <rFont val="Times New Roman"/>
            <family val="18"/>
          </rPr>
          <t>Auf 14 Jahren assentiert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22/09/1819 Muster: HR 10 Obrist 2. Esk Nr. 62</t>
        </r>
        <r>
          <rPr>
            <sz val="14"/>
            <color rgb="FF000000"/>
            <rFont val="Calibri"/>
            <family val="34"/>
          </rPr>
          <t xml:space="preserve">
</t>
        </r>
        <r>
          <rPr>
            <sz val="14"/>
            <color rgb="FF000000"/>
            <rFont val="Times New Roman"/>
            <family val="18"/>
          </rPr>
          <t>05/09/1820 Muster: HR 10 Obrist 2. Esk Nr. 59</t>
        </r>
        <r>
          <rPr>
            <sz val="14"/>
            <color rgb="FF000000"/>
            <rFont val="Calibri"/>
            <family val="34"/>
          </rPr>
          <t xml:space="preserve">
</t>
        </r>
      </text>
    </comment>
    <comment ref="BG1458" authorId="0" shapeId="0" xr:uid="{2E9CF3CF-B8F2-D64B-B8DD-D75AA985D3A0}">
      <text>
        <r>
          <rPr>
            <sz val="14"/>
            <color rgb="FF000000"/>
            <rFont val="Times New Roman"/>
            <family val="18"/>
          </rPr>
          <t>ML 7746 HR 10 (1819): Obrist 2. Esk. Nr. 62 (Jolsva 22/09/1819)</t>
        </r>
        <r>
          <rPr>
            <sz val="14"/>
            <color rgb="FF000000"/>
            <rFont val="Calibri"/>
            <family val="34"/>
          </rPr>
          <t xml:space="preserve">
</t>
        </r>
        <r>
          <rPr>
            <sz val="14"/>
            <color rgb="FF000000"/>
            <rFont val="Times New Roman"/>
            <family val="18"/>
          </rPr>
          <t>ML 7747 HR 10 (1820): Obrist 2. Esk. Nr. 59 (Janosy 05/09/1820)</t>
        </r>
      </text>
    </comment>
    <comment ref="BH1458" authorId="0" shapeId="0" xr:uid="{0F2DC43A-DAFD-2642-908C-A0840808B0BF}">
      <text>
        <r>
          <rPr>
            <sz val="14"/>
            <color rgb="FF000000"/>
            <rFont val="Calibri"/>
            <family val="34"/>
          </rPr>
          <t>HR 2 (1814-1820)</t>
        </r>
      </text>
    </comment>
    <comment ref="I1459" authorId="0" shapeId="0" xr:uid="{88C13265-540B-D046-9575-6C216024ADD1}">
      <text>
        <r>
          <rPr>
            <sz val="14"/>
            <color rgb="FF000000"/>
            <rFont val="Calibri"/>
            <family val="34"/>
          </rPr>
          <t xml:space="preserve">1789 [28 (1817)
</t>
        </r>
        <r>
          <rPr>
            <sz val="14"/>
            <color rgb="FF000000"/>
            <rFont val="Calibri"/>
            <family val="34"/>
          </rPr>
          <t xml:space="preserve">1791 [23 (1814)] </t>
        </r>
      </text>
    </comment>
    <comment ref="T1459" authorId="0" shapeId="0" xr:uid="{C1E5E082-6DC7-864D-A15A-C221E53252F1}">
      <text>
        <r>
          <rPr>
            <sz val="14"/>
            <color rgb="FF000000"/>
            <rFont val="Calibri"/>
            <family val="34"/>
          </rPr>
          <t xml:space="preserve">5.3.2 [166.33] [AL 1814)
</t>
        </r>
        <r>
          <rPr>
            <sz val="14"/>
            <color rgb="FF000000"/>
            <rFont val="Calibri"/>
            <family val="34"/>
          </rPr>
          <t>5.4 [168.52] (ML 1814)</t>
        </r>
      </text>
    </comment>
    <comment ref="BF1459" authorId="0" shapeId="0" xr:uid="{4C10BF42-EF80-E041-9C64-4B53D4A5C6B4}">
      <text>
        <r>
          <rPr>
            <sz val="14"/>
            <color rgb="FFFF0000"/>
            <rFont val="Times New Roman"/>
            <family val="18"/>
          </rPr>
          <t xml:space="preserve">17/02/1814 </t>
        </r>
        <r>
          <rPr>
            <i/>
            <sz val="14"/>
            <color rgb="FFFF0000"/>
            <rFont val="Times New Roman"/>
            <family val="18"/>
          </rPr>
          <t>Ohne Capitulation zu Peterwardin assentiert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06/03/1814 </t>
        </r>
        <r>
          <rPr>
            <i/>
            <sz val="14"/>
            <color rgb="FF000000"/>
            <rFont val="Times New Roman"/>
            <family val="18"/>
          </rPr>
          <t xml:space="preserve">Gegen 10Fl Handgeld gestellt in Peterwardein </t>
        </r>
        <r>
          <rPr>
            <b/>
            <sz val="14"/>
            <color rgb="FF000000"/>
            <rFont val="Times New Roman"/>
            <family val="18"/>
          </rPr>
          <t>[Petrovaradin, Serbia]</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r>
          <rPr>
            <sz val="14"/>
            <color rgb="FF000000"/>
            <rFont val="Times New Roman"/>
            <family val="18"/>
          </rPr>
          <t>01/10/1817 Muster: IR 52 16. Fus. Komp. Nr. 144</t>
        </r>
        <r>
          <rPr>
            <sz val="14"/>
            <color rgb="FF000000"/>
            <rFont val="Calibri"/>
            <family val="34"/>
          </rPr>
          <t xml:space="preserve">
</t>
        </r>
      </text>
    </comment>
    <comment ref="BG1459" authorId="0" shapeId="0" xr:uid="{8A362A49-5EE1-584D-BCBA-59206746BF29}">
      <text>
        <r>
          <rPr>
            <sz val="14"/>
            <color rgb="FF000000"/>
            <rFont val="Times New Roman"/>
            <family val="18"/>
          </rPr>
          <t>ML 5185 IR 52 (1814) AL/TL – AL. Nr. 4 (Peterwardein 06/03/1814)</t>
        </r>
        <r>
          <rPr>
            <sz val="14"/>
            <color rgb="FF000000"/>
            <rFont val="Calibri"/>
            <family val="34"/>
          </rPr>
          <t xml:space="preserve">
</t>
        </r>
        <r>
          <rPr>
            <sz val="14"/>
            <color rgb="FF000000"/>
            <rFont val="Times New Roman"/>
            <family val="18"/>
          </rPr>
          <t>ML 4410/1 IR 52 (1817) – 16. Fus. Komp. Nr. 144 (Verona 01/10/1814)</t>
        </r>
        <r>
          <rPr>
            <sz val="14"/>
            <color rgb="FF000000"/>
            <rFont val="Calibri"/>
            <family val="34"/>
          </rPr>
          <t xml:space="preserve">
</t>
        </r>
      </text>
    </comment>
    <comment ref="BH1459" authorId="0" shapeId="0" xr:uid="{86B99DC3-66AD-9544-B2C0-D9970A45434D}">
      <text>
        <r>
          <rPr>
            <sz val="14"/>
            <color rgb="FF000000"/>
            <rFont val="Calibri"/>
            <family val="34"/>
          </rPr>
          <t>IR 52 (1814-1817)</t>
        </r>
      </text>
    </comment>
    <comment ref="BF1460" authorId="0" shapeId="0" xr:uid="{901FAD53-FCFB-5C4C-8947-7F3CE71BE6CF}">
      <text>
        <r>
          <rPr>
            <sz val="14"/>
            <color rgb="FF000000"/>
            <rFont val="Times New Roman"/>
            <family val="18"/>
          </rPr>
          <t xml:space="preserve">08/03/1814 </t>
        </r>
        <r>
          <rPr>
            <i/>
            <sz val="14"/>
            <color rgb="FF000000"/>
            <rFont val="Times New Roman"/>
            <family val="18"/>
          </rPr>
          <t xml:space="preserve">Gegen 10Fl Handgeld zum HR 6 ‚Blankenstein‘ auf beständig assentiert </t>
        </r>
        <r>
          <rPr>
            <sz val="14"/>
            <color rgb="FF000000"/>
            <rFont val="Times New Roman"/>
            <family val="18"/>
          </rPr>
          <t>[AL Feb 1814]</t>
        </r>
        <r>
          <rPr>
            <sz val="14"/>
            <color rgb="FF000000"/>
            <rFont val="Calibri"/>
            <family val="34"/>
          </rPr>
          <t xml:space="preserve">
</t>
        </r>
      </text>
    </comment>
    <comment ref="BG1460" authorId="0" shapeId="0" xr:uid="{CCE6F3D4-72FF-684C-85EA-E09E4F88D226}">
      <text>
        <r>
          <rPr>
            <sz val="14"/>
            <color rgb="FF000000"/>
            <rFont val="Times New Roman"/>
            <family val="18"/>
          </rPr>
          <t>ML 5184 IR 61 (1814) AL/TL – AL. Nr. 2 (Arad 20/04/1814)</t>
        </r>
        <r>
          <rPr>
            <sz val="14"/>
            <color rgb="FF000000"/>
            <rFont val="Calibri"/>
            <family val="34"/>
          </rPr>
          <t xml:space="preserve">
</t>
        </r>
      </text>
    </comment>
    <comment ref="BH1460" authorId="0" shapeId="0" xr:uid="{BBA942D8-7BE6-954E-BC13-E9B1D56B74C4}">
      <text>
        <r>
          <rPr>
            <sz val="14"/>
            <color rgb="FF000000"/>
            <rFont val="Calibri"/>
            <family val="34"/>
          </rPr>
          <t>HR 6 (1814)</t>
        </r>
      </text>
    </comment>
    <comment ref="I1461" authorId="0" shapeId="0" xr:uid="{2CC8763F-E68C-B24B-B815-13129B8D6F04}">
      <text>
        <r>
          <rPr>
            <sz val="14"/>
            <color rgb="FF000000"/>
            <rFont val="Calibri"/>
            <family val="34"/>
          </rPr>
          <t xml:space="preserve">1778 [41 (1819)]
</t>
        </r>
        <r>
          <rPr>
            <sz val="14"/>
            <color rgb="FF000000"/>
            <rFont val="Calibri"/>
            <family val="34"/>
          </rPr>
          <t xml:space="preserve">OR
</t>
        </r>
        <r>
          <rPr>
            <b/>
            <sz val="14"/>
            <color rgb="FF000000"/>
            <rFont val="Calibri"/>
            <family val="34"/>
          </rPr>
          <t xml:space="preserve">1788 [30 (1818)]
</t>
        </r>
      </text>
    </comment>
    <comment ref="BF1461" authorId="0" shapeId="0" xr:uid="{3528F996-A337-1747-8D5C-0BBC308086A9}">
      <text>
        <r>
          <rPr>
            <sz val="14"/>
            <color rgb="FF000000"/>
            <rFont val="Times New Roman"/>
            <family val="18"/>
          </rPr>
          <t xml:space="preserve">15/03/1814 </t>
        </r>
        <r>
          <rPr>
            <i/>
            <sz val="14"/>
            <color rgb="FF000000"/>
            <rFont val="Times New Roman"/>
            <family val="18"/>
          </rPr>
          <t>A 3Fl Handgeld von land gestellt und auf Beständig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26/03/1814 </t>
        </r>
        <r>
          <rPr>
            <i/>
            <sz val="14"/>
            <color rgb="FF000000"/>
            <rFont val="Times New Roman"/>
            <family val="18"/>
          </rPr>
          <t>von Baron Spleny Inf. Regiment</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 xml:space="preserve">anhero </t>
        </r>
        <r>
          <rPr>
            <b/>
            <sz val="14"/>
            <color rgb="FF000000"/>
            <rFont val="Times New Roman"/>
            <family val="18"/>
          </rPr>
          <t>[IR 62]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02/11/1818 Muster: IR 62 13. Fus. Komp. Nr. 245 [</t>
        </r>
        <r>
          <rPr>
            <i/>
            <sz val="14"/>
            <color rgb="FF000000"/>
            <rFont val="Times New Roman"/>
            <family val="18"/>
          </rPr>
          <t>Beurlaubt bis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25/10/1819 Muster: IR 62 13. Fus. Komp. Nr. 223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31/05/1820 </t>
        </r>
        <r>
          <rPr>
            <i/>
            <sz val="14"/>
            <color rgb="FF000000"/>
            <rFont val="Times New Roman"/>
            <family val="18"/>
          </rPr>
          <t>Von Urlaub desertiert</t>
        </r>
        <r>
          <rPr>
            <sz val="14"/>
            <color rgb="FF000000"/>
            <rFont val="Times New Roman"/>
            <family val="18"/>
          </rPr>
          <t xml:space="preserve"> [RL 1820] 
</t>
        </r>
      </text>
    </comment>
    <comment ref="BG1461" authorId="0" shapeId="0" xr:uid="{96F2A8BA-7C16-7C42-AFA3-06343C32B912}">
      <text>
        <r>
          <rPr>
            <sz val="14"/>
            <color rgb="FF000000"/>
            <rFont val="Times New Roman"/>
            <family val="18"/>
          </rPr>
          <t>ML 5213/4 IR 62 (1818) – 13. Fus. Komp. Nr. 245 (Hermannstadt 02/11/1818)</t>
        </r>
        <r>
          <rPr>
            <sz val="14"/>
            <color rgb="FF000000"/>
            <rFont val="Calibri"/>
            <family val="34"/>
          </rPr>
          <t xml:space="preserve">
</t>
        </r>
        <r>
          <rPr>
            <sz val="14"/>
            <color rgb="FF000000"/>
            <rFont val="Times New Roman"/>
            <family val="18"/>
          </rPr>
          <t>ML 5215/6 IR 62 (1819) – 13. Fus. Komp. Nr. 223 (Kronstadt 25/10/1819)</t>
        </r>
        <r>
          <rPr>
            <sz val="14"/>
            <color rgb="FF000000"/>
            <rFont val="Calibri"/>
            <family val="34"/>
          </rPr>
          <t xml:space="preserve">
</t>
        </r>
        <r>
          <rPr>
            <sz val="14"/>
            <color rgb="FF000000"/>
            <rFont val="Times New Roman"/>
            <family val="18"/>
          </rPr>
          <t>ML 5217 IR 62 (1820) – 13. Fus. Komp. Abgang (Cronstadt 16/10/1820)</t>
        </r>
        <r>
          <rPr>
            <sz val="14"/>
            <color rgb="FF000000"/>
            <rFont val="Calibri"/>
            <family val="34"/>
          </rPr>
          <t xml:space="preserve">
</t>
        </r>
      </text>
    </comment>
    <comment ref="BH1461" authorId="0" shapeId="0" xr:uid="{4B3CE1D7-77FF-C44D-9FF9-E38C6773ED6C}">
      <text>
        <r>
          <rPr>
            <sz val="14"/>
            <color rgb="FF000000"/>
            <rFont val="Calibri"/>
            <family val="34"/>
          </rPr>
          <t xml:space="preserve">IR 51 (1814)
</t>
        </r>
        <r>
          <rPr>
            <sz val="14"/>
            <color rgb="FF000000"/>
            <rFont val="Calibri"/>
            <family val="34"/>
          </rPr>
          <t>IR 62 (1814-1819)</t>
        </r>
      </text>
    </comment>
    <comment ref="BF1462" authorId="0" shapeId="0" xr:uid="{CBE23227-2C1C-4C4F-88C5-46ADD7993402}">
      <text>
        <r>
          <rPr>
            <sz val="14"/>
            <color rgb="FF000000"/>
            <rFont val="Times New Roman"/>
            <family val="18"/>
          </rPr>
          <t>19/03/1814</t>
        </r>
        <r>
          <rPr>
            <i/>
            <sz val="14"/>
            <color rgb="FF000000"/>
            <rFont val="Times New Roman"/>
            <family val="18"/>
          </rPr>
          <t xml:space="preserve"> Als landständischer Rekrut für königliche Freystadt Tamesvar Ort Kammeral gegen 90Fl Handgeld freiwillig engagiert und zum IR 61 ‚St Julien‘ in Tamesvar auf beständig assentiert </t>
        </r>
        <r>
          <rPr>
            <sz val="14"/>
            <color rgb="FF000000"/>
            <rFont val="Times New Roman"/>
            <family val="18"/>
          </rPr>
          <t>[AL March 1814]</t>
        </r>
        <r>
          <rPr>
            <sz val="14"/>
            <color rgb="FF000000"/>
            <rFont val="Calibri"/>
            <family val="34"/>
          </rPr>
          <t xml:space="preserve">
</t>
        </r>
      </text>
    </comment>
    <comment ref="BG1462" authorId="0" shapeId="0" xr:uid="{273FC9DD-39B8-4644-A134-77F583B0C050}">
      <text>
        <r>
          <rPr>
            <sz val="14"/>
            <color rgb="FF000000"/>
            <rFont val="Times New Roman"/>
            <family val="18"/>
          </rPr>
          <t>ML 5184 IR 61 (1814) AL/TL – AL. Nr. 1 (Tamesvar 25/03/1814)</t>
        </r>
        <r>
          <rPr>
            <sz val="14"/>
            <color rgb="FF000000"/>
            <rFont val="Calibri"/>
            <family val="34"/>
          </rPr>
          <t xml:space="preserve">
</t>
        </r>
      </text>
    </comment>
    <comment ref="BH1462" authorId="0" shapeId="0" xr:uid="{8406AC3F-1C24-AB47-928A-5317FC8BC0BE}">
      <text>
        <r>
          <rPr>
            <sz val="14"/>
            <color rgb="FF000000"/>
            <rFont val="Calibri"/>
            <family val="34"/>
          </rPr>
          <t>IR 61 (1814)</t>
        </r>
      </text>
    </comment>
    <comment ref="BF1463" authorId="0" shapeId="0" xr:uid="{154AC24C-DE82-6748-8D78-8E98D59D5B60}">
      <text>
        <r>
          <rPr>
            <sz val="14"/>
            <color rgb="FF000000"/>
            <rFont val="Times New Roman"/>
            <family val="18"/>
          </rPr>
          <t xml:space="preserve">23/03/1814 </t>
        </r>
        <r>
          <rPr>
            <i/>
            <sz val="14"/>
            <color rgb="FF000000"/>
            <rFont val="Times New Roman"/>
            <family val="18"/>
          </rPr>
          <t xml:space="preserve">Als landständischer Rekrut für Grosz Sant Miklos gegen 10Fl Handgeldgstelt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text>
    </comment>
    <comment ref="BG1463" authorId="0" shapeId="0" xr:uid="{C978E70D-FA70-2142-9F29-1E8825F09FBC}">
      <text>
        <r>
          <rPr>
            <sz val="14"/>
            <color rgb="FF000000"/>
            <rFont val="Times New Roman"/>
            <family val="18"/>
          </rPr>
          <t>ML 5184 IR 61 (1814) AL/TL – AL. Nr. 1 (Grosz St. Miklos 26/03/1814)</t>
        </r>
        <r>
          <rPr>
            <sz val="14"/>
            <color rgb="FF000000"/>
            <rFont val="Calibri"/>
            <family val="34"/>
          </rPr>
          <t xml:space="preserve">
</t>
        </r>
      </text>
    </comment>
    <comment ref="BH1463" authorId="0" shapeId="0" xr:uid="{3E3D39A8-7692-FA43-A35E-DF8808E86CBD}">
      <text>
        <r>
          <rPr>
            <sz val="14"/>
            <color rgb="FF000000"/>
            <rFont val="Calibri"/>
            <family val="34"/>
          </rPr>
          <t>IR 61 (1814)</t>
        </r>
      </text>
    </comment>
    <comment ref="BF1464" authorId="0" shapeId="0" xr:uid="{D817FE76-E090-A240-9823-02AFB7A89E1D}">
      <text>
        <r>
          <rPr>
            <sz val="14"/>
            <color rgb="FF000000"/>
            <rFont val="Times New Roman"/>
            <family val="18"/>
          </rPr>
          <t xml:space="preserve">23/03/1814 </t>
        </r>
        <r>
          <rPr>
            <i/>
            <sz val="14"/>
            <color rgb="FF000000"/>
            <rFont val="Times New Roman"/>
            <family val="18"/>
          </rPr>
          <t xml:space="preserve">Als landständischer Rekrut gegen 10Fl Handgeld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text>
    </comment>
    <comment ref="BG1464" authorId="0" shapeId="0" xr:uid="{A7B789F8-6212-E64E-A9A3-2829C5B19F2E}">
      <text>
        <r>
          <rPr>
            <sz val="14"/>
            <color rgb="FF000000"/>
            <rFont val="Times New Roman"/>
            <family val="18"/>
          </rPr>
          <t>ML 5184 IR 61 (1814) AL/TL – AL. Nr. 1 (Grosz St. Miklos 24/03/1814)</t>
        </r>
        <r>
          <rPr>
            <sz val="14"/>
            <color rgb="FF000000"/>
            <rFont val="Calibri"/>
            <family val="34"/>
          </rPr>
          <t xml:space="preserve">
</t>
        </r>
      </text>
    </comment>
    <comment ref="BH1464" authorId="0" shapeId="0" xr:uid="{ED262309-8D0E-7741-9054-D8DB36C9E19E}">
      <text>
        <r>
          <rPr>
            <sz val="14"/>
            <color rgb="FF000000"/>
            <rFont val="Calibri"/>
            <family val="34"/>
          </rPr>
          <t>IR 61 (1814)</t>
        </r>
      </text>
    </comment>
    <comment ref="BF1465" authorId="0" shapeId="0" xr:uid="{3B686D0C-758E-F54B-A53F-9CE648E8A5BA}">
      <text>
        <r>
          <rPr>
            <sz val="14"/>
            <color rgb="FF000000"/>
            <rFont val="Times New Roman"/>
            <family val="18"/>
          </rPr>
          <t xml:space="preserve">31/03/1814 </t>
        </r>
        <r>
          <rPr>
            <i/>
            <sz val="14"/>
            <color rgb="FF000000"/>
            <rFont val="Times New Roman"/>
            <family val="18"/>
          </rPr>
          <t>A 3Fl Handgeld von Land gestellt</t>
        </r>
        <r>
          <rPr>
            <sz val="14"/>
            <color rgb="FF000000"/>
            <rFont val="Times New Roman"/>
            <family val="18"/>
          </rPr>
          <t xml:space="preserve"> [TL Aug 1815]</t>
        </r>
        <r>
          <rPr>
            <sz val="14"/>
            <color rgb="FF000000"/>
            <rFont val="Calibri"/>
            <family val="34"/>
          </rPr>
          <t xml:space="preserve">
</t>
        </r>
        <r>
          <rPr>
            <sz val="14"/>
            <color rgb="FF000000"/>
            <rFont val="Times New Roman"/>
            <family val="18"/>
          </rPr>
          <t xml:space="preserve">11/10/1814 </t>
        </r>
        <r>
          <rPr>
            <i/>
            <sz val="14"/>
            <color rgb="FF000000"/>
            <rFont val="Times New Roman"/>
            <family val="18"/>
          </rPr>
          <t>Von IR 24 zum GB 5 transferiert</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26/11/1816 </t>
        </r>
        <r>
          <rPr>
            <i/>
            <sz val="14"/>
            <color rgb="FF000000"/>
            <rFont val="Times New Roman"/>
            <family val="18"/>
          </rPr>
          <t>In Bataillon eingerückt und zum 4. Komp. eingeteilt</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20/04/1815 </t>
        </r>
        <r>
          <rPr>
            <i/>
            <sz val="14"/>
            <color rgb="FF000000"/>
            <rFont val="Times New Roman"/>
            <family val="18"/>
          </rPr>
          <t>Von GB 5 4. Komp. zum neu errichtete HFS 48 transferiert</t>
        </r>
        <r>
          <rPr>
            <sz val="14"/>
            <color rgb="FF000000"/>
            <rFont val="Times New Roman"/>
            <family val="18"/>
          </rPr>
          <t xml:space="preserve"> [TL Aug 1815]</t>
        </r>
        <r>
          <rPr>
            <sz val="14"/>
            <color rgb="FF000000"/>
            <rFont val="Calibri"/>
            <family val="34"/>
          </rPr>
          <t xml:space="preserve">
</t>
        </r>
        <r>
          <rPr>
            <sz val="14"/>
            <color rgb="FF000000"/>
            <rFont val="Times New Roman"/>
            <family val="18"/>
          </rPr>
          <t xml:space="preserve">21/09/1815 </t>
        </r>
        <r>
          <rPr>
            <i/>
            <sz val="14"/>
            <color rgb="FF000000"/>
            <rFont val="Times New Roman"/>
            <family val="18"/>
          </rPr>
          <t xml:space="preserve">Von HFS 48 zum HFS 44 transferiert </t>
        </r>
        <r>
          <rPr>
            <sz val="14"/>
            <color rgb="FF000000"/>
            <rFont val="Times New Roman"/>
            <family val="18"/>
          </rPr>
          <t>[VrpfL Sept 1815 &amp; Verpf Oct 1815]</t>
        </r>
        <r>
          <rPr>
            <sz val="14"/>
            <color rgb="FF000000"/>
            <rFont val="Calibri"/>
            <family val="34"/>
          </rPr>
          <t xml:space="preserve">
</t>
        </r>
        <r>
          <rPr>
            <sz val="14"/>
            <color rgb="FF000000"/>
            <rFont val="Times New Roman"/>
            <family val="18"/>
          </rPr>
          <t xml:space="preserve">01/02/1816 </t>
        </r>
        <r>
          <rPr>
            <i/>
            <sz val="14"/>
            <color rgb="FF000000"/>
            <rFont val="Times New Roman"/>
            <family val="18"/>
          </rPr>
          <t>In Foge Hohe N.Ö General Commando Verordnung det. 13 Jannuar a:C: R 787 zum GB 2 transferiert</t>
        </r>
        <r>
          <rPr>
            <sz val="14"/>
            <color rgb="FF000000"/>
            <rFont val="Times New Roman"/>
            <family val="18"/>
          </rPr>
          <t xml:space="preserve"> [VerpfL Feb 1816]</t>
        </r>
      </text>
    </comment>
    <comment ref="BG1465" authorId="0" shapeId="0" xr:uid="{41EBEE95-299C-7242-85F6-E62AB11335D5}">
      <text>
        <r>
          <rPr>
            <sz val="14"/>
            <color rgb="FF000000"/>
            <rFont val="Times New Roman"/>
            <family val="18"/>
          </rPr>
          <t>ML 5184 IR 61 (1814) AL/TL – AL. Nr. 1 (Grosz St. Miklos 24/03/1814)</t>
        </r>
        <r>
          <rPr>
            <sz val="14"/>
            <color rgb="FF000000"/>
            <rFont val="Calibri"/>
            <family val="34"/>
          </rPr>
          <t xml:space="preserve">
</t>
        </r>
      </text>
    </comment>
    <comment ref="BH1465" authorId="0" shapeId="0" xr:uid="{B2E33B46-5686-E74A-965B-26E4C16D352C}">
      <text>
        <r>
          <rPr>
            <sz val="14"/>
            <color rgb="FF000000"/>
            <rFont val="Calibri"/>
            <family val="34"/>
          </rPr>
          <t xml:space="preserve">IR 24 (1814)
</t>
        </r>
        <r>
          <rPr>
            <sz val="14"/>
            <color rgb="FF000000"/>
            <rFont val="Calibri"/>
            <family val="34"/>
          </rPr>
          <t xml:space="preserve">GB 5 (1814-1815)
</t>
        </r>
        <r>
          <rPr>
            <sz val="14"/>
            <color rgb="FF000000"/>
            <rFont val="Calibri"/>
            <family val="34"/>
          </rPr>
          <t xml:space="preserve">HFS 48 (1815)
</t>
        </r>
        <r>
          <rPr>
            <sz val="14"/>
            <color rgb="FF000000"/>
            <rFont val="Calibri"/>
            <family val="34"/>
          </rPr>
          <t xml:space="preserve">HFS 44 (1815-1816)
</t>
        </r>
        <r>
          <rPr>
            <sz val="14"/>
            <color rgb="FF000000"/>
            <rFont val="Calibri"/>
            <family val="34"/>
          </rPr>
          <t>GB 2 (1816)</t>
        </r>
      </text>
    </comment>
    <comment ref="BI1465" authorId="0" shapeId="0" xr:uid="{1C1D263B-98B3-804B-8295-18593F9A618D}">
      <text>
        <r>
          <rPr>
            <sz val="14"/>
            <color rgb="FF000000"/>
            <rFont val="Calibri"/>
            <family val="34"/>
          </rPr>
          <t>Gut [TL April 1815]</t>
        </r>
      </text>
    </comment>
    <comment ref="BJ1465" authorId="0" shapeId="0" xr:uid="{263DD093-D9A0-324D-8E91-39BB66C06B6C}">
      <text>
        <r>
          <rPr>
            <i/>
            <sz val="14"/>
            <color rgb="FF000000"/>
            <rFont val="Times New Roman"/>
            <family val="18"/>
          </rPr>
          <t>Schwache Körperbau und Schache Brust</t>
        </r>
        <r>
          <rPr>
            <sz val="14"/>
            <color rgb="FF000000"/>
            <rFont val="Calibri"/>
            <family val="2"/>
          </rPr>
          <t xml:space="preserve"> </t>
        </r>
        <r>
          <rPr>
            <sz val="14"/>
            <color rgb="FF000000"/>
            <rFont val="Times New Roman"/>
            <family val="18"/>
          </rPr>
          <t>[TL April 1815]</t>
        </r>
      </text>
    </comment>
    <comment ref="BF1466" authorId="0" shapeId="0" xr:uid="{0B77C1C8-41DB-8847-A366-43A4503B163C}">
      <text>
        <r>
          <rPr>
            <i/>
            <sz val="14"/>
            <color rgb="FF000000"/>
            <rFont val="Times New Roman"/>
            <family val="18"/>
          </rPr>
          <t>Hat beim Feldt Spital Nr. 21 als Unterarzt durch 1 Jahr gedient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01/04/1815 </t>
        </r>
        <r>
          <rPr>
            <i/>
            <sz val="14"/>
            <color rgb="FF000000"/>
            <rFont val="Times New Roman"/>
            <family val="18"/>
          </rPr>
          <t>Zum HFS 44 als Unterarzt neu assentiert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 Folge Verordnung mit 2er Monatliche Gage entlassen</t>
        </r>
        <r>
          <rPr>
            <sz val="14"/>
            <color rgb="FF000000"/>
            <rFont val="Times New Roman"/>
            <family val="18"/>
          </rPr>
          <t xml:space="preserve"> [Vepf. Jan 1816]</t>
        </r>
      </text>
    </comment>
    <comment ref="BG1466" authorId="0" shapeId="0" xr:uid="{769AB983-4549-0B44-AF35-8FC1F04E7120}">
      <text>
        <r>
          <rPr>
            <sz val="14"/>
            <color rgb="FF000000"/>
            <rFont val="Times New Roman"/>
            <family val="18"/>
          </rPr>
          <t>ML 12.011 HFS 44 (1815-16) – TL Nr. 3 (Vienna 01/04/1815); VerpfL Jan 1816 (Rohrbach 29/02/1816)</t>
        </r>
        <r>
          <rPr>
            <sz val="14"/>
            <color rgb="FF000000"/>
            <rFont val="Calibri"/>
            <family val="34"/>
          </rPr>
          <t xml:space="preserve">
</t>
        </r>
      </text>
    </comment>
    <comment ref="BH1466" authorId="0" shapeId="0" xr:uid="{67C24B8B-B447-C54F-868B-4EFC56BE8AAB}">
      <text>
        <r>
          <rPr>
            <sz val="14"/>
            <color rgb="FF000000"/>
            <rFont val="Calibri"/>
            <family val="34"/>
          </rPr>
          <t xml:space="preserve">HFS 21 (?1814-?1815)
</t>
        </r>
        <r>
          <rPr>
            <sz val="14"/>
            <color rgb="FF000000"/>
            <rFont val="Calibri"/>
            <family val="34"/>
          </rPr>
          <t>HFS 44 (1815-1816)</t>
        </r>
      </text>
    </comment>
    <comment ref="BF1467" authorId="0" shapeId="0" xr:uid="{7B3AA04E-02C4-A04B-AE8E-1167EEF1D18F}">
      <text>
        <r>
          <rPr>
            <sz val="14"/>
            <color rgb="FF000000"/>
            <rFont val="Times New Roman"/>
            <family val="18"/>
          </rPr>
          <t xml:space="preserve">08/04/1814 </t>
        </r>
        <r>
          <rPr>
            <i/>
            <sz val="14"/>
            <color rgb="FF000000"/>
            <rFont val="Times New Roman"/>
            <family val="18"/>
          </rPr>
          <t xml:space="preserve">A 10 Fl Handgeld Von Land Ungarn für Prinz Hessen Homburg 19. Linien Infanterie Regiment auf Beständig gestellt </t>
        </r>
        <r>
          <rPr>
            <sz val="14"/>
            <color rgb="FF000000"/>
            <rFont val="Times New Roman"/>
            <family val="18"/>
          </rPr>
          <t>[TL Jan 1819]</t>
        </r>
        <r>
          <rPr>
            <sz val="14"/>
            <color rgb="FF000000"/>
            <rFont val="Calibri"/>
            <family val="34"/>
          </rPr>
          <t xml:space="preserve">
</t>
        </r>
        <r>
          <rPr>
            <sz val="14"/>
            <color rgb="FF000000"/>
            <rFont val="Times New Roman"/>
            <family val="18"/>
          </rPr>
          <t xml:space="preserve">01/01/1819 </t>
        </r>
        <r>
          <rPr>
            <i/>
            <sz val="14"/>
            <color rgb="FF000000"/>
            <rFont val="Times New Roman"/>
            <family val="18"/>
          </rPr>
          <t>Mittels Einverständnis beide Regimentern von 19. Linien Regiment Hesse Homburg 3. Fus. Komp. zur IR transferiert und zur 6. Fus. Komp. eingeteilt, setidem auf anhero Marsch</t>
        </r>
        <r>
          <rPr>
            <sz val="14"/>
            <color rgb="FF000000"/>
            <rFont val="Times New Roman"/>
            <family val="18"/>
          </rPr>
          <t xml:space="preserve"> [TL Jan 1819 &amp; ST Feb 1819]</t>
        </r>
        <r>
          <rPr>
            <sz val="14"/>
            <color rgb="FF000000"/>
            <rFont val="Calibri"/>
            <family val="34"/>
          </rPr>
          <t xml:space="preserve">
</t>
        </r>
        <r>
          <rPr>
            <sz val="14"/>
            <color rgb="FF000000"/>
            <rFont val="Times New Roman"/>
            <family val="18"/>
          </rPr>
          <t xml:space="preserve">01/04/1819 </t>
        </r>
        <r>
          <rPr>
            <i/>
            <sz val="14"/>
            <color rgb="FF000000"/>
            <rFont val="Times New Roman"/>
            <family val="18"/>
          </rPr>
          <t>In Regiment eingerückt und bei 10 Fus. Komp. zugeteilt</t>
        </r>
        <r>
          <rPr>
            <sz val="14"/>
            <color rgb="FF000000"/>
            <rFont val="Times New Roman"/>
            <family val="18"/>
          </rPr>
          <t xml:space="preserve"> [ST April 1819]</t>
        </r>
        <r>
          <rPr>
            <sz val="14"/>
            <color rgb="FF000000"/>
            <rFont val="Calibri"/>
            <family val="34"/>
          </rPr>
          <t xml:space="preserve">
</t>
        </r>
        <r>
          <rPr>
            <sz val="14"/>
            <color rgb="FF000000"/>
            <rFont val="Times New Roman"/>
            <family val="18"/>
          </rPr>
          <t xml:space="preserve">05/04/1819 </t>
        </r>
        <r>
          <rPr>
            <i/>
            <sz val="14"/>
            <color rgb="FF000000"/>
            <rFont val="Times New Roman"/>
            <family val="18"/>
          </rPr>
          <t>In Kompanie eingerückt</t>
        </r>
        <r>
          <rPr>
            <sz val="14"/>
            <color rgb="FF000000"/>
            <rFont val="Times New Roman"/>
            <family val="18"/>
          </rPr>
          <t xml:space="preserve"> [ST April 1819]</t>
        </r>
        <r>
          <rPr>
            <sz val="14"/>
            <color rgb="FF000000"/>
            <rFont val="Calibri"/>
            <family val="34"/>
          </rPr>
          <t xml:space="preserve">
</t>
        </r>
        <r>
          <rPr>
            <sz val="14"/>
            <color rgb="FF000000"/>
            <rFont val="Times New Roman"/>
            <family val="18"/>
          </rPr>
          <t xml:space="preserve">25/04/1819 </t>
        </r>
        <r>
          <rPr>
            <i/>
            <sz val="14"/>
            <color rgb="FF000000"/>
            <rFont val="Times New Roman"/>
            <family val="18"/>
          </rPr>
          <t>Beurlaubt bis zur Einberufung</t>
        </r>
        <r>
          <rPr>
            <sz val="14"/>
            <color rgb="FF000000"/>
            <rFont val="Times New Roman"/>
            <family val="18"/>
          </rPr>
          <t xml:space="preserve"> [ST April 1819]</t>
        </r>
        <r>
          <rPr>
            <sz val="14"/>
            <color rgb="FF000000"/>
            <rFont val="Calibri"/>
            <family val="34"/>
          </rPr>
          <t xml:space="preserve">
</t>
        </r>
        <r>
          <rPr>
            <sz val="14"/>
            <color rgb="FF000000"/>
            <rFont val="Times New Roman"/>
            <family val="18"/>
          </rPr>
          <t>14/09/1819 Muster: IR 1 6. Fus. Komp. Nr. 257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6. zum 15.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15. Fus Komp</t>
        </r>
        <r>
          <rPr>
            <sz val="14"/>
            <color rgb="FF000000"/>
            <rFont val="Times New Roman"/>
            <family val="18"/>
          </rPr>
          <t xml:space="preserve"> [ST Oct 1820]</t>
        </r>
        <r>
          <rPr>
            <sz val="14"/>
            <color rgb="FF000000"/>
            <rFont val="Calibri"/>
            <family val="34"/>
          </rPr>
          <t xml:space="preserve">
</t>
        </r>
      </text>
    </comment>
    <comment ref="BG1467" authorId="0" shapeId="0" xr:uid="{B3DF01AF-CB3E-074C-8FA1-39F0728C9C35}">
      <text>
        <r>
          <rPr>
            <sz val="14"/>
            <color rgb="FF000000"/>
            <rFont val="Times New Roman"/>
            <family val="18"/>
          </rPr>
          <t>ML 38/9 IR 1 (1819) – IR 1 6. Fus. Komp. 257 (Olmütz 14/09/1819)</t>
        </r>
        <r>
          <rPr>
            <sz val="14"/>
            <color rgb="FF000000"/>
            <rFont val="Calibri"/>
            <family val="34"/>
          </rPr>
          <t xml:space="preserve">
</t>
        </r>
        <r>
          <rPr>
            <sz val="14"/>
            <color rgb="FF000000"/>
            <rFont val="Times New Roman"/>
            <family val="18"/>
          </rPr>
          <t>ML 112 IR 1 (1818) AL/TL – TL IR 19-&gt;IR 1  Nr. 1 (Milan 06/01/1819)</t>
        </r>
        <r>
          <rPr>
            <sz val="14"/>
            <color rgb="FF000000"/>
            <rFont val="Calibri"/>
            <family val="34"/>
          </rPr>
          <t xml:space="preserve">
</t>
        </r>
        <r>
          <rPr>
            <sz val="14"/>
            <color rgb="FF000000"/>
            <rFont val="Times New Roman"/>
            <family val="18"/>
          </rPr>
          <t>ML 113 IR 1 (1819) – ST Feb (Cremsier 20/03/1819), April (Cremsier 25/05/1819)</t>
        </r>
        <r>
          <rPr>
            <sz val="14"/>
            <color rgb="FF000000"/>
            <rFont val="Calibri"/>
            <family val="34"/>
          </rPr>
          <t xml:space="preserve">
</t>
        </r>
        <r>
          <rPr>
            <sz val="14"/>
            <color rgb="FF000000"/>
            <rFont val="Times New Roman"/>
            <family val="18"/>
          </rPr>
          <t>ML 115 IR 1 (1820) – ST Aug (Cremsier 15/11/1820), Oct (15/01/1820)</t>
        </r>
        <r>
          <rPr>
            <sz val="14"/>
            <color rgb="FF000000"/>
            <rFont val="Calibri"/>
            <family val="34"/>
          </rPr>
          <t xml:space="preserve">
</t>
        </r>
      </text>
    </comment>
    <comment ref="BH1467" authorId="0" shapeId="0" xr:uid="{D99E23D1-36B5-E747-B68C-B1E63649C54C}">
      <text>
        <r>
          <rPr>
            <sz val="14"/>
            <color rgb="FF000000"/>
            <rFont val="Calibri"/>
            <family val="34"/>
          </rPr>
          <t xml:space="preserve">IR 19 (?1814-1819)
</t>
        </r>
        <r>
          <rPr>
            <sz val="14"/>
            <color rgb="FF000000"/>
            <rFont val="Calibri"/>
            <family val="34"/>
          </rPr>
          <t>IR 19 (1819-1820)</t>
        </r>
      </text>
    </comment>
    <comment ref="BI1467" authorId="0" shapeId="0" xr:uid="{AECA8428-F31B-144E-8740-C8BAE336A2A5}">
      <text>
        <r>
          <rPr>
            <i/>
            <sz val="14"/>
            <color rgb="FF000000"/>
            <rFont val="Times New Roman"/>
            <family val="18"/>
          </rPr>
          <t>Gut</t>
        </r>
        <r>
          <rPr>
            <sz val="14"/>
            <color rgb="FF000000"/>
            <rFont val="Times New Roman"/>
            <family val="18"/>
          </rPr>
          <t xml:space="preserve"> [TL Jan 1819]</t>
        </r>
        <r>
          <rPr>
            <sz val="14"/>
            <color rgb="FF000000"/>
            <rFont val="Calibri"/>
            <family val="34"/>
          </rPr>
          <t xml:space="preserve">
</t>
        </r>
      </text>
    </comment>
    <comment ref="BF1468" authorId="0" shapeId="0" xr:uid="{ACC33AD4-58B5-1744-86C4-DC0A209FACBC}">
      <text>
        <r>
          <rPr>
            <sz val="14"/>
            <color rgb="FF000000"/>
            <rFont val="Times New Roman"/>
            <family val="18"/>
          </rPr>
          <t xml:space="preserve">09/05/1814 </t>
        </r>
        <r>
          <rPr>
            <i/>
            <sz val="14"/>
            <color rgb="FF000000"/>
            <rFont val="Times New Roman"/>
            <family val="18"/>
          </rPr>
          <t xml:space="preserve">Als landständischer Rekrut für Grosz Sant Miklos Herrschaft Josnako gegen 10Fl Handgeld gesattelt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r>
          <rPr>
            <sz val="14"/>
            <color rgb="FF000000"/>
            <rFont val="Calibri"/>
            <family val="34"/>
          </rPr>
          <t xml:space="preserve">
</t>
        </r>
      </text>
    </comment>
    <comment ref="BG1468" authorId="0" shapeId="0" xr:uid="{6699B112-BEF6-714A-AA04-00890B02A592}">
      <text>
        <r>
          <rPr>
            <sz val="14"/>
            <color rgb="FF000000"/>
            <rFont val="Times New Roman"/>
            <family val="18"/>
          </rPr>
          <t>ML 5185 IR 61 (1814) AL/TL – AL. Nr. 57 (Grosz St. Miklos 09/05/1814)</t>
        </r>
        <r>
          <rPr>
            <sz val="14"/>
            <color rgb="FF000000"/>
            <rFont val="Calibri"/>
            <family val="34"/>
          </rPr>
          <t xml:space="preserve">
</t>
        </r>
      </text>
    </comment>
    <comment ref="BH1468" authorId="0" shapeId="0" xr:uid="{12035F21-31FC-514F-BA33-548DA9D33944}">
      <text>
        <r>
          <rPr>
            <sz val="14"/>
            <color rgb="FF000000"/>
            <rFont val="Calibri"/>
            <family val="34"/>
          </rPr>
          <t>IR 61 (1814)</t>
        </r>
      </text>
    </comment>
    <comment ref="BF1469" authorId="0" shapeId="0" xr:uid="{EB9FEA9E-1EDD-CA49-8B0C-C00FBCBDDC03}">
      <text>
        <r>
          <rPr>
            <sz val="14"/>
            <color rgb="FF000000"/>
            <rFont val="Times New Roman"/>
            <family val="18"/>
          </rPr>
          <t>10/05/1814</t>
        </r>
        <r>
          <rPr>
            <i/>
            <sz val="14"/>
            <color rgb="FF000000"/>
            <rFont val="Times New Roman"/>
            <family val="18"/>
          </rPr>
          <t xml:space="preserve"> Als landständischer Rekrut für Grosz Becskerek gegen 10Fl Handgeld gesttelt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text>
    </comment>
    <comment ref="BG1469" authorId="0" shapeId="0" xr:uid="{5AC14812-95D5-724B-A2EB-1D79488F326F}">
      <text>
        <r>
          <rPr>
            <sz val="14"/>
            <color rgb="FF000000"/>
            <rFont val="Times New Roman"/>
            <family val="18"/>
          </rPr>
          <t>ML 5185 IR 61 (1814) AL/TL – AL. Nr. 1 (Grosz St. Miklos 17/05/1814)</t>
        </r>
        <r>
          <rPr>
            <sz val="14"/>
            <color rgb="FF000000"/>
            <rFont val="Calibri"/>
            <family val="34"/>
          </rPr>
          <t xml:space="preserve">
</t>
        </r>
      </text>
    </comment>
    <comment ref="BH1469" authorId="0" shapeId="0" xr:uid="{857B7B4F-01E3-3140-B506-1E128B3AAFD0}">
      <text>
        <r>
          <rPr>
            <sz val="14"/>
            <color rgb="FF000000"/>
            <rFont val="Calibri"/>
            <family val="34"/>
          </rPr>
          <t>IR 61 (1814)</t>
        </r>
      </text>
    </comment>
    <comment ref="BF1470" authorId="0" shapeId="0" xr:uid="{EF898152-9404-EA4D-9280-99283C81D6BC}">
      <text>
        <r>
          <rPr>
            <sz val="14"/>
            <color rgb="FF000000"/>
            <rFont val="Times New Roman"/>
            <family val="18"/>
          </rPr>
          <t>16/05/1814</t>
        </r>
        <r>
          <rPr>
            <i/>
            <sz val="14"/>
            <color rgb="FF000000"/>
            <rFont val="Times New Roman"/>
            <family val="18"/>
          </rPr>
          <t xml:space="preserve"> Als landständischer Rekrut für Kikinda gegen 10Fl Handgeld gesttelt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text>
    </comment>
    <comment ref="BG1470" authorId="0" shapeId="0" xr:uid="{E4E80DCA-BDB1-F14D-9CA7-FF39C2CE5464}">
      <text>
        <r>
          <rPr>
            <sz val="14"/>
            <color rgb="FF000000"/>
            <rFont val="Times New Roman"/>
            <family val="18"/>
          </rPr>
          <t>ML 5185 IR 61 (1814) AL/TL – AL. Nr. 47 (Grosz St. Miklos 18/05/1814)</t>
        </r>
        <r>
          <rPr>
            <sz val="14"/>
            <color rgb="FF000000"/>
            <rFont val="Calibri"/>
            <family val="34"/>
          </rPr>
          <t xml:space="preserve">
</t>
        </r>
      </text>
    </comment>
    <comment ref="BH1470" authorId="0" shapeId="0" xr:uid="{6F450577-EF0C-6542-9071-24053A2CAF50}">
      <text>
        <r>
          <rPr>
            <sz val="14"/>
            <color rgb="FF000000"/>
            <rFont val="Calibri"/>
            <family val="34"/>
          </rPr>
          <t>IR 61 (1814)</t>
        </r>
      </text>
    </comment>
    <comment ref="BF1471" authorId="0" shapeId="0" xr:uid="{8D86F7D6-18B6-B742-AC68-923B9D821604}">
      <text>
        <r>
          <rPr>
            <sz val="14"/>
            <color rgb="FF000000"/>
            <rFont val="Times New Roman"/>
            <family val="18"/>
          </rPr>
          <t xml:space="preserve">17/06/1814 </t>
        </r>
        <r>
          <rPr>
            <i/>
            <sz val="14"/>
            <color rgb="FF000000"/>
            <rFont val="Times New Roman"/>
            <family val="18"/>
          </rPr>
          <t>Hat sich statt die zur Entlassung resolvierten diesseitigen Regiments Gemeinen NECZA UROSCH gestellt und zum IR 61 in Peterwardein assentiert und zum 24. Fus. Komp. eingeheilt; hat nichts von ARERAIO empfangen und ist mit dem Mann übereingekommen</t>
        </r>
        <r>
          <rPr>
            <sz val="14"/>
            <color rgb="FF000000"/>
            <rFont val="Times New Roman"/>
            <family val="18"/>
          </rPr>
          <t xml:space="preserve"> [AL Juni 1814]</t>
        </r>
        <r>
          <rPr>
            <sz val="14"/>
            <color rgb="FF000000"/>
            <rFont val="Calibri"/>
            <family val="34"/>
          </rPr>
          <t xml:space="preserve">
</t>
        </r>
      </text>
    </comment>
    <comment ref="BG1471" authorId="0" shapeId="0" xr:uid="{4A2BA717-4F25-AB49-BCBA-455CD11082D3}">
      <text>
        <r>
          <rPr>
            <sz val="14"/>
            <color rgb="FF000000"/>
            <rFont val="Times New Roman"/>
            <family val="18"/>
          </rPr>
          <t>ML 5185 IR 61 (1814) AL/TL – AL. Nr. 1 (Peterwardein 17/06/1814)</t>
        </r>
        <r>
          <rPr>
            <sz val="14"/>
            <color rgb="FF000000"/>
            <rFont val="Calibri"/>
            <family val="34"/>
          </rPr>
          <t xml:space="preserve">
</t>
        </r>
      </text>
    </comment>
    <comment ref="BH1471" authorId="0" shapeId="0" xr:uid="{875C3230-BDED-D546-B8AE-57A66AF54351}">
      <text>
        <r>
          <rPr>
            <sz val="14"/>
            <color rgb="FF000000"/>
            <rFont val="Calibri"/>
            <family val="34"/>
          </rPr>
          <t>FJB 10 (1814)</t>
        </r>
      </text>
    </comment>
    <comment ref="BF1472" authorId="0" shapeId="0" xr:uid="{A4C9919F-B1C8-D945-8E6B-915EDFF46CF6}">
      <text>
        <r>
          <rPr>
            <i/>
            <sz val="14"/>
            <color rgb="FF000000"/>
            <rFont val="Times New Roman"/>
            <family val="18"/>
          </rPr>
          <t xml:space="preserve">Dient früher 3 Jahre bei 7. Jäger Bataillon </t>
        </r>
        <r>
          <rPr>
            <sz val="14"/>
            <color rgb="FF000000"/>
            <rFont val="Times New Roman"/>
            <family val="18"/>
          </rPr>
          <t>[ML 1817]</t>
        </r>
        <r>
          <rPr>
            <sz val="14"/>
            <color rgb="FF000000"/>
            <rFont val="Calibri"/>
            <family val="34"/>
          </rPr>
          <t xml:space="preserve">
</t>
        </r>
        <r>
          <rPr>
            <sz val="14"/>
            <color rgb="FF000000"/>
            <rFont val="Times New Roman"/>
            <family val="18"/>
          </rPr>
          <t xml:space="preserve">05/09/1817 </t>
        </r>
        <r>
          <rPr>
            <i/>
            <sz val="14"/>
            <color rgb="FF000000"/>
            <rFont val="Times New Roman"/>
            <family val="18"/>
          </rPr>
          <t>A 3Fl auf 14 Jahren a Bataillon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20/09/1817 Muster: FJB 11 2. Komp. Nr. 100 </t>
        </r>
        <r>
          <rPr>
            <sz val="14"/>
            <color rgb="FF000000"/>
            <rFont val="Calibri"/>
            <family val="34"/>
          </rPr>
          <t xml:space="preserve">
</t>
        </r>
        <r>
          <rPr>
            <sz val="14"/>
            <color rgb="FF000000"/>
            <rFont val="Times New Roman"/>
            <family val="18"/>
          </rPr>
          <t>16/09/1818 Muster: FJB 11 2. Komp. Nr. 277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06/09/1819 Muster FJB 11 2. Komp. Nr. 255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14/08/1820 Revision FJB 2 Komp. Nr. 224 [</t>
        </r>
        <r>
          <rPr>
            <i/>
            <sz val="14"/>
            <color rgb="FF000000"/>
            <rFont val="Times New Roman"/>
            <family val="18"/>
          </rPr>
          <t>Beurlaubt zu Auschee in Mahren bis zur Einberufung</t>
        </r>
        <r>
          <rPr>
            <sz val="14"/>
            <color rgb="FF000000"/>
            <rFont val="Times New Roman"/>
            <family val="18"/>
          </rPr>
          <t xml:space="preserve">] </t>
        </r>
        <r>
          <rPr>
            <sz val="14"/>
            <color rgb="FF000000"/>
            <rFont val="Calibri"/>
            <family val="34"/>
          </rPr>
          <t xml:space="preserve">
</t>
        </r>
      </text>
    </comment>
    <comment ref="BG1472" authorId="0" shapeId="0" xr:uid="{2D8DBD35-EC67-4F4E-BD76-EB8315EAF5E9}">
      <text>
        <r>
          <rPr>
            <sz val="14"/>
            <color rgb="FF000000"/>
            <rFont val="Times New Roman"/>
            <family val="18"/>
          </rPr>
          <t xml:space="preserve">ML 5457 FJB 11 (1817-20) </t>
        </r>
        <r>
          <rPr>
            <sz val="14"/>
            <color rgb="FF000000"/>
            <rFont val="Times New Roman"/>
            <family val="18"/>
          </rPr>
          <t>– 2. Komp. Nr. 100 (</t>
        </r>
        <r>
          <rPr>
            <sz val="14"/>
            <color rgb="FF000000"/>
            <rFont val="Times New Roman"/>
            <family val="18"/>
          </rPr>
          <t>Ungarisch Hradisch 20/09/1817);</t>
        </r>
        <r>
          <rPr>
            <sz val="14"/>
            <color rgb="FF000000"/>
            <rFont val="Times New Roman"/>
            <family val="18"/>
          </rPr>
          <t xml:space="preserve"> 2. Komp. Nr. 277 (Ungarisch Hradisch 16/09/1819); </t>
        </r>
        <r>
          <rPr>
            <sz val="14"/>
            <color rgb="FF000000"/>
            <rFont val="Times New Roman"/>
            <family val="18"/>
          </rPr>
          <t>2. Komp. Nr. 255 (Ungarisch Hradisch 06/09/1819); 2. Komp. Nr. 224 (Ungalirsch Hradisch 14/08/1820)</t>
        </r>
        <r>
          <rPr>
            <sz val="14"/>
            <color rgb="FF000000"/>
            <rFont val="Calibri"/>
            <family val="34"/>
          </rPr>
          <t xml:space="preserve">
</t>
        </r>
      </text>
    </comment>
    <comment ref="BH1472" authorId="0" shapeId="0" xr:uid="{9E7537DE-196A-DC44-8FF7-07B86027A59E}">
      <text>
        <r>
          <rPr>
            <sz val="14"/>
            <color rgb="FF000000"/>
            <rFont val="Calibri"/>
            <family val="34"/>
          </rPr>
          <t xml:space="preserve">FJB 7 (?1814-1817)
</t>
        </r>
        <r>
          <rPr>
            <sz val="14"/>
            <color rgb="FF000000"/>
            <rFont val="Calibri"/>
            <family val="34"/>
          </rPr>
          <t>FJB 11 (1817-1820)</t>
        </r>
      </text>
    </comment>
    <comment ref="BF1473" authorId="0" shapeId="0" xr:uid="{2E697CFD-28F6-C44C-9A84-7058BEC95776}">
      <text>
        <r>
          <rPr>
            <sz val="14"/>
            <color rgb="FF000000"/>
            <rFont val="Times New Roman"/>
            <family val="18"/>
          </rPr>
          <t xml:space="preserve">16/11/1814 </t>
        </r>
        <r>
          <rPr>
            <i/>
            <sz val="14"/>
            <color rgb="FF000000"/>
            <rFont val="Times New Roman"/>
            <family val="18"/>
          </rPr>
          <t>Gegen 10 Handgeld auf 10 Jahre Ins 3. Füsilier Kompanie 4. österreichische Italienische Infanterie Regiment in loco Bergamo assentiert worden; hat vorher 12. Jahr bei Franzosen gedient und von da entlassen worden</t>
        </r>
        <r>
          <rPr>
            <sz val="14"/>
            <color rgb="FF000000"/>
            <rFont val="Times New Roman"/>
            <family val="18"/>
          </rPr>
          <t xml:space="preserve"> [AL 1814 &amp; ST Nov 1814]</t>
        </r>
        <r>
          <rPr>
            <sz val="14"/>
            <color rgb="FF000000"/>
            <rFont val="Calibri"/>
            <family val="34"/>
          </rPr>
          <t xml:space="preserve">
</t>
        </r>
        <r>
          <rPr>
            <sz val="14"/>
            <color rgb="FF000000"/>
            <rFont val="Times New Roman"/>
            <family val="18"/>
          </rPr>
          <t xml:space="preserve">26/12/1814 </t>
        </r>
        <r>
          <rPr>
            <i/>
            <sz val="14"/>
            <color rgb="FF000000"/>
            <rFont val="Times New Roman"/>
            <family val="18"/>
          </rPr>
          <t>Von 3. zum 7. Fus Komp. transferiert</t>
        </r>
        <r>
          <rPr>
            <sz val="14"/>
            <color rgb="FF000000"/>
            <rFont val="Times New Roman"/>
            <family val="18"/>
          </rPr>
          <t xml:space="preserve"> [ST Dez 1814]</t>
        </r>
        <r>
          <rPr>
            <sz val="14"/>
            <color rgb="FF000000"/>
            <rFont val="Calibri"/>
            <family val="34"/>
          </rPr>
          <t xml:space="preserve">
</t>
        </r>
        <r>
          <rPr>
            <sz val="14"/>
            <color rgb="FF000000"/>
            <rFont val="Times New Roman"/>
            <family val="18"/>
          </rPr>
          <t xml:space="preserve">10/01/1815 </t>
        </r>
        <r>
          <rPr>
            <i/>
            <sz val="14"/>
            <color rgb="FF000000"/>
            <rFont val="Times New Roman"/>
            <family val="18"/>
          </rPr>
          <t>Beim Staab in Arrest am taglich 4Xr</t>
        </r>
        <r>
          <rPr>
            <sz val="14"/>
            <color rgb="FF000000"/>
            <rFont val="Times New Roman"/>
            <family val="18"/>
          </rPr>
          <t xml:space="preserve"> [ST Jan 1815] </t>
        </r>
        <r>
          <rPr>
            <sz val="14"/>
            <color rgb="FFFF0000"/>
            <rFont val="Times New Roman"/>
            <family val="18"/>
          </rPr>
          <t>[1st Arrest]</t>
        </r>
        <r>
          <rPr>
            <sz val="14"/>
            <color rgb="FF000000"/>
            <rFont val="Calibri"/>
            <family val="34"/>
          </rPr>
          <t xml:space="preserve">
</t>
        </r>
        <r>
          <rPr>
            <sz val="14"/>
            <color rgb="FF000000"/>
            <rFont val="Times New Roman"/>
            <family val="18"/>
          </rPr>
          <t xml:space="preserve">13/01/1815 </t>
        </r>
        <r>
          <rPr>
            <i/>
            <sz val="14"/>
            <color rgb="FF000000"/>
            <rFont val="Times New Roman"/>
            <family val="18"/>
          </rPr>
          <t>Befreit</t>
        </r>
        <r>
          <rPr>
            <sz val="14"/>
            <color rgb="FF000000"/>
            <rFont val="Times New Roman"/>
            <family val="18"/>
          </rPr>
          <t xml:space="preserve"> [ST Jan 1815]</t>
        </r>
        <r>
          <rPr>
            <sz val="14"/>
            <color rgb="FF000000"/>
            <rFont val="Calibri"/>
            <family val="34"/>
          </rPr>
          <t xml:space="preserve">
</t>
        </r>
        <r>
          <rPr>
            <sz val="14"/>
            <color rgb="FF000000"/>
            <rFont val="Times New Roman"/>
            <family val="18"/>
          </rPr>
          <t xml:space="preserve">21/07/1815 </t>
        </r>
        <r>
          <rPr>
            <i/>
            <sz val="14"/>
            <color rgb="FF000000"/>
            <rFont val="Times New Roman"/>
            <family val="18"/>
          </rPr>
          <t>In Folge Hoher Hofgrigsratliche Reskript von 29 Juni G. 3052 von Gemeiner zum Gefreyter avanciert</t>
        </r>
        <r>
          <rPr>
            <sz val="14"/>
            <color rgb="FF000000"/>
            <rFont val="Times New Roman"/>
            <family val="18"/>
          </rPr>
          <t xml:space="preserve"> [ST July 1815]</t>
        </r>
        <r>
          <rPr>
            <sz val="14"/>
            <color rgb="FF000000"/>
            <rFont val="Calibri"/>
            <family val="34"/>
          </rPr>
          <t xml:space="preserve">
</t>
        </r>
        <r>
          <rPr>
            <sz val="14"/>
            <color rgb="FF000000"/>
            <rFont val="Times New Roman"/>
            <family val="18"/>
          </rPr>
          <t xml:space="preserve">16/12/1815 </t>
        </r>
        <r>
          <rPr>
            <i/>
            <sz val="14"/>
            <color rgb="FF000000"/>
            <rFont val="Times New Roman"/>
            <family val="18"/>
          </rPr>
          <t>Von 7. zum 8. Fusilier Komp. transferiert</t>
        </r>
        <r>
          <rPr>
            <sz val="14"/>
            <color rgb="FF000000"/>
            <rFont val="Times New Roman"/>
            <family val="18"/>
          </rPr>
          <t xml:space="preserve"> [ST Dez 1815]</t>
        </r>
        <r>
          <rPr>
            <sz val="14"/>
            <color rgb="FF000000"/>
            <rFont val="Calibri"/>
            <family val="34"/>
          </rPr>
          <t xml:space="preserve">
</t>
        </r>
        <r>
          <rPr>
            <sz val="14"/>
            <color rgb="FF000000"/>
            <rFont val="Times New Roman"/>
            <family val="18"/>
          </rPr>
          <t xml:space="preserve">19/03/1816 </t>
        </r>
        <r>
          <rPr>
            <i/>
            <sz val="14"/>
            <color rgb="FF000000"/>
            <rFont val="Times New Roman"/>
            <family val="18"/>
          </rPr>
          <t>Beim Staab in Arrest a 4xr</t>
        </r>
        <r>
          <rPr>
            <sz val="14"/>
            <color rgb="FF000000"/>
            <rFont val="Times New Roman"/>
            <family val="18"/>
          </rPr>
          <t xml:space="preserve"> [St März 1816] </t>
        </r>
        <r>
          <rPr>
            <sz val="14"/>
            <color rgb="FFFF0000"/>
            <rFont val="Times New Roman"/>
            <family val="18"/>
          </rPr>
          <t>[2nd Arrest]</t>
        </r>
        <r>
          <rPr>
            <sz val="14"/>
            <color rgb="FF000000"/>
            <rFont val="Calibri"/>
            <family val="34"/>
          </rPr>
          <t xml:space="preserve">
</t>
        </r>
        <r>
          <rPr>
            <sz val="14"/>
            <color rgb="FF000000"/>
            <rFont val="Times New Roman"/>
            <family val="18"/>
          </rPr>
          <t xml:space="preserve">21/03/1816 </t>
        </r>
        <r>
          <rPr>
            <i/>
            <sz val="14"/>
            <color rgb="FF000000"/>
            <rFont val="Times New Roman"/>
            <family val="18"/>
          </rPr>
          <t>Befreit</t>
        </r>
        <r>
          <rPr>
            <sz val="14"/>
            <color rgb="FF000000"/>
            <rFont val="Times New Roman"/>
            <family val="18"/>
          </rPr>
          <t xml:space="preserve"> [ST Marz 1816]</t>
        </r>
        <r>
          <rPr>
            <sz val="14"/>
            <color rgb="FF000000"/>
            <rFont val="Calibri"/>
            <family val="34"/>
          </rPr>
          <t xml:space="preserve">
</t>
        </r>
        <r>
          <rPr>
            <sz val="14"/>
            <color rgb="FF000000"/>
            <rFont val="Times New Roman"/>
            <family val="18"/>
          </rPr>
          <t xml:space="preserve">05/05/1816 </t>
        </r>
        <r>
          <rPr>
            <i/>
            <sz val="14"/>
            <color rgb="FF000000"/>
            <rFont val="Times New Roman"/>
            <family val="18"/>
          </rPr>
          <t xml:space="preserve">Beim Staab in Arrest a 4xr </t>
        </r>
        <r>
          <rPr>
            <sz val="14"/>
            <color rgb="FF000000"/>
            <rFont val="Times New Roman"/>
            <family val="18"/>
          </rPr>
          <t xml:space="preserve">[ST Mai 1816] </t>
        </r>
        <r>
          <rPr>
            <sz val="14"/>
            <color rgb="FFFF0000"/>
            <rFont val="Times New Roman"/>
            <family val="18"/>
          </rPr>
          <t>[3rd Arrest]</t>
        </r>
        <r>
          <rPr>
            <sz val="14"/>
            <color rgb="FF000000"/>
            <rFont val="Calibri"/>
            <family val="34"/>
          </rPr>
          <t xml:space="preserve">
</t>
        </r>
        <r>
          <rPr>
            <sz val="14"/>
            <color rgb="FF000000"/>
            <rFont val="Times New Roman"/>
            <family val="18"/>
          </rPr>
          <t>06/05/1816 Befreit [ST Mai 1816]</t>
        </r>
        <r>
          <rPr>
            <sz val="14"/>
            <color rgb="FF000000"/>
            <rFont val="Calibri"/>
            <family val="34"/>
          </rPr>
          <t xml:space="preserve">
</t>
        </r>
        <r>
          <rPr>
            <sz val="14"/>
            <color rgb="FF000000"/>
            <rFont val="Times New Roman"/>
            <family val="18"/>
          </rPr>
          <t>30/09/1817 Muster: IR 43 8. Fus Komp. Nr. 18</t>
        </r>
        <r>
          <rPr>
            <sz val="14"/>
            <color rgb="FF000000"/>
            <rFont val="Calibri"/>
            <family val="34"/>
          </rPr>
          <t xml:space="preserve">
</t>
        </r>
        <r>
          <rPr>
            <sz val="14"/>
            <color rgb="FF000000"/>
            <rFont val="Times New Roman"/>
            <family val="18"/>
          </rPr>
          <t>23/09/1818 Muster: IR 43 8. Fus Komp. Nr. 12</t>
        </r>
        <r>
          <rPr>
            <sz val="14"/>
            <color rgb="FF000000"/>
            <rFont val="Calibri"/>
            <family val="34"/>
          </rPr>
          <t xml:space="preserve">
</t>
        </r>
        <r>
          <rPr>
            <sz val="14"/>
            <color rgb="FF000000"/>
            <rFont val="Times New Roman"/>
            <family val="18"/>
          </rPr>
          <t>16/09/1819 Muster: IR 43 8. Fus Komp. Nr. 14</t>
        </r>
        <r>
          <rPr>
            <sz val="14"/>
            <color rgb="FF000000"/>
            <rFont val="Calibri"/>
            <family val="34"/>
          </rPr>
          <t xml:space="preserve">
</t>
        </r>
        <r>
          <rPr>
            <sz val="14"/>
            <color rgb="FF000000"/>
            <rFont val="Times New Roman"/>
            <family val="18"/>
          </rPr>
          <t>11/09/1820 Muster: IR 43 8. Fus Komp. Nr. 14</t>
        </r>
        <r>
          <rPr>
            <sz val="14"/>
            <color rgb="FF000000"/>
            <rFont val="Calibri"/>
            <family val="34"/>
          </rPr>
          <t xml:space="preserve">
</t>
        </r>
      </text>
    </comment>
    <comment ref="BG1473" authorId="0" shapeId="0" xr:uid="{AAF37070-3CC9-9443-B5CF-5CA09D659E4D}">
      <text>
        <r>
          <rPr>
            <sz val="14"/>
            <color rgb="FF000000"/>
            <rFont val="Times New Roman"/>
            <family val="18"/>
          </rPr>
          <t>ML 3862/3 IR 43 (1817): 8. Fus Komp. Nr. 18 (Preßburg 30/09/1817)</t>
        </r>
        <r>
          <rPr>
            <sz val="14"/>
            <color rgb="FF000000"/>
            <rFont val="Calibri"/>
            <family val="34"/>
          </rPr>
          <t xml:space="preserve">
</t>
        </r>
        <r>
          <rPr>
            <sz val="14"/>
            <color rgb="FF000000"/>
            <rFont val="Times New Roman"/>
            <family val="18"/>
          </rPr>
          <t>ML 3864/5 IR 43 (1818): 8. Fus Komp. Nr. 12 (Raab 23/09/1818)</t>
        </r>
        <r>
          <rPr>
            <sz val="14"/>
            <color rgb="FF000000"/>
            <rFont val="Calibri"/>
            <family val="34"/>
          </rPr>
          <t xml:space="preserve">
</t>
        </r>
        <r>
          <rPr>
            <sz val="14"/>
            <color rgb="FF000000"/>
            <rFont val="Times New Roman"/>
            <family val="18"/>
          </rPr>
          <t>ML 3866/7 IR 43 (1819): 43 8. Fus Komp Nr. 14 (Carlopago 16/09/1819)</t>
        </r>
        <r>
          <rPr>
            <sz val="14"/>
            <color rgb="FF000000"/>
            <rFont val="Calibri"/>
            <family val="34"/>
          </rPr>
          <t xml:space="preserve">
</t>
        </r>
        <r>
          <rPr>
            <sz val="14"/>
            <color rgb="FF000000"/>
            <rFont val="Times New Roman"/>
            <family val="18"/>
          </rPr>
          <t>ML 3868/9 IR 43 (1820): 8. Fus. Komo Nr. 14 (Carlstadt 11/09/1820)</t>
        </r>
        <r>
          <rPr>
            <sz val="14"/>
            <color rgb="FF000000"/>
            <rFont val="Calibri"/>
            <family val="34"/>
          </rPr>
          <t xml:space="preserve">
</t>
        </r>
        <r>
          <rPr>
            <sz val="14"/>
            <color rgb="FF000000"/>
            <rFont val="Times New Roman"/>
            <family val="18"/>
          </rPr>
          <t>ML 3870 IR 43 (1814): AL Nr. 1 (Bergamo 16/11/1814) &amp; ST Nov (Wien 15/09/1815) und Dec (14/02/1816)</t>
        </r>
        <r>
          <rPr>
            <sz val="14"/>
            <color rgb="FF000000"/>
            <rFont val="Calibri"/>
            <family val="34"/>
          </rPr>
          <t xml:space="preserve">
</t>
        </r>
        <r>
          <rPr>
            <sz val="14"/>
            <color rgb="FF000000"/>
            <rFont val="Times New Roman"/>
            <family val="18"/>
          </rPr>
          <t>ML 3871 IR 43 (1815): ST Jan (Preßburg 16/02/1816), Juli (Preßburg 15/07/1816), Dez (24/02/1817).</t>
        </r>
        <r>
          <rPr>
            <sz val="14"/>
            <color rgb="FF000000"/>
            <rFont val="Calibri"/>
            <family val="34"/>
          </rPr>
          <t xml:space="preserve">
</t>
        </r>
        <r>
          <rPr>
            <sz val="14"/>
            <color rgb="FF000000"/>
            <rFont val="Times New Roman"/>
            <family val="18"/>
          </rPr>
          <t>ML 3873 IR 43 (1816): ST Marz (20/04/1817), Mai (Preßburg 01/06/1817)</t>
        </r>
        <r>
          <rPr>
            <sz val="14"/>
            <color rgb="FF000000"/>
            <rFont val="Calibri"/>
            <family val="34"/>
          </rPr>
          <t xml:space="preserve">
</t>
        </r>
      </text>
    </comment>
    <comment ref="BH1473" authorId="0" shapeId="0" xr:uid="{77B8854D-08B8-8B4C-B720-B5B620D3105B}">
      <text>
        <r>
          <rPr>
            <sz val="14"/>
            <color rgb="FF000000"/>
            <rFont val="Calibri"/>
            <family val="34"/>
          </rPr>
          <t>IR 43 (1814-1820)</t>
        </r>
      </text>
    </comment>
    <comment ref="BF1474" authorId="0" shapeId="0" xr:uid="{9E5BB449-721A-6241-AFFD-4DC1D14761CD}">
      <text>
        <r>
          <rPr>
            <sz val="14"/>
            <color rgb="FF000000"/>
            <rFont val="Times New Roman"/>
            <family val="18"/>
          </rPr>
          <t xml:space="preserve">19/11/1814 </t>
        </r>
        <r>
          <rPr>
            <i/>
            <sz val="14"/>
            <color rgb="FF000000"/>
            <rFont val="Times New Roman"/>
            <family val="18"/>
          </rPr>
          <t>Gegen 10Fl Handgeld und Sechs jähriger Capitulation als Außländer in 10 FJ Bataillon zu Cilly assentiert</t>
        </r>
        <r>
          <rPr>
            <sz val="14"/>
            <color rgb="FF000000"/>
            <rFont val="Times New Roman"/>
            <family val="18"/>
          </rPr>
          <t xml:space="preserve"> [AL Nov 1814]</t>
        </r>
        <r>
          <rPr>
            <sz val="14"/>
            <color rgb="FF000000"/>
            <rFont val="Calibri"/>
            <family val="34"/>
          </rPr>
          <t xml:space="preserve">
</t>
        </r>
      </text>
    </comment>
    <comment ref="BG1474" authorId="0" shapeId="0" xr:uid="{73068A39-D73B-E646-9D6D-0686CB533B8F}">
      <text>
        <r>
          <rPr>
            <sz val="14"/>
            <color rgb="FF000000"/>
            <rFont val="Times New Roman"/>
            <family val="18"/>
          </rPr>
          <t>ML 5452 FJ 10 (1814) AL/TL – AL Nr. 1 (Cilly 19/11/1814)</t>
        </r>
        <r>
          <rPr>
            <sz val="14"/>
            <color rgb="FF000000"/>
            <rFont val="Calibri"/>
            <family val="34"/>
          </rPr>
          <t xml:space="preserve">
</t>
        </r>
      </text>
    </comment>
    <comment ref="BH1474" authorId="0" shapeId="0" xr:uid="{065A709A-DDDC-2D4E-BC1D-320B65F93E7D}">
      <text>
        <r>
          <rPr>
            <sz val="14"/>
            <color rgb="FF000000"/>
            <rFont val="Calibri"/>
            <family val="34"/>
          </rPr>
          <t>IR 61 (1814)</t>
        </r>
      </text>
    </comment>
    <comment ref="BF1475" authorId="0" shapeId="0" xr:uid="{EA9666B0-F7F1-5047-B3B5-845DEA40BEC5}">
      <text>
        <r>
          <rPr>
            <sz val="14"/>
            <color rgb="FF000000"/>
            <rFont val="Times New Roman"/>
            <family val="18"/>
          </rPr>
          <t>30/12/1814</t>
        </r>
        <r>
          <rPr>
            <i/>
            <sz val="14"/>
            <color rgb="FF000000"/>
            <rFont val="Times New Roman"/>
            <family val="18"/>
          </rPr>
          <t xml:space="preserve"> Als landständischer Rekrut für Tamesvar, gegen 10Fl Handgeld gestellt und zum IR 61 ‚St Julien‘ in Tamesvar auf Beständig assentiert und zur 2. Reserve eingeheilt </t>
        </r>
        <r>
          <rPr>
            <sz val="14"/>
            <color rgb="FF000000"/>
            <rFont val="Times New Roman"/>
            <family val="18"/>
          </rPr>
          <t>[AL Dez 1814]</t>
        </r>
        <r>
          <rPr>
            <sz val="14"/>
            <color rgb="FF000000"/>
            <rFont val="Calibri"/>
            <family val="34"/>
          </rPr>
          <t xml:space="preserve">
</t>
        </r>
      </text>
    </comment>
    <comment ref="BG1475" authorId="0" shapeId="0" xr:uid="{1D6C7C62-A254-5D4A-A570-C89DD6839070}">
      <text>
        <r>
          <rPr>
            <sz val="14"/>
            <color rgb="FF000000"/>
            <rFont val="Times New Roman"/>
            <family val="18"/>
          </rPr>
          <t>ML 5185 IR 61 (1814) AL/TL – AL. Nr. 3 (Grosz Sant Miklosz 04/01/1815)</t>
        </r>
        <r>
          <rPr>
            <sz val="14"/>
            <color rgb="FF000000"/>
            <rFont val="Calibri"/>
            <family val="34"/>
          </rPr>
          <t xml:space="preserve">
</t>
        </r>
      </text>
    </comment>
    <comment ref="BH1475" authorId="0" shapeId="0" xr:uid="{191E1D73-E8A3-1E43-9C4A-A3DB2F06338F}">
      <text>
        <r>
          <rPr>
            <sz val="14"/>
            <color rgb="FF000000"/>
            <rFont val="Calibri"/>
            <family val="34"/>
          </rPr>
          <t>IR 61 (1814)</t>
        </r>
      </text>
    </comment>
    <comment ref="BF1476" authorId="0" shapeId="0" xr:uid="{00406B5B-D5BA-9041-89DE-AA91DB1C1A78}">
      <text>
        <r>
          <rPr>
            <sz val="14"/>
            <color rgb="FF000000"/>
            <rFont val="Times New Roman"/>
            <family val="18"/>
          </rPr>
          <t xml:space="preserve">30/12/1814 </t>
        </r>
        <r>
          <rPr>
            <i/>
            <sz val="14"/>
            <color rgb="FF000000"/>
            <rFont val="Times New Roman"/>
            <family val="18"/>
          </rPr>
          <t xml:space="preserve">A 10 Fl Handgeld Von Land für Beständig gestellt </t>
        </r>
        <r>
          <rPr>
            <sz val="14"/>
            <color rgb="FF000000"/>
            <rFont val="Times New Roman"/>
            <family val="18"/>
          </rPr>
          <t>[TL March 1819]</t>
        </r>
        <r>
          <rPr>
            <sz val="14"/>
            <color rgb="FF000000"/>
            <rFont val="Calibri"/>
            <family val="34"/>
          </rPr>
          <t xml:space="preserve">
</t>
        </r>
        <r>
          <rPr>
            <sz val="14"/>
            <color rgb="FF000000"/>
            <rFont val="Times New Roman"/>
            <family val="18"/>
          </rPr>
          <t xml:space="preserve">21/03/1819 </t>
        </r>
        <r>
          <rPr>
            <i/>
            <sz val="14"/>
            <color rgb="FF000000"/>
            <rFont val="Times New Roman"/>
            <family val="18"/>
          </rPr>
          <t>Mit Einverständnis beide Regimentern von IR 19 3. Fus. Komp. zur IR transferiert und zur 12. Fus. Komp. eingeteilt</t>
        </r>
        <r>
          <rPr>
            <sz val="14"/>
            <color rgb="FF000000"/>
            <rFont val="Times New Roman"/>
            <family val="18"/>
          </rPr>
          <t xml:space="preserve"> [TL March 1819]</t>
        </r>
        <r>
          <rPr>
            <sz val="14"/>
            <color rgb="FF000000"/>
            <rFont val="Calibri"/>
            <family val="34"/>
          </rPr>
          <t xml:space="preserve">
</t>
        </r>
        <r>
          <rPr>
            <sz val="14"/>
            <color rgb="FF000000"/>
            <rFont val="Times New Roman"/>
            <family val="18"/>
          </rPr>
          <t xml:space="preserve">30/06/1819 </t>
        </r>
        <r>
          <rPr>
            <i/>
            <sz val="14"/>
            <color rgb="FF000000"/>
            <rFont val="Times New Roman"/>
            <family val="18"/>
          </rPr>
          <t>Desertiert</t>
        </r>
        <r>
          <rPr>
            <sz val="14"/>
            <color rgb="FF000000"/>
            <rFont val="Times New Roman"/>
            <family val="18"/>
          </rPr>
          <t xml:space="preserve"> [ML 1819] </t>
        </r>
      </text>
    </comment>
    <comment ref="BG1476" authorId="0" shapeId="0" xr:uid="{731905F6-7BE2-004E-B4A3-B8AE81A2F956}">
      <text>
        <r>
          <rPr>
            <sz val="14"/>
            <color rgb="FF000000"/>
            <rFont val="Times New Roman"/>
            <family val="18"/>
          </rPr>
          <t>ML 38/9 IR 1 (1819) – IR 1 12. Fus. Komp. Abgang (Olmütz 14/09/1819)</t>
        </r>
        <r>
          <rPr>
            <sz val="14"/>
            <color rgb="FF000000"/>
            <rFont val="Calibri"/>
            <family val="34"/>
          </rPr>
          <t xml:space="preserve">
</t>
        </r>
        <r>
          <rPr>
            <sz val="14"/>
            <color rgb="FF000000"/>
            <rFont val="Times New Roman"/>
            <family val="18"/>
          </rPr>
          <t>ML 114 IR 1 (1818) AL/TL – TL IR 19-&gt;IR 1 Nr. 1 (Milan 24/03/1819)</t>
        </r>
        <r>
          <rPr>
            <sz val="14"/>
            <color rgb="FF000000"/>
            <rFont val="Calibri"/>
            <family val="34"/>
          </rPr>
          <t xml:space="preserve">
</t>
        </r>
      </text>
    </comment>
    <comment ref="BH1476" authorId="0" shapeId="0" xr:uid="{C1714EFB-C7C4-7D46-8967-7D612F013A76}">
      <text>
        <r>
          <rPr>
            <sz val="14"/>
            <color rgb="FF000000"/>
            <rFont val="Calibri"/>
            <family val="34"/>
          </rPr>
          <t xml:space="preserve">IR 19 (1814-1819)
</t>
        </r>
        <r>
          <rPr>
            <sz val="14"/>
            <color rgb="FF000000"/>
            <rFont val="Calibri"/>
            <family val="34"/>
          </rPr>
          <t>IR 1 (1819)</t>
        </r>
      </text>
    </comment>
    <comment ref="BF1477" authorId="0" shapeId="0" xr:uid="{88A21868-7191-9B40-B6B4-A2621D2C5DEB}">
      <text>
        <r>
          <rPr>
            <sz val="14"/>
            <color rgb="FF000000"/>
            <rFont val="Times New Roman"/>
            <family val="18"/>
          </rPr>
          <t>30/12/1814</t>
        </r>
        <r>
          <rPr>
            <i/>
            <sz val="14"/>
            <color rgb="FF000000"/>
            <rFont val="Times New Roman"/>
            <family val="18"/>
          </rPr>
          <t xml:space="preserve"> Als landständischer Rekrut für Tamesvar, Herrschaft Erzbischof Stratimirovic, gegen 10Fl Handgeld gestellt und zum IR 61 ‚St Julien‘ in Tamesvar auf Beständig assentiert und zur 2. Reserve eingeheilt  </t>
        </r>
        <r>
          <rPr>
            <sz val="14"/>
            <color rgb="FF000000"/>
            <rFont val="Times New Roman"/>
            <family val="18"/>
          </rPr>
          <t>[AL Dez 1814]</t>
        </r>
      </text>
    </comment>
    <comment ref="BG1477" authorId="0" shapeId="0" xr:uid="{1668EC56-D883-6E44-A203-3B45941A7DDF}">
      <text>
        <r>
          <rPr>
            <sz val="14"/>
            <color rgb="FF000000"/>
            <rFont val="Times New Roman"/>
            <family val="18"/>
          </rPr>
          <t>ML 5185 IR 61 (1814) AL/TL – AL. Nr. 2 (Tamesvar 31/12/1814)</t>
        </r>
        <r>
          <rPr>
            <sz val="14"/>
            <color rgb="FF000000"/>
            <rFont val="Calibri"/>
            <family val="34"/>
          </rPr>
          <t xml:space="preserve">
</t>
        </r>
      </text>
    </comment>
    <comment ref="BH1477" authorId="0" shapeId="0" xr:uid="{9C1C3C48-03BF-374C-A6EF-F91934DDBEC1}">
      <text>
        <r>
          <rPr>
            <sz val="14"/>
            <color rgb="FF000000"/>
            <rFont val="Calibri"/>
            <family val="34"/>
          </rPr>
          <t>IR 61 (1814)</t>
        </r>
      </text>
    </comment>
    <comment ref="BF1478" authorId="0" shapeId="0" xr:uid="{B9299414-EA95-0A41-B8D4-B8FA1A678796}">
      <text>
        <r>
          <rPr>
            <sz val="14"/>
            <color rgb="FF000000"/>
            <rFont val="Times New Roman"/>
            <family val="18"/>
          </rPr>
          <t>30/12/1814</t>
        </r>
        <r>
          <rPr>
            <i/>
            <sz val="14"/>
            <color rgb="FF000000"/>
            <rFont val="Times New Roman"/>
            <family val="18"/>
          </rPr>
          <t xml:space="preserve"> Als landständischer Rekrut für Grosz Sant Miklosz Herrschaft Graf Nako gegen 10Fl Handgeld gestellt und zum IR 61 ‚St Julien‘ in Tamesvar auf Beständig assentiert </t>
        </r>
        <r>
          <rPr>
            <sz val="14"/>
            <color rgb="FF000000"/>
            <rFont val="Times New Roman"/>
            <family val="18"/>
          </rPr>
          <t>[AL Jan 1815]</t>
        </r>
      </text>
    </comment>
    <comment ref="BG1478" authorId="0" shapeId="0" xr:uid="{5A6CA03E-38AD-EF47-9412-FC23330F8A87}">
      <text>
        <r>
          <rPr>
            <sz val="14"/>
            <color rgb="FF000000"/>
            <rFont val="Times New Roman"/>
            <family val="18"/>
          </rPr>
          <t>ML 5185 IR 61 (1814) AL/TL – AL. Nr. 3 (Grosz Sant Miklosz 04/01/1815)</t>
        </r>
        <r>
          <rPr>
            <sz val="14"/>
            <color rgb="FF000000"/>
            <rFont val="Calibri"/>
            <family val="34"/>
          </rPr>
          <t xml:space="preserve">
</t>
        </r>
      </text>
    </comment>
    <comment ref="BH1478" authorId="0" shapeId="0" xr:uid="{996D482D-0A60-6749-BC4C-A72C4FE7FFA4}">
      <text>
        <r>
          <rPr>
            <sz val="14"/>
            <color rgb="FF000000"/>
            <rFont val="Calibri"/>
            <family val="34"/>
          </rPr>
          <t>IR 61 (1814-1815)</t>
        </r>
      </text>
    </comment>
    <comment ref="J1479" authorId="0" shapeId="0" xr:uid="{AE8D1B5E-2076-174B-AA53-6995295DF942}">
      <text>
        <r>
          <rPr>
            <i/>
            <sz val="14"/>
            <color rgb="FF000000"/>
            <rFont val="Calibri"/>
            <family val="34"/>
          </rPr>
          <t xml:space="preserve">Jetzt ledig vorher verheyratet </t>
        </r>
        <r>
          <rPr>
            <sz val="14"/>
            <color rgb="FF000000"/>
            <rFont val="Calibri"/>
            <family val="34"/>
          </rPr>
          <t>(ML 1818)</t>
        </r>
      </text>
    </comment>
    <comment ref="BF1479" authorId="0" shapeId="0" xr:uid="{29C1D7A8-3E21-264F-9A41-AED820343632}">
      <text>
        <r>
          <rPr>
            <sz val="14"/>
            <color rgb="FF000000"/>
            <rFont val="Times New Roman"/>
            <family val="18"/>
          </rPr>
          <t xml:space="preserve">25/03/1815 </t>
        </r>
        <r>
          <rPr>
            <i/>
            <sz val="14"/>
            <color rgb="FF000000"/>
            <rFont val="Times New Roman"/>
            <family val="18"/>
          </rPr>
          <t>A 3Fl Handgeld zu Klausenburg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 Regiment</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zum IR 62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01/10/1817 </t>
        </r>
        <r>
          <rPr>
            <i/>
            <sz val="14"/>
            <color rgb="FF000000"/>
            <rFont val="Times New Roman"/>
            <family val="18"/>
          </rPr>
          <t>von Gemeinen zu Fourierschütz übersetzt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08/07/1818 </t>
        </r>
        <r>
          <rPr>
            <i/>
            <sz val="14"/>
            <color rgb="FF000000"/>
            <rFont val="Times New Roman"/>
            <family val="18"/>
          </rPr>
          <t>Sich zu ChristKatolischen glauben getkennt und zu Cremona angetauft worden</t>
        </r>
        <r>
          <rPr>
            <sz val="14"/>
            <color rgb="FF000000"/>
            <rFont val="Times New Roman"/>
            <family val="18"/>
          </rPr>
          <t xml:space="preserve"> [ML 1818]</t>
        </r>
        <r>
          <rPr>
            <sz val="14"/>
            <color rgb="FF000000"/>
            <rFont val="Calibri"/>
            <family val="34"/>
          </rPr>
          <t xml:space="preserve">
</t>
        </r>
        <r>
          <rPr>
            <sz val="14"/>
            <color rgb="FF000000"/>
            <rFont val="Times New Roman"/>
            <family val="18"/>
          </rPr>
          <t>26/09/1818 Muster: IR 62 10. Fus. Komp. Nr. 26</t>
        </r>
        <r>
          <rPr>
            <sz val="14"/>
            <color rgb="FF000000"/>
            <rFont val="Calibri"/>
            <family val="34"/>
          </rPr>
          <t xml:space="preserve">
</t>
        </r>
        <r>
          <rPr>
            <sz val="14"/>
            <color rgb="FF000000"/>
            <rFont val="Times New Roman"/>
            <family val="18"/>
          </rPr>
          <t xml:space="preserve">20/03/1819 </t>
        </r>
        <r>
          <rPr>
            <i/>
            <sz val="14"/>
            <color rgb="FF000000"/>
            <rFont val="Times New Roman"/>
            <family val="18"/>
          </rPr>
          <t>Vermog hofkriegsratlichen reskript von 21. Xbre 818 Lettra K. 4569 und General Commando Verordnung Mailand am 6. März L.R. 1568 Gegen Stellung Anderer Mannes Mit Abschied entlassen</t>
        </r>
        <r>
          <rPr>
            <sz val="14"/>
            <color rgb="FF000000"/>
            <rFont val="Times New Roman"/>
            <family val="18"/>
          </rPr>
          <t xml:space="preserve"> [ML 1819] </t>
        </r>
      </text>
    </comment>
    <comment ref="BG1479" authorId="0" shapeId="0" xr:uid="{3257F7DD-2188-5B46-BD3D-AF6CAD821B8E}">
      <text>
        <r>
          <rPr>
            <sz val="14"/>
            <color rgb="FF000000"/>
            <rFont val="Times New Roman"/>
            <family val="18"/>
          </rPr>
          <t>ML 5213/4 IR 62 (1818) – 10. Fus. Komp. Nr. 26 (Cremona 26/09/1818)</t>
        </r>
        <r>
          <rPr>
            <sz val="14"/>
            <color rgb="FF000000"/>
            <rFont val="Calibri"/>
            <family val="34"/>
          </rPr>
          <t xml:space="preserve">
</t>
        </r>
        <r>
          <rPr>
            <sz val="14"/>
            <color rgb="FF000000"/>
            <rFont val="Times New Roman"/>
            <family val="18"/>
          </rPr>
          <t>ML 5215/6 IR 62 (1819) – 10. Fus. Komp. Abgang (Mantua 07/10/1819)</t>
        </r>
        <r>
          <rPr>
            <sz val="14"/>
            <color rgb="FF000000"/>
            <rFont val="Calibri"/>
            <family val="34"/>
          </rPr>
          <t xml:space="preserve">
</t>
        </r>
      </text>
    </comment>
    <comment ref="BH1479" authorId="0" shapeId="0" xr:uid="{0ECCDB7B-B1EE-E548-949B-1EC7E58005C8}">
      <text>
        <r>
          <rPr>
            <sz val="14"/>
            <color rgb="FF000000"/>
            <rFont val="Calibri"/>
            <family val="34"/>
          </rPr>
          <t xml:space="preserve">IR 51 (1815)
</t>
        </r>
        <r>
          <rPr>
            <sz val="14"/>
            <color rgb="FF000000"/>
            <rFont val="Calibri"/>
            <family val="34"/>
          </rPr>
          <t>IR 62 (1815-1819)</t>
        </r>
      </text>
    </comment>
    <comment ref="CR1479" authorId="0" shapeId="0" xr:uid="{9CEB1961-0135-6147-80A9-339F7E2EB88D}">
      <text>
        <r>
          <rPr>
            <i/>
            <sz val="14"/>
            <color rgb="FF000000"/>
            <rFont val="Times New Roman"/>
            <family val="18"/>
          </rPr>
          <t>jetzt Katolisch Vorherr Jüdisch</t>
        </r>
        <r>
          <rPr>
            <sz val="14"/>
            <color rgb="FF000000"/>
            <rFont val="Calibri"/>
            <family val="2"/>
          </rPr>
          <t xml:space="preserve"> (ML 1818)</t>
        </r>
      </text>
    </comment>
    <comment ref="T1480" authorId="0" shapeId="0" xr:uid="{345AE817-5830-464A-9BD9-FBB653F3C784}">
      <text>
        <r>
          <rPr>
            <b/>
            <sz val="14"/>
            <color rgb="FF000000"/>
            <rFont val="Calibri"/>
            <family val="34"/>
          </rPr>
          <t xml:space="preserve">5.3.2 [166.33 cm] (ML 1818/9)]
</t>
        </r>
        <r>
          <rPr>
            <sz val="14"/>
            <color rgb="FF000000"/>
            <rFont val="Calibri"/>
            <family val="34"/>
          </rPr>
          <t>5.6.2 [174.22 cm (TL 1817)]</t>
        </r>
      </text>
    </comment>
    <comment ref="BF1480" authorId="0" shapeId="0" xr:uid="{E5E60F6C-6EF3-7649-848F-206E18DE85B9}">
      <text>
        <r>
          <rPr>
            <sz val="14"/>
            <color rgb="FF000000"/>
            <rFont val="Times New Roman"/>
            <family val="18"/>
          </rPr>
          <t xml:space="preserve">In 03/1815 </t>
        </r>
        <r>
          <rPr>
            <i/>
            <sz val="14"/>
            <color rgb="FF000000"/>
            <rFont val="Times New Roman"/>
            <family val="18"/>
          </rPr>
          <t>Ohne Transferierungliste von FJB 7 zum IR 7 transferiert</t>
        </r>
        <r>
          <rPr>
            <sz val="14"/>
            <color rgb="FF000000"/>
            <rFont val="Times New Roman"/>
            <family val="18"/>
          </rPr>
          <t xml:space="preserve"> [TL Oct 1817]
</t>
        </r>
        <r>
          <rPr>
            <sz val="14"/>
            <color rgb="FFFF0000"/>
            <rFont val="Times New Roman"/>
            <family val="18"/>
          </rPr>
          <t xml:space="preserve">01/03/1815 </t>
        </r>
        <r>
          <rPr>
            <i/>
            <sz val="14"/>
            <color rgb="FFFF0000"/>
            <rFont val="Times New Roman"/>
            <family val="18"/>
          </rPr>
          <t>A 3Fl Handgeld auf 14 Jahr assentiert</t>
        </r>
        <r>
          <rPr>
            <sz val="14"/>
            <color rgb="FFFF0000"/>
            <rFont val="Times New Roman"/>
            <family val="18"/>
          </rPr>
          <t xml:space="preserve"> [ML 1819]</t>
        </r>
        <r>
          <rPr>
            <sz val="14"/>
            <color rgb="FF000000"/>
            <rFont val="Times New Roman"/>
            <family val="18"/>
          </rPr>
          <t xml:space="preserve">
</t>
        </r>
        <r>
          <rPr>
            <sz val="14"/>
            <color rgb="FF000000"/>
            <rFont val="Times New Roman"/>
            <family val="18"/>
          </rPr>
          <t xml:space="preserve">01/10/1817 </t>
        </r>
        <r>
          <rPr>
            <i/>
            <sz val="14"/>
            <color rgb="FF000000"/>
            <rFont val="Times New Roman"/>
            <family val="18"/>
          </rPr>
          <t>Von IR 7 13. Fus Komp. als in Hradischer und Prerauer gebürtige unbestimmt Urlauber zum IR 1 transferiert und zum 18. Fus. Komp. eingeteilt</t>
        </r>
        <r>
          <rPr>
            <sz val="14"/>
            <color rgb="FF000000"/>
            <rFont val="Times New Roman"/>
            <family val="18"/>
          </rPr>
          <t xml:space="preserve"> [TL Oct 1817]
</t>
        </r>
        <r>
          <rPr>
            <sz val="14"/>
            <color rgb="FF000000"/>
            <rFont val="Times New Roman"/>
            <family val="18"/>
          </rPr>
          <t>21/09/1818 Muster: IR 1 18. Fus. Komp. Nr. 207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14/09/1819 Muster: IR 1 17. Fus. Komp. Nr. 165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31/10/1820 </t>
        </r>
        <r>
          <rPr>
            <i/>
            <sz val="14"/>
            <color rgb="FF000000"/>
            <rFont val="Times New Roman"/>
            <family val="18"/>
          </rPr>
          <t>Dient bis mindestens beim IR 1 als Gemeiner in 18. Fus Komp</t>
        </r>
        <r>
          <rPr>
            <sz val="14"/>
            <color rgb="FF000000"/>
            <rFont val="Times New Roman"/>
            <family val="18"/>
          </rPr>
          <t xml:space="preserve"> [ST Oct 1820]
</t>
        </r>
      </text>
    </comment>
    <comment ref="BG1480" authorId="0" shapeId="0" xr:uid="{7C95B5EE-3A69-2842-A1B4-D042CDCD46A1}">
      <text>
        <r>
          <rPr>
            <sz val="14"/>
            <color rgb="FF000000"/>
            <rFont val="Times New Roman"/>
            <family val="18"/>
          </rPr>
          <t>ML 36/7 IR 1 (1818) – IR 1 18. Fus. Komp. Nr. 207 (Proßnitz 21/09/1818)</t>
        </r>
        <r>
          <rPr>
            <sz val="14"/>
            <color rgb="FF000000"/>
            <rFont val="Calibri"/>
            <family val="34"/>
          </rPr>
          <t xml:space="preserve">
</t>
        </r>
        <r>
          <rPr>
            <sz val="14"/>
            <color rgb="FF000000"/>
            <rFont val="Times New Roman"/>
            <family val="18"/>
          </rPr>
          <t>ML 38/9 IR 1 (1819) – IR 1 12. Fus. Komp. Nr. 181 (Olmütz 14/09/1819)</t>
        </r>
        <r>
          <rPr>
            <sz val="14"/>
            <color rgb="FF000000"/>
            <rFont val="Calibri"/>
            <family val="34"/>
          </rPr>
          <t xml:space="preserve">
</t>
        </r>
        <r>
          <rPr>
            <sz val="14"/>
            <color rgb="FF000000"/>
            <rFont val="Times New Roman"/>
            <family val="18"/>
          </rPr>
          <t>ML 110 IR 1 (1817) AL/TL – TL IR 7-&gt;IR 1 Nr. 1142 (Neutischein 15/10/1817)</t>
        </r>
        <r>
          <rPr>
            <sz val="14"/>
            <color rgb="FF000000"/>
            <rFont val="Calibri"/>
            <family val="34"/>
          </rPr>
          <t xml:space="preserve">
</t>
        </r>
        <r>
          <rPr>
            <sz val="14"/>
            <color rgb="FF000000"/>
            <rFont val="Times New Roman"/>
            <family val="18"/>
          </rPr>
          <t>ML 115 IR 1 (1820) – ST Oct (15/01/1820)</t>
        </r>
        <r>
          <rPr>
            <sz val="14"/>
            <color rgb="FF000000"/>
            <rFont val="Calibri"/>
            <family val="34"/>
          </rPr>
          <t xml:space="preserve">
</t>
        </r>
      </text>
    </comment>
    <comment ref="BH1480" authorId="0" shapeId="0" xr:uid="{A9462C10-71A3-7246-8DA8-E10CC330222D}">
      <text>
        <r>
          <rPr>
            <sz val="14"/>
            <color rgb="FF000000"/>
            <rFont val="Calibri"/>
            <family val="34"/>
          </rPr>
          <t xml:space="preserve">FJB 7 (1815)
</t>
        </r>
        <r>
          <rPr>
            <sz val="14"/>
            <color rgb="FF000000"/>
            <rFont val="Calibri"/>
            <family val="34"/>
          </rPr>
          <t xml:space="preserve">IR 7  (1815-1817)
</t>
        </r>
        <r>
          <rPr>
            <sz val="14"/>
            <color rgb="FF000000"/>
            <rFont val="Calibri"/>
            <family val="34"/>
          </rPr>
          <t>IR 1 (1815-1820)</t>
        </r>
      </text>
    </comment>
    <comment ref="C1481" authorId="0" shapeId="0" xr:uid="{0CA3522F-77AC-FC43-9C5A-B82907E1F461}">
      <text>
        <r>
          <rPr>
            <b/>
            <u/>
            <sz val="14"/>
            <color rgb="FF0563C1"/>
            <rFont val="Times New Roman"/>
            <family val="18"/>
          </rPr>
          <t>Wien, Austria</t>
        </r>
        <r>
          <rPr>
            <sz val="14"/>
            <color rgb="FF000000"/>
            <rFont val="Calibri"/>
            <family val="2"/>
            <scheme val="minor"/>
          </rPr>
          <t xml:space="preserve"> </t>
        </r>
        <r>
          <rPr>
            <sz val="14"/>
            <color rgb="FF000000"/>
            <rFont val="Times New Roman"/>
            <family val="18"/>
          </rPr>
          <t xml:space="preserve"> (1817/8)
</t>
        </r>
        <r>
          <rPr>
            <sz val="14"/>
            <color rgb="FF000000"/>
            <rFont val="Times New Roman"/>
            <family val="18"/>
          </rPr>
          <t xml:space="preserve">OR
</t>
        </r>
        <r>
          <rPr>
            <b/>
            <u/>
            <sz val="14"/>
            <color rgb="FF0563C1"/>
            <rFont val="Times New Roman"/>
            <family val="18"/>
          </rPr>
          <t>Rajka, Hungary</t>
        </r>
        <r>
          <rPr>
            <sz val="14"/>
            <color rgb="FF000000"/>
            <rFont val="Calibri"/>
            <family val="2"/>
            <scheme val="minor"/>
          </rPr>
          <t xml:space="preserve"> </t>
        </r>
        <r>
          <rPr>
            <sz val="14"/>
            <color rgb="FF000000"/>
            <rFont val="Times New Roman"/>
            <family val="18"/>
          </rPr>
          <t>(1819)</t>
        </r>
      </text>
    </comment>
    <comment ref="E1481" authorId="0" shapeId="0" xr:uid="{1B587741-ADDD-8944-AB3E-F77A12982173}">
      <text>
        <r>
          <rPr>
            <i/>
            <sz val="14"/>
            <color rgb="FF000000"/>
            <rFont val="Times New Roman"/>
            <family val="18"/>
          </rPr>
          <t>VUWW</t>
        </r>
        <r>
          <rPr>
            <sz val="14"/>
            <color rgb="FF000000"/>
            <rFont val="Times New Roman"/>
            <family val="18"/>
          </rPr>
          <t xml:space="preserve"> (1871/8)
</t>
        </r>
        <r>
          <rPr>
            <sz val="14"/>
            <color rgb="FF000000"/>
            <rFont val="Times New Roman"/>
            <family val="18"/>
          </rPr>
          <t xml:space="preserve">OR
</t>
        </r>
        <r>
          <rPr>
            <b/>
            <i/>
            <sz val="14"/>
            <color rgb="FF000000"/>
            <rFont val="Times New Roman"/>
            <family val="18"/>
          </rPr>
          <t xml:space="preserve">Wieselburg </t>
        </r>
        <r>
          <rPr>
            <sz val="14"/>
            <color rgb="FF000000"/>
            <rFont val="Times New Roman"/>
            <family val="18"/>
          </rPr>
          <t>(1819)</t>
        </r>
      </text>
    </comment>
    <comment ref="F1481" authorId="0" shapeId="0" xr:uid="{CB14F46E-4191-D944-9361-290ED6D28C9A}">
      <text>
        <r>
          <rPr>
            <i/>
            <sz val="14"/>
            <color rgb="FF000000"/>
            <rFont val="Times New Roman"/>
            <family val="18"/>
          </rPr>
          <t>Niederösterreich</t>
        </r>
        <r>
          <rPr>
            <sz val="14"/>
            <color rgb="FF000000"/>
            <rFont val="Calibri"/>
            <family val="2"/>
            <scheme val="minor"/>
          </rPr>
          <t xml:space="preserve"> </t>
        </r>
        <r>
          <rPr>
            <sz val="14"/>
            <color rgb="FF000000"/>
            <rFont val="Times New Roman"/>
            <family val="18"/>
          </rPr>
          <t xml:space="preserve"> (1817/8)
</t>
        </r>
        <r>
          <rPr>
            <sz val="14"/>
            <color rgb="FF000000"/>
            <rFont val="Times New Roman"/>
            <family val="18"/>
          </rPr>
          <t xml:space="preserve">OR
</t>
        </r>
        <r>
          <rPr>
            <b/>
            <i/>
            <sz val="14"/>
            <color rgb="FF000000"/>
            <rFont val="Times New Roman"/>
            <family val="18"/>
          </rPr>
          <t xml:space="preserve">Ungarn </t>
        </r>
        <r>
          <rPr>
            <sz val="14"/>
            <color rgb="FF000000"/>
            <rFont val="Times New Roman"/>
            <family val="18"/>
          </rPr>
          <t>(1819)</t>
        </r>
      </text>
    </comment>
    <comment ref="T1481" authorId="0" shapeId="0" xr:uid="{7950496B-FFF9-0D44-B680-F75333B1C327}">
      <text>
        <r>
          <rPr>
            <b/>
            <sz val="14"/>
            <color rgb="FF000000"/>
            <rFont val="Calibri"/>
            <family val="34"/>
          </rPr>
          <t xml:space="preserve">5.2.3 [163.92 cm (ML 1819)]
</t>
        </r>
        <r>
          <rPr>
            <sz val="14"/>
            <color rgb="FF000000"/>
            <rFont val="Calibri"/>
            <family val="34"/>
          </rPr>
          <t>5.5 [ 171.15 cm (ML 1817/8)</t>
        </r>
      </text>
    </comment>
    <comment ref="BF1481" authorId="0" shapeId="0" xr:uid="{5746AA26-1FD0-6448-9048-AFA7576A78E1}">
      <text>
        <r>
          <rPr>
            <sz val="14"/>
            <color rgb="FF000000"/>
            <rFont val="Times New Roman"/>
            <family val="18"/>
          </rPr>
          <t xml:space="preserve">28/04/1815 </t>
        </r>
        <r>
          <rPr>
            <i/>
            <sz val="14"/>
            <color rgb="FF000000"/>
            <rFont val="Times New Roman"/>
            <family val="18"/>
          </rPr>
          <t>Zu</t>
        </r>
        <r>
          <rPr>
            <sz val="14"/>
            <color rgb="FF000000"/>
            <rFont val="Times New Roman"/>
            <family val="18"/>
          </rPr>
          <t xml:space="preserve"> [Platz] </t>
        </r>
        <r>
          <rPr>
            <i/>
            <sz val="14"/>
            <color rgb="FF000000"/>
            <rFont val="Times New Roman"/>
            <family val="18"/>
          </rPr>
          <t>den Kleiner Bürger Buck gegen 150Fl Privat Handgeld zu Hessen Homburg Infat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16/05/1817 </t>
        </r>
        <r>
          <rPr>
            <i/>
            <sz val="14"/>
            <color rgb="FF000000"/>
            <rFont val="Times New Roman"/>
            <family val="18"/>
          </rPr>
          <t>Von IR 19 zum IR 4 transferiert und zum 9. Fus. Komp. eingeteilt</t>
        </r>
        <r>
          <rPr>
            <sz val="14"/>
            <color rgb="FF000000"/>
            <rFont val="Times New Roman"/>
            <family val="18"/>
          </rPr>
          <t xml:space="preserve"> [ML 1817 &amp; ML 1818]</t>
        </r>
        <r>
          <rPr>
            <sz val="14"/>
            <color rgb="FF000000"/>
            <rFont val="Calibri"/>
            <family val="34"/>
          </rPr>
          <t xml:space="preserve">
</t>
        </r>
        <r>
          <rPr>
            <sz val="14"/>
            <color rgb="FF000000"/>
            <rFont val="Times New Roman"/>
            <family val="18"/>
          </rPr>
          <t>25/09/1817 Muster: IR 4 9. Fus. Komp. Nr. 216 [</t>
        </r>
        <r>
          <rPr>
            <i/>
            <sz val="14"/>
            <color rgb="FF000000"/>
            <rFont val="Times New Roman"/>
            <family val="18"/>
          </rPr>
          <t>Commandiert zu Regiments Spital zu St. Polten</t>
        </r>
        <r>
          <rPr>
            <sz val="14"/>
            <color rgb="FF000000"/>
            <rFont val="Times New Roman"/>
            <family val="18"/>
          </rPr>
          <t>]</t>
        </r>
        <r>
          <rPr>
            <sz val="14"/>
            <color rgb="FF000000"/>
            <rFont val="Calibri"/>
            <family val="34"/>
          </rPr>
          <t xml:space="preserve">
</t>
        </r>
        <r>
          <rPr>
            <sz val="14"/>
            <color rgb="FF000000"/>
            <rFont val="Times New Roman"/>
            <family val="18"/>
          </rPr>
          <t>28/09/1818 Muster: IR 4 9. Fus. Komp. Nr. 181</t>
        </r>
        <r>
          <rPr>
            <sz val="14"/>
            <color rgb="FF000000"/>
            <rFont val="Calibri"/>
            <family val="34"/>
          </rPr>
          <t xml:space="preserve">
</t>
        </r>
        <r>
          <rPr>
            <sz val="14"/>
            <color rgb="FF000000"/>
            <rFont val="Times New Roman"/>
            <family val="18"/>
          </rPr>
          <t>25/09/1819 Muster: IR 4 9. Fus. Komp. Nr. 151</t>
        </r>
        <r>
          <rPr>
            <sz val="14"/>
            <color rgb="FF000000"/>
            <rFont val="Calibri"/>
            <family val="34"/>
          </rPr>
          <t xml:space="preserve">
</t>
        </r>
        <r>
          <rPr>
            <sz val="14"/>
            <color rgb="FF000000"/>
            <rFont val="Times New Roman"/>
            <family val="18"/>
          </rPr>
          <t xml:space="preserve">12/10/1819 </t>
        </r>
        <r>
          <rPr>
            <i/>
            <sz val="14"/>
            <color rgb="FF000000"/>
            <rFont val="Times New Roman"/>
            <family val="18"/>
          </rPr>
          <t>In Arrest</t>
        </r>
        <r>
          <rPr>
            <sz val="14"/>
            <color rgb="FF000000"/>
            <rFont val="Times New Roman"/>
            <family val="18"/>
          </rPr>
          <t xml:space="preserve"> [ST Oct 1819]</t>
        </r>
        <r>
          <rPr>
            <sz val="14"/>
            <color rgb="FF000000"/>
            <rFont val="Calibri"/>
            <family val="34"/>
          </rPr>
          <t xml:space="preserve">
</t>
        </r>
        <r>
          <rPr>
            <sz val="14"/>
            <color rgb="FF000000"/>
            <rFont val="Times New Roman"/>
            <family val="18"/>
          </rPr>
          <t>11/12/1819</t>
        </r>
        <r>
          <rPr>
            <i/>
            <sz val="14"/>
            <color rgb="FF000000"/>
            <rFont val="Times New Roman"/>
            <family val="18"/>
          </rPr>
          <t xml:space="preserve"> Krank in Regimentspital in St. Pölten </t>
        </r>
        <r>
          <rPr>
            <sz val="14"/>
            <color rgb="FF000000"/>
            <rFont val="Times New Roman"/>
            <family val="18"/>
          </rPr>
          <t>[ST Dec 1819]</t>
        </r>
        <r>
          <rPr>
            <sz val="14"/>
            <color rgb="FF000000"/>
            <rFont val="Calibri"/>
            <family val="34"/>
          </rPr>
          <t xml:space="preserve">
</t>
        </r>
        <r>
          <rPr>
            <sz val="14"/>
            <color rgb="FF000000"/>
            <rFont val="Times New Roman"/>
            <family val="18"/>
          </rPr>
          <t xml:space="preserve">14/12/1819 </t>
        </r>
        <r>
          <rPr>
            <i/>
            <sz val="14"/>
            <color rgb="FF000000"/>
            <rFont val="Times New Roman"/>
            <family val="18"/>
          </rPr>
          <t>In Regiments Spital zu St. Pölten gestorben</t>
        </r>
        <r>
          <rPr>
            <sz val="14"/>
            <color rgb="FF000000"/>
            <rFont val="Times New Roman"/>
            <family val="18"/>
          </rPr>
          <t xml:space="preserve"> [ST Dec 1819] </t>
        </r>
      </text>
    </comment>
    <comment ref="BG1481" authorId="0" shapeId="0" xr:uid="{BE3291BD-3861-524A-9E9B-3183BF101827}">
      <text>
        <r>
          <rPr>
            <sz val="14"/>
            <color rgb="FF000000"/>
            <rFont val="Times New Roman"/>
            <family val="18"/>
          </rPr>
          <t>ML 353/4 IR 4 (1817) – 9. Fus. Komp. Nr. 216 (St. Pölten 25/09/1817)</t>
        </r>
        <r>
          <rPr>
            <sz val="14"/>
            <color rgb="FF000000"/>
            <rFont val="Calibri"/>
            <family val="34"/>
          </rPr>
          <t xml:space="preserve">
</t>
        </r>
        <r>
          <rPr>
            <sz val="14"/>
            <color rgb="FF000000"/>
            <rFont val="Times New Roman"/>
            <family val="18"/>
          </rPr>
          <t>ML 355 IR 4 (1818) – 9. Fus. Komp. Nr. 181 (St. Pölten 28/09/1818)</t>
        </r>
        <r>
          <rPr>
            <sz val="14"/>
            <color rgb="FF000000"/>
            <rFont val="Calibri"/>
            <family val="34"/>
          </rPr>
          <t xml:space="preserve">
</t>
        </r>
        <r>
          <rPr>
            <sz val="14"/>
            <color rgb="FF000000"/>
            <rFont val="Times New Roman"/>
            <family val="18"/>
          </rPr>
          <t>ML 356/7 IR 4 (1819) – 9. Fus. Komp. Nr. 151 (St. Pölten 25/09/1819)</t>
        </r>
        <r>
          <rPr>
            <sz val="14"/>
            <color rgb="FF000000"/>
            <rFont val="Calibri"/>
            <family val="34"/>
          </rPr>
          <t xml:space="preserve">
</t>
        </r>
        <r>
          <rPr>
            <sz val="14"/>
            <color rgb="FF000000"/>
            <rFont val="Times New Roman"/>
            <family val="18"/>
          </rPr>
          <t>ML 427 IR 4 (1819) – ST Oct (St. Pölten 30/11/1819), Dec (St. Pölten 20/01/1820)</t>
        </r>
        <r>
          <rPr>
            <sz val="14"/>
            <color rgb="FF000000"/>
            <rFont val="Calibri"/>
            <family val="34"/>
          </rPr>
          <t xml:space="preserve">
</t>
        </r>
      </text>
    </comment>
    <comment ref="BH1481" authorId="0" shapeId="0" xr:uid="{62534680-9ED2-534C-BC07-6E73F66155E2}">
      <text>
        <r>
          <rPr>
            <sz val="14"/>
            <color rgb="FF000000"/>
            <rFont val="Calibri"/>
            <family val="34"/>
          </rPr>
          <t xml:space="preserve">IR 19 (1815-1817)
</t>
        </r>
        <r>
          <rPr>
            <sz val="14"/>
            <color rgb="FF000000"/>
            <rFont val="Calibri"/>
            <family val="34"/>
          </rPr>
          <t>IR 4 (1817-1819)</t>
        </r>
      </text>
    </comment>
    <comment ref="BF1482" authorId="0" shapeId="0" xr:uid="{7E5AC5E5-61F4-8245-9737-D2EEF92100B8}">
      <text>
        <r>
          <rPr>
            <sz val="14"/>
            <color rgb="FF000000"/>
            <rFont val="Times New Roman"/>
            <family val="18"/>
          </rPr>
          <t xml:space="preserve">17/05/1815 </t>
        </r>
        <r>
          <rPr>
            <i/>
            <sz val="14"/>
            <color rgb="FF000000"/>
            <rFont val="Times New Roman"/>
            <family val="18"/>
          </rPr>
          <t>Gegen 3Fl Handgeld von Land gestellt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 Regiment</t>
        </r>
        <r>
          <rPr>
            <sz val="14"/>
            <color rgb="FF000000"/>
            <rFont val="Times New Roman"/>
            <family val="18"/>
          </rPr>
          <t xml:space="preserve"> </t>
        </r>
        <r>
          <rPr>
            <b/>
            <sz val="14"/>
            <color rgb="FF000000"/>
            <rFont val="Times New Roman"/>
            <family val="18"/>
          </rPr>
          <t xml:space="preserve">[HIR 51] </t>
        </r>
        <r>
          <rPr>
            <i/>
            <sz val="14"/>
            <color rgb="FF000000"/>
            <rFont val="Times New Roman"/>
            <family val="18"/>
          </rPr>
          <t>zum IR 62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09/11/1818 Muster: IR 62 17. Fus. Komp. Nr. 91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25/10/1819 Muster: IR 62 17. Fus. Komp. Nr. 86 [</t>
        </r>
        <r>
          <rPr>
            <i/>
            <sz val="14"/>
            <color rgb="FF000000"/>
            <rFont val="Times New Roman"/>
            <family val="18"/>
          </rPr>
          <t>Beurlaubt bis zur Einberufung in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31/03/1820 </t>
        </r>
        <r>
          <rPr>
            <i/>
            <sz val="14"/>
            <color rgb="FF000000"/>
            <rFont val="Times New Roman"/>
            <family val="18"/>
          </rPr>
          <t>Von 17. Zum 8. Fus. Komp. transferiert</t>
        </r>
        <r>
          <rPr>
            <sz val="14"/>
            <color rgb="FF000000"/>
            <rFont val="Times New Roman"/>
            <family val="18"/>
          </rPr>
          <t xml:space="preserve"> [RL 1820]</t>
        </r>
        <r>
          <rPr>
            <sz val="14"/>
            <color rgb="FF000000"/>
            <rFont val="Calibri"/>
            <family val="34"/>
          </rPr>
          <t xml:space="preserve">
</t>
        </r>
        <r>
          <rPr>
            <sz val="14"/>
            <color rgb="FF000000"/>
            <rFont val="Times New Roman"/>
            <family val="18"/>
          </rPr>
          <t>04/09/1820 Revision: IR 62 8. Fus. Komp. Nr. 22</t>
        </r>
      </text>
    </comment>
    <comment ref="BG1482" authorId="0" shapeId="0" xr:uid="{E3392796-C0D1-6846-9B0A-4F5FECA0530D}">
      <text>
        <r>
          <rPr>
            <sz val="14"/>
            <color rgb="FF000000"/>
            <rFont val="Times New Roman"/>
            <family val="18"/>
          </rPr>
          <t>ML 5213/4 IR 62 (1818) – 17. Fus. Komp. Nr. 91 (Cronstadt 09/11/1818)</t>
        </r>
        <r>
          <rPr>
            <sz val="14"/>
            <color rgb="FF000000"/>
            <rFont val="Calibri"/>
            <family val="34"/>
          </rPr>
          <t xml:space="preserve">
</t>
        </r>
        <r>
          <rPr>
            <sz val="14"/>
            <color rgb="FF000000"/>
            <rFont val="Times New Roman"/>
            <family val="18"/>
          </rPr>
          <t>ML 5215/6 IR 62 (1819) – 17. Fus. Komp. Nr. 86 (Cronstadt 25/10/1819)</t>
        </r>
        <r>
          <rPr>
            <sz val="14"/>
            <color rgb="FF000000"/>
            <rFont val="Calibri"/>
            <family val="34"/>
          </rPr>
          <t xml:space="preserve">
</t>
        </r>
        <r>
          <rPr>
            <sz val="14"/>
            <color rgb="FF000000"/>
            <rFont val="Times New Roman"/>
            <family val="18"/>
          </rPr>
          <t>ML 5217 IR 62 (1820) – 8. Fus. Komp. Nr. 22 (Cremona 04/09/1820)</t>
        </r>
        <r>
          <rPr>
            <sz val="14"/>
            <color rgb="FF000000"/>
            <rFont val="Calibri"/>
            <family val="34"/>
          </rPr>
          <t xml:space="preserve">
</t>
        </r>
      </text>
    </comment>
    <comment ref="BH1482" authorId="0" shapeId="0" xr:uid="{2BBBF63F-0ACF-8B46-9482-646123712E59}">
      <text>
        <r>
          <rPr>
            <sz val="14"/>
            <color rgb="FF000000"/>
            <rFont val="Calibri"/>
            <family val="34"/>
          </rPr>
          <t xml:space="preserve">IR 51 (1815)
</t>
        </r>
        <r>
          <rPr>
            <sz val="14"/>
            <color rgb="FF000000"/>
            <rFont val="Calibri"/>
            <family val="34"/>
          </rPr>
          <t>IR 62 (1815-1820)</t>
        </r>
      </text>
    </comment>
    <comment ref="BF1483" authorId="0" shapeId="0" xr:uid="{A7C94AA6-BAE4-234B-83F4-17E86C88A9C4}">
      <text>
        <r>
          <rPr>
            <sz val="14"/>
            <color rgb="FF000000"/>
            <rFont val="Times New Roman"/>
            <family val="18"/>
          </rPr>
          <t xml:space="preserve">25/05/1815 </t>
        </r>
        <r>
          <rPr>
            <i/>
            <sz val="14"/>
            <color rgb="FF000000"/>
            <rFont val="Times New Roman"/>
            <family val="18"/>
          </rPr>
          <t>In Clausenburg a 3Fl handgeld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62]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28/05/1817</t>
        </r>
        <r>
          <rPr>
            <i/>
            <sz val="14"/>
            <color rgb="FF000000"/>
            <rFont val="Times New Roman"/>
            <family val="18"/>
          </rPr>
          <t xml:space="preserve"> Desertiert </t>
        </r>
        <r>
          <rPr>
            <sz val="14"/>
            <color rgb="FF000000"/>
            <rFont val="Times New Roman"/>
            <family val="18"/>
          </rPr>
          <t>[ML 1818]</t>
        </r>
        <r>
          <rPr>
            <sz val="14"/>
            <color rgb="FF000000"/>
            <rFont val="Calibri"/>
            <family val="34"/>
          </rPr>
          <t xml:space="preserve">
</t>
        </r>
        <r>
          <rPr>
            <sz val="14"/>
            <color rgb="FF000000"/>
            <rFont val="Times New Roman"/>
            <family val="18"/>
          </rPr>
          <t xml:space="preserve">29/05/1817 </t>
        </r>
        <r>
          <rPr>
            <i/>
            <sz val="14"/>
            <color rgb="FF000000"/>
            <rFont val="Times New Roman"/>
            <family val="18"/>
          </rPr>
          <t xml:space="preserve">A 8fl Taglia von military eingebracht </t>
        </r>
        <r>
          <rPr>
            <sz val="14"/>
            <color rgb="FF000000"/>
            <rFont val="Times New Roman"/>
            <family val="18"/>
          </rPr>
          <t>[ML 1818]</t>
        </r>
        <r>
          <rPr>
            <sz val="14"/>
            <color rgb="FF000000"/>
            <rFont val="Calibri"/>
            <family val="34"/>
          </rPr>
          <t xml:space="preserve">
</t>
        </r>
        <r>
          <rPr>
            <sz val="14"/>
            <color rgb="FF000000"/>
            <rFont val="Times New Roman"/>
            <family val="18"/>
          </rPr>
          <t>09/11/1818 Muster: IR 62 17. Fus. Komp. Nr. 91 [</t>
        </r>
        <r>
          <rPr>
            <i/>
            <sz val="14"/>
            <color rgb="FF000000"/>
            <rFont val="Times New Roman"/>
            <family val="18"/>
          </rPr>
          <t>Comandiert Beurlaubt zu Clausenburg</t>
        </r>
        <r>
          <rPr>
            <sz val="14"/>
            <color rgb="FF000000"/>
            <rFont val="Times New Roman"/>
            <family val="18"/>
          </rPr>
          <t>]</t>
        </r>
        <r>
          <rPr>
            <sz val="14"/>
            <color rgb="FF000000"/>
            <rFont val="Calibri"/>
            <family val="34"/>
          </rPr>
          <t xml:space="preserve">
</t>
        </r>
        <r>
          <rPr>
            <sz val="14"/>
            <color rgb="FF000000"/>
            <rFont val="Times New Roman"/>
            <family val="18"/>
          </rPr>
          <t xml:space="preserve">11/05/1819 </t>
        </r>
        <r>
          <rPr>
            <i/>
            <sz val="14"/>
            <color rgb="FF000000"/>
            <rFont val="Times New Roman"/>
            <family val="18"/>
          </rPr>
          <t>Desertiert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16/05/1819 </t>
        </r>
        <r>
          <rPr>
            <i/>
            <sz val="14"/>
            <color rgb="FF000000"/>
            <rFont val="Times New Roman"/>
            <family val="18"/>
          </rPr>
          <t>Von Militär a 8Fl Taglia attrapiert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18/07/1819 </t>
        </r>
        <r>
          <rPr>
            <i/>
            <sz val="14"/>
            <color rgb="FF000000"/>
            <rFont val="Times New Roman"/>
            <family val="18"/>
          </rPr>
          <t xml:space="preserve">Desertiert </t>
        </r>
        <r>
          <rPr>
            <sz val="14"/>
            <color rgb="FF000000"/>
            <rFont val="Times New Roman"/>
            <family val="18"/>
          </rPr>
          <t>[ML 1819]</t>
        </r>
        <r>
          <rPr>
            <sz val="14"/>
            <color rgb="FF000000"/>
            <rFont val="Calibri"/>
            <family val="34"/>
          </rPr>
          <t xml:space="preserve">
</t>
        </r>
        <r>
          <rPr>
            <sz val="14"/>
            <color rgb="FF000000"/>
            <rFont val="Times New Roman"/>
            <family val="18"/>
          </rPr>
          <t xml:space="preserve">25/07/1819 </t>
        </r>
        <r>
          <rPr>
            <i/>
            <sz val="14"/>
            <color rgb="FF000000"/>
            <rFont val="Times New Roman"/>
            <family val="18"/>
          </rPr>
          <t>Von Land a 24Fl Taglia eingebracht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05/09/1819 </t>
        </r>
        <r>
          <rPr>
            <i/>
            <sz val="14"/>
            <color rgb="FF000000"/>
            <rFont val="Times New Roman"/>
            <family val="18"/>
          </rPr>
          <t>Von 17. Zum 18.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31/03/1820 </t>
        </r>
        <r>
          <rPr>
            <i/>
            <sz val="14"/>
            <color rgb="FF000000"/>
            <rFont val="Times New Roman"/>
            <family val="18"/>
          </rPr>
          <t>Von 18. Zum 9. Fus. Komp. transferiert</t>
        </r>
        <r>
          <rPr>
            <sz val="14"/>
            <color rgb="FF000000"/>
            <rFont val="Times New Roman"/>
            <family val="18"/>
          </rPr>
          <t xml:space="preserve"> [RL 1820]</t>
        </r>
        <r>
          <rPr>
            <sz val="14"/>
            <color rgb="FF000000"/>
            <rFont val="Calibri"/>
            <family val="34"/>
          </rPr>
          <t xml:space="preserve">
</t>
        </r>
        <r>
          <rPr>
            <sz val="14"/>
            <color rgb="FF000000"/>
            <rFont val="Times New Roman"/>
            <family val="18"/>
          </rPr>
          <t>04/09/1820 Revision: IR 62 9. Fus. Komp. Nr. 180</t>
        </r>
      </text>
    </comment>
    <comment ref="BG1483" authorId="0" shapeId="0" xr:uid="{39D2AC95-F975-EB4C-9E57-AE5D249880F1}">
      <text>
        <r>
          <rPr>
            <sz val="14"/>
            <color rgb="FF000000"/>
            <rFont val="Times New Roman"/>
            <family val="18"/>
          </rPr>
          <t>ML 5213/4 IR 62 (1818) – 15. Fus. Komp. Nr. 372 (Cronstadt 09/11/1818)</t>
        </r>
        <r>
          <rPr>
            <sz val="14"/>
            <color rgb="FF000000"/>
            <rFont val="Calibri"/>
            <family val="34"/>
          </rPr>
          <t xml:space="preserve">
</t>
        </r>
        <r>
          <rPr>
            <sz val="14"/>
            <color rgb="FF000000"/>
            <rFont val="Times New Roman"/>
            <family val="18"/>
          </rPr>
          <t>ML 5215/6 IR 62 (1819) – 18. Fus. Komp. Nr. 350 (Cronstadt 25/10/1819)</t>
        </r>
        <r>
          <rPr>
            <sz val="14"/>
            <color rgb="FF000000"/>
            <rFont val="Calibri"/>
            <family val="34"/>
          </rPr>
          <t xml:space="preserve">
</t>
        </r>
        <r>
          <rPr>
            <sz val="14"/>
            <color rgb="FF000000"/>
            <rFont val="Times New Roman"/>
            <family val="18"/>
          </rPr>
          <t>ML 5217 IR 62 (1820) – 9. Fus. Komp. Nr. 180 (Cremona 04/09/1820)</t>
        </r>
        <r>
          <rPr>
            <sz val="14"/>
            <color rgb="FF000000"/>
            <rFont val="Calibri"/>
            <family val="34"/>
          </rPr>
          <t xml:space="preserve">
</t>
        </r>
      </text>
    </comment>
    <comment ref="BH1483" authorId="0" shapeId="0" xr:uid="{7690ED26-5F67-F34B-8EEA-D8524FC0118C}">
      <text>
        <r>
          <rPr>
            <sz val="14"/>
            <color rgb="FF000000"/>
            <rFont val="Calibri"/>
            <family val="34"/>
          </rPr>
          <t xml:space="preserve">IR 51 (1815)
</t>
        </r>
        <r>
          <rPr>
            <sz val="14"/>
            <color rgb="FF000000"/>
            <rFont val="Calibri"/>
            <family val="34"/>
          </rPr>
          <t>IR 62 (1815-1820)</t>
        </r>
      </text>
    </comment>
    <comment ref="BF1484" authorId="0" shapeId="0" xr:uid="{8CF3F87C-E718-2B46-8F3B-C5D83B8F2689}">
      <text>
        <r>
          <rPr>
            <sz val="14"/>
            <color rgb="FF000000"/>
            <rFont val="Times New Roman"/>
            <family val="18"/>
          </rPr>
          <t xml:space="preserve">01/07/1815 A 10Fl Handgeld C.M. auf 6 Jahr zu Baron Fenner Tyroler Jäger Corps freiwillig assentiert und zur 10. Komp. eingeteilt [ML 1817 &amp; ST Juli 1815]
</t>
        </r>
        <r>
          <rPr>
            <sz val="14"/>
            <color rgb="FF000000"/>
            <rFont val="Times New Roman"/>
            <family val="18"/>
          </rPr>
          <t xml:space="preserve">01/09/1815 </t>
        </r>
        <r>
          <rPr>
            <i/>
            <sz val="14"/>
            <color rgb="FF000000"/>
            <rFont val="Times New Roman"/>
            <family val="18"/>
          </rPr>
          <t>Von 10. zum 14. Komp. transferiert und zum Patrouilleführer avanciert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01/10/1815 </t>
        </r>
        <r>
          <rPr>
            <i/>
            <sz val="14"/>
            <color rgb="FF000000"/>
            <rFont val="Times New Roman"/>
            <family val="18"/>
          </rPr>
          <t xml:space="preserve">Zum Unterjäger avanciert </t>
        </r>
        <r>
          <rPr>
            <sz val="14"/>
            <color rgb="FF000000"/>
            <rFont val="Times New Roman"/>
            <family val="18"/>
          </rPr>
          <t>[ST Oct 1815]</t>
        </r>
        <r>
          <rPr>
            <sz val="14"/>
            <color rgb="FF000000"/>
            <rFont val="Calibri"/>
            <family val="34"/>
          </rPr>
          <t xml:space="preserve">
</t>
        </r>
        <r>
          <rPr>
            <sz val="14"/>
            <color rgb="FF000000"/>
            <rFont val="Times New Roman"/>
            <family val="18"/>
          </rPr>
          <t xml:space="preserve">01/01/1816 </t>
        </r>
        <r>
          <rPr>
            <i/>
            <sz val="14"/>
            <color rgb="FF000000"/>
            <rFont val="Times New Roman"/>
            <family val="18"/>
          </rPr>
          <t>Nach Auflösung des Fennerischen Tyroler Jäger Corps Fenners zum Tiroler Jäger Regiment ‚Kaiser‘</t>
        </r>
        <r>
          <rPr>
            <sz val="14"/>
            <color rgb="FF000000"/>
            <rFont val="Times New Roman"/>
            <family val="18"/>
          </rPr>
          <t xml:space="preserve"> </t>
        </r>
        <r>
          <rPr>
            <i/>
            <sz val="14"/>
            <color rgb="FF000000"/>
            <rFont val="Times New Roman"/>
            <family val="18"/>
          </rPr>
          <t>transferiert und zum 14. Kompanie eingeteilt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01/12/1816 </t>
        </r>
        <r>
          <rPr>
            <i/>
            <sz val="14"/>
            <color rgb="FF000000"/>
            <rFont val="Times New Roman"/>
            <family val="18"/>
          </rPr>
          <t>Von 14. Zum 15. Companie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04/10/1817 Musterung: IR 64 15. Comp. Nr. 14 </t>
        </r>
        <r>
          <rPr>
            <sz val="14"/>
            <color rgb="FF000000"/>
            <rFont val="Calibri"/>
            <family val="34"/>
          </rPr>
          <t xml:space="preserve">
</t>
        </r>
        <r>
          <rPr>
            <sz val="14"/>
            <color rgb="FF000000"/>
            <rFont val="Times New Roman"/>
            <family val="18"/>
          </rPr>
          <t xml:space="preserve">14/01/1818 </t>
        </r>
        <r>
          <rPr>
            <i/>
            <sz val="14"/>
            <color rgb="FF000000"/>
            <rFont val="Times New Roman"/>
            <family val="18"/>
          </rPr>
          <t>Das Kompanie einrückt ins Kufstein</t>
        </r>
        <r>
          <rPr>
            <sz val="14"/>
            <color rgb="FF000000"/>
            <rFont val="Times New Roman"/>
            <family val="18"/>
          </rPr>
          <t xml:space="preserve"> [ST Jan 1818]</t>
        </r>
        <r>
          <rPr>
            <sz val="14"/>
            <color rgb="FF000000"/>
            <rFont val="Calibri"/>
            <family val="34"/>
          </rPr>
          <t xml:space="preserve">
</t>
        </r>
        <r>
          <rPr>
            <sz val="14"/>
            <color rgb="FF000000"/>
            <rFont val="Times New Roman"/>
            <family val="18"/>
          </rPr>
          <t>25/09/1818 Musterung: IR 64 15. Comp. Nr. 14</t>
        </r>
        <r>
          <rPr>
            <sz val="14"/>
            <color rgb="FF000000"/>
            <rFont val="Calibri"/>
            <family val="34"/>
          </rPr>
          <t xml:space="preserve">
</t>
        </r>
        <r>
          <rPr>
            <sz val="14"/>
            <color rgb="FF000000"/>
            <rFont val="Times New Roman"/>
            <family val="18"/>
          </rPr>
          <t xml:space="preserve">17/11/1818 </t>
        </r>
        <r>
          <rPr>
            <i/>
            <sz val="14"/>
            <color rgb="FF000000"/>
            <rFont val="Times New Roman"/>
            <family val="18"/>
          </rPr>
          <t>Die Kompanie marschiert von Kufstein raus</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20/11/1818 </t>
        </r>
        <r>
          <rPr>
            <i/>
            <sz val="14"/>
            <color rgb="FF000000"/>
            <rFont val="Times New Roman"/>
            <family val="18"/>
          </rPr>
          <t>Die Kompanie einrückt ins Innsbruck</t>
        </r>
        <r>
          <rPr>
            <sz val="14"/>
            <color rgb="FF000000"/>
            <rFont val="Times New Roman"/>
            <family val="18"/>
          </rPr>
          <t xml:space="preserve"> [ST Nov 1818]</t>
        </r>
        <r>
          <rPr>
            <sz val="14"/>
            <color rgb="FF000000"/>
            <rFont val="Calibri"/>
            <family val="34"/>
          </rPr>
          <t xml:space="preserve">
</t>
        </r>
        <r>
          <rPr>
            <sz val="14"/>
            <color rgb="FF000000"/>
            <rFont val="Times New Roman"/>
            <family val="18"/>
          </rPr>
          <t>12/10/1819 Musterung: IR 64 15. Komp. Nr. 13</t>
        </r>
        <r>
          <rPr>
            <sz val="14"/>
            <color rgb="FF000000"/>
            <rFont val="Calibri"/>
            <family val="34"/>
          </rPr>
          <t xml:space="preserve">
</t>
        </r>
        <r>
          <rPr>
            <sz val="14"/>
            <color rgb="FF000000"/>
            <rFont val="Times New Roman"/>
            <family val="18"/>
          </rPr>
          <t xml:space="preserve">29/04/1820 </t>
        </r>
        <r>
          <rPr>
            <i/>
            <sz val="14"/>
            <color rgb="FF000000"/>
            <rFont val="Times New Roman"/>
            <family val="18"/>
          </rPr>
          <t>Die Kompanie Marschiert nach Kufstein Raus</t>
        </r>
        <r>
          <rPr>
            <sz val="14"/>
            <color rgb="FF000000"/>
            <rFont val="Times New Roman"/>
            <family val="18"/>
          </rPr>
          <t xml:space="preserve"> [ST April 1820)</t>
        </r>
        <r>
          <rPr>
            <sz val="14"/>
            <color rgb="FF000000"/>
            <rFont val="Calibri"/>
            <family val="34"/>
          </rPr>
          <t xml:space="preserve">
</t>
        </r>
        <r>
          <rPr>
            <sz val="14"/>
            <color rgb="FF000000"/>
            <rFont val="Times New Roman"/>
            <family val="18"/>
          </rPr>
          <t xml:space="preserve">01/05/1820 </t>
        </r>
        <r>
          <rPr>
            <i/>
            <sz val="14"/>
            <color rgb="FF000000"/>
            <rFont val="Times New Roman"/>
            <family val="18"/>
          </rPr>
          <t>Einkunft und Einquartierung der Kompanie ins Festung Kufstein</t>
        </r>
        <r>
          <rPr>
            <sz val="14"/>
            <color rgb="FF000000"/>
            <rFont val="Times New Roman"/>
            <family val="18"/>
          </rPr>
          <t xml:space="preserve"> [ST May 1820]</t>
        </r>
        <r>
          <rPr>
            <sz val="14"/>
            <color rgb="FF000000"/>
            <rFont val="Calibri"/>
            <family val="34"/>
          </rPr>
          <t xml:space="preserve">
</t>
        </r>
        <r>
          <rPr>
            <sz val="14"/>
            <color rgb="FF000000"/>
            <rFont val="Times New Roman"/>
            <family val="18"/>
          </rPr>
          <t xml:space="preserve">21/06/1820 </t>
        </r>
        <r>
          <rPr>
            <i/>
            <sz val="14"/>
            <color rgb="FF000000"/>
            <rFont val="Times New Roman"/>
            <family val="18"/>
          </rPr>
          <t>Von 15. zum 18. Komp. transferiert</t>
        </r>
        <r>
          <rPr>
            <sz val="14"/>
            <color rgb="FF000000"/>
            <rFont val="Times New Roman"/>
            <family val="18"/>
          </rPr>
          <t xml:space="preserve"> [RL 1820 &amp; ST June 1820]</t>
        </r>
        <r>
          <rPr>
            <sz val="14"/>
            <color rgb="FF000000"/>
            <rFont val="Calibri"/>
            <family val="34"/>
          </rPr>
          <t xml:space="preserve">
</t>
        </r>
        <r>
          <rPr>
            <sz val="14"/>
            <color rgb="FF000000"/>
            <rFont val="Times New Roman"/>
            <family val="18"/>
          </rPr>
          <t>13/10/1820 Revision: IR 64 18. Komp. Nr. 15</t>
        </r>
        <r>
          <rPr>
            <sz val="14"/>
            <color rgb="FF000000"/>
            <rFont val="Calibri"/>
            <family val="34"/>
          </rPr>
          <t xml:space="preserve">
</t>
        </r>
        <r>
          <rPr>
            <sz val="14"/>
            <color rgb="FF000000"/>
            <rFont val="Times New Roman"/>
            <family val="18"/>
          </rPr>
          <t xml:space="preserve">31/10/1821 </t>
        </r>
        <r>
          <rPr>
            <i/>
            <sz val="14"/>
            <color rgb="FF000000"/>
            <rFont val="Times New Roman"/>
            <family val="18"/>
          </rPr>
          <t>Als Ausgedienter Capitulant mit Abschied entlassen</t>
        </r>
        <r>
          <rPr>
            <sz val="14"/>
            <color rgb="FF000000"/>
            <rFont val="Times New Roman"/>
            <family val="18"/>
          </rPr>
          <t xml:space="preserve"> [GB TKJR 27]</t>
        </r>
      </text>
    </comment>
    <comment ref="BG1484" authorId="0" shapeId="0" xr:uid="{375B2547-80A9-EF44-8E0E-3F162DC9F2F7}">
      <text>
        <r>
          <rPr>
            <sz val="14"/>
            <color rgb="FF000000"/>
            <rFont val="Times New Roman"/>
            <family val="18"/>
          </rPr>
          <t>ML 11.084 JFK Fenner (1815) – ST Juli (Innsbruck 28/02/1816), Sept (20/05/1816), Oct (30/05/1816), Dec (Innsbruck 26/08/1816)</t>
        </r>
        <r>
          <rPr>
            <sz val="14"/>
            <color rgb="FF000000"/>
            <rFont val="Calibri"/>
            <family val="34"/>
          </rPr>
          <t xml:space="preserve">
</t>
        </r>
        <r>
          <rPr>
            <sz val="14"/>
            <color rgb="FF000000"/>
            <rFont val="Times New Roman"/>
            <family val="18"/>
          </rPr>
          <t>ML 11.086/7 JFK Fenner (1816) – TL JFK Fenner-&gt;TKJR 14. Komp. Nr. 8 (Innsbruck 12/08/1816</t>
        </r>
        <r>
          <rPr>
            <sz val="14"/>
            <color rgb="FF000000"/>
            <rFont val="Calibri"/>
            <family val="34"/>
          </rPr>
          <t xml:space="preserve">)
</t>
        </r>
        <r>
          <rPr>
            <sz val="14"/>
            <color rgb="FF000000"/>
            <rFont val="Times New Roman"/>
            <family val="18"/>
          </rPr>
          <t>ML 5118-20 IR 64 (1817): 14. Komp. Zuwachs &amp; Abgang (Bregenz 04/10/1817), 15. Komp. Nr. 14 (Bregenz 04/10/1817)</t>
        </r>
        <r>
          <rPr>
            <sz val="14"/>
            <color rgb="FF000000"/>
            <rFont val="Calibri"/>
            <family val="34"/>
          </rPr>
          <t xml:space="preserve">
</t>
        </r>
        <r>
          <rPr>
            <sz val="14"/>
            <color rgb="FF000000"/>
            <rFont val="Times New Roman"/>
            <family val="18"/>
          </rPr>
          <t>ML 5321-23 IR 64 (1818) – 15. Komp. Nr. 14 (Kufstein 25/09/1818)</t>
        </r>
        <r>
          <rPr>
            <sz val="14"/>
            <color rgb="FF000000"/>
            <rFont val="Calibri"/>
            <family val="34"/>
          </rPr>
          <t xml:space="preserve">
</t>
        </r>
        <r>
          <rPr>
            <sz val="14"/>
            <color rgb="FF000000"/>
            <rFont val="Times New Roman"/>
            <family val="18"/>
          </rPr>
          <t>ML 5324-26 IR 64 (1819) – 15. Komp. Nr. 13 (Innsbruck 12/10/1819)</t>
        </r>
        <r>
          <rPr>
            <sz val="14"/>
            <color rgb="FF000000"/>
            <rFont val="Calibri"/>
            <family val="34"/>
          </rPr>
          <t xml:space="preserve">
</t>
        </r>
        <r>
          <rPr>
            <sz val="14"/>
            <color rgb="FF000000"/>
            <rFont val="Times New Roman"/>
            <family val="18"/>
          </rPr>
          <t>ML 5327 IR 64 (1820) – 18. Komp. Nr. 15 (Innsbruck 13/10/1820)</t>
        </r>
        <r>
          <rPr>
            <sz val="14"/>
            <color rgb="FF000000"/>
            <rFont val="Calibri"/>
            <family val="34"/>
          </rPr>
          <t xml:space="preserve">
</t>
        </r>
        <r>
          <rPr>
            <sz val="14"/>
            <color rgb="FF000000"/>
            <rFont val="Times New Roman"/>
            <family val="18"/>
          </rPr>
          <t>ML 5333 IR 64 (1818) – January (Innsbruck 19/04/1818), November (Innsbruck 12/01/1819)</t>
        </r>
        <r>
          <rPr>
            <sz val="14"/>
            <color rgb="FF000000"/>
            <rFont val="Calibri"/>
            <family val="34"/>
          </rPr>
          <t xml:space="preserve">
</t>
        </r>
        <r>
          <rPr>
            <sz val="14"/>
            <color rgb="FF000000"/>
            <rFont val="Times New Roman"/>
            <family val="18"/>
          </rPr>
          <t>ML 5336 IR 64 (1820) – April (Innsbruck 20/05/1820), May (Innsbruck 24/06/1820), June (??/07/1820)</t>
        </r>
        <r>
          <rPr>
            <sz val="14"/>
            <color rgb="FF000000"/>
            <rFont val="Calibri"/>
            <family val="34"/>
          </rPr>
          <t xml:space="preserve">
</t>
        </r>
        <r>
          <rPr>
            <sz val="14"/>
            <color rgb="FF000000"/>
            <rFont val="Times New Roman"/>
            <family val="18"/>
          </rPr>
          <t xml:space="preserve">GB Kaiser Jäger Regiment 27: Abgang Klasse III 1820-1840 Heft 10 S. 183.  </t>
        </r>
        <r>
          <rPr>
            <sz val="14"/>
            <color rgb="FF000000"/>
            <rFont val="Calibri"/>
            <family val="34"/>
          </rPr>
          <t xml:space="preserve">
</t>
        </r>
        <r>
          <rPr>
            <sz val="14"/>
            <color rgb="FF000000"/>
            <rFont val="Times New Roman"/>
            <family val="18"/>
          </rPr>
          <t xml:space="preserve">Hohenems Geneologie </t>
        </r>
        <r>
          <rPr>
            <u/>
            <sz val="14"/>
            <color rgb="FF0563C1"/>
            <rFont val="Times New Roman"/>
            <family val="18"/>
          </rPr>
          <t>I2142</t>
        </r>
        <r>
          <rPr>
            <sz val="14"/>
            <color rgb="FF000000"/>
            <rFont val="Calibri"/>
            <family val="34"/>
          </rPr>
          <t xml:space="preserve">
</t>
        </r>
      </text>
    </comment>
    <comment ref="BH1484" authorId="0" shapeId="0" xr:uid="{A1DC31FD-8B29-944A-85D7-ED97AE11A6B9}">
      <text>
        <r>
          <rPr>
            <sz val="14"/>
            <color rgb="FF000000"/>
            <rFont val="Calibri"/>
            <family val="34"/>
          </rPr>
          <t xml:space="preserve">Fenner FJK (1814-1815)
</t>
        </r>
        <r>
          <rPr>
            <sz val="14"/>
            <color rgb="FF000000"/>
            <rFont val="Calibri"/>
            <family val="34"/>
          </rPr>
          <t>TKJR (1816-1821)</t>
        </r>
      </text>
    </comment>
    <comment ref="BF1485" authorId="0" shapeId="0" xr:uid="{18B8D460-4C50-C549-9F63-4C7E7A6963EE}">
      <text>
        <r>
          <rPr>
            <sz val="14"/>
            <color rgb="FF000000"/>
            <rFont val="Times New Roman"/>
            <family val="18"/>
          </rPr>
          <t xml:space="preserve">06/07/1815 </t>
        </r>
        <r>
          <rPr>
            <i/>
            <sz val="14"/>
            <color rgb="FF000000"/>
            <rFont val="Times New Roman"/>
            <family val="18"/>
          </rPr>
          <t>Gegen 3Fl Handgeld auf 14 Jahr zu Przemysl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62</t>
        </r>
        <r>
          <rPr>
            <sz val="14"/>
            <color rgb="FF000000"/>
            <rFont val="Calibri"/>
            <family val="34"/>
          </rPr>
          <t xml:space="preserve">
</t>
        </r>
        <r>
          <rPr>
            <sz val="14"/>
            <color rgb="FF000000"/>
            <rFont val="Times New Roman"/>
            <family val="18"/>
          </rPr>
          <t>24/10/1818 Muster: IR 44 12. Fus. Komp. Nr. 56</t>
        </r>
        <r>
          <rPr>
            <sz val="14"/>
            <color rgb="FF000000"/>
            <rFont val="Calibri"/>
            <family val="34"/>
          </rPr>
          <t xml:space="preserve">
</t>
        </r>
        <r>
          <rPr>
            <sz val="14"/>
            <color rgb="FF000000"/>
            <rFont val="Times New Roman"/>
            <family val="18"/>
          </rPr>
          <t xml:space="preserve">01/08/1819 </t>
        </r>
        <r>
          <rPr>
            <i/>
            <sz val="14"/>
            <color rgb="FF000000"/>
            <rFont val="Times New Roman"/>
            <family val="18"/>
          </rPr>
          <t>Von 12. Zur 18.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18/10/1819 Muster: IR 44 18. Fus. Komp. Nr. 52</t>
        </r>
        <r>
          <rPr>
            <sz val="14"/>
            <color rgb="FF000000"/>
            <rFont val="Calibri"/>
            <family val="34"/>
          </rPr>
          <t xml:space="preserve">
</t>
        </r>
        <r>
          <rPr>
            <sz val="14"/>
            <color rgb="FF000000"/>
            <rFont val="Times New Roman"/>
            <family val="18"/>
          </rPr>
          <t>27/09/1820 Muster: IR 44 18. Fus. Komp. Nr. 42 [</t>
        </r>
        <r>
          <rPr>
            <i/>
            <sz val="14"/>
            <color rgb="FF000000"/>
            <rFont val="Times New Roman"/>
            <family val="18"/>
          </rPr>
          <t>Auf Grenz Cordon erteilt</t>
        </r>
        <r>
          <rPr>
            <sz val="14"/>
            <color rgb="FF000000"/>
            <rFont val="Times New Roman"/>
            <family val="18"/>
          </rPr>
          <t>]</t>
        </r>
      </text>
    </comment>
    <comment ref="BG1485" authorId="0" shapeId="0" xr:uid="{22ED18E9-055A-F54B-92FA-6919A662BC68}">
      <text>
        <r>
          <rPr>
            <sz val="14"/>
            <color rgb="FF000000"/>
            <rFont val="Times New Roman"/>
            <family val="18"/>
          </rPr>
          <t>ML 3915/6 IR 44 (1818) – 12. Fus. Komp. Nr. 62 (Pavia 05/01/1818); 12. Fus. Komp. Nr. 56 (Pavia 24/10/1818)</t>
        </r>
        <r>
          <rPr>
            <sz val="14"/>
            <color rgb="FF000000"/>
            <rFont val="Calibri"/>
            <family val="34"/>
          </rPr>
          <t xml:space="preserve">
</t>
        </r>
        <r>
          <rPr>
            <sz val="14"/>
            <color rgb="FF000000"/>
            <rFont val="Times New Roman"/>
            <family val="18"/>
          </rPr>
          <t>ML 3918/9 IR 44 (1819) – 18. Fus. Komp. Nr. 52 (Pavia 18/10/1819)</t>
        </r>
        <r>
          <rPr>
            <sz val="14"/>
            <color rgb="FF000000"/>
            <rFont val="Calibri"/>
            <family val="34"/>
          </rPr>
          <t xml:space="preserve">
</t>
        </r>
        <r>
          <rPr>
            <sz val="14"/>
            <color rgb="FF000000"/>
            <rFont val="Times New Roman"/>
            <family val="18"/>
          </rPr>
          <t>ML 3920 IR 44 (1820) – 18. Fus. Komp. Nr. 42 (Como 27/09/1820)</t>
        </r>
        <r>
          <rPr>
            <sz val="14"/>
            <color rgb="FF000000"/>
            <rFont val="Calibri"/>
            <family val="34"/>
          </rPr>
          <t xml:space="preserve">
</t>
        </r>
      </text>
    </comment>
    <comment ref="BH1485" authorId="0" shapeId="0" xr:uid="{F359D549-C22E-094E-9B1E-00D444528ECF}">
      <text>
        <r>
          <rPr>
            <sz val="14"/>
            <color rgb="FF000000"/>
            <rFont val="Calibri"/>
            <family val="34"/>
          </rPr>
          <t>IR 44 (1815-1820)</t>
        </r>
      </text>
    </comment>
    <comment ref="CR1485" authorId="0" shapeId="0" xr:uid="{6C340814-4B07-BD47-9F9F-9C5619E91EDC}">
      <text>
        <r>
          <rPr>
            <sz val="14"/>
            <color rgb="FF000000"/>
            <rFont val="Calibri"/>
            <family val="34"/>
          </rPr>
          <t>1818 I: Jüdisch [Isak GOLDSCHMIDT]</t>
        </r>
        <r>
          <rPr>
            <sz val="14"/>
            <color rgb="FF000000"/>
            <rFont val="Calibri"/>
            <family val="2"/>
          </rPr>
          <t xml:space="preserve"> </t>
        </r>
        <r>
          <rPr>
            <sz val="14"/>
            <color rgb="FF000000"/>
            <rFont val="Calibri"/>
            <family val="34"/>
          </rPr>
          <t xml:space="preserve">
</t>
        </r>
        <r>
          <rPr>
            <sz val="14"/>
            <color rgb="FF000000"/>
            <rFont val="Calibri"/>
            <family val="34"/>
          </rPr>
          <t xml:space="preserve">1818 II-20: Katolisch [Johann GOLDSCHMIDT]  </t>
        </r>
      </text>
    </comment>
    <comment ref="T1486" authorId="0" shapeId="0" xr:uid="{080A297F-EC61-B946-9122-6BDB8B83D036}">
      <text>
        <r>
          <rPr>
            <b/>
            <sz val="14"/>
            <color rgb="FF000000"/>
            <rFont val="Calibri"/>
            <family val="34"/>
          </rPr>
          <t xml:space="preserve">5.2.1 [163.48 cm] (ML 1817)]
</t>
        </r>
        <r>
          <rPr>
            <sz val="14"/>
            <color rgb="FF000000"/>
            <rFont val="Calibri"/>
            <family val="34"/>
          </rPr>
          <t>5.2.3 [163.92 cm (AL 1815)]</t>
        </r>
      </text>
    </comment>
    <comment ref="BF1486" authorId="0" shapeId="0" xr:uid="{ECB9FD19-C9B1-1D4D-B0E5-816B569F7ADD}">
      <text>
        <r>
          <rPr>
            <sz val="14"/>
            <color rgb="FF000000"/>
            <rFont val="Times New Roman"/>
            <family val="18"/>
          </rPr>
          <t xml:space="preserve">07/07/1815 </t>
        </r>
        <r>
          <rPr>
            <i/>
            <sz val="14"/>
            <color rgb="FF000000"/>
            <rFont val="Times New Roman"/>
            <family val="18"/>
          </rPr>
          <t>Von Aushilf Bezirk von IR 10 Reisky für IR 1 zu Tarnow gegen 3Fl Handgeld und 14 Jahriger Capitulation gestellt</t>
        </r>
        <r>
          <rPr>
            <sz val="14"/>
            <color rgb="FF000000"/>
            <rFont val="Times New Roman"/>
            <family val="18"/>
          </rPr>
          <t xml:space="preserve">; </t>
        </r>
        <r>
          <rPr>
            <i/>
            <sz val="14"/>
            <color rgb="FF000000"/>
            <rFont val="Times New Roman"/>
            <family val="18"/>
          </rPr>
          <t>Kleiner Statur, Brauner Haar, grauer Augen, Geste Nase, glatte Gesichts</t>
        </r>
        <r>
          <rPr>
            <sz val="14"/>
            <color rgb="FF000000"/>
            <rFont val="Times New Roman"/>
            <family val="18"/>
          </rPr>
          <t xml:space="preserve"> [AL July 1815 &amp; ML 1817]</t>
        </r>
        <r>
          <rPr>
            <sz val="14"/>
            <color rgb="FF000000"/>
            <rFont val="Calibri"/>
            <family val="34"/>
          </rPr>
          <t xml:space="preserve">
</t>
        </r>
        <r>
          <rPr>
            <sz val="14"/>
            <color rgb="FF000000"/>
            <rFont val="Times New Roman"/>
            <family val="18"/>
          </rPr>
          <t>23/09/1817 Muster: IR 1 16. Fus. Komp. Nr. 171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31/10/1817 </t>
        </r>
        <r>
          <rPr>
            <i/>
            <sz val="14"/>
            <color rgb="FF000000"/>
            <rFont val="Times New Roman"/>
            <family val="18"/>
          </rPr>
          <t>Vermog Verordnung als in Tarnower und Jaslauer Kreis gebürtige unbestimmt beurlaubte Soldaten von IR 1 2. Fus. Komp zum IR 40 transferiert</t>
        </r>
        <r>
          <rPr>
            <sz val="14"/>
            <color rgb="FF000000"/>
            <rFont val="Times New Roman"/>
            <family val="18"/>
          </rPr>
          <t xml:space="preserve"> [TL March 1818]</t>
        </r>
        <r>
          <rPr>
            <sz val="14"/>
            <color rgb="FF000000"/>
            <rFont val="Calibri"/>
            <family val="34"/>
          </rPr>
          <t xml:space="preserve">
</t>
        </r>
      </text>
    </comment>
    <comment ref="BG1486" authorId="0" shapeId="0" xr:uid="{64673ECF-C674-B14E-9B58-1B91BD04A980}">
      <text>
        <r>
          <rPr>
            <sz val="14"/>
            <color rgb="FF000000"/>
            <rFont val="Times New Roman"/>
            <family val="18"/>
          </rPr>
          <t>ML 34/5 IR 1 (1817) – IR 1 16. Fus. Komp. Nr. 171 (Wischau 23/09/1817)</t>
        </r>
        <r>
          <rPr>
            <sz val="14"/>
            <color rgb="FF000000"/>
            <rFont val="Calibri"/>
            <family val="34"/>
          </rPr>
          <t xml:space="preserve">
</t>
        </r>
        <r>
          <rPr>
            <sz val="14"/>
            <color rgb="FF000000"/>
            <rFont val="Times New Roman"/>
            <family val="18"/>
          </rPr>
          <t>ML 36/7 IR 1 (1818) – IR 1 16. Fus. Komp. Abgang (Proßnitz 21/09/1818)</t>
        </r>
        <r>
          <rPr>
            <sz val="14"/>
            <color rgb="FF000000"/>
            <rFont val="Calibri"/>
            <family val="34"/>
          </rPr>
          <t xml:space="preserve">
</t>
        </r>
        <r>
          <rPr>
            <sz val="14"/>
            <color rgb="FF000000"/>
            <rFont val="Times New Roman"/>
            <family val="18"/>
          </rPr>
          <t>IR 106 IR 1 (1815) AL/TL – AL Nr. 3 (Tarnow 09/07/1815)</t>
        </r>
        <r>
          <rPr>
            <sz val="14"/>
            <color rgb="FF000000"/>
            <rFont val="Calibri"/>
            <family val="34"/>
          </rPr>
          <t xml:space="preserve">
</t>
        </r>
        <r>
          <rPr>
            <sz val="14"/>
            <color rgb="FF000000"/>
            <rFont val="Times New Roman"/>
            <family val="18"/>
          </rPr>
          <t>ML 110 IR 1 (1817) AL/TL – TL IR 1-&gt;IR 40 Nr. 130 (Brünn 28/03/1818)</t>
        </r>
        <r>
          <rPr>
            <sz val="14"/>
            <color rgb="FF000000"/>
            <rFont val="Calibri"/>
            <family val="34"/>
          </rPr>
          <t xml:space="preserve">
</t>
        </r>
      </text>
    </comment>
    <comment ref="BH1486" authorId="0" shapeId="0" xr:uid="{D1070158-BBD1-8F42-8581-4E4864784DCF}">
      <text>
        <r>
          <rPr>
            <sz val="14"/>
            <color rgb="FF000000"/>
            <rFont val="Calibri"/>
            <family val="34"/>
          </rPr>
          <t xml:space="preserve">IR 1 (1813-1817)
</t>
        </r>
        <r>
          <rPr>
            <sz val="14"/>
            <color rgb="FF000000"/>
            <rFont val="Calibri"/>
            <family val="34"/>
          </rPr>
          <t>IR 40 (1817)</t>
        </r>
      </text>
    </comment>
    <comment ref="BI1486" authorId="0" shapeId="0" xr:uid="{1A329084-EACD-834D-BE74-92CC8EE72046}">
      <text>
        <r>
          <rPr>
            <i/>
            <sz val="14"/>
            <color rgb="FF000000"/>
            <rFont val="Times New Roman"/>
            <family val="18"/>
          </rPr>
          <t>Gute</t>
        </r>
        <r>
          <rPr>
            <sz val="14"/>
            <color rgb="FF000000"/>
            <rFont val="Times New Roman"/>
            <family val="18"/>
          </rPr>
          <t xml:space="preserve"> [TL March 1818]</t>
        </r>
        <r>
          <rPr>
            <sz val="14"/>
            <color rgb="FF000000"/>
            <rFont val="Calibri"/>
            <family val="2"/>
          </rPr>
          <t xml:space="preserve"> </t>
        </r>
      </text>
    </comment>
    <comment ref="I1487" authorId="0" shapeId="0" xr:uid="{1B5EEE96-4FE1-3747-B816-3A5EF3CD447A}">
      <text>
        <r>
          <rPr>
            <b/>
            <sz val="14"/>
            <color rgb="FF000000"/>
            <rFont val="Calibri"/>
            <family val="34"/>
          </rPr>
          <t xml:space="preserve">1792 [23 (AL 1815)]
</t>
        </r>
        <r>
          <rPr>
            <b/>
            <sz val="14"/>
            <color rgb="FF000000"/>
            <rFont val="Calibri"/>
            <family val="34"/>
          </rPr>
          <t xml:space="preserve">OR
</t>
        </r>
        <r>
          <rPr>
            <sz val="14"/>
            <color rgb="FF000000"/>
            <rFont val="Calibri"/>
            <family val="34"/>
          </rPr>
          <t xml:space="preserve">1797 [22 (ML 1819)]
</t>
        </r>
      </text>
    </comment>
    <comment ref="J1487" authorId="0" shapeId="0" xr:uid="{5CA3A0E7-1645-8243-BA28-2D2C9A513569}">
      <text>
        <r>
          <rPr>
            <i/>
            <sz val="14"/>
            <color rgb="FF000000"/>
            <rFont val="Calibri"/>
            <family val="34"/>
          </rPr>
          <t xml:space="preserve">Verheyratet </t>
        </r>
        <r>
          <rPr>
            <sz val="14"/>
            <color rgb="FF000000"/>
            <rFont val="Calibri"/>
            <family val="34"/>
          </rPr>
          <t xml:space="preserve">(AL 1815 &amp; ML 1817)
</t>
        </r>
        <r>
          <rPr>
            <sz val="14"/>
            <color rgb="FF000000"/>
            <rFont val="Calibri"/>
            <family val="34"/>
          </rPr>
          <t>Ledig (ML 1818 ff.) [Nach Taufe]</t>
        </r>
      </text>
    </comment>
    <comment ref="K1487" authorId="0" shapeId="0" xr:uid="{6133C83B-F98A-554C-A3DB-A087CF9863E3}">
      <text>
        <r>
          <rPr>
            <sz val="14"/>
            <color rgb="FF000000"/>
            <rFont val="Calibri"/>
            <family val="34"/>
          </rPr>
          <t xml:space="preserve">Schneider  (1817)
</t>
        </r>
        <r>
          <rPr>
            <sz val="14"/>
            <color rgb="FF000000"/>
            <rFont val="Calibri"/>
            <family val="34"/>
          </rPr>
          <t>Ohne (1818-1819)</t>
        </r>
      </text>
    </comment>
    <comment ref="T1487" authorId="0" shapeId="0" xr:uid="{04FA3656-F869-F64A-B1A5-81ADB16E0362}">
      <text>
        <r>
          <rPr>
            <b/>
            <sz val="14"/>
            <color rgb="FF000000"/>
            <rFont val="Calibri"/>
            <family val="34"/>
          </rPr>
          <t xml:space="preserve">5.4.1 [168.74 cm] (AL 1815)]
</t>
        </r>
        <r>
          <rPr>
            <sz val="14"/>
            <color rgb="FF000000"/>
            <rFont val="Calibri"/>
            <family val="34"/>
          </rPr>
          <t>5.4.2 [168.96 cm (ML 1817)]</t>
        </r>
      </text>
    </comment>
    <comment ref="BF1487" authorId="0" shapeId="0" xr:uid="{B1EA3366-8A6A-DD4A-A3EC-2B627CB548AE}">
      <text>
        <r>
          <rPr>
            <sz val="14"/>
            <color rgb="FF000000"/>
            <rFont val="Times New Roman"/>
            <family val="18"/>
          </rPr>
          <t xml:space="preserve">08/07/1815 </t>
        </r>
        <r>
          <rPr>
            <i/>
            <sz val="14"/>
            <color rgb="FF000000"/>
            <rFont val="Times New Roman"/>
            <family val="18"/>
          </rPr>
          <t xml:space="preserve">In IR 1 Regiments Aushilf Bezirk Gegen 3Fl Handgeld und 14 Jähriger Capitulation gestellt </t>
        </r>
        <r>
          <rPr>
            <sz val="14"/>
            <color rgb="FF000000"/>
            <rFont val="Times New Roman"/>
            <family val="18"/>
          </rPr>
          <t>[AL Aug 1815]</t>
        </r>
        <r>
          <rPr>
            <sz val="14"/>
            <color rgb="FF000000"/>
            <rFont val="Calibri"/>
            <family val="34"/>
          </rPr>
          <t xml:space="preserve">
</t>
        </r>
        <r>
          <rPr>
            <sz val="14"/>
            <color rgb="FF000000"/>
            <rFont val="Times New Roman"/>
            <family val="18"/>
          </rPr>
          <t xml:space="preserve">03/07/1817 </t>
        </r>
        <r>
          <rPr>
            <i/>
            <sz val="14"/>
            <color rgb="FF000000"/>
            <rFont val="Times New Roman"/>
            <family val="18"/>
          </rPr>
          <t>Von unbestimmte Urlaub zurück und zum galizischen Webbezirk zugeteilt</t>
        </r>
        <r>
          <rPr>
            <sz val="14"/>
            <color rgb="FF000000"/>
            <rFont val="Times New Roman"/>
            <family val="18"/>
          </rPr>
          <t xml:space="preserve"> [ST July 1817]</t>
        </r>
        <r>
          <rPr>
            <sz val="14"/>
            <color rgb="FF000000"/>
            <rFont val="Calibri"/>
            <family val="34"/>
          </rPr>
          <t xml:space="preserve">
</t>
        </r>
        <r>
          <rPr>
            <sz val="14"/>
            <color rgb="FF000000"/>
            <rFont val="Times New Roman"/>
            <family val="18"/>
          </rPr>
          <t xml:space="preserve">14/07/1817 </t>
        </r>
        <r>
          <rPr>
            <i/>
            <sz val="14"/>
            <color rgb="FF000000"/>
            <rFont val="Times New Roman"/>
            <family val="18"/>
          </rPr>
          <t>In Kompanie eingerückt</t>
        </r>
        <r>
          <rPr>
            <sz val="14"/>
            <color rgb="FF000000"/>
            <rFont val="Times New Roman"/>
            <family val="18"/>
          </rPr>
          <t xml:space="preserve"> [ST July 1817]</t>
        </r>
        <r>
          <rPr>
            <sz val="14"/>
            <color rgb="FF000000"/>
            <rFont val="Calibri"/>
            <family val="34"/>
          </rPr>
          <t xml:space="preserve">
</t>
        </r>
        <r>
          <rPr>
            <sz val="14"/>
            <color rgb="FF000000"/>
            <rFont val="Times New Roman"/>
            <family val="18"/>
          </rPr>
          <t>24/09/1817 Muster: IR 1 9. Fus. Komp. Nr. 181 [</t>
        </r>
        <r>
          <rPr>
            <i/>
            <sz val="14"/>
            <color rgb="FF000000"/>
            <rFont val="Times New Roman"/>
            <family val="18"/>
          </rPr>
          <t>Krank in Spital zu Proßnitz</t>
        </r>
        <r>
          <rPr>
            <sz val="14"/>
            <color rgb="FF000000"/>
            <rFont val="Times New Roman"/>
            <family val="18"/>
          </rPr>
          <t>]</t>
        </r>
        <r>
          <rPr>
            <sz val="14"/>
            <color rgb="FF000000"/>
            <rFont val="Calibri"/>
            <family val="34"/>
          </rPr>
          <t xml:space="preserve">
</t>
        </r>
        <r>
          <rPr>
            <sz val="14"/>
            <color rgb="FF000000"/>
            <rFont val="Times New Roman"/>
            <family val="18"/>
          </rPr>
          <t xml:space="preserve">25/01/1818 </t>
        </r>
        <r>
          <rPr>
            <i/>
            <sz val="14"/>
            <color rgb="FF000000"/>
            <rFont val="Times New Roman"/>
            <family val="18"/>
          </rPr>
          <t>Von der jüdischen zur Christkatholischen Religion übertreten und erhielt bei der Taufe den Namen Joseph Kaiser</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01/05/1818 </t>
        </r>
        <r>
          <rPr>
            <i/>
            <sz val="14"/>
            <color rgb="FF000000"/>
            <rFont val="Times New Roman"/>
            <family val="18"/>
          </rPr>
          <t>Von 9. zum 3. Fus. Komp. transferiert</t>
        </r>
        <r>
          <rPr>
            <sz val="14"/>
            <color rgb="FF000000"/>
            <rFont val="Times New Roman"/>
            <family val="18"/>
          </rPr>
          <t xml:space="preserve"> [ML 1818 &amp; ST May 1818]</t>
        </r>
        <r>
          <rPr>
            <sz val="14"/>
            <color rgb="FF000000"/>
            <rFont val="Calibri"/>
            <family val="34"/>
          </rPr>
          <t xml:space="preserve">
</t>
        </r>
        <r>
          <rPr>
            <sz val="14"/>
            <color rgb="FF000000"/>
            <rFont val="Times New Roman"/>
            <family val="18"/>
          </rPr>
          <t xml:space="preserve">24/05/1818 </t>
        </r>
        <r>
          <rPr>
            <i/>
            <sz val="14"/>
            <color rgb="FF000000"/>
            <rFont val="Times New Roman"/>
            <family val="18"/>
          </rPr>
          <t>Krank zu Regiment Spital zu Obrowitz</t>
        </r>
        <r>
          <rPr>
            <sz val="14"/>
            <color rgb="FF000000"/>
            <rFont val="Times New Roman"/>
            <family val="18"/>
          </rPr>
          <t xml:space="preserve"> [ST May 1818]</t>
        </r>
        <r>
          <rPr>
            <sz val="14"/>
            <color rgb="FF000000"/>
            <rFont val="Calibri"/>
            <family val="34"/>
          </rPr>
          <t xml:space="preserve">
</t>
        </r>
        <r>
          <rPr>
            <sz val="14"/>
            <color rgb="FF000000"/>
            <rFont val="Times New Roman"/>
            <family val="18"/>
          </rPr>
          <t>19/09/1818 Muster: IR 1 3. Fus. Komp. Nr. 72 [</t>
        </r>
        <r>
          <rPr>
            <i/>
            <sz val="14"/>
            <color rgb="FF000000"/>
            <rFont val="Times New Roman"/>
            <family val="18"/>
          </rPr>
          <t>Krank zu Obrowitz</t>
        </r>
        <r>
          <rPr>
            <sz val="14"/>
            <color rgb="FF000000"/>
            <rFont val="Times New Roman"/>
            <family val="18"/>
          </rPr>
          <t>]</t>
        </r>
        <r>
          <rPr>
            <sz val="14"/>
            <color rgb="FF000000"/>
            <rFont val="Calibri"/>
            <family val="34"/>
          </rPr>
          <t xml:space="preserve">
</t>
        </r>
        <r>
          <rPr>
            <sz val="14"/>
            <color rgb="FF000000"/>
            <rFont val="Times New Roman"/>
            <family val="18"/>
          </rPr>
          <t xml:space="preserve">01/03/1819 </t>
        </r>
        <r>
          <rPr>
            <i/>
            <sz val="14"/>
            <color rgb="FF000000"/>
            <rFont val="Times New Roman"/>
            <family val="18"/>
          </rPr>
          <t>Von 3. zum 2. Fus Komp. transferiert</t>
        </r>
        <r>
          <rPr>
            <sz val="14"/>
            <color rgb="FF000000"/>
            <rFont val="Times New Roman"/>
            <family val="18"/>
          </rPr>
          <t xml:space="preserve"> [ML 1819 &amp; ST March 1819]</t>
        </r>
        <r>
          <rPr>
            <sz val="14"/>
            <color rgb="FF000000"/>
            <rFont val="Calibri"/>
            <family val="34"/>
          </rPr>
          <t xml:space="preserve">
</t>
        </r>
        <r>
          <rPr>
            <sz val="14"/>
            <color rgb="FF000000"/>
            <rFont val="Times New Roman"/>
            <family val="18"/>
          </rPr>
          <t>14/09/1819 Muster: IR 1 2. Fus. Komp. Nr. 143 [</t>
        </r>
        <r>
          <rPr>
            <i/>
            <sz val="14"/>
            <color rgb="FF000000"/>
            <rFont val="Times New Roman"/>
            <family val="18"/>
          </rPr>
          <t>Beurlaubt bis zur Einberufung in Proßnitz</t>
        </r>
        <r>
          <rPr>
            <sz val="14"/>
            <color rgb="FF000000"/>
            <rFont val="Times New Roman"/>
            <family val="18"/>
          </rPr>
          <t>]</t>
        </r>
        <r>
          <rPr>
            <sz val="14"/>
            <color rgb="FF000000"/>
            <rFont val="Calibri"/>
            <family val="34"/>
          </rPr>
          <t xml:space="preserve">
</t>
        </r>
        <r>
          <rPr>
            <sz val="14"/>
            <color rgb="FF000000"/>
            <rFont val="Times New Roman"/>
            <family val="18"/>
          </rPr>
          <t xml:space="preserve">28/09/1819 </t>
        </r>
        <r>
          <rPr>
            <i/>
            <sz val="14"/>
            <color rgb="FF000000"/>
            <rFont val="Times New Roman"/>
            <family val="18"/>
          </rPr>
          <t>Von unbestimmte Urlaub eingerückt und kommandiert beim Ollmutzer Haupt Transport Kommando</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06/10/1819 </t>
        </r>
        <r>
          <rPr>
            <i/>
            <sz val="14"/>
            <color rgb="FF000000"/>
            <rFont val="Times New Roman"/>
            <family val="18"/>
          </rPr>
          <t xml:space="preserve">In Arrest Wegen Diebstahl </t>
        </r>
        <r>
          <rPr>
            <sz val="14"/>
            <color rgb="FF000000"/>
            <rFont val="Times New Roman"/>
            <family val="18"/>
          </rPr>
          <t>[ST Oct 1819]</t>
        </r>
        <r>
          <rPr>
            <sz val="14"/>
            <color rgb="FF000000"/>
            <rFont val="Calibri"/>
            <family val="34"/>
          </rPr>
          <t xml:space="preserve">
</t>
        </r>
        <r>
          <rPr>
            <sz val="14"/>
            <color rgb="FF000000"/>
            <rFont val="Times New Roman"/>
            <family val="18"/>
          </rPr>
          <t xml:space="preserve">16/10/1819 </t>
        </r>
        <r>
          <rPr>
            <i/>
            <sz val="14"/>
            <color rgb="FF000000"/>
            <rFont val="Times New Roman"/>
            <family val="18"/>
          </rPr>
          <t>Von Arrest Befreit</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22/03/1820 </t>
        </r>
        <r>
          <rPr>
            <i/>
            <sz val="14"/>
            <color rgb="FF000000"/>
            <rFont val="Times New Roman"/>
            <family val="18"/>
          </rPr>
          <t>Beurlaubt bis zur einberufunh</t>
        </r>
        <r>
          <rPr>
            <sz val="14"/>
            <color rgb="FF000000"/>
            <rFont val="Times New Roman"/>
            <family val="18"/>
          </rPr>
          <t xml:space="preserve"> [ST March 1820]</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2. zum 13.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13. Fus Komp</t>
        </r>
        <r>
          <rPr>
            <sz val="14"/>
            <color rgb="FF000000"/>
            <rFont val="Times New Roman"/>
            <family val="18"/>
          </rPr>
          <t xml:space="preserve"> [ST Oct 1820]</t>
        </r>
        <r>
          <rPr>
            <sz val="14"/>
            <color rgb="FF000000"/>
            <rFont val="Calibri"/>
            <family val="34"/>
          </rPr>
          <t xml:space="preserve">
</t>
        </r>
      </text>
    </comment>
    <comment ref="BG1487" authorId="0" shapeId="0" xr:uid="{40CF4137-3886-1141-935C-540927E00B80}">
      <text>
        <r>
          <rPr>
            <sz val="14"/>
            <color rgb="FF000000"/>
            <rFont val="Times New Roman"/>
            <family val="18"/>
          </rPr>
          <t>ML 34/5 IR 1 (1817) – IR 1 9. Fus. Komp. 181 (Proßnitz 24/09/1817)</t>
        </r>
        <r>
          <rPr>
            <sz val="14"/>
            <color rgb="FF000000"/>
            <rFont val="Calibri"/>
            <family val="34"/>
          </rPr>
          <t xml:space="preserve">
</t>
        </r>
        <r>
          <rPr>
            <sz val="14"/>
            <color rgb="FF000000"/>
            <rFont val="Times New Roman"/>
            <family val="18"/>
          </rPr>
          <t>ML 36/7 IR 1 (1818) – IR 1 3. Fus. Komp. 72 (Brünn 19/09/1818)</t>
        </r>
        <r>
          <rPr>
            <sz val="14"/>
            <color rgb="FF000000"/>
            <rFont val="Calibri"/>
            <family val="34"/>
          </rPr>
          <t xml:space="preserve">
</t>
        </r>
        <r>
          <rPr>
            <sz val="14"/>
            <color rgb="FF000000"/>
            <rFont val="Times New Roman"/>
            <family val="18"/>
          </rPr>
          <t>ML 38/9 IR 1 (1819) – IR 1 3. Fus. Komp. 143 (Olmütz 14/09/1819)</t>
        </r>
        <r>
          <rPr>
            <sz val="14"/>
            <color rgb="FF000000"/>
            <rFont val="Calibri"/>
            <family val="34"/>
          </rPr>
          <t xml:space="preserve">
</t>
        </r>
        <r>
          <rPr>
            <sz val="14"/>
            <color rgb="FF000000"/>
            <rFont val="Times New Roman"/>
            <family val="18"/>
          </rPr>
          <t>ML 106 IR 1 (1815) AL/TL – AL Nr. 41 (Neu Sandez 13/08/1815)</t>
        </r>
        <r>
          <rPr>
            <sz val="14"/>
            <color rgb="FF000000"/>
            <rFont val="Calibri"/>
            <family val="34"/>
          </rPr>
          <t xml:space="preserve">
</t>
        </r>
        <r>
          <rPr>
            <sz val="14"/>
            <color rgb="FF000000"/>
            <rFont val="Times New Roman"/>
            <family val="18"/>
          </rPr>
          <t>ML 109 IR 1 (1817) – ST July (Brünn 20/08/1817)</t>
        </r>
        <r>
          <rPr>
            <sz val="14"/>
            <color rgb="FF000000"/>
            <rFont val="Calibri"/>
            <family val="34"/>
          </rPr>
          <t xml:space="preserve">
</t>
        </r>
        <r>
          <rPr>
            <sz val="14"/>
            <color rgb="FF000000"/>
            <rFont val="Times New Roman"/>
            <family val="18"/>
          </rPr>
          <t>ML 111 IR 1 (1818) – ST May (Brünn 20/06/1818), Oct (30/12/1819)</t>
        </r>
        <r>
          <rPr>
            <sz val="14"/>
            <color rgb="FF000000"/>
            <rFont val="Calibri"/>
            <family val="34"/>
          </rPr>
          <t xml:space="preserve">
</t>
        </r>
        <r>
          <rPr>
            <sz val="14"/>
            <color rgb="FF000000"/>
            <rFont val="Times New Roman"/>
            <family val="18"/>
          </rPr>
          <t>ML 113 IR 1 (1819) – ST Oct (30/12/1819)</t>
        </r>
        <r>
          <rPr>
            <sz val="14"/>
            <color rgb="FF000000"/>
            <rFont val="Calibri"/>
            <family val="34"/>
          </rPr>
          <t xml:space="preserve">
</t>
        </r>
        <r>
          <rPr>
            <sz val="14"/>
            <color rgb="FF000000"/>
            <rFont val="Times New Roman"/>
            <family val="18"/>
          </rPr>
          <t>ML 115 IR 1 (1820) – ST March (Cremsier 20/04/1820), Aug (Cremsier 15/11/1820), Oct (15/01/1820)</t>
        </r>
        <r>
          <rPr>
            <sz val="14"/>
            <color rgb="FF000000"/>
            <rFont val="Calibri"/>
            <family val="34"/>
          </rPr>
          <t xml:space="preserve">
</t>
        </r>
      </text>
    </comment>
    <comment ref="BH1487" authorId="0" shapeId="0" xr:uid="{56C207F4-5B53-5D45-90DF-9FF1AAEE1088}">
      <text>
        <r>
          <rPr>
            <sz val="14"/>
            <color rgb="FF000000"/>
            <rFont val="Calibri"/>
            <family val="34"/>
          </rPr>
          <t>IR 1 (1815-1820)</t>
        </r>
      </text>
    </comment>
    <comment ref="CR1487" authorId="0" shapeId="0" xr:uid="{87122B3A-68CA-AA47-8AB1-5481D0381F57}">
      <text>
        <r>
          <rPr>
            <sz val="14"/>
            <color rgb="FF000000"/>
            <rFont val="Calibri"/>
            <family val="34"/>
          </rPr>
          <t>1815-1817: Jüdisch</t>
        </r>
        <r>
          <rPr>
            <sz val="14"/>
            <color rgb="FF000000"/>
            <rFont val="Calibri"/>
            <family val="2"/>
          </rPr>
          <t xml:space="preserve"> </t>
        </r>
        <r>
          <rPr>
            <sz val="14"/>
            <color rgb="FF000000"/>
            <rFont val="Calibri"/>
            <family val="34"/>
          </rPr>
          <t xml:space="preserve">
</t>
        </r>
        <r>
          <rPr>
            <sz val="14"/>
            <color rgb="FF000000"/>
            <rFont val="Calibri"/>
            <family val="34"/>
          </rPr>
          <t xml:space="preserve">25/01/1818 : Getauft mit dem Namen Joseph KAISER  </t>
        </r>
      </text>
    </comment>
    <comment ref="T1488" authorId="0" shapeId="0" xr:uid="{334FE9B7-E881-6340-81FF-A9E464A0557D}">
      <text>
        <r>
          <rPr>
            <b/>
            <sz val="14"/>
            <color rgb="FF000000"/>
            <rFont val="Calibri"/>
            <family val="34"/>
          </rPr>
          <t xml:space="preserve">5.2.1 [163.48 cm] (ML 1817)]
</t>
        </r>
        <r>
          <rPr>
            <sz val="14"/>
            <color rgb="FF000000"/>
            <rFont val="Calibri"/>
            <family val="34"/>
          </rPr>
          <t>5.3.1 [166.11 cm (AL 1815)]</t>
        </r>
      </text>
    </comment>
    <comment ref="BF1488" authorId="0" shapeId="0" xr:uid="{4D56CC16-890E-CC42-9241-F29BAD1C4346}">
      <text>
        <r>
          <rPr>
            <sz val="14"/>
            <color rgb="FF000000"/>
            <rFont val="Times New Roman"/>
            <family val="18"/>
          </rPr>
          <t xml:space="preserve">08/07/1815 </t>
        </r>
        <r>
          <rPr>
            <i/>
            <sz val="14"/>
            <color rgb="FF000000"/>
            <rFont val="Times New Roman"/>
            <family val="18"/>
          </rPr>
          <t>Von Aushilf Bezirk von IR 10 Reisky für IR 1 zu Tarnow gegen 3Fl Handgeld und 14 Jahriger Capitulation gestellt</t>
        </r>
        <r>
          <rPr>
            <sz val="14"/>
            <color rgb="FF000000"/>
            <rFont val="Times New Roman"/>
            <family val="18"/>
          </rPr>
          <t xml:space="preserve"> [AL July 1813 &amp; ML 1817]</t>
        </r>
        <r>
          <rPr>
            <sz val="14"/>
            <color rgb="FF000000"/>
            <rFont val="Calibri"/>
            <family val="34"/>
          </rPr>
          <t xml:space="preserve">
</t>
        </r>
        <r>
          <rPr>
            <sz val="14"/>
            <color rgb="FF000000"/>
            <rFont val="Times New Roman"/>
            <family val="18"/>
          </rPr>
          <t>23/09/1817 Muster: IR 1 14. Fus. Komp. Nr. 130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31/10/1817 </t>
        </r>
        <r>
          <rPr>
            <i/>
            <sz val="14"/>
            <color rgb="FF000000"/>
            <rFont val="Times New Roman"/>
            <family val="18"/>
          </rPr>
          <t>Vermog Verordnung als in Tarnower und Jaslauer Kreis gebürtige unbestimmt beurlaubte Soldaten von IR 1 2. Fus. Komp zum IR 40 transferiert</t>
        </r>
        <r>
          <rPr>
            <sz val="14"/>
            <color rgb="FF000000"/>
            <rFont val="Times New Roman"/>
            <family val="18"/>
          </rPr>
          <t xml:space="preserve"> [TL March 1818]</t>
        </r>
        <r>
          <rPr>
            <sz val="14"/>
            <color rgb="FF000000"/>
            <rFont val="Calibri"/>
            <family val="34"/>
          </rPr>
          <t xml:space="preserve">
</t>
        </r>
      </text>
    </comment>
    <comment ref="BG1488" authorId="0" shapeId="0" xr:uid="{2E349D50-EAD7-0844-A465-4EAD19981651}">
      <text>
        <r>
          <rPr>
            <sz val="14"/>
            <color rgb="FF000000"/>
            <rFont val="Times New Roman"/>
            <family val="18"/>
          </rPr>
          <t>ML 34/5 IR 1 (1817) – IR 1 14. Fus. Komp. Nr. 130 (Proßnitz 24/09/1817)</t>
        </r>
        <r>
          <rPr>
            <sz val="14"/>
            <color rgb="FF000000"/>
            <rFont val="Calibri"/>
            <family val="34"/>
          </rPr>
          <t xml:space="preserve">
</t>
        </r>
        <r>
          <rPr>
            <sz val="14"/>
            <color rgb="FF000000"/>
            <rFont val="Times New Roman"/>
            <family val="18"/>
          </rPr>
          <t>ML 36/7 IR 1 (1818) – IR 1 14. Fus. Komp. Abgang (Proßnitz 21/09/1818)</t>
        </r>
        <r>
          <rPr>
            <sz val="14"/>
            <color rgb="FF000000"/>
            <rFont val="Calibri"/>
            <family val="34"/>
          </rPr>
          <t xml:space="preserve">
</t>
        </r>
        <r>
          <rPr>
            <sz val="14"/>
            <color rgb="FF000000"/>
            <rFont val="Times New Roman"/>
            <family val="18"/>
          </rPr>
          <t>ML 110 IR 1 (1817) AL/TL – TL IR 1-&gt;IR 40 Nr. 119 (Brünn 28/03/1818)</t>
        </r>
        <r>
          <rPr>
            <sz val="14"/>
            <color rgb="FF000000"/>
            <rFont val="Calibri"/>
            <family val="34"/>
          </rPr>
          <t xml:space="preserve">
</t>
        </r>
      </text>
    </comment>
    <comment ref="BH1488" authorId="0" shapeId="0" xr:uid="{DFF9CEEB-B2D4-F249-B6BA-4EFC90E026AE}">
      <text>
        <r>
          <rPr>
            <sz val="14"/>
            <color rgb="FF000000"/>
            <rFont val="Calibri"/>
            <family val="34"/>
          </rPr>
          <t xml:space="preserve">IR 1 (1813-1817)
</t>
        </r>
        <r>
          <rPr>
            <sz val="14"/>
            <color rgb="FF000000"/>
            <rFont val="Calibri"/>
            <family val="34"/>
          </rPr>
          <t>IR 40 (1817)</t>
        </r>
      </text>
    </comment>
    <comment ref="BI1488" authorId="0" shapeId="0" xr:uid="{69A0BC71-67B5-5749-8F75-E37BEBA2EA7F}">
      <text>
        <r>
          <rPr>
            <i/>
            <sz val="14"/>
            <color rgb="FF000000"/>
            <rFont val="Times New Roman"/>
            <family val="18"/>
          </rPr>
          <t>Gute</t>
        </r>
        <r>
          <rPr>
            <sz val="14"/>
            <color rgb="FF000000"/>
            <rFont val="Times New Roman"/>
            <family val="18"/>
          </rPr>
          <t xml:space="preserve"> [TL March 1818]</t>
        </r>
        <r>
          <rPr>
            <sz val="14"/>
            <color rgb="FF000000"/>
            <rFont val="Calibri"/>
            <family val="2"/>
          </rPr>
          <t xml:space="preserve"> </t>
        </r>
      </text>
    </comment>
    <comment ref="BF1489" authorId="0" shapeId="0" xr:uid="{841B1F30-C8F5-804E-9F16-91C1873F0E2B}">
      <text>
        <r>
          <rPr>
            <sz val="14"/>
            <color rgb="FF000000"/>
            <rFont val="Times New Roman"/>
            <family val="18"/>
          </rPr>
          <t xml:space="preserve">12/07/1815 </t>
        </r>
        <r>
          <rPr>
            <i/>
            <sz val="14"/>
            <color rgb="FF000000"/>
            <rFont val="Times New Roman"/>
            <family val="18"/>
          </rPr>
          <t>A 3Fl Handgeld assentiert</t>
        </r>
        <r>
          <rPr>
            <sz val="14"/>
            <color rgb="FF000000"/>
            <rFont val="Times New Roman"/>
            <family val="18"/>
          </rPr>
          <t xml:space="preserve"> [TL Oct 1817]</t>
        </r>
        <r>
          <rPr>
            <sz val="14"/>
            <color rgb="FF000000"/>
            <rFont val="Calibri"/>
            <family val="34"/>
          </rPr>
          <t xml:space="preserve">
</t>
        </r>
        <r>
          <rPr>
            <sz val="14"/>
            <color rgb="FF000000"/>
            <rFont val="Times New Roman"/>
            <family val="18"/>
          </rPr>
          <t xml:space="preserve">01/10/1817 </t>
        </r>
        <r>
          <rPr>
            <i/>
            <sz val="14"/>
            <color rgb="FF000000"/>
            <rFont val="Times New Roman"/>
            <family val="18"/>
          </rPr>
          <t>Von IR 7 3. Fus Komp. als in Hradischer und Prerauer gebürtige unbestimmt Urlauber zum IR 1 transferiert und zum 17. Fus. Komp. eingeteilt</t>
        </r>
        <r>
          <rPr>
            <sz val="14"/>
            <color rgb="FF000000"/>
            <rFont val="Times New Roman"/>
            <family val="18"/>
          </rPr>
          <t xml:space="preserve"> [TL Oct 1817]</t>
        </r>
        <r>
          <rPr>
            <sz val="14"/>
            <color rgb="FF000000"/>
            <rFont val="Calibri"/>
            <family val="34"/>
          </rPr>
          <t xml:space="preserve">
</t>
        </r>
        <r>
          <rPr>
            <sz val="14"/>
            <color rgb="FF000000"/>
            <rFont val="Times New Roman"/>
            <family val="18"/>
          </rPr>
          <t>21/09/1818 Muster: IR 1 17. Fus. Komp. Nr. 26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14/09/1819 Muster: IR 1 17. Fus. Komp. Nr. 165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17. Fus Komp</t>
        </r>
        <r>
          <rPr>
            <sz val="14"/>
            <color rgb="FF000000"/>
            <rFont val="Times New Roman"/>
            <family val="18"/>
          </rPr>
          <t xml:space="preserve"> [ST Oct 1820]</t>
        </r>
        <r>
          <rPr>
            <sz val="14"/>
            <color rgb="FF000000"/>
            <rFont val="Calibri"/>
            <family val="34"/>
          </rPr>
          <t xml:space="preserve">
</t>
        </r>
      </text>
    </comment>
    <comment ref="BG1489" authorId="0" shapeId="0" xr:uid="{EE6BFC24-49B8-6542-AA2B-D58508E8F2B1}">
      <text>
        <r>
          <rPr>
            <sz val="14"/>
            <color rgb="FF000000"/>
            <rFont val="Times New Roman"/>
            <family val="18"/>
          </rPr>
          <t>ML 36/7 IR 1 (1818) – IR 1 17. Fus. Komp. Nr. 163 (Proßnitz 21/09/1818)</t>
        </r>
        <r>
          <rPr>
            <sz val="14"/>
            <color rgb="FF000000"/>
            <rFont val="Calibri"/>
            <family val="34"/>
          </rPr>
          <t xml:space="preserve">
</t>
        </r>
        <r>
          <rPr>
            <sz val="14"/>
            <color rgb="FF000000"/>
            <rFont val="Times New Roman"/>
            <family val="18"/>
          </rPr>
          <t>ML 38/9 IR 1 (1819) – IR 1 12. Fus. Komp. Nr. 165 (Olmütz 14/09/1819)</t>
        </r>
        <r>
          <rPr>
            <sz val="14"/>
            <color rgb="FF000000"/>
            <rFont val="Calibri"/>
            <family val="34"/>
          </rPr>
          <t xml:space="preserve">
</t>
        </r>
        <r>
          <rPr>
            <sz val="14"/>
            <color rgb="FF000000"/>
            <rFont val="Times New Roman"/>
            <family val="18"/>
          </rPr>
          <t>ML 110 IR 1 (1817) AL/TL – TL IR 7-&gt;IR 1 Nr. 1209 (Neutischein 15/10/1817)</t>
        </r>
        <r>
          <rPr>
            <sz val="14"/>
            <color rgb="FF000000"/>
            <rFont val="Calibri"/>
            <family val="34"/>
          </rPr>
          <t xml:space="preserve">
</t>
        </r>
        <r>
          <rPr>
            <sz val="14"/>
            <color rgb="FF000000"/>
            <rFont val="Times New Roman"/>
            <family val="18"/>
          </rPr>
          <t>ML 115 IR 1 (1820) – ST Oct (15/01/1820)</t>
        </r>
        <r>
          <rPr>
            <sz val="14"/>
            <color rgb="FF000000"/>
            <rFont val="Calibri"/>
            <family val="34"/>
          </rPr>
          <t xml:space="preserve">
</t>
        </r>
      </text>
    </comment>
    <comment ref="BH1489" authorId="0" shapeId="0" xr:uid="{A1E83E52-E14F-FA45-B63D-2A789F9219AD}">
      <text>
        <r>
          <rPr>
            <sz val="14"/>
            <color rgb="FF000000"/>
            <rFont val="Calibri"/>
            <family val="34"/>
          </rPr>
          <t xml:space="preserve">IR 7 (1815-1817)
</t>
        </r>
        <r>
          <rPr>
            <sz val="14"/>
            <color rgb="FF000000"/>
            <rFont val="Calibri"/>
            <family val="34"/>
          </rPr>
          <t>IR 1 (1817-1820)</t>
        </r>
      </text>
    </comment>
    <comment ref="BF1490" authorId="0" shapeId="0" xr:uid="{36C8D42E-8593-4F43-AF61-A32BE07CB89F}">
      <text>
        <r>
          <rPr>
            <sz val="14"/>
            <color rgb="FF000000"/>
            <rFont val="Times New Roman"/>
            <family val="18"/>
          </rPr>
          <t>22/07/1815</t>
        </r>
        <r>
          <rPr>
            <i/>
            <sz val="14"/>
            <color rgb="FF000000"/>
            <rFont val="Times New Roman"/>
            <family val="18"/>
          </rPr>
          <t xml:space="preserve"> A 3Fl Handgeld zu EH Reiner Inf </t>
        </r>
        <r>
          <rPr>
            <b/>
            <sz val="14"/>
            <color rgb="FF000000"/>
            <rFont val="Times New Roman"/>
            <family val="18"/>
          </rPr>
          <t>[IR 11]</t>
        </r>
        <r>
          <rPr>
            <sz val="14"/>
            <color rgb="FF000000"/>
            <rFont val="Times New Roman"/>
            <family val="18"/>
          </rPr>
          <t xml:space="preserve"> </t>
        </r>
        <r>
          <rPr>
            <i/>
            <sz val="14"/>
            <color rgb="FF000000"/>
            <rFont val="Times New Roman"/>
            <family val="18"/>
          </rPr>
          <t xml:space="preserve">auf 14 Jahre assentiert </t>
        </r>
        <r>
          <rPr>
            <sz val="14"/>
            <color rgb="FF000000"/>
            <rFont val="Times New Roman"/>
            <family val="18"/>
          </rPr>
          <t>[ML 1817]</t>
        </r>
        <r>
          <rPr>
            <sz val="14"/>
            <color rgb="FF000000"/>
            <rFont val="Calibri"/>
            <family val="34"/>
          </rPr>
          <t xml:space="preserve">
</t>
        </r>
        <r>
          <rPr>
            <sz val="14"/>
            <color rgb="FF000000"/>
            <rFont val="Times New Roman"/>
            <family val="18"/>
          </rPr>
          <t xml:space="preserve">26/08/1815 </t>
        </r>
        <r>
          <rPr>
            <i/>
            <sz val="14"/>
            <color rgb="FF000000"/>
            <rFont val="Times New Roman"/>
            <family val="18"/>
          </rPr>
          <t>Von da</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IR 4 8. Fus. Komp. Nr. 147 [</t>
        </r>
        <r>
          <rPr>
            <i/>
            <sz val="14"/>
            <color rgb="FF000000"/>
            <rFont val="Times New Roman"/>
            <family val="18"/>
          </rPr>
          <t>Beurlaubt in Romowitz, Czaslauer Kries in Böhmen</t>
        </r>
        <r>
          <rPr>
            <sz val="14"/>
            <color rgb="FF000000"/>
            <rFont val="Times New Roman"/>
            <family val="18"/>
          </rPr>
          <t>]</t>
        </r>
        <r>
          <rPr>
            <sz val="14"/>
            <color rgb="FF000000"/>
            <rFont val="Calibri"/>
            <family val="34"/>
          </rPr>
          <t xml:space="preserve">
</t>
        </r>
        <r>
          <rPr>
            <sz val="14"/>
            <color rgb="FF000000"/>
            <rFont val="Times New Roman"/>
            <family val="18"/>
          </rPr>
          <t>28/09/1818 Muster: IR 4 8. Fus. Komp. Nr. 117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25/09/1819 Muster: IR 4 8. Fus. Komp. Nr. 102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22/11/1819 </t>
        </r>
        <r>
          <rPr>
            <i/>
            <sz val="14"/>
            <color rgb="FF000000"/>
            <rFont val="Times New Roman"/>
            <family val="18"/>
          </rPr>
          <t>Von unbestimmten Urlaub eingerückt</t>
        </r>
        <r>
          <rPr>
            <sz val="14"/>
            <color rgb="FF000000"/>
            <rFont val="Times New Roman"/>
            <family val="18"/>
          </rPr>
          <t xml:space="preserve"> [ST Nov 1819]</t>
        </r>
        <r>
          <rPr>
            <sz val="14"/>
            <color rgb="FF000000"/>
            <rFont val="Calibri"/>
            <family val="34"/>
          </rPr>
          <t xml:space="preserve">
</t>
        </r>
        <r>
          <rPr>
            <sz val="14"/>
            <color rgb="FF000000"/>
            <rFont val="Times New Roman"/>
            <family val="18"/>
          </rPr>
          <t xml:space="preserve">19/12/1819 </t>
        </r>
        <r>
          <rPr>
            <i/>
            <sz val="14"/>
            <color rgb="FF000000"/>
            <rFont val="Times New Roman"/>
            <family val="18"/>
          </rPr>
          <t xml:space="preserve">Auf unbestimmte Urlaub entlassen </t>
        </r>
        <r>
          <rPr>
            <sz val="14"/>
            <color rgb="FF000000"/>
            <rFont val="Times New Roman"/>
            <family val="18"/>
          </rPr>
          <t>[ST Dec 1819]</t>
        </r>
        <r>
          <rPr>
            <sz val="14"/>
            <color rgb="FF000000"/>
            <rFont val="Calibri"/>
            <family val="34"/>
          </rPr>
          <t xml:space="preserve">
</t>
        </r>
        <r>
          <rPr>
            <sz val="14"/>
            <color rgb="FF000000"/>
            <rFont val="Times New Roman"/>
            <family val="18"/>
          </rPr>
          <t xml:space="preserve">01/03/1820 </t>
        </r>
        <r>
          <rPr>
            <i/>
            <sz val="14"/>
            <color rgb="FF000000"/>
            <rFont val="Times New Roman"/>
            <family val="18"/>
          </rPr>
          <t>Von 8. Zu, 16. Fus. Komp. transferiert</t>
        </r>
        <r>
          <rPr>
            <sz val="14"/>
            <color rgb="FF000000"/>
            <rFont val="Times New Roman"/>
            <family val="18"/>
          </rPr>
          <t xml:space="preserve"> [ST March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 IR 4 16. Fus Komp.</t>
        </r>
        <r>
          <rPr>
            <sz val="14"/>
            <color rgb="FF000000"/>
            <rFont val="Times New Roman"/>
            <family val="18"/>
          </rPr>
          <t xml:space="preserve"> [ST Oct 1820]</t>
        </r>
        <r>
          <rPr>
            <sz val="14"/>
            <color rgb="FF000000"/>
            <rFont val="Calibri"/>
            <family val="34"/>
          </rPr>
          <t xml:space="preserve">
</t>
        </r>
      </text>
    </comment>
    <comment ref="BG1490" authorId="0" shapeId="0" xr:uid="{C3D33F7D-4D5F-D44B-9321-B9C7D7BC6BC1}">
      <text>
        <r>
          <rPr>
            <sz val="14"/>
            <color rgb="FF000000"/>
            <rFont val="Times New Roman"/>
            <family val="18"/>
          </rPr>
          <t>ML 353/4 IR 4 (1817) – 8. Fus. Komp. Nr. 147 (St. Pölten 25/09/1817)</t>
        </r>
        <r>
          <rPr>
            <sz val="14"/>
            <color rgb="FF000000"/>
            <rFont val="Calibri"/>
            <family val="34"/>
          </rPr>
          <t xml:space="preserve">
</t>
        </r>
        <r>
          <rPr>
            <sz val="14"/>
            <color rgb="FF000000"/>
            <rFont val="Times New Roman"/>
            <family val="18"/>
          </rPr>
          <t>ML 355 IR 4 (1818) – 8. Fus. Komp. Nr. 117 (St. Pölten 28/09/1818)</t>
        </r>
        <r>
          <rPr>
            <sz val="14"/>
            <color rgb="FF000000"/>
            <rFont val="Calibri"/>
            <family val="34"/>
          </rPr>
          <t xml:space="preserve">
</t>
        </r>
        <r>
          <rPr>
            <sz val="14"/>
            <color rgb="FF000000"/>
            <rFont val="Times New Roman"/>
            <family val="18"/>
          </rPr>
          <t>ML 356/7 IR 4 (1819) – 9. Fus. Komp. Nr. 102 (St. Pölten 25/09/1819)</t>
        </r>
        <r>
          <rPr>
            <sz val="14"/>
            <color rgb="FF000000"/>
            <rFont val="Calibri"/>
            <family val="34"/>
          </rPr>
          <t xml:space="preserve">
</t>
        </r>
        <r>
          <rPr>
            <sz val="14"/>
            <color rgb="FF000000"/>
            <rFont val="Times New Roman"/>
            <family val="18"/>
          </rPr>
          <t>ML 427 IR 4 (1819) – ST Nov (St. Pölten 30/01/1820), Dec (St. Pölten 20/01/1820)</t>
        </r>
        <r>
          <rPr>
            <sz val="14"/>
            <color rgb="FF000000"/>
            <rFont val="Calibri"/>
            <family val="34"/>
          </rPr>
          <t xml:space="preserve">
</t>
        </r>
        <r>
          <rPr>
            <sz val="14"/>
            <color rgb="FF000000"/>
            <rFont val="Times New Roman"/>
            <family val="18"/>
          </rPr>
          <t xml:space="preserve">ML 429 IR 4 (1820) – ST March (St. Pölten 20/04/1820), Oct (St. Pölten 05/02/1821) </t>
        </r>
        <r>
          <rPr>
            <sz val="14"/>
            <color rgb="FF000000"/>
            <rFont val="Calibri"/>
            <family val="34"/>
          </rPr>
          <t xml:space="preserve">
</t>
        </r>
      </text>
    </comment>
    <comment ref="BH1490" authorId="0" shapeId="0" xr:uid="{23E18842-47B1-494A-AA0C-6859FAF1C8BA}">
      <text>
        <r>
          <rPr>
            <sz val="14"/>
            <color rgb="FF000000"/>
            <rFont val="Calibri"/>
            <family val="34"/>
          </rPr>
          <t>IR 43 (1815-1820)</t>
        </r>
      </text>
    </comment>
    <comment ref="CR1490" authorId="0" shapeId="0" xr:uid="{E85D14E3-E80B-804C-B67F-1692BC89B17F}">
      <text>
        <r>
          <rPr>
            <i/>
            <sz val="14"/>
            <color rgb="FF000000"/>
            <rFont val="Times New Roman"/>
            <family val="18"/>
          </rPr>
          <t>Jüdisch</t>
        </r>
        <r>
          <rPr>
            <sz val="14"/>
            <color rgb="FF000000"/>
            <rFont val="Times New Roman"/>
            <family val="18"/>
          </rPr>
          <t xml:space="preserve"> (ML 1817/8) 
</t>
        </r>
        <r>
          <rPr>
            <i/>
            <sz val="14"/>
            <color rgb="FF000000"/>
            <rFont val="Times New Roman"/>
            <family val="18"/>
          </rPr>
          <t>Katolisch</t>
        </r>
        <r>
          <rPr>
            <sz val="14"/>
            <color rgb="FF000000"/>
            <rFont val="Times New Roman"/>
            <family val="18"/>
          </rPr>
          <t xml:space="preserve"> (ML 1819) </t>
        </r>
      </text>
    </comment>
    <comment ref="BF1491" authorId="0" shapeId="0" xr:uid="{0E93396D-62E0-4446-81AC-5571BDB60AC2}">
      <text>
        <r>
          <rPr>
            <sz val="14"/>
            <color rgb="FF000000"/>
            <rFont val="Times New Roman"/>
            <family val="18"/>
          </rPr>
          <t xml:space="preserve">30/08/1815 </t>
        </r>
        <r>
          <rPr>
            <i/>
            <sz val="14"/>
            <color rgb="FF000000"/>
            <rFont val="Times New Roman"/>
            <family val="18"/>
          </rPr>
          <t>A 3fl Handgeld auf 14 Jahre zu EH Rainer</t>
        </r>
        <r>
          <rPr>
            <sz val="14"/>
            <color rgb="FF000000"/>
            <rFont val="Times New Roman"/>
            <family val="18"/>
          </rPr>
          <t xml:space="preserve"> </t>
        </r>
        <r>
          <rPr>
            <b/>
            <sz val="14"/>
            <color rgb="FF000000"/>
            <rFont val="Times New Roman"/>
            <family val="18"/>
          </rPr>
          <t xml:space="preserve">[IR 11]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06/10/1815 </t>
        </r>
        <r>
          <rPr>
            <i/>
            <sz val="14"/>
            <color rgb="FF000000"/>
            <rFont val="Times New Roman"/>
            <family val="18"/>
          </rPr>
          <t>Von da</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4]</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IR 4 10. Fus. Komp. Nr. 154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28/09/1818 Muster: IR 4 10. Fus. Komp. Nr. 109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25/09/1819 Muster: IR 4 10. Fus. Komp. Nr. 96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01/08/1820 </t>
        </r>
        <r>
          <rPr>
            <i/>
            <sz val="14"/>
            <color rgb="FF000000"/>
            <rFont val="Times New Roman"/>
            <family val="18"/>
          </rPr>
          <t>Von 10. Zum. 15.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 IR 4 15. Fus Komp.</t>
        </r>
        <r>
          <rPr>
            <sz val="14"/>
            <color rgb="FF000000"/>
            <rFont val="Times New Roman"/>
            <family val="18"/>
          </rPr>
          <t xml:space="preserve"> [ST Oct 1820]</t>
        </r>
        <r>
          <rPr>
            <sz val="14"/>
            <color rgb="FF000000"/>
            <rFont val="Calibri"/>
            <family val="34"/>
          </rPr>
          <t xml:space="preserve">
</t>
        </r>
      </text>
    </comment>
    <comment ref="BG1491" authorId="0" shapeId="0" xr:uid="{E0A9C210-1796-8C4B-AA75-3DE443FE20BD}">
      <text>
        <r>
          <rPr>
            <sz val="14"/>
            <color rgb="FF000000"/>
            <rFont val="Times New Roman"/>
            <family val="18"/>
          </rPr>
          <t>ML 353/4 IR 4 (1817) – 10. Fus. Komp. Nr. 154 (St. Pölten 25/09/1817)</t>
        </r>
        <r>
          <rPr>
            <sz val="14"/>
            <color rgb="FF000000"/>
            <rFont val="Calibri"/>
            <family val="34"/>
          </rPr>
          <t xml:space="preserve">
</t>
        </r>
        <r>
          <rPr>
            <sz val="14"/>
            <color rgb="FF000000"/>
            <rFont val="Times New Roman"/>
            <family val="18"/>
          </rPr>
          <t>ML 355 IR 4 (1818) – 10. Fus. Komp. Nr. 109 (St. Pölten 28/09/1818)</t>
        </r>
        <r>
          <rPr>
            <sz val="14"/>
            <color rgb="FF000000"/>
            <rFont val="Calibri"/>
            <family val="34"/>
          </rPr>
          <t xml:space="preserve">
</t>
        </r>
        <r>
          <rPr>
            <sz val="14"/>
            <color rgb="FF000000"/>
            <rFont val="Times New Roman"/>
            <family val="18"/>
          </rPr>
          <t>ML 356/7 IR 4 (1819) – 10. Fus. Komp. Nr. 96 (St. Pölten 25/09/1819)</t>
        </r>
        <r>
          <rPr>
            <sz val="14"/>
            <color rgb="FF000000"/>
            <rFont val="Calibri"/>
            <family val="34"/>
          </rPr>
          <t xml:space="preserve">
</t>
        </r>
        <r>
          <rPr>
            <sz val="14"/>
            <color rgb="FF000000"/>
            <rFont val="Times New Roman"/>
            <family val="18"/>
          </rPr>
          <t>ML 429 IR 4 (1820) – ST Aug (St. Pölten 15/11/1820), Oct (St. Pölten 05/02/1821)</t>
        </r>
        <r>
          <rPr>
            <sz val="14"/>
            <color rgb="FF000000"/>
            <rFont val="Calibri"/>
            <family val="34"/>
          </rPr>
          <t xml:space="preserve">
</t>
        </r>
      </text>
    </comment>
    <comment ref="BH1491" authorId="0" shapeId="0" xr:uid="{D5E9B5F9-0E62-8C44-BF65-C1FFB0A9BF17}">
      <text>
        <r>
          <rPr>
            <sz val="14"/>
            <color rgb="FF000000"/>
            <rFont val="Calibri"/>
            <family val="34"/>
          </rPr>
          <t>IR 43 (1815-1820)</t>
        </r>
      </text>
    </comment>
    <comment ref="C1492" authorId="0" shapeId="0" xr:uid="{A4EC1482-6C69-B740-A338-491C4019921B}">
      <text>
        <r>
          <rPr>
            <b/>
            <u/>
            <sz val="14"/>
            <color rgb="FF0563C1"/>
            <rFont val="Times New Roman"/>
            <family val="18"/>
          </rPr>
          <t>San Martino Gusnago</t>
        </r>
        <r>
          <rPr>
            <sz val="14"/>
            <color rgb="FF000000"/>
            <rFont val="Times New Roman"/>
            <family val="18"/>
          </rPr>
          <t xml:space="preserve"> (1816)
</t>
        </r>
        <r>
          <rPr>
            <sz val="14"/>
            <color rgb="FF000000"/>
            <rFont val="Times New Roman"/>
            <family val="18"/>
          </rPr>
          <t xml:space="preserve">OR
</t>
        </r>
        <r>
          <rPr>
            <b/>
            <u/>
            <sz val="14"/>
            <color rgb="FF0563C1"/>
            <rFont val="Times New Roman"/>
            <family val="18"/>
          </rPr>
          <t>Ceresara, Italy</t>
        </r>
        <r>
          <rPr>
            <sz val="14"/>
            <color rgb="FF000000"/>
            <rFont val="Times New Roman"/>
            <family val="18"/>
          </rPr>
          <t xml:space="preserve"> (1817-1819)</t>
        </r>
      </text>
    </comment>
    <comment ref="I1492" authorId="0" shapeId="0" xr:uid="{F90E3769-D3F0-B843-AE16-6076FB7AA91F}">
      <text>
        <r>
          <rPr>
            <sz val="14"/>
            <color rgb="FF000000"/>
            <rFont val="Calibri"/>
            <family val="34"/>
          </rPr>
          <t xml:space="preserve">1789 [27 (1816)]
</t>
        </r>
        <r>
          <rPr>
            <sz val="14"/>
            <color rgb="FF000000"/>
            <rFont val="Calibri"/>
            <family val="34"/>
          </rPr>
          <t xml:space="preserve">OR 
</t>
        </r>
        <r>
          <rPr>
            <sz val="14"/>
            <color rgb="FF000000"/>
            <rFont val="Calibri"/>
            <family val="34"/>
          </rPr>
          <t>1780 [37 (1817)]</t>
        </r>
      </text>
    </comment>
    <comment ref="BF1492" authorId="0" shapeId="0" xr:uid="{F08E42C6-DF58-CA42-A1E2-258587B82BC7}">
      <text>
        <r>
          <rPr>
            <i/>
            <sz val="14"/>
            <color rgb="FF000000"/>
            <rFont val="Times New Roman"/>
            <family val="18"/>
          </rPr>
          <t>5 Jahr unter vorige italienische Regierung gedient</t>
        </r>
        <r>
          <rPr>
            <sz val="14"/>
            <color rgb="FF000000"/>
            <rFont val="Times New Roman"/>
            <family val="18"/>
          </rPr>
          <t xml:space="preserve"> [SUP Aug 1816]</t>
        </r>
        <r>
          <rPr>
            <sz val="14"/>
            <color rgb="FF000000"/>
            <rFont val="Calibri"/>
            <family val="34"/>
          </rPr>
          <t xml:space="preserve">
</t>
        </r>
        <r>
          <rPr>
            <sz val="14"/>
            <color rgb="FFFF0000"/>
            <rFont val="Times New Roman"/>
            <family val="18"/>
          </rPr>
          <t xml:space="preserve">11/09/1815 </t>
        </r>
        <r>
          <rPr>
            <i/>
            <sz val="14"/>
            <color rgb="FFFF0000"/>
            <rFont val="Times New Roman"/>
            <family val="18"/>
          </rPr>
          <t>von Ständen gestellt</t>
        </r>
        <r>
          <rPr>
            <sz val="14"/>
            <color rgb="FFFF0000"/>
            <rFont val="Times New Roman"/>
            <family val="18"/>
          </rPr>
          <t xml:space="preserve"> [SUP Aug 1816]</t>
        </r>
        <r>
          <rPr>
            <sz val="14"/>
            <color rgb="FF000000"/>
            <rFont val="Calibri"/>
            <family val="34"/>
          </rPr>
          <t xml:space="preserve">
</t>
        </r>
        <r>
          <rPr>
            <sz val="14"/>
            <color rgb="FF000000"/>
            <rFont val="Times New Roman"/>
            <family val="18"/>
          </rPr>
          <t xml:space="preserve">12/09/1815 </t>
        </r>
        <r>
          <rPr>
            <i/>
            <sz val="14"/>
            <color rgb="FF000000"/>
            <rFont val="Times New Roman"/>
            <family val="18"/>
          </rPr>
          <t>Von Ständen a 3Fl gestellt und zum 18. Fus Komp. eingeheilt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01/10/1815 </t>
        </r>
        <r>
          <rPr>
            <i/>
            <sz val="14"/>
            <color rgb="FF000000"/>
            <rFont val="Times New Roman"/>
            <family val="18"/>
          </rPr>
          <t>Von 18. Zum 8. Fus Komp. transferiert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06/10/1815 </t>
        </r>
        <r>
          <rPr>
            <i/>
            <sz val="14"/>
            <color rgb="FF000000"/>
            <rFont val="Times New Roman"/>
            <family val="18"/>
          </rPr>
          <t>Krank in Treviso</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31/12/1815 [Bis mindestens] </t>
        </r>
        <r>
          <rPr>
            <i/>
            <sz val="14"/>
            <color rgb="FF000000"/>
            <rFont val="Times New Roman"/>
            <family val="18"/>
          </rPr>
          <t xml:space="preserve">Krank in Treviso </t>
        </r>
        <r>
          <rPr>
            <sz val="14"/>
            <color rgb="FF000000"/>
            <rFont val="Times New Roman"/>
            <family val="18"/>
          </rPr>
          <t>[ST Dez 1815]</t>
        </r>
        <r>
          <rPr>
            <sz val="14"/>
            <color rgb="FF000000"/>
            <rFont val="Calibri"/>
            <family val="34"/>
          </rPr>
          <t xml:space="preserve">
</t>
        </r>
        <r>
          <rPr>
            <sz val="14"/>
            <color rgb="FF000000"/>
            <rFont val="Times New Roman"/>
            <family val="18"/>
          </rPr>
          <t xml:space="preserve">10/01/1816 [Bis] </t>
        </r>
        <r>
          <rPr>
            <i/>
            <sz val="14"/>
            <color rgb="FF000000"/>
            <rFont val="Times New Roman"/>
            <family val="18"/>
          </rPr>
          <t>Krank in Wien</t>
        </r>
        <r>
          <rPr>
            <sz val="14"/>
            <color rgb="FF000000"/>
            <rFont val="Times New Roman"/>
            <family val="18"/>
          </rPr>
          <t xml:space="preserve"> [SIC!] [ST Jan 1816]</t>
        </r>
        <r>
          <rPr>
            <sz val="14"/>
            <color rgb="FF000000"/>
            <rFont val="Calibri"/>
            <family val="34"/>
          </rPr>
          <t xml:space="preserve">
</t>
        </r>
        <r>
          <rPr>
            <sz val="14"/>
            <color rgb="FF000000"/>
            <rFont val="Times New Roman"/>
            <family val="18"/>
          </rPr>
          <t xml:space="preserve">11/01/1816 </t>
        </r>
        <r>
          <rPr>
            <i/>
            <sz val="14"/>
            <color rgb="FF000000"/>
            <rFont val="Times New Roman"/>
            <family val="18"/>
          </rPr>
          <t>Auf Anhero Marsch mit deutschen Gebühr</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16/01/1816 </t>
        </r>
        <r>
          <rPr>
            <i/>
            <sz val="14"/>
            <color rgb="FF000000"/>
            <rFont val="Times New Roman"/>
            <family val="18"/>
          </rPr>
          <t>Ins Companie eingerückt</t>
        </r>
        <r>
          <rPr>
            <sz val="14"/>
            <color rgb="FF000000"/>
            <rFont val="Times New Roman"/>
            <family val="18"/>
          </rPr>
          <t xml:space="preserve"> [ST Jan 1816] </t>
        </r>
        <r>
          <rPr>
            <sz val="14"/>
            <color rgb="FF000000"/>
            <rFont val="Calibri"/>
            <family val="34"/>
          </rPr>
          <t xml:space="preserve">
</t>
        </r>
        <r>
          <rPr>
            <sz val="14"/>
            <color rgb="FF000000"/>
            <rFont val="Times New Roman"/>
            <family val="18"/>
          </rPr>
          <t xml:space="preserve">24/01/1816 </t>
        </r>
        <r>
          <rPr>
            <i/>
            <sz val="14"/>
            <color rgb="FF000000"/>
            <rFont val="Times New Roman"/>
            <family val="18"/>
          </rPr>
          <t>Krank in Pressburg</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10/02/1816 </t>
        </r>
        <r>
          <rPr>
            <i/>
            <sz val="14"/>
            <color rgb="FF000000"/>
            <rFont val="Times New Roman"/>
            <family val="18"/>
          </rPr>
          <t>Reconvalesciert</t>
        </r>
        <r>
          <rPr>
            <sz val="14"/>
            <color rgb="FF000000"/>
            <rFont val="Times New Roman"/>
            <family val="18"/>
          </rPr>
          <t xml:space="preserve"> [ST Feb 1816] </t>
        </r>
        <r>
          <rPr>
            <sz val="14"/>
            <color rgb="FF000000"/>
            <rFont val="Calibri"/>
            <family val="34"/>
          </rPr>
          <t xml:space="preserve">
</t>
        </r>
        <r>
          <rPr>
            <sz val="14"/>
            <color rgb="FF000000"/>
            <rFont val="Times New Roman"/>
            <family val="18"/>
          </rPr>
          <t xml:space="preserve">21/06/1816 </t>
        </r>
        <r>
          <rPr>
            <i/>
            <sz val="14"/>
            <color rgb="FF000000"/>
            <rFont val="Times New Roman"/>
            <family val="18"/>
          </rPr>
          <t xml:space="preserve">In Baad zu Pystiann </t>
        </r>
        <r>
          <rPr>
            <sz val="14"/>
            <color rgb="FF000000"/>
            <rFont val="Times New Roman"/>
            <family val="18"/>
          </rPr>
          <t xml:space="preserve">[ST June 1816] </t>
        </r>
        <r>
          <rPr>
            <sz val="14"/>
            <color rgb="FF000000"/>
            <rFont val="Calibri"/>
            <family val="34"/>
          </rPr>
          <t xml:space="preserve">
</t>
        </r>
        <r>
          <rPr>
            <sz val="14"/>
            <color rgb="FF000000"/>
            <rFont val="Times New Roman"/>
            <family val="18"/>
          </rPr>
          <t xml:space="preserve">25/07/1816 </t>
        </r>
        <r>
          <rPr>
            <i/>
            <sz val="14"/>
            <color rgb="FF000000"/>
            <rFont val="Times New Roman"/>
            <family val="18"/>
          </rPr>
          <t>Zurück in Companie</t>
        </r>
        <r>
          <rPr>
            <sz val="14"/>
            <color rgb="FF000000"/>
            <rFont val="Times New Roman"/>
            <family val="18"/>
          </rPr>
          <t xml:space="preserve"> [ST Juli 1816]</t>
        </r>
        <r>
          <rPr>
            <sz val="14"/>
            <color rgb="FF000000"/>
            <rFont val="Calibri"/>
            <family val="34"/>
          </rPr>
          <t xml:space="preserve">
</t>
        </r>
        <r>
          <rPr>
            <sz val="14"/>
            <color rgb="FF000000"/>
            <rFont val="Times New Roman"/>
            <family val="18"/>
          </rPr>
          <t xml:space="preserve">04/08/1816 </t>
        </r>
        <r>
          <rPr>
            <i/>
            <sz val="14"/>
            <color rgb="FF000000"/>
            <rFont val="Times New Roman"/>
            <family val="18"/>
          </rPr>
          <t>Als Angehörige von 8. Fus Comp in Mantua Superarbitriert: Hat noch fort zu dienen</t>
        </r>
        <r>
          <rPr>
            <sz val="14"/>
            <color rgb="FF000000"/>
            <rFont val="Times New Roman"/>
            <family val="18"/>
          </rPr>
          <t xml:space="preserve"> [SUP Aug 1816]</t>
        </r>
        <r>
          <rPr>
            <sz val="14"/>
            <color rgb="FF000000"/>
            <rFont val="Calibri"/>
            <family val="34"/>
          </rPr>
          <t xml:space="preserve">
</t>
        </r>
        <r>
          <rPr>
            <sz val="14"/>
            <color rgb="FF000000"/>
            <rFont val="Times New Roman"/>
            <family val="18"/>
          </rPr>
          <t>??/09/1816 Mit Loco Verpflegung auf dem Marsch zum Depot in Italien [ST Sept 1816]</t>
        </r>
        <r>
          <rPr>
            <sz val="14"/>
            <color rgb="FF000000"/>
            <rFont val="Calibri"/>
            <family val="34"/>
          </rPr>
          <t xml:space="preserve">
</t>
        </r>
        <r>
          <rPr>
            <sz val="14"/>
            <color rgb="FF000000"/>
            <rFont val="Times New Roman"/>
            <family val="18"/>
          </rPr>
          <t>??/11/1816 Ins Regiment Depot in Italien eingerückt [ST Nov 1816]</t>
        </r>
        <r>
          <rPr>
            <sz val="14"/>
            <color rgb="FF000000"/>
            <rFont val="Calibri"/>
            <family val="34"/>
          </rPr>
          <t xml:space="preserve">
</t>
        </r>
        <r>
          <rPr>
            <sz val="14"/>
            <color rgb="FF000000"/>
            <rFont val="Times New Roman"/>
            <family val="18"/>
          </rPr>
          <t>30/09/1817 Muster: 8. Fus Komp. Nr. 125 [</t>
        </r>
        <r>
          <rPr>
            <i/>
            <sz val="14"/>
            <color rgb="FF000000"/>
            <rFont val="Times New Roman"/>
            <family val="18"/>
          </rPr>
          <t>zugeheilt zum Regiments Depot</t>
        </r>
        <r>
          <rPr>
            <sz val="14"/>
            <color rgb="FF000000"/>
            <rFont val="Times New Roman"/>
            <family val="18"/>
          </rPr>
          <t>]</t>
        </r>
        <r>
          <rPr>
            <sz val="14"/>
            <color rgb="FF000000"/>
            <rFont val="Calibri"/>
            <family val="34"/>
          </rPr>
          <t xml:space="preserve">
</t>
        </r>
        <r>
          <rPr>
            <sz val="14"/>
            <color rgb="FF000000"/>
            <rFont val="Times New Roman"/>
            <family val="18"/>
          </rPr>
          <t>23/09/1818 Muster: IR 43 8. Fus Komp. Nr. 97</t>
        </r>
        <r>
          <rPr>
            <sz val="14"/>
            <color rgb="FF000000"/>
            <rFont val="Calibri"/>
            <family val="34"/>
          </rPr>
          <t xml:space="preserve">
</t>
        </r>
        <r>
          <rPr>
            <sz val="14"/>
            <color rgb="FF000000"/>
            <rFont val="Times New Roman"/>
            <family val="18"/>
          </rPr>
          <t>16/09/1819 Muster: IR 43 8. Fus Komp. Nr 28</t>
        </r>
        <r>
          <rPr>
            <sz val="14"/>
            <color rgb="FF000000"/>
            <rFont val="Calibri"/>
            <family val="34"/>
          </rPr>
          <t xml:space="preserve">
</t>
        </r>
        <r>
          <rPr>
            <sz val="14"/>
            <color rgb="FF000000"/>
            <rFont val="Times New Roman"/>
            <family val="18"/>
          </rPr>
          <t xml:space="preserve">31/10/1819 </t>
        </r>
        <r>
          <rPr>
            <i/>
            <sz val="14"/>
            <color rgb="FF000000"/>
            <rFont val="Times New Roman"/>
            <family val="18"/>
          </rPr>
          <t>in Folge Hohe hofkriegsratliche Reskript von 4. September a:c. R 3076 und hohe Banal General Commando Verordnung ddt Agram den 15. 7br a:c: R. 2313 als Ausgediente Inländer Capitulanten mit Abschied entlassen</t>
        </r>
        <r>
          <rPr>
            <sz val="14"/>
            <color rgb="FF000000"/>
            <rFont val="Times New Roman"/>
            <family val="18"/>
          </rPr>
          <t xml:space="preserve"> [ML 1820]</t>
        </r>
        <r>
          <rPr>
            <sz val="14"/>
            <color rgb="FF000000"/>
            <rFont val="Calibri"/>
            <family val="34"/>
          </rPr>
          <t xml:space="preserve">
</t>
        </r>
      </text>
    </comment>
    <comment ref="BG1492" authorId="0" shapeId="0" xr:uid="{854F95F6-2659-8F42-B088-2918761E1B2A}">
      <text>
        <r>
          <rPr>
            <sz val="14"/>
            <color rgb="FF000000"/>
            <rFont val="Times New Roman"/>
            <family val="18"/>
          </rPr>
          <t>ML 3862/3 IR 43 (1817): 8. Fus Komp Nr. 125 (Preßburg 30/09/1817)</t>
        </r>
        <r>
          <rPr>
            <sz val="14"/>
            <color rgb="FF000000"/>
            <rFont val="Calibri"/>
            <family val="34"/>
          </rPr>
          <t xml:space="preserve">
</t>
        </r>
        <r>
          <rPr>
            <sz val="14"/>
            <color rgb="FF000000"/>
            <rFont val="Times New Roman"/>
            <family val="18"/>
          </rPr>
          <t>ML 3864/5 IR 43 (1818): 8. Fus Komp Nr. 97 (Raab 23/09/1818)</t>
        </r>
        <r>
          <rPr>
            <sz val="14"/>
            <color rgb="FF000000"/>
            <rFont val="Calibri"/>
            <family val="34"/>
          </rPr>
          <t xml:space="preserve">
</t>
        </r>
        <r>
          <rPr>
            <sz val="14"/>
            <color rgb="FF000000"/>
            <rFont val="Times New Roman"/>
            <family val="18"/>
          </rPr>
          <t>ML 3867/8 IR 43 (1819): 8. Fus. Komp. Nr. 28 (Carlopago 16/09/1819)</t>
        </r>
        <r>
          <rPr>
            <sz val="14"/>
            <color rgb="FF000000"/>
            <rFont val="Calibri"/>
            <family val="34"/>
          </rPr>
          <t xml:space="preserve">
</t>
        </r>
        <r>
          <rPr>
            <sz val="14"/>
            <color rgb="FF000000"/>
            <rFont val="Times New Roman"/>
            <family val="18"/>
          </rPr>
          <t>ML 3868/9 IR 43 (1820): 8. Fus. Komp. - Abgang (Carlstadt 11/09/1820)</t>
        </r>
        <r>
          <rPr>
            <sz val="14"/>
            <color rgb="FF000000"/>
            <rFont val="Calibri"/>
            <family val="34"/>
          </rPr>
          <t xml:space="preserve">
</t>
        </r>
        <r>
          <rPr>
            <sz val="14"/>
            <color rgb="FF000000"/>
            <rFont val="Times New Roman"/>
            <family val="18"/>
          </rPr>
          <t>ML 3871 IR 43 (1815) – ST Oct (28/11/1816)</t>
        </r>
        <r>
          <rPr>
            <sz val="14"/>
            <color rgb="FF000000"/>
            <rFont val="Calibri"/>
            <family val="34"/>
          </rPr>
          <t xml:space="preserve">
</t>
        </r>
        <r>
          <rPr>
            <sz val="14"/>
            <color rgb="FF000000"/>
            <rFont val="Times New Roman"/>
            <family val="18"/>
          </rPr>
          <t>ML 3872 IR 43 (1816) – ST Jan (15/03/1817), Feb (28/03/1817), Juni (01/06/1817), Juli (01/06/1817), Sept (Preßburg 12/07/1817); Nov (Preßburg 25/08/1817)</t>
        </r>
        <r>
          <rPr>
            <sz val="14"/>
            <color rgb="FF000000"/>
            <rFont val="Calibri"/>
            <family val="34"/>
          </rPr>
          <t xml:space="preserve">
</t>
        </r>
        <r>
          <rPr>
            <sz val="14"/>
            <color rgb="FF000000"/>
            <rFont val="Times New Roman"/>
            <family val="18"/>
          </rPr>
          <t>ML 3874 IR 43 (1816) – SUP Nr. 59 (Mantua 04/08/1816)</t>
        </r>
        <r>
          <rPr>
            <sz val="14"/>
            <color rgb="FF000000"/>
            <rFont val="Calibri"/>
            <family val="34"/>
          </rPr>
          <t xml:space="preserve">
</t>
        </r>
      </text>
    </comment>
    <comment ref="BH1492" authorId="0" shapeId="0" xr:uid="{4F74228A-2605-6444-A5EC-906E80B10468}">
      <text>
        <r>
          <rPr>
            <sz val="14"/>
            <color rgb="FF000000"/>
            <rFont val="Calibri"/>
            <family val="34"/>
          </rPr>
          <t>IR 43 (1815-1819)</t>
        </r>
      </text>
    </comment>
    <comment ref="BI1492" authorId="0" shapeId="0" xr:uid="{6A80681C-9601-E54F-AC8A-20662A47A49A}">
      <text>
        <r>
          <rPr>
            <sz val="14"/>
            <color rgb="FF000000"/>
            <rFont val="Calibri"/>
            <family val="34"/>
          </rPr>
          <t>Gut [SUP Aug 1816]</t>
        </r>
      </text>
    </comment>
    <comment ref="BJ1492" authorId="0" shapeId="0" xr:uid="{14EF2B4D-ABD2-7D42-819C-15DC12685767}">
      <text>
        <r>
          <rPr>
            <i/>
            <sz val="14"/>
            <color rgb="FF000000"/>
            <rFont val="Times New Roman"/>
            <family val="18"/>
          </rPr>
          <t>Schwäche Leibes Constitution: Immer kränklich, und veralteten Fußgeschwür</t>
        </r>
        <r>
          <rPr>
            <sz val="14"/>
            <color rgb="FF000000"/>
            <rFont val="Calibri"/>
            <family val="2"/>
          </rPr>
          <t xml:space="preserve"> </t>
        </r>
        <r>
          <rPr>
            <sz val="14"/>
            <color rgb="FF000000"/>
            <rFont val="Calibri"/>
            <family val="34"/>
          </rPr>
          <t>[SUP Aug 1816)</t>
        </r>
      </text>
    </comment>
    <comment ref="CR1492" authorId="0" shapeId="0" xr:uid="{AAC7BC96-B166-6D49-8E22-A4B65634ABB0}">
      <text>
        <r>
          <rPr>
            <sz val="14"/>
            <color rgb="FF000000"/>
            <rFont val="Calibri"/>
            <family val="34"/>
          </rPr>
          <t>1816: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1817-19: Katolisch  </t>
        </r>
      </text>
    </comment>
    <comment ref="T1493" authorId="0" shapeId="0" xr:uid="{D6BF912B-E796-3D40-BBBC-3E6367A93423}">
      <text>
        <r>
          <rPr>
            <b/>
            <sz val="14"/>
            <color rgb="FF000000"/>
            <rFont val="Calibri"/>
            <family val="34"/>
          </rPr>
          <t xml:space="preserve">5.2.2 [163.7 cm] (TL 1817)]
</t>
        </r>
        <r>
          <rPr>
            <sz val="14"/>
            <color rgb="FF000000"/>
            <rFont val="Calibri"/>
            <family val="34"/>
          </rPr>
          <t>5.2.3 [163.92 cm (ML 1818)]</t>
        </r>
      </text>
    </comment>
    <comment ref="BF1493" authorId="0" shapeId="0" xr:uid="{904FD1CF-7E98-434F-BFAA-3CF084FA7EE6}">
      <text>
        <r>
          <rPr>
            <sz val="14"/>
            <color rgb="FFFF0000"/>
            <rFont val="Times New Roman"/>
            <family val="18"/>
          </rPr>
          <t xml:space="preserve">18/06/1815 </t>
        </r>
        <r>
          <rPr>
            <i/>
            <sz val="14"/>
            <color rgb="FFFF0000"/>
            <rFont val="Times New Roman"/>
            <family val="18"/>
          </rPr>
          <t>Zu Toscana Infanterie assentiert</t>
        </r>
        <r>
          <rPr>
            <sz val="14"/>
            <color rgb="FFFF0000"/>
            <rFont val="Times New Roman"/>
            <family val="18"/>
          </rPr>
          <t xml:space="preserve"> [ML 1818]</t>
        </r>
        <r>
          <rPr>
            <sz val="14"/>
            <color rgb="FF000000"/>
            <rFont val="Calibri"/>
            <family val="34"/>
          </rPr>
          <t xml:space="preserve">
</t>
        </r>
        <r>
          <rPr>
            <sz val="14"/>
            <color rgb="FF000000"/>
            <rFont val="Times New Roman"/>
            <family val="18"/>
          </rPr>
          <t xml:space="preserve">13/07/1815 </t>
        </r>
        <r>
          <rPr>
            <i/>
            <sz val="14"/>
            <color rgb="FF000000"/>
            <rFont val="Times New Roman"/>
            <family val="18"/>
          </rPr>
          <t xml:space="preserve">A 3Fl Handgeld zu EH Toscana </t>
        </r>
        <r>
          <rPr>
            <sz val="14"/>
            <color rgb="FF000000"/>
            <rFont val="Times New Roman"/>
            <family val="18"/>
          </rPr>
          <t xml:space="preserve">[IR 7] </t>
        </r>
        <r>
          <rPr>
            <i/>
            <sz val="14"/>
            <color rgb="FF000000"/>
            <rFont val="Times New Roman"/>
            <family val="18"/>
          </rPr>
          <t>assentiert</t>
        </r>
        <r>
          <rPr>
            <sz val="14"/>
            <color rgb="FF000000"/>
            <rFont val="Times New Roman"/>
            <family val="18"/>
          </rPr>
          <t xml:space="preserve"> [TL Oct 1817]</t>
        </r>
        <r>
          <rPr>
            <sz val="14"/>
            <color rgb="FF000000"/>
            <rFont val="Calibri"/>
            <family val="34"/>
          </rPr>
          <t xml:space="preserve">
</t>
        </r>
        <r>
          <rPr>
            <sz val="14"/>
            <color rgb="FF000000"/>
            <rFont val="Times New Roman"/>
            <family val="18"/>
          </rPr>
          <t xml:space="preserve">01/10/1817 </t>
        </r>
        <r>
          <rPr>
            <i/>
            <sz val="14"/>
            <color rgb="FF000000"/>
            <rFont val="Times New Roman"/>
            <family val="18"/>
          </rPr>
          <t>Von IR 7 16. Fus Komp. als in Hradischer und Prerauer gebürtige unbestimmt Urlauber zum IR 1 transferiert und zum 15. Fus. Komp. eingeteilt</t>
        </r>
        <r>
          <rPr>
            <sz val="14"/>
            <color rgb="FF000000"/>
            <rFont val="Times New Roman"/>
            <family val="18"/>
          </rPr>
          <t xml:space="preserve"> [TL Oct 1817]</t>
        </r>
        <r>
          <rPr>
            <sz val="14"/>
            <color rgb="FF000000"/>
            <rFont val="Calibri"/>
            <family val="34"/>
          </rPr>
          <t xml:space="preserve">
</t>
        </r>
        <r>
          <rPr>
            <sz val="14"/>
            <color rgb="FF000000"/>
            <rFont val="Times New Roman"/>
            <family val="18"/>
          </rPr>
          <t xml:space="preserve">19/08/1818 </t>
        </r>
        <r>
          <rPr>
            <i/>
            <sz val="14"/>
            <color rgb="FF000000"/>
            <rFont val="Times New Roman"/>
            <family val="18"/>
          </rPr>
          <t>Von 15. zum 4. Fus. Komp.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19/09/1818 Muster: IR 1 4. Fus. Komp. Nr. 79</t>
        </r>
        <r>
          <rPr>
            <sz val="14"/>
            <color rgb="FF000000"/>
            <rFont val="Calibri"/>
            <family val="34"/>
          </rPr>
          <t xml:space="preserve">
</t>
        </r>
        <r>
          <rPr>
            <sz val="14"/>
            <color rgb="FF000000"/>
            <rFont val="Times New Roman"/>
            <family val="18"/>
          </rPr>
          <t xml:space="preserve">28/04/1819 </t>
        </r>
        <r>
          <rPr>
            <i/>
            <sz val="14"/>
            <color rgb="FF000000"/>
            <rFont val="Times New Roman"/>
            <family val="18"/>
          </rPr>
          <t>Beurlaubt bis zur Einberufung</t>
        </r>
        <r>
          <rPr>
            <sz val="14"/>
            <color rgb="FF000000"/>
            <rFont val="Times New Roman"/>
            <family val="18"/>
          </rPr>
          <t xml:space="preserve"> [ST April 1819]</t>
        </r>
        <r>
          <rPr>
            <sz val="14"/>
            <color rgb="FF000000"/>
            <rFont val="Calibri"/>
            <family val="34"/>
          </rPr>
          <t xml:space="preserve">
</t>
        </r>
        <r>
          <rPr>
            <sz val="14"/>
            <color rgb="FF000000"/>
            <rFont val="Times New Roman"/>
            <family val="18"/>
          </rPr>
          <t>14/09/1819 Muster: IR 1 4. Fus. Komp. Nr. 249 [</t>
        </r>
        <r>
          <rPr>
            <i/>
            <sz val="14"/>
            <color rgb="FF000000"/>
            <rFont val="Times New Roman"/>
            <family val="18"/>
          </rPr>
          <t>Beurlaubt bis zur Einberufung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01/11/1819 </t>
        </r>
        <r>
          <rPr>
            <i/>
            <sz val="14"/>
            <color rgb="FF000000"/>
            <rFont val="Times New Roman"/>
            <family val="18"/>
          </rPr>
          <t>Von Urlaub eingerückt und derselbe Tag zum 12. Fus. Komp. transferiert und ist wieder bis zur Einberufung entlassen</t>
        </r>
        <r>
          <rPr>
            <sz val="14"/>
            <color rgb="FF000000"/>
            <rFont val="Times New Roman"/>
            <family val="18"/>
          </rPr>
          <t xml:space="preserve"> [ST Nov 1819]</t>
        </r>
        <r>
          <rPr>
            <sz val="14"/>
            <color rgb="FF000000"/>
            <rFont val="Calibri"/>
            <family val="34"/>
          </rPr>
          <t xml:space="preserve">
</t>
        </r>
        <r>
          <rPr>
            <sz val="14"/>
            <color rgb="FF000000"/>
            <rFont val="Times New Roman"/>
            <family val="18"/>
          </rPr>
          <t xml:space="preserve">11/08/1820 </t>
        </r>
        <r>
          <rPr>
            <i/>
            <sz val="14"/>
            <color rgb="FF000000"/>
            <rFont val="Times New Roman"/>
            <family val="18"/>
          </rPr>
          <t>Von 12. zum 18. Fus. Komp. transferiert</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18. Fus Komp</t>
        </r>
        <r>
          <rPr>
            <sz val="14"/>
            <color rgb="FF000000"/>
            <rFont val="Times New Roman"/>
            <family val="18"/>
          </rPr>
          <t xml:space="preserve"> [ST Oct 1820]</t>
        </r>
      </text>
    </comment>
    <comment ref="BG1493" authorId="0" shapeId="0" xr:uid="{34607065-A48F-D246-BB8F-748248CF0B35}">
      <text>
        <r>
          <rPr>
            <sz val="14"/>
            <color rgb="FF000000"/>
            <rFont val="Times New Roman"/>
            <family val="18"/>
          </rPr>
          <t>ML 36/7 IR 1 (1818) – IR 1 4. Fus. Komp. 79 (Brünn 19/09/1818)</t>
        </r>
        <r>
          <rPr>
            <sz val="14"/>
            <color rgb="FF000000"/>
            <rFont val="Calibri"/>
            <family val="34"/>
          </rPr>
          <t xml:space="preserve">
</t>
        </r>
        <r>
          <rPr>
            <sz val="14"/>
            <color rgb="FF000000"/>
            <rFont val="Times New Roman"/>
            <family val="18"/>
          </rPr>
          <t>ML 38/9 IR 1 (1819) – IR 1 4. Fus. Komp. 249 (Olmütz 14/09/1819)</t>
        </r>
        <r>
          <rPr>
            <sz val="14"/>
            <color rgb="FF000000"/>
            <rFont val="Calibri"/>
            <family val="34"/>
          </rPr>
          <t xml:space="preserve">
</t>
        </r>
        <r>
          <rPr>
            <sz val="14"/>
            <color rgb="FF000000"/>
            <rFont val="Times New Roman"/>
            <family val="18"/>
          </rPr>
          <t>ML 110 IR 1 (1817) AL/TL – TL IR 7-&gt;IR 1 Nr. 969 (Neutischein 15/10/1817)</t>
        </r>
        <r>
          <rPr>
            <sz val="14"/>
            <color rgb="FF000000"/>
            <rFont val="Calibri"/>
            <family val="34"/>
          </rPr>
          <t xml:space="preserve">
</t>
        </r>
        <r>
          <rPr>
            <sz val="14"/>
            <color rgb="FF000000"/>
            <rFont val="Times New Roman"/>
            <family val="18"/>
          </rPr>
          <t>ML 113 IR 1 (1819) – ST May (Cremsier 25/05/1819), ST Nov (Kremsier 10/01/1820)</t>
        </r>
        <r>
          <rPr>
            <sz val="14"/>
            <color rgb="FF000000"/>
            <rFont val="Calibri"/>
            <family val="34"/>
          </rPr>
          <t xml:space="preserve">
</t>
        </r>
        <r>
          <rPr>
            <sz val="14"/>
            <color rgb="FF000000"/>
            <rFont val="Times New Roman"/>
            <family val="18"/>
          </rPr>
          <t>ML 115 IR 1 (1820) – ST Aug (Cremsier 15/11/1820), Oct (15/01/1820)</t>
        </r>
        <r>
          <rPr>
            <sz val="14"/>
            <color rgb="FF000000"/>
            <rFont val="Calibri"/>
            <family val="34"/>
          </rPr>
          <t xml:space="preserve">
</t>
        </r>
      </text>
    </comment>
    <comment ref="BH1493" authorId="0" shapeId="0" xr:uid="{9EF4527C-FF22-044C-BF79-F3AA7EA3C9AC}">
      <text>
        <r>
          <rPr>
            <sz val="14"/>
            <color rgb="FF000000"/>
            <rFont val="Calibri"/>
            <family val="34"/>
          </rPr>
          <t xml:space="preserve">IR 7 (1815-1817)
</t>
        </r>
        <r>
          <rPr>
            <sz val="14"/>
            <color rgb="FF000000"/>
            <rFont val="Calibri"/>
            <family val="34"/>
          </rPr>
          <t>IR 1 (1817-1820)</t>
        </r>
      </text>
    </comment>
    <comment ref="K1494" authorId="0" shapeId="0" xr:uid="{F6789C15-8ADB-834B-A1E3-0A8B6F325179}">
      <text>
        <r>
          <rPr>
            <sz val="14"/>
            <color rgb="FF000000"/>
            <rFont val="Calibri"/>
            <family val="34"/>
          </rPr>
          <t xml:space="preserve">Domestico  (1815)
</t>
        </r>
        <r>
          <rPr>
            <sz val="14"/>
            <color rgb="FF000000"/>
            <rFont val="Calibri"/>
            <family val="34"/>
          </rPr>
          <t>Schneider (1817-19)</t>
        </r>
      </text>
    </comment>
    <comment ref="BF1494" authorId="0" shapeId="0" xr:uid="{6D2982E8-7F23-1D42-8884-4E4D23C1C398}">
      <text>
        <r>
          <rPr>
            <sz val="14"/>
            <color rgb="FF000000"/>
            <rFont val="Times New Roman"/>
            <family val="18"/>
          </rPr>
          <t xml:space="preserve">24/09/1815 </t>
        </r>
        <r>
          <rPr>
            <i/>
            <sz val="14"/>
            <color rgb="FF000000"/>
            <rFont val="Times New Roman"/>
            <family val="18"/>
          </rPr>
          <t>Von Ständen a 3Fl gestellt, zum Mantua assentiert und als conscritto zum 18. Fus. Komp. eingeteilt</t>
        </r>
        <r>
          <rPr>
            <sz val="14"/>
            <color rgb="FF000000"/>
            <rFont val="Times New Roman"/>
            <family val="18"/>
          </rPr>
          <t xml:space="preserve"> [AL Oct 1815 &amp; ML 1817]</t>
        </r>
        <r>
          <rPr>
            <sz val="14"/>
            <color rgb="FF000000"/>
            <rFont val="Calibri"/>
            <family val="34"/>
          </rPr>
          <t xml:space="preserve">
</t>
        </r>
        <r>
          <rPr>
            <sz val="14"/>
            <color rgb="FF000000"/>
            <rFont val="Times New Roman"/>
            <family val="18"/>
          </rPr>
          <t xml:space="preserve">11/10/1815 </t>
        </r>
        <r>
          <rPr>
            <i/>
            <sz val="14"/>
            <color rgb="FF000000"/>
            <rFont val="Times New Roman"/>
            <family val="18"/>
          </rPr>
          <t>Von 18. zum 8. Fusilier Komp. Transferiert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01/03/1816 </t>
        </r>
        <r>
          <rPr>
            <i/>
            <sz val="14"/>
            <color rgb="FF000000"/>
            <rFont val="Times New Roman"/>
            <family val="18"/>
          </rPr>
          <t>Krank zu Preßburg</t>
        </r>
        <r>
          <rPr>
            <sz val="14"/>
            <color rgb="FF000000"/>
            <rFont val="Times New Roman"/>
            <family val="18"/>
          </rPr>
          <t xml:space="preserve"> [ST Marz 1816]</t>
        </r>
        <r>
          <rPr>
            <sz val="14"/>
            <color rgb="FF000000"/>
            <rFont val="Calibri"/>
            <family val="34"/>
          </rPr>
          <t xml:space="preserve">
</t>
        </r>
        <r>
          <rPr>
            <sz val="14"/>
            <color rgb="FF000000"/>
            <rFont val="Times New Roman"/>
            <family val="18"/>
          </rPr>
          <t xml:space="preserve">15/05/1816 </t>
        </r>
        <r>
          <rPr>
            <i/>
            <sz val="14"/>
            <color rgb="FF000000"/>
            <rFont val="Times New Roman"/>
            <family val="18"/>
          </rPr>
          <t>Krank in Komorn</t>
        </r>
        <r>
          <rPr>
            <sz val="14"/>
            <color rgb="FF000000"/>
            <rFont val="Times New Roman"/>
            <family val="18"/>
          </rPr>
          <t xml:space="preserve"> [ST Mai 1816] </t>
        </r>
        <r>
          <rPr>
            <sz val="14"/>
            <color rgb="FF000000"/>
            <rFont val="Calibri"/>
            <family val="34"/>
          </rPr>
          <t xml:space="preserve">
</t>
        </r>
        <r>
          <rPr>
            <sz val="14"/>
            <color rgb="FF000000"/>
            <rFont val="Times New Roman"/>
            <family val="18"/>
          </rPr>
          <t>30/09/1817 Muster: IR 43 8. Fus Komp. Nr. 54</t>
        </r>
        <r>
          <rPr>
            <sz val="14"/>
            <color rgb="FF000000"/>
            <rFont val="Calibri"/>
            <family val="34"/>
          </rPr>
          <t xml:space="preserve">
</t>
        </r>
        <r>
          <rPr>
            <sz val="14"/>
            <color rgb="FF000000"/>
            <rFont val="Times New Roman"/>
            <family val="18"/>
          </rPr>
          <t>23/09/1818 Muster: IR 43 8. Fus Komp. Nr. 44</t>
        </r>
        <r>
          <rPr>
            <sz val="14"/>
            <color rgb="FF000000"/>
            <rFont val="Calibri"/>
            <family val="34"/>
          </rPr>
          <t xml:space="preserve">
</t>
        </r>
        <r>
          <rPr>
            <sz val="14"/>
            <color rgb="FF000000"/>
            <rFont val="Times New Roman"/>
            <family val="18"/>
          </rPr>
          <t>16/09/1819 Muster: IR 43 8. Fus. Komp. Nr. 44</t>
        </r>
        <r>
          <rPr>
            <sz val="14"/>
            <color rgb="FF000000"/>
            <rFont val="Calibri"/>
            <family val="34"/>
          </rPr>
          <t xml:space="preserve">
</t>
        </r>
        <r>
          <rPr>
            <sz val="14"/>
            <color rgb="FF000000"/>
            <rFont val="Times New Roman"/>
            <family val="18"/>
          </rPr>
          <t xml:space="preserve">31/10/1819 </t>
        </r>
        <r>
          <rPr>
            <i/>
            <sz val="14"/>
            <color rgb="FF000000"/>
            <rFont val="Times New Roman"/>
            <family val="18"/>
          </rPr>
          <t>in Folge Hohe hofkriegsratliche Reskript von 4. September a:c. R 3076 und hohe Banal General Commando Verordnung ddt Agram den 15. 7br a:c: R. 2313 als Ausgediente Inländer Capitulanten mit Abschied entlassen</t>
        </r>
        <r>
          <rPr>
            <sz val="14"/>
            <color rgb="FF000000"/>
            <rFont val="Times New Roman"/>
            <family val="18"/>
          </rPr>
          <t xml:space="preserve"> [ML 1820]</t>
        </r>
        <r>
          <rPr>
            <sz val="14"/>
            <color rgb="FF000000"/>
            <rFont val="Calibri"/>
            <family val="34"/>
          </rPr>
          <t xml:space="preserve">
</t>
        </r>
      </text>
    </comment>
    <comment ref="BG1494" authorId="0" shapeId="0" xr:uid="{F297EA33-25B6-D74E-A7A1-CDF36F386E2F}">
      <text>
        <r>
          <rPr>
            <sz val="14"/>
            <color rgb="FF000000"/>
            <rFont val="Times New Roman"/>
            <family val="18"/>
          </rPr>
          <t>ML 3862/3 IR 43 (1817): 8. Fus Komp. nr. 54 (Pressburg 30/09/1817)</t>
        </r>
        <r>
          <rPr>
            <sz val="14"/>
            <color rgb="FF000000"/>
            <rFont val="Calibri"/>
            <family val="34"/>
          </rPr>
          <t xml:space="preserve">
</t>
        </r>
        <r>
          <rPr>
            <sz val="14"/>
            <color rgb="FF000000"/>
            <rFont val="Times New Roman"/>
            <family val="18"/>
          </rPr>
          <t>ML 3864/5 (1818): IR 43 8. Fus Komp. Nr. 44</t>
        </r>
        <r>
          <rPr>
            <sz val="14"/>
            <color rgb="FF000000"/>
            <rFont val="Calibri"/>
            <family val="34"/>
          </rPr>
          <t xml:space="preserve">
</t>
        </r>
        <r>
          <rPr>
            <sz val="14"/>
            <color rgb="FF000000"/>
            <rFont val="Times New Roman"/>
            <family val="18"/>
          </rPr>
          <t>ML 3864/5 (1819): IR 43 8. Fus Komp. Nr. 44</t>
        </r>
        <r>
          <rPr>
            <sz val="14"/>
            <color rgb="FF000000"/>
            <rFont val="Calibri"/>
            <family val="34"/>
          </rPr>
          <t xml:space="preserve">
</t>
        </r>
        <r>
          <rPr>
            <sz val="14"/>
            <color rgb="FF000000"/>
            <rFont val="Times New Roman"/>
            <family val="18"/>
          </rPr>
          <t>ML 3868/9 IR 43 (1820): 8. Fus. Komp. - Abgang (Carlstadt 11/09/1810)</t>
        </r>
        <r>
          <rPr>
            <sz val="14"/>
            <color rgb="FF000000"/>
            <rFont val="Calibri"/>
            <family val="34"/>
          </rPr>
          <t xml:space="preserve">
</t>
        </r>
        <r>
          <rPr>
            <sz val="14"/>
            <color rgb="FF000000"/>
            <rFont val="Times New Roman"/>
            <family val="18"/>
          </rPr>
          <t>ML 3871 IR 43 (1815) – ST Oct (28/11/1816)</t>
        </r>
        <r>
          <rPr>
            <sz val="14"/>
            <color rgb="FF000000"/>
            <rFont val="Calibri"/>
            <family val="34"/>
          </rPr>
          <t xml:space="preserve">
</t>
        </r>
        <r>
          <rPr>
            <sz val="14"/>
            <color rgb="FF000000"/>
            <rFont val="Times New Roman"/>
            <family val="18"/>
          </rPr>
          <t>ML 3872 IR 43 (1815) AL Nr. 65 (Mantua 24/09/1815)</t>
        </r>
        <r>
          <rPr>
            <sz val="14"/>
            <color rgb="FF000000"/>
            <rFont val="Calibri"/>
            <family val="34"/>
          </rPr>
          <t xml:space="preserve">
</t>
        </r>
        <r>
          <rPr>
            <sz val="14"/>
            <color rgb="FF000000"/>
            <rFont val="Times New Roman"/>
            <family val="18"/>
          </rPr>
          <t>ML 3872 IR 43 (1816) – ST March (20/04/1817), Mai (Pressburg 01/06/1817)</t>
        </r>
        <r>
          <rPr>
            <sz val="14"/>
            <color rgb="FF000000"/>
            <rFont val="Calibri"/>
            <family val="34"/>
          </rPr>
          <t xml:space="preserve">
</t>
        </r>
      </text>
    </comment>
    <comment ref="BH1494" authorId="0" shapeId="0" xr:uid="{11B4DA9D-55DC-2445-A583-52B29340DAD0}">
      <text>
        <r>
          <rPr>
            <sz val="14"/>
            <color rgb="FF000000"/>
            <rFont val="Calibri"/>
            <family val="34"/>
          </rPr>
          <t>IR 43 (1815-1819)</t>
        </r>
      </text>
    </comment>
    <comment ref="BF1495" authorId="0" shapeId="0" xr:uid="{4992A095-65C1-CB4B-85F5-7010D117B8D5}">
      <text>
        <r>
          <rPr>
            <sz val="14"/>
            <color rgb="FF000000"/>
            <rFont val="Times New Roman"/>
            <family val="18"/>
          </rPr>
          <t xml:space="preserve">07/12/1815 </t>
        </r>
        <r>
          <rPr>
            <i/>
            <sz val="14"/>
            <color rgb="FF000000"/>
            <rFont val="Times New Roman"/>
            <family val="18"/>
          </rPr>
          <t>Auf 3Fl Handgeld auf 14 Jahre zu Sambor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8. Fus. Komp. Nr. 82</t>
        </r>
        <r>
          <rPr>
            <sz val="14"/>
            <color rgb="FF000000"/>
            <rFont val="Calibri"/>
            <family val="34"/>
          </rPr>
          <t xml:space="preserve">
</t>
        </r>
        <r>
          <rPr>
            <sz val="14"/>
            <color rgb="FF000000"/>
            <rFont val="Times New Roman"/>
            <family val="18"/>
          </rPr>
          <t>24/10/1818 Muster: IR 44 8. Fus. Komp. Nr. 80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22/10/1819 Muster: IR 44 8. Fus. Komp. Nr. 55</t>
        </r>
        <r>
          <rPr>
            <sz val="14"/>
            <color rgb="FF000000"/>
            <rFont val="Calibri"/>
            <family val="34"/>
          </rPr>
          <t xml:space="preserve">
</t>
        </r>
        <r>
          <rPr>
            <sz val="14"/>
            <color rgb="FF000000"/>
            <rFont val="Times New Roman"/>
            <family val="18"/>
          </rPr>
          <t>25/09/1820 Muster: IR 44 8. Fus. Komp. Nr. 47 [</t>
        </r>
        <r>
          <rPr>
            <i/>
            <sz val="14"/>
            <color rgb="FF000000"/>
            <rFont val="Times New Roman"/>
            <family val="18"/>
          </rPr>
          <t>Auf Wache zu Piacenza</t>
        </r>
        <r>
          <rPr>
            <sz val="14"/>
            <color rgb="FF000000"/>
            <rFont val="Times New Roman"/>
            <family val="18"/>
          </rPr>
          <t>]</t>
        </r>
      </text>
    </comment>
    <comment ref="BG1495" authorId="0" shapeId="0" xr:uid="{7586F570-327C-6F49-9FE3-5B15F91EBAF1}">
      <text>
        <r>
          <rPr>
            <sz val="14"/>
            <color rgb="FF000000"/>
            <rFont val="Times New Roman"/>
            <family val="18"/>
          </rPr>
          <t>ML 3915/6 IR 44 (1818) – 8. Fus. Komp. Nr. 82 (Pavia 05/01/1818); 8. Fus. Komp. Nr. 80 (Pavia 24/10/1818)</t>
        </r>
        <r>
          <rPr>
            <sz val="14"/>
            <color rgb="FF000000"/>
            <rFont val="Calibri"/>
            <family val="34"/>
          </rPr>
          <t xml:space="preserve">
</t>
        </r>
        <r>
          <rPr>
            <sz val="14"/>
            <color rgb="FF000000"/>
            <rFont val="Times New Roman"/>
            <family val="18"/>
          </rPr>
          <t>ML 3918/9 IR 44 (1819) – 8. Fus. Komp. Nr. 55 (Pavia 18/10/1819)</t>
        </r>
        <r>
          <rPr>
            <sz val="14"/>
            <color rgb="FF000000"/>
            <rFont val="Calibri"/>
            <family val="34"/>
          </rPr>
          <t xml:space="preserve">
</t>
        </r>
        <r>
          <rPr>
            <sz val="14"/>
            <color rgb="FF000000"/>
            <rFont val="Times New Roman"/>
            <family val="18"/>
          </rPr>
          <t>ML 3920 IR 44 (1820) – 8. Fus. Komp. Nr. 47 (Milan 25/09/1820)</t>
        </r>
        <r>
          <rPr>
            <sz val="14"/>
            <color rgb="FF000000"/>
            <rFont val="Calibri"/>
            <family val="34"/>
          </rPr>
          <t xml:space="preserve">
</t>
        </r>
      </text>
    </comment>
    <comment ref="BH1495" authorId="0" shapeId="0" xr:uid="{95757686-FE43-5947-AAA1-051E7E97F7EF}">
      <text>
        <r>
          <rPr>
            <sz val="14"/>
            <color rgb="FF000000"/>
            <rFont val="Calibri"/>
            <family val="34"/>
          </rPr>
          <t>IR 44 (1815-1820)</t>
        </r>
      </text>
    </comment>
    <comment ref="BF1496" authorId="0" shapeId="0" xr:uid="{099E3597-7DF3-C34C-A33C-7194722953CF}">
      <text>
        <r>
          <rPr>
            <sz val="14"/>
            <color rgb="FF000000"/>
            <rFont val="Times New Roman"/>
            <family val="18"/>
          </rPr>
          <t xml:space="preserve">04/02/1816 </t>
        </r>
        <r>
          <rPr>
            <i/>
            <sz val="14"/>
            <color rgb="FF000000"/>
            <rFont val="Times New Roman"/>
            <family val="18"/>
          </rPr>
          <t>Gegen 3Fl Handgeld auf 14 Jahre zu Wien gestellt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12. Fus. Komp. Nr. 176 [</t>
        </r>
        <r>
          <rPr>
            <i/>
            <sz val="14"/>
            <color rgb="FF000000"/>
            <rFont val="Times New Roman"/>
            <family val="18"/>
          </rPr>
          <t>Beurlaubt bis zur Einberufung in der Stadt Wien</t>
        </r>
        <r>
          <rPr>
            <sz val="14"/>
            <color rgb="FF000000"/>
            <rFont val="Times New Roman"/>
            <family val="18"/>
          </rPr>
          <t xml:space="preserve">] </t>
        </r>
        <r>
          <rPr>
            <sz val="14"/>
            <color rgb="FF000000"/>
            <rFont val="Calibri"/>
            <family val="34"/>
          </rPr>
          <t xml:space="preserve">
</t>
        </r>
        <r>
          <rPr>
            <sz val="14"/>
            <color rgb="FF000000"/>
            <rFont val="Times New Roman"/>
            <family val="18"/>
          </rPr>
          <t>28/09/1818 Muster: 12. Fus. Komp. Nr. 138</t>
        </r>
        <r>
          <rPr>
            <sz val="14"/>
            <color rgb="FF000000"/>
            <rFont val="Calibri"/>
            <family val="34"/>
          </rPr>
          <t xml:space="preserve">
</t>
        </r>
        <r>
          <rPr>
            <sz val="14"/>
            <color rgb="FF000000"/>
            <rFont val="Times New Roman"/>
            <family val="18"/>
          </rPr>
          <t xml:space="preserve">30/08/1819 </t>
        </r>
        <r>
          <rPr>
            <i/>
            <sz val="14"/>
            <color rgb="FF000000"/>
            <rFont val="Times New Roman"/>
            <family val="18"/>
          </rPr>
          <t>Von bestimmte Urlaub zurück</t>
        </r>
        <r>
          <rPr>
            <sz val="14"/>
            <color rgb="FF000000"/>
            <rFont val="Times New Roman"/>
            <family val="18"/>
          </rPr>
          <t xml:space="preserve"> [ST Sept 1819]</t>
        </r>
        <r>
          <rPr>
            <sz val="14"/>
            <color rgb="FF000000"/>
            <rFont val="Calibri"/>
            <family val="34"/>
          </rPr>
          <t xml:space="preserve">
</t>
        </r>
        <r>
          <rPr>
            <sz val="14"/>
            <color rgb="FF000000"/>
            <rFont val="Times New Roman"/>
            <family val="18"/>
          </rPr>
          <t>25/09/1819 Muster: 12. Fus. Komp. Nr. 124 [</t>
        </r>
        <r>
          <rPr>
            <i/>
            <sz val="14"/>
            <color rgb="FF000000"/>
            <rFont val="Times New Roman"/>
            <family val="18"/>
          </rPr>
          <t>Auf Wacht</t>
        </r>
        <r>
          <rPr>
            <sz val="14"/>
            <color rgb="FF000000"/>
            <rFont val="Times New Roman"/>
            <family val="18"/>
          </rPr>
          <t>]</t>
        </r>
        <r>
          <rPr>
            <sz val="14"/>
            <color rgb="FF000000"/>
            <rFont val="Calibri"/>
            <family val="34"/>
          </rPr>
          <t xml:space="preserve">
</t>
        </r>
        <r>
          <rPr>
            <sz val="14"/>
            <color rgb="FF000000"/>
            <rFont val="Times New Roman"/>
            <family val="18"/>
          </rPr>
          <t xml:space="preserve">03/08/1820 </t>
        </r>
        <r>
          <rPr>
            <i/>
            <sz val="14"/>
            <color rgb="FF000000"/>
            <rFont val="Times New Roman"/>
            <family val="18"/>
          </rPr>
          <t>Auf bestimmte Urlaub entlassen</t>
        </r>
        <r>
          <rPr>
            <sz val="14"/>
            <color rgb="FF000000"/>
            <rFont val="Times New Roman"/>
            <family val="18"/>
          </rPr>
          <t xml:space="preserve"> [ST Aug 1820]</t>
        </r>
        <r>
          <rPr>
            <sz val="14"/>
            <color rgb="FF000000"/>
            <rFont val="Calibri"/>
            <family val="34"/>
          </rPr>
          <t xml:space="preserve">
</t>
        </r>
        <r>
          <rPr>
            <sz val="14"/>
            <color rgb="FF000000"/>
            <rFont val="Times New Roman"/>
            <family val="18"/>
          </rPr>
          <t xml:space="preserve">15/08/1820 </t>
        </r>
        <r>
          <rPr>
            <i/>
            <sz val="14"/>
            <color rgb="FF000000"/>
            <rFont val="Times New Roman"/>
            <family val="18"/>
          </rPr>
          <t xml:space="preserve">Von 12. Zum 15. Fus. Komp. transferiert </t>
        </r>
        <r>
          <rPr>
            <sz val="14"/>
            <color rgb="FF000000"/>
            <rFont val="Times New Roman"/>
            <family val="18"/>
          </rPr>
          <t>[ML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 IR 4 15. Fus Komp.</t>
        </r>
        <r>
          <rPr>
            <sz val="14"/>
            <color rgb="FF000000"/>
            <rFont val="Times New Roman"/>
            <family val="18"/>
          </rPr>
          <t xml:space="preserve"> [ST Oct 1820]</t>
        </r>
        <r>
          <rPr>
            <sz val="14"/>
            <color rgb="FF000000"/>
            <rFont val="Calibri"/>
            <family val="34"/>
          </rPr>
          <t xml:space="preserve">
</t>
        </r>
      </text>
    </comment>
    <comment ref="BG1496" authorId="0" shapeId="0" xr:uid="{13637842-1484-5544-B9AA-6EEAEC5EB9E7}">
      <text>
        <r>
          <rPr>
            <sz val="14"/>
            <color rgb="FF000000"/>
            <rFont val="Times New Roman"/>
            <family val="18"/>
          </rPr>
          <t>ML 353/4 IR 4 (1817) – 12. Fus. Komp. Nr. 176 (St. Pölten 25/09/1817)</t>
        </r>
        <r>
          <rPr>
            <sz val="14"/>
            <color rgb="FF000000"/>
            <rFont val="Calibri"/>
            <family val="34"/>
          </rPr>
          <t xml:space="preserve">
</t>
        </r>
        <r>
          <rPr>
            <sz val="14"/>
            <color rgb="FF000000"/>
            <rFont val="Times New Roman"/>
            <family val="18"/>
          </rPr>
          <t>ML 355 IR 4 (1818) – 12. Fus. Komp. Nr. 138 (St. Pölten 28/09/1818)</t>
        </r>
        <r>
          <rPr>
            <sz val="14"/>
            <color rgb="FF000000"/>
            <rFont val="Calibri"/>
            <family val="34"/>
          </rPr>
          <t xml:space="preserve">
</t>
        </r>
        <r>
          <rPr>
            <sz val="14"/>
            <color rgb="FF000000"/>
            <rFont val="Times New Roman"/>
            <family val="18"/>
          </rPr>
          <t>ML 356/7 IR 4 (1819) – 12. Fus. Komp. Nr. 124 (St. Pölten 25/09/1819)</t>
        </r>
        <r>
          <rPr>
            <sz val="14"/>
            <color rgb="FF000000"/>
            <rFont val="Calibri"/>
            <family val="34"/>
          </rPr>
          <t xml:space="preserve">
</t>
        </r>
        <r>
          <rPr>
            <sz val="14"/>
            <color rgb="FF000000"/>
            <rFont val="Times New Roman"/>
            <family val="18"/>
          </rPr>
          <t>ML 427 IR 4 (1819) – ST Sept (St. Pölten 31/10/1819)</t>
        </r>
        <r>
          <rPr>
            <sz val="14"/>
            <color rgb="FF000000"/>
            <rFont val="Calibri"/>
            <family val="34"/>
          </rPr>
          <t xml:space="preserve">
</t>
        </r>
        <r>
          <rPr>
            <sz val="14"/>
            <color rgb="FF000000"/>
            <rFont val="Times New Roman"/>
            <family val="18"/>
          </rPr>
          <t>ML 429 IR 4 (1820) – ST Aug (St. Pölten 15/11/1820), Oct (St. Pölten 05/02/1821)</t>
        </r>
        <r>
          <rPr>
            <sz val="14"/>
            <color rgb="FF000000"/>
            <rFont val="Calibri"/>
            <family val="34"/>
          </rPr>
          <t xml:space="preserve">
</t>
        </r>
      </text>
    </comment>
    <comment ref="BH1496" authorId="0" shapeId="0" xr:uid="{20243ED1-EFB2-474F-84D5-03D570F86B72}">
      <text>
        <r>
          <rPr>
            <sz val="14"/>
            <color rgb="FF000000"/>
            <rFont val="Calibri"/>
            <family val="34"/>
          </rPr>
          <t>IR 4 (1816-1820)</t>
        </r>
      </text>
    </comment>
    <comment ref="BF1497" authorId="0" shapeId="0" xr:uid="{5F41302A-230A-EA4F-A474-C91249783BE1}">
      <text>
        <r>
          <rPr>
            <sz val="14"/>
            <color rgb="FF000000"/>
            <rFont val="Times New Roman"/>
            <family val="18"/>
          </rPr>
          <t xml:space="preserve">22/03/1816 </t>
        </r>
        <r>
          <rPr>
            <i/>
            <sz val="14"/>
            <color rgb="FF000000"/>
            <rFont val="Times New Roman"/>
            <family val="18"/>
          </rPr>
          <t>Gegen 10Fl Handgeld in C.M. auf 8 Jahr ins TKJR in loco assentiert und zur 22. Kompanie eingeteilt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27/09/1817 Musterung: TKJR 22. Komp. Nr. 67</t>
        </r>
        <r>
          <rPr>
            <sz val="14"/>
            <color rgb="FF000000"/>
            <rFont val="Calibri"/>
            <family val="34"/>
          </rPr>
          <t xml:space="preserve">
</t>
        </r>
        <r>
          <rPr>
            <sz val="14"/>
            <color rgb="FF000000"/>
            <rFont val="Times New Roman"/>
            <family val="18"/>
          </rPr>
          <t>20/10/1818 Musterung: TKJR 22. Komp. Nr. 60</t>
        </r>
        <r>
          <rPr>
            <sz val="14"/>
            <color rgb="FF000000"/>
            <rFont val="Calibri"/>
            <family val="34"/>
          </rPr>
          <t xml:space="preserve">
</t>
        </r>
        <r>
          <rPr>
            <sz val="14"/>
            <color rgb="FF000000"/>
            <rFont val="Times New Roman"/>
            <family val="18"/>
          </rPr>
          <t xml:space="preserve">01/11/1819 </t>
        </r>
        <r>
          <rPr>
            <i/>
            <sz val="14"/>
            <color rgb="FF000000"/>
            <rFont val="Times New Roman"/>
            <family val="18"/>
          </rPr>
          <t>Die Kompanie verlässt Innsbruck</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05/11/1819 </t>
        </r>
        <r>
          <rPr>
            <i/>
            <sz val="14"/>
            <color rgb="FF000000"/>
            <rFont val="Times New Roman"/>
            <family val="18"/>
          </rPr>
          <t>Die Kompanie kommt in Kasernen in Trient</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22/01/1819 </t>
        </r>
        <r>
          <rPr>
            <i/>
            <sz val="14"/>
            <color rgb="FF000000"/>
            <rFont val="Times New Roman"/>
            <family val="18"/>
          </rPr>
          <t>Krank im Bürger Spital in Trient</t>
        </r>
        <r>
          <rPr>
            <sz val="14"/>
            <color rgb="FF000000"/>
            <rFont val="Times New Roman"/>
            <family val="18"/>
          </rPr>
          <t xml:space="preserve"> [ST Jan 1819]</t>
        </r>
        <r>
          <rPr>
            <sz val="14"/>
            <color rgb="FF000000"/>
            <rFont val="Calibri"/>
            <family val="34"/>
          </rPr>
          <t xml:space="preserve">
</t>
        </r>
        <r>
          <rPr>
            <sz val="14"/>
            <color rgb="FF000000"/>
            <rFont val="Times New Roman"/>
            <family val="18"/>
          </rPr>
          <t xml:space="preserve">15/02/1819 </t>
        </r>
        <r>
          <rPr>
            <i/>
            <sz val="14"/>
            <color rgb="FF000000"/>
            <rFont val="Times New Roman"/>
            <family val="18"/>
          </rPr>
          <t>Rekonvalesziert</t>
        </r>
        <r>
          <rPr>
            <sz val="14"/>
            <color rgb="FF000000"/>
            <rFont val="Times New Roman"/>
            <family val="18"/>
          </rPr>
          <t xml:space="preserve"> [ST Feb 1819]</t>
        </r>
        <r>
          <rPr>
            <sz val="14"/>
            <color rgb="FF000000"/>
            <rFont val="Calibri"/>
            <family val="34"/>
          </rPr>
          <t xml:space="preserve">
</t>
        </r>
        <r>
          <rPr>
            <sz val="14"/>
            <color rgb="FF000000"/>
            <rFont val="Times New Roman"/>
            <family val="18"/>
          </rPr>
          <t xml:space="preserve">25/05/1819 </t>
        </r>
        <r>
          <rPr>
            <i/>
            <sz val="14"/>
            <color rgb="FF000000"/>
            <rFont val="Times New Roman"/>
            <family val="18"/>
          </rPr>
          <t>Auf 6 Wochen beurlaubt mit Bezahlung und Brot bis 31. Mai</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31/05/1819 </t>
        </r>
        <r>
          <rPr>
            <i/>
            <sz val="14"/>
            <color rgb="FF000000"/>
            <rFont val="Times New Roman"/>
            <family val="18"/>
          </rPr>
          <t>Von der Station Trient aus dem Urlaub desertiert</t>
        </r>
        <r>
          <rPr>
            <sz val="14"/>
            <color rgb="FF000000"/>
            <rFont val="Times New Roman"/>
            <family val="18"/>
          </rPr>
          <t xml:space="preserve"> [ML 1819 &amp; ST Juni 1819]</t>
        </r>
      </text>
    </comment>
    <comment ref="BG1497" authorId="0" shapeId="0" xr:uid="{A239C252-561C-FF4F-A13D-0CF4B2F5B452}">
      <text>
        <r>
          <rPr>
            <sz val="14"/>
            <color rgb="FF000000"/>
            <rFont val="Times New Roman"/>
            <family val="18"/>
          </rPr>
          <t>ML 5318-20 TKJR (1817) – 22. Komp Nr. 67 (Innsbruck 27/09/1817)</t>
        </r>
        <r>
          <rPr>
            <sz val="14"/>
            <color rgb="FF000000"/>
            <rFont val="Calibri"/>
            <family val="34"/>
          </rPr>
          <t xml:space="preserve">
</t>
        </r>
        <r>
          <rPr>
            <sz val="14"/>
            <color rgb="FF000000"/>
            <rFont val="Times New Roman"/>
            <family val="18"/>
          </rPr>
          <t>ML 5321-23 TKJR (1818) – 22. Komp. Nr. 60 (Innsbruck 20/10/1818)</t>
        </r>
        <r>
          <rPr>
            <sz val="14"/>
            <color rgb="FF000000"/>
            <rFont val="Calibri"/>
            <family val="34"/>
          </rPr>
          <t xml:space="preserve">
</t>
        </r>
        <r>
          <rPr>
            <sz val="14"/>
            <color rgb="FF000000"/>
            <rFont val="Times New Roman"/>
            <family val="18"/>
          </rPr>
          <t>ML 5324-26 TKJR (1819) – 22. Komp. Abgang (Trient 24/09/1819)</t>
        </r>
        <r>
          <rPr>
            <sz val="14"/>
            <color rgb="FF000000"/>
            <rFont val="Calibri"/>
            <family val="34"/>
          </rPr>
          <t xml:space="preserve">
</t>
        </r>
        <r>
          <rPr>
            <sz val="14"/>
            <color rgb="FF000000"/>
            <rFont val="Times New Roman"/>
            <family val="18"/>
          </rPr>
          <t>ML 5333 TKJR (1818) – November (12/01/1819)</t>
        </r>
        <r>
          <rPr>
            <sz val="14"/>
            <color rgb="FF000000"/>
            <rFont val="Calibri"/>
            <family val="34"/>
          </rPr>
          <t xml:space="preserve">
</t>
        </r>
        <r>
          <rPr>
            <sz val="14"/>
            <color rgb="FF000000"/>
            <rFont val="Times New Roman"/>
            <family val="18"/>
          </rPr>
          <t>ML 5334 TKJR (1819) – January (Innsbruck 15/03/1819), February (Innsbruck 31/03/1819), June (Innsbruck 31/07/1819)</t>
        </r>
        <r>
          <rPr>
            <sz val="14"/>
            <color rgb="FF000000"/>
            <rFont val="Calibri"/>
            <family val="34"/>
          </rPr>
          <t xml:space="preserve">
</t>
        </r>
        <r>
          <rPr>
            <sz val="14"/>
            <color rgb="FF000000"/>
            <rFont val="Times New Roman"/>
            <family val="18"/>
          </rPr>
          <t xml:space="preserve">Hohenems Genealogie </t>
        </r>
        <r>
          <rPr>
            <u/>
            <sz val="14"/>
            <color rgb="FF0563C1"/>
            <rFont val="Times New Roman"/>
            <family val="18"/>
          </rPr>
          <t>I2132</t>
        </r>
        <r>
          <rPr>
            <sz val="14"/>
            <color rgb="FF000000"/>
            <rFont val="Calibri"/>
            <family val="34"/>
          </rPr>
          <t xml:space="preserve">
</t>
        </r>
      </text>
    </comment>
    <comment ref="BH1497" authorId="0" shapeId="0" xr:uid="{0EBA0AC0-AE2E-3644-A3EC-259B1A926903}">
      <text>
        <r>
          <rPr>
            <sz val="14"/>
            <color rgb="FF000000"/>
            <rFont val="Calibri"/>
            <family val="34"/>
          </rPr>
          <t>TKJR (1816-1819)</t>
        </r>
      </text>
    </comment>
    <comment ref="BF1498" authorId="0" shapeId="0" xr:uid="{EE127970-CD1A-4F47-81EF-66EBF94B83C8}">
      <text>
        <r>
          <rPr>
            <sz val="14"/>
            <color rgb="FF000000"/>
            <rFont val="Times New Roman"/>
            <family val="18"/>
          </rPr>
          <t xml:space="preserve">01/10/1816 </t>
        </r>
        <r>
          <rPr>
            <i/>
            <sz val="14"/>
            <color rgb="FF000000"/>
            <rFont val="Times New Roman"/>
            <family val="18"/>
          </rPr>
          <t>Gegen 3Fl Handgeld mit 14 Jähriger Capitulation In IR 44 zu Lemberg assentiert und zur 11. Fus. Komp. zugeteilt</t>
        </r>
        <r>
          <rPr>
            <sz val="14"/>
            <color rgb="FF000000"/>
            <rFont val="Times New Roman"/>
            <family val="18"/>
          </rPr>
          <t xml:space="preserve"> [ML 1818 &amp; ML 1819]</t>
        </r>
        <r>
          <rPr>
            <sz val="14"/>
            <color rgb="FF000000"/>
            <rFont val="Calibri"/>
            <family val="34"/>
          </rPr>
          <t xml:space="preserve">
</t>
        </r>
        <r>
          <rPr>
            <sz val="14"/>
            <color rgb="FF000000"/>
            <rFont val="Times New Roman"/>
            <family val="18"/>
          </rPr>
          <t>05/01/1818 Muster: IR 44 11. Fus. Komp. Nr. 60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24/10/1818 Muster: IR 44 11. Fus. Komp. Nr. 50</t>
        </r>
        <r>
          <rPr>
            <sz val="14"/>
            <color rgb="FF000000"/>
            <rFont val="Calibri"/>
            <family val="34"/>
          </rPr>
          <t xml:space="preserve">
</t>
        </r>
        <r>
          <rPr>
            <sz val="14"/>
            <color rgb="FF000000"/>
            <rFont val="Times New Roman"/>
            <family val="18"/>
          </rPr>
          <t xml:space="preserve">21/03/1819 </t>
        </r>
        <r>
          <rPr>
            <i/>
            <sz val="14"/>
            <color rgb="FF000000"/>
            <rFont val="Times New Roman"/>
            <family val="18"/>
          </rPr>
          <t xml:space="preserve">Zum Gefreyter avanciert </t>
        </r>
        <r>
          <rPr>
            <sz val="14"/>
            <color rgb="FF000000"/>
            <rFont val="Times New Roman"/>
            <family val="18"/>
          </rPr>
          <t>[ML 1819]</t>
        </r>
        <r>
          <rPr>
            <sz val="14"/>
            <color rgb="FF000000"/>
            <rFont val="Calibri"/>
            <family val="34"/>
          </rPr>
          <t xml:space="preserve">
</t>
        </r>
        <r>
          <rPr>
            <sz val="14"/>
            <color rgb="FF000000"/>
            <rFont val="Times New Roman"/>
            <family val="18"/>
          </rPr>
          <t>18/10/1819 Muster: IR 44 11. Fus. Komp. Nr. 19</t>
        </r>
        <r>
          <rPr>
            <sz val="14"/>
            <color rgb="FF000000"/>
            <rFont val="Calibri"/>
            <family val="34"/>
          </rPr>
          <t xml:space="preserve">
</t>
        </r>
        <r>
          <rPr>
            <sz val="14"/>
            <color rgb="FF000000"/>
            <rFont val="Times New Roman"/>
            <family val="18"/>
          </rPr>
          <t>25/09/1820 Muster: IR 44 11. Fus. Komp. Nr. 18]</t>
        </r>
      </text>
    </comment>
    <comment ref="BG1498" authorId="0" shapeId="0" xr:uid="{BFB18EDD-4A52-7644-B698-FAF84E303685}">
      <text>
        <r>
          <rPr>
            <sz val="14"/>
            <color rgb="FF000000"/>
            <rFont val="Times New Roman"/>
            <family val="18"/>
          </rPr>
          <t>ML 3915/6 IR 44 (1818) – 11. Fus. Komp. Nr. 60 (Pavia 05/01/1818); 11. Fus. Komp. Nr. 50 (Pavia 24/10/1818)</t>
        </r>
        <r>
          <rPr>
            <sz val="14"/>
            <color rgb="FF000000"/>
            <rFont val="Calibri"/>
            <family val="34"/>
          </rPr>
          <t xml:space="preserve">
</t>
        </r>
        <r>
          <rPr>
            <sz val="14"/>
            <color rgb="FF000000"/>
            <rFont val="Times New Roman"/>
            <family val="18"/>
          </rPr>
          <t>ML 3918/9 IR 44 (1819) – 11. Fus. Komp. Nr. 19 (Pavia 18/10/1819)</t>
        </r>
        <r>
          <rPr>
            <sz val="14"/>
            <color rgb="FF000000"/>
            <rFont val="Calibri"/>
            <family val="34"/>
          </rPr>
          <t xml:space="preserve">
</t>
        </r>
        <r>
          <rPr>
            <sz val="14"/>
            <color rgb="FF000000"/>
            <rFont val="Times New Roman"/>
            <family val="18"/>
          </rPr>
          <t>ML 3920 IR 44 (1820) – 11. Fus. Komp. Nr. 18 (Milan 25/09/1820)</t>
        </r>
        <r>
          <rPr>
            <sz val="14"/>
            <color rgb="FF000000"/>
            <rFont val="Calibri"/>
            <family val="34"/>
          </rPr>
          <t xml:space="preserve">
</t>
        </r>
      </text>
    </comment>
    <comment ref="BH1498" authorId="0" shapeId="0" xr:uid="{04BE3386-AB4C-7245-8849-FBCECE43C741}">
      <text>
        <r>
          <rPr>
            <sz val="14"/>
            <color rgb="FF000000"/>
            <rFont val="Calibri"/>
            <family val="34"/>
          </rPr>
          <t>IR 44 (1816-1820)</t>
        </r>
      </text>
    </comment>
    <comment ref="BF1499" authorId="0" shapeId="0" xr:uid="{1C945B9C-1D88-2F40-9A81-162CCE35BE64}">
      <text>
        <r>
          <rPr>
            <sz val="14"/>
            <color rgb="FF000000"/>
            <rFont val="Times New Roman"/>
            <family val="18"/>
          </rPr>
          <t xml:space="preserve">16/12/1816 </t>
        </r>
        <r>
          <rPr>
            <i/>
            <sz val="14"/>
            <color rgb="FF000000"/>
            <rFont val="Times New Roman"/>
            <family val="18"/>
          </rPr>
          <t>Statt entlassenen Privat Diener Peter Hagy gegen 50Fl gestellt</t>
        </r>
        <r>
          <rPr>
            <sz val="14"/>
            <color rgb="FF000000"/>
            <rFont val="Times New Roman"/>
            <family val="18"/>
          </rPr>
          <t xml:space="preserve"> [According to Docierung Abraham was enlisted on 16/12/1806 and Hagy was discharged on 25/12/1816; In the ML enlistment on  01/01/1817 is given]</t>
        </r>
        <r>
          <rPr>
            <sz val="14"/>
            <color rgb="FF000000"/>
            <rFont val="Calibri"/>
            <family val="2"/>
          </rPr>
          <t xml:space="preserve">
</t>
        </r>
        <r>
          <rPr>
            <sz val="14"/>
            <color rgb="FF000000"/>
            <rFont val="Times New Roman"/>
            <family val="18"/>
          </rPr>
          <t>23/10/1817 Musterung: HR 2 ObristLt 2. Esk Nr. 114</t>
        </r>
        <r>
          <rPr>
            <sz val="14"/>
            <color rgb="FF000000"/>
            <rFont val="Calibri"/>
            <family val="2"/>
          </rPr>
          <t xml:space="preserve">
</t>
        </r>
      </text>
    </comment>
    <comment ref="BG1499" authorId="0" shapeId="0" xr:uid="{D90A2FE2-02BD-544E-B15A-6C1F8A2966E2}">
      <text>
        <r>
          <rPr>
            <sz val="14"/>
            <color rgb="FF000000"/>
            <rFont val="Times New Roman"/>
            <family val="18"/>
          </rPr>
          <t>ML 7356 HR 2 (1817) – ML Heft von ObristLr 2. Esk Nr. 114 (Szászváros 23/10/1817)</t>
        </r>
      </text>
    </comment>
    <comment ref="BH1499" authorId="0" shapeId="0" xr:uid="{8EC9EEA8-E014-EC4F-80A3-C5E46A90BA21}">
      <text>
        <r>
          <rPr>
            <sz val="14"/>
            <color rgb="FF000000"/>
            <rFont val="Calibri"/>
            <family val="34"/>
          </rPr>
          <t>HR 2 (1816-17)</t>
        </r>
      </text>
    </comment>
    <comment ref="BF1500" authorId="0" shapeId="0" xr:uid="{26C02BD6-9E09-8846-8BF2-D50B433511F3}">
      <text>
        <r>
          <rPr>
            <sz val="14"/>
            <color rgb="FF000000"/>
            <rFont val="Times New Roman"/>
            <family val="18"/>
          </rPr>
          <t xml:space="preserve">14/01/1817 </t>
        </r>
        <r>
          <rPr>
            <i/>
            <sz val="14"/>
            <color rgb="FF000000"/>
            <rFont val="Times New Roman"/>
            <family val="18"/>
          </rPr>
          <t xml:space="preserve">A 3Fl Handgeld auf 14 Jahre assentiert </t>
        </r>
        <r>
          <rPr>
            <sz val="14"/>
            <color rgb="FF000000"/>
            <rFont val="Times New Roman"/>
            <family val="18"/>
          </rPr>
          <t>[TL Jan 1820]</t>
        </r>
        <r>
          <rPr>
            <sz val="14"/>
            <color rgb="FF000000"/>
            <rFont val="Calibri"/>
            <family val="34"/>
          </rPr>
          <t xml:space="preserve">
</t>
        </r>
        <r>
          <rPr>
            <sz val="14"/>
            <color rgb="FF000000"/>
            <rFont val="Times New Roman"/>
            <family val="18"/>
          </rPr>
          <t xml:space="preserve">21/06/1819 </t>
        </r>
        <r>
          <rPr>
            <i/>
            <sz val="14"/>
            <color rgb="FF000000"/>
            <rFont val="Times New Roman"/>
            <family val="18"/>
          </rPr>
          <t>Desertiert</t>
        </r>
        <r>
          <rPr>
            <sz val="14"/>
            <color rgb="FF000000"/>
            <rFont val="Times New Roman"/>
            <family val="18"/>
          </rPr>
          <t xml:space="preserve"> [TL Jan 1820]</t>
        </r>
        <r>
          <rPr>
            <sz val="14"/>
            <color rgb="FF000000"/>
            <rFont val="Calibri"/>
            <family val="34"/>
          </rPr>
          <t xml:space="preserve">
</t>
        </r>
        <r>
          <rPr>
            <sz val="14"/>
            <color rgb="FF000000"/>
            <rFont val="Times New Roman"/>
            <family val="18"/>
          </rPr>
          <t xml:space="preserve">13/08/1819 </t>
        </r>
        <r>
          <rPr>
            <i/>
            <sz val="14"/>
            <color rgb="FF000000"/>
            <rFont val="Times New Roman"/>
            <family val="18"/>
          </rPr>
          <t xml:space="preserve">Von Landmann gegen 24Fl Taglia eingebracht </t>
        </r>
        <r>
          <rPr>
            <sz val="14"/>
            <color rgb="FF000000"/>
            <rFont val="Times New Roman"/>
            <family val="18"/>
          </rPr>
          <t>[TL Jan 1820]</t>
        </r>
        <r>
          <rPr>
            <sz val="14"/>
            <color rgb="FF000000"/>
            <rFont val="Calibri"/>
            <family val="34"/>
          </rPr>
          <t xml:space="preserve">
</t>
        </r>
        <r>
          <rPr>
            <sz val="14"/>
            <color rgb="FF000000"/>
            <rFont val="Times New Roman"/>
            <family val="18"/>
          </rPr>
          <t xml:space="preserve">20/01/1820 </t>
        </r>
        <r>
          <rPr>
            <i/>
            <sz val="14"/>
            <color rgb="FF000000"/>
            <rFont val="Times New Roman"/>
            <family val="18"/>
          </rPr>
          <t>nachstehende zu Folge hoher Militari General Kommando Verordnung deto Lemberg am 4. Janner R. 12408 von IR 9 12. Fus. Komp zum IR 1 transferiert und zur 1. Fus. Komp eigeteilt, Seitdem auf anhero Marsch</t>
        </r>
        <r>
          <rPr>
            <sz val="14"/>
            <color rgb="FF000000"/>
            <rFont val="Times New Roman"/>
            <family val="18"/>
          </rPr>
          <t xml:space="preserve"> [TL Jan 1820 &amp; ST Jan 1820] </t>
        </r>
        <r>
          <rPr>
            <sz val="14"/>
            <color rgb="FF000000"/>
            <rFont val="Calibri"/>
            <family val="34"/>
          </rPr>
          <t xml:space="preserve">
</t>
        </r>
        <r>
          <rPr>
            <sz val="14"/>
            <color rgb="FF000000"/>
            <rFont val="Times New Roman"/>
            <family val="18"/>
          </rPr>
          <t xml:space="preserve">01/04/1820 </t>
        </r>
        <r>
          <rPr>
            <i/>
            <sz val="14"/>
            <color rgb="FF000000"/>
            <rFont val="Times New Roman"/>
            <family val="18"/>
          </rPr>
          <t xml:space="preserve">In Kompanie eingerückt </t>
        </r>
        <r>
          <rPr>
            <sz val="14"/>
            <color rgb="FF000000"/>
            <rFont val="Times New Roman"/>
            <family val="18"/>
          </rPr>
          <t>[ST April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1. Fus Komp</t>
        </r>
        <r>
          <rPr>
            <sz val="14"/>
            <color rgb="FF000000"/>
            <rFont val="Times New Roman"/>
            <family val="18"/>
          </rPr>
          <t xml:space="preserve"> [ST Oct 1820]</t>
        </r>
        <r>
          <rPr>
            <sz val="14"/>
            <color rgb="FF000000"/>
            <rFont val="Calibri"/>
            <family val="34"/>
          </rPr>
          <t xml:space="preserve">
</t>
        </r>
      </text>
    </comment>
    <comment ref="BG1500" authorId="0" shapeId="0" xr:uid="{78988B42-9216-FE46-A674-77CE63820AE2}">
      <text>
        <r>
          <rPr>
            <sz val="14"/>
            <color rgb="FF000000"/>
            <rFont val="Times New Roman"/>
            <family val="18"/>
          </rPr>
          <t>ML 115 IR 1 (1820) – ST Jan (20/04/1820), April (20/05/1820)</t>
        </r>
        <r>
          <rPr>
            <sz val="14"/>
            <color rgb="FF000000"/>
            <rFont val="Calibri"/>
            <family val="34"/>
          </rPr>
          <t xml:space="preserve">
</t>
        </r>
        <r>
          <rPr>
            <sz val="14"/>
            <color rgb="FF000000"/>
            <rFont val="Times New Roman"/>
            <family val="18"/>
          </rPr>
          <t>ML 116 IR 1 (1820) AL/TL – AL Nr. 1 (Przemysl 14/01/1820)</t>
        </r>
        <r>
          <rPr>
            <sz val="14"/>
            <color rgb="FF000000"/>
            <rFont val="Calibri"/>
            <family val="34"/>
          </rPr>
          <t xml:space="preserve">
</t>
        </r>
      </text>
    </comment>
    <comment ref="BH1500" authorId="0" shapeId="0" xr:uid="{305C56E8-58D0-4F43-B445-01D239D81D2F}">
      <text>
        <r>
          <rPr>
            <sz val="14"/>
            <color rgb="FF000000"/>
            <rFont val="Calibri"/>
            <family val="34"/>
          </rPr>
          <t xml:space="preserve">IR 9 (1817-1820)
</t>
        </r>
        <r>
          <rPr>
            <sz val="14"/>
            <color rgb="FF000000"/>
            <rFont val="Calibri"/>
            <family val="34"/>
          </rPr>
          <t>IR 1 (1820)</t>
        </r>
      </text>
    </comment>
    <comment ref="I1501" authorId="0" shapeId="0" xr:uid="{B28922B4-C2A4-BF48-B8AD-F5BCB6410AD4}">
      <text>
        <r>
          <rPr>
            <b/>
            <sz val="14"/>
            <color rgb="FF000000"/>
            <rFont val="Calibri"/>
            <family val="34"/>
          </rPr>
          <t xml:space="preserve">1793 [26 (1819)]
</t>
        </r>
        <r>
          <rPr>
            <sz val="14"/>
            <color rgb="FF000000"/>
            <rFont val="Calibri"/>
            <family val="34"/>
          </rPr>
          <t xml:space="preserve">OR 
</t>
        </r>
        <r>
          <rPr>
            <sz val="14"/>
            <color rgb="FF000000"/>
            <rFont val="Calibri"/>
            <family val="34"/>
          </rPr>
          <t>1794 [36 (1820)]</t>
        </r>
      </text>
    </comment>
    <comment ref="T1501" authorId="0" shapeId="0" xr:uid="{46D9AE51-5CAF-D145-8A84-4FFB5277C1A4}">
      <text>
        <r>
          <rPr>
            <b/>
            <sz val="14"/>
            <color rgb="FF000000"/>
            <rFont val="Calibri"/>
            <family val="34"/>
          </rPr>
          <t xml:space="preserve">5.5 [171.15 cm] (ML 1820)]
</t>
        </r>
        <r>
          <rPr>
            <sz val="14"/>
            <color rgb="FF000000"/>
            <rFont val="Calibri"/>
            <family val="34"/>
          </rPr>
          <t>5.6 [173.78 cm (ML 1819)]</t>
        </r>
      </text>
    </comment>
    <comment ref="BF1501" authorId="0" shapeId="0" xr:uid="{7E6DECF8-71B3-C442-AA38-B78F7209E985}">
      <text>
        <r>
          <rPr>
            <sz val="14"/>
            <color rgb="FF000000"/>
            <rFont val="Times New Roman"/>
            <family val="18"/>
          </rPr>
          <t xml:space="preserve">01/03/1817 </t>
        </r>
        <r>
          <rPr>
            <i/>
            <sz val="14"/>
            <color rgb="FF000000"/>
            <rFont val="Times New Roman"/>
            <family val="18"/>
          </rPr>
          <t xml:space="preserve">Von MFWK ohne Transferierungslista zum HR 10 transferiert </t>
        </r>
        <r>
          <rPr>
            <sz val="14"/>
            <color rgb="FF000000"/>
            <rFont val="Times New Roman"/>
            <family val="18"/>
          </rPr>
          <t>[ML 1819]</t>
        </r>
        <r>
          <rPr>
            <sz val="14"/>
            <color rgb="FF000000"/>
            <rFont val="Calibri"/>
            <family val="34"/>
          </rPr>
          <t xml:space="preserve">
</t>
        </r>
        <r>
          <rPr>
            <sz val="14"/>
            <color rgb="FF000000"/>
            <rFont val="Times New Roman"/>
            <family val="18"/>
          </rPr>
          <t xml:space="preserve">01/06/1818 </t>
        </r>
        <r>
          <rPr>
            <i/>
            <sz val="14"/>
            <color rgb="FF000000"/>
            <rFont val="Times New Roman"/>
            <family val="18"/>
          </rPr>
          <t>Von 1. Obrest zum 2. Major 1. Esk.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23/09/1819 Muster: HR 10 2. Major 1. Esk. Nr. 46</t>
        </r>
        <r>
          <rPr>
            <sz val="14"/>
            <color rgb="FF000000"/>
            <rFont val="Calibri"/>
            <family val="34"/>
          </rPr>
          <t xml:space="preserve">
</t>
        </r>
        <r>
          <rPr>
            <sz val="14"/>
            <color rgb="FF000000"/>
            <rFont val="Times New Roman"/>
            <family val="18"/>
          </rPr>
          <t xml:space="preserve">21/11/1819 </t>
        </r>
        <r>
          <rPr>
            <i/>
            <sz val="14"/>
            <color rgb="FF000000"/>
            <rFont val="Times New Roman"/>
            <family val="18"/>
          </rPr>
          <t>Beurlaubt bis zur Einberufung</t>
        </r>
        <r>
          <rPr>
            <sz val="14"/>
            <color rgb="FF000000"/>
            <rFont val="Times New Roman"/>
            <family val="18"/>
          </rPr>
          <t xml:space="preserve"> [ML 1820]</t>
        </r>
        <r>
          <rPr>
            <sz val="14"/>
            <color rgb="FF000000"/>
            <rFont val="Calibri"/>
            <family val="34"/>
          </rPr>
          <t xml:space="preserve">
</t>
        </r>
        <r>
          <rPr>
            <sz val="14"/>
            <color rgb="FF000000"/>
            <rFont val="Times New Roman"/>
            <family val="18"/>
          </rPr>
          <t>05/09/1820 Muster: HR 10 2. Major 1. Esk. 2. Flügel Nr. 72 [</t>
        </r>
        <r>
          <rPr>
            <i/>
            <sz val="14"/>
            <color rgb="FF000000"/>
            <rFont val="Times New Roman"/>
            <family val="18"/>
          </rPr>
          <t>Bis zur Einberufung beurlaubt in seinem Geburtsort</t>
        </r>
        <r>
          <rPr>
            <sz val="14"/>
            <color rgb="FF000000"/>
            <rFont val="Times New Roman"/>
            <family val="18"/>
          </rPr>
          <t>]</t>
        </r>
        <r>
          <rPr>
            <sz val="14"/>
            <color rgb="FF000000"/>
            <rFont val="Calibri"/>
            <family val="34"/>
          </rPr>
          <t xml:space="preserve">
</t>
        </r>
      </text>
    </comment>
    <comment ref="BG1501" authorId="0" shapeId="0" xr:uid="{8047FF09-E013-7B44-8749-7D3CDCDAB2A5}">
      <text>
        <r>
          <rPr>
            <sz val="14"/>
            <color rgb="FF000000"/>
            <rFont val="Times New Roman"/>
            <family val="18"/>
          </rPr>
          <t>ML 7746 HR 10 (1819): 2. Major 1. Esk Nr. 46 (Jolsva 23/09/1819)</t>
        </r>
        <r>
          <rPr>
            <sz val="14"/>
            <color rgb="FF000000"/>
            <rFont val="Calibri"/>
            <family val="34"/>
          </rPr>
          <t xml:space="preserve">
</t>
        </r>
        <r>
          <rPr>
            <sz val="14"/>
            <color rgb="FF000000"/>
            <rFont val="Times New Roman"/>
            <family val="18"/>
          </rPr>
          <t>ML 7747 HR 10 (1820): 2. Major 1. Esk. 2. Flügel (Janosy 05/09/1820)</t>
        </r>
      </text>
    </comment>
    <comment ref="BH1501" authorId="0" shapeId="0" xr:uid="{4E742C27-A844-334A-926B-219BFD0EA3B2}">
      <text>
        <r>
          <rPr>
            <sz val="14"/>
            <color rgb="FF000000"/>
            <rFont val="Calibri"/>
            <family val="34"/>
          </rPr>
          <t xml:space="preserve">MFWK (1817)
</t>
        </r>
        <r>
          <rPr>
            <sz val="14"/>
            <color rgb="FF000000"/>
            <rFont val="Calibri"/>
            <family val="34"/>
          </rPr>
          <t>HR 2 (1817-1820)</t>
        </r>
      </text>
    </comment>
    <comment ref="BF1502" authorId="0" shapeId="0" xr:uid="{93CDBFCD-4D93-A346-9DD9-5E970E520E3C}">
      <text>
        <r>
          <rPr>
            <sz val="14"/>
            <color rgb="FF000000"/>
            <rFont val="Times New Roman"/>
            <family val="18"/>
          </rPr>
          <t xml:space="preserve">25/04/1817 </t>
        </r>
        <r>
          <rPr>
            <i/>
            <sz val="14"/>
            <color rgb="FF000000"/>
            <rFont val="Times New Roman"/>
            <family val="18"/>
          </rPr>
          <t>Hat sich in Bregenz gegen 3Fl Handgeld auf 6</t>
        </r>
        <r>
          <rPr>
            <sz val="14"/>
            <color rgb="FF000000"/>
            <rFont val="Times New Roman"/>
            <family val="18"/>
          </rPr>
          <t xml:space="preserve"> </t>
        </r>
        <r>
          <rPr>
            <i/>
            <sz val="14"/>
            <color rgb="FF000000"/>
            <rFont val="Times New Roman"/>
            <family val="18"/>
          </rPr>
          <t xml:space="preserve">Jahre zum Kaiser Tyroler Jager Regiment </t>
        </r>
        <r>
          <rPr>
            <b/>
            <sz val="14"/>
            <color rgb="FF000000"/>
            <rFont val="Times New Roman"/>
            <family val="18"/>
          </rPr>
          <t xml:space="preserve">[TKJR] </t>
        </r>
        <r>
          <rPr>
            <i/>
            <sz val="14"/>
            <color rgb="FF000000"/>
            <rFont val="Times New Roman"/>
            <family val="18"/>
          </rPr>
          <t>freiwillig engagiert und zur 16.</t>
        </r>
        <r>
          <rPr>
            <sz val="14"/>
            <color rgb="FF000000"/>
            <rFont val="Times New Roman"/>
            <family val="18"/>
          </rPr>
          <t xml:space="preserve"> </t>
        </r>
        <r>
          <rPr>
            <i/>
            <sz val="14"/>
            <color rgb="FF000000"/>
            <rFont val="Times New Roman"/>
            <family val="18"/>
          </rPr>
          <t>Kompanie eingeteilt</t>
        </r>
        <r>
          <rPr>
            <sz val="14"/>
            <color rgb="FF000000"/>
            <rFont val="Times New Roman"/>
            <family val="18"/>
          </rPr>
          <t xml:space="preserve"> [AL April 1817 &amp; ST May 1817 &amp; ML 1817]
</t>
        </r>
        <r>
          <rPr>
            <sz val="14"/>
            <color rgb="FFFF0000"/>
            <rFont val="Times New Roman"/>
            <family val="18"/>
          </rPr>
          <t xml:space="preserve">25/04/1817 </t>
        </r>
        <r>
          <rPr>
            <i/>
            <sz val="14"/>
            <color rgb="FFFF0000"/>
            <rFont val="Times New Roman"/>
            <family val="18"/>
          </rPr>
          <t>Von Land gestellter Rekrut gegen 3Fl Handgeld auf 8 Jahre assentiert</t>
        </r>
        <r>
          <rPr>
            <sz val="14"/>
            <color rgb="FFFF0000"/>
            <rFont val="Times New Roman"/>
            <family val="18"/>
          </rPr>
          <t xml:space="preserve"> [SIC!] [GB KJR 24]</t>
        </r>
        <r>
          <rPr>
            <sz val="14"/>
            <color rgb="FF000000"/>
            <rFont val="Times New Roman"/>
            <family val="18"/>
          </rPr>
          <t xml:space="preserve">
</t>
        </r>
        <r>
          <rPr>
            <sz val="14"/>
            <color rgb="FF000000"/>
            <rFont val="Times New Roman"/>
            <family val="18"/>
          </rPr>
          <t xml:space="preserve">[Nach der Assentierung wurde die Capitulation von 6 auf 8 Jahre verlängert]
</t>
        </r>
        <r>
          <rPr>
            <sz val="14"/>
            <color rgb="FF000000"/>
            <rFont val="Times New Roman"/>
            <family val="18"/>
          </rPr>
          <t xml:space="preserve">04/10/1817 Musterung: TKJR 16. Komp. Nr. 94
</t>
        </r>
        <r>
          <rPr>
            <sz val="14"/>
            <color rgb="FF000000"/>
            <rFont val="Times New Roman"/>
            <family val="18"/>
          </rPr>
          <t xml:space="preserve">29/12/1817 </t>
        </r>
        <r>
          <rPr>
            <i/>
            <sz val="14"/>
            <color rgb="FF000000"/>
            <rFont val="Times New Roman"/>
            <family val="18"/>
          </rPr>
          <t>Marsch nach Kufstein</t>
        </r>
        <r>
          <rPr>
            <sz val="14"/>
            <color rgb="FF000000"/>
            <rFont val="Times New Roman"/>
            <family val="18"/>
          </rPr>
          <t xml:space="preserve"> [ST Dec 1817]
</t>
        </r>
        <r>
          <rPr>
            <sz val="14"/>
            <color rgb="FF000000"/>
            <rFont val="Times New Roman"/>
            <family val="18"/>
          </rPr>
          <t xml:space="preserve">15/01/1818 </t>
        </r>
        <r>
          <rPr>
            <i/>
            <sz val="14"/>
            <color rgb="FF000000"/>
            <rFont val="Times New Roman"/>
            <family val="18"/>
          </rPr>
          <t>Die Kompanie rückt in Kufstein mit ordinärem Kasernen Service ein</t>
        </r>
        <r>
          <rPr>
            <sz val="14"/>
            <color rgb="FF000000"/>
            <rFont val="Times New Roman"/>
            <family val="18"/>
          </rPr>
          <t xml:space="preserve"> [ST Jan 1818]
</t>
        </r>
        <r>
          <rPr>
            <sz val="14"/>
            <color rgb="FF000000"/>
            <rFont val="Times New Roman"/>
            <family val="18"/>
          </rPr>
          <t xml:space="preserve">25/09/1818 Musterung: TKJR 16. Komp. Nr. 88
</t>
        </r>
        <r>
          <rPr>
            <sz val="14"/>
            <color rgb="FF000000"/>
            <rFont val="Times New Roman"/>
            <family val="18"/>
          </rPr>
          <t xml:space="preserve">17/11/1818 </t>
        </r>
        <r>
          <rPr>
            <i/>
            <sz val="14"/>
            <color rgb="FF000000"/>
            <rFont val="Times New Roman"/>
            <family val="18"/>
          </rPr>
          <t>Die Kompanie verlässt Kufstein</t>
        </r>
        <r>
          <rPr>
            <sz val="14"/>
            <color rgb="FF000000"/>
            <rFont val="Times New Roman"/>
            <family val="18"/>
          </rPr>
          <t xml:space="preserve"> [ST Nov 1818]
</t>
        </r>
        <r>
          <rPr>
            <sz val="14"/>
            <color rgb="FF000000"/>
            <rFont val="Times New Roman"/>
            <family val="18"/>
          </rPr>
          <t xml:space="preserve">20/11/1818 </t>
        </r>
        <r>
          <rPr>
            <i/>
            <sz val="14"/>
            <color rgb="FF000000"/>
            <rFont val="Times New Roman"/>
            <family val="18"/>
          </rPr>
          <t>Die Kompanie kommt nach Innsbruck</t>
        </r>
        <r>
          <rPr>
            <sz val="14"/>
            <color rgb="FF000000"/>
            <rFont val="Times New Roman"/>
            <family val="18"/>
          </rPr>
          <t xml:space="preserve"> [ST Nov 1818]
</t>
        </r>
        <r>
          <rPr>
            <sz val="14"/>
            <color rgb="FF000000"/>
            <rFont val="Times New Roman"/>
            <family val="18"/>
          </rPr>
          <t xml:space="preserve">16/09/1819 </t>
        </r>
        <r>
          <rPr>
            <i/>
            <sz val="14"/>
            <color rgb="FF000000"/>
            <rFont val="Times New Roman"/>
            <family val="18"/>
          </rPr>
          <t>Mit Viaticum auf 25 Meilen von unbestimmtem Urlaub zurück</t>
        </r>
        <r>
          <rPr>
            <sz val="14"/>
            <color rgb="FF000000"/>
            <rFont val="Times New Roman"/>
            <family val="18"/>
          </rPr>
          <t xml:space="preserve"> [ST Sept 1819)
</t>
        </r>
        <r>
          <rPr>
            <sz val="14"/>
            <color rgb="FF000000"/>
            <rFont val="Times New Roman"/>
            <family val="18"/>
          </rPr>
          <t xml:space="preserve">21/09/1819 </t>
        </r>
        <r>
          <rPr>
            <i/>
            <sz val="14"/>
            <color rgb="FF000000"/>
            <rFont val="Times New Roman"/>
            <family val="18"/>
          </rPr>
          <t>Krank im Loco Spital</t>
        </r>
        <r>
          <rPr>
            <sz val="14"/>
            <color rgb="FF000000"/>
            <rFont val="Times New Roman"/>
            <family val="18"/>
          </rPr>
          <t xml:space="preserve"> [ST Sept 1819]
</t>
        </r>
        <r>
          <rPr>
            <sz val="14"/>
            <color rgb="FF000000"/>
            <rFont val="Times New Roman"/>
            <family val="18"/>
          </rPr>
          <t>12/10/1819 Musterung: TKJR 16. Komp. Nr. 76 [</t>
        </r>
        <r>
          <rPr>
            <i/>
            <sz val="14"/>
            <color rgb="FF000000"/>
            <rFont val="Times New Roman"/>
            <family val="18"/>
          </rPr>
          <t>Krank im Loco Spital zu Innsbruck</t>
        </r>
        <r>
          <rPr>
            <sz val="14"/>
            <color rgb="FF000000"/>
            <rFont val="Times New Roman"/>
            <family val="18"/>
          </rPr>
          <t xml:space="preserve">]
</t>
        </r>
        <r>
          <rPr>
            <sz val="14"/>
            <color rgb="FF000000"/>
            <rFont val="Times New Roman"/>
            <family val="18"/>
          </rPr>
          <t xml:space="preserve">20/10/1819 </t>
        </r>
        <r>
          <rPr>
            <i/>
            <sz val="14"/>
            <color rgb="FF000000"/>
            <rFont val="Times New Roman"/>
            <family val="18"/>
          </rPr>
          <t>Rekonvalesziert</t>
        </r>
        <r>
          <rPr>
            <sz val="14"/>
            <color rgb="FF000000"/>
            <rFont val="Times New Roman"/>
            <family val="18"/>
          </rPr>
          <t xml:space="preserve"> [ST Oct 1819]
</t>
        </r>
        <r>
          <rPr>
            <sz val="14"/>
            <color rgb="FF000000"/>
            <rFont val="Times New Roman"/>
            <family val="18"/>
          </rPr>
          <t xml:space="preserve">27/10/1819 </t>
        </r>
        <r>
          <rPr>
            <i/>
            <sz val="14"/>
            <color rgb="FF000000"/>
            <rFont val="Times New Roman"/>
            <family val="18"/>
          </rPr>
          <t>Mit Viaticum auf 25 Meilen auf unbestimmten Urlaub entlassen</t>
        </r>
        <r>
          <rPr>
            <sz val="14"/>
            <color rgb="FF000000"/>
            <rFont val="Times New Roman"/>
            <family val="18"/>
          </rPr>
          <t xml:space="preserve"> [ST Oct 1819]
</t>
        </r>
        <r>
          <rPr>
            <sz val="14"/>
            <color rgb="FF000000"/>
            <rFont val="Times New Roman"/>
            <family val="18"/>
          </rPr>
          <t xml:space="preserve">29/04/1820 </t>
        </r>
        <r>
          <rPr>
            <i/>
            <sz val="14"/>
            <color rgb="FF000000"/>
            <rFont val="Times New Roman"/>
            <family val="18"/>
          </rPr>
          <t xml:space="preserve">Die Kompanie verlässt Innsbruck </t>
        </r>
        <r>
          <rPr>
            <sz val="14"/>
            <color rgb="FF000000"/>
            <rFont val="Times New Roman"/>
            <family val="18"/>
          </rPr>
          <t xml:space="preserve">[ST April 1820)
</t>
        </r>
        <r>
          <rPr>
            <sz val="14"/>
            <color rgb="FF000000"/>
            <rFont val="Times New Roman"/>
            <family val="18"/>
          </rPr>
          <t xml:space="preserve">01/05/1820 </t>
        </r>
        <r>
          <rPr>
            <i/>
            <sz val="14"/>
            <color rgb="FF000000"/>
            <rFont val="Times New Roman"/>
            <family val="18"/>
          </rPr>
          <t>Ankunft und Einquartierung der Kompanie in der Festung Kufstein</t>
        </r>
        <r>
          <rPr>
            <sz val="14"/>
            <color rgb="FF000000"/>
            <rFont val="Times New Roman"/>
            <family val="18"/>
          </rPr>
          <t xml:space="preserve"> [ST May 1820]
</t>
        </r>
        <r>
          <rPr>
            <sz val="14"/>
            <color rgb="FF000000"/>
            <rFont val="Times New Roman"/>
            <family val="18"/>
          </rPr>
          <t xml:space="preserve">01/09/1820 </t>
        </r>
        <r>
          <rPr>
            <i/>
            <sz val="14"/>
            <color rgb="FF000000"/>
            <rFont val="Times New Roman"/>
            <family val="18"/>
          </rPr>
          <t xml:space="preserve">Die 16. Kompanie verlässt Kufstein </t>
        </r>
        <r>
          <rPr>
            <sz val="14"/>
            <color rgb="FF000000"/>
            <rFont val="Times New Roman"/>
            <family val="18"/>
          </rPr>
          <t xml:space="preserve">[ST Sept 1820]
</t>
        </r>
        <r>
          <rPr>
            <sz val="14"/>
            <color rgb="FF000000"/>
            <rFont val="Times New Roman"/>
            <family val="18"/>
          </rPr>
          <t xml:space="preserve">04/09/1820 </t>
        </r>
        <r>
          <rPr>
            <i/>
            <sz val="14"/>
            <color rgb="FF000000"/>
            <rFont val="Times New Roman"/>
            <family val="18"/>
          </rPr>
          <t>Ankunft und Einquartierung ins Kasernen Service in Innsbruck</t>
        </r>
        <r>
          <rPr>
            <sz val="14"/>
            <color rgb="FF000000"/>
            <rFont val="Times New Roman"/>
            <family val="18"/>
          </rPr>
          <t xml:space="preserve"> [ST Sept 1820]
</t>
        </r>
        <r>
          <rPr>
            <sz val="14"/>
            <color rgb="FF000000"/>
            <rFont val="Times New Roman"/>
            <family val="18"/>
          </rPr>
          <t xml:space="preserve">14/09/1820 </t>
        </r>
        <r>
          <rPr>
            <i/>
            <sz val="14"/>
            <color rgb="FF000000"/>
            <rFont val="Times New Roman"/>
            <family val="18"/>
          </rPr>
          <t>Von unbestimmtem Urlaub in die Kompanie eingerückt</t>
        </r>
        <r>
          <rPr>
            <sz val="14"/>
            <color rgb="FF000000"/>
            <rFont val="Times New Roman"/>
            <family val="18"/>
          </rPr>
          <t xml:space="preserve"> [ST Sept 1820]
</t>
        </r>
        <r>
          <rPr>
            <sz val="14"/>
            <color rgb="FF000000"/>
            <rFont val="Times New Roman"/>
            <family val="18"/>
          </rPr>
          <t>06/10/1820 Revision: TKJR 16. Komp. Nr. 150 [</t>
        </r>
        <r>
          <rPr>
            <i/>
            <sz val="14"/>
            <color rgb="FF000000"/>
            <rFont val="Times New Roman"/>
            <family val="18"/>
          </rPr>
          <t>Real Invalid</t>
        </r>
        <r>
          <rPr>
            <sz val="14"/>
            <color rgb="FF000000"/>
            <rFont val="Times New Roman"/>
            <family val="18"/>
          </rPr>
          <t xml:space="preserve">]
</t>
        </r>
        <r>
          <rPr>
            <sz val="14"/>
            <color rgb="FF000000"/>
            <rFont val="Times New Roman"/>
            <family val="18"/>
          </rPr>
          <t xml:space="preserve">20/08/1821 </t>
        </r>
        <r>
          <rPr>
            <i/>
            <sz val="14"/>
            <color rgb="FF000000"/>
            <rFont val="Times New Roman"/>
            <family val="18"/>
          </rPr>
          <t>Laut Verordnung det. Gratz am 20. Julius 1821 R. 5485 als Reale Invalid mit Abschied entlassen</t>
        </r>
        <r>
          <rPr>
            <sz val="14"/>
            <color rgb="FF000000"/>
            <rFont val="Times New Roman"/>
            <family val="18"/>
          </rPr>
          <t xml:space="preserve"> [GB KJR 24]</t>
        </r>
      </text>
    </comment>
    <comment ref="BG1502" authorId="0" shapeId="0" xr:uid="{3ED9402D-9984-674F-A0F2-03E1933971C4}">
      <text>
        <r>
          <rPr>
            <sz val="14"/>
            <color rgb="FF000000"/>
            <rFont val="Times New Roman"/>
            <family val="18"/>
          </rPr>
          <t>ML 5118-20 TKJR (1817): 14. Komp. Zuwachs &amp; Abgang (Bregenz 04/10/1817), 15. Komp. Nr. 14 (Bregenz 04/10/1817)</t>
        </r>
        <r>
          <rPr>
            <sz val="14"/>
            <color rgb="FF000000"/>
            <rFont val="Calibri"/>
            <family val="34"/>
          </rPr>
          <t xml:space="preserve">
</t>
        </r>
        <r>
          <rPr>
            <sz val="14"/>
            <color rgb="FF000000"/>
            <rFont val="Times New Roman"/>
            <family val="18"/>
          </rPr>
          <t>ML 5321-23 TKJR (1818) – 15. Komp. Nr. 14 (Kufstein 25/09/1818)</t>
        </r>
        <r>
          <rPr>
            <sz val="14"/>
            <color rgb="FF000000"/>
            <rFont val="Calibri"/>
            <family val="34"/>
          </rPr>
          <t xml:space="preserve">
</t>
        </r>
        <r>
          <rPr>
            <sz val="14"/>
            <color rgb="FF000000"/>
            <rFont val="Times New Roman"/>
            <family val="18"/>
          </rPr>
          <t>ML 5324-26 TKJR (1819) – 15. Komp. Nr. 13 (Innsbruck 12/10/1819)</t>
        </r>
        <r>
          <rPr>
            <sz val="14"/>
            <color rgb="FF000000"/>
            <rFont val="Calibri"/>
            <family val="34"/>
          </rPr>
          <t xml:space="preserve">
</t>
        </r>
        <r>
          <rPr>
            <sz val="14"/>
            <color rgb="FF000000"/>
            <rFont val="Times New Roman"/>
            <family val="18"/>
          </rPr>
          <t>ML 5327 TKJR (1820) – 18. Komp. Nr. 15 (Innsbruck 13/10/1820)</t>
        </r>
        <r>
          <rPr>
            <sz val="14"/>
            <color rgb="FF000000"/>
            <rFont val="Calibri"/>
            <family val="34"/>
          </rPr>
          <t xml:space="preserve">
</t>
        </r>
        <r>
          <rPr>
            <sz val="14"/>
            <color rgb="FF000000"/>
            <rFont val="Times New Roman"/>
            <family val="18"/>
          </rPr>
          <t>ML 5331 TKJR (1817) – ST December (Innsbruck 26/03/1818)</t>
        </r>
        <r>
          <rPr>
            <sz val="14"/>
            <color rgb="FF000000"/>
            <rFont val="Calibri"/>
            <family val="34"/>
          </rPr>
          <t xml:space="preserve">
</t>
        </r>
        <r>
          <rPr>
            <sz val="14"/>
            <color rgb="FF000000"/>
            <rFont val="Times New Roman"/>
            <family val="18"/>
          </rPr>
          <t>ML 5333 TKJR (1818) – ST January (Innsbruck 19/04/1818), November (Innsbruck 12/01/1819)</t>
        </r>
        <r>
          <rPr>
            <sz val="14"/>
            <color rgb="FF000000"/>
            <rFont val="Calibri"/>
            <family val="34"/>
          </rPr>
          <t xml:space="preserve">
</t>
        </r>
        <r>
          <rPr>
            <sz val="14"/>
            <color rgb="FF000000"/>
            <rFont val="Times New Roman"/>
            <family val="18"/>
          </rPr>
          <t>ML 5336 TKJR (1820) – ST April (Innsbruck 20/05/1820), May (Innsbruck 24/06/1820), June (??/07/1820)</t>
        </r>
        <r>
          <rPr>
            <sz val="14"/>
            <color rgb="FF000000"/>
            <rFont val="Calibri"/>
            <family val="34"/>
          </rPr>
          <t xml:space="preserve">
</t>
        </r>
        <r>
          <rPr>
            <sz val="14"/>
            <color rgb="FF000000"/>
            <rFont val="Times New Roman"/>
            <family val="18"/>
          </rPr>
          <t xml:space="preserve">GB Kaiser Jäger Regiment 27: Abgang Klasse III 1820-1840 Heft 10 S. 183.  </t>
        </r>
        <r>
          <rPr>
            <sz val="14"/>
            <color rgb="FF000000"/>
            <rFont val="Calibri"/>
            <family val="34"/>
          </rPr>
          <t xml:space="preserve">
</t>
        </r>
        <r>
          <rPr>
            <sz val="14"/>
            <color rgb="FF000000"/>
            <rFont val="Times New Roman"/>
            <family val="18"/>
          </rPr>
          <t xml:space="preserve">Hohenems Genealogie </t>
        </r>
        <r>
          <rPr>
            <u/>
            <sz val="14"/>
            <color rgb="FF0563C1"/>
            <rFont val="Times New Roman"/>
            <family val="18"/>
          </rPr>
          <t>I2142</t>
        </r>
        <r>
          <rPr>
            <sz val="14"/>
            <color rgb="FF000000"/>
            <rFont val="Calibri"/>
            <family val="34"/>
          </rPr>
          <t xml:space="preserve">
</t>
        </r>
      </text>
    </comment>
    <comment ref="BH1502" authorId="0" shapeId="0" xr:uid="{D309C42C-3B6A-9F4F-8694-9517E7D79B62}">
      <text>
        <r>
          <rPr>
            <sz val="14"/>
            <color rgb="FF000000"/>
            <rFont val="Calibri"/>
            <family val="34"/>
          </rPr>
          <t>TKJR (1817-1821)</t>
        </r>
      </text>
    </comment>
    <comment ref="BF1503" authorId="0" shapeId="0" xr:uid="{F17045D1-C179-2445-9679-9856F51DA931}">
      <text>
        <r>
          <rPr>
            <sz val="14"/>
            <color rgb="FF000000"/>
            <rFont val="Times New Roman"/>
            <family val="18"/>
          </rPr>
          <t xml:space="preserve">03/02/1820 </t>
        </r>
        <r>
          <rPr>
            <i/>
            <sz val="14"/>
            <color rgb="FF000000"/>
            <rFont val="Times New Roman"/>
            <family val="18"/>
          </rPr>
          <t xml:space="preserve">aus dem Stand der in Jahr 1819 gestellte Reserve wegen Nahrunglossikeit zum obig Regiment gegen 3FL Gulden Handgeld und vierzehnjährige Capitulation als Inländer Rekruten zum IR 1 zu Cremsier präsentierte und zum 12. Fus. Komp eingeteilt </t>
        </r>
        <r>
          <rPr>
            <sz val="14"/>
            <color rgb="FF000000"/>
            <rFont val="Times New Roman"/>
            <family val="18"/>
          </rPr>
          <t>[TL Feb 1820]</t>
        </r>
        <r>
          <rPr>
            <sz val="14"/>
            <color rgb="FF000000"/>
            <rFont val="Calibri"/>
            <family val="34"/>
          </rPr>
          <t xml:space="preserve">
</t>
        </r>
        <r>
          <rPr>
            <sz val="14"/>
            <color rgb="FF000000"/>
            <rFont val="Times New Roman"/>
            <family val="18"/>
          </rPr>
          <t xml:space="preserve">31/10/1820 </t>
        </r>
        <r>
          <rPr>
            <i/>
            <sz val="14"/>
            <color rgb="FF000000"/>
            <rFont val="Times New Roman"/>
            <family val="18"/>
          </rPr>
          <t>Dient bis mindestens beim IR 1 als Gemeiner in 12. Fus Komp</t>
        </r>
        <r>
          <rPr>
            <sz val="14"/>
            <color rgb="FF000000"/>
            <rFont val="Times New Roman"/>
            <family val="18"/>
          </rPr>
          <t xml:space="preserve"> [ST Oct 1820]</t>
        </r>
        <r>
          <rPr>
            <sz val="14"/>
            <color rgb="FF000000"/>
            <rFont val="Calibri"/>
            <family val="34"/>
          </rPr>
          <t xml:space="preserve">
</t>
        </r>
      </text>
    </comment>
    <comment ref="BG1503" authorId="0" shapeId="0" xr:uid="{0ECE8E10-34EC-A643-BDD4-443B043842C2}">
      <text>
        <r>
          <rPr>
            <sz val="14"/>
            <color rgb="FF000000"/>
            <rFont val="Times New Roman"/>
            <family val="18"/>
          </rPr>
          <t>ML 115 IR 1 (1820) – ST Feb (Cremsier 20/03/1820), ST Oct (15/01/1820)</t>
        </r>
        <r>
          <rPr>
            <sz val="14"/>
            <color rgb="FF000000"/>
            <rFont val="Calibri"/>
            <family val="34"/>
          </rPr>
          <t xml:space="preserve">
</t>
        </r>
        <r>
          <rPr>
            <sz val="14"/>
            <color rgb="FF000000"/>
            <rFont val="Times New Roman"/>
            <family val="18"/>
          </rPr>
          <t>ML 116 IR 1 (1820) AL/TL – PL Nr. 1 (Cremsier 03/02/1820)</t>
        </r>
        <r>
          <rPr>
            <sz val="14"/>
            <color rgb="FF000000"/>
            <rFont val="Calibri"/>
            <family val="34"/>
          </rPr>
          <t xml:space="preserve">
</t>
        </r>
      </text>
    </comment>
    <comment ref="BH1503" authorId="0" shapeId="0" xr:uid="{58457FD9-FB2B-094E-BA6B-6D9CA8164CB3}">
      <text>
        <r>
          <rPr>
            <sz val="14"/>
            <color rgb="FF000000"/>
            <rFont val="Calibri"/>
            <family val="34"/>
          </rPr>
          <t>IR 1 (1820)</t>
        </r>
      </text>
    </comment>
    <comment ref="BF1504" authorId="0" shapeId="0" xr:uid="{B327E50B-CB9E-5449-B157-D944532F5717}">
      <text>
        <r>
          <rPr>
            <sz val="14"/>
            <color rgb="FF000000"/>
            <rFont val="Times New Roman"/>
            <family val="18"/>
          </rPr>
          <t xml:space="preserve">19/08/1820 </t>
        </r>
        <r>
          <rPr>
            <i/>
            <sz val="14"/>
            <color rgb="FF000000"/>
            <rFont val="Times New Roman"/>
            <family val="18"/>
          </rPr>
          <t>Gegen 10Fl Handgeld als Regiments Recrout auf 6 Jahr zu Mailand freiwillig zum IR 44</t>
        </r>
        <r>
          <rPr>
            <sz val="14"/>
            <color rgb="FF000000"/>
            <rFont val="Times New Roman"/>
            <family val="18"/>
          </rPr>
          <t xml:space="preserve"> </t>
        </r>
        <r>
          <rPr>
            <i/>
            <sz val="14"/>
            <color rgb="FF000000"/>
            <rFont val="Times New Roman"/>
            <family val="18"/>
          </rPr>
          <t xml:space="preserve">engagiert und zur 18. Komp. eingeteilt </t>
        </r>
        <r>
          <rPr>
            <sz val="14"/>
            <color rgb="FF000000"/>
            <rFont val="Times New Roman"/>
            <family val="18"/>
          </rPr>
          <t>[ML 1820]</t>
        </r>
        <r>
          <rPr>
            <sz val="14"/>
            <color rgb="FF000000"/>
            <rFont val="Calibri"/>
            <family val="34"/>
          </rPr>
          <t xml:space="preserve">
</t>
        </r>
        <r>
          <rPr>
            <sz val="14"/>
            <color rgb="FF000000"/>
            <rFont val="Times New Roman"/>
            <family val="18"/>
          </rPr>
          <t>27/09/1820 Muster: IR 44 18. Fus. Komp. Nr. 100 [</t>
        </r>
        <r>
          <rPr>
            <i/>
            <sz val="14"/>
            <color rgb="FF000000"/>
            <rFont val="Times New Roman"/>
            <family val="18"/>
          </rPr>
          <t>Marode</t>
        </r>
        <r>
          <rPr>
            <sz val="14"/>
            <color rgb="FF000000"/>
            <rFont val="Times New Roman"/>
            <family val="18"/>
          </rPr>
          <t>]</t>
        </r>
        <r>
          <rPr>
            <sz val="14"/>
            <color rgb="FF000000"/>
            <rFont val="Calibri"/>
            <family val="34"/>
          </rPr>
          <t xml:space="preserve">
</t>
        </r>
      </text>
    </comment>
    <comment ref="BG1504" authorId="0" shapeId="0" xr:uid="{AD58FB22-26F7-5640-90A6-79F6EEE25FD2}">
      <text>
        <r>
          <rPr>
            <sz val="14"/>
            <color rgb="FF000000"/>
            <rFont val="Times New Roman"/>
            <family val="18"/>
          </rPr>
          <t>ML 3920 IR 44 (1820) – 18. Fus. Komp. Nr. 100 (Como 27/09/1820)</t>
        </r>
        <r>
          <rPr>
            <sz val="14"/>
            <color rgb="FF000000"/>
            <rFont val="Calibri"/>
            <family val="34"/>
          </rPr>
          <t xml:space="preserve">
</t>
        </r>
      </text>
    </comment>
    <comment ref="BH1504" authorId="0" shapeId="0" xr:uid="{F565FC0D-2DB1-AB41-86D3-B1DC7D5E5AA3}">
      <text>
        <r>
          <rPr>
            <sz val="14"/>
            <color rgb="FF000000"/>
            <rFont val="Calibri"/>
            <family val="34"/>
          </rPr>
          <t>IR 44 (1820)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Microsoft Office User</author>
  </authors>
  <commentList>
    <comment ref="I3" authorId="0" shapeId="0" xr:uid="{A4738EA4-E2EB-E942-9BA9-69B29919536B}">
      <text>
        <r>
          <rPr>
            <sz val="14"/>
            <color rgb="FF000000"/>
            <rFont val="Calibri"/>
            <family val="34"/>
          </rPr>
          <t xml:space="preserve">32 (1800) 
</t>
        </r>
        <r>
          <rPr>
            <sz val="14"/>
            <color rgb="FF000000"/>
            <rFont val="Calibri"/>
            <family val="34"/>
          </rPr>
          <t xml:space="preserve">OR 
</t>
        </r>
        <r>
          <rPr>
            <sz val="14"/>
            <color rgb="FF000000"/>
            <rFont val="Calibri"/>
            <family val="34"/>
          </rPr>
          <t>36 (1801)</t>
        </r>
      </text>
    </comment>
    <comment ref="BF3" authorId="0" shapeId="0" xr:uid="{D6374F21-152D-1C4C-8933-35E55C541FBF}">
      <text>
        <r>
          <rPr>
            <sz val="14"/>
            <color rgb="FF000000"/>
            <rFont val="Times New Roman"/>
            <family val="18"/>
          </rPr>
          <t xml:space="preserve">1786/7 [Seit] </t>
        </r>
        <r>
          <rPr>
            <i/>
            <sz val="14"/>
            <color rgb="FF000000"/>
            <rFont val="Times New Roman"/>
            <family val="18"/>
          </rPr>
          <t>Dient 14 Jahr</t>
        </r>
        <r>
          <rPr>
            <sz val="14"/>
            <color rgb="FF000000"/>
            <rFont val="Times New Roman"/>
            <family val="18"/>
          </rPr>
          <t xml:space="preserve"> [TL June 1800 &amp; TL April 1801]</t>
        </r>
        <r>
          <rPr>
            <sz val="14"/>
            <color rgb="FF000000"/>
            <rFont val="Calibri"/>
            <family val="34"/>
          </rPr>
          <t xml:space="preserve">
</t>
        </r>
        <r>
          <rPr>
            <sz val="14"/>
            <color rgb="FF000000"/>
            <rFont val="Times New Roman"/>
            <family val="18"/>
          </rPr>
          <t xml:space="preserve">11/06/1800 </t>
        </r>
        <r>
          <rPr>
            <i/>
            <sz val="14"/>
            <color rgb="FF000000"/>
            <rFont val="Times New Roman"/>
            <family val="18"/>
          </rPr>
          <t>Von MFWK 48. Art. Div. zum IR 60 Lieb &amp; Obrist Bat Artillerie Fuhrwesen transferiert</t>
        </r>
        <r>
          <rPr>
            <sz val="14"/>
            <color rgb="FF000000"/>
            <rFont val="Times New Roman"/>
            <family val="18"/>
          </rPr>
          <t xml:space="preserve"> [TL June 1800]</t>
        </r>
        <r>
          <rPr>
            <sz val="14"/>
            <color rgb="FF000000"/>
            <rFont val="Calibri"/>
            <family val="34"/>
          </rPr>
          <t xml:space="preserve">
</t>
        </r>
        <r>
          <rPr>
            <sz val="14"/>
            <color rgb="FF000000"/>
            <rFont val="Times New Roman"/>
            <family val="18"/>
          </rPr>
          <t xml:space="preserve">01/04/1801 </t>
        </r>
        <r>
          <rPr>
            <i/>
            <sz val="14"/>
            <color rgb="FF000000"/>
            <rFont val="Times New Roman"/>
            <family val="18"/>
          </rPr>
          <t>Von Artillerie Bespannung zum Proviant Fuhrwesen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21/04/1801 </t>
        </r>
        <r>
          <rPr>
            <i/>
            <sz val="14"/>
            <color rgb="FF000000"/>
            <rFont val="Times New Roman"/>
            <family val="18"/>
          </rPr>
          <t>In Folge hohe Generals-Befehl dtt. Wien am 12. Aprill 801 Von Linien Infanterie Regiment Nro. 60 zu der Milit: Fuhrwesens Wiener Einrichtung Division abgegeben</t>
        </r>
        <r>
          <rPr>
            <sz val="14"/>
            <color rgb="FF000000"/>
            <rFont val="Times New Roman"/>
            <family val="18"/>
          </rPr>
          <t xml:space="preserve"> [TL March 1803 &amp; ML 1802]</t>
        </r>
      </text>
    </comment>
    <comment ref="BG3" authorId="0" shapeId="0" xr:uid="{93D0590F-58DB-BC45-98F6-3B13830843E8}">
      <text>
        <r>
          <rPr>
            <sz val="14"/>
            <color rgb="FF000000"/>
            <rFont val="Times New Roman"/>
            <family val="18"/>
          </rPr>
          <t>ML 5102-4 IR 60 (1802) – Proviant Fuhrwesen Zuwachs &amp; Abgang (Tamesvar 15/09/1802)</t>
        </r>
        <r>
          <rPr>
            <sz val="14"/>
            <color rgb="FF000000"/>
            <rFont val="Calibri"/>
            <family val="34"/>
          </rPr>
          <t xml:space="preserve">
</t>
        </r>
        <r>
          <rPr>
            <sz val="14"/>
            <color rgb="FF000000"/>
            <rFont val="Times New Roman"/>
            <family val="18"/>
          </rPr>
          <t>ML 5123 IR 60 (1800) AL/TL – TL MFWK-&gt;IR 60 Nr. 2 (Kenthy 07/06/1800)</t>
        </r>
        <r>
          <rPr>
            <sz val="14"/>
            <color rgb="FF000000"/>
            <rFont val="Calibri"/>
            <family val="34"/>
          </rPr>
          <t xml:space="preserve">
</t>
        </r>
        <r>
          <rPr>
            <sz val="14"/>
            <color rgb="FF000000"/>
            <rFont val="Times New Roman"/>
            <family val="18"/>
          </rPr>
          <t>ML 5125 IR 60 (1801) AL/TL – TL IR 60-&gt;MFWK Nr. 16 (Temesvar 22/03/1803)</t>
        </r>
      </text>
    </comment>
    <comment ref="BH3" authorId="0" shapeId="0" xr:uid="{5E65D10A-1D26-C240-AA9C-440476ED11F1}">
      <text>
        <r>
          <rPr>
            <sz val="14"/>
            <color rgb="FF000000"/>
            <rFont val="Calibri"/>
            <family val="34"/>
          </rPr>
          <t>MFWK (1786/7-1801)</t>
        </r>
      </text>
    </comment>
    <comment ref="B4" authorId="0" shapeId="0" xr:uid="{188F59DF-07C3-134B-AF2E-61B870755515}">
      <text>
        <r>
          <rPr>
            <sz val="14"/>
            <color rgb="FF000000"/>
            <rFont val="Calibri"/>
            <family val="34"/>
          </rPr>
          <t>Hersch GELB/ Hirsch GALL/KUHN</t>
        </r>
      </text>
    </comment>
    <comment ref="I4" authorId="0" shapeId="0" xr:uid="{CFD4E56E-FAD4-D846-A773-76A90C553E5E}">
      <text>
        <r>
          <rPr>
            <sz val="14"/>
            <color rgb="FF000000"/>
            <rFont val="Calibri"/>
            <family val="34"/>
          </rPr>
          <t xml:space="preserve">24(1790)/  34(1800) 
</t>
        </r>
        <r>
          <rPr>
            <sz val="14"/>
            <color rgb="FF000000"/>
            <rFont val="Calibri"/>
            <family val="34"/>
          </rPr>
          <t xml:space="preserve">OR 
</t>
        </r>
        <r>
          <rPr>
            <sz val="14"/>
            <color rgb="FF000000"/>
            <rFont val="Calibri"/>
            <family val="34"/>
          </rPr>
          <t>40 (1802)</t>
        </r>
      </text>
    </comment>
    <comment ref="J4" authorId="0" shapeId="0" xr:uid="{EC3947F2-E884-F04B-906C-00A024D93AA1}">
      <text>
        <r>
          <rPr>
            <sz val="14"/>
            <color rgb="FF000000"/>
            <rFont val="Calibri"/>
            <family val="34"/>
          </rPr>
          <t xml:space="preserve">Ledig (1790)
</t>
        </r>
        <r>
          <rPr>
            <sz val="14"/>
            <color rgb="FF000000"/>
            <rFont val="Calibri"/>
            <family val="34"/>
          </rPr>
          <t>Veheiratet (1800-6)</t>
        </r>
      </text>
    </comment>
    <comment ref="T4" authorId="0" shapeId="0" xr:uid="{B92319D5-4D55-F34A-ACCD-328ED3C5AA78}">
      <text>
        <r>
          <rPr>
            <sz val="14"/>
            <color rgb="FF000000"/>
            <rFont val="Calibri"/>
            <family val="34"/>
          </rPr>
          <t xml:space="preserve">5.2 (1790/1800)
</t>
        </r>
        <r>
          <rPr>
            <sz val="14"/>
            <color rgb="FF000000"/>
            <rFont val="Calibri"/>
            <family val="34"/>
          </rPr>
          <t>5.2.2 (1803-6)</t>
        </r>
      </text>
    </comment>
    <comment ref="BF4" authorId="0" shapeId="0" xr:uid="{156A0D04-BD23-8344-93EF-0959951CECBF}">
      <text>
        <r>
          <rPr>
            <sz val="14"/>
            <color rgb="FFFF0000"/>
            <rFont val="Calibri"/>
            <family val="34"/>
          </rPr>
          <t xml:space="preserve">c. 1788 hat vorher 12 Jahr in Fuhrwesen gedient [AL Aug 1800]
</t>
        </r>
        <r>
          <rPr>
            <sz val="14"/>
            <color rgb="FF000000"/>
            <rFont val="Calibri"/>
            <family val="34"/>
          </rPr>
          <t xml:space="preserve">28/03/1790 Laut General Commando Verordnung det. Lemberg 8. Marz 1790 ausgehoben und a 3Fl zum Lemberg ins IR 32 (H) Feld Bataillons assentiert. Seitdem auf anhero Marche [AL April 1790 &amp; ST Mai 1790]
</t>
        </r>
        <r>
          <rPr>
            <sz val="14"/>
            <color rgb="FF000000"/>
            <rFont val="Calibri"/>
            <family val="34"/>
          </rPr>
          <t xml:space="preserve">30/04/1790 In Loco eingerückt und zum Regiments Fuhrwesen zugeheilt [ST Mai 1790]
</t>
        </r>
        <r>
          <rPr>
            <sz val="14"/>
            <color rgb="FF000000"/>
            <rFont val="Calibri"/>
            <family val="34"/>
          </rPr>
          <t xml:space="preserve">29/11/1790 Vermog hohe HKR Verordnung von 15/ Aug 1790 und General Commando Verordnung deto Lemberg den 22/08/1790 von IR 32 Regiments Fuhrwesen auf Unbestimmte Urlaub abgelassen [ST Nov 1790]
</t>
        </r>
        <r>
          <rPr>
            <sz val="14"/>
            <color rgb="FF000000"/>
            <rFont val="Calibri"/>
            <family val="34"/>
          </rPr>
          <t xml:space="preserve">Vor 07/1800 Von Fuhrwesen mit Abschied entlassen [AL 1800] 
</t>
        </r>
        <r>
          <rPr>
            <sz val="14"/>
            <color rgb="FFFF0000"/>
            <rFont val="Calibri"/>
            <family val="34"/>
          </rPr>
          <t xml:space="preserve">03/05/1800 dienst seit mit 3Fl Handgeld [ML 1806]
</t>
        </r>
        <r>
          <rPr>
            <sz val="14"/>
            <color rgb="FFFF0000"/>
            <rFont val="Calibri"/>
            <family val="34"/>
          </rPr>
          <t xml:space="preserve">07/05/1800 als galizische ständische Rekrut a 3Fl Handgeld assentiert [ML 1802 bis 1805]
</t>
        </r>
        <r>
          <rPr>
            <sz val="14"/>
            <color rgb="FF000000"/>
            <rFont val="Calibri"/>
            <family val="34"/>
          </rPr>
          <t xml:space="preserve">21/07/1800 von Ständen gestellt und zu Lemberg a 3Fl Handgeld Assentiert und seitdem auf Anhero Marsch mit Friedensgebühr [ST Aug 1800]
</t>
        </r>
        <r>
          <rPr>
            <sz val="14"/>
            <color rgb="FF000000"/>
            <rFont val="Calibri"/>
            <family val="34"/>
          </rPr>
          <t xml:space="preserve">26/10/1800 In die Reserve Division eingerückt [ST Oct 1800]
</t>
        </r>
        <r>
          <rPr>
            <sz val="14"/>
            <color rgb="FF000000"/>
            <rFont val="Calibri"/>
            <family val="34"/>
          </rPr>
          <t xml:space="preserve">01/11/1800 Auf Marsch zum Regiment [ST Nov 1800] 
</t>
        </r>
        <r>
          <rPr>
            <sz val="14"/>
            <color rgb="FF000000"/>
            <rFont val="Calibri"/>
            <family val="34"/>
          </rPr>
          <t xml:space="preserve">21/12/1800 von Reserve Division in Haupt Basta Comp Transferiert [ST Dec 1800]
</t>
        </r>
        <r>
          <rPr>
            <sz val="14"/>
            <color rgb="FF000000"/>
            <rFont val="Calibri"/>
            <family val="34"/>
          </rPr>
          <t xml:space="preserve">27/03/1801 Krank auswärts [ST March 1801]
</t>
        </r>
        <r>
          <rPr>
            <sz val="14"/>
            <color rgb="FF000000"/>
            <rFont val="Calibri"/>
            <family val="34"/>
          </rPr>
          <t xml:space="preserve">31/05/1801 Reconvalesciert [ST Juni 1801]
</t>
        </r>
        <r>
          <rPr>
            <sz val="14"/>
            <color rgb="FF000000"/>
            <rFont val="Calibri"/>
            <family val="34"/>
          </rPr>
          <t xml:space="preserve">07/07/1802 Bestimmt Beurlaubt mit Deutscher Gebühr und Teuerungsbeitrag bis 11, und mit Ungarischen Gebühr ohne Teuerungsbeitrag bis inclusive 13. verpflegt und dato [ST Juli 1802]
</t>
        </r>
        <r>
          <rPr>
            <sz val="14"/>
            <color rgb="FF000000"/>
            <rFont val="Calibri"/>
            <family val="34"/>
          </rPr>
          <t xml:space="preserve">21/08/1802 Musterung: IR 43 Haupt Basta Nr. 117 [Beurlaubt in Galizien]
</t>
        </r>
        <r>
          <rPr>
            <sz val="14"/>
            <color rgb="FF000000"/>
            <rFont val="Calibri"/>
            <family val="34"/>
          </rPr>
          <t xml:space="preserve">??03/1803 Von bestimmt zur Unbestimmten Urlaub übersetzt [ST March 1803]
</t>
        </r>
        <r>
          <rPr>
            <sz val="14"/>
            <color rgb="FF000000"/>
            <rFont val="Calibri"/>
            <family val="34"/>
          </rPr>
          <t xml:space="preserve">08/11/1803 Musterung: IR 43 Haupt Ellison Nr. 103 [Beurlaubt in Galizien]
</t>
        </r>
        <r>
          <rPr>
            <sz val="14"/>
            <color rgb="FF000000"/>
            <rFont val="Calibri"/>
            <family val="34"/>
          </rPr>
          <t xml:space="preserve">15/09/1804 Musterung: IR 43 Haupt Lichtenberg Nr. 92 [Beurlaubt in seinem Geburtsort bis zur Einberufung]
</t>
        </r>
        <r>
          <rPr>
            <sz val="14"/>
            <color rgb="FF000000"/>
            <rFont val="Calibri"/>
            <family val="34"/>
          </rPr>
          <t xml:space="preserve">07/08/1805 von unbestimmte Urlaub Zurück und seitdem auf Anhero Marsch von Lemberg [ST Sept 1805]
</t>
        </r>
        <r>
          <rPr>
            <sz val="14"/>
            <color rgb="FF000000"/>
            <rFont val="Calibri"/>
            <family val="34"/>
          </rPr>
          <t xml:space="preserve">30/09/1805 Musterung: IR 43 2. Fus Comp Nr. 76 [Beim Depot in Laibach passiert]
</t>
        </r>
        <r>
          <rPr>
            <sz val="14"/>
            <color rgb="FF000000"/>
            <rFont val="Calibri"/>
            <family val="34"/>
          </rPr>
          <t xml:space="preserve">31/03/1806 In [2. Fus] Companie eingerückt [ST April 1806]
</t>
        </r>
        <r>
          <rPr>
            <sz val="14"/>
            <color rgb="FF000000"/>
            <rFont val="Calibri"/>
            <family val="34"/>
          </rPr>
          <t xml:space="preserve">01/12/1806 Musterung: IR 43 2. Fus Comp. Nr. 65 [Commandiert in loco Spital]
</t>
        </r>
        <r>
          <rPr>
            <sz val="14"/>
            <color rgb="FF000000"/>
            <rFont val="Calibri"/>
            <family val="34"/>
          </rPr>
          <t xml:space="preserve">22/12/1806 von Laibacher Sammelhaus übergaben anf seitdem auf Marsch mit Urlaub ins Gallizien [ST Dec 1806]
</t>
        </r>
        <r>
          <rPr>
            <sz val="14"/>
            <color rgb="FF000000"/>
            <rFont val="Calibri"/>
            <family val="34"/>
          </rPr>
          <t xml:space="preserve">31/12/1806 auf Marsch mit Urlaub ins Galizien, bis dahin Verpflegt [ST Jan 1807]
</t>
        </r>
        <r>
          <rPr>
            <sz val="14"/>
            <color rgb="FF000000"/>
            <rFont val="Calibri"/>
            <family val="34"/>
          </rPr>
          <t>31/08/1807 zu folge General Commando Verordnung det. Graz von 7. Aug 807 Ley R. 3888 als Real Invalid gegen Renuncierung alle Militar Beneficien mit Abschied entlassen [ST Aug 1807 &amp; RL 1808]</t>
        </r>
      </text>
    </comment>
    <comment ref="BG4" authorId="0" shapeId="0" xr:uid="{CFA258D5-4851-224E-B16B-DFAB7828953D}">
      <text>
        <r>
          <rPr>
            <sz val="14"/>
            <color rgb="FF000000"/>
            <rFont val="Calibri"/>
            <family val="34"/>
          </rPr>
          <t xml:space="preserve">ML 2871 IR 32 (1790) – ST Mai (01/07/1791), Juli (10/07/1791) und Nov (26/09/1791)
</t>
        </r>
        <r>
          <rPr>
            <sz val="14"/>
            <color rgb="FF000000"/>
            <rFont val="Calibri"/>
            <family val="34"/>
          </rPr>
          <t xml:space="preserve">ML 2872 IR 32 (1790) – AL IR 32 Nr. 7 (Lemberg 12/04/1790)
</t>
        </r>
        <r>
          <rPr>
            <sz val="14"/>
            <color rgb="FF000000"/>
            <rFont val="Calibri"/>
            <family val="34"/>
          </rPr>
          <t xml:space="preserve">ML 10.272 IR 43 (1802) – Heft von Haupt Basta Comp Nr. 117 (Risano 21/08/1802)
</t>
        </r>
        <r>
          <rPr>
            <sz val="14"/>
            <color rgb="FF000000"/>
            <rFont val="Calibri"/>
            <family val="34"/>
          </rPr>
          <t xml:space="preserve">ML 10.273 IR 43 (1803) – Heft von Haupt Ellison von Niedles Comp. Nr. 103 (Sign 08/11/1803)
</t>
        </r>
        <r>
          <rPr>
            <sz val="14"/>
            <color rgb="FF000000"/>
            <rFont val="Calibri"/>
            <family val="34"/>
          </rPr>
          <t xml:space="preserve">ML 10.274 IR 43 (1804) – Heft von Haupt Lichtenberg Comp. Nr. 92 (Zara 15/09/1804)
</t>
        </r>
        <r>
          <rPr>
            <sz val="14"/>
            <color rgb="FF000000"/>
            <rFont val="Calibri"/>
            <family val="34"/>
          </rPr>
          <t xml:space="preserve">ML 10.275/6 IR 43 (1805) – Heft von 2. Fus. Comp. Nr. 76 (Cattaro 30/09/1805)
</t>
        </r>
        <r>
          <rPr>
            <sz val="14"/>
            <color rgb="FF000000"/>
            <rFont val="Calibri"/>
            <family val="34"/>
          </rPr>
          <t xml:space="preserve">ML 10.277/8 IR 43 (1806) – Heft von 2. Fus. Comp. Nr. 65 (Laibach (01/12/1806)
</t>
        </r>
        <r>
          <rPr>
            <sz val="14"/>
            <color rgb="FF000000"/>
            <rFont val="Calibri"/>
            <family val="34"/>
          </rPr>
          <t xml:space="preserve">ML 10.279 IR 43 (1808/10) – Heft von 2. Fus Comp. Abgang (Laibach 06/09/1808)
</t>
        </r>
        <r>
          <rPr>
            <sz val="14"/>
            <color rgb="FF000000"/>
            <rFont val="Calibri"/>
            <family val="34"/>
          </rPr>
          <t xml:space="preserve">ML 10.309 IR 43 (1800) – ST August (27/12/1803), Oktober (22/03/1804), November (02/04/1804), und Dezember (18/08/1804)
</t>
        </r>
        <r>
          <rPr>
            <sz val="14"/>
            <color rgb="FF000000"/>
            <rFont val="Calibri"/>
            <family val="34"/>
          </rPr>
          <t xml:space="preserve">ML IR 43 10.310 (1800) AL/TL – AL 43 Nr. 52 (Lemberg 20/08/1800) 
</t>
        </r>
        <r>
          <rPr>
            <sz val="14"/>
            <color rgb="FF000000"/>
            <rFont val="Calibri"/>
            <family val="34"/>
          </rPr>
          <t xml:space="preserve">ML 10.311 IR 43 (1801) – ST März (10/10/1804), Juni (20/06/1805), und Juli (08/07/1805)
</t>
        </r>
        <r>
          <rPr>
            <sz val="14"/>
            <color rgb="FF000000"/>
            <rFont val="Calibri"/>
            <family val="34"/>
          </rPr>
          <t xml:space="preserve">ML 10.312 IR 43 (1802) – ST Juli (15/08/1802)
</t>
        </r>
        <r>
          <rPr>
            <sz val="14"/>
            <color rgb="FF000000"/>
            <rFont val="Calibri"/>
            <family val="34"/>
          </rPr>
          <t xml:space="preserve">ML 10.313 IR 43 (1803) – ST März (15/04/1804)
</t>
        </r>
        <r>
          <rPr>
            <sz val="14"/>
            <color rgb="FF000000"/>
            <rFont val="Calibri"/>
            <family val="34"/>
          </rPr>
          <t xml:space="preserve">ML 10.315 IR 43 (1805) – ST Sept (15/11/1805)
</t>
        </r>
        <r>
          <rPr>
            <sz val="14"/>
            <color rgb="FF000000"/>
            <rFont val="Calibri"/>
            <family val="34"/>
          </rPr>
          <t xml:space="preserve">ML 10.317 IR 43 (1806) – ST April (30/09/1806), und Dezember (11/01/1806)
</t>
        </r>
        <r>
          <rPr>
            <sz val="14"/>
            <color rgb="FF000000"/>
            <rFont val="Calibri"/>
            <family val="34"/>
          </rPr>
          <t>ML 10.319 IR 43 (1807) – ST August (12/09/1807)</t>
        </r>
      </text>
    </comment>
    <comment ref="BH4" authorId="0" shapeId="0" xr:uid="{657BE89D-182D-D941-8E7E-78ABE0673485}">
      <text>
        <r>
          <rPr>
            <sz val="14"/>
            <color rgb="FF000000"/>
            <rFont val="Calibri"/>
            <family val="34"/>
          </rPr>
          <t xml:space="preserve">MFWK (1788/90-1800)
</t>
        </r>
        <r>
          <rPr>
            <sz val="14"/>
            <color rgb="FF000000"/>
            <rFont val="Calibri"/>
            <family val="34"/>
          </rPr>
          <t>IR 43 (1800-1807)</t>
        </r>
      </text>
    </comment>
    <comment ref="BF5" authorId="0" shapeId="0" xr:uid="{206B594B-CE1D-8F4F-AD59-1A4969EE4EB3}">
      <text>
        <r>
          <rPr>
            <i/>
            <sz val="14"/>
            <color rgb="FF000000"/>
            <rFont val="Times New Roman"/>
            <family val="18"/>
          </rPr>
          <t>In Jänner 1788 a 3Fl Handgeld assentiert</t>
        </r>
        <r>
          <rPr>
            <sz val="14"/>
            <color rgb="FF000000"/>
            <rFont val="Times New Roman"/>
            <family val="18"/>
          </rPr>
          <t xml:space="preserve"> [TL March 1790]</t>
        </r>
        <r>
          <rPr>
            <sz val="14"/>
            <color rgb="FF000000"/>
            <rFont val="Calibri"/>
            <family val="34"/>
          </rPr>
          <t xml:space="preserve">
</t>
        </r>
        <r>
          <rPr>
            <sz val="14"/>
            <color rgb="FF000000"/>
            <rFont val="Times New Roman"/>
            <family val="18"/>
          </rPr>
          <t xml:space="preserve">21/03/1790 </t>
        </r>
        <r>
          <rPr>
            <i/>
            <sz val="14"/>
            <color rgb="FF000000"/>
            <rFont val="Times New Roman"/>
            <family val="18"/>
          </rPr>
          <t xml:space="preserve">Von MFWK 4. Artillerie Bespannung Division zur IR 24 Feld Bats transferiert und zur Proviant Fuhrwesen eingeteilt </t>
        </r>
        <r>
          <rPr>
            <sz val="14"/>
            <color rgb="FF000000"/>
            <rFont val="Times New Roman"/>
            <family val="18"/>
          </rPr>
          <t>[TL March 1790 &amp; ST March 1790]</t>
        </r>
        <r>
          <rPr>
            <sz val="14"/>
            <color rgb="FF000000"/>
            <rFont val="Calibri"/>
            <family val="34"/>
          </rPr>
          <t xml:space="preserve">
</t>
        </r>
        <r>
          <rPr>
            <sz val="14"/>
            <color rgb="FF000000"/>
            <rFont val="Times New Roman"/>
            <family val="18"/>
          </rPr>
          <t xml:space="preserve">30/04/1790 [Dient bis mindestens] </t>
        </r>
        <r>
          <rPr>
            <sz val="14"/>
            <color rgb="FF000000"/>
            <rFont val="Calibri"/>
            <family val="34"/>
          </rPr>
          <t xml:space="preserve">
</t>
        </r>
      </text>
    </comment>
    <comment ref="BG5" authorId="0" shapeId="0" xr:uid="{C786EADB-5BBA-464A-8010-81593221DC20}">
      <text>
        <r>
          <rPr>
            <sz val="14"/>
            <color rgb="FF000000"/>
            <rFont val="Times New Roman"/>
            <family val="18"/>
          </rPr>
          <t>ML 1967 IR 24 (1790) – ST March (Belgrade 18/08/1790)</t>
        </r>
        <r>
          <rPr>
            <sz val="14"/>
            <color rgb="FF000000"/>
            <rFont val="Calibri"/>
            <family val="34"/>
          </rPr>
          <t xml:space="preserve">
</t>
        </r>
        <r>
          <rPr>
            <sz val="14"/>
            <color rgb="FF000000"/>
            <rFont val="Times New Roman"/>
            <family val="18"/>
          </rPr>
          <t>ML 1968 IR 24 (1790) AL/TL – TL MFWK-&gt; IR 24 Nr. 4 (Patanits 16/03/1790)</t>
        </r>
        <r>
          <rPr>
            <sz val="14"/>
            <color rgb="FF000000"/>
            <rFont val="Calibri"/>
            <family val="34"/>
          </rPr>
          <t xml:space="preserve">
</t>
        </r>
      </text>
    </comment>
    <comment ref="BH5" authorId="0" shapeId="0" xr:uid="{CD874D6D-4491-F947-B3E2-A2453A37695E}">
      <text>
        <r>
          <rPr>
            <sz val="14"/>
            <color rgb="FF000000"/>
            <rFont val="Calibri"/>
            <family val="34"/>
          </rPr>
          <t>MFWK (1788-1790)</t>
        </r>
      </text>
    </comment>
    <comment ref="BF6" authorId="0" shapeId="0" xr:uid="{0682FC9B-89B2-8343-9CBF-DA1900D29B5D}">
      <text>
        <r>
          <rPr>
            <sz val="14"/>
            <color rgb="FF000000"/>
            <rFont val="Times New Roman"/>
            <family val="18"/>
          </rPr>
          <t xml:space="preserve">[c. Aug 1788 assentiert] </t>
        </r>
        <r>
          <rPr>
            <i/>
            <sz val="14"/>
            <color rgb="FF000000"/>
            <rFont val="Times New Roman"/>
            <family val="18"/>
          </rPr>
          <t>Dient in Corps 2 Jahr</t>
        </r>
        <r>
          <rPr>
            <sz val="14"/>
            <color rgb="FF000000"/>
            <rFont val="Times New Roman"/>
            <family val="18"/>
          </rPr>
          <t xml:space="preserve"> [TL Aug 1790]</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Dient seit mindestens IR 24 Proviant Fuhrwesen</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16/08/1790 </t>
        </r>
        <r>
          <rPr>
            <i/>
            <sz val="14"/>
            <color rgb="FF000000"/>
            <rFont val="Times New Roman"/>
            <family val="18"/>
          </rPr>
          <t xml:space="preserve">Von MFWK 17. Pro Cento Division zur IR 24 2. Feld Bat transferiert und zur Provinat Fuhrwesen eingetheilt </t>
        </r>
        <r>
          <rPr>
            <sz val="14"/>
            <color rgb="FF000000"/>
            <rFont val="Times New Roman"/>
            <family val="18"/>
          </rPr>
          <t>[TL Aug 1790 &amp; ST Sept 1790]</t>
        </r>
        <r>
          <rPr>
            <sz val="14"/>
            <color rgb="FF000000"/>
            <rFont val="Calibri"/>
            <family val="34"/>
          </rPr>
          <t xml:space="preserve">
</t>
        </r>
      </text>
    </comment>
    <comment ref="BG6" authorId="0" shapeId="0" xr:uid="{67CAAB1C-FCF8-7648-921D-35EAAB3B0FCE}">
      <text>
        <r>
          <rPr>
            <sz val="14"/>
            <color rgb="FF000000"/>
            <rFont val="Times New Roman"/>
            <family val="18"/>
          </rPr>
          <t>ML 1966 IR 24 (1787-9) – FELD Bats: ST Nov Nr. 15 (Belgrade 16/07/1790)</t>
        </r>
        <r>
          <rPr>
            <sz val="14"/>
            <color rgb="FF000000"/>
            <rFont val="Calibri"/>
            <family val="34"/>
          </rPr>
          <t xml:space="preserve">
</t>
        </r>
        <r>
          <rPr>
            <sz val="14"/>
            <color rgb="FF000000"/>
            <rFont val="Times New Roman"/>
            <family val="18"/>
          </rPr>
          <t xml:space="preserve">ML 1967 IR 24 (1790) – ST Sept (Esseg 14/12/1790) </t>
        </r>
        <r>
          <rPr>
            <sz val="14"/>
            <color rgb="FF000000"/>
            <rFont val="Calibri"/>
            <family val="34"/>
          </rPr>
          <t xml:space="preserve">
</t>
        </r>
        <r>
          <rPr>
            <sz val="14"/>
            <color rgb="FF000000"/>
            <rFont val="Times New Roman"/>
            <family val="18"/>
          </rPr>
          <t>ML 1968 IR 24 (1790) AL/TL – MWFK -&gt; TL IR 24 Nr. 1 (Potlanitz 13/08/1790)</t>
        </r>
        <r>
          <rPr>
            <sz val="14"/>
            <color rgb="FF000000"/>
            <rFont val="Calibri"/>
            <family val="34"/>
          </rPr>
          <t xml:space="preserve">
</t>
        </r>
      </text>
    </comment>
    <comment ref="BH6" authorId="0" shapeId="0" xr:uid="{8F216ADB-D80E-9740-A8E9-778F40F4C764}">
      <text>
        <r>
          <rPr>
            <sz val="14"/>
            <color rgb="FF000000"/>
            <rFont val="Calibri"/>
            <family val="34"/>
          </rPr>
          <t>MFWK (1788-1790)</t>
        </r>
      </text>
    </comment>
    <comment ref="BF7" authorId="0" shapeId="0" xr:uid="{B2DDF39B-B24D-A84E-B28D-B9C1E968BE68}">
      <text>
        <r>
          <rPr>
            <sz val="14"/>
            <color rgb="FF000000"/>
            <rFont val="Times New Roman"/>
            <family val="18"/>
          </rPr>
          <t xml:space="preserve">01/11/1788 </t>
        </r>
        <r>
          <rPr>
            <i/>
            <sz val="14"/>
            <color rgb="FF000000"/>
            <rFont val="Times New Roman"/>
            <family val="18"/>
          </rPr>
          <t>3Fl Handgeld assentiert</t>
        </r>
        <r>
          <rPr>
            <sz val="14"/>
            <color rgb="FF000000"/>
            <rFont val="Times New Roman"/>
            <family val="18"/>
          </rPr>
          <t xml:space="preserve"> [TL Nov 1789]</t>
        </r>
        <r>
          <rPr>
            <sz val="14"/>
            <color rgb="FF000000"/>
            <rFont val="Calibri"/>
            <family val="34"/>
          </rPr>
          <t xml:space="preserve">
</t>
        </r>
        <r>
          <rPr>
            <sz val="14"/>
            <color rgb="FF000000"/>
            <rFont val="Times New Roman"/>
            <family val="18"/>
          </rPr>
          <t xml:space="preserve">20/11/1789 </t>
        </r>
        <r>
          <rPr>
            <i/>
            <sz val="14"/>
            <color rgb="FF000000"/>
            <rFont val="Times New Roman"/>
            <family val="18"/>
          </rPr>
          <t>Von IR 24 3. Bat. Artillerie Bespannung zur MFWK Pro Cento div. Nr. 18 transferiert</t>
        </r>
        <r>
          <rPr>
            <sz val="14"/>
            <color rgb="FF000000"/>
            <rFont val="Times New Roman"/>
            <family val="18"/>
          </rPr>
          <t xml:space="preserve"> [TL Nov 1789 &amp; ST Nov 1789]</t>
        </r>
        <r>
          <rPr>
            <sz val="14"/>
            <color rgb="FF000000"/>
            <rFont val="Calibri"/>
            <family val="34"/>
          </rPr>
          <t xml:space="preserve">
</t>
        </r>
        <r>
          <rPr>
            <sz val="14"/>
            <color rgb="FF000000"/>
            <rFont val="Times New Roman"/>
            <family val="18"/>
          </rPr>
          <t>31/12/1790 von IR 53 ‚Graf Pallfy‘ Regiments Fuhrwesen zum MFWK pro Cento Div Nr. 18 transferiert [TL Dec 1790]</t>
        </r>
        <r>
          <rPr>
            <sz val="14"/>
            <color rgb="FF000000"/>
            <rFont val="Calibri"/>
            <family val="34"/>
          </rPr>
          <t xml:space="preserve">
</t>
        </r>
      </text>
    </comment>
    <comment ref="BG7" authorId="0" shapeId="0" xr:uid="{86708A29-301B-FE4F-B90C-CC8F29EC2B55}">
      <text>
        <r>
          <rPr>
            <sz val="14"/>
            <color rgb="FF212121"/>
            <rFont val="Times New Roman"/>
            <family val="18"/>
          </rPr>
          <t>ML 1966 IR 24 (1787-9) – TL IR 24-&gt;MFWK Nr. 1 (Carlsdadt 21/11/1789); ST Nov (29/09/1790)</t>
        </r>
        <r>
          <rPr>
            <sz val="14"/>
            <color rgb="FF000000"/>
            <rFont val="Calibri"/>
            <family val="34"/>
          </rPr>
          <t xml:space="preserve">
</t>
        </r>
        <r>
          <rPr>
            <sz val="14"/>
            <color rgb="FF212121"/>
            <rFont val="Times New Roman"/>
            <family val="18"/>
          </rPr>
          <t>ML 4561 IR 53 (1791) – TL IR 53-&gt; MFWK Nr. 1 (Warasdin 28/12/1790); ST Jan 1791 (05/10/1805)</t>
        </r>
        <r>
          <rPr>
            <sz val="14"/>
            <color rgb="FF000000"/>
            <rFont val="Calibri"/>
            <family val="34"/>
          </rPr>
          <t xml:space="preserve">
</t>
        </r>
      </text>
    </comment>
    <comment ref="BH7" authorId="0" shapeId="0" xr:uid="{F49F68BB-1E5D-EF48-AB75-89ED8E45550B}">
      <text>
        <r>
          <rPr>
            <sz val="14"/>
            <color rgb="FF000000"/>
            <rFont val="Calibri"/>
            <family val="34"/>
          </rPr>
          <t>MFWK (1788-1791)</t>
        </r>
      </text>
    </comment>
    <comment ref="BF8" authorId="0" shapeId="0" xr:uid="{64E2A8D5-AD47-664A-9C5C-C0BBC5482CA8}">
      <text>
        <r>
          <rPr>
            <sz val="14"/>
            <color rgb="FF000000"/>
            <rFont val="Times New Roman"/>
            <family val="18"/>
          </rPr>
          <t xml:space="preserve">01/11/1788 </t>
        </r>
        <r>
          <rPr>
            <i/>
            <sz val="14"/>
            <color rgb="FF000000"/>
            <rFont val="Times New Roman"/>
            <family val="18"/>
          </rPr>
          <t>3Fl Handgeld assentiert</t>
        </r>
        <r>
          <rPr>
            <sz val="14"/>
            <color rgb="FF000000"/>
            <rFont val="Times New Roman"/>
            <family val="18"/>
          </rPr>
          <t xml:space="preserve"> [TL Dec 1789]</t>
        </r>
        <r>
          <rPr>
            <sz val="14"/>
            <color rgb="FF000000"/>
            <rFont val="Calibri"/>
            <family val="34"/>
          </rPr>
          <t xml:space="preserve">
</t>
        </r>
        <r>
          <rPr>
            <sz val="14"/>
            <color rgb="FF000000"/>
            <rFont val="Times New Roman"/>
            <family val="18"/>
          </rPr>
          <t xml:space="preserve">31/10/1789 [Seit Mindestens] </t>
        </r>
        <r>
          <rPr>
            <i/>
            <sz val="14"/>
            <color rgb="FF000000"/>
            <rFont val="Times New Roman"/>
            <family val="18"/>
          </rPr>
          <t xml:space="preserve">Dient bei IR 24 3RD Bat. Artillerie Bespannung </t>
        </r>
        <r>
          <rPr>
            <sz val="14"/>
            <color rgb="FF000000"/>
            <rFont val="Times New Roman"/>
            <family val="18"/>
          </rPr>
          <t>[ST Nov]</t>
        </r>
        <r>
          <rPr>
            <sz val="14"/>
            <color rgb="FF000000"/>
            <rFont val="Calibri"/>
            <family val="34"/>
          </rPr>
          <t xml:space="preserve">
</t>
        </r>
        <r>
          <rPr>
            <sz val="14"/>
            <color rgb="FF000000"/>
            <rFont val="Times New Roman"/>
            <family val="18"/>
          </rPr>
          <t xml:space="preserve">24/12/1789 </t>
        </r>
        <r>
          <rPr>
            <i/>
            <sz val="14"/>
            <color rgb="FF000000"/>
            <rFont val="Times New Roman"/>
            <family val="18"/>
          </rPr>
          <t>Von IR 24 3. Bat Artillerie Bespannung zur MFWK Pro Cento div. Nr. 18 transferiert</t>
        </r>
        <r>
          <rPr>
            <sz val="14"/>
            <color rgb="FF000000"/>
            <rFont val="Times New Roman"/>
            <family val="18"/>
          </rPr>
          <t xml:space="preserve"> [TL Dec 1789 &amp; ST Dec 1789]</t>
        </r>
        <r>
          <rPr>
            <sz val="14"/>
            <color rgb="FF000000"/>
            <rFont val="Calibri"/>
            <family val="34"/>
          </rPr>
          <t xml:space="preserve">
</t>
        </r>
      </text>
    </comment>
    <comment ref="BG8" authorId="0" shapeId="0" xr:uid="{2C195873-B4D8-4240-A740-BC99603FC841}">
      <text>
        <r>
          <rPr>
            <sz val="14"/>
            <color rgb="FF000000"/>
            <rFont val="Times New Roman"/>
            <family val="18"/>
          </rPr>
          <t>ML 1766 IR 24 (1787-9) – TL IR 24-&gt; MFWK Nr. 7 (Carlstadt 26/12/1789); ST Nov (22/09/1790), Dec (15/10/1790)</t>
        </r>
      </text>
    </comment>
    <comment ref="BH8" authorId="0" shapeId="0" xr:uid="{E5B2E256-E374-5D48-902C-50FEAC7E7FCA}">
      <text>
        <r>
          <rPr>
            <sz val="14"/>
            <color rgb="FF000000"/>
            <rFont val="Calibri"/>
            <family val="34"/>
          </rPr>
          <t>MFWK (1788-1789)</t>
        </r>
      </text>
    </comment>
    <comment ref="BF9" authorId="0" shapeId="0" xr:uid="{859CE6AB-97FD-DF44-8725-175BE569A101}">
      <text>
        <r>
          <rPr>
            <sz val="14"/>
            <color rgb="FF000000"/>
            <rFont val="Times New Roman"/>
            <family val="18"/>
          </rPr>
          <t xml:space="preserve">01/03/1789 </t>
        </r>
        <r>
          <rPr>
            <i/>
            <sz val="14"/>
            <color rgb="FF000000"/>
            <rFont val="Times New Roman"/>
            <family val="18"/>
          </rPr>
          <t>3Fl Handgeld assentiert</t>
        </r>
        <r>
          <rPr>
            <sz val="14"/>
            <color rgb="FF000000"/>
            <rFont val="Times New Roman"/>
            <family val="18"/>
          </rPr>
          <t xml:space="preserve"> [TL Dec 1789]</t>
        </r>
        <r>
          <rPr>
            <sz val="14"/>
            <color rgb="FF000000"/>
            <rFont val="Calibri"/>
            <family val="34"/>
          </rPr>
          <t xml:space="preserve">
</t>
        </r>
        <r>
          <rPr>
            <sz val="14"/>
            <color rgb="FF000000"/>
            <rFont val="Times New Roman"/>
            <family val="18"/>
          </rPr>
          <t xml:space="preserve">31/10/1789 [Seit Mindestens] </t>
        </r>
        <r>
          <rPr>
            <i/>
            <sz val="14"/>
            <color rgb="FF000000"/>
            <rFont val="Times New Roman"/>
            <family val="18"/>
          </rPr>
          <t xml:space="preserve">Dient bei IR 24 3RD Bat. Artillerie Bespannung </t>
        </r>
        <r>
          <rPr>
            <sz val="14"/>
            <color rgb="FF000000"/>
            <rFont val="Times New Roman"/>
            <family val="18"/>
          </rPr>
          <t>[ST Nov]</t>
        </r>
        <r>
          <rPr>
            <sz val="14"/>
            <color rgb="FF000000"/>
            <rFont val="Calibri"/>
            <family val="34"/>
          </rPr>
          <t xml:space="preserve">
</t>
        </r>
        <r>
          <rPr>
            <sz val="14"/>
            <color rgb="FF000000"/>
            <rFont val="Times New Roman"/>
            <family val="18"/>
          </rPr>
          <t xml:space="preserve">21/12/1789 </t>
        </r>
        <r>
          <rPr>
            <i/>
            <sz val="14"/>
            <color rgb="FF000000"/>
            <rFont val="Times New Roman"/>
            <family val="18"/>
          </rPr>
          <t>Von IR 24 3. Bat Artillerie Bespannung zur MFWK Pro Cento div. Nr. 18 transferiert</t>
        </r>
        <r>
          <rPr>
            <sz val="14"/>
            <color rgb="FF000000"/>
            <rFont val="Times New Roman"/>
            <family val="18"/>
          </rPr>
          <t xml:space="preserve"> [TL Dec 1789 &amp; ST Dec 1789]</t>
        </r>
        <r>
          <rPr>
            <sz val="14"/>
            <color rgb="FF000000"/>
            <rFont val="Calibri"/>
            <family val="34"/>
          </rPr>
          <t xml:space="preserve">
</t>
        </r>
      </text>
    </comment>
    <comment ref="BG9" authorId="0" shapeId="0" xr:uid="{97A351D2-21EC-DB4F-AC59-80F866734597}">
      <text>
        <r>
          <rPr>
            <sz val="14"/>
            <color rgb="FF000000"/>
            <rFont val="Times New Roman"/>
            <family val="18"/>
          </rPr>
          <t>ML 1766 IR 24 (1787-9) – TL IR 24-&gt; MFWK Nr. 6 (Carlstadt 26/12/1789); ST Nov (22/09/1790), Dec (15/10/1790)</t>
        </r>
      </text>
    </comment>
    <comment ref="BH9" authorId="0" shapeId="0" xr:uid="{0CB2A5CF-51D5-7048-AE7B-4A8CFE0D3D5D}">
      <text>
        <r>
          <rPr>
            <sz val="14"/>
            <color rgb="FF000000"/>
            <rFont val="Calibri"/>
            <family val="34"/>
          </rPr>
          <t>MFWK (1789)</t>
        </r>
      </text>
    </comment>
    <comment ref="BF10" authorId="0" shapeId="0" xr:uid="{BBFB8DAF-A22B-7042-A8EB-81037C9D968C}">
      <text>
        <r>
          <rPr>
            <sz val="14"/>
            <color rgb="FF000000"/>
            <rFont val="Times New Roman"/>
            <family val="18"/>
          </rPr>
          <t xml:space="preserve">01/03/1789 </t>
        </r>
        <r>
          <rPr>
            <i/>
            <sz val="14"/>
            <color rgb="FF000000"/>
            <rFont val="Times New Roman"/>
            <family val="18"/>
          </rPr>
          <t>Gegen 3Fl Handgeld neu assentiert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16/10/1789 </t>
        </r>
        <r>
          <rPr>
            <i/>
            <sz val="14"/>
            <color rgb="FF000000"/>
            <rFont val="Times New Roman"/>
            <family val="18"/>
          </rPr>
          <t>Von MFWK 17. Pro Cento Division zum IR 32 3</t>
        </r>
        <r>
          <rPr>
            <i/>
            <vertAlign val="superscript"/>
            <sz val="14"/>
            <color rgb="FF000000"/>
            <rFont val="Times New Roman"/>
            <family val="18"/>
          </rPr>
          <t>rd</t>
        </r>
        <r>
          <rPr>
            <i/>
            <sz val="14"/>
            <color rgb="FF000000"/>
            <rFont val="Times New Roman"/>
            <family val="18"/>
          </rPr>
          <t xml:space="preserve"> Bataillon Fuhrwesen transferiert</t>
        </r>
        <r>
          <rPr>
            <sz val="14"/>
            <color rgb="FF000000"/>
            <rFont val="Times New Roman"/>
            <family val="18"/>
          </rPr>
          <t xml:space="preserve"> [TL Oct 1789]</t>
        </r>
        <r>
          <rPr>
            <sz val="14"/>
            <color rgb="FF000000"/>
            <rFont val="Calibri"/>
            <family val="34"/>
          </rPr>
          <t xml:space="preserve">
</t>
        </r>
      </text>
    </comment>
    <comment ref="BG10" authorId="0" shapeId="0" xr:uid="{2A831802-BB2A-BF49-AD24-FAF94196AD39}">
      <text>
        <r>
          <rPr>
            <sz val="14"/>
            <color rgb="FF000000"/>
            <rFont val="Times New Roman"/>
            <family val="18"/>
          </rPr>
          <t>ML 2870 IR 32 (1789) – TL MLWK -&gt; IR 32 Nr. 3 (Batanicza 15/10/1789); ST Oct (Königgrätz 29/12/1791)</t>
        </r>
      </text>
    </comment>
    <comment ref="BH10" authorId="0" shapeId="0" xr:uid="{61148FA5-3EBA-F846-AB83-7225D9C3713D}">
      <text>
        <r>
          <rPr>
            <sz val="14"/>
            <color rgb="FF000000"/>
            <rFont val="Calibri"/>
            <family val="34"/>
          </rPr>
          <t>MFWK (1789)</t>
        </r>
      </text>
    </comment>
    <comment ref="BF11" authorId="0" shapeId="0" xr:uid="{85C15F3F-125C-2E4B-975C-B7552437A04F}">
      <text>
        <r>
          <rPr>
            <sz val="14"/>
            <color rgb="FF000000"/>
            <rFont val="Times New Roman"/>
            <family val="18"/>
          </rPr>
          <t xml:space="preserve">01/03/1789 </t>
        </r>
        <r>
          <rPr>
            <i/>
            <sz val="14"/>
            <color rgb="FF000000"/>
            <rFont val="Times New Roman"/>
            <family val="18"/>
          </rPr>
          <t>Gegen 3Fl Handgeld neu assentiert</t>
        </r>
        <r>
          <rPr>
            <sz val="14"/>
            <color rgb="FF000000"/>
            <rFont val="Times New Roman"/>
            <family val="18"/>
          </rPr>
          <t xml:space="preserve"> [TL Oct 1789]</t>
        </r>
        <r>
          <rPr>
            <sz val="14"/>
            <color rgb="FF000000"/>
            <rFont val="Calibri"/>
            <family val="34"/>
          </rPr>
          <t xml:space="preserve">
</t>
        </r>
        <r>
          <rPr>
            <sz val="14"/>
            <color rgb="FF000000"/>
            <rFont val="Times New Roman"/>
            <family val="18"/>
          </rPr>
          <t xml:space="preserve">16/10/1789 </t>
        </r>
        <r>
          <rPr>
            <i/>
            <sz val="14"/>
            <color rgb="FF000000"/>
            <rFont val="Times New Roman"/>
            <family val="18"/>
          </rPr>
          <t>Von MFWK 17. Pro Cento Division zum IR 32 3</t>
        </r>
        <r>
          <rPr>
            <i/>
            <vertAlign val="superscript"/>
            <sz val="14"/>
            <color rgb="FF000000"/>
            <rFont val="Times New Roman"/>
            <family val="18"/>
          </rPr>
          <t>rd</t>
        </r>
        <r>
          <rPr>
            <i/>
            <sz val="14"/>
            <color rgb="FF000000"/>
            <rFont val="Times New Roman"/>
            <family val="18"/>
          </rPr>
          <t xml:space="preserve"> Bataillon Fuhrwesen transferiert</t>
        </r>
        <r>
          <rPr>
            <sz val="14"/>
            <color rgb="FF000000"/>
            <rFont val="Times New Roman"/>
            <family val="18"/>
          </rPr>
          <t xml:space="preserve"> [TL Oct 1789]</t>
        </r>
        <r>
          <rPr>
            <sz val="14"/>
            <color rgb="FF000000"/>
            <rFont val="Calibri"/>
            <family val="34"/>
          </rPr>
          <t xml:space="preserve">
</t>
        </r>
      </text>
    </comment>
    <comment ref="BG11" authorId="0" shapeId="0" xr:uid="{34EFCF7F-8133-2746-8282-D579FAB19998}">
      <text>
        <r>
          <rPr>
            <sz val="14"/>
            <color rgb="FF000000"/>
            <rFont val="Times New Roman"/>
            <family val="18"/>
          </rPr>
          <t>ML 2870 IR 32 (1789) – TL MLWK -&gt; IR 32 Nr. 4 (Batanicza 15/10/1789); ST Oct (Königgrätz 29/12/1791)</t>
        </r>
      </text>
    </comment>
    <comment ref="BH11" authorId="0" shapeId="0" xr:uid="{239D84A3-88D9-8B42-A697-A3C1C677D2CE}">
      <text>
        <r>
          <rPr>
            <sz val="14"/>
            <color rgb="FF000000"/>
            <rFont val="Calibri"/>
            <family val="34"/>
          </rPr>
          <t>MFWK (1789)</t>
        </r>
      </text>
    </comment>
    <comment ref="BF12" authorId="0" shapeId="0" xr:uid="{CEBB370B-7AAC-6A42-80CA-68F52B72FF2A}">
      <text>
        <r>
          <rPr>
            <sz val="14"/>
            <color rgb="FF000000"/>
            <rFont val="Calibri"/>
            <family val="34"/>
          </rPr>
          <t xml:space="preserve">10/03/1789 von MFWK Pro cento Division Nr. 19 zum IR 43 Feld Bataillons transferiert und zum Proviant Fuhrwesen zugeteilt [ST March 1789]
</t>
        </r>
        <r>
          <rPr>
            <sz val="14"/>
            <color rgb="FF000000"/>
            <rFont val="Calibri"/>
            <family val="34"/>
          </rPr>
          <t xml:space="preserve">29/05/1789 [seit] Krank in Armee Spital zu Belligisch [TL 1789]
</t>
        </r>
        <r>
          <rPr>
            <sz val="14"/>
            <color rgb="FF000000"/>
            <rFont val="Calibri"/>
            <family val="34"/>
          </rPr>
          <t>21/07/1789 in Folge hoher Armee General Commando Verordnung von 09/11/1789 von IR 43 ‘Thurn’ Feld Bataillons Proviant Fuhrwesen zum MWFK Reserve abgegeben [TL 1789]</t>
        </r>
      </text>
    </comment>
    <comment ref="BG12" authorId="0" shapeId="0" xr:uid="{1BC53545-9427-744D-8ED0-0594D644D2D4}">
      <text>
        <r>
          <rPr>
            <sz val="14"/>
            <color rgb="FF000000"/>
            <rFont val="Calibri"/>
            <family val="34"/>
          </rPr>
          <t xml:space="preserve">ML 10.294 IR 43 (1789) ST March Proviant Fuhrwesen - Zuwachs (Surzin, 20/05/1789) und July FELD Proviant Fuhrwesen - Abgang (29/08/1789)
</t>
        </r>
        <r>
          <rPr>
            <sz val="14"/>
            <color rgb="FF000000"/>
            <rFont val="Calibri"/>
            <family val="34"/>
          </rPr>
          <t>ML 10.295 IR 43 (1789) AL/TL TL IR 43-&gt;MFWK Nr. 2 (Feldlager 31/07/1789)</t>
        </r>
      </text>
    </comment>
    <comment ref="BH12" authorId="0" shapeId="0" xr:uid="{52530229-E493-0544-9DC9-23E86021051E}">
      <text>
        <r>
          <rPr>
            <sz val="14"/>
            <color rgb="FF000000"/>
            <rFont val="Calibri"/>
            <family val="34"/>
          </rPr>
          <t>MFWK (1789)</t>
        </r>
      </text>
    </comment>
    <comment ref="BF13" authorId="0" shapeId="0" xr:uid="{A8275C9F-F037-5F4E-9BF8-61F4013F42C1}">
      <text>
        <r>
          <rPr>
            <sz val="14"/>
            <color rgb="FF000000"/>
            <rFont val="Times New Roman"/>
            <family val="18"/>
          </rPr>
          <t xml:space="preserve">15/05/1789 </t>
        </r>
        <r>
          <rPr>
            <i/>
            <sz val="14"/>
            <color rgb="FF000000"/>
            <rFont val="Times New Roman"/>
            <family val="18"/>
          </rPr>
          <t>Von 17. Pro Cento Division zum IR 24 transferiert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27/01/1790 </t>
        </r>
        <r>
          <rPr>
            <i/>
            <sz val="14"/>
            <color rgb="FF000000"/>
            <rFont val="Times New Roman"/>
            <family val="18"/>
          </rPr>
          <t xml:space="preserve">Von IR 24 Feld Bats. Proviant Fuhrwesen wegen Erkrankung zuruck zum MLFK Pro centro Div. Nr. 17 transferiert </t>
        </r>
        <r>
          <rPr>
            <sz val="14"/>
            <color rgb="FF000000"/>
            <rFont val="Times New Roman"/>
            <family val="18"/>
          </rPr>
          <t>[TL June 1790 &amp; ST Jan 1790]</t>
        </r>
      </text>
    </comment>
    <comment ref="BG13" authorId="0" shapeId="0" xr:uid="{16377DF5-C0B6-C24D-AFDA-67B5D72B1D6D}">
      <text>
        <r>
          <rPr>
            <sz val="14"/>
            <color rgb="FF000000"/>
            <rFont val="Times New Roman"/>
            <family val="18"/>
          </rPr>
          <t xml:space="preserve">ML 1966 IR 24 (1787-9) – FELD Bats: ST Nov Nr. 5 (Belgrade 16/07/1790) </t>
        </r>
        <r>
          <rPr>
            <sz val="14"/>
            <color rgb="FF000000"/>
            <rFont val="Calibri"/>
            <family val="34"/>
          </rPr>
          <t xml:space="preserve">
</t>
        </r>
        <r>
          <rPr>
            <sz val="14"/>
            <color rgb="FF000000"/>
            <rFont val="Times New Roman"/>
            <family val="18"/>
          </rPr>
          <t>ML 1967 IR 24 (1790) – FELD Bats: ST Jan (Belgrade 27/07/1790)</t>
        </r>
        <r>
          <rPr>
            <sz val="14"/>
            <color rgb="FF000000"/>
            <rFont val="Calibri"/>
            <family val="34"/>
          </rPr>
          <t xml:space="preserve">
</t>
        </r>
        <r>
          <rPr>
            <sz val="14"/>
            <color rgb="FF000000"/>
            <rFont val="Times New Roman"/>
            <family val="18"/>
          </rPr>
          <t>ML 1968 IR 24 (1790) AL/TL – TL IR 24-&gt; MFWK-&gt; Nr. 1 (Belgrad 25/06/1790)</t>
        </r>
      </text>
    </comment>
    <comment ref="BH13" authorId="0" shapeId="0" xr:uid="{6ACFAECC-6715-3648-BEBF-5BA9E99233C5}">
      <text>
        <r>
          <rPr>
            <sz val="14"/>
            <color rgb="FF000000"/>
            <rFont val="Calibri"/>
            <family val="34"/>
          </rPr>
          <t>MFWK (1789-1790)</t>
        </r>
      </text>
    </comment>
    <comment ref="BF14" authorId="0" shapeId="0" xr:uid="{7967FB83-EC74-C943-BB34-2663129B4BAD}">
      <text>
        <r>
          <rPr>
            <sz val="14"/>
            <color rgb="FF000000"/>
            <rFont val="+mn-lt"/>
            <charset val="1"/>
          </rPr>
          <t xml:space="preserve">17/06/1789 von MFWK 19 pro cento Division zum IR 43 transferiert und zum Regiments Proviant Fuhrwesen transferiert [ST June 1789]
</t>
        </r>
        <r>
          <rPr>
            <sz val="14"/>
            <color rgb="FF000000"/>
            <rFont val="+mn-lt"/>
            <charset val="1"/>
          </rPr>
          <t xml:space="preserve">20/07/1789 von IR 43 Regiments Proviant Fuhrwesen zum MFWK Reserve transferiert [ST July 1789]
</t>
        </r>
      </text>
    </comment>
    <comment ref="BG14" authorId="0" shapeId="0" xr:uid="{3BB9942C-B46A-154D-8408-22B82937E0A9}">
      <text>
        <r>
          <rPr>
            <sz val="14"/>
            <color rgb="FF000000"/>
            <rFont val="Calibri"/>
            <family val="34"/>
          </rPr>
          <t>ML 10.294 IR 43 (1789) ST June FELD Proviant Fuhrwesen - Zuwachs (08/08/1789) und July FELD Proviant Fuhrwesen - Abgang (29/08/1789)</t>
        </r>
      </text>
    </comment>
    <comment ref="BH14" authorId="0" shapeId="0" xr:uid="{E88942F8-BA13-8144-890E-C4E15ED754F1}">
      <text>
        <r>
          <rPr>
            <sz val="14"/>
            <color rgb="FF000000"/>
            <rFont val="Calibri"/>
            <family val="34"/>
          </rPr>
          <t>MFWK (1789)</t>
        </r>
      </text>
    </comment>
    <comment ref="BF15" authorId="0" shapeId="0" xr:uid="{E6456AE7-03BB-984C-9891-B05AA824817A}">
      <text>
        <r>
          <rPr>
            <sz val="14"/>
            <color rgb="FF000000"/>
            <rFont val="+mn-lt"/>
            <charset val="1"/>
          </rPr>
          <t xml:space="preserve">17/06/1789 von MFWK 19 pro cento Division zum IR 43 transferiert und zum Regiments Proviant Fuhrwesen transferiert [ST June 1789]
</t>
        </r>
        <r>
          <rPr>
            <sz val="14"/>
            <color rgb="FF000000"/>
            <rFont val="+mn-lt"/>
            <charset val="1"/>
          </rPr>
          <t xml:space="preserve">20/07/1789 von IR 43 Regiments Proviant Fuhrwesen zum MFWK Reserve transferiert [ST July 1789]
</t>
        </r>
      </text>
    </comment>
    <comment ref="BG15" authorId="0" shapeId="0" xr:uid="{E74020B8-5842-3D4F-9374-CB90BD59A1DA}">
      <text>
        <r>
          <rPr>
            <sz val="14"/>
            <color rgb="FF000000"/>
            <rFont val="Calibri"/>
            <family val="34"/>
          </rPr>
          <t>ML 10.294 IR 43 (1789) ST June FELD Proviant Fuhrwesen - Zuwachs (08/08/1789) und July FELD Proviant Fuhrwesen - Abgang (29/08/1789)</t>
        </r>
      </text>
    </comment>
    <comment ref="BH15" authorId="0" shapeId="0" xr:uid="{1CE155C7-1C20-9E48-93E0-8CC632B352F0}">
      <text>
        <r>
          <rPr>
            <sz val="14"/>
            <color rgb="FF000000"/>
            <rFont val="Calibri"/>
            <family val="34"/>
          </rPr>
          <t>MFWK (1789)</t>
        </r>
      </text>
    </comment>
    <comment ref="BF16" authorId="0" shapeId="0" xr:uid="{44145176-FCB6-CD46-A5E3-20661C529A0C}">
      <text>
        <r>
          <rPr>
            <i/>
            <sz val="14"/>
            <color rgb="FF000000"/>
            <rFont val="Times New Roman"/>
            <family val="18"/>
          </rPr>
          <t>In Monat Juli 1789 a 3Fl Handgeld assentiert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19/11/1789 </t>
        </r>
        <r>
          <rPr>
            <i/>
            <sz val="14"/>
            <color rgb="FF000000"/>
            <rFont val="Times New Roman"/>
            <family val="18"/>
          </rPr>
          <t xml:space="preserve">Von IR 24 2 Feld Bat Proviant Fuhrwesen wegen Erkrankung zur MFWK 17. Pro cento Division transferiert </t>
        </r>
        <r>
          <rPr>
            <sz val="14"/>
            <color rgb="FF000000"/>
            <rFont val="Times New Roman"/>
            <family val="18"/>
          </rPr>
          <t>[TL June 1790 &amp; ST Nov 1789]</t>
        </r>
        <r>
          <rPr>
            <sz val="14"/>
            <color rgb="FF000000"/>
            <rFont val="Calibri"/>
            <family val="34"/>
          </rPr>
          <t xml:space="preserve">
</t>
        </r>
      </text>
    </comment>
    <comment ref="BG16" authorId="0" shapeId="0" xr:uid="{B39A3184-3244-1945-BC94-A4B917A67A7D}">
      <text>
        <r>
          <rPr>
            <sz val="14"/>
            <color rgb="FF000000"/>
            <rFont val="Times New Roman"/>
            <family val="18"/>
          </rPr>
          <t>ML 1966 IR 24 (1787-89) – ST Nov (16/07/1790)</t>
        </r>
        <r>
          <rPr>
            <sz val="14"/>
            <color rgb="FF000000"/>
            <rFont val="Calibri"/>
            <family val="34"/>
          </rPr>
          <t xml:space="preserve">
</t>
        </r>
        <r>
          <rPr>
            <sz val="14"/>
            <color rgb="FF000000"/>
            <rFont val="Times New Roman"/>
            <family val="18"/>
          </rPr>
          <t>ML 1968 IR 24 (1790) AL/TL – TL IR 24-&gt; MFWK-&gt; Nr. 4 (Belgrad 25/06/1790)</t>
        </r>
      </text>
    </comment>
    <comment ref="BH16" authorId="0" shapeId="0" xr:uid="{66E670E7-1207-9646-8037-A39301CD9F61}">
      <text>
        <r>
          <rPr>
            <sz val="14"/>
            <color rgb="FF000000"/>
            <rFont val="Calibri"/>
            <family val="34"/>
          </rPr>
          <t>MFWK (1789)</t>
        </r>
      </text>
    </comment>
    <comment ref="BF17" authorId="0" shapeId="0" xr:uid="{55E5B7D3-E857-794C-9BCA-E5DD73990C70}">
      <text>
        <r>
          <rPr>
            <sz val="14"/>
            <color rgb="FF000000"/>
            <rFont val="+mn-lt"/>
            <charset val="1"/>
          </rPr>
          <t xml:space="preserve">24/09/1789 von Fuhrwesen Reserve ohne assentierungsliste zum IR 43 transferiert [TL 1790]
</t>
        </r>
        <r>
          <rPr>
            <sz val="14"/>
            <color rgb="FF000000"/>
            <rFont val="+mn-lt"/>
            <charset val="1"/>
          </rPr>
          <t xml:space="preserve">02/01/1790 Von IR 43 Feld Battalions Proviant Fuhrwesen als kranke in Armee Spital befundigte Soldat ins MFWK 19. Pro Cento Division 3. Abtheilung transferiert [ST Jan 1790]
</t>
        </r>
      </text>
    </comment>
    <comment ref="BG17" authorId="0" shapeId="0" xr:uid="{104D2313-CFF5-EF4C-9875-A513A9C6C8B2}">
      <text>
        <r>
          <rPr>
            <sz val="14"/>
            <color rgb="FF000000"/>
            <rFont val="Calibri"/>
            <family val="34"/>
          </rPr>
          <t xml:space="preserve">ML 10.296 IR 43 (1790) ST Jan FELD Proviant Fuhrwesen - Abgang (09/05/1790)
</t>
        </r>
        <r>
          <rPr>
            <sz val="14"/>
            <color rgb="FF000000"/>
            <rFont val="Calibri"/>
            <family val="34"/>
          </rPr>
          <t>ML 10.297 IR 43 (1790) AL/TL TL IR 43-&gt;MFWK Nr. 1 (05/05/1790)</t>
        </r>
      </text>
    </comment>
    <comment ref="BH17" authorId="0" shapeId="0" xr:uid="{D97FD39B-83CF-BC40-A937-2A3D4EB6CDFE}">
      <text>
        <r>
          <rPr>
            <sz val="14"/>
            <color rgb="FF000000"/>
            <rFont val="Calibri"/>
            <family val="34"/>
          </rPr>
          <t>MFWK (1789-90)</t>
        </r>
      </text>
    </comment>
    <comment ref="BI17" authorId="0" shapeId="0" xr:uid="{0A998CF1-D921-5848-9B4F-A3AB784A71D5}">
      <text>
        <r>
          <rPr>
            <sz val="14"/>
            <color rgb="FF000000"/>
            <rFont val="Calibri"/>
            <family val="34"/>
          </rPr>
          <t>1790: Gut</t>
        </r>
      </text>
    </comment>
    <comment ref="BF18" authorId="0" shapeId="0" xr:uid="{45C7232A-4D50-7040-8AA0-0F42B3074F17}">
      <text>
        <r>
          <rPr>
            <i/>
            <sz val="14"/>
            <color rgb="FF000000"/>
            <rFont val="Times New Roman"/>
            <family val="18"/>
          </rPr>
          <t>Tag der assentierung unbekannt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31/10/1789 </t>
        </r>
        <r>
          <rPr>
            <i/>
            <sz val="14"/>
            <color rgb="FF000000"/>
            <rFont val="Times New Roman"/>
            <family val="18"/>
          </rPr>
          <t xml:space="preserve">Dient seit mindestens IR 24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 xml:space="preserve">23/01/1790 </t>
        </r>
        <r>
          <rPr>
            <i/>
            <sz val="14"/>
            <color rgb="FF000000"/>
            <rFont val="Times New Roman"/>
            <family val="18"/>
          </rPr>
          <t>Von IR 24 Feld Bats. Proviant Fuhrwesen wegen Erkrankung zuruck zum MLFK Pro centro Div. Nr. 17 transferiert</t>
        </r>
        <r>
          <rPr>
            <sz val="14"/>
            <color rgb="FF000000"/>
            <rFont val="Times New Roman"/>
            <family val="18"/>
          </rPr>
          <t xml:space="preserve"> [TL June 1790 &amp; ST Jan 1790]</t>
        </r>
        <r>
          <rPr>
            <sz val="14"/>
            <color rgb="FF000000"/>
            <rFont val="Calibri"/>
            <family val="34"/>
          </rPr>
          <t xml:space="preserve">
</t>
        </r>
      </text>
    </comment>
    <comment ref="BG18" authorId="0" shapeId="0" xr:uid="{EEB8FA6A-EE27-DA48-B484-CB04FE1E6C2A}">
      <text>
        <r>
          <rPr>
            <sz val="14"/>
            <color rgb="FF000000"/>
            <rFont val="Times New Roman"/>
            <family val="18"/>
          </rPr>
          <t xml:space="preserve">ML 1966 IR 24 (1787-9) – FELD Bats: ST Nov Nr. 13 (Belgrade 16/07/1790) </t>
        </r>
        <r>
          <rPr>
            <sz val="14"/>
            <color rgb="FF000000"/>
            <rFont val="Calibri"/>
            <family val="34"/>
          </rPr>
          <t xml:space="preserve">
</t>
        </r>
        <r>
          <rPr>
            <sz val="14"/>
            <color rgb="FF000000"/>
            <rFont val="Times New Roman"/>
            <family val="18"/>
          </rPr>
          <t>ML 1967 IR 24 (1790) – FELD Bats: ST Jan (Belgrade 27/07/1790)</t>
        </r>
        <r>
          <rPr>
            <sz val="14"/>
            <color rgb="FF000000"/>
            <rFont val="Calibri"/>
            <family val="34"/>
          </rPr>
          <t xml:space="preserve">
</t>
        </r>
        <r>
          <rPr>
            <sz val="14"/>
            <color rgb="FF000000"/>
            <rFont val="Times New Roman"/>
            <family val="18"/>
          </rPr>
          <t>ML 1968 IR 24 (1790) AL/TL – TL IR 24-&gt; MFWK Nr. 1 (Belgrad 25/06/1790)</t>
        </r>
      </text>
    </comment>
    <comment ref="BH18" authorId="0" shapeId="0" xr:uid="{CF4000B7-57B0-B74A-BCF9-771A801D67EF}">
      <text>
        <r>
          <rPr>
            <sz val="14"/>
            <color rgb="FF000000"/>
            <rFont val="Calibri"/>
            <family val="34"/>
          </rPr>
          <t>MFWK (1789-1790)</t>
        </r>
      </text>
    </comment>
    <comment ref="BF19" authorId="0" shapeId="0" xr:uid="{AF8460C4-6D7F-7E41-94F3-438FF1A3F77C}">
      <text>
        <r>
          <rPr>
            <sz val="14"/>
            <color rgb="FF000000"/>
            <rFont val="Times New Roman"/>
            <family val="18"/>
          </rPr>
          <t xml:space="preserve">31/10/1789 [Seit Mindestens] </t>
        </r>
        <r>
          <rPr>
            <i/>
            <sz val="14"/>
            <color rgb="FF000000"/>
            <rFont val="Times New Roman"/>
            <family val="18"/>
          </rPr>
          <t xml:space="preserve">Dient bei IR 24 FELD Bats.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 xml:space="preserve">30/04/1790 [Bis Mindestens] </t>
        </r>
        <r>
          <rPr>
            <i/>
            <sz val="14"/>
            <color rgb="FF000000"/>
            <rFont val="Times New Roman"/>
            <family val="18"/>
          </rPr>
          <t xml:space="preserve">Dient bei IR 24 FELD Bats. Proviant Fuhrwesen </t>
        </r>
        <r>
          <rPr>
            <sz val="14"/>
            <color rgb="FF000000"/>
            <rFont val="Times New Roman"/>
            <family val="18"/>
          </rPr>
          <t>[ST April 1790]</t>
        </r>
      </text>
    </comment>
    <comment ref="BG19" authorId="0" shapeId="0" xr:uid="{A23F2D31-770A-7846-AA39-549EFFE37650}">
      <text>
        <r>
          <rPr>
            <sz val="14"/>
            <color rgb="FF000000"/>
            <rFont val="Times New Roman"/>
            <family val="18"/>
          </rPr>
          <t xml:space="preserve">ML 1966 IR 24 (1787-9) – FELD Bats: ST Nov Nr. 4 (Belgrade 16/07/1790) </t>
        </r>
        <r>
          <rPr>
            <sz val="14"/>
            <color rgb="FF000000"/>
            <rFont val="Calibri"/>
            <family val="34"/>
          </rPr>
          <t xml:space="preserve">
</t>
        </r>
        <r>
          <rPr>
            <sz val="14"/>
            <color rgb="FF000000"/>
            <rFont val="Times New Roman"/>
            <family val="18"/>
          </rPr>
          <t>ML 1967 IR 24 (1790) – ST April (Belgrade 23/08/1790)</t>
        </r>
      </text>
    </comment>
    <comment ref="BH19" authorId="0" shapeId="0" xr:uid="{CFF5A38A-4E05-2747-9268-CF35303B6343}">
      <text>
        <r>
          <rPr>
            <sz val="14"/>
            <color rgb="FF000000"/>
            <rFont val="Calibri"/>
            <family val="34"/>
          </rPr>
          <t>MFWK (1789-1790)</t>
        </r>
      </text>
    </comment>
    <comment ref="BF20" authorId="0" shapeId="0" xr:uid="{9D788672-02F6-ED41-9DC1-171BA8D0D541}">
      <text>
        <r>
          <rPr>
            <sz val="14"/>
            <color rgb="FF000000"/>
            <rFont val="Times New Roman"/>
            <family val="18"/>
          </rPr>
          <t>ML 1966 IR 24 (1787-9) – FELD Bats: ST Nov Nr. 11 (Belgrade 16/07/1790), Dec (Belgrad 20/07/1790)</t>
        </r>
        <r>
          <rPr>
            <sz val="14"/>
            <color rgb="FF000000"/>
            <rFont val="Calibri"/>
            <family val="34"/>
          </rPr>
          <t xml:space="preserve">
</t>
        </r>
        <r>
          <rPr>
            <sz val="14"/>
            <color rgb="FF000000"/>
            <rFont val="Times New Roman"/>
            <family val="18"/>
          </rPr>
          <t>ML 1967 IR 24 (1790) – FELD Bats: ST Feb (Belgrade 16/08/1790)</t>
        </r>
        <r>
          <rPr>
            <sz val="14"/>
            <color rgb="FF000000"/>
            <rFont val="Calibri"/>
            <family val="34"/>
          </rPr>
          <t xml:space="preserve">
</t>
        </r>
        <r>
          <rPr>
            <sz val="14"/>
            <color rgb="FF000000"/>
            <rFont val="Times New Roman"/>
            <family val="18"/>
          </rPr>
          <t>ML 1968 IR 24 (1790) AL/TL – TL IR 24-&gt; MFWK-&gt; Nr. 1 (Belgrade 16/08/1790)</t>
        </r>
        <r>
          <rPr>
            <sz val="14"/>
            <color rgb="FF000000"/>
            <rFont val="Calibri"/>
            <family val="34"/>
          </rPr>
          <t xml:space="preserve">
</t>
        </r>
        <r>
          <rPr>
            <sz val="14"/>
            <color rgb="FF000000"/>
            <rFont val="Times New Roman"/>
            <family val="18"/>
          </rPr>
          <t> </t>
        </r>
      </text>
    </comment>
    <comment ref="BG20" authorId="0" shapeId="0" xr:uid="{3BF1C302-B5CB-6E4B-BFFE-644DF0D5B5B0}">
      <text>
        <r>
          <rPr>
            <i/>
            <sz val="14"/>
            <color rgb="FF000000"/>
            <rFont val="Times New Roman"/>
            <family val="18"/>
          </rPr>
          <t>Assentierungs Tag unbekannt</t>
        </r>
        <r>
          <rPr>
            <sz val="14"/>
            <color rgb="FF000000"/>
            <rFont val="Times New Roman"/>
            <family val="18"/>
          </rPr>
          <t xml:space="preserve"> [TL Aug 1790]</t>
        </r>
        <r>
          <rPr>
            <sz val="14"/>
            <color rgb="FF000000"/>
            <rFont val="Calibri"/>
            <family val="34"/>
          </rPr>
          <t xml:space="preserve">
</t>
        </r>
        <r>
          <rPr>
            <sz val="14"/>
            <color rgb="FF000000"/>
            <rFont val="Times New Roman"/>
            <family val="18"/>
          </rPr>
          <t xml:space="preserve">31/10/1789 </t>
        </r>
        <r>
          <rPr>
            <i/>
            <sz val="14"/>
            <color rgb="FF000000"/>
            <rFont val="Times New Roman"/>
            <family val="18"/>
          </rPr>
          <t>Dient seit mindestens IR 24 Artillerie Bespannung</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01/12/1789 </t>
        </r>
        <r>
          <rPr>
            <i/>
            <sz val="14"/>
            <color rgb="FF000000"/>
            <rFont val="Times New Roman"/>
            <family val="18"/>
          </rPr>
          <t>Von Regiments Artillerie zum Proviant Wagen Bespannung transferiert</t>
        </r>
        <r>
          <rPr>
            <sz val="14"/>
            <color rgb="FF000000"/>
            <rFont val="Times New Roman"/>
            <family val="18"/>
          </rPr>
          <t xml:space="preserve"> [ST Dec 1789]</t>
        </r>
        <r>
          <rPr>
            <sz val="14"/>
            <color rgb="FF000000"/>
            <rFont val="Calibri"/>
            <family val="34"/>
          </rPr>
          <t xml:space="preserve">
</t>
        </r>
        <r>
          <rPr>
            <sz val="14"/>
            <color rgb="FF000000"/>
            <rFont val="Times New Roman"/>
            <family val="18"/>
          </rPr>
          <t xml:space="preserve">19/02/1790 </t>
        </r>
        <r>
          <rPr>
            <i/>
            <sz val="14"/>
            <color rgb="FF000000"/>
            <rFont val="Times New Roman"/>
            <family val="18"/>
          </rPr>
          <t xml:space="preserve">Von IR 24 Feld Bats. Proviant Fuhrwesen wegen Erkrankung zur MLFK Pro centro Div. Nr. 17 transferiert </t>
        </r>
        <r>
          <rPr>
            <sz val="14"/>
            <color rgb="FF000000"/>
            <rFont val="Times New Roman"/>
            <family val="18"/>
          </rPr>
          <t>[TL Aug 1790 &amp; ST Feb 1790]</t>
        </r>
      </text>
    </comment>
    <comment ref="BH20" authorId="0" shapeId="0" xr:uid="{373E5324-E10D-BF42-BBB3-C6D64B038F7F}">
      <text>
        <r>
          <rPr>
            <sz val="14"/>
            <color rgb="FF000000"/>
            <rFont val="Calibri"/>
            <family val="34"/>
          </rPr>
          <t>MFWK (1789-1790)</t>
        </r>
      </text>
    </comment>
    <comment ref="BF21" authorId="0" shapeId="0" xr:uid="{CB16D54B-A442-0B4E-A889-4517F4F9A5F2}">
      <text>
        <r>
          <rPr>
            <sz val="14"/>
            <color rgb="FF000000"/>
            <rFont val="Times New Roman"/>
            <family val="18"/>
          </rPr>
          <t xml:space="preserve">31/10/1789 [Seit Mindestens] </t>
        </r>
        <r>
          <rPr>
            <i/>
            <sz val="14"/>
            <color rgb="FF000000"/>
            <rFont val="Times New Roman"/>
            <family val="18"/>
          </rPr>
          <t xml:space="preserve">Dient bei IR 24 FELD Bats. Proviant Fuhrwesen </t>
        </r>
        <r>
          <rPr>
            <sz val="14"/>
            <color rgb="FF000000"/>
            <rFont val="Times New Roman"/>
            <family val="18"/>
          </rPr>
          <t>[ST Nov 1789]</t>
        </r>
        <r>
          <rPr>
            <sz val="14"/>
            <color rgb="FF000000"/>
            <rFont val="Calibri"/>
            <family val="34"/>
          </rPr>
          <t xml:space="preserve">
</t>
        </r>
        <r>
          <rPr>
            <sz val="14"/>
            <color rgb="FF000000"/>
            <rFont val="Times New Roman"/>
            <family val="18"/>
          </rPr>
          <t xml:space="preserve">30/04/1790 [Bis Mindestens] </t>
        </r>
        <r>
          <rPr>
            <i/>
            <sz val="14"/>
            <color rgb="FF000000"/>
            <rFont val="Times New Roman"/>
            <family val="18"/>
          </rPr>
          <t xml:space="preserve">Dient bei IR 24 FELD Bats. Proviant Fuhrwesen </t>
        </r>
        <r>
          <rPr>
            <sz val="14"/>
            <color rgb="FF000000"/>
            <rFont val="Times New Roman"/>
            <family val="18"/>
          </rPr>
          <t>[ST April 1790]</t>
        </r>
      </text>
    </comment>
    <comment ref="BG21" authorId="0" shapeId="0" xr:uid="{8E99979F-027F-064B-A059-60872FEC4F0E}">
      <text>
        <r>
          <rPr>
            <sz val="14"/>
            <color rgb="FF000000"/>
            <rFont val="Times New Roman"/>
            <family val="18"/>
          </rPr>
          <t xml:space="preserve">ML 1966 IR 24 (1787-9) – FELD Bats: ST Nov Nr. 14 (Belgrade 16/07/1790) </t>
        </r>
        <r>
          <rPr>
            <sz val="14"/>
            <color rgb="FF000000"/>
            <rFont val="Calibri"/>
            <family val="34"/>
          </rPr>
          <t xml:space="preserve">
</t>
        </r>
        <r>
          <rPr>
            <sz val="14"/>
            <color rgb="FF000000"/>
            <rFont val="Times New Roman"/>
            <family val="18"/>
          </rPr>
          <t>ML 1967 IR 24 (1790) – ST April (Belgrade 23/08/1790)</t>
        </r>
      </text>
    </comment>
    <comment ref="BH21" authorId="0" shapeId="0" xr:uid="{5E087975-4E15-C046-822C-85585127BBE1}">
      <text>
        <r>
          <rPr>
            <sz val="14"/>
            <color rgb="FF000000"/>
            <rFont val="Calibri"/>
            <family val="34"/>
          </rPr>
          <t>MFWK (1789-1790)</t>
        </r>
      </text>
    </comment>
    <comment ref="BF22" authorId="0" shapeId="0" xr:uid="{90740DF8-16C4-EC49-9FEE-FD5DE8BBCF90}">
      <text>
        <r>
          <rPr>
            <i/>
            <sz val="14"/>
            <color rgb="FF000000"/>
            <rFont val="Times New Roman"/>
            <family val="18"/>
          </rPr>
          <t xml:space="preserve">Assentierungs tag unbekannt </t>
        </r>
        <r>
          <rPr>
            <sz val="14"/>
            <color rgb="FF000000"/>
            <rFont val="Times New Roman"/>
            <family val="18"/>
          </rPr>
          <t>[TL June 1790]</t>
        </r>
        <r>
          <rPr>
            <sz val="14"/>
            <color rgb="FF000000"/>
            <rFont val="Calibri"/>
            <family val="34"/>
          </rPr>
          <t xml:space="preserve">
</t>
        </r>
        <r>
          <rPr>
            <sz val="14"/>
            <color rgb="FF000000"/>
            <rFont val="Times New Roman"/>
            <family val="18"/>
          </rPr>
          <t xml:space="preserve">19/11/1789 </t>
        </r>
        <r>
          <rPr>
            <i/>
            <sz val="14"/>
            <color rgb="FF000000"/>
            <rFont val="Times New Roman"/>
            <family val="18"/>
          </rPr>
          <t xml:space="preserve">Von IR 24 2 Feld Bat Artillerie Bespannung wegen Erkrankung zur MFWK 17. Pro cento Division transferiert </t>
        </r>
        <r>
          <rPr>
            <sz val="14"/>
            <color rgb="FF000000"/>
            <rFont val="Times New Roman"/>
            <family val="18"/>
          </rPr>
          <t>[TL June 1790 &amp; ST Nov 1789]</t>
        </r>
        <r>
          <rPr>
            <sz val="14"/>
            <color rgb="FF000000"/>
            <rFont val="Calibri"/>
            <family val="34"/>
          </rPr>
          <t xml:space="preserve">
</t>
        </r>
      </text>
    </comment>
    <comment ref="BG22" authorId="0" shapeId="0" xr:uid="{2E53A021-5C3A-5C4D-800D-8443596BA633}">
      <text>
        <r>
          <rPr>
            <sz val="14"/>
            <color rgb="FF000000"/>
            <rFont val="Times New Roman"/>
            <family val="18"/>
          </rPr>
          <t>ML 1966 IR 24 (1787-9) – FELD Bats: ST Nov (Belgrade 16/07/1790)</t>
        </r>
        <r>
          <rPr>
            <sz val="14"/>
            <color rgb="FF000000"/>
            <rFont val="Calibri"/>
            <family val="34"/>
          </rPr>
          <t xml:space="preserve">
</t>
        </r>
        <r>
          <rPr>
            <sz val="14"/>
            <color rgb="FF000000"/>
            <rFont val="Times New Roman"/>
            <family val="18"/>
          </rPr>
          <t>ML 1968 IR 24 (1790) AL/TL – TL IR 24-&gt; MFWK-&gt; Nr. 6 (Belgrad 25/06/1790)</t>
        </r>
      </text>
    </comment>
    <comment ref="BH22" authorId="0" shapeId="0" xr:uid="{B0F381CF-D693-3C48-A2BA-3082EBDF57BB}">
      <text>
        <r>
          <rPr>
            <sz val="14"/>
            <color rgb="FF000000"/>
            <rFont val="Calibri"/>
            <family val="34"/>
          </rPr>
          <t>MFWK (1789-90)</t>
        </r>
      </text>
    </comment>
    <comment ref="BF23" authorId="0" shapeId="0" xr:uid="{8F5EE2D6-37EF-D24A-AB7A-7EFEA41BCD4F}">
      <text>
        <r>
          <rPr>
            <sz val="14"/>
            <color rgb="FF000000"/>
            <rFont val="+mn-lt"/>
            <charset val="1"/>
          </rPr>
          <t xml:space="preserve">vor 31/10/1789 zum IR 43 Feld Battaillons transferiert und zum Proviant Fuhrwesen zugeteilt
</t>
        </r>
        <r>
          <rPr>
            <sz val="14"/>
            <color rgb="FF000000"/>
            <rFont val="+mn-lt"/>
            <charset val="1"/>
          </rPr>
          <t xml:space="preserve">15/11/1789 in Folge hoher Armee General Commando Verordnung von 09/11/1789 von 2. Feld Battalions von IR 43 ‘Thurn’ an das MLFK abgegeben [ST Nov 1789]
</t>
        </r>
      </text>
    </comment>
    <comment ref="BG23" authorId="0" shapeId="0" xr:uid="{EEEA5A94-4FC2-774B-ADED-3088B3D229EE}">
      <text>
        <r>
          <rPr>
            <sz val="14"/>
            <color rgb="FF000000"/>
            <rFont val="Calibri"/>
            <family val="34"/>
          </rPr>
          <t xml:space="preserve">ML 10.294 IR 43 (1789) ST July FELD Proviant Fuhrwesen - Abgang (29/08/1789)
</t>
        </r>
        <r>
          <rPr>
            <sz val="14"/>
            <color rgb="FF000000"/>
            <rFont val="Calibri"/>
            <family val="34"/>
          </rPr>
          <t>ML 10.295 IR 43 (1789) AL/TL TL IR 43-&gt;MFWK Nr. 2 (Beschainer Observatorium 14/11/1789)</t>
        </r>
      </text>
    </comment>
    <comment ref="BH23" authorId="0" shapeId="0" xr:uid="{8EBE5537-ACF8-584A-A367-5CAED8119087}">
      <text>
        <r>
          <rPr>
            <sz val="14"/>
            <color rgb="FF000000"/>
            <rFont val="Calibri"/>
            <family val="34"/>
          </rPr>
          <t>MFWK (1789)</t>
        </r>
      </text>
    </comment>
    <comment ref="BF24" authorId="0" shapeId="0" xr:uid="{B7C428FC-66C1-1E4D-965A-661C4C5C7B48}">
      <text>
        <r>
          <rPr>
            <sz val="14"/>
            <color rgb="FF000000"/>
            <rFont val="Times New Roman"/>
            <family val="18"/>
          </rPr>
          <t xml:space="preserve">31/10/1789 </t>
        </r>
        <r>
          <rPr>
            <i/>
            <sz val="14"/>
            <color rgb="FF000000"/>
            <rFont val="Times New Roman"/>
            <family val="18"/>
          </rPr>
          <t>Dient seit mindestens IR 24 Artillerie Bespannung</t>
        </r>
        <r>
          <rPr>
            <sz val="14"/>
            <color rgb="FF000000"/>
            <rFont val="Times New Roman"/>
            <family val="18"/>
          </rPr>
          <t xml:space="preserve"> [ST Nov 1789]</t>
        </r>
        <r>
          <rPr>
            <sz val="14"/>
            <color rgb="FF000000"/>
            <rFont val="Calibri"/>
            <family val="34"/>
          </rPr>
          <t xml:space="preserve">
</t>
        </r>
        <r>
          <rPr>
            <sz val="14"/>
            <color rgb="FF000000"/>
            <rFont val="Times New Roman"/>
            <family val="18"/>
          </rPr>
          <t xml:space="preserve">24/12/1789 In folge </t>
        </r>
        <r>
          <rPr>
            <i/>
            <sz val="14"/>
            <color rgb="FF000000"/>
            <rFont val="Times New Roman"/>
            <family val="18"/>
          </rPr>
          <t>hoher General Commando Verordnung dtt. Belgrad den 20. Dez 789 von Preis 2 Feld Batts in die k.k. Artillerie Reserve zu Semlin transferiert</t>
        </r>
        <r>
          <rPr>
            <sz val="14"/>
            <color rgb="FF000000"/>
            <rFont val="Times New Roman"/>
            <family val="18"/>
          </rPr>
          <t xml:space="preserve"> [TL Dez 1789]</t>
        </r>
        <r>
          <rPr>
            <sz val="14"/>
            <color rgb="FF000000"/>
            <rFont val="Calibri"/>
            <family val="34"/>
          </rPr>
          <t xml:space="preserve">
</t>
        </r>
        <r>
          <rPr>
            <sz val="14"/>
            <color rgb="FF000000"/>
            <rFont val="Times New Roman"/>
            <family val="18"/>
          </rPr>
          <t xml:space="preserve">01/04/1790 </t>
        </r>
        <r>
          <rPr>
            <i/>
            <sz val="14"/>
            <color rgb="FF000000"/>
            <rFont val="Times New Roman"/>
            <family val="18"/>
          </rPr>
          <t xml:space="preserve">Von MLFK </t>
        </r>
        <r>
          <rPr>
            <sz val="14"/>
            <color rgb="FF000000"/>
            <rFont val="Times New Roman"/>
            <family val="18"/>
          </rPr>
          <t>4. Artillerie Bespannung Division</t>
        </r>
        <r>
          <rPr>
            <i/>
            <sz val="14"/>
            <color rgb="FF000000"/>
            <rFont val="Times New Roman"/>
            <family val="18"/>
          </rPr>
          <t xml:space="preserve"> zur IR 24 Feld Bats.transferiert und zur  Artillerie eingeteigt</t>
        </r>
        <r>
          <rPr>
            <sz val="14"/>
            <color rgb="FF000000"/>
            <rFont val="Times New Roman"/>
            <family val="18"/>
          </rPr>
          <t xml:space="preserve"> [TL March 1790]</t>
        </r>
        <r>
          <rPr>
            <sz val="14"/>
            <color rgb="FF000000"/>
            <rFont val="Calibri"/>
            <family val="34"/>
          </rPr>
          <t xml:space="preserve">
</t>
        </r>
        <r>
          <rPr>
            <sz val="14"/>
            <color rgb="FF000000"/>
            <rFont val="Times New Roman"/>
            <family val="18"/>
          </rPr>
          <t xml:space="preserve">30/04/1790 [Dient bis mindestens] </t>
        </r>
        <r>
          <rPr>
            <sz val="14"/>
            <color rgb="FF000000"/>
            <rFont val="Calibri"/>
            <family val="34"/>
          </rPr>
          <t xml:space="preserve">
</t>
        </r>
      </text>
    </comment>
    <comment ref="BG24" authorId="0" shapeId="0" xr:uid="{9466CEAC-555A-8944-ABA8-D5DE739462B1}">
      <text>
        <r>
          <rPr>
            <sz val="14"/>
            <color rgb="FF000000"/>
            <rFont val="Times New Roman"/>
            <family val="18"/>
          </rPr>
          <t xml:space="preserve">ML 1966 IR 24 (1787-9) – FELD Bats: TL IR 24-&gt; MFWK Nr. 11 (Semlin ??/12/1789); ST Nov Nr. 11 (Belgrade 16/07/1790), </t>
        </r>
        <r>
          <rPr>
            <sz val="14"/>
            <color rgb="FF000000"/>
            <rFont val="Calibri"/>
            <family val="34"/>
          </rPr>
          <t xml:space="preserve">
</t>
        </r>
        <r>
          <rPr>
            <sz val="14"/>
            <color rgb="FF000000"/>
            <rFont val="Times New Roman"/>
            <family val="18"/>
          </rPr>
          <t>ML 1967 ST April (Belgrad 23/08/1790)</t>
        </r>
        <r>
          <rPr>
            <sz val="14"/>
            <color rgb="FF000000"/>
            <rFont val="Calibri"/>
            <family val="34"/>
          </rPr>
          <t xml:space="preserve">
</t>
        </r>
        <r>
          <rPr>
            <sz val="14"/>
            <color rgb="FF000000"/>
            <rFont val="Times New Roman"/>
            <family val="18"/>
          </rPr>
          <t>ML 1968 IR 24 (1790) AL/TL – TL MFWK-&gt; IR 24 Nr. 17 (Semlin 31/03/1790)</t>
        </r>
      </text>
    </comment>
    <comment ref="BH24" authorId="0" shapeId="0" xr:uid="{795C0AB7-48D5-644A-842A-6EF9ACF9D3DD}">
      <text>
        <r>
          <rPr>
            <sz val="14"/>
            <color rgb="FF000000"/>
            <rFont val="Calibri"/>
            <family val="34"/>
          </rPr>
          <t>MFWK (1789-1790)</t>
        </r>
      </text>
    </comment>
    <comment ref="BF25" authorId="0" shapeId="0" xr:uid="{9DFBB4D0-CADA-EA42-ADA7-8C36FAFEC2C9}">
      <text>
        <r>
          <rPr>
            <sz val="14"/>
            <color rgb="FF000000"/>
            <rFont val="+mn-lt"/>
            <charset val="1"/>
          </rPr>
          <t xml:space="preserve">03/11/1789 von MFWK pro cento division nr. 17 zum IR 43 transferiert und zum Regiments provinat Bespannung zugeheilt [ST Nov 1789]
</t>
        </r>
        <r>
          <rPr>
            <sz val="14"/>
            <color rgb="FF000000"/>
            <rFont val="+mn-lt"/>
            <charset val="1"/>
          </rPr>
          <t xml:space="preserve">15/11/1789 in Folge hoher Armee General Commando Verordnung von 09/11/1789 von 2. Feld Battailons proviant Fuhrwesen von IR 43 ‘Thurn’ an das MLFK abgegeben [ST Nov 1789 &amp; TL 1789]
</t>
        </r>
      </text>
    </comment>
    <comment ref="BG25" authorId="0" shapeId="0" xr:uid="{8A008419-C5EB-A34B-8C45-03F6ECFE2051}">
      <text>
        <r>
          <rPr>
            <sz val="14"/>
            <color rgb="FF000000"/>
            <rFont val="Calibri"/>
            <family val="34"/>
          </rPr>
          <t xml:space="preserve">ML 10.294 IR 43 (1789) ST July FELD Proviant Fuhrwesen - Abgang &amp; Zuwachs(29/08/1789)
</t>
        </r>
        <r>
          <rPr>
            <sz val="14"/>
            <color rgb="FF000000"/>
            <rFont val="Calibri"/>
            <family val="34"/>
          </rPr>
          <t>ML 10.295 IR 43 (1789) AL/TL TL IR 43-&gt;MFWK Nr. 1 (Beschainer Observatorium 14/11/1789)</t>
        </r>
      </text>
    </comment>
    <comment ref="BH25" authorId="0" shapeId="0" xr:uid="{CF8BC356-4BC0-E948-B853-E4329629854D}">
      <text>
        <r>
          <rPr>
            <sz val="14"/>
            <color rgb="FF000000"/>
            <rFont val="Calibri"/>
            <family val="34"/>
          </rPr>
          <t>MFWK (1789)</t>
        </r>
      </text>
    </comment>
    <comment ref="BF26" authorId="0" shapeId="0" xr:uid="{F47D3D4B-25BA-4A49-9A61-FCBF844E3329}">
      <text>
        <r>
          <rPr>
            <sz val="14"/>
            <color rgb="FF000000"/>
            <rFont val="Times New Roman"/>
            <family val="18"/>
          </rPr>
          <t xml:space="preserve">06/11/1789 </t>
        </r>
        <r>
          <rPr>
            <i/>
            <sz val="14"/>
            <color rgb="FF000000"/>
            <rFont val="Times New Roman"/>
            <family val="18"/>
          </rPr>
          <t xml:space="preserve">Von Fuhrwesen Corps zum IR 1 ‚Kasier‘ Leib Batallion transferiert und zum Proviants Fuhrwesen zugeheilt </t>
        </r>
        <r>
          <rPr>
            <sz val="14"/>
            <color rgb="FF000000"/>
            <rFont val="Times New Roman"/>
            <family val="18"/>
          </rPr>
          <t>[ST Nov 1789]</t>
        </r>
        <r>
          <rPr>
            <sz val="14"/>
            <color rgb="FF000000"/>
            <rFont val="Calibri"/>
            <family val="34"/>
          </rPr>
          <t xml:space="preserve">
</t>
        </r>
        <r>
          <rPr>
            <sz val="14"/>
            <color rgb="FF000000"/>
            <rFont val="Times New Roman"/>
            <family val="18"/>
          </rPr>
          <t xml:space="preserve">05/12/1789 </t>
        </r>
        <r>
          <rPr>
            <i/>
            <sz val="14"/>
            <color rgb="FF000000"/>
            <rFont val="Times New Roman"/>
            <family val="18"/>
          </rPr>
          <t>Als in das Ofner GARNISIONS Spittal krank gebliebene von IR 1 Leib Bat Proviants Fuhrwesen zur MFWK transferiert</t>
        </r>
        <r>
          <rPr>
            <sz val="14"/>
            <color rgb="FF000000"/>
            <rFont val="Times New Roman"/>
            <family val="18"/>
          </rPr>
          <t xml:space="preserve"> [ST Dec 1789)</t>
        </r>
        <r>
          <rPr>
            <sz val="14"/>
            <color rgb="FF000000"/>
            <rFont val="Calibri"/>
            <family val="34"/>
          </rPr>
          <t xml:space="preserve">
</t>
        </r>
        <r>
          <rPr>
            <sz val="14"/>
            <color rgb="FF000000"/>
            <rFont val="+mn-lt"/>
            <charset val="1"/>
          </rPr>
          <t xml:space="preserve">
</t>
        </r>
      </text>
    </comment>
    <comment ref="BG26" authorId="0" shapeId="0" xr:uid="{8430A214-9662-6E49-83E2-438A884650B6}">
      <text>
        <r>
          <rPr>
            <sz val="14"/>
            <color rgb="FF000000"/>
            <rFont val="Calibri"/>
            <family val="34"/>
          </rPr>
          <t xml:space="preserve">ML 10.294 IR 43 (1789) ST July FELD Proviant Fuhrwesen - Abgang &amp; Zuwachs(29/08/1789)
</t>
        </r>
        <r>
          <rPr>
            <sz val="14"/>
            <color rgb="FF000000"/>
            <rFont val="Calibri"/>
            <family val="34"/>
          </rPr>
          <t>ML 10.295 IR 43 (1789) AL/TL TL IR 43-&gt;MFWK Nr. 1 (Beschainer Observatorium 14/11/1789)</t>
        </r>
      </text>
    </comment>
    <comment ref="BH26" authorId="0" shapeId="0" xr:uid="{807D6966-9247-354F-AF95-2199F0B13B0F}">
      <text>
        <r>
          <rPr>
            <sz val="14"/>
            <color rgb="FF000000"/>
            <rFont val="Calibri"/>
            <family val="34"/>
          </rPr>
          <t>MFWK (1789-1790)</t>
        </r>
      </text>
    </comment>
    <comment ref="BF27" authorId="0" shapeId="0" xr:uid="{E5BE5512-93AD-9148-962D-751BD82482C1}">
      <text>
        <r>
          <rPr>
            <sz val="14"/>
            <color rgb="FF000000"/>
            <rFont val="Times New Roman"/>
            <family val="18"/>
          </rPr>
          <t xml:space="preserve">06/11/1789 06/11/1789 </t>
        </r>
        <r>
          <rPr>
            <i/>
            <sz val="14"/>
            <color rgb="FF000000"/>
            <rFont val="Times New Roman"/>
            <family val="18"/>
          </rPr>
          <t>Von Fuhrwesen Corps zum IR 1 ‚Kasier‘ Leib Batallion transferiert und zum Proviants Fuhrwesen zugeheilt</t>
        </r>
        <r>
          <rPr>
            <sz val="14"/>
            <color rgb="FF000000"/>
            <rFont val="Times New Roman"/>
            <family val="18"/>
          </rPr>
          <t>;</t>
        </r>
        <r>
          <rPr>
            <i/>
            <sz val="14"/>
            <color rgb="FF000000"/>
            <rFont val="Times New Roman"/>
            <family val="18"/>
          </rPr>
          <t xml:space="preserve"> In disgalligen Transferierungsliste ist keine assentierungstag enthalten</t>
        </r>
        <r>
          <rPr>
            <sz val="14"/>
            <color rgb="FF000000"/>
            <rFont val="Times New Roman"/>
            <family val="18"/>
          </rPr>
          <t xml:space="preserve"> [ST Nov 1789 &amp; TL Oct 1790]</t>
        </r>
        <r>
          <rPr>
            <sz val="14"/>
            <color rgb="FF000000"/>
            <rFont val="Calibri"/>
            <family val="34"/>
          </rPr>
          <t xml:space="preserve">
</t>
        </r>
        <r>
          <rPr>
            <sz val="14"/>
            <color rgb="FF000000"/>
            <rFont val="Times New Roman"/>
            <family val="18"/>
          </rPr>
          <t>20/10/1790 von Regiment Proviant Bespannung zurück ins MFWK transferiert [TL Oct 1790 &amp; ST Oct 1790]</t>
        </r>
        <r>
          <rPr>
            <sz val="14"/>
            <color rgb="FF000000"/>
            <rFont val="Calibri"/>
            <family val="34"/>
          </rPr>
          <t xml:space="preserve">
</t>
        </r>
        <r>
          <rPr>
            <sz val="14"/>
            <color rgb="FF000000"/>
            <rFont val="+mn-lt"/>
            <charset val="1"/>
          </rPr>
          <t xml:space="preserve">
</t>
        </r>
      </text>
    </comment>
    <comment ref="BG27" authorId="0" shapeId="0" xr:uid="{C226AD26-21AC-B34D-80D3-B7A01CA0CC66}">
      <text>
        <r>
          <rPr>
            <sz val="14"/>
            <color rgb="FF000000"/>
            <rFont val="Times New Roman"/>
            <family val="18"/>
          </rPr>
          <t>ML 57 IR 1 (1789) – TL IR 1-&gt; MFWK Nr. 1 (Wischau 31/12/1789); ST Nov (03/01/1790), Dec (23/01/1790)</t>
        </r>
      </text>
    </comment>
    <comment ref="BH27" authorId="0" shapeId="0" xr:uid="{0747F174-81BA-CC49-8BD0-FABD8E2AFF0B}">
      <text>
        <r>
          <rPr>
            <sz val="14"/>
            <color rgb="FF000000"/>
            <rFont val="Calibri"/>
            <family val="34"/>
          </rPr>
          <t>MFWK (1789)</t>
        </r>
      </text>
    </comment>
    <comment ref="BF28" authorId="0" shapeId="0" xr:uid="{9E4DD5FC-827F-6640-B6EA-9D56AF29ADF4}">
      <text>
        <r>
          <rPr>
            <i/>
            <sz val="14"/>
            <color rgb="FF000000"/>
            <rFont val="Times New Roman"/>
            <family val="18"/>
          </rPr>
          <t>Assentierungs Tag unbekannt</t>
        </r>
        <r>
          <rPr>
            <sz val="14"/>
            <color rgb="FF000000"/>
            <rFont val="Times New Roman"/>
            <family val="18"/>
          </rPr>
          <t xml:space="preserve"> [TL June 1790]</t>
        </r>
        <r>
          <rPr>
            <sz val="14"/>
            <color rgb="FF000000"/>
            <rFont val="Calibri"/>
            <family val="34"/>
          </rPr>
          <t xml:space="preserve">
</t>
        </r>
        <r>
          <rPr>
            <sz val="14"/>
            <color rgb="FF000000"/>
            <rFont val="Times New Roman"/>
            <family val="18"/>
          </rPr>
          <t xml:space="preserve">25/11/1789 </t>
        </r>
        <r>
          <rPr>
            <i/>
            <sz val="14"/>
            <color rgb="FF000000"/>
            <rFont val="Times New Roman"/>
            <family val="18"/>
          </rPr>
          <t>Von den Fuhrwesen Procento Division nr. 17 3. Abt. Zum IR 24 transferiert und zur Proviant fuhrwesen eingetheilt</t>
        </r>
        <r>
          <rPr>
            <sz val="14"/>
            <color rgb="FF000000"/>
            <rFont val="Times New Roman"/>
            <family val="18"/>
          </rPr>
          <t xml:space="preserve"> [TL Nov 1789 &amp; ST Nov 1789]</t>
        </r>
        <r>
          <rPr>
            <sz val="14"/>
            <color rgb="FF000000"/>
            <rFont val="Calibri"/>
            <family val="34"/>
          </rPr>
          <t xml:space="preserve">
</t>
        </r>
        <r>
          <rPr>
            <sz val="14"/>
            <color rgb="FF000000"/>
            <rFont val="Times New Roman"/>
            <family val="18"/>
          </rPr>
          <t>06/12/1789</t>
        </r>
        <r>
          <rPr>
            <i/>
            <sz val="14"/>
            <color rgb="FF000000"/>
            <rFont val="Times New Roman"/>
            <family val="18"/>
          </rPr>
          <t xml:space="preserve"> Von IR 24 2 Feld Bat Provinat Fuhrwesen wegen Erkrankung zur MFWK 17. Pro cento Division transferiert </t>
        </r>
        <r>
          <rPr>
            <sz val="14"/>
            <color rgb="FF000000"/>
            <rFont val="Times New Roman"/>
            <family val="18"/>
          </rPr>
          <t>[TL June 1790]</t>
        </r>
        <r>
          <rPr>
            <sz val="14"/>
            <color rgb="FF000000"/>
            <rFont val="Calibri"/>
            <family val="34"/>
          </rPr>
          <t xml:space="preserve">
</t>
        </r>
        <r>
          <rPr>
            <sz val="14"/>
            <color rgb="FF000000"/>
            <rFont val="+mn-lt"/>
            <charset val="1"/>
          </rPr>
          <t xml:space="preserve">
</t>
        </r>
      </text>
    </comment>
    <comment ref="BG28" authorId="0" shapeId="0" xr:uid="{9BC5E013-966D-BB44-918A-D54FEDBD8F71}">
      <text>
        <r>
          <rPr>
            <sz val="14"/>
            <color rgb="FF000000"/>
            <rFont val="Times New Roman"/>
            <family val="18"/>
          </rPr>
          <t xml:space="preserve">ML 1966 IR 24 (1787-9) – FELD Bats: ST Nov Nr. 20 (Belgrade 16/07/1790) </t>
        </r>
        <r>
          <rPr>
            <sz val="14"/>
            <color rgb="FF000000"/>
            <rFont val="Calibri"/>
            <family val="34"/>
          </rPr>
          <t xml:space="preserve">
</t>
        </r>
        <r>
          <rPr>
            <sz val="14"/>
            <color rgb="FF000000"/>
            <rFont val="Times New Roman"/>
            <family val="18"/>
          </rPr>
          <t>ML 1968 IR 24 (1790) AL/TL – TL IR 24-&gt; MFWK-&gt; Nr. 1 (Belgrad 25/06/1790)</t>
        </r>
        <r>
          <rPr>
            <sz val="14"/>
            <color rgb="FF000000"/>
            <rFont val="Calibri"/>
            <family val="34"/>
          </rPr>
          <t xml:space="preserve">
</t>
        </r>
      </text>
    </comment>
    <comment ref="BH28" authorId="0" shapeId="0" xr:uid="{47B6DBEC-FF75-2F49-AAB6-4B684D3A3D0B}">
      <text>
        <r>
          <rPr>
            <sz val="14"/>
            <color rgb="FF000000"/>
            <rFont val="Calibri"/>
            <family val="34"/>
          </rPr>
          <t>MFWK (1789)</t>
        </r>
      </text>
    </comment>
    <comment ref="BF29" authorId="0" shapeId="0" xr:uid="{588FAC2E-0024-AA45-A680-A68619B44AD9}">
      <text>
        <r>
          <rPr>
            <sz val="14"/>
            <color rgb="FF000000"/>
            <rFont val="+mn-lt"/>
            <charset val="1"/>
          </rPr>
          <t xml:space="preserve">In 02/1790 von Gallizischen Standen gestellt [TL April 1790]
</t>
        </r>
        <r>
          <rPr>
            <sz val="14"/>
            <color rgb="FF000000"/>
            <rFont val="+mn-lt"/>
            <charset val="1"/>
          </rPr>
          <t xml:space="preserve">01/05/1790 von MFWK pro Cento Division Nr. 19 zum IR 43 transferiert und zum Artillerie Bespannung zugeteilt [TL April 1790 &amp; ST May 1790]
</t>
        </r>
        <r>
          <rPr>
            <sz val="14"/>
            <color rgb="FF000000"/>
            <rFont val="+mn-lt"/>
            <charset val="1"/>
          </rPr>
          <t xml:space="preserve">22/08/1790 Von IR 43 Artillerie Bespannung zum Konigl. Fuhrwesens artillerie Reserve abgegaben [TL Aug 1790 &amp; ST Aug 1790]
</t>
        </r>
        <r>
          <rPr>
            <sz val="14"/>
            <color rgb="FF000000"/>
            <rFont val="+mn-lt"/>
            <charset val="1"/>
          </rPr>
          <t xml:space="preserve">]
</t>
        </r>
      </text>
    </comment>
    <comment ref="BG29" authorId="0" shapeId="0" xr:uid="{21C6B772-7B59-6741-95BB-4002F6B290BA}">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15 (29/04/1790) &amp; TL IR 43-&gt; MFWK Nr. 14 (25/08/1790)</t>
        </r>
      </text>
    </comment>
    <comment ref="BH29" authorId="0" shapeId="0" xr:uid="{E6A28E0D-767A-D44B-9FF8-FC78BF918033}">
      <text>
        <r>
          <rPr>
            <sz val="14"/>
            <color rgb="FF000000"/>
            <rFont val="Calibri"/>
            <family val="34"/>
          </rPr>
          <t>MFWK (1790)</t>
        </r>
      </text>
    </comment>
    <comment ref="BF30" authorId="0" shapeId="0" xr:uid="{E1826C9E-39B2-2C43-859E-15DEDC534CE3}">
      <text>
        <r>
          <rPr>
            <sz val="14"/>
            <color rgb="FF000000"/>
            <rFont val="+mn-lt"/>
            <charset val="1"/>
          </rPr>
          <t xml:space="preserve">In 02/1790 von Gallizischen Standen gestellt [TL April 1790]
</t>
        </r>
        <r>
          <rPr>
            <sz val="14"/>
            <color rgb="FF000000"/>
            <rFont val="+mn-lt"/>
            <charset val="1"/>
          </rPr>
          <t xml:space="preserve">01/05/1790 von MFWK pro Cento Division Nr. 19 zum IR 43 transferiert und zum Artillerie Bespannung zugeteilt [TL April 1790 &amp; ST May 1790]
</t>
        </r>
        <r>
          <rPr>
            <sz val="14"/>
            <color rgb="FF000000"/>
            <rFont val="+mn-lt"/>
            <charset val="1"/>
          </rPr>
          <t xml:space="preserve">22/08/1790 Von IR 43 Artillerie Bespannung zum Konigl. Fuhrwesens artillerie Reserve abgegaben [TL Aug 1790 &amp; ST Aug 1790]
</t>
        </r>
        <r>
          <rPr>
            <sz val="14"/>
            <color rgb="FF000000"/>
            <rFont val="+mn-lt"/>
            <charset val="1"/>
          </rPr>
          <t xml:space="preserve">]
</t>
        </r>
      </text>
    </comment>
    <comment ref="BG30" authorId="0" shapeId="0" xr:uid="{D48B0075-D660-1740-B957-8783ACA772E0}">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14 (29/04/1790) &amp; TL IR 43-&gt; MFWK Nr. 13 (25/08/1790)</t>
        </r>
      </text>
    </comment>
    <comment ref="BH30" authorId="0" shapeId="0" xr:uid="{F57C3C78-C199-564D-99F6-2CBF4C6D6459}">
      <text>
        <r>
          <rPr>
            <sz val="14"/>
            <color rgb="FF000000"/>
            <rFont val="Calibri"/>
            <family val="34"/>
          </rPr>
          <t>MFWK (1790)</t>
        </r>
      </text>
    </comment>
    <comment ref="BF31" authorId="0" shapeId="0" xr:uid="{3358FAEF-3453-564B-95AD-EC81A5746A14}">
      <text>
        <r>
          <rPr>
            <sz val="14"/>
            <color rgb="FF000000"/>
            <rFont val="+mn-lt"/>
            <charset val="1"/>
          </rPr>
          <t xml:space="preserve">In 02/1790 von Gallizischen Standen gestellt [TL April 1790]
</t>
        </r>
        <r>
          <rPr>
            <sz val="14"/>
            <color rgb="FF000000"/>
            <rFont val="+mn-lt"/>
            <charset val="1"/>
          </rPr>
          <t xml:space="preserve">01/05/1790 von MFWK pro Cento Division Nr. 19 zum IR 43 transferiert und zum Artillerie Bespannung zugeteilt [TL April 1790 &amp; ST May 1790]
</t>
        </r>
        <r>
          <rPr>
            <sz val="14"/>
            <color rgb="FF000000"/>
            <rFont val="+mn-lt"/>
            <charset val="1"/>
          </rPr>
          <t xml:space="preserve">22/08/1790 Von IR 43 Artillerie Bespannung zum Konigl. Fuhrwesens artillerie Reserve abgegaben [TL Aug 1790 &amp; ST Aug 1790]
</t>
        </r>
        <r>
          <rPr>
            <sz val="14"/>
            <color rgb="FF000000"/>
            <rFont val="+mn-lt"/>
            <charset val="1"/>
          </rPr>
          <t xml:space="preserve">]
</t>
        </r>
      </text>
    </comment>
    <comment ref="BG31" authorId="0" shapeId="0" xr:uid="{A105FC0A-538B-254C-8394-1C14BBB93C36}">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16 (29/04/1790) &amp; TL IR 43-&gt; MFWK Nr. 15 (25/08/1790)</t>
        </r>
      </text>
    </comment>
    <comment ref="BH31" authorId="0" shapeId="0" xr:uid="{FB69474B-9806-D44D-B806-05E73865D9B0}">
      <text>
        <r>
          <rPr>
            <sz val="14"/>
            <color rgb="FF000000"/>
            <rFont val="Calibri"/>
            <family val="34"/>
          </rPr>
          <t>MFWK (1790)</t>
        </r>
      </text>
    </comment>
    <comment ref="BF32" authorId="0" shapeId="0" xr:uid="{F83E9E45-9436-8147-B1C2-18CEFAA8EA5A}">
      <text>
        <r>
          <rPr>
            <sz val="14"/>
            <color rgb="FF000000"/>
            <rFont val="Calibri"/>
            <family val="34"/>
          </rPr>
          <t xml:space="preserve">Vor 30/04/1790 </t>
        </r>
        <r>
          <rPr>
            <i/>
            <sz val="14"/>
            <color rgb="FF000000"/>
            <rFont val="Calibri"/>
            <family val="34"/>
          </rPr>
          <t>Ins IR 43 Feld Battalions Proviant Fuhrwesen transferiert</t>
        </r>
        <r>
          <rPr>
            <sz val="14"/>
            <color rgb="FF000000"/>
            <rFont val="Calibri"/>
            <family val="34"/>
          </rPr>
          <t xml:space="preserve"> 
</t>
        </r>
        <r>
          <rPr>
            <sz val="14"/>
            <color rgb="FF000000"/>
            <rFont val="Calibri"/>
            <family val="34"/>
          </rPr>
          <t xml:space="preserve">21/10/1790 </t>
        </r>
        <r>
          <rPr>
            <i/>
            <sz val="14"/>
            <color rgb="FF000000"/>
            <rFont val="Calibri"/>
            <family val="34"/>
          </rPr>
          <t>auf unbestimmten Urlaub entlassen</t>
        </r>
        <r>
          <rPr>
            <sz val="14"/>
            <color rgb="FF000000"/>
            <rFont val="Calibri"/>
            <family val="34"/>
          </rPr>
          <t xml:space="preserve"> [ST Oct 1790]</t>
        </r>
        <r>
          <rPr>
            <sz val="14"/>
            <color rgb="FF000000"/>
            <rFont val="+mn-lt"/>
            <charset val="1"/>
          </rPr>
          <t xml:space="preserve">
</t>
        </r>
      </text>
    </comment>
    <comment ref="BG32" authorId="0" shapeId="0" xr:uid="{6F8B5D71-E76A-614E-B459-C75DD9C49604}">
      <text>
        <r>
          <rPr>
            <sz val="14"/>
            <color rgb="FF000000"/>
            <rFont val="Calibri"/>
            <family val="34"/>
          </rPr>
          <t xml:space="preserve">ML 10.296 IR 43 (1790) ST May FELD Artillerie Baspannung- Zuwachs (17/08/1790) &amp; Aug FELD Artillerie Baspannung - Abgang (20/10/1790)
</t>
        </r>
        <r>
          <rPr>
            <sz val="14"/>
            <color rgb="FF000000"/>
            <rFont val="Calibri"/>
            <family val="34"/>
          </rPr>
          <t>ML 10.297 IR 43 (1790) AL/TL TL MFWK -&gt; IR 43 Nr. 12 (29/04/1790) &amp; TL IR 43-&gt; MFWK Nr. 11 (25/08/1790)</t>
        </r>
      </text>
    </comment>
    <comment ref="BH32" authorId="0" shapeId="0" xr:uid="{21AB2213-E8B8-8949-9E77-82D924B0DB6A}">
      <text>
        <r>
          <rPr>
            <sz val="14"/>
            <color rgb="FF000000"/>
            <rFont val="Calibri"/>
            <family val="34"/>
          </rPr>
          <t>MFWK (1790)</t>
        </r>
      </text>
    </comment>
    <comment ref="BF33" authorId="0" shapeId="0" xr:uid="{AC543FDB-BB92-414C-B7CF-96E47A865272}">
      <text>
        <r>
          <rPr>
            <sz val="14"/>
            <color rgb="FF000000"/>
            <rFont val="Times New Roman"/>
            <family val="18"/>
          </rPr>
          <t xml:space="preserve">24/03/1790 </t>
        </r>
        <r>
          <rPr>
            <i/>
            <sz val="14"/>
            <color rgb="FF000000"/>
            <rFont val="Times New Roman"/>
            <family val="18"/>
          </rPr>
          <t xml:space="preserve">Laut General Commando Verordnung det. Lemberg 8. Marz 1790 ausgehoben und a 3Fl zum Lemberg ins IR 32 (H) Feld Bataillons assentiert. Seitdem auf anhero Marche </t>
        </r>
        <r>
          <rPr>
            <sz val="14"/>
            <color rgb="FF000000"/>
            <rFont val="Times New Roman"/>
            <family val="18"/>
          </rPr>
          <t xml:space="preserve">[AL &amp; ST Mai 1790]
</t>
        </r>
        <r>
          <rPr>
            <sz val="14"/>
            <color rgb="FF000000"/>
            <rFont val="Times New Roman"/>
            <family val="18"/>
          </rPr>
          <t xml:space="preserve">30/04/1790 </t>
        </r>
        <r>
          <rPr>
            <i/>
            <sz val="14"/>
            <color rgb="FF000000"/>
            <rFont val="Times New Roman"/>
            <family val="18"/>
          </rPr>
          <t>In Loco eingerückt und Zum Regiments Fuhrwesen zugeheilt</t>
        </r>
        <r>
          <rPr>
            <sz val="14"/>
            <color rgb="FF000000"/>
            <rFont val="Times New Roman"/>
            <family val="18"/>
          </rPr>
          <t xml:space="preserve"> [ST May 1790]
</t>
        </r>
        <r>
          <rPr>
            <sz val="14"/>
            <color rgb="FF000000"/>
            <rFont val="Times New Roman"/>
            <family val="18"/>
          </rPr>
          <t xml:space="preserve">25/11/1790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text>
    </comment>
    <comment ref="BG33" authorId="0" shapeId="0" xr:uid="{196EAEEF-92B9-D648-8B41-0EF738FD5D05}">
      <text>
        <r>
          <rPr>
            <sz val="14"/>
            <color rgb="FF000000"/>
            <rFont val="Times New Roman"/>
            <family val="18"/>
          </rPr>
          <t xml:space="preserve">ML 2871 IR 32 (1790) – ST May (01/07/1791), Nov (26/09/1791)
</t>
        </r>
        <r>
          <rPr>
            <sz val="14"/>
            <color rgb="FF000000"/>
            <rFont val="Times New Roman"/>
            <family val="18"/>
          </rPr>
          <t>ML 2872 IR 32 (1790) – AL IR 32 Nr. 1 (Lemberg 12/04/1790)</t>
        </r>
      </text>
    </comment>
    <comment ref="BH33" authorId="0" shapeId="0" xr:uid="{B144F5F2-5F6A-D847-9618-8CDCBC89BC50}">
      <text>
        <r>
          <rPr>
            <sz val="14"/>
            <color rgb="FF000000"/>
            <rFont val="Calibri"/>
            <family val="34"/>
          </rPr>
          <t>MFWK (1790)</t>
        </r>
      </text>
    </comment>
    <comment ref="BF34" authorId="0" shapeId="0" xr:uid="{ADE6AC92-44D4-974C-852D-08B49DB2BC07}">
      <text>
        <r>
          <rPr>
            <sz val="14"/>
            <color rgb="FF000000"/>
            <rFont val="Times New Roman"/>
            <family val="18"/>
          </rPr>
          <t xml:space="preserve">24/03/1790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&amp; ST Mai 1790]
</t>
        </r>
        <r>
          <rPr>
            <sz val="14"/>
            <color rgb="FF000000"/>
            <rFont val="Times New Roman"/>
            <family val="18"/>
          </rPr>
          <t xml:space="preserve">30/04/1790 </t>
        </r>
        <r>
          <rPr>
            <i/>
            <sz val="14"/>
            <color rgb="FF000000"/>
            <rFont val="Times New Roman"/>
            <family val="18"/>
          </rPr>
          <t>In Loco eingerückt und zum Artillerie Bespannung zugeteilt</t>
        </r>
        <r>
          <rPr>
            <sz val="14"/>
            <color rgb="FF000000"/>
            <rFont val="Times New Roman"/>
            <family val="18"/>
          </rPr>
          <t xml:space="preserve"> [ST Mai 1790]
</t>
        </r>
        <r>
          <rPr>
            <sz val="14"/>
            <color rgb="FF000000"/>
            <rFont val="Times New Roman"/>
            <family val="18"/>
          </rPr>
          <t xml:space="preserve">16/07/1790 </t>
        </r>
        <r>
          <rPr>
            <i/>
            <sz val="14"/>
            <color rgb="FF000000"/>
            <rFont val="Times New Roman"/>
            <family val="18"/>
          </rPr>
          <t>Aus dem Station Brodi Desertiert</t>
        </r>
        <r>
          <rPr>
            <sz val="14"/>
            <color rgb="FF000000"/>
            <rFont val="Times New Roman"/>
            <family val="18"/>
          </rPr>
          <t xml:space="preserve"> [ST July 1790]
</t>
        </r>
      </text>
    </comment>
    <comment ref="BG34" authorId="0" shapeId="0" xr:uid="{443A0EAD-7DB9-634C-AC45-099FCD53C048}">
      <text>
        <r>
          <rPr>
            <sz val="14"/>
            <color rgb="FF000000"/>
            <rFont val="Times New Roman"/>
            <family val="18"/>
          </rPr>
          <t xml:space="preserve">ML 2871 IR 32 (1790) – ST May (01/07/1791) und Juli (10/07/1791)
</t>
        </r>
        <r>
          <rPr>
            <sz val="14"/>
            <color rgb="FF000000"/>
            <rFont val="Times New Roman"/>
            <family val="18"/>
          </rPr>
          <t>ML 2872 IR 32 (1790) – AL IR 32 Nr. 2 (Lemberg 12/04/1790)</t>
        </r>
      </text>
    </comment>
    <comment ref="BH34" authorId="0" shapeId="0" xr:uid="{D953ECF7-991B-7D4A-8912-CA53D34999AC}">
      <text>
        <r>
          <rPr>
            <sz val="14"/>
            <color rgb="FF000000"/>
            <rFont val="Calibri"/>
            <family val="34"/>
          </rPr>
          <t>MFWK (1790)</t>
        </r>
      </text>
    </comment>
    <comment ref="BF35" authorId="0" shapeId="0" xr:uid="{9BD7A6FC-266F-524F-BEA3-EFE29DA16581}">
      <text>
        <r>
          <rPr>
            <sz val="14"/>
            <color rgb="FF000000"/>
            <rFont val="Times New Roman"/>
            <family val="18"/>
          </rPr>
          <t xml:space="preserve">24/03/1790 </t>
        </r>
        <r>
          <rPr>
            <i/>
            <sz val="14"/>
            <color rgb="FF000000"/>
            <rFont val="Times New Roman"/>
            <family val="18"/>
          </rPr>
          <t>Laut General Commando Verordnung det. Lemberg 18. Februari 1790 ausgehoben und a 3Fl zum Zolkiew ins IR 32 (H) Feld Bataillons assentiert. Seitdem auf anhero Marche</t>
        </r>
        <r>
          <rPr>
            <sz val="14"/>
            <color rgb="FF000000"/>
            <rFont val="Times New Roman"/>
            <family val="18"/>
          </rPr>
          <t xml:space="preserve"> [AL &amp; ST April 1790]</t>
        </r>
        <r>
          <rPr>
            <sz val="14"/>
            <color rgb="FF000000"/>
            <rFont val="Times New Roman"/>
            <family val="18"/>
          </rPr>
          <t xml:space="preserve">
</t>
        </r>
        <r>
          <rPr>
            <sz val="14"/>
            <color rgb="FF000000"/>
            <rFont val="Times New Roman"/>
            <family val="18"/>
          </rPr>
          <t xml:space="preserve">11/04/1790 </t>
        </r>
        <r>
          <rPr>
            <i/>
            <sz val="14"/>
            <color rgb="FF000000"/>
            <rFont val="Times New Roman"/>
            <family val="18"/>
          </rPr>
          <t>In Loco eingerückt und ins Regiments Fuhrwesen Zugeheilt</t>
        </r>
        <r>
          <rPr>
            <sz val="14"/>
            <color rgb="FF000000"/>
            <rFont val="Times New Roman"/>
            <family val="18"/>
          </rPr>
          <t xml:space="preserve"> [ST April 1790]</t>
        </r>
        <r>
          <rPr>
            <sz val="14"/>
            <color rgb="FF000000"/>
            <rFont val="Times New Roman"/>
            <family val="18"/>
          </rPr>
          <t xml:space="preserve">
</t>
        </r>
        <r>
          <rPr>
            <sz val="14"/>
            <color rgb="FF000000"/>
            <rFont val="Times New Roman"/>
            <family val="18"/>
          </rPr>
          <t xml:space="preserve">20/11/1790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r>
          <rPr>
            <sz val="14"/>
            <color rgb="FF000000"/>
            <rFont val="Times New Roman"/>
            <family val="18"/>
          </rPr>
          <t xml:space="preserve">
</t>
        </r>
      </text>
    </comment>
    <comment ref="BG35" authorId="0" shapeId="0" xr:uid="{66231EFF-7381-9D4B-A17A-315CB6CCB36B}">
      <text>
        <r>
          <rPr>
            <sz val="14"/>
            <color rgb="FF000000"/>
            <rFont val="Times New Roman"/>
            <family val="18"/>
          </rPr>
          <t xml:space="preserve">ML 2871 IR 32 (1790) – ST April (01/07/1791) und November (26/09/1791)
</t>
        </r>
        <r>
          <rPr>
            <sz val="14"/>
            <color rgb="FF000000"/>
            <rFont val="Times New Roman"/>
            <family val="18"/>
          </rPr>
          <t xml:space="preserve">ML 2872 IR 32 (1790) – AL IR 32 Nr. 1 (Zolkiew 30/03/1790)
</t>
        </r>
      </text>
    </comment>
    <comment ref="BH35" authorId="0" shapeId="0" xr:uid="{F721DABD-16FF-3447-8BE4-3BC5119C7978}">
      <text>
        <r>
          <rPr>
            <sz val="14"/>
            <color rgb="FF000000"/>
            <rFont val="Calibri"/>
            <family val="34"/>
          </rPr>
          <t>MFWK (1790)</t>
        </r>
      </text>
    </comment>
    <comment ref="BF36" authorId="0" shapeId="0" xr:uid="{19C04485-3B65-164C-9E46-146715A0F478}">
      <text>
        <r>
          <rPr>
            <sz val="14"/>
            <color rgb="FF000000"/>
            <rFont val="Times New Roman"/>
            <family val="18"/>
          </rPr>
          <t xml:space="preserve">25/03/1790 </t>
        </r>
        <r>
          <rPr>
            <i/>
            <sz val="14"/>
            <color rgb="FF000000"/>
            <rFont val="Times New Roman"/>
            <family val="18"/>
          </rPr>
          <t>Laut General Commando Verordnung det. Lemberg 18. Februari 1790 ausgehoben und a 3Fl zum Zolkiew ins IR 32 (H) Feld Bataillons assentiert. Seitdem auf anhero Marche</t>
        </r>
        <r>
          <rPr>
            <sz val="14"/>
            <color rgb="FF000000"/>
            <rFont val="Times New Roman"/>
            <family val="18"/>
          </rPr>
          <t xml:space="preserve"> [AL &amp; ST April 1790]</t>
        </r>
        <r>
          <rPr>
            <sz val="14"/>
            <color rgb="FF000000"/>
            <rFont val="Calibri"/>
            <family val="34"/>
          </rPr>
          <t xml:space="preserve">
</t>
        </r>
        <r>
          <rPr>
            <sz val="14"/>
            <color rgb="FF000000"/>
            <rFont val="Times New Roman"/>
            <family val="18"/>
          </rPr>
          <t xml:space="preserve">11/04/1790 </t>
        </r>
        <r>
          <rPr>
            <i/>
            <sz val="14"/>
            <color rgb="FF000000"/>
            <rFont val="Times New Roman"/>
            <family val="18"/>
          </rPr>
          <t>In Loco eingerückt und ins Regiments Fuhrwesen zugeheilt</t>
        </r>
        <r>
          <rPr>
            <sz val="14"/>
            <color rgb="FF000000"/>
            <rFont val="Times New Roman"/>
            <family val="18"/>
          </rPr>
          <t xml:space="preserve"> [ST April 1790]</t>
        </r>
        <r>
          <rPr>
            <sz val="14"/>
            <color rgb="FF000000"/>
            <rFont val="Calibri"/>
            <family val="34"/>
          </rPr>
          <t xml:space="preserve">
</t>
        </r>
        <r>
          <rPr>
            <sz val="14"/>
            <color rgb="FF000000"/>
            <rFont val="Times New Roman"/>
            <family val="18"/>
          </rPr>
          <t>30/07/1790 [dienst bis mindestens]</t>
        </r>
        <r>
          <rPr>
            <sz val="14"/>
            <color rgb="FF000000"/>
            <rFont val="Calibri"/>
            <family val="34"/>
          </rPr>
          <t xml:space="preserve">
</t>
        </r>
      </text>
    </comment>
    <comment ref="BG36" authorId="0" shapeId="0" xr:uid="{CDE3EBED-8893-AC47-80B7-EFDEDAC30597}">
      <text>
        <r>
          <rPr>
            <sz val="14"/>
            <color rgb="FF000000"/>
            <rFont val="Times New Roman"/>
            <family val="18"/>
          </rPr>
          <t xml:space="preserve">ML 2871 IR 32 (1790) – ST April (01/07/1791)
</t>
        </r>
        <r>
          <rPr>
            <sz val="14"/>
            <color rgb="FF000000"/>
            <rFont val="Times New Roman"/>
            <family val="18"/>
          </rPr>
          <t xml:space="preserve">ML 2872 IR 32 (1790) – AL IR 32 Nr. 3 (Zolkiew 30/03/1790)
</t>
        </r>
      </text>
    </comment>
    <comment ref="BH36" authorId="0" shapeId="0" xr:uid="{9AF9B93F-9D42-3649-8152-56D9029F1423}">
      <text>
        <r>
          <rPr>
            <sz val="14"/>
            <color rgb="FF000000"/>
            <rFont val="Calibri"/>
            <family val="34"/>
          </rPr>
          <t>MFWK (1790)</t>
        </r>
      </text>
    </comment>
    <comment ref="BF37" authorId="0" shapeId="0" xr:uid="{6670366C-DCD9-E346-ACE0-95D7B3153A9E}">
      <text>
        <r>
          <rPr>
            <sz val="14"/>
            <color rgb="FF000000"/>
            <rFont val="Times New Roman"/>
            <family val="18"/>
          </rPr>
          <t>25/03/1790</t>
        </r>
        <r>
          <rPr>
            <i/>
            <sz val="14"/>
            <color rgb="FF000000"/>
            <rFont val="Times New Roman"/>
            <family val="18"/>
          </rPr>
          <t xml:space="preserve"> Laut General Commando Verordnung det. Lemberg 18. Februari 1790 ausgehoben und a 3Fl zum Zolkiew ins IR 32 (H) Feld Bataillons assentiert. Seitdem auf anhero Marche [AL &amp; ST April 1790]</t>
        </r>
        <r>
          <rPr>
            <sz val="14"/>
            <color rgb="FF000000"/>
            <rFont val="Times New Roman"/>
            <family val="18"/>
          </rPr>
          <t xml:space="preserve">
</t>
        </r>
        <r>
          <rPr>
            <sz val="14"/>
            <color rgb="FF000000"/>
            <rFont val="Times New Roman"/>
            <family val="18"/>
          </rPr>
          <t>11/04/1790</t>
        </r>
        <r>
          <rPr>
            <i/>
            <sz val="14"/>
            <color rgb="FF000000"/>
            <rFont val="Times New Roman"/>
            <family val="18"/>
          </rPr>
          <t xml:space="preserve"> In Loco eingerückt und ins Regiments Fuhrwesen Zugeheilt [ST April 1790]</t>
        </r>
        <r>
          <rPr>
            <sz val="14"/>
            <color rgb="FF000000"/>
            <rFont val="Times New Roman"/>
            <family val="18"/>
          </rPr>
          <t xml:space="preserve">
</t>
        </r>
        <r>
          <rPr>
            <sz val="14"/>
            <color rgb="FF000000"/>
            <rFont val="Times New Roman"/>
            <family val="18"/>
          </rPr>
          <t>24/11/1790</t>
        </r>
        <r>
          <rPr>
            <i/>
            <sz val="14"/>
            <color rgb="FF000000"/>
            <rFont val="Times New Roman"/>
            <family val="18"/>
          </rPr>
          <t xml:space="preserve"> vermog hohe HKR Verordnung von 15 Aug 1790 und General Commando Verordnung deto Lemberg den 22/08/1790 von IR 32 Regiments Fuhrwesen auf Unbestimmte Urlaub abgelassen [ST Nov 1790]</t>
        </r>
        <r>
          <rPr>
            <sz val="14"/>
            <color rgb="FF000000"/>
            <rFont val="Times New Roman"/>
            <family val="18"/>
          </rPr>
          <t xml:space="preserve">
</t>
        </r>
      </text>
    </comment>
    <comment ref="BG37" authorId="0" shapeId="0" xr:uid="{3821E2C5-2804-4242-B7A5-0A9599306656}">
      <text>
        <r>
          <rPr>
            <sz val="14"/>
            <color rgb="FF000000"/>
            <rFont val="Times New Roman"/>
            <family val="18"/>
          </rPr>
          <t xml:space="preserve">ML 2871 IR 32 (1790) – ST April (01/07/1791) und November (26/09/1791)
</t>
        </r>
        <r>
          <rPr>
            <sz val="14"/>
            <color rgb="FF000000"/>
            <rFont val="Times New Roman"/>
            <family val="18"/>
          </rPr>
          <t xml:space="preserve">ML 2872 IR 32 (1790) – AL IR 32 Nr. 2 (Zolkiew 30/03/1790)
</t>
        </r>
      </text>
    </comment>
    <comment ref="BH37" authorId="0" shapeId="0" xr:uid="{C69C7339-D5C9-244D-AA91-38BE77CD6FE1}">
      <text>
        <r>
          <rPr>
            <sz val="14"/>
            <color rgb="FF000000"/>
            <rFont val="Calibri"/>
            <family val="34"/>
          </rPr>
          <t>MFWK (1790)</t>
        </r>
      </text>
    </comment>
    <comment ref="BF38" authorId="0" shapeId="0" xr:uid="{A5922BAE-8122-4542-B39A-3E94F80A94D0}">
      <text>
        <r>
          <rPr>
            <sz val="14"/>
            <color rgb="FF000000"/>
            <rFont val="Times New Roman"/>
            <family val="18"/>
          </rPr>
          <t xml:space="preserve">26/03/1790 </t>
        </r>
        <r>
          <rPr>
            <i/>
            <sz val="14"/>
            <color rgb="FF000000"/>
            <rFont val="Times New Roman"/>
            <family val="18"/>
          </rPr>
          <t xml:space="preserve">Laut General Commando Verordnung det. Lemberg 8. Marz 1790 ausgehoben und a 3Fl zum Lemberg ins IR 32 (H) Feld Bataillons assentiert. Seitdem auf anhero Marche </t>
        </r>
        <r>
          <rPr>
            <sz val="14"/>
            <color rgb="FF000000"/>
            <rFont val="Times New Roman"/>
            <family val="18"/>
          </rPr>
          <t>[AL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Artillerie Bespannung zugeheilt</t>
        </r>
        <r>
          <rPr>
            <sz val="14"/>
            <color rgb="FF000000"/>
            <rFont val="Times New Roman"/>
            <family val="18"/>
          </rPr>
          <t xml:space="preserve"> [ST Mai 1790]</t>
        </r>
        <r>
          <rPr>
            <sz val="14"/>
            <color rgb="FF000000"/>
            <rFont val="Calibri"/>
            <family val="34"/>
          </rPr>
          <t xml:space="preserve">
</t>
        </r>
        <r>
          <rPr>
            <sz val="14"/>
            <color rgb="FF000000"/>
            <rFont val="Times New Roman"/>
            <family val="18"/>
          </rPr>
          <t>30/07/1790 [dient bis mindestens]</t>
        </r>
        <r>
          <rPr>
            <sz val="14"/>
            <color rgb="FF000000"/>
            <rFont val="Calibri"/>
            <family val="34"/>
          </rPr>
          <t xml:space="preserve">
</t>
        </r>
      </text>
    </comment>
    <comment ref="BG38" authorId="0" shapeId="0" xr:uid="{8C3AE80B-B089-974D-9545-C9B58689E5E7}">
      <text>
        <r>
          <rPr>
            <sz val="14"/>
            <color rgb="FF000000"/>
            <rFont val="Times New Roman"/>
            <family val="18"/>
          </rPr>
          <t xml:space="preserve">ML 2871 IR 32 (1790) – ST May (01/07/1791)
</t>
        </r>
        <r>
          <rPr>
            <sz val="14"/>
            <color rgb="FF000000"/>
            <rFont val="Times New Roman"/>
            <family val="18"/>
          </rPr>
          <t>ML 2872 IR 32 (1790) – AL IR 32 Nr. 4 (Lemberg 12/04/1790)</t>
        </r>
      </text>
    </comment>
    <comment ref="BH38" authorId="0" shapeId="0" xr:uid="{C855AE2A-6A6E-3D4C-9727-C216B0A22F86}">
      <text>
        <r>
          <rPr>
            <sz val="14"/>
            <color rgb="FF000000"/>
            <rFont val="Calibri"/>
            <family val="34"/>
          </rPr>
          <t>MFWK (1790)</t>
        </r>
      </text>
    </comment>
    <comment ref="BF39" authorId="0" shapeId="0" xr:uid="{B67429AE-95F9-EC4B-9CE0-7E9D1E4E2132}">
      <text>
        <r>
          <rPr>
            <sz val="14"/>
            <color rgb="FF000000"/>
            <rFont val="Times New Roman"/>
            <family val="18"/>
          </rPr>
          <t xml:space="preserve">26/03/1790 </t>
        </r>
        <r>
          <rPr>
            <i/>
            <sz val="14"/>
            <color rgb="FF000000"/>
            <rFont val="Times New Roman"/>
            <family val="18"/>
          </rPr>
          <t>Laut General Commando Verordnung det. Lemberg 8. Marz 1790 ausgehoben und a 3Fl zum Lemberg ins IR 32 (H) assentiert und zu 3. Bataillon zugeheilt</t>
        </r>
        <r>
          <rPr>
            <sz val="14"/>
            <color rgb="FF000000"/>
            <rFont val="Times New Roman"/>
            <family val="18"/>
          </rPr>
          <t xml:space="preserve"> [AL 1790]</t>
        </r>
        <r>
          <rPr>
            <sz val="14"/>
            <color rgb="FF000000"/>
            <rFont val="Calibri"/>
            <family val="34"/>
          </rPr>
          <t xml:space="preserve">
</t>
        </r>
        <r>
          <rPr>
            <sz val="14"/>
            <color rgb="FF000000"/>
            <rFont val="Times New Roman"/>
            <family val="18"/>
          </rPr>
          <t>21/04/1790 [Dient bis mindesten]</t>
        </r>
        <r>
          <rPr>
            <sz val="14"/>
            <color rgb="FF000000"/>
            <rFont val="Calibri"/>
            <family val="34"/>
          </rPr>
          <t xml:space="preserve">
</t>
        </r>
      </text>
    </comment>
    <comment ref="BG39" authorId="0" shapeId="0" xr:uid="{F13E71A6-0993-3246-85B6-36BD4D8E055E}">
      <text>
        <r>
          <rPr>
            <sz val="14"/>
            <color rgb="FF000000"/>
            <rFont val="Times New Roman"/>
            <family val="18"/>
          </rPr>
          <t xml:space="preserve">ML 2871 IR 32 (1790) – ST May (01/07/1791)
</t>
        </r>
        <r>
          <rPr>
            <sz val="14"/>
            <color rgb="FF000000"/>
            <rFont val="Times New Roman"/>
            <family val="18"/>
          </rPr>
          <t>ML 2872 IR 32 (1790) – AL IR 32 Nr. 6 (Lemberg 12/04/1790)</t>
        </r>
      </text>
    </comment>
    <comment ref="BH39" authorId="0" shapeId="0" xr:uid="{1EE422F4-7F3F-F141-81FA-0AF69DD1AF77}">
      <text>
        <r>
          <rPr>
            <sz val="14"/>
            <color rgb="FF000000"/>
            <rFont val="Calibri"/>
            <family val="34"/>
          </rPr>
          <t>MFWK (1790)</t>
        </r>
      </text>
    </comment>
    <comment ref="BF40" authorId="0" shapeId="0" xr:uid="{1DD64ED4-E892-EF4C-9B86-2901E95AC41A}">
      <text>
        <r>
          <rPr>
            <sz val="14"/>
            <color rgb="FF000000"/>
            <rFont val="Times New Roman"/>
            <family val="18"/>
          </rPr>
          <t xml:space="preserve">26/03/1790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&amp; ST Mai 1790]</t>
        </r>
        <r>
          <rPr>
            <sz val="14"/>
            <color rgb="FF000000"/>
            <rFont val="Calibri"/>
            <family val="34"/>
          </rPr>
          <t xml:space="preserve">
</t>
        </r>
        <r>
          <rPr>
            <sz val="14"/>
            <color rgb="FF000000"/>
            <rFont val="Times New Roman"/>
            <family val="18"/>
          </rPr>
          <t xml:space="preserve">30/04/1790 </t>
        </r>
        <r>
          <rPr>
            <i/>
            <sz val="14"/>
            <color rgb="FF000000"/>
            <rFont val="Times New Roman"/>
            <family val="18"/>
          </rPr>
          <t>In Loco eingerückt und Zum Regiments Fuhrwesen zugeheilt</t>
        </r>
        <r>
          <rPr>
            <sz val="14"/>
            <color rgb="FF000000"/>
            <rFont val="Times New Roman"/>
            <family val="18"/>
          </rPr>
          <t xml:space="preserve"> [ST May 1790]</t>
        </r>
        <r>
          <rPr>
            <sz val="14"/>
            <color rgb="FF000000"/>
            <rFont val="Calibri"/>
            <family val="34"/>
          </rPr>
          <t xml:space="preserve">
</t>
        </r>
        <r>
          <rPr>
            <sz val="14"/>
            <color rgb="FF000000"/>
            <rFont val="Times New Roman"/>
            <family val="18"/>
          </rPr>
          <t xml:space="preserve">23/11/1790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r>
          <rPr>
            <sz val="14"/>
            <color rgb="FF000000"/>
            <rFont val="Calibri"/>
            <family val="34"/>
          </rPr>
          <t xml:space="preserve">
</t>
        </r>
      </text>
    </comment>
    <comment ref="BG40" authorId="0" shapeId="0" xr:uid="{21AB9273-DE3D-0D49-9AF8-EBA9007659ED}">
      <text>
        <r>
          <rPr>
            <sz val="14"/>
            <color rgb="FF000000"/>
            <rFont val="Times New Roman"/>
            <family val="18"/>
          </rPr>
          <t>ML 2871 IR 32 (1790) – ST May (01/07/1791) und November (26/09/1791)</t>
        </r>
        <r>
          <rPr>
            <sz val="14"/>
            <color rgb="FF000000"/>
            <rFont val="Calibri"/>
            <family val="34"/>
          </rPr>
          <t xml:space="preserve">
</t>
        </r>
        <r>
          <rPr>
            <sz val="14"/>
            <color rgb="FF000000"/>
            <rFont val="Times New Roman"/>
            <family val="18"/>
          </rPr>
          <t>ML 2872 IR 32 (1790) – AL IR 32 Nr. 3 (Lemberg 12/04/1790)</t>
        </r>
        <r>
          <rPr>
            <sz val="14"/>
            <color rgb="FF000000"/>
            <rFont val="Calibri"/>
            <family val="34"/>
          </rPr>
          <t xml:space="preserve">
</t>
        </r>
      </text>
    </comment>
    <comment ref="BH40" authorId="0" shapeId="0" xr:uid="{7B3E4A89-D21B-3D4F-8F55-3F57BAF7D134}">
      <text>
        <r>
          <rPr>
            <sz val="14"/>
            <color rgb="FF000000"/>
            <rFont val="Calibri"/>
            <family val="34"/>
          </rPr>
          <t>MFWK (1790)</t>
        </r>
      </text>
    </comment>
    <comment ref="BF41" authorId="0" shapeId="0" xr:uid="{E5DB27FB-6D57-7A41-B54D-D150153C5D8B}">
      <text>
        <r>
          <rPr>
            <sz val="14"/>
            <color rgb="FF000000"/>
            <rFont val="Times New Roman"/>
            <family val="18"/>
          </rPr>
          <t>26/03/1790</t>
        </r>
        <r>
          <rPr>
            <i/>
            <sz val="14"/>
            <color rgb="FF000000"/>
            <rFont val="Times New Roman"/>
            <family val="18"/>
          </rPr>
          <t xml:space="preserve"> Laut General Commando Verordnung det. Lemberg 8. Marz 1790 ausgehoben und a 3Fl zum Lemberg ins IR 32 (H) Feld Bataillons assentiert. Seitdem auf anhero Marche </t>
        </r>
        <r>
          <rPr>
            <sz val="14"/>
            <color rgb="FF000000"/>
            <rFont val="Times New Roman"/>
            <family val="18"/>
          </rPr>
          <t xml:space="preserve">[AL &amp; ST Mai 1790]
</t>
        </r>
        <r>
          <rPr>
            <sz val="14"/>
            <color rgb="FF000000"/>
            <rFont val="Times New Roman"/>
            <family val="18"/>
          </rPr>
          <t>30/04/1790</t>
        </r>
        <r>
          <rPr>
            <i/>
            <sz val="14"/>
            <color rgb="FF000000"/>
            <rFont val="Times New Roman"/>
            <family val="18"/>
          </rPr>
          <t xml:space="preserve"> In Loco eingerückt und zum Regiments Fuhrwesen zugeheilt </t>
        </r>
        <r>
          <rPr>
            <sz val="14"/>
            <color rgb="FF000000"/>
            <rFont val="Times New Roman"/>
            <family val="18"/>
          </rPr>
          <t xml:space="preserve">[ST Mai 1790]
</t>
        </r>
        <r>
          <rPr>
            <sz val="14"/>
            <color rgb="FF000000"/>
            <rFont val="Times New Roman"/>
            <family val="18"/>
          </rPr>
          <t>30/06/1790</t>
        </r>
        <r>
          <rPr>
            <i/>
            <sz val="14"/>
            <color rgb="FF000000"/>
            <rFont val="Times New Roman"/>
            <family val="18"/>
          </rPr>
          <t xml:space="preserve"> von Fuhrwesen zum Artillerie Bespannung transferiert </t>
        </r>
        <r>
          <rPr>
            <sz val="14"/>
            <color rgb="FF000000"/>
            <rFont val="Times New Roman"/>
            <family val="18"/>
          </rPr>
          <t xml:space="preserve">[ST Juli 1790]
</t>
        </r>
        <r>
          <rPr>
            <sz val="14"/>
            <color rgb="FF000000"/>
            <rFont val="Times New Roman"/>
            <family val="18"/>
          </rPr>
          <t>20/11/1790</t>
        </r>
        <r>
          <rPr>
            <i/>
            <sz val="14"/>
            <color rgb="FF000000"/>
            <rFont val="Times New Roman"/>
            <family val="18"/>
          </rPr>
          <t xml:space="preserve"> Vermog hohe HKR Verordnung von 15/ Aug 1790 und General Commando Verordnung deto Lemberg den 22/08/1790 von IR 32 Feld Battalions Regiments Fuhrwesen auf Unbestimmte Urlaub abgelassen </t>
        </r>
        <r>
          <rPr>
            <sz val="14"/>
            <color rgb="FF000000"/>
            <rFont val="Times New Roman"/>
            <family val="18"/>
          </rPr>
          <t xml:space="preserve">[ST Nov 1790]
</t>
        </r>
      </text>
    </comment>
    <comment ref="BG41" authorId="0" shapeId="0" xr:uid="{32E50672-B103-CA4C-8057-9A7265E58B7D}">
      <text>
        <r>
          <rPr>
            <sz val="14"/>
            <color rgb="FF000000"/>
            <rFont val="Times New Roman"/>
            <family val="18"/>
          </rPr>
          <t>ML 2871 IR 32 (1790) – ST May (01/07/1791), Juli (10/07/1791) und Nov (26/09/1791)</t>
        </r>
        <r>
          <rPr>
            <sz val="14"/>
            <color rgb="FF000000"/>
            <rFont val="Times New Roman"/>
            <family val="18"/>
          </rPr>
          <t xml:space="preserve">
</t>
        </r>
        <r>
          <rPr>
            <sz val="14"/>
            <color rgb="FF000000"/>
            <rFont val="Times New Roman"/>
            <family val="18"/>
          </rPr>
          <t>ML 2872 IR 32 (1790) – AL IR 32 Nr. 5 (Lemberg 12/04/1790)</t>
        </r>
        <r>
          <rPr>
            <sz val="14"/>
            <color rgb="FF000000"/>
            <rFont val="Times New Roman"/>
            <family val="18"/>
          </rPr>
          <t xml:space="preserve">
</t>
        </r>
      </text>
    </comment>
    <comment ref="BH41" authorId="0" shapeId="0" xr:uid="{9DC61C81-5B71-7B44-8F59-DFF31881BD1F}">
      <text>
        <r>
          <rPr>
            <sz val="14"/>
            <color rgb="FF000000"/>
            <rFont val="Calibri"/>
            <family val="34"/>
          </rPr>
          <t>MFWK (1790)</t>
        </r>
      </text>
    </comment>
    <comment ref="BF42" authorId="0" shapeId="0" xr:uid="{E0EBE707-9935-7A4D-A81A-F4F2446755E3}">
      <text>
        <r>
          <rPr>
            <sz val="14"/>
            <color rgb="FF000000"/>
            <rFont val="Times New Roman"/>
            <family val="18"/>
          </rPr>
          <t xml:space="preserve">09/04/1790 </t>
        </r>
        <r>
          <rPr>
            <i/>
            <sz val="14"/>
            <color rgb="FF000000"/>
            <rFont val="Times New Roman"/>
            <family val="18"/>
          </rPr>
          <t>Laut General Commando Verordnung det. Lemberg 8. Marz 1790 ausgehoben und a 3Fl zum Lemberg ins IR 32 (H) Feld Bataillons assentiert. Seitdem auf anhero Marche</t>
        </r>
        <r>
          <rPr>
            <sz val="14"/>
            <color rgb="FF000000"/>
            <rFont val="Times New Roman"/>
            <family val="18"/>
          </rPr>
          <t xml:space="preserve"> [AL April 1790 &amp; ST Mai 1790]
</t>
        </r>
        <r>
          <rPr>
            <sz val="14"/>
            <color rgb="FF000000"/>
            <rFont val="Times New Roman"/>
            <family val="18"/>
          </rPr>
          <t xml:space="preserve">30/04/1790 </t>
        </r>
        <r>
          <rPr>
            <i/>
            <sz val="14"/>
            <color rgb="FF000000"/>
            <rFont val="Times New Roman"/>
            <family val="18"/>
          </rPr>
          <t>In Loco eingerückt und zum Regiments Fuhrwesen zugeheilt</t>
        </r>
        <r>
          <rPr>
            <sz val="14"/>
            <color rgb="FF000000"/>
            <rFont val="Times New Roman"/>
            <family val="18"/>
          </rPr>
          <t xml:space="preserve"> [ST Mai 1790]
</t>
        </r>
        <r>
          <rPr>
            <sz val="14"/>
            <color rgb="FF000000"/>
            <rFont val="Times New Roman"/>
            <family val="18"/>
          </rPr>
          <t xml:space="preserve">23/11/1790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text>
    </comment>
    <comment ref="BG42" authorId="0" shapeId="0" xr:uid="{9FFBA419-6867-6842-A459-5431874790C6}">
      <text>
        <r>
          <rPr>
            <sz val="14"/>
            <color rgb="FF000000"/>
            <rFont val="Times New Roman"/>
            <family val="18"/>
          </rPr>
          <t xml:space="preserve">ML 2871 IR 32 (1790) – ST Mai (01/07/1791) und Nov (26/09/1791)
</t>
        </r>
        <r>
          <rPr>
            <sz val="14"/>
            <color rgb="FF000000"/>
            <rFont val="Times New Roman"/>
            <family val="18"/>
          </rPr>
          <t>ML 2872 IR 32 (1790) – AL IR 32 Nr. 7 (Lemberg 12/04/1790)</t>
        </r>
      </text>
    </comment>
    <comment ref="BH42" authorId="0" shapeId="0" xr:uid="{C5B72792-6265-5546-8FBA-09027EFB3DC2}">
      <text>
        <r>
          <rPr>
            <sz val="14"/>
            <color rgb="FF000000"/>
            <rFont val="Calibri"/>
            <family val="34"/>
          </rPr>
          <t>MFWK (1790)</t>
        </r>
      </text>
    </comment>
    <comment ref="BF43" authorId="0" shapeId="0" xr:uid="{0859E822-A7F6-E142-9ABD-68B8F362E565}">
      <text>
        <r>
          <rPr>
            <sz val="14"/>
            <color rgb="FF000000"/>
            <rFont val="Times New Roman"/>
            <family val="18"/>
          </rPr>
          <t xml:space="preserve">13/04/1790 </t>
        </r>
        <r>
          <rPr>
            <i/>
            <sz val="14"/>
            <color rgb="FF000000"/>
            <rFont val="Times New Roman"/>
            <family val="18"/>
          </rPr>
          <t>A 3Fl Handgeld assentiert</t>
        </r>
        <r>
          <rPr>
            <sz val="14"/>
            <color rgb="FF000000"/>
            <rFont val="Times New Roman"/>
            <family val="18"/>
          </rPr>
          <t xml:space="preserve"> [TL 1790]</t>
        </r>
        <r>
          <rPr>
            <sz val="14"/>
            <color rgb="FF000000"/>
            <rFont val="Calibri"/>
            <family val="34"/>
          </rPr>
          <t xml:space="preserve">
</t>
        </r>
        <r>
          <rPr>
            <sz val="14"/>
            <color rgb="FF000000"/>
            <rFont val="Times New Roman"/>
            <family val="18"/>
          </rPr>
          <t xml:space="preserve">30/06/1790 </t>
        </r>
        <r>
          <rPr>
            <i/>
            <sz val="14"/>
            <color rgb="FF000000"/>
            <rFont val="Times New Roman"/>
            <family val="18"/>
          </rPr>
          <t>von MWFK 19. procento Division 3. Abtheilung zum IR 32 3RD Bataillon als Stückknecht transferiert</t>
        </r>
        <r>
          <rPr>
            <sz val="14"/>
            <color rgb="FF000000"/>
            <rFont val="Times New Roman"/>
            <family val="18"/>
          </rPr>
          <t xml:space="preserve"> [TL 1790]</t>
        </r>
        <r>
          <rPr>
            <sz val="14"/>
            <color rgb="FF000000"/>
            <rFont val="Calibri"/>
            <family val="34"/>
          </rPr>
          <t xml:space="preserve">
</t>
        </r>
        <r>
          <rPr>
            <sz val="14"/>
            <color rgb="FF000000"/>
            <rFont val="Times New Roman"/>
            <family val="18"/>
          </rPr>
          <t>30/06/1790 [In Dienst bis mindestens]</t>
        </r>
        <r>
          <rPr>
            <sz val="14"/>
            <color rgb="FF000000"/>
            <rFont val="Calibri"/>
            <family val="34"/>
          </rPr>
          <t xml:space="preserve">
</t>
        </r>
      </text>
    </comment>
    <comment ref="BG43" authorId="0" shapeId="0" xr:uid="{883F8373-B0E9-1841-BFB4-07A7265A800D}">
      <text>
        <r>
          <rPr>
            <sz val="14"/>
            <color rgb="FF000000"/>
            <rFont val="Calibri"/>
            <family val="34"/>
          </rPr>
          <t xml:space="preserve">ML 2872 IR 32 (1790) – AL IR 32 Nr. 1 (Lemberg 29/06/1790)
</t>
        </r>
      </text>
    </comment>
    <comment ref="BH43" authorId="0" shapeId="0" xr:uid="{B969BDD1-32C4-114E-BB64-1B866155C35B}">
      <text>
        <r>
          <rPr>
            <sz val="14"/>
            <color rgb="FF000000"/>
            <rFont val="Calibri"/>
            <family val="34"/>
          </rPr>
          <t>MFWK (1790)</t>
        </r>
      </text>
    </comment>
    <comment ref="BF44" authorId="0" shapeId="0" xr:uid="{AE50D53E-C56F-7D44-907D-F746BB6ABADC}">
      <text>
        <r>
          <rPr>
            <sz val="14"/>
            <color rgb="FF000000"/>
            <rFont val="Times New Roman"/>
            <family val="18"/>
          </rPr>
          <t xml:space="preserve">15/04/1790 </t>
        </r>
        <r>
          <rPr>
            <i/>
            <sz val="14"/>
            <color rgb="FF000000"/>
            <rFont val="Times New Roman"/>
            <family val="18"/>
          </rPr>
          <t>A 3Fl Handgeld assentiert</t>
        </r>
        <r>
          <rPr>
            <sz val="14"/>
            <color rgb="FF000000"/>
            <rFont val="Times New Roman"/>
            <family val="18"/>
          </rPr>
          <t xml:space="preserve"> [TL 1790]</t>
        </r>
        <r>
          <rPr>
            <sz val="14"/>
            <color rgb="FF000000"/>
            <rFont val="Calibri"/>
            <family val="34"/>
          </rPr>
          <t xml:space="preserve">
</t>
        </r>
        <r>
          <rPr>
            <sz val="14"/>
            <color rgb="FF000000"/>
            <rFont val="Times New Roman"/>
            <family val="18"/>
          </rPr>
          <t xml:space="preserve">30/06/1790 </t>
        </r>
        <r>
          <rPr>
            <i/>
            <sz val="14"/>
            <color rgb="FF000000"/>
            <rFont val="Times New Roman"/>
            <family val="18"/>
          </rPr>
          <t>von MWFK 19. procento Division 3. Abtheilung zum IR 32 3RD Bataillon als Stückknecht transferiert</t>
        </r>
        <r>
          <rPr>
            <sz val="14"/>
            <color rgb="FF000000"/>
            <rFont val="Times New Roman"/>
            <family val="18"/>
          </rPr>
          <t xml:space="preserve"> [TL 1790]</t>
        </r>
        <r>
          <rPr>
            <sz val="14"/>
            <color rgb="FF000000"/>
            <rFont val="Calibri"/>
            <family val="34"/>
          </rPr>
          <t xml:space="preserve">
</t>
        </r>
        <r>
          <rPr>
            <sz val="14"/>
            <color rgb="FF000000"/>
            <rFont val="Times New Roman"/>
            <family val="18"/>
          </rPr>
          <t>30/06/1790 [In Dienst bis mindestens]</t>
        </r>
        <r>
          <rPr>
            <sz val="14"/>
            <color rgb="FF000000"/>
            <rFont val="Calibri"/>
            <family val="34"/>
          </rPr>
          <t xml:space="preserve">
</t>
        </r>
      </text>
    </comment>
    <comment ref="BG44" authorId="0" shapeId="0" xr:uid="{C674E6DA-5B1E-8C45-B86C-FDB950601808}">
      <text>
        <r>
          <rPr>
            <sz val="14"/>
            <color rgb="FF000000"/>
            <rFont val="Calibri"/>
            <family val="34"/>
          </rPr>
          <t xml:space="preserve">ML 2872 IR 32 (1790) – AL IR 32 Nr. 2 (Lemberg 29/06/1790)
</t>
        </r>
      </text>
    </comment>
    <comment ref="BH44" authorId="0" shapeId="0" xr:uid="{9BA828D9-8C97-AE45-8AE1-E9B004692D4C}">
      <text>
        <r>
          <rPr>
            <sz val="14"/>
            <color rgb="FF000000"/>
            <rFont val="Calibri"/>
            <family val="34"/>
          </rPr>
          <t>MFWK (1790)</t>
        </r>
      </text>
    </comment>
    <comment ref="BF45" authorId="0" shapeId="0" xr:uid="{C1519312-64E6-C74E-8080-91A58C33BE18}">
      <text>
        <r>
          <rPr>
            <sz val="14"/>
            <color rgb="FF000000"/>
            <rFont val="+mn-lt"/>
            <charset val="1"/>
          </rPr>
          <t xml:space="preserve">In 02/1790 von Gallizischen Standen gestellt [TL April 1790]
</t>
        </r>
        <r>
          <rPr>
            <sz val="14"/>
            <color rgb="FF000000"/>
            <rFont val="+mn-lt"/>
            <charset val="1"/>
          </rPr>
          <t xml:space="preserve">01/05/1790 von MFWK pro Cento Division Nr. 19 zum IR 43 transferiert und zum Artillerie Bespannung zugeteilt [TL April 1790 &amp; ST May 1790]
</t>
        </r>
        <r>
          <rPr>
            <sz val="14"/>
            <color rgb="FF000000"/>
            <rFont val="+mn-lt"/>
            <charset val="1"/>
          </rPr>
          <t xml:space="preserve">22/08/1790 Von IR 43 Artillerie Bespannung zum Konigl. Fuhrwesens artillerie Reserve abgegaben [TL Aug 1790 &amp; ST Aug 1790]
</t>
        </r>
        <r>
          <rPr>
            <sz val="14"/>
            <color rgb="FF000000"/>
            <rFont val="+mn-lt"/>
            <charset val="1"/>
          </rPr>
          <t xml:space="preserve">]
</t>
        </r>
      </text>
    </comment>
    <comment ref="BG45" authorId="0" shapeId="0" xr:uid="{9EC803DD-441F-CA49-ABE2-167B78B00B64}">
      <text>
        <r>
          <rPr>
            <sz val="14"/>
            <color rgb="FF000000"/>
            <rFont val="Calibri"/>
            <family val="34"/>
          </rPr>
          <t>ML 10.296 IR 43 (1790) ST Oct FELD Proviant Fuhrwesen - Abgang (19/12/1790)</t>
        </r>
      </text>
    </comment>
    <comment ref="BH45" authorId="0" shapeId="0" xr:uid="{C5B3E240-017D-8B4A-8ED6-893A057168B6}">
      <text>
        <r>
          <rPr>
            <sz val="14"/>
            <color rgb="FF000000"/>
            <rFont val="Calibri"/>
            <family val="34"/>
          </rPr>
          <t>MFWK (1790)</t>
        </r>
      </text>
    </comment>
    <comment ref="BF46" authorId="0" shapeId="0" xr:uid="{FF1B8D2D-46EE-DD45-ABC7-1683A1C5EE7B}">
      <text>
        <r>
          <rPr>
            <sz val="14"/>
            <color rgb="FF000000"/>
            <rFont val="Times New Roman"/>
            <family val="18"/>
          </rPr>
          <t xml:space="preserve">09/05/1790 </t>
        </r>
        <r>
          <rPr>
            <i/>
            <sz val="14"/>
            <color rgb="FF000000"/>
            <rFont val="Times New Roman"/>
            <family val="18"/>
          </rPr>
          <t>Von Dominien a 3Fl Handgeld gestellt und zum IR 28 Wartensleben ‚Reserve Division‘ in Kuttenberg assentiert</t>
        </r>
        <r>
          <rPr>
            <sz val="14"/>
            <color rgb="FF000000"/>
            <rFont val="Times New Roman"/>
            <family val="18"/>
          </rPr>
          <t xml:space="preserve"> [AL May 1790]</t>
        </r>
        <r>
          <rPr>
            <sz val="14"/>
            <color rgb="FF000000"/>
            <rFont val="Times New Roman"/>
            <family val="18"/>
          </rPr>
          <t xml:space="preserve">
</t>
        </r>
        <r>
          <rPr>
            <sz val="14"/>
            <color rgb="FF000000"/>
            <rFont val="Times New Roman"/>
            <family val="18"/>
          </rPr>
          <t xml:space="preserve">01/11/1790 </t>
        </r>
        <r>
          <rPr>
            <i/>
            <sz val="14"/>
            <color rgb="FF000000"/>
            <rFont val="Times New Roman"/>
            <family val="18"/>
          </rPr>
          <t xml:space="preserve">Von Reserve Division zum Haupt Lützow Komp. transferiert und sofort beurlaubt </t>
        </r>
        <r>
          <rPr>
            <sz val="14"/>
            <color rgb="FF000000"/>
            <rFont val="Times New Roman"/>
            <family val="18"/>
          </rPr>
          <t>[ST Nov 1790]</t>
        </r>
        <r>
          <rPr>
            <sz val="14"/>
            <color rgb="FF000000"/>
            <rFont val="Times New Roman"/>
            <family val="18"/>
          </rPr>
          <t xml:space="preserve">
</t>
        </r>
        <r>
          <rPr>
            <sz val="14"/>
            <color rgb="FF000000"/>
            <rFont val="Times New Roman"/>
            <family val="18"/>
          </rPr>
          <t>02/09/1791 Muster: IR 28 Haupt L</t>
        </r>
        <r>
          <rPr>
            <sz val="14"/>
            <color rgb="FF000000"/>
            <rFont val="Times New Roman"/>
            <family val="18"/>
          </rPr>
          <t>ü</t>
        </r>
        <r>
          <rPr>
            <sz val="14"/>
            <color rgb="FF000000"/>
            <rFont val="Times New Roman"/>
            <family val="18"/>
          </rPr>
          <t xml:space="preserve">tzow Komp. </t>
        </r>
        <r>
          <rPr>
            <sz val="14"/>
            <color rgb="FF000000"/>
            <rFont val="Times New Roman"/>
            <family val="18"/>
          </rPr>
          <t>Nr. 202 [</t>
        </r>
        <r>
          <rPr>
            <i/>
            <sz val="14"/>
            <color rgb="FF000000"/>
            <rFont val="Times New Roman"/>
            <family val="18"/>
          </rPr>
          <t>Beurlaubt in Seinem Geburtsort und dispensirt</t>
        </r>
        <r>
          <rPr>
            <sz val="14"/>
            <color rgb="FF000000"/>
            <rFont val="Times New Roman"/>
            <family val="18"/>
          </rPr>
          <t>]</t>
        </r>
        <r>
          <rPr>
            <sz val="14"/>
            <color rgb="FF000000"/>
            <rFont val="Times New Roman"/>
            <family val="18"/>
          </rPr>
          <t xml:space="preserve">
</t>
        </r>
        <r>
          <rPr>
            <sz val="14"/>
            <color rgb="FF000000"/>
            <rFont val="Times New Roman"/>
            <family val="18"/>
          </rPr>
          <t xml:space="preserve">08/09/1791 </t>
        </r>
        <r>
          <rPr>
            <i/>
            <sz val="14"/>
            <color rgb="FF000000"/>
            <rFont val="Times New Roman"/>
            <family val="18"/>
          </rPr>
          <t>Auf Unbestimmte Urlaub entlassen</t>
        </r>
        <r>
          <rPr>
            <sz val="14"/>
            <color rgb="FF000000"/>
            <rFont val="Times New Roman"/>
            <family val="18"/>
          </rPr>
          <t xml:space="preserve"> [ML 1792]</t>
        </r>
        <r>
          <rPr>
            <sz val="14"/>
            <color rgb="FF000000"/>
            <rFont val="Times New Roman"/>
            <family val="18"/>
          </rPr>
          <t xml:space="preserve">
</t>
        </r>
      </text>
    </comment>
    <comment ref="BG46" authorId="0" shapeId="0" xr:uid="{5911CF09-6F76-3049-8DE5-88B1B262330D}">
      <text>
        <r>
          <rPr>
            <sz val="14"/>
            <color rgb="FF000000"/>
            <rFont val="Times New Roman"/>
            <family val="18"/>
          </rPr>
          <t>ML 2392/3 IR 28 (1791) – Haupt L</t>
        </r>
        <r>
          <rPr>
            <sz val="14"/>
            <color rgb="FF000000"/>
            <rFont val="Times New Roman"/>
            <family val="18"/>
          </rPr>
          <t>ü</t>
        </r>
        <r>
          <rPr>
            <sz val="14"/>
            <color rgb="FF000000"/>
            <rFont val="Times New Roman"/>
            <family val="18"/>
          </rPr>
          <t>tzow Komp. Nr. 202 (Kuttenberg 02/09/1791)</t>
        </r>
        <r>
          <rPr>
            <sz val="14"/>
            <color rgb="FF000000"/>
            <rFont val="Times New Roman"/>
            <family val="18"/>
          </rPr>
          <t xml:space="preserve">
</t>
        </r>
        <r>
          <rPr>
            <sz val="14"/>
            <color rgb="FF000000"/>
            <rFont val="Times New Roman"/>
            <family val="18"/>
          </rPr>
          <t>ML 2394 IR 28 (1792) –Haupt L</t>
        </r>
        <r>
          <rPr>
            <sz val="14"/>
            <color rgb="FF000000"/>
            <rFont val="Times New Roman"/>
            <family val="18"/>
          </rPr>
          <t>ü</t>
        </r>
        <r>
          <rPr>
            <sz val="14"/>
            <color rgb="FF000000"/>
            <rFont val="Times New Roman"/>
            <family val="18"/>
          </rPr>
          <t>tzow Komp. Abgang (Kuttenberg 17/09/1792)</t>
        </r>
        <r>
          <rPr>
            <sz val="14"/>
            <color rgb="FF000000"/>
            <rFont val="Times New Roman"/>
            <family val="18"/>
          </rPr>
          <t xml:space="preserve">
</t>
        </r>
        <r>
          <rPr>
            <sz val="14"/>
            <color rgb="FF000000"/>
            <rFont val="Times New Roman"/>
            <family val="18"/>
          </rPr>
          <t>ML 2439 IR 28 (1790) – ST Nov. [undated]</t>
        </r>
        <r>
          <rPr>
            <sz val="14"/>
            <color rgb="FF000000"/>
            <rFont val="Times New Roman"/>
            <family val="18"/>
          </rPr>
          <t xml:space="preserve">
</t>
        </r>
        <r>
          <rPr>
            <sz val="14"/>
            <color rgb="FF000000"/>
            <rFont val="Times New Roman"/>
            <family val="18"/>
          </rPr>
          <t>ML 2440 IR 28 (1790) AL/TL– AL ‚Reserve Division‘ Nr. 14 (Kuttenberg 31/05/1790)</t>
        </r>
        <r>
          <rPr>
            <sz val="14"/>
            <color rgb="FF000000"/>
            <rFont val="Times New Roman"/>
            <family val="18"/>
          </rPr>
          <t xml:space="preserve">
</t>
        </r>
      </text>
    </comment>
    <comment ref="BH46" authorId="0" shapeId="0" xr:uid="{1AB2EB65-7CAA-4D4A-87F7-9A815B6CF507}">
      <text>
        <r>
          <rPr>
            <sz val="14"/>
            <color rgb="FF000000"/>
            <rFont val="Calibri"/>
            <family val="34"/>
          </rPr>
          <t>IR 28 (1790-1791)</t>
        </r>
      </text>
    </comment>
    <comment ref="BF47" authorId="0" shapeId="0" xr:uid="{FDAB2D5D-19DD-6345-A84F-5D601395682A}">
      <text>
        <r>
          <rPr>
            <sz val="14"/>
            <color rgb="FF000000"/>
            <rFont val="Times New Roman"/>
            <family val="18"/>
          </rPr>
          <t xml:space="preserve">12/05/1790 </t>
        </r>
        <r>
          <rPr>
            <i/>
            <sz val="14"/>
            <color rgb="FF000000"/>
            <rFont val="Times New Roman"/>
            <family val="18"/>
          </rPr>
          <t>Von Dominien a 3Fl Handgeld gestellt und zum IR 28 Wartensleben ‚Reserve Division‘ in Kuttenberg Assentiert</t>
        </r>
        <r>
          <rPr>
            <sz val="14"/>
            <color rgb="FF000000"/>
            <rFont val="Times New Roman"/>
            <family val="18"/>
          </rPr>
          <t xml:space="preserve"> [AL May 1790]</t>
        </r>
        <r>
          <rPr>
            <sz val="14"/>
            <color rgb="FF000000"/>
            <rFont val="Times New Roman"/>
            <family val="18"/>
          </rPr>
          <t xml:space="preserve">
</t>
        </r>
        <r>
          <rPr>
            <sz val="14"/>
            <color rgb="FF000000"/>
            <rFont val="Times New Roman"/>
            <family val="18"/>
          </rPr>
          <t xml:space="preserve">23/06/1790 </t>
        </r>
        <r>
          <rPr>
            <i/>
            <sz val="14"/>
            <color rgb="FF000000"/>
            <rFont val="Times New Roman"/>
            <family val="18"/>
          </rPr>
          <t>Krank in Garrisons Spital in Königgrätz</t>
        </r>
        <r>
          <rPr>
            <sz val="14"/>
            <color rgb="FF000000"/>
            <rFont val="Times New Roman"/>
            <family val="18"/>
          </rPr>
          <t xml:space="preserve"> [ST June 1790]</t>
        </r>
        <r>
          <rPr>
            <sz val="14"/>
            <color rgb="FF000000"/>
            <rFont val="Times New Roman"/>
            <family val="18"/>
          </rPr>
          <t xml:space="preserve">
</t>
        </r>
        <r>
          <rPr>
            <sz val="14"/>
            <color rgb="FF000000"/>
            <rFont val="Times New Roman"/>
            <family val="18"/>
          </rPr>
          <t xml:space="preserve">31/08/1790 </t>
        </r>
        <r>
          <rPr>
            <i/>
            <sz val="14"/>
            <color rgb="FF000000"/>
            <rFont val="Times New Roman"/>
            <family val="18"/>
          </rPr>
          <t>Rekonvalesziert</t>
        </r>
        <r>
          <rPr>
            <sz val="14"/>
            <color rgb="FF000000"/>
            <rFont val="Times New Roman"/>
            <family val="18"/>
          </rPr>
          <t xml:space="preserve"> [ST August 1790]</t>
        </r>
        <r>
          <rPr>
            <sz val="14"/>
            <color rgb="FF000000"/>
            <rFont val="Times New Roman"/>
            <family val="18"/>
          </rPr>
          <t xml:space="preserve">
</t>
        </r>
        <r>
          <rPr>
            <sz val="14"/>
            <color rgb="FF000000"/>
            <rFont val="Times New Roman"/>
            <family val="18"/>
          </rPr>
          <t xml:space="preserve">01/11/1790 </t>
        </r>
        <r>
          <rPr>
            <i/>
            <sz val="14"/>
            <color rgb="FF000000"/>
            <rFont val="Times New Roman"/>
            <family val="18"/>
          </rPr>
          <t>von Reserve Division zum Haupt Thiery Komp. transferiert</t>
        </r>
        <r>
          <rPr>
            <sz val="14"/>
            <color rgb="FF000000"/>
            <rFont val="Times New Roman"/>
            <family val="18"/>
          </rPr>
          <t xml:space="preserve"> [ST Nov 1790]</t>
        </r>
        <r>
          <rPr>
            <sz val="14"/>
            <color rgb="FF000000"/>
            <rFont val="Times New Roman"/>
            <family val="18"/>
          </rPr>
          <t xml:space="preserve">
</t>
        </r>
        <r>
          <rPr>
            <sz val="14"/>
            <color rgb="FF000000"/>
            <rFont val="Times New Roman"/>
            <family val="18"/>
          </rPr>
          <t xml:space="preserve">02/09/1791 Muster: IR 28 Haupt </t>
        </r>
        <r>
          <rPr>
            <sz val="14"/>
            <color rgb="FF000000"/>
            <rFont val="Times New Roman"/>
            <family val="18"/>
          </rPr>
          <t xml:space="preserve">Thiery Komp. </t>
        </r>
        <r>
          <rPr>
            <sz val="14"/>
            <color rgb="FF000000"/>
            <rFont val="Times New Roman"/>
            <family val="18"/>
          </rPr>
          <t>Nr. 189</t>
        </r>
        <r>
          <rPr>
            <sz val="14"/>
            <color rgb="FF000000"/>
            <rFont val="Times New Roman"/>
            <family val="18"/>
          </rPr>
          <t xml:space="preserve">
</t>
        </r>
        <r>
          <rPr>
            <sz val="14"/>
            <color rgb="FF000000"/>
            <rFont val="Times New Roman"/>
            <family val="18"/>
          </rPr>
          <t xml:space="preserve">20/09/1791 </t>
        </r>
        <r>
          <rPr>
            <i/>
            <sz val="14"/>
            <color rgb="FF000000"/>
            <rFont val="Times New Roman"/>
            <family val="18"/>
          </rPr>
          <t>Beurlaubt</t>
        </r>
        <r>
          <rPr>
            <sz val="14"/>
            <color rgb="FF000000"/>
            <rFont val="Times New Roman"/>
            <family val="18"/>
          </rPr>
          <t xml:space="preserve"> [ST Sept 1791]</t>
        </r>
        <r>
          <rPr>
            <sz val="14"/>
            <color rgb="FF000000"/>
            <rFont val="Times New Roman"/>
            <family val="18"/>
          </rPr>
          <t xml:space="preserve">
</t>
        </r>
        <r>
          <rPr>
            <sz val="14"/>
            <color rgb="FF000000"/>
            <rFont val="Times New Roman"/>
            <family val="18"/>
          </rPr>
          <t xml:space="preserve">31/03/1792 </t>
        </r>
        <r>
          <rPr>
            <i/>
            <sz val="14"/>
            <color rgb="FF000000"/>
            <rFont val="Times New Roman"/>
            <family val="18"/>
          </rPr>
          <t>Als Untaglich mit Laufpa</t>
        </r>
        <r>
          <rPr>
            <i/>
            <sz val="14"/>
            <color rgb="FF000000"/>
            <rFont val="Calibri"/>
            <family val="34"/>
          </rPr>
          <t>ß</t>
        </r>
        <r>
          <rPr>
            <i/>
            <sz val="14"/>
            <color rgb="FF000000"/>
            <rFont val="Times New Roman"/>
            <family val="18"/>
          </rPr>
          <t xml:space="preserve"> entlassen </t>
        </r>
        <r>
          <rPr>
            <sz val="14"/>
            <color rgb="FF000000"/>
            <rFont val="Times New Roman"/>
            <family val="18"/>
          </rPr>
          <t>[ML 1792]</t>
        </r>
      </text>
    </comment>
    <comment ref="BG47" authorId="0" shapeId="0" xr:uid="{F08DB2AF-6A31-8346-8A6D-C64EAD2A2901}">
      <text>
        <r>
          <rPr>
            <sz val="14"/>
            <color rgb="FF000000"/>
            <rFont val="Times New Roman"/>
            <family val="18"/>
          </rPr>
          <t xml:space="preserve">ML 2392/3 IR 28 (1791) – Heft von Haupt Thiery Komp. Nr. 202 (Kuttenberg 02/09/1791)
</t>
        </r>
        <r>
          <rPr>
            <sz val="14"/>
            <color rgb="FF000000"/>
            <rFont val="Times New Roman"/>
            <family val="18"/>
          </rPr>
          <t xml:space="preserve">ML 2394 IR 28 (1792) – Heft von Haupt Thiery Komp. Abgang (Kuttenberg 17/09/1792)
</t>
        </r>
        <r>
          <rPr>
            <sz val="14"/>
            <color rgb="FF000000"/>
            <rFont val="Times New Roman"/>
            <family val="18"/>
          </rPr>
          <t xml:space="preserve">ML 2439 IR 28 (1790) – ST May-Aug, Nov. [undated]
</t>
        </r>
        <r>
          <rPr>
            <sz val="14"/>
            <color rgb="FF000000"/>
            <rFont val="Times New Roman"/>
            <family val="18"/>
          </rPr>
          <t xml:space="preserve">ML 2440 IR 28 (1790) AL/TL – AL ‚Reserve Division‘ Nr. 14 (Kuttenberg 31/05/1790)
</t>
        </r>
        <r>
          <rPr>
            <sz val="14"/>
            <color rgb="FF000000"/>
            <rFont val="Times New Roman"/>
            <family val="18"/>
          </rPr>
          <t xml:space="preserve">ML 2441 IR 28 (1791) – ST Sept [undated]
</t>
        </r>
        <r>
          <rPr>
            <sz val="14"/>
            <color rgb="FF000000"/>
            <rFont val="Times New Roman"/>
            <family val="18"/>
          </rPr>
          <t xml:space="preserve">ML 2444 IR 28 (1792) AL/TL – SUP Nr. 1 (Kuttenberg 06/03/1792) 
</t>
        </r>
      </text>
    </comment>
    <comment ref="BH47" authorId="0" shapeId="0" xr:uid="{BC340E74-DB6B-A042-A76D-C8EB47592222}">
      <text>
        <r>
          <rPr>
            <sz val="14"/>
            <color rgb="FF000000"/>
            <rFont val="Calibri"/>
            <family val="34"/>
          </rPr>
          <t>IR 28 (1790-1792)</t>
        </r>
      </text>
    </comment>
    <comment ref="BF48" authorId="0" shapeId="0" xr:uid="{C1589F68-1E5A-6A4A-BD99-80D8706ADEA4}">
      <text>
        <r>
          <rPr>
            <sz val="14"/>
            <color rgb="FF000000"/>
            <rFont val="Times New Roman"/>
            <family val="18"/>
          </rPr>
          <t xml:space="preserve">08/07/1790 </t>
        </r>
        <r>
          <rPr>
            <i/>
            <sz val="14"/>
            <color rgb="FF000000"/>
            <rFont val="Times New Roman"/>
            <family val="18"/>
          </rPr>
          <t>gegen 3Fl Handgeld gestellt Worden</t>
        </r>
        <r>
          <rPr>
            <sz val="14"/>
            <color rgb="FF000000"/>
            <rFont val="Times New Roman"/>
            <family val="18"/>
          </rPr>
          <t xml:space="preserve"> [TL Juli 1797]
</t>
        </r>
        <r>
          <rPr>
            <sz val="14"/>
            <color rgb="FF000000"/>
            <rFont val="Times New Roman"/>
            <family val="18"/>
          </rPr>
          <t xml:space="preserve">21/07/1790 </t>
        </r>
        <r>
          <rPr>
            <i/>
            <sz val="14"/>
            <color rgb="FF000000"/>
            <rFont val="Times New Roman"/>
            <family val="18"/>
          </rPr>
          <t xml:space="preserve">von MFWK Reserve 19 pro cento Division zum IR 32 (H) Feld Bataillon transferiert und zum Regiments Fuhrwesen zugeteilt </t>
        </r>
        <r>
          <rPr>
            <sz val="14"/>
            <color rgb="FF000000"/>
            <rFont val="Times New Roman"/>
            <family val="18"/>
          </rPr>
          <t xml:space="preserve">[TL Juli 1790 &amp; ST Juli 1790]
</t>
        </r>
        <r>
          <rPr>
            <sz val="14"/>
            <color rgb="FF000000"/>
            <rFont val="Times New Roman"/>
            <family val="18"/>
          </rPr>
          <t xml:space="preserve">28/11/1790 </t>
        </r>
        <r>
          <rPr>
            <i/>
            <sz val="14"/>
            <color rgb="FF000000"/>
            <rFont val="Times New Roman"/>
            <family val="18"/>
          </rPr>
          <t>vermog hohe HKR Verordnung von 15. Aug 1790 und General Commando Verordnung deto Lemberg den 22/08/1790 von IR 32 Regiments Fuhrwesen auf Unbestimmte Urlaub abgelassen</t>
        </r>
        <r>
          <rPr>
            <sz val="14"/>
            <color rgb="FF000000"/>
            <rFont val="Times New Roman"/>
            <family val="18"/>
          </rPr>
          <t xml:space="preserve"> [ST Nov 1790]</t>
        </r>
      </text>
    </comment>
    <comment ref="BG48" authorId="0" shapeId="0" xr:uid="{49E57DA7-C3BB-0946-9F9D-0E2372C458FF}">
      <text>
        <r>
          <rPr>
            <sz val="14"/>
            <color rgb="FF000000"/>
            <rFont val="Times New Roman"/>
            <family val="18"/>
          </rPr>
          <t xml:space="preserve">ML 2871 IR 32 (1790) – ST Juli (10/07/1791) und Nov (26/09/1791)
</t>
        </r>
        <r>
          <rPr>
            <sz val="14"/>
            <color rgb="FF000000"/>
            <rFont val="Times New Roman"/>
            <family val="18"/>
          </rPr>
          <t>ML 2872 IR 32 (1790) – TL IR 32 Nr. 1 (Lemberg 18/07/1790)</t>
        </r>
      </text>
    </comment>
    <comment ref="BH48" authorId="0" shapeId="0" xr:uid="{D8AD065D-39E5-DA40-91B7-E3848E9E9177}">
      <text>
        <r>
          <rPr>
            <sz val="14"/>
            <color rgb="FF000000"/>
            <rFont val="Calibri"/>
            <family val="34"/>
          </rPr>
          <t>MFWK (1790)</t>
        </r>
      </text>
    </comment>
    <comment ref="I49" authorId="0" shapeId="0" xr:uid="{B0D67DFC-3799-0C41-9777-F1C701DA47E6}">
      <text>
        <r>
          <rPr>
            <sz val="14"/>
            <color rgb="FF000000"/>
            <rFont val="Calibri"/>
            <family val="34"/>
          </rPr>
          <t xml:space="preserve">1757 [54 (1811)] 
</t>
        </r>
        <r>
          <rPr>
            <sz val="14"/>
            <color rgb="FF000000"/>
            <rFont val="Calibri"/>
            <family val="34"/>
          </rPr>
          <t xml:space="preserve">OR 
</t>
        </r>
        <r>
          <rPr>
            <sz val="14"/>
            <color rgb="FF000000"/>
            <rFont val="Calibri"/>
            <family val="34"/>
          </rPr>
          <t>1763 [39 (1802)]</t>
        </r>
      </text>
    </comment>
    <comment ref="BF49" authorId="0" shapeId="0" xr:uid="{F124D326-D456-6C4C-A0BC-E09B9C21871B}">
      <text>
        <r>
          <rPr>
            <sz val="14"/>
            <color rgb="FF000000"/>
            <rFont val="Times New Roman"/>
            <family val="18"/>
          </rPr>
          <t>??/06/1791 [</t>
        </r>
        <r>
          <rPr>
            <i/>
            <sz val="14"/>
            <color rgb="FF000000"/>
            <rFont val="Times New Roman"/>
            <family val="18"/>
          </rPr>
          <t>Diente in ‘Lattermann’ Infanterie 19 Jahr</t>
        </r>
        <r>
          <rPr>
            <sz val="14"/>
            <color rgb="FF000000"/>
            <rFont val="Times New Roman"/>
            <family val="18"/>
          </rPr>
          <t>] [ML 1811]</t>
        </r>
        <r>
          <rPr>
            <sz val="14"/>
            <color rgb="FF000000"/>
            <rFont val="Calibri"/>
            <family val="34"/>
          </rPr>
          <t xml:space="preserve">
</t>
        </r>
        <r>
          <rPr>
            <sz val="14"/>
            <color rgb="FF000000"/>
            <rFont val="Times New Roman"/>
            <family val="18"/>
          </rPr>
          <t xml:space="preserve">01/07/1798 </t>
        </r>
        <r>
          <rPr>
            <i/>
            <sz val="14"/>
            <color rgb="FF000000"/>
            <rFont val="Times New Roman"/>
            <family val="18"/>
          </rPr>
          <t>Dient seit bey Michael Wallis Inf</t>
        </r>
        <r>
          <rPr>
            <sz val="14"/>
            <color rgb="FF000000"/>
            <rFont val="Times New Roman"/>
            <family val="18"/>
          </rPr>
          <t xml:space="preserve"> </t>
        </r>
        <r>
          <rPr>
            <b/>
            <sz val="14"/>
            <color rgb="FF000000"/>
            <rFont val="Times New Roman"/>
            <family val="18"/>
          </rPr>
          <t>[IR 11]</t>
        </r>
        <r>
          <rPr>
            <sz val="14"/>
            <color rgb="FF000000"/>
            <rFont val="Times New Roman"/>
            <family val="18"/>
          </rPr>
          <t xml:space="preserve"> </t>
        </r>
        <r>
          <rPr>
            <i/>
            <sz val="14"/>
            <color rgb="FF000000"/>
            <rFont val="Times New Roman"/>
            <family val="18"/>
          </rPr>
          <t xml:space="preserve">Ohne Kapitulation </t>
        </r>
        <r>
          <rPr>
            <sz val="14"/>
            <color rgb="FF000000"/>
            <rFont val="Times New Roman"/>
            <family val="18"/>
          </rPr>
          <t>[ML 1802]</t>
        </r>
        <r>
          <rPr>
            <sz val="14"/>
            <color rgb="FF000000"/>
            <rFont val="Calibri"/>
            <family val="34"/>
          </rPr>
          <t xml:space="preserve">
</t>
        </r>
        <r>
          <rPr>
            <sz val="14"/>
            <color rgb="FF000000"/>
            <rFont val="Times New Roman"/>
            <family val="18"/>
          </rPr>
          <t xml:space="preserve">01/02/1799 </t>
        </r>
        <r>
          <rPr>
            <i/>
            <sz val="14"/>
            <color rgb="FF000000"/>
            <rFont val="Times New Roman"/>
            <family val="18"/>
          </rPr>
          <t>Von IR 11 zum IR 45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13/09/1802 Muster: IR 45 1. Grenadier Komp. Nr. 46</t>
        </r>
        <r>
          <rPr>
            <sz val="14"/>
            <color rgb="FF000000"/>
            <rFont val="Calibri"/>
            <family val="34"/>
          </rPr>
          <t xml:space="preserve">
</t>
        </r>
        <r>
          <rPr>
            <sz val="14"/>
            <color rgb="FF000000"/>
            <rFont val="Times New Roman"/>
            <family val="18"/>
          </rPr>
          <t xml:space="preserve">31/07/1810 </t>
        </r>
        <r>
          <rPr>
            <i/>
            <sz val="14"/>
            <color rgb="FF000000"/>
            <rFont val="Times New Roman"/>
            <family val="18"/>
          </rPr>
          <t>Von IR 45 Regiment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01/08/1811 </t>
        </r>
        <r>
          <rPr>
            <i/>
            <sz val="14"/>
            <color rgb="FF000000"/>
            <rFont val="Times New Roman"/>
            <family val="18"/>
          </rPr>
          <t>Ins Pager Invaliden Haus zur Verpflegung gekommen</t>
        </r>
        <r>
          <rPr>
            <sz val="14"/>
            <color rgb="FF000000"/>
            <rFont val="Times New Roman"/>
            <family val="18"/>
          </rPr>
          <t xml:space="preserve"> [ML 1811]</t>
        </r>
        <r>
          <rPr>
            <sz val="14"/>
            <color rgb="FF000000"/>
            <rFont val="Calibri"/>
            <family val="34"/>
          </rPr>
          <t xml:space="preserve">
</t>
        </r>
        <r>
          <rPr>
            <sz val="14"/>
            <color rgb="FF000000"/>
            <rFont val="Times New Roman"/>
            <family val="18"/>
          </rPr>
          <t>24/06/1811 Muster: 9. &amp; 10. Chambre Nr. 147 [</t>
        </r>
        <r>
          <rPr>
            <i/>
            <sz val="14"/>
            <color rgb="FF000000"/>
            <rFont val="Times New Roman"/>
            <family val="18"/>
          </rPr>
          <t>Für Dienst in Haus tauglich</t>
        </r>
        <r>
          <rPr>
            <sz val="14"/>
            <color rgb="FF000000"/>
            <rFont val="Times New Roman"/>
            <family val="18"/>
          </rPr>
          <t>]</t>
        </r>
      </text>
    </comment>
    <comment ref="BG49" authorId="0" shapeId="0" xr:uid="{C3CC511A-4713-9848-B55A-4D5DBA1195EE}">
      <text>
        <r>
          <rPr>
            <sz val="14"/>
            <color rgb="FF000000"/>
            <rFont val="Times New Roman"/>
            <family val="18"/>
          </rPr>
          <t>ML 10.344 IR 45 (1802) – 1. Grenadiers Comp Nr. 46 (Graz 13/09/1802)</t>
        </r>
        <r>
          <rPr>
            <sz val="14"/>
            <color rgb="FF000000"/>
            <rFont val="Calibri"/>
            <family val="34"/>
          </rPr>
          <t xml:space="preserve">
</t>
        </r>
        <r>
          <rPr>
            <sz val="14"/>
            <color rgb="FF000000"/>
            <rFont val="Times New Roman"/>
            <family val="18"/>
          </rPr>
          <t>ML 9664 InvH Prag (1811) –9. &amp; 10. Chambre Nr. 147 (Prag 24/06/1811)</t>
        </r>
      </text>
    </comment>
    <comment ref="BH49" authorId="0" shapeId="0" xr:uid="{C8F98ED4-F44B-6645-8C6E-CC61910C53E9}">
      <text>
        <r>
          <rPr>
            <sz val="14"/>
            <color rgb="FF000000"/>
            <rFont val="Calibri"/>
            <family val="34"/>
          </rPr>
          <t xml:space="preserve">IR 11 (1791/8-1799)
</t>
        </r>
        <r>
          <rPr>
            <sz val="14"/>
            <color rgb="FF000000"/>
            <rFont val="Calibri"/>
            <family val="34"/>
          </rPr>
          <t xml:space="preserve">IR 45 (1799-1810)
</t>
        </r>
        <r>
          <rPr>
            <sz val="14"/>
            <color rgb="FF000000"/>
            <rFont val="Calibri"/>
            <family val="34"/>
          </rPr>
          <t>InvH Prag (1810-1811)</t>
        </r>
      </text>
    </comment>
    <comment ref="BJ49" authorId="0" shapeId="0" xr:uid="{4784A30C-FA63-3146-B747-08DC003170BF}">
      <text>
        <r>
          <rPr>
            <i/>
            <sz val="14"/>
            <color rgb="FF000000"/>
            <rFont val="Times New Roman"/>
            <family val="18"/>
          </rPr>
          <t xml:space="preserve">Alt und Steiff </t>
        </r>
        <r>
          <rPr>
            <sz val="14"/>
            <color rgb="FF000000"/>
            <rFont val="Times New Roman"/>
            <family val="18"/>
          </rPr>
          <t>[ML 1811]</t>
        </r>
      </text>
    </comment>
    <comment ref="BF50" authorId="0" shapeId="0" xr:uid="{725C4D58-10B5-B44E-8641-67DF6125BDA2}">
      <text>
        <r>
          <rPr>
            <sz val="14"/>
            <color rgb="FF000000"/>
            <rFont val="Times New Roman"/>
            <family val="18"/>
          </rPr>
          <t xml:space="preserve">[C. 07/1792] </t>
        </r>
        <r>
          <rPr>
            <i/>
            <sz val="14"/>
            <color rgb="FF000000"/>
            <rFont val="Times New Roman"/>
            <family val="18"/>
          </rPr>
          <t>Vor 8 Jahren unentgeltlich in Pzemisla</t>
        </r>
        <r>
          <rPr>
            <sz val="14"/>
            <color rgb="FF000000"/>
            <rFont val="Times New Roman"/>
            <family val="18"/>
          </rPr>
          <t xml:space="preserve"> </t>
        </r>
        <r>
          <rPr>
            <b/>
            <sz val="14"/>
            <color rgb="FF000000"/>
            <rFont val="Times New Roman"/>
            <family val="18"/>
          </rPr>
          <t>[Przemyśl, Poland]</t>
        </r>
        <r>
          <rPr>
            <i/>
            <sz val="14"/>
            <color rgb="FF000000"/>
            <rFont val="Times New Roman"/>
            <family val="18"/>
          </rPr>
          <t xml:space="preserve"> in Pohlen gestellt worden</t>
        </r>
        <r>
          <rPr>
            <sz val="14"/>
            <color rgb="FF000000"/>
            <rFont val="Calibri"/>
            <family val="34"/>
          </rPr>
          <t xml:space="preserve">
</t>
        </r>
        <r>
          <rPr>
            <sz val="14"/>
            <color rgb="FF000000"/>
            <rFont val="Times New Roman"/>
            <family val="18"/>
          </rPr>
          <t xml:space="preserve">06/07/1800 </t>
        </r>
        <r>
          <rPr>
            <i/>
            <sz val="14"/>
            <color rgb="FF000000"/>
            <rFont val="Times New Roman"/>
            <family val="18"/>
          </rPr>
          <t>Vor 14 Tagen bei Verona Desertiert</t>
        </r>
        <r>
          <rPr>
            <sz val="14"/>
            <color rgb="FF000000"/>
            <rFont val="Calibri"/>
            <family val="34"/>
          </rPr>
          <t xml:space="preserve">
</t>
        </r>
        <r>
          <rPr>
            <sz val="14"/>
            <color rgb="FF000000"/>
            <rFont val="Times New Roman"/>
            <family val="18"/>
          </rPr>
          <t>Montur: Seiner eigener montur</t>
        </r>
        <r>
          <rPr>
            <sz val="14"/>
            <color rgb="FF000000"/>
            <rFont val="Calibri"/>
            <family val="34"/>
          </rPr>
          <t xml:space="preserve">
</t>
        </r>
        <r>
          <rPr>
            <sz val="14"/>
            <color rgb="FF000000"/>
            <rFont val="Times New Roman"/>
            <family val="18"/>
          </rPr>
          <t xml:space="preserve">Ursache: </t>
        </r>
        <r>
          <rPr>
            <i/>
            <sz val="14"/>
            <color rgb="FF000000"/>
            <rFont val="Times New Roman"/>
            <family val="18"/>
          </rPr>
          <t>Er war mit Gewalt gezwungen worden 4 Pferde zu verfahren da selber aber zu schwach und nicht in Stande ist 4. Pferde ganz zu Ihnen und sie gehörig zu verpflegen, sich oberste gemeldet und ohrer nicht geglaubt worden dahero eingeweichten</t>
        </r>
        <r>
          <rPr>
            <sz val="14"/>
            <color rgb="FF000000"/>
            <rFont val="Times New Roman"/>
            <family val="18"/>
          </rPr>
          <t xml:space="preserve">  [?] </t>
        </r>
        <r>
          <rPr>
            <sz val="14"/>
            <color rgb="FF000000"/>
            <rFont val="Calibri"/>
            <family val="34"/>
          </rPr>
          <t xml:space="preserve">
</t>
        </r>
        <r>
          <rPr>
            <sz val="14"/>
            <color rgb="FF000000"/>
            <rFont val="Times New Roman"/>
            <family val="18"/>
          </rPr>
          <t xml:space="preserve">Wo arretiert: </t>
        </r>
        <r>
          <rPr>
            <i/>
            <sz val="14"/>
            <color rgb="FF000000"/>
            <rFont val="Times New Roman"/>
            <family val="18"/>
          </rPr>
          <t>2 Wochen in der</t>
        </r>
        <r>
          <rPr>
            <sz val="14"/>
            <color rgb="FF000000"/>
            <rFont val="Times New Roman"/>
            <family val="18"/>
          </rPr>
          <t xml:space="preserve"> [?] </t>
        </r>
        <r>
          <rPr>
            <i/>
            <sz val="14"/>
            <color rgb="FF000000"/>
            <rFont val="Times New Roman"/>
            <family val="18"/>
          </rPr>
          <t>und 3 auf der Straße über das Geburt gegen Ungarn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Arrest: </t>
        </r>
        <r>
          <rPr>
            <i/>
            <sz val="14"/>
            <color rgb="FF000000"/>
            <rFont val="Times New Roman"/>
            <family val="18"/>
          </rPr>
          <t xml:space="preserve">Ist auf dem Grenze auf Pfarr Joseph Kavagna im Dorf Creda angehalten und eingebracht worden </t>
        </r>
        <r>
          <rPr>
            <sz val="14"/>
            <color rgb="FF000000"/>
            <rFont val="Calibri"/>
            <family val="34"/>
          </rPr>
          <t xml:space="preserve">
</t>
        </r>
        <r>
          <rPr>
            <sz val="14"/>
            <color rgb="FF000000"/>
            <rFont val="+mn-lt"/>
            <charset val="1"/>
          </rPr>
          <t xml:space="preserve">]
</t>
        </r>
      </text>
    </comment>
    <comment ref="BG50" authorId="0" shapeId="0" xr:uid="{BA5201F2-FA58-404A-98F1-7C360B4D6F5D}">
      <text>
        <r>
          <rPr>
            <sz val="14"/>
            <color rgb="FF000000"/>
            <rFont val="Times New Roman"/>
            <family val="18"/>
          </rPr>
          <t>ML 10.082 IR 13 (1801) – PL 29. April 1800 bis Ende Sept 1801 Eintrag für 20. Juli 1800</t>
        </r>
      </text>
    </comment>
    <comment ref="BH50" authorId="0" shapeId="0" xr:uid="{F98B8B72-0EE4-8A47-A165-E4914E2A6F7C}">
      <text>
        <r>
          <rPr>
            <sz val="14"/>
            <color rgb="FF000000"/>
            <rFont val="Times New Roman"/>
            <family val="18"/>
          </rPr>
          <t>MFWK (1792-1800)</t>
        </r>
      </text>
    </comment>
    <comment ref="BF51" authorId="0" shapeId="0" xr:uid="{CE98A9E6-4D41-D347-BBD5-B8DCD85EC113}">
      <text>
        <r>
          <rPr>
            <sz val="14"/>
            <color rgb="FF000000"/>
            <rFont val="Times New Roman"/>
            <family val="18"/>
          </rPr>
          <t xml:space="preserve">16/08/1794 </t>
        </r>
        <r>
          <rPr>
            <i/>
            <sz val="14"/>
            <color rgb="FF000000"/>
            <rFont val="Times New Roman"/>
            <family val="18"/>
          </rPr>
          <t>Von MFWK 92. Artillerie Reserve Division zur IR 1 Kaiser 3. Bat transferiert und zur Proviant Fuhrwesen zugeheilt</t>
        </r>
        <r>
          <rPr>
            <sz val="14"/>
            <color rgb="FF000000"/>
            <rFont val="Times New Roman"/>
            <family val="18"/>
          </rPr>
          <t xml:space="preserve"> [TL Aug 1794]</t>
        </r>
        <r>
          <rPr>
            <sz val="14"/>
            <color rgb="FF000000"/>
            <rFont val="Calibri"/>
            <family val="34"/>
          </rPr>
          <t xml:space="preserve">
</t>
        </r>
        <r>
          <rPr>
            <sz val="14"/>
            <color rgb="FF000000"/>
            <rFont val="Times New Roman"/>
            <family val="18"/>
          </rPr>
          <t xml:space="preserve">01/03/1795 </t>
        </r>
        <r>
          <rPr>
            <i/>
            <sz val="14"/>
            <color rgb="FF000000"/>
            <rFont val="Times New Roman"/>
            <family val="18"/>
          </rPr>
          <t>Aus der Station Dubno desertiert</t>
        </r>
        <r>
          <rPr>
            <sz val="14"/>
            <color rgb="FF000000"/>
            <rFont val="Times New Roman"/>
            <family val="18"/>
          </rPr>
          <t xml:space="preserve"> [ST March 1795]</t>
        </r>
      </text>
    </comment>
    <comment ref="BG51" authorId="0" shapeId="0" xr:uid="{13C07CC5-137C-AD4E-A0BC-C0C103B20C2E}">
      <text>
        <r>
          <rPr>
            <sz val="14"/>
            <color rgb="FF000000"/>
            <rFont val="Times New Roman"/>
            <family val="18"/>
          </rPr>
          <t>ML 60 IR (1794) – ST Aug (Czerkow 29/11/1794)</t>
        </r>
        <r>
          <rPr>
            <sz val="14"/>
            <color rgb="FF000000"/>
            <rFont val="Calibri"/>
            <family val="34"/>
          </rPr>
          <t xml:space="preserve">
</t>
        </r>
        <r>
          <rPr>
            <sz val="14"/>
            <color rgb="FF000000"/>
            <rFont val="Times New Roman"/>
            <family val="18"/>
          </rPr>
          <t>ML 62 IR 1 (1795) –March (25/03/1796)</t>
        </r>
        <r>
          <rPr>
            <sz val="14"/>
            <color rgb="FF000000"/>
            <rFont val="Calibri"/>
            <family val="34"/>
          </rPr>
          <t xml:space="preserve">
</t>
        </r>
      </text>
    </comment>
    <comment ref="BH51" authorId="0" shapeId="0" xr:uid="{D93373FD-E07B-BB4F-AAE3-4CD18096548D}">
      <text>
        <r>
          <rPr>
            <sz val="14"/>
            <color rgb="FF000000"/>
            <rFont val="Times New Roman"/>
            <family val="18"/>
          </rPr>
          <t>MFWK (1794-1795)</t>
        </r>
      </text>
    </comment>
    <comment ref="BF52" authorId="0" shapeId="0" xr:uid="{8FC618CC-6B2E-CE4C-B1CF-76AF31855A78}">
      <text>
        <r>
          <rPr>
            <sz val="14"/>
            <color rgb="FF000000"/>
            <rFont val="Times New Roman"/>
            <family val="18"/>
          </rPr>
          <t xml:space="preserve">21/10/1794 </t>
        </r>
        <r>
          <rPr>
            <i/>
            <sz val="14"/>
            <color rgb="FF000000"/>
            <rFont val="Times New Roman"/>
            <family val="18"/>
          </rPr>
          <t xml:space="preserve">Gegen 3Fl Handgeld zum MFWK </t>
        </r>
        <r>
          <rPr>
            <sz val="14"/>
            <color rgb="FF000000"/>
            <rFont val="Times New Roman"/>
            <family val="18"/>
          </rPr>
          <t>[99. Artillerie Reserve Division]</t>
        </r>
        <r>
          <rPr>
            <i/>
            <sz val="14"/>
            <color rgb="FF000000"/>
            <rFont val="Times New Roman"/>
            <family val="18"/>
          </rPr>
          <t xml:space="preserve"> assentiert und zum IR 1 Kaiser 3. Bataillon transferiert</t>
        </r>
        <r>
          <rPr>
            <sz val="14"/>
            <color rgb="FF000000"/>
            <rFont val="Times New Roman"/>
            <family val="18"/>
          </rPr>
          <t xml:space="preserve"> </t>
        </r>
        <r>
          <rPr>
            <i/>
            <sz val="14"/>
            <color rgb="FF000000"/>
            <rFont val="Times New Roman"/>
            <family val="18"/>
          </rPr>
          <t>und zur Proviant Fuhrwesen zugeheilt</t>
        </r>
        <r>
          <rPr>
            <sz val="14"/>
            <color rgb="FF000000"/>
            <rFont val="Times New Roman"/>
            <family val="18"/>
          </rPr>
          <t xml:space="preserve"> [TL Dec 1794 &amp; ST Oct 1794]</t>
        </r>
        <r>
          <rPr>
            <sz val="14"/>
            <color rgb="FF000000"/>
            <rFont val="Calibri"/>
            <family val="34"/>
          </rPr>
          <t xml:space="preserve">
</t>
        </r>
        <r>
          <rPr>
            <sz val="14"/>
            <color rgb="FF000000"/>
            <rFont val="Times New Roman"/>
            <family val="18"/>
          </rPr>
          <t xml:space="preserve">21/01/1795 </t>
        </r>
        <r>
          <rPr>
            <i/>
            <sz val="14"/>
            <color rgb="FF000000"/>
            <rFont val="Times New Roman"/>
            <family val="18"/>
          </rPr>
          <t>Krank in Battalion Spital zu Dubno</t>
        </r>
        <r>
          <rPr>
            <sz val="14"/>
            <color rgb="FF000000"/>
            <rFont val="Times New Roman"/>
            <family val="18"/>
          </rPr>
          <t xml:space="preserve"> [ST Jan 1795]</t>
        </r>
        <r>
          <rPr>
            <sz val="14"/>
            <color rgb="FF000000"/>
            <rFont val="Calibri"/>
            <family val="34"/>
          </rPr>
          <t xml:space="preserve">
</t>
        </r>
        <r>
          <rPr>
            <sz val="14"/>
            <color rgb="FF000000"/>
            <rFont val="Times New Roman"/>
            <family val="18"/>
          </rPr>
          <t xml:space="preserve">31/01/1795 </t>
        </r>
        <r>
          <rPr>
            <i/>
            <sz val="14"/>
            <color rgb="FF000000"/>
            <rFont val="Times New Roman"/>
            <family val="18"/>
          </rPr>
          <t>Rekonvalesziert</t>
        </r>
        <r>
          <rPr>
            <sz val="14"/>
            <color rgb="FF000000"/>
            <rFont val="Times New Roman"/>
            <family val="18"/>
          </rPr>
          <t xml:space="preserve"> [St Feb 1795]</t>
        </r>
        <r>
          <rPr>
            <sz val="14"/>
            <color rgb="FF000000"/>
            <rFont val="Calibri"/>
            <family val="34"/>
          </rPr>
          <t xml:space="preserve">
</t>
        </r>
        <r>
          <rPr>
            <sz val="14"/>
            <color rgb="FF000000"/>
            <rFont val="Times New Roman"/>
            <family val="18"/>
          </rPr>
          <t xml:space="preserve">01/03/1795 </t>
        </r>
        <r>
          <rPr>
            <i/>
            <sz val="14"/>
            <color rgb="FF000000"/>
            <rFont val="Times New Roman"/>
            <family val="18"/>
          </rPr>
          <t>Aus der Station Dubno desertiert</t>
        </r>
        <r>
          <rPr>
            <sz val="14"/>
            <color rgb="FF000000"/>
            <rFont val="Times New Roman"/>
            <family val="18"/>
          </rPr>
          <t xml:space="preserve"> [ST March 1795]</t>
        </r>
      </text>
    </comment>
    <comment ref="BG52" authorId="0" shapeId="0" xr:uid="{DDF4730E-054D-9848-96CE-B1940AD6F62C}">
      <text>
        <r>
          <rPr>
            <sz val="14"/>
            <color rgb="FF000000"/>
            <rFont val="Times New Roman"/>
            <family val="18"/>
          </rPr>
          <t>ML 60 IR 1 (1794) – ST Oct (Dubno 18/02/1795)</t>
        </r>
        <r>
          <rPr>
            <sz val="14"/>
            <color rgb="FF000000"/>
            <rFont val="Calibri"/>
            <family val="34"/>
          </rPr>
          <t xml:space="preserve">
</t>
        </r>
        <r>
          <rPr>
            <sz val="14"/>
            <color rgb="FF000000"/>
            <rFont val="Times New Roman"/>
            <family val="18"/>
          </rPr>
          <t>ML 61 IR 1 (1794) AL/TL – TL MFWK-&gt;IR 1 Nr. 1 (Zamosc 19/12/1794)</t>
        </r>
        <r>
          <rPr>
            <sz val="14"/>
            <color rgb="FF000000"/>
            <rFont val="Calibri"/>
            <family val="34"/>
          </rPr>
          <t xml:space="preserve">
</t>
        </r>
        <r>
          <rPr>
            <sz val="14"/>
            <color rgb="FF000000"/>
            <rFont val="Times New Roman"/>
            <family val="18"/>
          </rPr>
          <t>ML 62 IR 1 (1795) – ST Jan (29/06/1795), Feb (15/10/1795), March (25/03/1796)</t>
        </r>
        <r>
          <rPr>
            <sz val="14"/>
            <color rgb="FF000000"/>
            <rFont val="Calibri"/>
            <family val="34"/>
          </rPr>
          <t xml:space="preserve">
</t>
        </r>
      </text>
    </comment>
    <comment ref="BH52" authorId="0" shapeId="0" xr:uid="{48A0644C-C764-5F43-BB4F-41D8D155BF5C}">
      <text>
        <r>
          <rPr>
            <sz val="14"/>
            <color rgb="FF000000"/>
            <rFont val="Times New Roman"/>
            <family val="18"/>
          </rPr>
          <t>MFWK (1794-1795)</t>
        </r>
      </text>
    </comment>
    <comment ref="BF53" authorId="0" shapeId="0" xr:uid="{8C2476CD-2A3F-2A41-BA2D-537AE3CBFD84}">
      <text>
        <r>
          <rPr>
            <b/>
            <sz val="14"/>
            <color rgb="FF000000"/>
            <rFont val="Calibri"/>
            <family val="34"/>
          </rPr>
          <t>FULL SERVICE RECORD</t>
        </r>
        <r>
          <rPr>
            <sz val="14"/>
            <color rgb="FF000000"/>
            <rFont val="Calibri"/>
            <family val="34"/>
          </rPr>
          <t xml:space="preserve">
</t>
        </r>
        <r>
          <rPr>
            <sz val="14"/>
            <color rgb="FF000000"/>
            <rFont val="Calibri"/>
            <family val="34"/>
          </rPr>
          <t xml:space="preserve">26/10/1794 gegen 15Fl auf die Kriegszeit in IR 44 Rauschberg Comp assentiert [ML 1795]
</t>
        </r>
        <r>
          <rPr>
            <sz val="14"/>
            <color rgb="FF000000"/>
            <rFont val="Calibri"/>
            <family val="34"/>
          </rPr>
          <t xml:space="preserve">20/05/1795 Musterung: Vacant Haupt Renschberg Comp Nr. 126 [Krank in Pavia]
</t>
        </r>
        <r>
          <rPr>
            <sz val="14"/>
            <color rgb="FF000000"/>
            <rFont val="Calibri"/>
            <family val="34"/>
          </rPr>
          <t xml:space="preserve">01/09/1795 Krank in Pavia [ST Sept 1795]
</t>
        </r>
        <r>
          <rPr>
            <sz val="14"/>
            <color rgb="FF000000"/>
            <rFont val="Calibri"/>
            <family val="34"/>
          </rPr>
          <t>18/11/1795 in Pavia Gestorben [ST Nov 1795 &amp; ML 1798]</t>
        </r>
      </text>
    </comment>
    <comment ref="BG53" authorId="0" shapeId="0" xr:uid="{7F676BAB-EE50-2B40-9DF7-40E7EF46DC6B}">
      <text>
        <r>
          <rPr>
            <sz val="14"/>
            <color rgb="FF000000"/>
            <rFont val="Calibri"/>
            <family val="34"/>
          </rPr>
          <t xml:space="preserve">ML 3906 IR 44 (1795) Heft von Vacant (Haupt Renschberg) Comp Nr. 126 (Pavia 21/05/1795)
</t>
        </r>
        <r>
          <rPr>
            <sz val="14"/>
            <color rgb="FF000000"/>
            <rFont val="Calibri"/>
            <family val="34"/>
          </rPr>
          <t xml:space="preserve">ML 3907 IR 44 (1798) Heft von Haupt Albanico Comp – Abgang (Triest 10/05/1798)
</t>
        </r>
        <r>
          <rPr>
            <sz val="14"/>
            <color rgb="FF000000"/>
            <rFont val="Calibri"/>
            <family val="34"/>
          </rPr>
          <t xml:space="preserve">ML 3938 IR 44 (1795) ST Haupt Jahn Sept (Milan 04/11/1795) und Nov (Milan 08/01/1796)
</t>
        </r>
      </text>
    </comment>
    <comment ref="BH53" authorId="0" shapeId="0" xr:uid="{7A3B377F-C859-EA42-9A83-5B66F8A4E4EA}">
      <text>
        <r>
          <rPr>
            <sz val="14"/>
            <color rgb="FF000000"/>
            <rFont val="Calibri"/>
            <family val="34"/>
          </rPr>
          <t>IR 44 (1794-1795)</t>
        </r>
      </text>
    </comment>
    <comment ref="BF54" authorId="0" shapeId="0" xr:uid="{90B8E7EA-D6A0-0E4B-A245-25A279C24064}">
      <text>
        <r>
          <rPr>
            <sz val="14"/>
            <color rgb="FF000000"/>
            <rFont val="Times New Roman"/>
            <family val="18"/>
          </rPr>
          <t xml:space="preserve">25/09/1795 </t>
        </r>
        <r>
          <rPr>
            <i/>
            <sz val="14"/>
            <color rgb="FF000000"/>
            <rFont val="Times New Roman"/>
            <family val="18"/>
          </rPr>
          <t>Von Gallizische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Lieb. Komp. Nr. 88 [</t>
        </r>
        <r>
          <rPr>
            <i/>
            <sz val="14"/>
            <color rgb="FF000000"/>
            <rFont val="Times New Roman"/>
            <family val="18"/>
          </rPr>
          <t>Beurlaubt zu Hermanowitz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r>
          <rPr>
            <sz val="14"/>
            <color rgb="FF000000"/>
            <rFont val="Calibri"/>
            <family val="34"/>
          </rPr>
          <t xml:space="preserve">
</t>
        </r>
      </text>
    </comment>
    <comment ref="BG54" authorId="0" shapeId="0" xr:uid="{9844CEBB-E4C7-8347-8155-C5A479B652EB}">
      <text>
        <r>
          <rPr>
            <sz val="14"/>
            <color rgb="FF000000"/>
            <rFont val="Times New Roman"/>
            <family val="18"/>
          </rPr>
          <t>ML 5015 IR 59 (1803) – Lieb Komp. Nr. 88 (Enns 29/08/1803)</t>
        </r>
        <r>
          <rPr>
            <sz val="14"/>
            <color rgb="FF000000"/>
            <rFont val="Calibri"/>
            <family val="34"/>
          </rPr>
          <t xml:space="preserve">
</t>
        </r>
        <r>
          <rPr>
            <sz val="14"/>
            <color rgb="FF000000"/>
            <rFont val="Times New Roman"/>
            <family val="18"/>
          </rPr>
          <t>ML 5016 IR 59 (1804) – Lieb Komp. Abgang (Innsbruck 03/09/1804)</t>
        </r>
        <r>
          <rPr>
            <sz val="14"/>
            <color rgb="FF000000"/>
            <rFont val="Calibri"/>
            <family val="34"/>
          </rPr>
          <t xml:space="preserve">
</t>
        </r>
      </text>
    </comment>
    <comment ref="BH54" authorId="0" shapeId="0" xr:uid="{AD9C198C-3B96-4F4E-94F8-8E05CCFFAA1A}">
      <text>
        <r>
          <rPr>
            <sz val="14"/>
            <color rgb="FF000000"/>
            <rFont val="Calibri"/>
            <family val="34"/>
          </rPr>
          <t>IR 59 (1795-1803)</t>
        </r>
      </text>
    </comment>
    <comment ref="BF55" authorId="0" shapeId="0" xr:uid="{613CBD36-C009-E24E-8E73-4DD8BC925B16}">
      <text>
        <r>
          <rPr>
            <sz val="14"/>
            <color rgb="FF000000"/>
            <rFont val="Times New Roman"/>
            <family val="18"/>
          </rPr>
          <t xml:space="preserve">21/03/1796 </t>
        </r>
        <r>
          <rPr>
            <i/>
            <sz val="14"/>
            <color rgb="FF000000"/>
            <rFont val="Times New Roman"/>
            <family val="18"/>
          </rPr>
          <t>Gegen 10 Gulden Werbgeld in Lemberg ins Grün Loudon Frey Corps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Quenaudon Komp. Nr. 119</t>
        </r>
        <r>
          <rPr>
            <sz val="14"/>
            <color rgb="FF000000"/>
            <rFont val="Calibri"/>
            <family val="34"/>
          </rPr>
          <t xml:space="preserve">
</t>
        </r>
        <r>
          <rPr>
            <sz val="14"/>
            <color rgb="FF000000"/>
            <rFont val="Times New Roman"/>
            <family val="18"/>
          </rPr>
          <t>07/03/1798 Revision: FK Grün Loudon Haupt Quenaudon Komp. Nr. 104</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4 Haupt Quenaudon Komp. Nr. 100 [</t>
        </r>
        <r>
          <rPr>
            <i/>
            <sz val="14"/>
            <color rgb="FF000000"/>
            <rFont val="Times New Roman"/>
            <family val="18"/>
          </rPr>
          <t>Auf der Vieh Wacht</t>
        </r>
        <r>
          <rPr>
            <sz val="14"/>
            <color rgb="FF000000"/>
            <rFont val="Times New Roman"/>
            <family val="18"/>
          </rPr>
          <t>]</t>
        </r>
        <r>
          <rPr>
            <sz val="14"/>
            <color rgb="FF000000"/>
            <rFont val="Calibri"/>
            <family val="34"/>
          </rPr>
          <t xml:space="preserve">
</t>
        </r>
        <r>
          <rPr>
            <sz val="14"/>
            <color rgb="FF000000"/>
            <rFont val="Times New Roman"/>
            <family val="18"/>
          </rPr>
          <t>22/01/1799 Revision: LB 4 Haupt Quenaudon Komp. Nr. 98 [</t>
        </r>
        <r>
          <rPr>
            <i/>
            <sz val="14"/>
            <color rgb="FF000000"/>
            <rFont val="Times New Roman"/>
            <family val="18"/>
          </rPr>
          <t>Commandiert beim Schlacht Vieh</t>
        </r>
        <r>
          <rPr>
            <sz val="14"/>
            <color rgb="FF000000"/>
            <rFont val="Times New Roman"/>
            <family val="18"/>
          </rPr>
          <t>]</t>
        </r>
        <r>
          <rPr>
            <sz val="14"/>
            <color rgb="FF000000"/>
            <rFont val="Calibri"/>
            <family val="34"/>
          </rPr>
          <t xml:space="preserve">
</t>
        </r>
        <r>
          <rPr>
            <sz val="14"/>
            <color rgb="FF000000"/>
            <rFont val="Times New Roman"/>
            <family val="18"/>
          </rPr>
          <t>03/04/1799 Revision: LB 4 Haupt Quenaudon Komp. Nr. 138 [</t>
        </r>
        <r>
          <rPr>
            <i/>
            <sz val="14"/>
            <color rgb="FF000000"/>
            <rFont val="Times New Roman"/>
            <family val="18"/>
          </rPr>
          <t>Krank in Spital</t>
        </r>
        <r>
          <rPr>
            <sz val="14"/>
            <color rgb="FF000000"/>
            <rFont val="Times New Roman"/>
            <family val="18"/>
          </rPr>
          <t>]</t>
        </r>
        <r>
          <rPr>
            <sz val="14"/>
            <color rgb="FF000000"/>
            <rFont val="Calibri"/>
            <family val="34"/>
          </rPr>
          <t xml:space="preserve">
</t>
        </r>
        <r>
          <rPr>
            <sz val="14"/>
            <color rgb="FF000000"/>
            <rFont val="Times New Roman"/>
            <family val="18"/>
          </rPr>
          <t xml:space="preserve">29/08/1800 </t>
        </r>
        <r>
          <rPr>
            <i/>
            <sz val="14"/>
            <color rgb="FF000000"/>
            <rFont val="Times New Roman"/>
            <family val="18"/>
          </rPr>
          <t>In Spital zu Este gestorben</t>
        </r>
        <r>
          <rPr>
            <sz val="14"/>
            <color rgb="FF000000"/>
            <rFont val="Times New Roman"/>
            <family val="18"/>
          </rPr>
          <t xml:space="preserve"> [RL 1801]</t>
        </r>
        <r>
          <rPr>
            <sz val="14"/>
            <color rgb="FF000000"/>
            <rFont val="Calibri"/>
            <family val="34"/>
          </rPr>
          <t xml:space="preserve">
</t>
        </r>
      </text>
    </comment>
    <comment ref="BG55" authorId="0" shapeId="0" xr:uid="{21041F7B-D429-1749-A63D-6E57961AD54B}">
      <text>
        <r>
          <rPr>
            <sz val="14"/>
            <color rgb="FF000000"/>
            <rFont val="Times New Roman"/>
            <family val="18"/>
          </rPr>
          <t>ML 10.763 FK Grün Laudon (1797-98) – RL Haupt Quenaudon Komp. Nr. 119 (Maria Saal 19/06/1797); RL Haupt Quenaudon Komp. Nr. 104 (Rovigo 07/03/1798)</t>
        </r>
        <r>
          <rPr>
            <sz val="14"/>
            <color rgb="FF000000"/>
            <rFont val="Calibri"/>
            <family val="34"/>
          </rPr>
          <t xml:space="preserve">
</t>
        </r>
        <r>
          <rPr>
            <sz val="14"/>
            <color rgb="FF000000"/>
            <rFont val="Times New Roman"/>
            <family val="18"/>
          </rPr>
          <t xml:space="preserve">ML 10.630 LB 4 (1798-1801) – 1798 RL Haupt Quenaudon Komp. Nr. 100 (Rovigo 30/06/1798); 1799 RL Haupt Quenaudon Komp. Nr. 98 (Rovigo 22/01/1799); RL Haupt Quenaudon Nr. 138 (Pisa 04/03/1800); RL Haupt Löwel Abgang (Furracio 28/08/1801) </t>
        </r>
        <r>
          <rPr>
            <sz val="14"/>
            <color rgb="FF000000"/>
            <rFont val="Calibri"/>
            <family val="34"/>
          </rPr>
          <t xml:space="preserve">
</t>
        </r>
      </text>
    </comment>
    <comment ref="BH55" authorId="0" shapeId="0" xr:uid="{758B0002-CFF5-5B46-B0C2-F89671F633CE}">
      <text>
        <r>
          <rPr>
            <sz val="14"/>
            <color rgb="FF000000"/>
            <rFont val="Times New Roman"/>
            <family val="18"/>
          </rPr>
          <t xml:space="preserve">FK Grün Loudon (1796-1798)
</t>
        </r>
        <r>
          <rPr>
            <sz val="14"/>
            <color rgb="FF000000"/>
            <rFont val="Times New Roman"/>
            <family val="18"/>
          </rPr>
          <t>LB 4 (1798-1800)</t>
        </r>
      </text>
    </comment>
    <comment ref="BF56" authorId="0" shapeId="0" xr:uid="{8BE6643B-4EE1-4A40-A822-BD18EE232C00}">
      <text>
        <r>
          <rPr>
            <sz val="14"/>
            <color rgb="FF000000"/>
            <rFont val="Times New Roman"/>
            <family val="18"/>
          </rPr>
          <t xml:space="preserve">21/03/1796 </t>
        </r>
        <r>
          <rPr>
            <i/>
            <sz val="14"/>
            <color rgb="FF000000"/>
            <rFont val="Times New Roman"/>
            <family val="18"/>
          </rPr>
          <t>Gegen 10 Gulden Werbgeld [5Fl Handgeld, 2Fl Anbringsgeld und 3Fl Sonstige Unkosten] in Brody ins Grün Loudon Frey Corps auf Beständig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29/07/1796 </t>
        </r>
        <r>
          <rPr>
            <i/>
            <sz val="14"/>
            <color rgb="FF000000"/>
            <rFont val="Times New Roman"/>
            <family val="18"/>
          </rPr>
          <t xml:space="preserve">Auf Marsch Desertiert </t>
        </r>
        <r>
          <rPr>
            <sz val="14"/>
            <color rgb="FF000000"/>
            <rFont val="Times New Roman"/>
            <family val="18"/>
          </rPr>
          <t>[RL June 1797]</t>
        </r>
        <r>
          <rPr>
            <sz val="14"/>
            <color rgb="FF000000"/>
            <rFont val="Calibri"/>
            <family val="34"/>
          </rPr>
          <t xml:space="preserve">
</t>
        </r>
        <r>
          <rPr>
            <sz val="14"/>
            <color rgb="FF000000"/>
            <rFont val="Calibri"/>
            <family val="34"/>
          </rPr>
          <t xml:space="preserve">
</t>
        </r>
      </text>
    </comment>
    <comment ref="BG56" authorId="0" shapeId="0" xr:uid="{506AD962-E7E2-334E-96F2-7B894B903078}">
      <text>
        <r>
          <rPr>
            <sz val="14"/>
            <color rgb="FF000000"/>
            <rFont val="Times New Roman"/>
            <family val="18"/>
          </rPr>
          <t>ML 10.763 FK Grün Laudon (1797-98) – RL Haupt Schligtig - Abgang (Maria Saal 19/06/1797)</t>
        </r>
        <r>
          <rPr>
            <sz val="14"/>
            <color rgb="FF000000"/>
            <rFont val="Calibri"/>
            <family val="34"/>
          </rPr>
          <t xml:space="preserve">
</t>
        </r>
        <r>
          <rPr>
            <sz val="14"/>
            <color rgb="FF000000"/>
            <rFont val="Times New Roman"/>
            <family val="18"/>
          </rPr>
          <t>ML 10.771 FK Grün Laudon (1796-7) – AL Nr. 1 (Brody 07/04/1796)</t>
        </r>
        <r>
          <rPr>
            <sz val="14"/>
            <color rgb="FF000000"/>
            <rFont val="Calibri"/>
            <family val="34"/>
          </rPr>
          <t xml:space="preserve">
</t>
        </r>
      </text>
    </comment>
    <comment ref="BH56" authorId="0" shapeId="0" xr:uid="{AC2C4237-3AC7-1246-8910-EE728CB580DE}">
      <text>
        <r>
          <rPr>
            <sz val="14"/>
            <color rgb="FF000000"/>
            <rFont val="Times New Roman"/>
            <family val="18"/>
          </rPr>
          <t xml:space="preserve">FK Grün Loudon </t>
        </r>
        <r>
          <rPr>
            <sz val="14"/>
            <color rgb="FF000000"/>
            <rFont val="Calibri"/>
            <family val="34"/>
          </rPr>
          <t>(1796)</t>
        </r>
      </text>
    </comment>
    <comment ref="I57" authorId="0" shapeId="0" xr:uid="{8E3909FF-A2EE-7247-A58F-A713A2B580CC}">
      <text>
        <r>
          <rPr>
            <sz val="14"/>
            <color rgb="FF000000"/>
            <rFont val="Calibri"/>
            <family val="34"/>
          </rPr>
          <t xml:space="preserve">1772 [30 (1802)] 
</t>
        </r>
        <r>
          <rPr>
            <sz val="14"/>
            <color rgb="FF000000"/>
            <rFont val="Calibri"/>
            <family val="34"/>
          </rPr>
          <t xml:space="preserve">OR 
</t>
        </r>
        <r>
          <rPr>
            <sz val="14"/>
            <color rgb="FF000000"/>
            <rFont val="Calibri"/>
            <family val="34"/>
          </rPr>
          <t>1776 [20 (1796)]</t>
        </r>
      </text>
    </comment>
    <comment ref="BF57" authorId="0" shapeId="0" xr:uid="{9CC691E9-E93F-EE48-AEF9-3784A9BE7C04}">
      <text>
        <r>
          <rPr>
            <sz val="14"/>
            <color rgb="FF000000"/>
            <rFont val="Times New Roman"/>
            <family val="18"/>
          </rPr>
          <t xml:space="preserve">26/03/1796 </t>
        </r>
        <r>
          <rPr>
            <i/>
            <sz val="14"/>
            <color rgb="FF000000"/>
            <rFont val="Times New Roman"/>
            <family val="18"/>
          </rPr>
          <t xml:space="preserve">Gegen 10 Gulden Werbgeld [3Fl Handgeld, 2Fl Anbringsgeld und 5Fl Sonstige Unkosten] auf Beständig zu Brody </t>
        </r>
        <r>
          <rPr>
            <b/>
            <sz val="14"/>
            <color rgb="FF000000"/>
            <rFont val="Times New Roman"/>
            <family val="18"/>
          </rPr>
          <t>[</t>
        </r>
        <r>
          <rPr>
            <b/>
            <u/>
            <sz val="14"/>
            <color rgb="FF0563C1"/>
            <rFont val="Times New Roman"/>
            <family val="18"/>
          </rPr>
          <t>Brody, Ukraine</t>
        </r>
        <r>
          <rPr>
            <b/>
            <sz val="14"/>
            <color rgb="FF000000"/>
            <rFont val="Times New Roman"/>
            <family val="18"/>
          </rPr>
          <t>]</t>
        </r>
        <r>
          <rPr>
            <i/>
            <sz val="14"/>
            <color rgb="FF000000"/>
            <rFont val="Times New Roman"/>
            <family val="18"/>
          </rPr>
          <t xml:space="preserve"> ins Grün Loudon Frey Corps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19/06/1797 Revision: FK Grün Loudon Sichtig Comp Nr. 102</t>
        </r>
        <r>
          <rPr>
            <sz val="14"/>
            <color rgb="FF000000"/>
            <rFont val="Calibri"/>
            <family val="34"/>
          </rPr>
          <t xml:space="preserve">
</t>
        </r>
        <r>
          <rPr>
            <sz val="14"/>
            <color rgb="FF000000"/>
            <rFont val="Times New Roman"/>
            <family val="18"/>
          </rPr>
          <t xml:space="preserve">22/08/1797 </t>
        </r>
        <r>
          <rPr>
            <i/>
            <sz val="14"/>
            <color rgb="FF000000"/>
            <rFont val="Times New Roman"/>
            <family val="18"/>
          </rPr>
          <t xml:space="preserve">Zu Travis </t>
        </r>
        <r>
          <rPr>
            <b/>
            <sz val="14"/>
            <color rgb="FF000000"/>
            <rFont val="Times New Roman"/>
            <family val="18"/>
          </rPr>
          <t>[</t>
        </r>
        <r>
          <rPr>
            <b/>
            <u/>
            <sz val="14"/>
            <color rgb="FF0563C1"/>
            <rFont val="Times New Roman"/>
            <family val="18"/>
          </rPr>
          <t>Treviso, Italy</t>
        </r>
        <r>
          <rPr>
            <b/>
            <sz val="14"/>
            <color rgb="FF000000"/>
            <rFont val="Times New Roman"/>
            <family val="18"/>
          </rPr>
          <t>]</t>
        </r>
        <r>
          <rPr>
            <sz val="14"/>
            <color rgb="FF000000"/>
            <rFont val="Times New Roman"/>
            <family val="18"/>
          </rPr>
          <t xml:space="preserve"> </t>
        </r>
        <r>
          <rPr>
            <i/>
            <sz val="14"/>
            <color rgb="FF000000"/>
            <rFont val="Times New Roman"/>
            <family val="18"/>
          </rPr>
          <t>Superarbietriert</t>
        </r>
        <r>
          <rPr>
            <sz val="14"/>
            <color rgb="FF000000"/>
            <rFont val="Times New Roman"/>
            <family val="18"/>
          </rPr>
          <t xml:space="preserve">: </t>
        </r>
        <r>
          <rPr>
            <i/>
            <sz val="14"/>
            <color rgb="FF000000"/>
            <rFont val="Times New Roman"/>
            <family val="18"/>
          </rPr>
          <t>Auf die Linke Auge teils Blind und unvermögend Urin zu Halten</t>
        </r>
        <r>
          <rPr>
            <sz val="14"/>
            <color rgb="FF000000"/>
            <rFont val="Times New Roman"/>
            <family val="18"/>
          </rPr>
          <t xml:space="preserve"> [SUP 1797]</t>
        </r>
        <r>
          <rPr>
            <sz val="14"/>
            <color rgb="FF000000"/>
            <rFont val="Calibri"/>
            <family val="34"/>
          </rPr>
          <t xml:space="preserve">
</t>
        </r>
        <r>
          <rPr>
            <sz val="14"/>
            <color rgb="FF000000"/>
            <rFont val="Times New Roman"/>
            <family val="18"/>
          </rPr>
          <t xml:space="preserve">31/08/1797 </t>
        </r>
        <r>
          <rPr>
            <i/>
            <sz val="14"/>
            <color rgb="FF000000"/>
            <rFont val="Times New Roman"/>
            <family val="18"/>
          </rPr>
          <t>Von FK Grün Loudon Haupt Schligtig Comp. Zum</t>
        </r>
        <r>
          <rPr>
            <sz val="14"/>
            <color rgb="FF000000"/>
            <rFont val="Times New Roman"/>
            <family val="18"/>
          </rPr>
          <t xml:space="preserve"> </t>
        </r>
        <r>
          <rPr>
            <b/>
            <sz val="14"/>
            <color rgb="FF000000"/>
            <rFont val="Times New Roman"/>
            <family val="18"/>
          </rPr>
          <t>2. GarRgt</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Conduite: </t>
        </r>
        <r>
          <rPr>
            <i/>
            <sz val="14"/>
            <color rgb="FF000000"/>
            <rFont val="Times New Roman"/>
            <family val="18"/>
          </rPr>
          <t xml:space="preserve">Mittelmäßig </t>
        </r>
        <r>
          <rPr>
            <sz val="14"/>
            <color rgb="FF000000"/>
            <rFont val="Times New Roman"/>
            <family val="18"/>
          </rPr>
          <t>[RL 1798]</t>
        </r>
        <r>
          <rPr>
            <sz val="14"/>
            <color rgb="FF000000"/>
            <rFont val="Calibri"/>
            <family val="34"/>
          </rPr>
          <t xml:space="preserve">
</t>
        </r>
        <r>
          <rPr>
            <sz val="14"/>
            <color rgb="FF000000"/>
            <rFont val="Times New Roman"/>
            <family val="18"/>
          </rPr>
          <t xml:space="preserve">01/11/1798 </t>
        </r>
        <r>
          <rPr>
            <i/>
            <sz val="14"/>
            <color rgb="FF000000"/>
            <rFont val="Times New Roman"/>
            <family val="18"/>
          </rPr>
          <t>Von ObristLt Bataillon zum Haupt Maindel Komp. transferiert</t>
        </r>
        <r>
          <rPr>
            <sz val="14"/>
            <color rgb="FF000000"/>
            <rFont val="Times New Roman"/>
            <family val="18"/>
          </rPr>
          <t xml:space="preserve"> [GB 1798-1801]</t>
        </r>
        <r>
          <rPr>
            <sz val="14"/>
            <color rgb="FF000000"/>
            <rFont val="Calibri"/>
            <family val="34"/>
          </rPr>
          <t xml:space="preserve">
</t>
        </r>
        <r>
          <rPr>
            <sz val="14"/>
            <color rgb="FF000000"/>
            <rFont val="Times New Roman"/>
            <family val="18"/>
          </rPr>
          <t>26/02/1802 Muster: GR 2 Haupt Haupt Söhnel Komp. Nr. 122 [</t>
        </r>
        <r>
          <rPr>
            <i/>
            <sz val="14"/>
            <color rgb="FF000000"/>
            <rFont val="Times New Roman"/>
            <family val="18"/>
          </rPr>
          <t>Arrestant</t>
        </r>
        <r>
          <rPr>
            <sz val="14"/>
            <color rgb="FF000000"/>
            <rFont val="Times New Roman"/>
            <family val="18"/>
          </rPr>
          <t>]</t>
        </r>
        <r>
          <rPr>
            <sz val="14"/>
            <color rgb="FF000000"/>
            <rFont val="Calibri"/>
            <family val="34"/>
          </rPr>
          <t xml:space="preserve">
</t>
        </r>
        <r>
          <rPr>
            <sz val="14"/>
            <color rgb="FF000000"/>
            <rFont val="Times New Roman"/>
            <family val="18"/>
          </rPr>
          <t xml:space="preserve">10/11/1802 </t>
        </r>
        <r>
          <rPr>
            <i/>
            <sz val="14"/>
            <color rgb="FF000000"/>
            <rFont val="Times New Roman"/>
            <family val="18"/>
          </rPr>
          <t xml:space="preserve">Aus Tartakof  </t>
        </r>
        <r>
          <rPr>
            <b/>
            <sz val="14"/>
            <color rgb="FF000000"/>
            <rFont val="Times New Roman"/>
            <family val="18"/>
          </rPr>
          <t>[</t>
        </r>
        <r>
          <rPr>
            <b/>
            <u/>
            <sz val="14"/>
            <color rgb="FF0563C1"/>
            <rFont val="Times New Roman"/>
            <family val="18"/>
          </rPr>
          <t>Tartakiv, Ukraine</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57" authorId="0" shapeId="0" xr:uid="{D296F3F7-55DD-814D-AF2E-4A199E17848A}">
      <text>
        <r>
          <rPr>
            <sz val="14"/>
            <color rgb="FF000000"/>
            <rFont val="Times New Roman"/>
            <family val="18"/>
          </rPr>
          <t xml:space="preserve">ML 10.763 FK Grün Laudon (1797-98) – RL Haupt Schligtig Nr. 102 (Maria Saal 19/06/1797); RL Vacant [Schligtig] Komp. - Abgang (Rovigo 07/03/1798)
</t>
        </r>
        <r>
          <rPr>
            <sz val="14"/>
            <color rgb="FF000000"/>
            <rFont val="Times New Roman"/>
            <family val="18"/>
          </rPr>
          <t xml:space="preserve">ML 10.771 FK Grün Laudon (1796-7) – AL Nr. 4 (Brody 07/04/1796); TL FK GrLaud-&gt; GR 2. Nr. 25
</t>
        </r>
        <r>
          <rPr>
            <sz val="14"/>
            <color rgb="FF000000"/>
            <rFont val="Times New Roman"/>
            <family val="18"/>
          </rPr>
          <t xml:space="preserve">ML 11.183 GR 2 (1802) – Haupt Söhnel Komp. Nr. 122 (Sokal 26/08/1802)
</t>
        </r>
        <r>
          <rPr>
            <sz val="14"/>
            <color rgb="FF000000"/>
            <rFont val="Times New Roman"/>
            <family val="18"/>
          </rPr>
          <t xml:space="preserve">ML 11.184 GR 2 (1803) – Haupt Söhnel Komp. abgang (Sokal 01/09/1803)
</t>
        </r>
        <r>
          <rPr>
            <sz val="14"/>
            <color rgb="FF000000"/>
            <rFont val="Times New Roman"/>
            <family val="18"/>
          </rPr>
          <t xml:space="preserve">ML 11.211 GR 2 (1798-1801) – GB Litt. F ‚FURGEL, Simon‘
</t>
        </r>
      </text>
    </comment>
    <comment ref="BH57" authorId="0" shapeId="0" xr:uid="{0CEAA539-D703-1243-81A8-C2D991818FF6}">
      <text>
        <r>
          <rPr>
            <sz val="14"/>
            <color rgb="FF000000"/>
            <rFont val="Times New Roman"/>
            <family val="18"/>
          </rPr>
          <t xml:space="preserve">FK Grün Loudon (1796-1797)
</t>
        </r>
        <r>
          <rPr>
            <sz val="14"/>
            <color rgb="FF000000"/>
            <rFont val="Times New Roman"/>
            <family val="18"/>
          </rPr>
          <t>GR 2 (1797-1802)</t>
        </r>
      </text>
    </comment>
    <comment ref="BF58" authorId="0" shapeId="0" xr:uid="{F91B85D2-BEA9-6545-907D-28D1692D2059}">
      <text>
        <r>
          <rPr>
            <sz val="14"/>
            <color rgb="FF000000"/>
            <rFont val="Times New Roman"/>
            <family val="18"/>
          </rPr>
          <t xml:space="preserve">26/03/1796 </t>
        </r>
        <r>
          <rPr>
            <i/>
            <sz val="14"/>
            <color rgb="FF000000"/>
            <rFont val="Times New Roman"/>
            <family val="18"/>
          </rPr>
          <t>Gegen 10 Gulden Werbgeld [3Fl Handgeld, 2Fl Anbringsgeld und 5Fl Sonstige Unkosten] auf Beständig zu Brody ins Grün Loudon Frey Corps Assentiert</t>
        </r>
        <r>
          <rPr>
            <sz val="14"/>
            <color rgb="FF000000"/>
            <rFont val="Times New Roman"/>
            <family val="18"/>
          </rPr>
          <t xml:space="preserve"> [AL April 1796]
</t>
        </r>
        <r>
          <rPr>
            <sz val="14"/>
            <color rgb="FF000000"/>
            <rFont val="Times New Roman"/>
            <family val="18"/>
          </rPr>
          <t xml:space="preserve">19/06/1797 Revision: FK Grün Laudon Sichtig Komp Nr. 100
</t>
        </r>
        <r>
          <rPr>
            <sz val="14"/>
            <color rgb="FF000000"/>
            <rFont val="Times New Roman"/>
            <family val="18"/>
          </rPr>
          <t xml:space="preserve">07/03/1798 Revision: FK Grün Laudon Vacant [Haupt Sichtig] Komp. Nr. 85
</t>
        </r>
        <r>
          <rPr>
            <sz val="14"/>
            <color rgb="FF000000"/>
            <rFont val="Times New Roman"/>
            <family val="18"/>
          </rPr>
          <t xml:space="preserve">01/07/1798 </t>
        </r>
        <r>
          <rPr>
            <i/>
            <sz val="14"/>
            <color rgb="FF000000"/>
            <rFont val="Times New Roman"/>
            <family val="18"/>
          </rPr>
          <t>Von FK Grün Laudon zum LB 4 transferiert</t>
        </r>
        <r>
          <rPr>
            <sz val="14"/>
            <color rgb="FF000000"/>
            <rFont val="Times New Roman"/>
            <family val="18"/>
          </rPr>
          <t xml:space="preserve"> [RL 1799]
</t>
        </r>
        <r>
          <rPr>
            <sz val="14"/>
            <color rgb="FF000000"/>
            <rFont val="Times New Roman"/>
            <family val="18"/>
          </rPr>
          <t xml:space="preserve">22/01/1799 Revision: LB 4 Haupt Schmiltz Komp. Nr. 84
</t>
        </r>
        <r>
          <rPr>
            <sz val="14"/>
            <color rgb="FF000000"/>
            <rFont val="Times New Roman"/>
            <family val="18"/>
          </rPr>
          <t xml:space="preserve">04/03/1800 Revision: LB 4 Haupt Schmiltz Komp. Nr. 44
</t>
        </r>
        <r>
          <rPr>
            <sz val="14"/>
            <color rgb="FF000000"/>
            <rFont val="Times New Roman"/>
            <family val="18"/>
          </rPr>
          <t>28/08/1801 Reduction: LB 4 Haupt Schmiltz Komp. Nr. 23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Dissolvierte LB 4 zum IR 13 transferiert und zur Haupt Niederreither Komp. eingeteilt</t>
        </r>
        <r>
          <rPr>
            <sz val="14"/>
            <color rgb="FF000000"/>
            <rFont val="Times New Roman"/>
            <family val="18"/>
          </rPr>
          <t xml:space="preserve"> [ML 1802]
</t>
        </r>
        <r>
          <rPr>
            <sz val="14"/>
            <color rgb="FF000000"/>
            <rFont val="Times New Roman"/>
            <family val="18"/>
          </rPr>
          <t>22/09/1802 Muster: IR 13 Haupt Niederreither Komp. Nr. 103 [</t>
        </r>
        <r>
          <rPr>
            <i/>
            <sz val="14"/>
            <color rgb="FF000000"/>
            <rFont val="Times New Roman"/>
            <family val="18"/>
          </rPr>
          <t>Krank zu Rovingo</t>
        </r>
        <r>
          <rPr>
            <sz val="14"/>
            <color rgb="FF000000"/>
            <rFont val="Times New Roman"/>
            <family val="18"/>
          </rPr>
          <t xml:space="preserve">]
</t>
        </r>
        <r>
          <rPr>
            <sz val="14"/>
            <color rgb="FF000000"/>
            <rFont val="Times New Roman"/>
            <family val="18"/>
          </rPr>
          <t>24/09/1803 Muster: IR 13 Haupt Niederreither Komp. Nr. 84 [</t>
        </r>
        <r>
          <rPr>
            <i/>
            <sz val="14"/>
            <color rgb="FF000000"/>
            <rFont val="Times New Roman"/>
            <family val="18"/>
          </rPr>
          <t>Auf unbestimmte Zeit beurlaubt in seinem Geburtsort</t>
        </r>
        <r>
          <rPr>
            <sz val="14"/>
            <color rgb="FF000000"/>
            <rFont val="Times New Roman"/>
            <family val="18"/>
          </rPr>
          <t xml:space="preserve">]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 </t>
        </r>
      </text>
    </comment>
    <comment ref="BG58" authorId="0" shapeId="0" xr:uid="{7966EBEE-0EAF-4447-BF4D-207F125C0D5D}">
      <text>
        <r>
          <rPr>
            <sz val="14"/>
            <color rgb="FF000000"/>
            <rFont val="Times New Roman"/>
            <family val="18"/>
          </rPr>
          <t>ML 10.763 FK Grün Laudon (1797-98) – RL Haupt Platten Komp. Nr. 182 (Maria Saal 19/06/1797); RL Haupt Platten Nr. 151</t>
        </r>
        <r>
          <rPr>
            <sz val="14"/>
            <color rgb="FF000000"/>
            <rFont val="Calibri"/>
            <family val="34"/>
          </rPr>
          <t xml:space="preserve">
</t>
        </r>
        <r>
          <rPr>
            <sz val="14"/>
            <color rgb="FF000000"/>
            <rFont val="Times New Roman"/>
            <family val="18"/>
          </rPr>
          <t>ML 10.771 FK Grün Laudon (1796-7) – AL Nr. 3 (Brody 07/04/1796)</t>
        </r>
        <r>
          <rPr>
            <sz val="14"/>
            <color rgb="FF000000"/>
            <rFont val="Calibri"/>
            <family val="34"/>
          </rPr>
          <t xml:space="preserve">
</t>
        </r>
        <r>
          <rPr>
            <sz val="14"/>
            <color rgb="FF000000"/>
            <rFont val="Times New Roman"/>
            <family val="18"/>
          </rPr>
          <t>ML 10.630 LB 4 (1798-1801) – 1799 RL  Haupt Platten Komp. Nr. 129 (Rovigo 22/01/1799); RL Haupt Graurock Abgang (Pisa 04/03/1800)</t>
        </r>
        <r>
          <rPr>
            <sz val="14"/>
            <color rgb="FF000000"/>
            <rFont val="Calibri"/>
            <family val="34"/>
          </rPr>
          <t xml:space="preserve">
</t>
        </r>
      </text>
    </comment>
    <comment ref="BH58" authorId="0" shapeId="0" xr:uid="{57E79CFF-86C5-4042-B98C-C890B8D01FCC}">
      <text>
        <r>
          <rPr>
            <sz val="14"/>
            <color rgb="FF000000"/>
            <rFont val="Times New Roman"/>
            <family val="18"/>
          </rPr>
          <t xml:space="preserve">FK Grün Loudon (1796-1798)
</t>
        </r>
        <r>
          <rPr>
            <sz val="14"/>
            <color rgb="FF000000"/>
            <rFont val="Times New Roman"/>
            <family val="18"/>
          </rPr>
          <t>LB 4 (1798-1799)</t>
        </r>
      </text>
    </comment>
    <comment ref="I59" authorId="0" shapeId="0" xr:uid="{651E7DC6-447A-9147-801E-F8416D2A7846}">
      <text>
        <r>
          <rPr>
            <sz val="14"/>
            <color rgb="FF000000"/>
            <rFont val="Calibri"/>
            <family val="34"/>
          </rPr>
          <t xml:space="preserve">1768 [34 (1802)] 
</t>
        </r>
        <r>
          <rPr>
            <sz val="14"/>
            <color rgb="FF000000"/>
            <rFont val="Calibri"/>
            <family val="34"/>
          </rPr>
          <t xml:space="preserve">OR 
</t>
        </r>
        <r>
          <rPr>
            <sz val="14"/>
            <color rgb="FF000000"/>
            <rFont val="Calibri"/>
            <family val="34"/>
          </rPr>
          <t>1776 [20 (1796)]</t>
        </r>
      </text>
    </comment>
    <comment ref="T59" authorId="0" shapeId="0" xr:uid="{378FCB14-C584-C048-A555-DB9471948B72}">
      <text>
        <r>
          <rPr>
            <sz val="14"/>
            <color rgb="FF000000"/>
            <rFont val="Calibri"/>
            <family val="34"/>
          </rPr>
          <t xml:space="preserve">4.11 [155.3 cm] (1802)
</t>
        </r>
        <r>
          <rPr>
            <sz val="14"/>
            <color rgb="FF000000"/>
            <rFont val="Calibri"/>
            <family val="34"/>
          </rPr>
          <t>5.2 [163.26 cm] (1796)</t>
        </r>
      </text>
    </comment>
    <comment ref="BF59" authorId="0" shapeId="0" xr:uid="{22DEA72B-A4F4-824D-B960-708179E0E154}">
      <text>
        <r>
          <rPr>
            <sz val="14"/>
            <color rgb="FF000000"/>
            <rFont val="Times New Roman"/>
            <family val="18"/>
          </rPr>
          <t xml:space="preserve">13/04/1796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 xml:space="preserve">[ML 1802]
</t>
        </r>
        <r>
          <rPr>
            <sz val="14"/>
            <color rgb="FF000000"/>
            <rFont val="Times New Roman"/>
            <family val="18"/>
          </rPr>
          <t xml:space="preserve">19/06/1797 Revision: FK Grün Loudon Haupt Platten Komp. Nr. 129
</t>
        </r>
        <r>
          <rPr>
            <sz val="14"/>
            <color rgb="FF000000"/>
            <rFont val="Times New Roman"/>
            <family val="18"/>
          </rPr>
          <t xml:space="preserve">07/03/1798 Revision: FK Grün Loudon Haupt Platten Komp. Nr. 115
</t>
        </r>
        <r>
          <rPr>
            <sz val="14"/>
            <color rgb="FF000000"/>
            <rFont val="Times New Roman"/>
            <family val="18"/>
          </rPr>
          <t xml:space="preserve">16/08/1798 </t>
        </r>
        <r>
          <rPr>
            <i/>
            <sz val="14"/>
            <color rgb="FF000000"/>
            <rFont val="Times New Roman"/>
            <family val="18"/>
          </rPr>
          <t xml:space="preserve">Von Haupt. Baron Platten Komp. Zum Abrichtungsdepot transferiert </t>
        </r>
        <r>
          <rPr>
            <sz val="14"/>
            <color rgb="FF000000"/>
            <rFont val="Times New Roman"/>
            <family val="18"/>
          </rPr>
          <t xml:space="preserve">[RL 1799]
</t>
        </r>
        <r>
          <rPr>
            <sz val="14"/>
            <color rgb="FF000000"/>
            <rFont val="Times New Roman"/>
            <family val="18"/>
          </rPr>
          <t xml:space="preserve">28/01/1799 Revision: LB 4 Abrichtungsdepot Nr. 5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
</t>
        </r>
        <r>
          <rPr>
            <sz val="14"/>
            <color rgb="FF000000"/>
            <rFont val="Times New Roman"/>
            <family val="18"/>
          </rPr>
          <t xml:space="preserve">26/07/1801 </t>
        </r>
        <r>
          <rPr>
            <i/>
            <sz val="14"/>
            <color rgb="FF000000"/>
            <rFont val="Times New Roman"/>
            <family val="18"/>
          </rPr>
          <t>Aus die Kriegsgefangenschaft gegen Auswechslung ranzioniert wieder in Stand</t>
        </r>
        <r>
          <rPr>
            <sz val="14"/>
            <color rgb="FF000000"/>
            <rFont val="Times New Roman"/>
            <family val="18"/>
          </rPr>
          <t xml:space="preserve"> [RL 1801]
</t>
        </r>
        <r>
          <rPr>
            <sz val="14"/>
            <color rgb="FF000000"/>
            <rFont val="Times New Roman"/>
            <family val="18"/>
          </rPr>
          <t>28/08/1801 Reduction: LB 4 Haupt Graurock Nr. 64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117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03/07/1803 </t>
        </r>
        <r>
          <rPr>
            <i/>
            <sz val="14"/>
            <color rgb="FF000000"/>
            <rFont val="Times New Roman"/>
            <family val="18"/>
          </rPr>
          <t>Von Urlaub desertiert</t>
        </r>
        <r>
          <rPr>
            <sz val="14"/>
            <color rgb="FF000000"/>
            <rFont val="Times New Roman"/>
            <family val="18"/>
          </rPr>
          <t xml:space="preserve"> [Als Joseph MAYER] [ML 1803] </t>
        </r>
      </text>
    </comment>
    <comment ref="BG59" authorId="0" shapeId="0" xr:uid="{1F07B31C-017A-D744-A980-AFCE7898DA8A}">
      <text>
        <r>
          <rPr>
            <sz val="14"/>
            <color rgb="FF000000"/>
            <rFont val="Times New Roman"/>
            <family val="18"/>
          </rPr>
          <t xml:space="preserve">ML 10.763 FK Grün Laudon (1797-98) – RL Haupt Schligtig Nr. 100 (Maria Saal 19/06/1797); RL Vacant [Schligtig] Komp. Nr. 85 (Rovigo 07/03/1798)
</t>
        </r>
        <r>
          <rPr>
            <sz val="14"/>
            <color rgb="FF000000"/>
            <rFont val="Times New Roman"/>
            <family val="18"/>
          </rPr>
          <t xml:space="preserve">ML 10.771 FK Grün Laudon (1796-7) – AL Nr. 2 (Brody 07/04/1796)
</t>
        </r>
        <r>
          <rPr>
            <sz val="14"/>
            <color rgb="FF000000"/>
            <rFont val="Times New Roman"/>
            <family val="18"/>
          </rPr>
          <t xml:space="preserve">ML 10.630 LB 4 (1798-1801) – RL Haupt Schmiltz Komp. Nr. 84 (Rovigo 22/01/1799); RL Haupt Schmiltz Komp. Nr. 44 (Pisa 04/03/1800); DL Haupt Schmiltz Nr. 23 (Furriaco 28/08/1801)
</t>
        </r>
        <r>
          <rPr>
            <sz val="14"/>
            <color rgb="FF000000"/>
            <rFont val="Times New Roman"/>
            <family val="18"/>
          </rPr>
          <t xml:space="preserve">ML 10.632 LB 4 (1801) – TL LB 4-&gt;IR 13 Nr. 56 (Görz 30/09/1801)
</t>
        </r>
        <r>
          <rPr>
            <sz val="14"/>
            <color rgb="FF000000"/>
            <rFont val="Times New Roman"/>
            <family val="18"/>
          </rPr>
          <t xml:space="preserve">ML 10.045/6 IR 13 (1802): ML Haupt Niederreither Comp. Nr. 103 (Capo D’Istria 19/09/1802)
</t>
        </r>
        <r>
          <rPr>
            <sz val="14"/>
            <color rgb="FF000000"/>
            <rFont val="Times New Roman"/>
            <family val="18"/>
          </rPr>
          <t xml:space="preserve">ML 10.047/8 IR 13 (1803): ML Haupt Niederreither Comp. Nr. 84 (Capo D’Istria 24/09/1803)
</t>
        </r>
        <r>
          <rPr>
            <sz val="14"/>
            <color rgb="FF000000"/>
            <rFont val="Times New Roman"/>
            <family val="18"/>
          </rPr>
          <t xml:space="preserve">ML 10.089 IR 13 (1805): ST Juli (Zara 12/08/1805)
</t>
        </r>
      </text>
    </comment>
    <comment ref="BH59" authorId="0" shapeId="0" xr:uid="{987AA261-60E3-6B44-B0B8-9A23E064AC2D}">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59" authorId="0" shapeId="0" xr:uid="{BF2DF195-F4D6-A947-B6A6-27F20E9D89D2}">
      <text>
        <r>
          <rPr>
            <sz val="14"/>
            <color rgb="FF000000"/>
            <rFont val="Calibri"/>
            <family val="34"/>
          </rPr>
          <t>Gut (TL Nov 1801)</t>
        </r>
      </text>
    </comment>
    <comment ref="BF60" authorId="0" shapeId="0" xr:uid="{9DE604CF-489D-0044-B239-800EE163F57D}">
      <text>
        <r>
          <rPr>
            <sz val="14"/>
            <color rgb="FF000000"/>
            <rFont val="Times New Roman"/>
            <family val="18"/>
          </rPr>
          <t xml:space="preserve">28/03/1796 </t>
        </r>
        <r>
          <rPr>
            <i/>
            <sz val="14"/>
            <color rgb="FF000000"/>
            <rFont val="Times New Roman"/>
            <family val="18"/>
          </rPr>
          <t>Gegen 12 Gulden Werbgeld [5Fl Handgeld, 2Fl Anbringsgeld und 7Fl Sonstige Unkosten] in Brody ins Grün Loudon Frey Corps mit Sechs Jähriger Capitulation in Brody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29/07/1796 </t>
        </r>
        <r>
          <rPr>
            <i/>
            <sz val="14"/>
            <color rgb="FF000000"/>
            <rFont val="Times New Roman"/>
            <family val="18"/>
          </rPr>
          <t xml:space="preserve">Auf Marsch Desertiert </t>
        </r>
        <r>
          <rPr>
            <sz val="14"/>
            <color rgb="FF000000"/>
            <rFont val="Times New Roman"/>
            <family val="18"/>
          </rPr>
          <t>[RL June 1797]</t>
        </r>
        <r>
          <rPr>
            <sz val="14"/>
            <color rgb="FF000000"/>
            <rFont val="Calibri"/>
            <family val="34"/>
          </rPr>
          <t xml:space="preserve">
</t>
        </r>
        <r>
          <rPr>
            <sz val="14"/>
            <color rgb="FF000000"/>
            <rFont val="Calibri"/>
            <family val="34"/>
          </rPr>
          <t xml:space="preserve">
</t>
        </r>
      </text>
    </comment>
    <comment ref="BG60" authorId="0" shapeId="0" xr:uid="{258452A4-CFA7-274E-8763-917D8CB25946}">
      <text>
        <r>
          <rPr>
            <sz val="14"/>
            <color rgb="FF000000"/>
            <rFont val="Times New Roman"/>
            <family val="18"/>
          </rPr>
          <t>ML 10.763 FK Grün Laudon (1797-98) – RL Haupt Schligtig - Abgang (Maria Saal 19/06/1797)</t>
        </r>
        <r>
          <rPr>
            <sz val="14"/>
            <color rgb="FF000000"/>
            <rFont val="Calibri"/>
            <family val="34"/>
          </rPr>
          <t xml:space="preserve">
</t>
        </r>
        <r>
          <rPr>
            <sz val="14"/>
            <color rgb="FF000000"/>
            <rFont val="Times New Roman"/>
            <family val="18"/>
          </rPr>
          <t>ML 10.771 FK Grün Laudon (1796-7) – AL Nr. 5 (Brody 07/04/1796)</t>
        </r>
        <r>
          <rPr>
            <sz val="14"/>
            <color rgb="FF000000"/>
            <rFont val="Calibri"/>
            <family val="34"/>
          </rPr>
          <t xml:space="preserve">
</t>
        </r>
      </text>
    </comment>
    <comment ref="BH60" authorId="0" shapeId="0" xr:uid="{6B8024F9-0D64-BB4D-8976-8C1F66F82C05}">
      <text>
        <r>
          <rPr>
            <sz val="14"/>
            <color rgb="FF000000"/>
            <rFont val="Times New Roman"/>
            <family val="18"/>
          </rPr>
          <t xml:space="preserve">FK Grün Loudon </t>
        </r>
        <r>
          <rPr>
            <sz val="14"/>
            <color rgb="FF000000"/>
            <rFont val="Calibri"/>
            <family val="34"/>
          </rPr>
          <t>(1796)</t>
        </r>
      </text>
    </comment>
    <comment ref="I61" authorId="0" shapeId="0" xr:uid="{CF851CC1-5700-8048-8D3A-DA0A37A40C3C}">
      <text>
        <r>
          <rPr>
            <sz val="14"/>
            <color rgb="FF000000"/>
            <rFont val="Calibri"/>
            <family val="34"/>
          </rPr>
          <t xml:space="preserve">1779 [23 (1802)] 
</t>
        </r>
        <r>
          <rPr>
            <sz val="14"/>
            <color rgb="FF000000"/>
            <rFont val="Calibri"/>
            <family val="34"/>
          </rPr>
          <t xml:space="preserve">OR 
</t>
        </r>
        <r>
          <rPr>
            <sz val="14"/>
            <color rgb="FF000000"/>
            <rFont val="Calibri"/>
            <family val="34"/>
          </rPr>
          <t>1781 [15 (1796)]</t>
        </r>
      </text>
    </comment>
    <comment ref="T61" authorId="0" shapeId="0" xr:uid="{A3B1A8C3-A6CD-C94D-B904-A3827F7EADAA}">
      <text>
        <r>
          <rPr>
            <sz val="14"/>
            <color rgb="FF000000"/>
            <rFont val="Calibri"/>
            <family val="34"/>
          </rPr>
          <t xml:space="preserve">5.0.3 [158.66 cm] (1802)
</t>
        </r>
        <r>
          <rPr>
            <sz val="14"/>
            <color rgb="FF000000"/>
            <rFont val="Calibri"/>
            <family val="34"/>
          </rPr>
          <t>5.2 [163.26 cm] (1796)</t>
        </r>
      </text>
    </comment>
    <comment ref="BF61" authorId="0" shapeId="0" xr:uid="{45164100-1BF9-5840-8E65-24BA7F47575C}">
      <text>
        <r>
          <rPr>
            <sz val="14"/>
            <color rgb="FF000000"/>
            <rFont val="Times New Roman"/>
            <family val="18"/>
          </rPr>
          <t xml:space="preserve">28/03/1796 </t>
        </r>
        <r>
          <rPr>
            <i/>
            <sz val="14"/>
            <color rgb="FF000000"/>
            <rFont val="Times New Roman"/>
            <family val="18"/>
          </rPr>
          <t>Gegen 10 Gulden Werbgeld [3Fl Handgeld, 2Fl Anbringsgeld und 5Fl Sonstige Unkosten] auf Beständig ins Grün Loudon Frey Corps Assentiert</t>
        </r>
        <r>
          <rPr>
            <sz val="14"/>
            <color rgb="FF000000"/>
            <rFont val="Times New Roman"/>
            <family val="18"/>
          </rPr>
          <t xml:space="preserve"> [AL April 1796]
</t>
        </r>
        <r>
          <rPr>
            <sz val="14"/>
            <color rgb="FF000000"/>
            <rFont val="Times New Roman"/>
            <family val="18"/>
          </rPr>
          <t xml:space="preserve">19/06/1797 Revision: FK Grün Loudon Haupt Platten Komp. Nr. 125
</t>
        </r>
        <r>
          <rPr>
            <sz val="14"/>
            <color rgb="FF000000"/>
            <rFont val="Times New Roman"/>
            <family val="18"/>
          </rPr>
          <t xml:space="preserve">07/03/1798 Revision: FK Grün Loudon Haupt Platten Komp. Nr. 107
</t>
        </r>
        <r>
          <rPr>
            <sz val="14"/>
            <color rgb="FF000000"/>
            <rFont val="Times New Roman"/>
            <family val="18"/>
          </rPr>
          <t xml:space="preserve">16/08/1798 </t>
        </r>
        <r>
          <rPr>
            <i/>
            <sz val="14"/>
            <color rgb="FF000000"/>
            <rFont val="Times New Roman"/>
            <family val="18"/>
          </rPr>
          <t>Von Haupt. Baron Platten Komp. zum Abrichtungsdepot transferiert</t>
        </r>
        <r>
          <rPr>
            <sz val="14"/>
            <color rgb="FF000000"/>
            <rFont val="Times New Roman"/>
            <family val="18"/>
          </rPr>
          <t xml:space="preserve"> [RL 1799]
</t>
        </r>
        <r>
          <rPr>
            <sz val="14"/>
            <color rgb="FF000000"/>
            <rFont val="Times New Roman"/>
            <family val="18"/>
          </rPr>
          <t xml:space="preserve">28/01/1799 Revision: LB 4 Abrichtungsdepot Nr. 6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01/12/1799 </t>
        </r>
        <r>
          <rPr>
            <i/>
            <sz val="14"/>
            <color rgb="FF000000"/>
            <rFont val="Times New Roman"/>
            <family val="18"/>
          </rPr>
          <t>Von Haupt Platten Komp. zu den Artillerie Handlangern transferiert</t>
        </r>
        <r>
          <rPr>
            <sz val="14"/>
            <color rgb="FF000000"/>
            <rFont val="Times New Roman"/>
            <family val="18"/>
          </rPr>
          <t xml:space="preserve"> [RL 1800]
</t>
        </r>
        <r>
          <rPr>
            <sz val="14"/>
            <color rgb="FF000000"/>
            <rFont val="Times New Roman"/>
            <family val="18"/>
          </rPr>
          <t xml:space="preserve">04/03/1800 Revision: LB 4 Artillerie Handlanger Nr. 6
</t>
        </r>
        <r>
          <rPr>
            <sz val="14"/>
            <color rgb="FF000000"/>
            <rFont val="Times New Roman"/>
            <family val="18"/>
          </rPr>
          <t xml:space="preserve">01/08/1800 </t>
        </r>
        <r>
          <rPr>
            <i/>
            <sz val="14"/>
            <color rgb="FF000000"/>
            <rFont val="Times New Roman"/>
            <family val="18"/>
          </rPr>
          <t xml:space="preserve">Von Artillerie Handlanger zur Haupt Graurock Komp. transferiert </t>
        </r>
        <r>
          <rPr>
            <sz val="14"/>
            <color rgb="FF000000"/>
            <rFont val="Times New Roman"/>
            <family val="18"/>
          </rPr>
          <t xml:space="preserve">[RL 1801]
</t>
        </r>
        <r>
          <rPr>
            <sz val="14"/>
            <color rgb="FF000000"/>
            <rFont val="Times New Roman"/>
            <family val="18"/>
          </rPr>
          <t>28/08/1801 Reduction: LB 4 Haupt Graurock Nr. 52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116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31/04/1804 Von Haupt Dombasle zum Haup Massberg Komp. Transferiert [ST Mai 1804]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t>
        </r>
      </text>
    </comment>
    <comment ref="BG61" authorId="0" shapeId="0" xr:uid="{BD5FB684-0E4A-B04B-AB12-A3EE881A81F9}">
      <text>
        <r>
          <rPr>
            <sz val="14"/>
            <color rgb="FF000000"/>
            <rFont val="Times New Roman"/>
            <family val="18"/>
          </rPr>
          <t>ML 10.763 FK Grün Laudon (1797-98) – RL Haupt Platten Komp. Nr. 125 (Maria Saal 19/06/1797); RL Haupt Platten Komp. Nr. 107 (Rovigo 07/03/1798)</t>
        </r>
        <r>
          <rPr>
            <sz val="14"/>
            <color rgb="FF000000"/>
            <rFont val="Times New Roman"/>
            <family val="18"/>
          </rPr>
          <t xml:space="preserve">
</t>
        </r>
        <r>
          <rPr>
            <sz val="14"/>
            <color rgb="FF000000"/>
            <rFont val="Times New Roman"/>
            <family val="18"/>
          </rPr>
          <t>ML 10.771 FK Grün Laudon (1796-7) – AL Nr. 6 (Brody 07/04/1796)</t>
        </r>
        <r>
          <rPr>
            <sz val="14"/>
            <color rgb="FF000000"/>
            <rFont val="Times New Roman"/>
            <family val="18"/>
          </rPr>
          <t xml:space="preserve">
</t>
        </r>
        <r>
          <rPr>
            <sz val="14"/>
            <color rgb="FF000000"/>
            <rFont val="Times New Roman"/>
            <family val="18"/>
          </rPr>
          <t>ML 10.630 LB 4 (1798-1801) – RL Abrichtungsdepot. Nr. 6 (Zemona 28/01/1799); RL Artillerie Handlanger (Pisa 04/03/1800); DL Haupt Graurock Komp. Nr. 52 (Furriaco 28/08/1801)</t>
        </r>
        <r>
          <rPr>
            <sz val="14"/>
            <color rgb="FF000000"/>
            <rFont val="Times New Roman"/>
            <family val="18"/>
          </rPr>
          <t xml:space="preserve">
</t>
        </r>
        <r>
          <rPr>
            <sz val="14"/>
            <color rgb="FF000000"/>
            <rFont val="Times New Roman"/>
            <family val="18"/>
          </rPr>
          <t>ML 10.632 LB 4 (1801) – TL LB 4-&gt;IR 13 Nr. 93 (G</t>
        </r>
        <r>
          <rPr>
            <sz val="14"/>
            <color rgb="FF000000"/>
            <rFont val="Times New Roman"/>
            <family val="18"/>
          </rPr>
          <t>ö</t>
        </r>
        <r>
          <rPr>
            <sz val="14"/>
            <color rgb="FF000000"/>
            <rFont val="Times New Roman"/>
            <family val="18"/>
          </rPr>
          <t>rz 30/09/1801)</t>
        </r>
        <r>
          <rPr>
            <sz val="14"/>
            <color rgb="FF000000"/>
            <rFont val="Times New Roman"/>
            <family val="18"/>
          </rPr>
          <t xml:space="preserve">
</t>
        </r>
        <r>
          <rPr>
            <sz val="14"/>
            <color rgb="FF000000"/>
            <rFont val="Times New Roman"/>
            <family val="18"/>
          </rPr>
          <t>ML 10.045/6 IR 13 (1802): Haupt Dombasle Komp. Nr. 116 (Görz 22/09/1802)</t>
        </r>
        <r>
          <rPr>
            <sz val="14"/>
            <color rgb="FF000000"/>
            <rFont val="Times New Roman"/>
            <family val="18"/>
          </rPr>
          <t xml:space="preserve">
</t>
        </r>
        <r>
          <rPr>
            <sz val="14"/>
            <color rgb="FF000000"/>
            <rFont val="Times New Roman"/>
            <family val="18"/>
          </rPr>
          <t>ML 10.087 IR 13 (1804): ST Mai (Triest 14/06/1804)</t>
        </r>
        <r>
          <rPr>
            <sz val="14"/>
            <color rgb="FF000000"/>
            <rFont val="Times New Roman"/>
            <family val="18"/>
          </rPr>
          <t xml:space="preserve">
</t>
        </r>
        <r>
          <rPr>
            <sz val="14"/>
            <color rgb="FF000000"/>
            <rFont val="Times New Roman"/>
            <family val="18"/>
          </rPr>
          <t>ML 10.089 IR 13 (1805): ST Juli (Zara 12/08/1805)</t>
        </r>
        <r>
          <rPr>
            <sz val="14"/>
            <color rgb="FF000000"/>
            <rFont val="Times New Roman"/>
            <family val="18"/>
          </rPr>
          <t xml:space="preserve">
</t>
        </r>
      </text>
    </comment>
    <comment ref="BH61" authorId="0" shapeId="0" xr:uid="{931BBFFC-D2E4-AA4E-92C1-8363379FB943}">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61" authorId="0" shapeId="0" xr:uid="{B07D8195-BC47-F84E-BECC-BD857651A1FE}">
      <text>
        <r>
          <rPr>
            <sz val="14"/>
            <color rgb="FF000000"/>
            <rFont val="Times New Roman"/>
            <family val="18"/>
          </rPr>
          <t>Mittelmäßig</t>
        </r>
        <r>
          <rPr>
            <sz val="14"/>
            <color rgb="FF000000"/>
            <rFont val="Calibri"/>
            <family val="2"/>
          </rPr>
          <t xml:space="preserve"> </t>
        </r>
        <r>
          <rPr>
            <sz val="14"/>
            <color rgb="FF000000"/>
            <rFont val="Calibri"/>
            <family val="34"/>
          </rPr>
          <t xml:space="preserve"> (TL Nov 1801)</t>
        </r>
      </text>
    </comment>
    <comment ref="I62" authorId="0" shapeId="0" xr:uid="{410CFEA5-30A2-6041-8B1B-2428E3184909}">
      <text>
        <r>
          <rPr>
            <sz val="14"/>
            <color rgb="FF000000"/>
            <rFont val="Calibri"/>
            <family val="34"/>
          </rPr>
          <t xml:space="preserve">1772 [24 (1796)] 
</t>
        </r>
        <r>
          <rPr>
            <sz val="14"/>
            <color rgb="FF000000"/>
            <rFont val="Calibri"/>
            <family val="34"/>
          </rPr>
          <t xml:space="preserve">OR 
</t>
        </r>
        <r>
          <rPr>
            <sz val="14"/>
            <color rgb="FF000000"/>
            <rFont val="Calibri"/>
            <family val="34"/>
          </rPr>
          <t>1802 [27 (1802)]</t>
        </r>
      </text>
    </comment>
    <comment ref="T62" authorId="0" shapeId="0" xr:uid="{DCC75FD9-99A9-8749-A628-6B701959BC56}">
      <text>
        <r>
          <rPr>
            <sz val="14"/>
            <color rgb="FF000000"/>
            <rFont val="Calibri"/>
            <family val="34"/>
          </rPr>
          <t xml:space="preserve">5.3.3 [166.55 cm] (1802)
</t>
        </r>
        <r>
          <rPr>
            <sz val="14"/>
            <color rgb="FF000000"/>
            <rFont val="Calibri"/>
            <family val="34"/>
          </rPr>
          <t>5.4 [168.52 cm] (1796)</t>
        </r>
      </text>
    </comment>
    <comment ref="BF62" authorId="0" shapeId="0" xr:uid="{0D89F708-A7B9-AC43-A529-F24B0F09FE93}">
      <text>
        <r>
          <rPr>
            <sz val="14"/>
            <color rgb="FF000000"/>
            <rFont val="Times New Roman"/>
            <family val="18"/>
          </rPr>
          <t xml:space="preserve">02/04/1796 </t>
        </r>
        <r>
          <rPr>
            <i/>
            <sz val="14"/>
            <color rgb="FF000000"/>
            <rFont val="Times New Roman"/>
            <family val="18"/>
          </rPr>
          <t>Gegen 10 Gulden Werbgeld [3Fl Handgeld, 2Fl Anbringsgeld und 5Fl Sonstige Unkosten] auf Beständig ins Grün Loudon Frey Corps Assentiert</t>
        </r>
        <r>
          <rPr>
            <sz val="14"/>
            <color rgb="FF000000"/>
            <rFont val="Times New Roman"/>
            <family val="18"/>
          </rPr>
          <t xml:space="preserve"> [AL April 1796]</t>
        </r>
        <r>
          <rPr>
            <sz val="14"/>
            <color rgb="FF000000"/>
            <rFont val="Times New Roman"/>
            <family val="18"/>
          </rPr>
          <t xml:space="preserve">
</t>
        </r>
        <r>
          <rPr>
            <sz val="14"/>
            <color rgb="FF000000"/>
            <rFont val="Times New Roman"/>
            <family val="18"/>
          </rPr>
          <t>19/06/1797 Revision: FK Grün Loudon Sichtig Komp. Nr. 103</t>
        </r>
        <r>
          <rPr>
            <sz val="14"/>
            <color rgb="FF000000"/>
            <rFont val="Times New Roman"/>
            <family val="18"/>
          </rPr>
          <t xml:space="preserve">
</t>
        </r>
        <r>
          <rPr>
            <sz val="14"/>
            <color rgb="FF000000"/>
            <rFont val="Times New Roman"/>
            <family val="18"/>
          </rPr>
          <t>07/03/1798 Revision: FK Grün Loudon Vacant [Haupt Sichtig] Komp. Nr. 87</t>
        </r>
        <r>
          <rPr>
            <sz val="14"/>
            <color rgb="FF000000"/>
            <rFont val="Times New Roman"/>
            <family val="18"/>
          </rPr>
          <t xml:space="preserve">
</t>
        </r>
        <r>
          <rPr>
            <sz val="14"/>
            <color rgb="FF000000"/>
            <rFont val="Times New Roman"/>
            <family val="18"/>
          </rPr>
          <t xml:space="preserve">01/07/1798 </t>
        </r>
        <r>
          <rPr>
            <i/>
            <sz val="14"/>
            <color rgb="FF000000"/>
            <rFont val="Times New Roman"/>
            <family val="18"/>
          </rPr>
          <t>Von FK Grün Laudon zum LB 4 transferiert</t>
        </r>
        <r>
          <rPr>
            <sz val="14"/>
            <color rgb="FF000000"/>
            <rFont val="Times New Roman"/>
            <family val="18"/>
          </rPr>
          <t xml:space="preserve"> [RL 1799]</t>
        </r>
        <r>
          <rPr>
            <sz val="14"/>
            <color rgb="FF000000"/>
            <rFont val="Times New Roman"/>
            <family val="18"/>
          </rPr>
          <t xml:space="preserve">
</t>
        </r>
        <r>
          <rPr>
            <sz val="14"/>
            <color rgb="FF000000"/>
            <rFont val="Times New Roman"/>
            <family val="18"/>
          </rPr>
          <t xml:space="preserve">22/01/1799 Revision: LB 4 Haupt Schmiltz Komp. Nr. 85 </t>
        </r>
        <r>
          <rPr>
            <sz val="14"/>
            <color rgb="FF000000"/>
            <rFont val="Times New Roman"/>
            <family val="18"/>
          </rPr>
          <t xml:space="preserve">
</t>
        </r>
        <r>
          <rPr>
            <sz val="14"/>
            <color rgb="FF000000"/>
            <rFont val="Times New Roman"/>
            <family val="18"/>
          </rPr>
          <t>04/03/1800 Revision: LB Haupt Schmiltz Komp. Nr. 45</t>
        </r>
        <r>
          <rPr>
            <sz val="14"/>
            <color rgb="FF000000"/>
            <rFont val="Times New Roman"/>
            <family val="18"/>
          </rPr>
          <t xml:space="preserve">
</t>
        </r>
        <r>
          <rPr>
            <sz val="14"/>
            <color rgb="FF000000"/>
            <rFont val="Times New Roman"/>
            <family val="18"/>
          </rPr>
          <t>28/08/1801 Reduction: LB 4 Haupt Schmiltz Komp. Nr. 23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22/09/1802 Muster: IR 13 Haupt Dombasle Komp. Nr. 114 [</t>
        </r>
        <r>
          <rPr>
            <i/>
            <sz val="14"/>
            <color rgb="FF000000"/>
            <rFont val="Times New Roman"/>
            <family val="18"/>
          </rPr>
          <t>Beurlaubt in Galizien</t>
        </r>
        <r>
          <rPr>
            <sz val="14"/>
            <color rgb="FF000000"/>
            <rFont val="Times New Roman"/>
            <family val="18"/>
          </rPr>
          <t>]</t>
        </r>
        <r>
          <rPr>
            <sz val="14"/>
            <color rgb="FF000000"/>
            <rFont val="Times New Roman"/>
            <family val="18"/>
          </rPr>
          <t xml:space="preserve">
</t>
        </r>
        <r>
          <rPr>
            <sz val="14"/>
            <color rgb="FF000000"/>
            <rFont val="Times New Roman"/>
            <family val="18"/>
          </rPr>
          <t>31/04/1804 Von Haupt Dombasle zum Haupt Massberg Komp. Transferiert [ST Mai 1804]</t>
        </r>
        <r>
          <rPr>
            <sz val="14"/>
            <color rgb="FF000000"/>
            <rFont val="Times New Roman"/>
            <family val="18"/>
          </rPr>
          <t xml:space="preserve">
</t>
        </r>
        <r>
          <rPr>
            <sz val="14"/>
            <color rgb="FF000000"/>
            <rFont val="Times New Roman"/>
            <family val="18"/>
          </rPr>
          <t xml:space="preserve">31/07/1805 </t>
        </r>
        <r>
          <rPr>
            <i/>
            <sz val="14"/>
            <color rgb="FF000000"/>
            <rFont val="Times New Roman"/>
            <family val="18"/>
          </rPr>
          <t>Als ausgedienter Kriegscapitulant mit Abschied entlassen</t>
        </r>
        <r>
          <rPr>
            <sz val="14"/>
            <color rgb="FF000000"/>
            <rFont val="Times New Roman"/>
            <family val="18"/>
          </rPr>
          <t xml:space="preserve"> [ST Juli 1805] </t>
        </r>
      </text>
    </comment>
    <comment ref="BG62" authorId="0" shapeId="0" xr:uid="{00141189-53C2-B04B-9D8A-0F8BFE21B5C9}">
      <text>
        <r>
          <rPr>
            <sz val="14"/>
            <color rgb="FF000000"/>
            <rFont val="Times New Roman"/>
            <family val="18"/>
          </rPr>
          <t>ML 10.763 FK Grün Laudon (1797-98) – RL Haupt Schligtig Nr. 103 (Maria Saal 19/06/1797); RL Vacant [Schligtig] Komp. Nr. 87 (Rovigo 07/03/1798)</t>
        </r>
        <r>
          <rPr>
            <sz val="14"/>
            <color rgb="FF000000"/>
            <rFont val="Times New Roman"/>
            <family val="18"/>
          </rPr>
          <t xml:space="preserve">
</t>
        </r>
        <r>
          <rPr>
            <sz val="14"/>
            <color rgb="FF000000"/>
            <rFont val="Times New Roman"/>
            <family val="18"/>
          </rPr>
          <t>ML 10.771 FK Grün Laudon (1796-7) – AL Nr. 9 (Brody 07/04/1796)</t>
        </r>
        <r>
          <rPr>
            <sz val="14"/>
            <color rgb="FF000000"/>
            <rFont val="Times New Roman"/>
            <family val="18"/>
          </rPr>
          <t xml:space="preserve">
</t>
        </r>
        <r>
          <rPr>
            <sz val="14"/>
            <color rgb="FF000000"/>
            <rFont val="Times New Roman"/>
            <family val="18"/>
          </rPr>
          <t>ML 10.630 LB 4 (1798-1801) – RL 1799 Haupt Schmiltz Komp. Nr. 85 (Rovigo 22/01/1799); RL Haupt Kestelitz Nr. 44 (Pisa 04/03/1800); DL Haupt Kestlitz Nr. 24 (Furriaco 28/08/1801)</t>
        </r>
        <r>
          <rPr>
            <sz val="14"/>
            <color rgb="FF000000"/>
            <rFont val="Times New Roman"/>
            <family val="18"/>
          </rPr>
          <t xml:space="preserve">
</t>
        </r>
        <r>
          <rPr>
            <sz val="14"/>
            <color rgb="FF000000"/>
            <rFont val="Times New Roman"/>
            <family val="18"/>
          </rPr>
          <t>ML 10.632 LB 4 (1801) – TL LB 4-&gt;IR 13 Nr. 57 (G</t>
        </r>
        <r>
          <rPr>
            <sz val="14"/>
            <color rgb="FF000000"/>
            <rFont val="Times New Roman"/>
            <family val="18"/>
          </rPr>
          <t>ö</t>
        </r>
        <r>
          <rPr>
            <sz val="14"/>
            <color rgb="FF000000"/>
            <rFont val="Times New Roman"/>
            <family val="18"/>
          </rPr>
          <t>rz 30/09/1801)</t>
        </r>
        <r>
          <rPr>
            <sz val="14"/>
            <color rgb="FF000000"/>
            <rFont val="Times New Roman"/>
            <family val="18"/>
          </rPr>
          <t xml:space="preserve">
</t>
        </r>
        <r>
          <rPr>
            <sz val="14"/>
            <color rgb="FF000000"/>
            <rFont val="Times New Roman"/>
            <family val="18"/>
          </rPr>
          <t>ML 10.045/6 IR 13 (1802): Haupt Dombasle Komp. Nr. 114 (Görz 22/09/1802)</t>
        </r>
        <r>
          <rPr>
            <sz val="14"/>
            <color rgb="FF000000"/>
            <rFont val="Times New Roman"/>
            <family val="18"/>
          </rPr>
          <t xml:space="preserve">
</t>
        </r>
        <r>
          <rPr>
            <sz val="14"/>
            <color rgb="FF000000"/>
            <rFont val="Times New Roman"/>
            <family val="18"/>
          </rPr>
          <t>ML 10.087 IR 13 (1804): ST Mai (Triest 14/06/1804)</t>
        </r>
        <r>
          <rPr>
            <sz val="14"/>
            <color rgb="FF000000"/>
            <rFont val="Times New Roman"/>
            <family val="18"/>
          </rPr>
          <t xml:space="preserve">
</t>
        </r>
        <r>
          <rPr>
            <sz val="14"/>
            <color rgb="FF000000"/>
            <rFont val="Times New Roman"/>
            <family val="18"/>
          </rPr>
          <t>ML 10.089 IR 13 (1805): ST Juli (Zara 12/08/1805)</t>
        </r>
        <r>
          <rPr>
            <sz val="14"/>
            <color rgb="FF000000"/>
            <rFont val="Times New Roman"/>
            <family val="18"/>
          </rPr>
          <t xml:space="preserve">
</t>
        </r>
      </text>
    </comment>
    <comment ref="BH62" authorId="0" shapeId="0" xr:uid="{A5E491F5-B428-B945-B6EA-A33FA11E2380}">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(1801-1805)</t>
        </r>
      </text>
    </comment>
    <comment ref="BI62" authorId="0" shapeId="0" xr:uid="{B54D19F6-6FCF-0E4A-8FE0-CEFE048E6755}">
      <text>
        <r>
          <rPr>
            <sz val="14"/>
            <color rgb="FF000000"/>
            <rFont val="Calibri"/>
            <family val="34"/>
          </rPr>
          <t>Gut (TL Nov 1801)</t>
        </r>
      </text>
    </comment>
    <comment ref="BF63" authorId="0" shapeId="0" xr:uid="{7BCC39D1-1C8D-2F46-9B7C-8AD6F54CCD91}">
      <text>
        <r>
          <rPr>
            <sz val="14"/>
            <color rgb="FF000000"/>
            <rFont val="Times New Roman"/>
            <family val="18"/>
          </rPr>
          <t xml:space="preserve">09/04/1796 </t>
        </r>
        <r>
          <rPr>
            <i/>
            <sz val="14"/>
            <color rgb="FF000000"/>
            <rFont val="Times New Roman"/>
            <family val="18"/>
          </rPr>
          <t>Gegen 10 Gulden Werbgeld [3Fl 30Xr Handgeld, 2Fl Anbringsgeld und 4 Fl 30Xr Sonstige Unkosten] ins Grün Loudon Frey Corps auf die Zeit des Krieges in Brody Assentiert</t>
        </r>
        <r>
          <rPr>
            <sz val="14"/>
            <color rgb="FF000000"/>
            <rFont val="Times New Roman"/>
            <family val="18"/>
          </rPr>
          <t xml:space="preserve"> [AL April 1796]</t>
        </r>
        <r>
          <rPr>
            <sz val="14"/>
            <color rgb="FF000000"/>
            <rFont val="Calibri"/>
            <family val="34"/>
          </rPr>
          <t xml:space="preserve">
</t>
        </r>
        <r>
          <rPr>
            <sz val="14"/>
            <color rgb="FF000000"/>
            <rFont val="Times New Roman"/>
            <family val="18"/>
          </rPr>
          <t xml:space="preserve">12/04/1796 </t>
        </r>
        <r>
          <rPr>
            <i/>
            <sz val="14"/>
            <color rgb="FF000000"/>
            <rFont val="Times New Roman"/>
            <family val="18"/>
          </rPr>
          <t>auf dem Marsch Desertiert</t>
        </r>
        <r>
          <rPr>
            <sz val="14"/>
            <color rgb="FF000000"/>
            <rFont val="Times New Roman"/>
            <family val="18"/>
          </rPr>
          <t xml:space="preserve"> [RL June 1797]</t>
        </r>
        <r>
          <rPr>
            <sz val="14"/>
            <color rgb="FF000000"/>
            <rFont val="Calibri"/>
            <family val="34"/>
          </rPr>
          <t xml:space="preserve">
</t>
        </r>
        <r>
          <rPr>
            <sz val="14"/>
            <color rgb="FF000000"/>
            <rFont val="Calibri"/>
            <family val="34"/>
          </rPr>
          <t xml:space="preserve">
</t>
        </r>
      </text>
    </comment>
    <comment ref="BG63" authorId="0" shapeId="0" xr:uid="{F8CDF16D-49F2-A348-BC91-5EA206B429CD}">
      <text>
        <r>
          <rPr>
            <sz val="14"/>
            <color rgb="FF000000"/>
            <rFont val="Times New Roman"/>
            <family val="18"/>
          </rPr>
          <t xml:space="preserve">ML 10.763 FK Grün Laudon (1797-98) – RL Haupt Gasser Abgang (Maria Saal 19/06/1797)
</t>
        </r>
        <r>
          <rPr>
            <sz val="14"/>
            <color rgb="FF000000"/>
            <rFont val="Times New Roman"/>
            <family val="18"/>
          </rPr>
          <t xml:space="preserve">ML 10.771 FK Grün Laudon (1796-7) – AL Nr. 1 (Brody 09/04/1796)
</t>
        </r>
      </text>
    </comment>
    <comment ref="BH63" authorId="0" shapeId="0" xr:uid="{60323CB3-48C0-E349-999C-33068AF5F66B}">
      <text>
        <r>
          <rPr>
            <sz val="14"/>
            <color rgb="FF000000"/>
            <rFont val="Times New Roman"/>
            <family val="18"/>
          </rPr>
          <t xml:space="preserve">FK Grün Loudon </t>
        </r>
        <r>
          <rPr>
            <sz val="14"/>
            <color rgb="FF000000"/>
            <rFont val="Calibri"/>
            <family val="34"/>
          </rPr>
          <t>(1796)</t>
        </r>
      </text>
    </comment>
    <comment ref="BF64" authorId="0" shapeId="0" xr:uid="{20310B3C-3733-8B4D-8616-1C44FB619718}">
      <text>
        <r>
          <rPr>
            <sz val="14"/>
            <color rgb="FF000000"/>
            <rFont val="Times New Roman"/>
            <family val="18"/>
          </rPr>
          <t xml:space="preserve">11/04/1796 </t>
        </r>
        <r>
          <rPr>
            <i/>
            <sz val="14"/>
            <color rgb="FF000000"/>
            <rFont val="Times New Roman"/>
            <family val="18"/>
          </rPr>
          <t xml:space="preserve">A 10Fl Werbgeld zu Tarnopol assentiert </t>
        </r>
        <r>
          <rPr>
            <sz val="14"/>
            <color rgb="FF000000"/>
            <rFont val="Times New Roman"/>
            <family val="18"/>
          </rPr>
          <t>[RL 1796]</t>
        </r>
        <r>
          <rPr>
            <sz val="14"/>
            <color rgb="FF000000"/>
            <rFont val="Calibri"/>
            <family val="34"/>
          </rPr>
          <t xml:space="preserve">
</t>
        </r>
        <r>
          <rPr>
            <sz val="14"/>
            <color rgb="FF000000"/>
            <rFont val="Times New Roman"/>
            <family val="18"/>
          </rPr>
          <t>19/06/1797 Revision: FK Grün Laudon Gasser Komp. Nr. 126</t>
        </r>
        <r>
          <rPr>
            <sz val="14"/>
            <color rgb="FF000000"/>
            <rFont val="Calibri"/>
            <family val="34"/>
          </rPr>
          <t xml:space="preserve">
</t>
        </r>
        <r>
          <rPr>
            <sz val="14"/>
            <color rgb="FF000000"/>
            <rFont val="Times New Roman"/>
            <family val="18"/>
          </rPr>
          <t>07/03/1798 Revision: FK Grün Laudon Haupt Gasser Komp. Nr. 109</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 xml:space="preserve">LB 3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101</t>
        </r>
        <r>
          <rPr>
            <sz val="14"/>
            <color rgb="FF000000"/>
            <rFont val="Calibri"/>
            <family val="34"/>
          </rPr>
          <t xml:space="preserve">
</t>
        </r>
        <r>
          <rPr>
            <sz val="14"/>
            <color rgb="FF000000"/>
            <rFont val="Times New Roman"/>
            <family val="18"/>
          </rPr>
          <t>22/01/1799 Revision: LB 3 Haupt Gasser Komp. Nr. 95</t>
        </r>
        <r>
          <rPr>
            <sz val="14"/>
            <color rgb="FF000000"/>
            <rFont val="Calibri"/>
            <family val="34"/>
          </rPr>
          <t xml:space="preserve">
</t>
        </r>
        <r>
          <rPr>
            <sz val="14"/>
            <color rgb="FF000000"/>
            <rFont val="Times New Roman"/>
            <family val="18"/>
          </rPr>
          <t xml:space="preserve">21/11/1799 </t>
        </r>
        <r>
          <rPr>
            <i/>
            <sz val="14"/>
            <color rgb="FF000000"/>
            <rFont val="Times New Roman"/>
            <family val="18"/>
          </rPr>
          <t>Von Loco Desertiert</t>
        </r>
        <r>
          <rPr>
            <sz val="14"/>
            <color rgb="FF000000"/>
            <rFont val="Times New Roman"/>
            <family val="18"/>
          </rPr>
          <t xml:space="preserve"> [RL 1800]</t>
        </r>
        <r>
          <rPr>
            <sz val="14"/>
            <color rgb="FF000000"/>
            <rFont val="Calibri"/>
            <family val="34"/>
          </rPr>
          <t xml:space="preserve">
</t>
        </r>
        <r>
          <rPr>
            <sz val="14"/>
            <color rgb="FF000000"/>
            <rFont val="Times New Roman"/>
            <family val="18"/>
          </rPr>
          <t xml:space="preserve">01/05/1800 </t>
        </r>
        <r>
          <rPr>
            <i/>
            <sz val="14"/>
            <color rgb="FF000000"/>
            <rFont val="Times New Roman"/>
            <family val="18"/>
          </rPr>
          <t>Als selbst gemeldete Deserteur in Stand</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17/09/1800 </t>
        </r>
        <r>
          <rPr>
            <i/>
            <sz val="14"/>
            <color rgb="FF000000"/>
            <rFont val="Times New Roman"/>
            <family val="18"/>
          </rPr>
          <t>In Montagnana in Spital gestorben</t>
        </r>
        <r>
          <rPr>
            <sz val="14"/>
            <color rgb="FF000000"/>
            <rFont val="Times New Roman"/>
            <family val="18"/>
          </rPr>
          <t xml:space="preserve"> [DL 1801] </t>
        </r>
      </text>
    </comment>
    <comment ref="BG64" authorId="0" shapeId="0" xr:uid="{F3BDD461-CA66-0B42-A4A7-6F2964CE107C}">
      <text>
        <r>
          <rPr>
            <sz val="14"/>
            <color rgb="FF000000"/>
            <rFont val="Times New Roman"/>
            <family val="18"/>
          </rPr>
          <t>ML 10.763 FK Grün Laudon (1797-98) – RL Haupt Gasser Nr. 126 (Maria Saal 19/06/1797); RL Haupt Gasser Nr. 109 (Rovigo 07/03/1798)</t>
        </r>
        <r>
          <rPr>
            <sz val="14"/>
            <color rgb="FF000000"/>
            <rFont val="Calibri"/>
            <family val="34"/>
          </rPr>
          <t xml:space="preserve">
</t>
        </r>
        <r>
          <rPr>
            <sz val="14"/>
            <color rgb="FF000000"/>
            <rFont val="Times New Roman"/>
            <family val="18"/>
          </rPr>
          <t>ML 10.624 LB 3 (1798-1801) – 1798 RL Haupt Gasser Komp. Nr. 101 (Rovigo 30/06/1798); 1799 RL Haupt Hauger Komp. Nr. 95 (Rovigo 22/01/1799); 1800 RL Haupt Gasser Komp. – Abgang (Livorno 04/03/1800); RL Haupt Schlick von Schottenthal (Cervignano 31/10/1801)</t>
        </r>
        <r>
          <rPr>
            <sz val="14"/>
            <color rgb="FF000000"/>
            <rFont val="Calibri"/>
            <family val="34"/>
          </rPr>
          <t xml:space="preserve">
</t>
        </r>
        <r>
          <rPr>
            <sz val="14"/>
            <color rgb="FF000000"/>
            <rFont val="Times New Roman"/>
            <family val="18"/>
          </rPr>
          <t>ML 10.625 LB (1799-1801) – GB Haupt. Gasser Komp.</t>
        </r>
        <r>
          <rPr>
            <sz val="14"/>
            <color rgb="FF000000"/>
            <rFont val="Calibri"/>
            <family val="34"/>
          </rPr>
          <t xml:space="preserve">
</t>
        </r>
      </text>
    </comment>
    <comment ref="BH64" authorId="0" shapeId="0" xr:uid="{B1BB4EC4-4786-C64F-98E5-FF916EAC3027}">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(1798-1800)</t>
        </r>
      </text>
    </comment>
    <comment ref="BF65" authorId="0" shapeId="0" xr:uid="{4091846A-303A-7F4B-B02A-513CFD65FDE7}">
      <text>
        <r>
          <rPr>
            <sz val="14"/>
            <color rgb="FF000000"/>
            <rFont val="Times New Roman"/>
            <family val="18"/>
          </rPr>
          <t xml:space="preserve">11/04/1796 </t>
        </r>
        <r>
          <rPr>
            <i/>
            <sz val="14"/>
            <color rgb="FF000000"/>
            <rFont val="Times New Roman"/>
            <family val="18"/>
          </rPr>
          <t>A 10Fl Werbgeld zu Tarnopol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Gasser Komp. Nr. 128</t>
        </r>
        <r>
          <rPr>
            <sz val="14"/>
            <color rgb="FF000000"/>
            <rFont val="Calibri"/>
            <family val="34"/>
          </rPr>
          <t xml:space="preserve">
</t>
        </r>
        <r>
          <rPr>
            <sz val="14"/>
            <color rgb="FF000000"/>
            <rFont val="Times New Roman"/>
            <family val="18"/>
          </rPr>
          <t>07/03/1798 Revision: FK Grün Laudon Haupt Gasser Komp. Nr. 111</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t>
        </r>
        <r>
          <rPr>
            <sz val="14"/>
            <color rgb="FF000000"/>
            <rFont val="Times New Roman"/>
            <family val="18"/>
          </rPr>
          <t xml:space="preserve"> </t>
        </r>
        <r>
          <rPr>
            <b/>
            <sz val="14"/>
            <color rgb="FF000000"/>
            <rFont val="Times New Roman"/>
            <family val="18"/>
          </rPr>
          <t>LB 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103</t>
        </r>
        <r>
          <rPr>
            <sz val="14"/>
            <color rgb="FF000000"/>
            <rFont val="Calibri"/>
            <family val="34"/>
          </rPr>
          <t xml:space="preserve">
</t>
        </r>
        <r>
          <rPr>
            <sz val="14"/>
            <color rgb="FF000000"/>
            <rFont val="Times New Roman"/>
            <family val="18"/>
          </rPr>
          <t>22/01/1799 Revision: LB 3 Haupt Gasser Komp. Nr. 97</t>
        </r>
        <r>
          <rPr>
            <sz val="14"/>
            <color rgb="FF000000"/>
            <rFont val="Calibri"/>
            <family val="34"/>
          </rPr>
          <t xml:space="preserve">
</t>
        </r>
        <r>
          <rPr>
            <sz val="14"/>
            <color rgb="FF000000"/>
            <rFont val="Times New Roman"/>
            <family val="18"/>
          </rPr>
          <t xml:space="preserve">08/04/1799 </t>
        </r>
        <r>
          <rPr>
            <i/>
            <sz val="14"/>
            <color rgb="FF000000"/>
            <rFont val="Times New Roman"/>
            <family val="18"/>
          </rPr>
          <t>In die Kriegsgefangenschaft gefallen</t>
        </r>
        <r>
          <rPr>
            <sz val="14"/>
            <color rgb="FF000000"/>
            <rFont val="Times New Roman"/>
            <family val="18"/>
          </rPr>
          <t xml:space="preserve"> [RL 1800]</t>
        </r>
        <r>
          <rPr>
            <sz val="14"/>
            <color rgb="FF000000"/>
            <rFont val="Calibri"/>
            <family val="34"/>
          </rPr>
          <t xml:space="preserve">
</t>
        </r>
      </text>
    </comment>
    <comment ref="BG65" authorId="0" shapeId="0" xr:uid="{A4B5A0F1-835B-2B40-97FE-1A4563BBE627}">
      <text>
        <r>
          <rPr>
            <sz val="18"/>
            <color rgb="FF000000"/>
            <rFont val="Times New Roman"/>
            <family val="18"/>
          </rPr>
          <t>ML 10.763 FK Grün Laudon (1797-98) – RL Haupt Gasser Nr. 128 (Maria Saal 19/06/1797); RL Haupt Gasser Nr. 111 (Rovigo 07/03/1798)</t>
        </r>
        <r>
          <rPr>
            <sz val="18"/>
            <color rgb="FF000000"/>
            <rFont val="Calibri"/>
            <family val="34"/>
          </rPr>
          <t xml:space="preserve">
</t>
        </r>
        <r>
          <rPr>
            <sz val="18"/>
            <color rgb="FF000000"/>
            <rFont val="Times New Roman"/>
            <family val="18"/>
          </rPr>
          <t>ML 10.624 LB 3 (1798-1801) – 1798 RL Haupt Gasser Komp. Nr. 103 (Rovigo 30/06/1798); 1799 RL Haupt Gasser Komp. Nr. 97 (Rovigo 22/01/1799); 1800 RL Haupt Gasser – Abgang (Livorno 04/03/1800)</t>
        </r>
        <r>
          <rPr>
            <sz val="18"/>
            <color rgb="FF000000"/>
            <rFont val="Calibri"/>
            <family val="34"/>
          </rPr>
          <t xml:space="preserve">
</t>
        </r>
      </text>
    </comment>
    <comment ref="BH65" authorId="0" shapeId="0" xr:uid="{C49FDA7B-01A3-784E-86E8-13A2EBCA9F75}">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(1798-1799)</t>
        </r>
      </text>
    </comment>
    <comment ref="BF66" authorId="0" shapeId="0" xr:uid="{BBC7A105-5634-0948-986E-3FDED8BDE8AD}">
      <text>
        <r>
          <rPr>
            <sz val="14"/>
            <color rgb="FF000000"/>
            <rFont val="Times New Roman"/>
            <family val="18"/>
          </rPr>
          <t xml:space="preserve">11/04/1796 </t>
        </r>
        <r>
          <rPr>
            <i/>
            <sz val="14"/>
            <color rgb="FF000000"/>
            <rFont val="Times New Roman"/>
            <family val="18"/>
          </rPr>
          <t>A 10Fl Werbgeld zu Tarnopol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Gasser Komp. Nr. 127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07/03/1798 Revision: FK Grün Laudon Haupt Gasser Komp. Nr. 110</t>
        </r>
        <r>
          <rPr>
            <sz val="14"/>
            <color rgb="FF000000"/>
            <rFont val="Calibri"/>
            <family val="34"/>
          </rPr>
          <t xml:space="preserve">
</t>
        </r>
        <r>
          <rPr>
            <sz val="14"/>
            <color rgb="FF000000"/>
            <rFont val="Times New Roman"/>
            <family val="18"/>
          </rPr>
          <t xml:space="preserve">22/06/1798 </t>
        </r>
        <r>
          <rPr>
            <i/>
            <sz val="14"/>
            <color rgb="FF000000"/>
            <rFont val="Times New Roman"/>
            <family val="18"/>
          </rPr>
          <t>Als Angehörige von Haupt Gasser Comp. zu Rovigo Katholisch getauft, und bekam bei seiner Taufe dem Namen Lorenz Sebastian TERNAWSKY,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102</t>
        </r>
        <r>
          <rPr>
            <sz val="14"/>
            <color rgb="FF000000"/>
            <rFont val="Calibri"/>
            <family val="34"/>
          </rPr>
          <t xml:space="preserve">
</t>
        </r>
        <r>
          <rPr>
            <sz val="14"/>
            <color rgb="FF000000"/>
            <rFont val="Times New Roman"/>
            <family val="18"/>
          </rPr>
          <t>22/01/1799 Revision: LB 3 Haupt Gasser Komp. Nr. 96</t>
        </r>
        <r>
          <rPr>
            <sz val="14"/>
            <color rgb="FF000000"/>
            <rFont val="Calibri"/>
            <family val="34"/>
          </rPr>
          <t xml:space="preserve">
</t>
        </r>
        <r>
          <rPr>
            <sz val="14"/>
            <color rgb="FF000000"/>
            <rFont val="Times New Roman"/>
            <family val="18"/>
          </rPr>
          <t xml:space="preserve">27/10/1799 </t>
        </r>
        <r>
          <rPr>
            <i/>
            <sz val="14"/>
            <color rgb="FF000000"/>
            <rFont val="Times New Roman"/>
            <family val="18"/>
          </rPr>
          <t>In Spital zu Vicenza gestorben</t>
        </r>
        <r>
          <rPr>
            <sz val="14"/>
            <color rgb="FF000000"/>
            <rFont val="Times New Roman"/>
            <family val="18"/>
          </rPr>
          <t xml:space="preserve"> [RL 1800]</t>
        </r>
        <r>
          <rPr>
            <sz val="14"/>
            <color rgb="FF000000"/>
            <rFont val="Calibri"/>
            <family val="34"/>
          </rPr>
          <t xml:space="preserve">
</t>
        </r>
      </text>
    </comment>
    <comment ref="BG66" authorId="0" shapeId="0" xr:uid="{9A51B667-D5CE-A443-8F33-9B17A9AC5E93}">
      <text>
        <r>
          <rPr>
            <sz val="14"/>
            <color rgb="FF000000"/>
            <rFont val="Times New Roman"/>
            <family val="18"/>
          </rPr>
          <t xml:space="preserve">ML 10.763 FK Grün Laudon (1797-98) – RL Haupt Gasser Nr. 127 (Maria Saal 19/06/1797); RL Haupt Gasser Nr. 110 (Rovigo 07/03/1798)
</t>
        </r>
        <r>
          <rPr>
            <sz val="14"/>
            <color rgb="FF000000"/>
            <rFont val="Times New Roman"/>
            <family val="18"/>
          </rPr>
          <t xml:space="preserve">ML 10.772 (1798) FK Grün Laudon (1798) – June 1798 (Rovigo 04/08/1798)
</t>
        </r>
        <r>
          <rPr>
            <sz val="14"/>
            <color rgb="FF000000"/>
            <rFont val="Times New Roman"/>
            <family val="18"/>
          </rPr>
          <t xml:space="preserve">ML 10.624 LB 3 (1798-1801) – 1798 RL Haupt Gasser Komp. Nr. 102 (Rovigo 30/06/1798); 1799 RL Haupt Gasser Komp. Nr. 96 (Rovigo 22/01/1799); 1800 RL Haupt Gasser – Abgang (Livorno 04/03/1800)
</t>
        </r>
      </text>
    </comment>
    <comment ref="BH66" authorId="0" shapeId="0" xr:uid="{86E41152-219C-494A-8E12-0AAC0058F0F7}">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(1798-1799)</t>
        </r>
      </text>
    </comment>
    <comment ref="BF67" authorId="0" shapeId="0" xr:uid="{0CB14A90-756B-FF45-B306-BD269EF92A17}">
      <text>
        <r>
          <rPr>
            <sz val="14"/>
            <color rgb="FF000000"/>
            <rFont val="Times New Roman"/>
            <family val="18"/>
          </rPr>
          <t xml:space="preserve">02/05/1796 </t>
        </r>
        <r>
          <rPr>
            <i/>
            <sz val="14"/>
            <color rgb="FF000000"/>
            <rFont val="Times New Roman"/>
            <family val="18"/>
          </rPr>
          <t>a 10Fl in Tarnopol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Sichtig Comp Nr. 118</t>
        </r>
        <r>
          <rPr>
            <sz val="14"/>
            <color rgb="FF000000"/>
            <rFont val="Calibri"/>
            <family val="34"/>
          </rPr>
          <t xml:space="preserve">
</t>
        </r>
        <r>
          <rPr>
            <sz val="14"/>
            <color rgb="FF000000"/>
            <rFont val="Times New Roman"/>
            <family val="18"/>
          </rPr>
          <t>25/11/1797 Von Haupt Schligtig Comp zum Artillerie Handlanger Transferiert [RL 1798]</t>
        </r>
        <r>
          <rPr>
            <sz val="14"/>
            <color rgb="FF000000"/>
            <rFont val="Calibri"/>
            <family val="34"/>
          </rPr>
          <t xml:space="preserve">
</t>
        </r>
        <r>
          <rPr>
            <sz val="14"/>
            <color rgb="FF000000"/>
            <rFont val="Times New Roman"/>
            <family val="18"/>
          </rPr>
          <t>07/03/1798 Revision: FK Grün Loudon Artillerie Handlanger  Nr. 288</t>
        </r>
        <r>
          <rPr>
            <sz val="14"/>
            <color rgb="FF000000"/>
            <rFont val="Calibri"/>
            <family val="34"/>
          </rPr>
          <t xml:space="preserve">
</t>
        </r>
        <r>
          <rPr>
            <sz val="14"/>
            <color rgb="FF000000"/>
            <rFont val="Times New Roman"/>
            <family val="18"/>
          </rPr>
          <t>30/06/1798 Von FK Grün Loudon zum LB 3 transferiert [RL 1798]</t>
        </r>
        <r>
          <rPr>
            <sz val="14"/>
            <color rgb="FF000000"/>
            <rFont val="Calibri"/>
            <family val="34"/>
          </rPr>
          <t xml:space="preserve">
</t>
        </r>
        <r>
          <rPr>
            <sz val="14"/>
            <color rgb="FF000000"/>
            <rFont val="Times New Roman"/>
            <family val="18"/>
          </rPr>
          <t>01/07/1798 Revision: LB 3 Artillerie Handlanger Nr. 10</t>
        </r>
        <r>
          <rPr>
            <sz val="14"/>
            <color rgb="FF000000"/>
            <rFont val="Calibri"/>
            <family val="34"/>
          </rPr>
          <t xml:space="preserve">
</t>
        </r>
        <r>
          <rPr>
            <sz val="14"/>
            <color rgb="FF000000"/>
            <rFont val="Times New Roman"/>
            <family val="18"/>
          </rPr>
          <t>22/01/1799 Revision: LB 3 Artillerie Handlanger Nr. 11</t>
        </r>
        <r>
          <rPr>
            <sz val="14"/>
            <color rgb="FF000000"/>
            <rFont val="Calibri"/>
            <family val="34"/>
          </rPr>
          <t xml:space="preserve">
</t>
        </r>
        <r>
          <rPr>
            <sz val="14"/>
            <color rgb="FF000000"/>
            <rFont val="Times New Roman"/>
            <family val="18"/>
          </rPr>
          <t>04/03/1800 Revision: LB 3 Artillerie Handlanger Nr. 8</t>
        </r>
        <r>
          <rPr>
            <sz val="14"/>
            <color rgb="FF000000"/>
            <rFont val="Calibri"/>
            <family val="34"/>
          </rPr>
          <t xml:space="preserve">
</t>
        </r>
        <r>
          <rPr>
            <sz val="14"/>
            <color rgb="FF000000"/>
            <rFont val="Times New Roman"/>
            <family val="18"/>
          </rPr>
          <t>01/07/1800 Von Artillerie Handlanger zu, Haupt Caroliny Transferiert [RL 1801]</t>
        </r>
        <r>
          <rPr>
            <sz val="14"/>
            <color rgb="FF000000"/>
            <rFont val="Calibri"/>
            <family val="34"/>
          </rPr>
          <t xml:space="preserve">
</t>
        </r>
        <r>
          <rPr>
            <sz val="14"/>
            <color rgb="FF000000"/>
            <rFont val="Times New Roman"/>
            <family val="18"/>
          </rPr>
          <t>01/03/1801 Von Haupt Deherer zum Haupt Bouviez Comp Transferiert [RL 1801]</t>
        </r>
        <r>
          <rPr>
            <sz val="14"/>
            <color rgb="FF000000"/>
            <rFont val="Calibri"/>
            <family val="34"/>
          </rPr>
          <t xml:space="preserve">
</t>
        </r>
        <r>
          <rPr>
            <sz val="14"/>
            <color rgb="FF000000"/>
            <rFont val="Times New Roman"/>
            <family val="18"/>
          </rPr>
          <t>31/10/1801 Dissolvierung: LB 3 Haupt Bouviez Comp Nr. 47 [</t>
        </r>
        <r>
          <rPr>
            <i/>
            <sz val="14"/>
            <color rgb="FF000000"/>
            <rFont val="Times New Roman"/>
            <family val="18"/>
          </rPr>
          <t>Krank zu Udine</t>
        </r>
        <r>
          <rPr>
            <sz val="14"/>
            <color rgb="FF000000"/>
            <rFont val="Times New Roman"/>
            <family val="18"/>
          </rPr>
          <t>] [</t>
        </r>
        <r>
          <rPr>
            <i/>
            <sz val="14"/>
            <color rgb="FF000000"/>
            <rFont val="Times New Roman"/>
            <family val="18"/>
          </rPr>
          <t>Ins IR 44 Bellegarde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Vonn LB 3 Schlick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23/02/1802 </t>
        </r>
        <r>
          <rPr>
            <i/>
            <sz val="14"/>
            <color rgb="FF000000"/>
            <rFont val="Times New Roman"/>
            <family val="18"/>
          </rPr>
          <t xml:space="preserve">Auf Unbestimmte Zeit In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24 März 802 mit Abschied entlassen und ist für selbe, der in der Monat Tabella pro Junio 1802 bei Manzoni Companie in Zuwachs genommenen Recrout Anton Segatto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67" authorId="0" shapeId="0" xr:uid="{4D1FFEDD-B296-A04D-B3A6-DF8CD15A9260}">
      <text>
        <r>
          <rPr>
            <sz val="14"/>
            <color rgb="FF000000"/>
            <rFont val="Times New Roman"/>
            <family val="18"/>
          </rPr>
          <t>ML 10.763 FK Grün Laudon (1797-98) – RL Haupt Gasser Nr. 176 (Maria Saal 19/06/1797); RL Haupt Gasser Nr. 135 (Rovigo 07/03/1798)</t>
        </r>
        <r>
          <rPr>
            <sz val="14"/>
            <color rgb="FF000000"/>
            <rFont val="Calibri"/>
            <family val="34"/>
          </rPr>
          <t xml:space="preserve">
</t>
        </r>
        <r>
          <rPr>
            <sz val="14"/>
            <color rgb="FF000000"/>
            <rFont val="Times New Roman"/>
            <family val="18"/>
          </rPr>
          <t>ML 10.772 (1798) FK Grün Laudon (1798) – June 1798 (Rovigo 04/08/1798)</t>
        </r>
        <r>
          <rPr>
            <sz val="14"/>
            <color rgb="FF000000"/>
            <rFont val="Calibri"/>
            <family val="34"/>
          </rPr>
          <t xml:space="preserve">
</t>
        </r>
        <r>
          <rPr>
            <sz val="14"/>
            <color rgb="FF000000"/>
            <rFont val="Times New Roman"/>
            <family val="18"/>
          </rPr>
          <t>ML 10.624 LB 3 (1798-1801) – 1798 RL Haupt Gasser Komp. Nr. 125 (Rovigo 30/06/1798); 1799 RL Haupt Gasser Komp. Nr. 118 (Rovigo 22/01/1799); 1800 RL Haupt Gasser Nr. 31 (Livorno 04/03/1800); DL 1801 Haupt Bouviez Komp. Nr. 47 (Cervignano 31/10/1801)</t>
        </r>
        <r>
          <rPr>
            <sz val="14"/>
            <color rgb="FF000000"/>
            <rFont val="Calibri"/>
            <family val="34"/>
          </rPr>
          <t xml:space="preserve">
</t>
        </r>
        <r>
          <rPr>
            <sz val="14"/>
            <color rgb="FF000000"/>
            <rFont val="Times New Roman"/>
            <family val="18"/>
          </rPr>
          <t>ML 10.625 LB (1799-1801) – GB Haupt Gasser</t>
        </r>
        <r>
          <rPr>
            <sz val="14"/>
            <color rgb="FF000000"/>
            <rFont val="Calibri"/>
            <family val="34"/>
          </rPr>
          <t xml:space="preserve">
</t>
        </r>
        <r>
          <rPr>
            <sz val="14"/>
            <color rgb="FF000000"/>
            <rFont val="Times New Roman"/>
            <family val="18"/>
          </rPr>
          <t>ML 10.629 LB 3 (1801-2) – TL LB 3-&gt;IR 44 Nr. 91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67" authorId="0" shapeId="0" xr:uid="{CD5D9AD6-5ADD-7444-B3BF-9665518331A0}">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(1801-1802)</t>
        </r>
      </text>
    </comment>
    <comment ref="BI67" authorId="0" shapeId="0" xr:uid="{2CD85EC2-DBAD-7447-98E9-35C559F929F8}">
      <text>
        <r>
          <rPr>
            <sz val="14"/>
            <color rgb="FF000000"/>
            <rFont val="Calibri"/>
            <family val="34"/>
          </rPr>
          <t>Gut (TL Nov 1801)</t>
        </r>
      </text>
    </comment>
    <comment ref="BF68" authorId="0" shapeId="0" xr:uid="{4606F049-E186-5447-AC36-721997D952A5}">
      <text>
        <r>
          <rPr>
            <sz val="14"/>
            <color rgb="FF000000"/>
            <rFont val="Times New Roman"/>
            <family val="18"/>
          </rPr>
          <t xml:space="preserve">12/04/1796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[RL June 1797]</t>
        </r>
        <r>
          <rPr>
            <sz val="14"/>
            <color rgb="FF000000"/>
            <rFont val="Calibri"/>
            <family val="34"/>
          </rPr>
          <t xml:space="preserve">
</t>
        </r>
        <r>
          <rPr>
            <sz val="14"/>
            <color rgb="FF000000"/>
            <rFont val="Times New Roman"/>
            <family val="18"/>
          </rPr>
          <t>19/06/1797 Revision: FK Grün Loudon Haupt Platten Komp. Nr. 127</t>
        </r>
        <r>
          <rPr>
            <sz val="14"/>
            <color rgb="FF000000"/>
            <rFont val="Calibri"/>
            <family val="34"/>
          </rPr>
          <t xml:space="preserve">
</t>
        </r>
        <r>
          <rPr>
            <sz val="14"/>
            <color rgb="FF000000"/>
            <rFont val="Times New Roman"/>
            <family val="18"/>
          </rPr>
          <t>07/03/1798 Revision: FK Grün Loudon Haupt Platten Comp Nr. 113</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Platen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4 Haupt Platten Komp Nr. 98</t>
        </r>
        <r>
          <rPr>
            <sz val="14"/>
            <color rgb="FF000000"/>
            <rFont val="Calibri"/>
            <family val="34"/>
          </rPr>
          <t xml:space="preserve">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t>
        </r>
        <r>
          <rPr>
            <sz val="14"/>
            <color rgb="FF000000"/>
            <rFont val="Calibri"/>
            <family val="34"/>
          </rPr>
          <t xml:space="preserve">
</t>
        </r>
      </text>
    </comment>
    <comment ref="BG68" authorId="0" shapeId="0" xr:uid="{F46288AB-6348-444A-8FC4-40D64B3DB120}">
      <text>
        <r>
          <rPr>
            <sz val="14"/>
            <color rgb="FF000000"/>
            <rFont val="Times New Roman"/>
            <family val="18"/>
          </rPr>
          <t>ML 10.763 FK Grün Laudon (1797-98) – RL Haupt Platten Komp. Nr. 127 (Maria Saal 19/06/1797); RL Haupt Platten Komp. Nr. 113 (Rovigo 07/03/1798)</t>
        </r>
        <r>
          <rPr>
            <sz val="14"/>
            <color rgb="FF000000"/>
            <rFont val="Calibri"/>
            <family val="34"/>
          </rPr>
          <t xml:space="preserve">
</t>
        </r>
        <r>
          <rPr>
            <sz val="14"/>
            <color rgb="FF000000"/>
            <rFont val="Times New Roman"/>
            <family val="18"/>
          </rPr>
          <t>ML 10.630 LB 4 (1798-1801) –1799 RL Haupt Platen Komp. Nr. 98 (Rovigo 22/01/1799); RL Haupt Graurock Abgang (Pisa 04/03/1800)</t>
        </r>
        <r>
          <rPr>
            <sz val="14"/>
            <color rgb="FF000000"/>
            <rFont val="Calibri"/>
            <family val="34"/>
          </rPr>
          <t xml:space="preserve">
</t>
        </r>
      </text>
    </comment>
    <comment ref="BH68" authorId="0" shapeId="0" xr:uid="{5AFF04E3-BB93-F644-8748-131D622F23E6}">
      <text>
        <r>
          <rPr>
            <sz val="14"/>
            <color rgb="FF000000"/>
            <rFont val="Times New Roman"/>
            <family val="18"/>
          </rPr>
          <t xml:space="preserve">FK Grün Loudon (1796-98)
</t>
        </r>
        <r>
          <rPr>
            <sz val="14"/>
            <color rgb="FF000000"/>
            <rFont val="Times New Roman"/>
            <family val="18"/>
          </rPr>
          <t>LB 4 (1798-1799)</t>
        </r>
      </text>
    </comment>
    <comment ref="BF69" authorId="0" shapeId="0" xr:uid="{D318205B-DBBB-8144-BAA9-58CCF20E3243}">
      <text>
        <r>
          <rPr>
            <sz val="14"/>
            <color rgb="FF000000"/>
            <rFont val="Times New Roman"/>
            <family val="18"/>
          </rPr>
          <t xml:space="preserve">13/04/1796 </t>
        </r>
        <r>
          <rPr>
            <i/>
            <sz val="14"/>
            <color rgb="FF000000"/>
            <rFont val="Times New Roman"/>
            <family val="18"/>
          </rPr>
          <t xml:space="preserve">a 10 Fl Werbgeld zu Tarnopol zum Vorherigen Grün Loudon Frey Corps ohne Capitulation assentiert </t>
        </r>
        <r>
          <rPr>
            <sz val="14"/>
            <color rgb="FF000000"/>
            <rFont val="Times New Roman"/>
            <family val="18"/>
          </rPr>
          <t xml:space="preserve">[ML 1802]
</t>
        </r>
        <r>
          <rPr>
            <sz val="14"/>
            <color rgb="FF000000"/>
            <rFont val="Times New Roman"/>
            <family val="18"/>
          </rPr>
          <t xml:space="preserve">19/06/1797 Revision: FK Grün Loudon Haupt Platten Komp. Nr. 129
</t>
        </r>
        <r>
          <rPr>
            <sz val="14"/>
            <color rgb="FF000000"/>
            <rFont val="Times New Roman"/>
            <family val="18"/>
          </rPr>
          <t xml:space="preserve">07/03/1798 Revision: FK Grün Loudon Haupt Platten Komp. Nr. 115
</t>
        </r>
        <r>
          <rPr>
            <sz val="14"/>
            <color rgb="FF000000"/>
            <rFont val="Times New Roman"/>
            <family val="18"/>
          </rPr>
          <t xml:space="preserve">16/08/1798 </t>
        </r>
        <r>
          <rPr>
            <i/>
            <sz val="14"/>
            <color rgb="FF000000"/>
            <rFont val="Times New Roman"/>
            <family val="18"/>
          </rPr>
          <t xml:space="preserve">Von Haupt. Baron Platten Komp. Zum Abrichtungsdepot transferiert </t>
        </r>
        <r>
          <rPr>
            <sz val="14"/>
            <color rgb="FF000000"/>
            <rFont val="Times New Roman"/>
            <family val="18"/>
          </rPr>
          <t xml:space="preserve">[RL 1799]
</t>
        </r>
        <r>
          <rPr>
            <sz val="14"/>
            <color rgb="FF000000"/>
            <rFont val="Times New Roman"/>
            <family val="18"/>
          </rPr>
          <t xml:space="preserve">28/01/1799 Revision: LB 4 Abrichtungsdepot Nr. 5 
</t>
        </r>
        <r>
          <rPr>
            <sz val="14"/>
            <color rgb="FF000000"/>
            <rFont val="Times New Roman"/>
            <family val="18"/>
          </rPr>
          <t xml:space="preserve">26/01/1799 </t>
        </r>
        <r>
          <rPr>
            <i/>
            <sz val="14"/>
            <color rgb="FF000000"/>
            <rFont val="Times New Roman"/>
            <family val="18"/>
          </rPr>
          <t>Von Abrichtungsdepot zum Haupt Platen Komp. transferiert</t>
        </r>
        <r>
          <rPr>
            <sz val="14"/>
            <color rgb="FF000000"/>
            <rFont val="Times New Roman"/>
            <family val="18"/>
          </rPr>
          <t xml:space="preserve"> [RL 1800]
</t>
        </r>
        <r>
          <rPr>
            <sz val="14"/>
            <color rgb="FF000000"/>
            <rFont val="Times New Roman"/>
            <family val="18"/>
          </rPr>
          <t xml:space="preserve">15/12/1799 </t>
        </r>
        <r>
          <rPr>
            <i/>
            <sz val="14"/>
            <color rgb="FF000000"/>
            <rFont val="Times New Roman"/>
            <family val="18"/>
          </rPr>
          <t>In Kriegsgefangenschaft geraten</t>
        </r>
        <r>
          <rPr>
            <sz val="14"/>
            <color rgb="FF000000"/>
            <rFont val="Times New Roman"/>
            <family val="18"/>
          </rPr>
          <t xml:space="preserve"> [RL 1800]
</t>
        </r>
        <r>
          <rPr>
            <sz val="14"/>
            <color rgb="FF000000"/>
            <rFont val="Times New Roman"/>
            <family val="18"/>
          </rPr>
          <t xml:space="preserve">26/07/1801 </t>
        </r>
        <r>
          <rPr>
            <i/>
            <sz val="14"/>
            <color rgb="FF000000"/>
            <rFont val="Times New Roman"/>
            <family val="18"/>
          </rPr>
          <t>Aus die Kriegsgefangenschaft gegen Auswechslung ranzioniert wieder in Stand</t>
        </r>
        <r>
          <rPr>
            <sz val="14"/>
            <color rgb="FF000000"/>
            <rFont val="Times New Roman"/>
            <family val="18"/>
          </rPr>
          <t xml:space="preserve"> [RL 1801]
</t>
        </r>
        <r>
          <rPr>
            <sz val="14"/>
            <color rgb="FF000000"/>
            <rFont val="Times New Roman"/>
            <family val="18"/>
          </rPr>
          <t>28/08/1801 Reduction: LB 4 Haupt Graurock Nr. 64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Kirschberg Leichten Infanterie Bataillon [LB 4] transferiert und zur Haupt Dombasle Komp. eingeteilt</t>
        </r>
        <r>
          <rPr>
            <sz val="14"/>
            <color rgb="FF000000"/>
            <rFont val="Times New Roman"/>
            <family val="18"/>
          </rPr>
          <t xml:space="preserve"> [ML 1802]
</t>
        </r>
        <r>
          <rPr>
            <sz val="14"/>
            <color rgb="FF000000"/>
            <rFont val="Times New Roman"/>
            <family val="18"/>
          </rPr>
          <t>22/09/1802 Muster: IR 13 Haupt Dombasle Komp. Nr. 117 [</t>
        </r>
        <r>
          <rPr>
            <i/>
            <sz val="14"/>
            <color rgb="FF000000"/>
            <rFont val="Times New Roman"/>
            <family val="18"/>
          </rPr>
          <t>Beurlaubt in Galizien</t>
        </r>
        <r>
          <rPr>
            <sz val="14"/>
            <color rgb="FF000000"/>
            <rFont val="Times New Roman"/>
            <family val="18"/>
          </rPr>
          <t xml:space="preserve">]
</t>
        </r>
        <r>
          <rPr>
            <sz val="14"/>
            <color rgb="FF000000"/>
            <rFont val="Times New Roman"/>
            <family val="18"/>
          </rPr>
          <t xml:space="preserve">03/07/1803 </t>
        </r>
        <r>
          <rPr>
            <i/>
            <sz val="14"/>
            <color rgb="FF000000"/>
            <rFont val="Times New Roman"/>
            <family val="18"/>
          </rPr>
          <t>Von Urlaub desertiert</t>
        </r>
        <r>
          <rPr>
            <sz val="14"/>
            <color rgb="FF000000"/>
            <rFont val="Times New Roman"/>
            <family val="18"/>
          </rPr>
          <t xml:space="preserve"> [Als Joseph MAYER] [ML 1803] </t>
        </r>
      </text>
    </comment>
    <comment ref="BG69" authorId="0" shapeId="0" xr:uid="{06B80801-7328-644E-8C5B-0F9C9F4C5418}">
      <text>
        <r>
          <rPr>
            <sz val="14"/>
            <color rgb="FF000000"/>
            <rFont val="Times New Roman"/>
            <family val="18"/>
          </rPr>
          <t>ML 10.763 FK Grün Laudon (1797-98) – RL Haupt Platten Komp. Nr. 129 (Maria Saal 19/06/1797); RL Haupt Platten Komp. Nr. 115 (Rovigo 07/03/1798)</t>
        </r>
        <r>
          <rPr>
            <sz val="14"/>
            <color rgb="FF000000"/>
            <rFont val="Times New Roman"/>
            <family val="18"/>
          </rPr>
          <t xml:space="preserve">
</t>
        </r>
        <r>
          <rPr>
            <sz val="14"/>
            <color rgb="FF000000"/>
            <rFont val="Times New Roman"/>
            <family val="18"/>
          </rPr>
          <t>ML 10.630 LB 4 (1798-1801) – RL Abrichtungsdepot. Nr. 5 (Zemona 28/01/1799); RL Haupt Graurock Abgang (Pisa 04/03/1800); DL Haupt Graurock Nr. 64 (Furriaco 28/08/1801)</t>
        </r>
        <r>
          <rPr>
            <sz val="14"/>
            <color rgb="FF000000"/>
            <rFont val="Times New Roman"/>
            <family val="18"/>
          </rPr>
          <t xml:space="preserve">
</t>
        </r>
        <r>
          <rPr>
            <sz val="14"/>
            <color rgb="FF000000"/>
            <rFont val="Times New Roman"/>
            <family val="18"/>
          </rPr>
          <t>ML 10.632 LB 4 (1801) – TL LB 4-&gt;IR 13 Nr. 99 (Görz 30/09/1801)</t>
        </r>
        <r>
          <rPr>
            <sz val="14"/>
            <color rgb="FF000000"/>
            <rFont val="Times New Roman"/>
            <family val="18"/>
          </rPr>
          <t xml:space="preserve">
</t>
        </r>
        <r>
          <rPr>
            <sz val="14"/>
            <color rgb="FF000000"/>
            <rFont val="Times New Roman"/>
            <family val="18"/>
          </rPr>
          <t>ML 10.045/6 IR 13 (1802) – ML Haupt Dombasle Comp. Nr. 117 (Görz 22/09/1802)</t>
        </r>
        <r>
          <rPr>
            <sz val="14"/>
            <color rgb="FF000000"/>
            <rFont val="Times New Roman"/>
            <family val="18"/>
          </rPr>
          <t xml:space="preserve">
</t>
        </r>
        <r>
          <rPr>
            <sz val="14"/>
            <color rgb="FF000000"/>
            <rFont val="Times New Roman"/>
            <family val="18"/>
          </rPr>
          <t>ML 10.047/8 IR 13 (1803) – ML Haupt Dombasle Komp. Abgang (Exerzierlager bei St. Andra neben Görz 16/09/1803)</t>
        </r>
        <r>
          <rPr>
            <sz val="14"/>
            <color rgb="FF000000"/>
            <rFont val="Times New Roman"/>
            <family val="18"/>
          </rPr>
          <t xml:space="preserve">
</t>
        </r>
      </text>
    </comment>
    <comment ref="BH69" authorId="0" shapeId="0" xr:uid="{9AEE9ADA-B383-B94C-820E-F9E77FF43D71}">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(1801-1803)</t>
        </r>
      </text>
    </comment>
    <comment ref="BI69" authorId="0" shapeId="0" xr:uid="{635B2949-F936-8340-B820-0B590D2263DF}">
      <text>
        <r>
          <rPr>
            <sz val="14"/>
            <color rgb="FF000000"/>
            <rFont val="Calibri"/>
            <family val="34"/>
          </rPr>
          <t>Gut (TL Nov 1801)</t>
        </r>
      </text>
    </comment>
    <comment ref="BF70" authorId="0" shapeId="0" xr:uid="{350AC705-FED1-2840-AD31-DE2BE0BFF89F}">
      <text>
        <r>
          <rPr>
            <sz val="14"/>
            <color rgb="FF000000"/>
            <rFont val="Times New Roman"/>
            <family val="18"/>
          </rPr>
          <t xml:space="preserve">01/05/1796 </t>
        </r>
        <r>
          <rPr>
            <i/>
            <sz val="14"/>
            <color rgb="FF000000"/>
            <rFont val="Times New Roman"/>
            <family val="18"/>
          </rPr>
          <t>zu Lemberg a 12Fl Handgeld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Hauger Komp. Nr. 128</t>
        </r>
        <r>
          <rPr>
            <sz val="14"/>
            <color rgb="FF000000"/>
            <rFont val="Calibri"/>
            <family val="34"/>
          </rPr>
          <t xml:space="preserve">
</t>
        </r>
        <r>
          <rPr>
            <sz val="14"/>
            <color rgb="FF000000"/>
            <rFont val="Times New Roman"/>
            <family val="18"/>
          </rPr>
          <t>07/03/1798 Revision: FK Grün Loudon Haupt Hauger Komp. Nr. 98</t>
        </r>
        <r>
          <rPr>
            <sz val="14"/>
            <color rgb="FF000000"/>
            <rFont val="Calibri"/>
            <family val="34"/>
          </rPr>
          <t xml:space="preserve">
</t>
        </r>
        <r>
          <rPr>
            <sz val="14"/>
            <color rgb="FF000000"/>
            <rFont val="Times New Roman"/>
            <family val="18"/>
          </rPr>
          <t xml:space="preserve">28/06/1798 </t>
        </r>
        <r>
          <rPr>
            <i/>
            <sz val="14"/>
            <color rgb="FF000000"/>
            <rFont val="Times New Roman"/>
            <family val="18"/>
          </rPr>
          <t>Als Angehörige von Haupt Hauger Comp. zu Rovigo Katholisch getauft, und bekam bei seiner Taufe dem Namen Carl Franz PITKUMINSKY,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t>
        </r>
        <r>
          <rPr>
            <sz val="14"/>
            <color rgb="FF000000"/>
            <rFont val="Times New Roman"/>
            <family val="18"/>
          </rPr>
          <t xml:space="preserve"> </t>
        </r>
        <r>
          <rPr>
            <b/>
            <sz val="14"/>
            <color rgb="FF000000"/>
            <rFont val="Times New Roman"/>
            <family val="18"/>
          </rPr>
          <t xml:space="preserve">LB 3 </t>
        </r>
        <r>
          <rPr>
            <i/>
            <sz val="14"/>
            <color rgb="FF000000"/>
            <rFont val="Times New Roman"/>
            <family val="18"/>
          </rPr>
          <t>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Hauger Komp. Nr. 94</t>
        </r>
        <r>
          <rPr>
            <sz val="14"/>
            <color rgb="FF000000"/>
            <rFont val="Calibri"/>
            <family val="34"/>
          </rPr>
          <t xml:space="preserve">
</t>
        </r>
        <r>
          <rPr>
            <sz val="14"/>
            <color rgb="FF000000"/>
            <rFont val="Times New Roman"/>
            <family val="18"/>
          </rPr>
          <t>22/01/1799 Revision: LB 3 Haupt Hauger Komp. Nr. 92</t>
        </r>
        <r>
          <rPr>
            <sz val="14"/>
            <color rgb="FF000000"/>
            <rFont val="Calibri"/>
            <family val="34"/>
          </rPr>
          <t xml:space="preserve">
</t>
        </r>
        <r>
          <rPr>
            <sz val="14"/>
            <color rgb="FF000000"/>
            <rFont val="Times New Roman"/>
            <family val="18"/>
          </rPr>
          <t xml:space="preserve">22/11/1799 </t>
        </r>
        <r>
          <rPr>
            <b/>
            <sz val="14"/>
            <color rgb="FF000000"/>
            <rFont val="Times New Roman"/>
            <family val="18"/>
          </rPr>
          <t>[Vor Feind]</t>
        </r>
        <r>
          <rPr>
            <sz val="14"/>
            <color rgb="FF000000"/>
            <rFont val="Times New Roman"/>
            <family val="18"/>
          </rPr>
          <t xml:space="preserve"> </t>
        </r>
        <r>
          <rPr>
            <i/>
            <sz val="14"/>
            <color rgb="FF000000"/>
            <rFont val="Times New Roman"/>
            <family val="18"/>
          </rPr>
          <t>Unwissend Verloren</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11/07/1800 </t>
        </r>
        <r>
          <rPr>
            <i/>
            <sz val="14"/>
            <color rgb="FF000000"/>
            <rFont val="Times New Roman"/>
            <family val="18"/>
          </rPr>
          <t xml:space="preserve">Als selbst gemeldete Deserteur zu Kizingen </t>
        </r>
        <r>
          <rPr>
            <b/>
            <sz val="14"/>
            <color rgb="FF000000"/>
            <rFont val="Times New Roman"/>
            <family val="18"/>
          </rPr>
          <t>[Kizingen, Germany]</t>
        </r>
        <r>
          <rPr>
            <sz val="14"/>
            <color rgb="FF000000"/>
            <rFont val="Times New Roman"/>
            <family val="18"/>
          </rPr>
          <t xml:space="preserve"> </t>
        </r>
        <r>
          <rPr>
            <i/>
            <sz val="14"/>
            <color rgb="FF000000"/>
            <rFont val="Times New Roman"/>
            <family val="18"/>
          </rPr>
          <t>präsentiert</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30/04/1801 </t>
        </r>
        <r>
          <rPr>
            <i/>
            <sz val="14"/>
            <color rgb="FF000000"/>
            <rFont val="Times New Roman"/>
            <family val="18"/>
          </rPr>
          <t>Als unwissend verloren in Abgang</t>
        </r>
        <r>
          <rPr>
            <sz val="14"/>
            <color rgb="FF000000"/>
            <rFont val="Times New Roman"/>
            <family val="18"/>
          </rPr>
          <t xml:space="preserve"> [DL 1801]</t>
        </r>
        <r>
          <rPr>
            <sz val="14"/>
            <color rgb="FF000000"/>
            <rFont val="Calibri"/>
            <family val="34"/>
          </rPr>
          <t xml:space="preserve">
</t>
        </r>
      </text>
    </comment>
    <comment ref="BG70" authorId="0" shapeId="0" xr:uid="{DD592B69-08A4-6149-946C-ACB11BC3C617}">
      <text>
        <r>
          <rPr>
            <sz val="14"/>
            <color rgb="FF000000"/>
            <rFont val="Times New Roman"/>
            <family val="18"/>
          </rPr>
          <t>ML 10.763 FK Grün Laudon (1797-98) – RL Haupt Hauger Komp. Nr. 128 (Maria Saal 19/06/1797); RL Haupt Hauger Komp. Nr. 98 (Rovigo 07/03/1798)</t>
        </r>
        <r>
          <rPr>
            <sz val="14"/>
            <color rgb="FF000000"/>
            <rFont val="Calibri"/>
            <family val="34"/>
          </rPr>
          <t xml:space="preserve">
</t>
        </r>
        <r>
          <rPr>
            <sz val="14"/>
            <color rgb="FF000000"/>
            <rFont val="Times New Roman"/>
            <family val="18"/>
          </rPr>
          <t>ML 10.772 FK Grün Laudon (1798) – June (Rovigo 04/08/1798)</t>
        </r>
        <r>
          <rPr>
            <sz val="14"/>
            <color rgb="FF000000"/>
            <rFont val="Calibri"/>
            <family val="34"/>
          </rPr>
          <t xml:space="preserve">
</t>
        </r>
        <r>
          <rPr>
            <sz val="14"/>
            <color rgb="FF000000"/>
            <rFont val="Times New Roman"/>
            <family val="18"/>
          </rPr>
          <t>ML 10.624 LB 3 (1798-1801) – 1798 RL Haupt Hauger Komp. Nr. 94 (Rovigo 30/06/1798); 1799 RL Haupt Hauger Komp. Nr. 92 (Rovigo 22/01/1799); 1800 RL Haupt Bouviez –(Livorno 04/03/1800); DL 1801 Haupt Bouviez – Zuwachs &amp; Abgang (Cervignano 31/10/1801)</t>
        </r>
        <r>
          <rPr>
            <sz val="14"/>
            <color rgb="FF000000"/>
            <rFont val="Calibri"/>
            <family val="34"/>
          </rPr>
          <t xml:space="preserve">
</t>
        </r>
      </text>
    </comment>
    <comment ref="BH70" authorId="0" shapeId="0" xr:uid="{C6A9E307-D29D-C04C-8899-DCA6A40E4409}">
      <text>
        <r>
          <rPr>
            <sz val="14"/>
            <color rgb="FF000000"/>
            <rFont val="Times New Roman"/>
            <family val="18"/>
          </rPr>
          <t xml:space="preserve">FK Grün Loudon (1796-98)
</t>
        </r>
        <r>
          <rPr>
            <sz val="14"/>
            <color rgb="FF000000"/>
            <rFont val="Times New Roman"/>
            <family val="18"/>
          </rPr>
          <t>LB 3 (1798-1801)</t>
        </r>
      </text>
    </comment>
    <comment ref="BF71" authorId="0" shapeId="0" xr:uid="{B3D34C5F-DA2E-5F44-ADB2-E6E6B1D8A28C}">
      <text>
        <r>
          <rPr>
            <sz val="14"/>
            <color rgb="FF000000"/>
            <rFont val="Times New Roman"/>
            <family val="18"/>
          </rPr>
          <t xml:space="preserve">12/04/1796 </t>
        </r>
        <r>
          <rPr>
            <i/>
            <sz val="14"/>
            <color rgb="FF000000"/>
            <rFont val="Times New Roman"/>
            <family val="18"/>
          </rPr>
          <t xml:space="preserve">A 10Fl Handgeld zu Tarnopol auf Kriegszeit assentiert </t>
        </r>
        <r>
          <rPr>
            <sz val="14"/>
            <color rgb="FF000000"/>
            <rFont val="Times New Roman"/>
            <family val="18"/>
          </rPr>
          <t>[RL 1796 &amp; GB 1799-1801]</t>
        </r>
        <r>
          <rPr>
            <sz val="14"/>
            <color rgb="FF000000"/>
            <rFont val="Calibri"/>
            <family val="34"/>
          </rPr>
          <t xml:space="preserve">
</t>
        </r>
        <r>
          <rPr>
            <sz val="14"/>
            <color rgb="FF000000"/>
            <rFont val="Times New Roman"/>
            <family val="18"/>
          </rPr>
          <t>19/06/1797 Revision: FK Grün Loudon Haupt Bach Senior Comp Nr. 135</t>
        </r>
        <r>
          <rPr>
            <sz val="14"/>
            <color rgb="FF000000"/>
            <rFont val="Calibri"/>
            <family val="34"/>
          </rPr>
          <t xml:space="preserve">
</t>
        </r>
        <r>
          <rPr>
            <sz val="14"/>
            <color rgb="FF000000"/>
            <rFont val="Times New Roman"/>
            <family val="18"/>
          </rPr>
          <t>07/03/1798 Revision: FK Grün Laudon Haupt Melcior Comp Nr. 84</t>
        </r>
        <r>
          <rPr>
            <sz val="14"/>
            <color rgb="FF000000"/>
            <rFont val="Calibri"/>
            <family val="34"/>
          </rPr>
          <t xml:space="preserve">
</t>
        </r>
        <r>
          <rPr>
            <sz val="14"/>
            <color rgb="FF000000"/>
            <rFont val="Times New Roman"/>
            <family val="18"/>
          </rPr>
          <t>30/06/1798 Von FK Grün Laudon zum LB 3 transferiert [RL 1798]</t>
        </r>
        <r>
          <rPr>
            <sz val="14"/>
            <color rgb="FF000000"/>
            <rFont val="Calibri"/>
            <family val="34"/>
          </rPr>
          <t xml:space="preserve">
</t>
        </r>
        <r>
          <rPr>
            <sz val="14"/>
            <color rgb="FF000000"/>
            <rFont val="Times New Roman"/>
            <family val="18"/>
          </rPr>
          <t>22/01/1799 Revision: LB 3 Haupt Melchior Comp Nr. 80</t>
        </r>
        <r>
          <rPr>
            <sz val="14"/>
            <color rgb="FF000000"/>
            <rFont val="Calibri"/>
            <family val="34"/>
          </rPr>
          <t xml:space="preserve">
</t>
        </r>
        <r>
          <rPr>
            <sz val="14"/>
            <color rgb="FF000000"/>
            <rFont val="Times New Roman"/>
            <family val="18"/>
          </rPr>
          <t>04/03/1800 Revision: LB Haupt Melchior Comp Nr. 101</t>
        </r>
        <r>
          <rPr>
            <sz val="14"/>
            <color rgb="FF000000"/>
            <rFont val="Calibri"/>
            <family val="34"/>
          </rPr>
          <t xml:space="preserve">
</t>
        </r>
        <r>
          <rPr>
            <sz val="14"/>
            <color rgb="FF000000"/>
            <rFont val="Times New Roman"/>
            <family val="18"/>
          </rPr>
          <t>31/10/1801 Dissolvierung: LB Haupt Melchior Comp Nr. 11 [</t>
        </r>
        <r>
          <rPr>
            <i/>
            <sz val="14"/>
            <color rgb="FF000000"/>
            <rFont val="Times New Roman"/>
            <family val="18"/>
          </rPr>
          <t>Zu IR 44 Bellegarde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Melchior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06/02/1802 </t>
        </r>
        <r>
          <rPr>
            <i/>
            <sz val="14"/>
            <color rgb="FF000000"/>
            <rFont val="Times New Roman"/>
            <family val="18"/>
          </rPr>
          <t xml:space="preserve">Auf Unbestimmte Zeit In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10 Februar 802 mit Abschied entlassen und ist für selbe, der in der Monat Tabella pro Februario 1802 bei Obrist Companie in Zuwachs genommenen Recrout Paolo Torlano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71" authorId="0" shapeId="0" xr:uid="{597F6A3F-187B-F840-951D-84EFA3983383}">
      <text>
        <r>
          <rPr>
            <sz val="14"/>
            <color rgb="FF000000"/>
            <rFont val="Times New Roman"/>
            <family val="18"/>
          </rPr>
          <t>ML 10.763 FK Grün Laudon (1797-98) – RL Haupt Bach Sr. Komp. Nr. 135 (Maria Saal 19/06/1797); RL Haupt Melchior Komp. Nr. 84</t>
        </r>
        <r>
          <rPr>
            <sz val="14"/>
            <color rgb="FF000000"/>
            <rFont val="Calibri"/>
            <family val="34"/>
          </rPr>
          <t xml:space="preserve">
</t>
        </r>
        <r>
          <rPr>
            <sz val="14"/>
            <color rgb="FF000000"/>
            <rFont val="Times New Roman"/>
            <family val="18"/>
          </rPr>
          <t>ML 10.624 LB 3 (1798-1801) – 1799 RL Haupt Melchior Komp. Nr. 80 (Rovigo 22/01/1799); 1800 RL Haupt Melchior Nr. 130 (Livorno 04/03/1800) ); DL 1801 Haupt Melchior Nr. 11 (Cervignano 31/10/1801)</t>
        </r>
        <r>
          <rPr>
            <sz val="14"/>
            <color rgb="FF000000"/>
            <rFont val="Calibri"/>
            <family val="34"/>
          </rPr>
          <t xml:space="preserve">
</t>
        </r>
        <r>
          <rPr>
            <sz val="14"/>
            <color rgb="FF000000"/>
            <rFont val="Times New Roman"/>
            <family val="18"/>
          </rPr>
          <t>ML 10.625 LB 3 (1799-1801) – GB Haupt Melchior</t>
        </r>
        <r>
          <rPr>
            <sz val="14"/>
            <color rgb="FF000000"/>
            <rFont val="Calibri"/>
            <family val="34"/>
          </rPr>
          <t xml:space="preserve">
</t>
        </r>
        <r>
          <rPr>
            <sz val="14"/>
            <color rgb="FF000000"/>
            <rFont val="Times New Roman"/>
            <family val="18"/>
          </rPr>
          <t>ML 10.629 LB 3 (1801-2) – TL LB 3-&gt;IR 44 Nr. 32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71" authorId="0" shapeId="0" xr:uid="{668A535C-F492-CD49-814C-73D883C102D4}">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(1801-1802)</t>
        </r>
      </text>
    </comment>
    <comment ref="BI71" authorId="0" shapeId="0" xr:uid="{7EF3AC4B-2CCB-6E4D-9074-A4B270535C2C}">
      <text>
        <r>
          <rPr>
            <sz val="14"/>
            <color rgb="FF000000"/>
            <rFont val="Calibri"/>
            <family val="34"/>
          </rPr>
          <t>Gut (TL Nov 1801)</t>
        </r>
      </text>
    </comment>
    <comment ref="BF72" authorId="0" shapeId="0" xr:uid="{08460285-FAB9-884D-9231-747C7B21119D}">
      <text>
        <r>
          <rPr>
            <sz val="14"/>
            <color rgb="FF000000"/>
            <rFont val="Times New Roman"/>
            <family val="18"/>
          </rPr>
          <t xml:space="preserve">06/05/1796 </t>
        </r>
        <r>
          <rPr>
            <i/>
            <sz val="14"/>
            <color rgb="FF000000"/>
            <rFont val="Times New Roman"/>
            <family val="18"/>
          </rPr>
          <t>Gegen 12 Gulden Werbgeld [3Fl 30Xr Handgeld, 2Fl Anbringsgeld und 6 Fl 30Xr Sonstige Unkosten] in Brody ins Grün Loudon Frey Corps Assentiert</t>
        </r>
        <r>
          <rPr>
            <sz val="14"/>
            <color rgb="FF000000"/>
            <rFont val="Times New Roman"/>
            <family val="18"/>
          </rPr>
          <t xml:space="preserve"> [AL 1796]</t>
        </r>
        <r>
          <rPr>
            <sz val="14"/>
            <color rgb="FF000000"/>
            <rFont val="Calibri"/>
            <family val="34"/>
          </rPr>
          <t xml:space="preserve">
</t>
        </r>
        <r>
          <rPr>
            <sz val="14"/>
            <color rgb="FF000000"/>
            <rFont val="Times New Roman"/>
            <family val="18"/>
          </rPr>
          <t>19/06/1797 Revision: FK Grün Laudon Bach Junior Komp. Nr. 129 [</t>
        </r>
        <r>
          <rPr>
            <i/>
            <sz val="14"/>
            <color rgb="FF000000"/>
            <rFont val="Times New Roman"/>
            <family val="18"/>
          </rPr>
          <t>Auf Staab Wacht]</t>
        </r>
        <r>
          <rPr>
            <sz val="14"/>
            <color rgb="FF000000"/>
            <rFont val="Calibri"/>
            <family val="34"/>
          </rPr>
          <t xml:space="preserve">
</t>
        </r>
        <r>
          <rPr>
            <sz val="14"/>
            <color rgb="FF000000"/>
            <rFont val="Times New Roman"/>
            <family val="18"/>
          </rPr>
          <t>07/03/1798 Revision: FK Grün Laudon Caroliny Komp. Nr. 108 [</t>
        </r>
        <r>
          <rPr>
            <i/>
            <sz val="14"/>
            <color rgb="FF000000"/>
            <rFont val="Times New Roman"/>
            <family val="18"/>
          </rPr>
          <t>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Caroliny Comp Nr 113 [</t>
        </r>
        <r>
          <rPr>
            <i/>
            <sz val="14"/>
            <color rgb="FF000000"/>
            <rFont val="Times New Roman"/>
            <family val="18"/>
          </rPr>
          <t>Krank in Spital]</t>
        </r>
        <r>
          <rPr>
            <sz val="14"/>
            <color rgb="FF000000"/>
            <rFont val="Calibri"/>
            <family val="34"/>
          </rPr>
          <t xml:space="preserve">
</t>
        </r>
        <r>
          <rPr>
            <sz val="14"/>
            <color rgb="FF000000"/>
            <rFont val="Times New Roman"/>
            <family val="18"/>
          </rPr>
          <t xml:space="preserve">13/08/1798 </t>
        </r>
        <r>
          <rPr>
            <i/>
            <sz val="14"/>
            <color rgb="FF000000"/>
            <rFont val="Times New Roman"/>
            <family val="18"/>
          </rPr>
          <t>Am Canal zu Rovigo ertrunken</t>
        </r>
        <r>
          <rPr>
            <sz val="14"/>
            <color rgb="FF000000"/>
            <rFont val="Times New Roman"/>
            <family val="18"/>
          </rPr>
          <t xml:space="preserve"> [RL 1799]</t>
        </r>
        <r>
          <rPr>
            <sz val="14"/>
            <color rgb="FF000000"/>
            <rFont val="Calibri"/>
            <family val="34"/>
          </rPr>
          <t xml:space="preserve">
</t>
        </r>
        <r>
          <rPr>
            <sz val="14"/>
            <color rgb="FF000000"/>
            <rFont val="Calibri"/>
            <family val="34"/>
          </rPr>
          <t xml:space="preserve">
</t>
        </r>
      </text>
    </comment>
    <comment ref="BG72" authorId="0" shapeId="0" xr:uid="{B822A237-0E7F-844A-A709-1D43E40D42C8}">
      <text>
        <r>
          <rPr>
            <sz val="14"/>
            <color rgb="FF000000"/>
            <rFont val="Times New Roman"/>
            <family val="18"/>
          </rPr>
          <t>ML 10.763 FK Grün Laudon (1797-98) – RL Haupt Bach Jr. Nr. 129 (Maria Saal 19/06/1797); RL Haupt Caroliny Komp. Nr. 108 (Rovigo 07/03/1798)</t>
        </r>
        <r>
          <rPr>
            <sz val="14"/>
            <color rgb="FF000000"/>
            <rFont val="Calibri"/>
            <family val="34"/>
          </rPr>
          <t xml:space="preserve">
</t>
        </r>
        <r>
          <rPr>
            <sz val="14"/>
            <color rgb="FF000000"/>
            <rFont val="Times New Roman"/>
            <family val="18"/>
          </rPr>
          <t>ML 10.771 FK Grün Laudon (1796-7) – AL Nr. 3 (Brody 21/05/1796)</t>
        </r>
        <r>
          <rPr>
            <sz val="14"/>
            <color rgb="FF000000"/>
            <rFont val="Calibri"/>
            <family val="34"/>
          </rPr>
          <t xml:space="preserve">
</t>
        </r>
        <r>
          <rPr>
            <sz val="14"/>
            <color rgb="FF000000"/>
            <rFont val="Times New Roman"/>
            <family val="18"/>
          </rPr>
          <t>ML 10.624 LB 3 (1798) – RL Haupt Caroliny Komp. Nr. 108 (Rovigo 30/06/1798); RL 1799 Haupt Caroliny – Abgang (22/01/1799)</t>
        </r>
        <r>
          <rPr>
            <sz val="14"/>
            <color rgb="FF000000"/>
            <rFont val="Calibri"/>
            <family val="34"/>
          </rPr>
          <t xml:space="preserve">
</t>
        </r>
      </text>
    </comment>
    <comment ref="BH72" authorId="0" shapeId="0" xr:uid="{9CC45906-0009-9B40-A222-18B4A2CE888F}">
      <text>
        <r>
          <rPr>
            <sz val="14"/>
            <color rgb="FF000000"/>
            <rFont val="Times New Roman"/>
            <family val="18"/>
          </rPr>
          <t xml:space="preserve">FK Grün Loudon </t>
        </r>
        <r>
          <rPr>
            <sz val="14"/>
            <color rgb="FF000000"/>
            <rFont val="Calibri"/>
            <family val="34"/>
          </rPr>
          <t xml:space="preserve">(1796-98)
</t>
        </r>
        <r>
          <rPr>
            <sz val="14"/>
            <color rgb="FF000000"/>
            <rFont val="Calibri"/>
            <family val="34"/>
          </rPr>
          <t>LB 3 (1798)</t>
        </r>
      </text>
    </comment>
    <comment ref="BF73" authorId="0" shapeId="0" xr:uid="{E4883CCA-A56D-9841-918A-ADB1C69D2414}">
      <text>
        <r>
          <rPr>
            <sz val="14"/>
            <color rgb="FF000000"/>
            <rFont val="Times New Roman"/>
            <family val="18"/>
          </rPr>
          <t xml:space="preserve">08/05/1796 </t>
        </r>
        <r>
          <rPr>
            <i/>
            <sz val="14"/>
            <color rgb="FF000000"/>
            <rFont val="Times New Roman"/>
            <family val="18"/>
          </rPr>
          <t>Gegen 10 Gulden Werbgeld in Tarnopol ins Grün Loudon Frey Corps Assentiert</t>
        </r>
        <r>
          <rPr>
            <sz val="14"/>
            <color rgb="FF000000"/>
            <rFont val="Times New Roman"/>
            <family val="18"/>
          </rPr>
          <t xml:space="preserve"> [RL 1797]
</t>
        </r>
        <r>
          <rPr>
            <sz val="14"/>
            <color rgb="FF000000"/>
            <rFont val="Times New Roman"/>
            <family val="18"/>
          </rPr>
          <t xml:space="preserve">19/06/1797 Revision: FK Grün Loudon Haupt Quenaudon Komp. Nr. 127
</t>
        </r>
        <r>
          <rPr>
            <sz val="14"/>
            <color rgb="FF000000"/>
            <rFont val="Times New Roman"/>
            <family val="18"/>
          </rPr>
          <t xml:space="preserve">07/03/1798 Revision: FK Grün Loudon Haupt Quenaudon Komp. Nr. 113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
</t>
        </r>
        <r>
          <rPr>
            <sz val="14"/>
            <color rgb="FF000000"/>
            <rFont val="Times New Roman"/>
            <family val="18"/>
          </rPr>
          <t xml:space="preserve">01/07/1798 Revision: LB 4 Haupt Quenaudon Komp Nr. 109
</t>
        </r>
        <r>
          <rPr>
            <sz val="14"/>
            <color rgb="FF000000"/>
            <rFont val="Times New Roman"/>
            <family val="18"/>
          </rPr>
          <t xml:space="preserve">19/01/1799 </t>
        </r>
        <r>
          <rPr>
            <i/>
            <sz val="14"/>
            <color rgb="FF000000"/>
            <rFont val="Times New Roman"/>
            <family val="18"/>
          </rPr>
          <t>Hat sich zu Rovigo unter den Namen Franciscus taufen lassen</t>
        </r>
        <r>
          <rPr>
            <sz val="14"/>
            <color rgb="FF000000"/>
            <rFont val="Times New Roman"/>
            <family val="18"/>
          </rPr>
          <t xml:space="preserve"> [TL Sept 1801]
</t>
        </r>
        <r>
          <rPr>
            <sz val="14"/>
            <color rgb="FF000000"/>
            <rFont val="Times New Roman"/>
            <family val="18"/>
          </rPr>
          <t>22/01/1799 Revision: LB 4 Haupt Quenaudon Komp. Nr. 107 [</t>
        </r>
        <r>
          <rPr>
            <i/>
            <sz val="14"/>
            <color rgb="FF000000"/>
            <rFont val="Times New Roman"/>
            <family val="18"/>
          </rPr>
          <t>als Franz Eusen eingetragen</t>
        </r>
        <r>
          <rPr>
            <sz val="14"/>
            <color rgb="FF000000"/>
            <rFont val="Times New Roman"/>
            <family val="18"/>
          </rPr>
          <t xml:space="preserve">]
</t>
        </r>
        <r>
          <rPr>
            <sz val="14"/>
            <color rgb="FF000000"/>
            <rFont val="Times New Roman"/>
            <family val="18"/>
          </rPr>
          <t xml:space="preserve">26/08/1799 </t>
        </r>
        <r>
          <rPr>
            <i/>
            <sz val="14"/>
            <color rgb="FF000000"/>
            <rFont val="Times New Roman"/>
            <family val="18"/>
          </rPr>
          <t>In die Kriegsgefangenschaft gefallen</t>
        </r>
        <r>
          <rPr>
            <sz val="14"/>
            <color rgb="FF000000"/>
            <rFont val="Times New Roman"/>
            <family val="18"/>
          </rPr>
          <t xml:space="preserve"> [TL Sept 1801]
</t>
        </r>
        <r>
          <rPr>
            <sz val="14"/>
            <color rgb="FF000000"/>
            <rFont val="Times New Roman"/>
            <family val="18"/>
          </rPr>
          <t>02/09/1799</t>
        </r>
        <r>
          <rPr>
            <i/>
            <sz val="14"/>
            <color rgb="FF000000"/>
            <rFont val="Times New Roman"/>
            <family val="18"/>
          </rPr>
          <t xml:space="preserve"> Zu Sestri gegen Auswechslung ranzioniert </t>
        </r>
        <r>
          <rPr>
            <sz val="14"/>
            <color rgb="FF000000"/>
            <rFont val="Times New Roman"/>
            <family val="18"/>
          </rPr>
          <t xml:space="preserve">[TL Sept 1801]
</t>
        </r>
        <r>
          <rPr>
            <sz val="14"/>
            <color rgb="FF000000"/>
            <rFont val="Times New Roman"/>
            <family val="18"/>
          </rPr>
          <t xml:space="preserve">12/11/1799 </t>
        </r>
        <r>
          <rPr>
            <i/>
            <sz val="14"/>
            <color rgb="FF000000"/>
            <rFont val="Times New Roman"/>
            <family val="18"/>
          </rPr>
          <t xml:space="preserve">Von loco Desertiert </t>
        </r>
        <r>
          <rPr>
            <sz val="14"/>
            <color rgb="FF000000"/>
            <rFont val="Times New Roman"/>
            <family val="18"/>
          </rPr>
          <t xml:space="preserve">[RL 1800]
</t>
        </r>
        <r>
          <rPr>
            <sz val="14"/>
            <color rgb="FF000000"/>
            <rFont val="Times New Roman"/>
            <family val="18"/>
          </rPr>
          <t xml:space="preserve">17/11/1799 </t>
        </r>
        <r>
          <rPr>
            <i/>
            <sz val="14"/>
            <color rgb="FF000000"/>
            <rFont val="Times New Roman"/>
            <family val="18"/>
          </rPr>
          <t>Von Militär attrappiert und zum Sarazana a 8Fl präsentiert</t>
        </r>
        <r>
          <rPr>
            <sz val="14"/>
            <color rgb="FF000000"/>
            <rFont val="Times New Roman"/>
            <family val="18"/>
          </rPr>
          <t xml:space="preserve"> [RL 1800] </t>
        </r>
        <r>
          <rPr>
            <i/>
            <sz val="14"/>
            <color rgb="FF000000"/>
            <rFont val="Times New Roman"/>
            <family val="18"/>
          </rPr>
          <t xml:space="preserve"> </t>
        </r>
        <r>
          <rPr>
            <sz val="14"/>
            <color rgb="FF000000"/>
            <rFont val="Times New Roman"/>
            <family val="18"/>
          </rPr>
          <t xml:space="preserve">
</t>
        </r>
        <r>
          <rPr>
            <sz val="14"/>
            <color rgb="FF000000"/>
            <rFont val="Times New Roman"/>
            <family val="18"/>
          </rPr>
          <t>04/03/1800 Revision: LB 4 Haupt Quenaudon Komp. Nr. 88 [</t>
        </r>
        <r>
          <rPr>
            <i/>
            <sz val="14"/>
            <color rgb="FF000000"/>
            <rFont val="Times New Roman"/>
            <family val="18"/>
          </rPr>
          <t>als Franz Eusen eingetragen</t>
        </r>
        <r>
          <rPr>
            <sz val="14"/>
            <color rgb="FF000000"/>
            <rFont val="Times New Roman"/>
            <family val="18"/>
          </rPr>
          <t xml:space="preserve">]
</t>
        </r>
        <r>
          <rPr>
            <sz val="14"/>
            <color rgb="FF000000"/>
            <rFont val="Times New Roman"/>
            <family val="18"/>
          </rPr>
          <t xml:space="preserve">09/06/1800 </t>
        </r>
        <r>
          <rPr>
            <i/>
            <sz val="14"/>
            <color rgb="FF000000"/>
            <rFont val="Times New Roman"/>
            <family val="18"/>
          </rPr>
          <t xml:space="preserve">In Kriegsgefangenschaft geraten </t>
        </r>
        <r>
          <rPr>
            <b/>
            <sz val="14"/>
            <color rgb="FF000000"/>
            <rFont val="Times New Roman"/>
            <family val="18"/>
          </rPr>
          <t xml:space="preserve">[Battle of Montebello] </t>
        </r>
        <r>
          <rPr>
            <sz val="14"/>
            <color rgb="FF000000"/>
            <rFont val="Times New Roman"/>
            <family val="18"/>
          </rPr>
          <t xml:space="preserve">[RL 1800]
</t>
        </r>
        <r>
          <rPr>
            <sz val="14"/>
            <color rgb="FF000000"/>
            <rFont val="Times New Roman"/>
            <family val="18"/>
          </rPr>
          <t xml:space="preserve">30/04/1801 </t>
        </r>
        <r>
          <rPr>
            <i/>
            <sz val="14"/>
            <color rgb="FF000000"/>
            <rFont val="Times New Roman"/>
            <family val="18"/>
          </rPr>
          <t>Zu Braunau gegen Auswechslung als ranzionierte präsentiert und seitdem auf anhero Marsch</t>
        </r>
        <r>
          <rPr>
            <sz val="14"/>
            <color rgb="FF000000"/>
            <rFont val="Times New Roman"/>
            <family val="18"/>
          </rPr>
          <t xml:space="preserve"> [RL 1801]
</t>
        </r>
        <r>
          <rPr>
            <sz val="14"/>
            <color rgb="FF000000"/>
            <rFont val="Times New Roman"/>
            <family val="18"/>
          </rPr>
          <t>15/07/</t>
        </r>
        <r>
          <rPr>
            <i/>
            <sz val="14"/>
            <color rgb="FF000000"/>
            <rFont val="Times New Roman"/>
            <family val="18"/>
          </rPr>
          <t>1801In Bataillon eingerückt</t>
        </r>
        <r>
          <rPr>
            <sz val="14"/>
            <color rgb="FF000000"/>
            <rFont val="Times New Roman"/>
            <family val="18"/>
          </rPr>
          <t xml:space="preserve"> [ST Juli 1801]
</t>
        </r>
        <r>
          <rPr>
            <sz val="14"/>
            <color rgb="FF000000"/>
            <rFont val="Times New Roman"/>
            <family val="18"/>
          </rPr>
          <t>28/08/1801 Reduction: LB 4 Haupt Löwel Nr. 50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01/09/1801 </t>
        </r>
        <r>
          <rPr>
            <i/>
            <sz val="14"/>
            <color rgb="FF000000"/>
            <rFont val="Times New Roman"/>
            <family val="18"/>
          </rPr>
          <t>Von Dissolvierte LB 4 zum IR 13 transferiert und zur Haupt Tuzzi Komp. eingeteilt</t>
        </r>
        <r>
          <rPr>
            <sz val="14"/>
            <color rgb="FF000000"/>
            <rFont val="Times New Roman"/>
            <family val="18"/>
          </rPr>
          <t xml:space="preserve"> [ML 1802]
</t>
        </r>
        <r>
          <rPr>
            <sz val="14"/>
            <color rgb="FF000000"/>
            <rFont val="Times New Roman"/>
            <family val="18"/>
          </rPr>
          <t xml:space="preserve">22/09/1802 Muster: IR 13 Haupt Tuzzi Komp. Nr. 104
</t>
        </r>
        <r>
          <rPr>
            <sz val="14"/>
            <color rgb="FF000000"/>
            <rFont val="Times New Roman"/>
            <family val="18"/>
          </rPr>
          <t xml:space="preserve">16/09/1803 Muster Muster: IR 13 Haupt Tuzzi Komp. Nr. 97
</t>
        </r>
        <r>
          <rPr>
            <sz val="14"/>
            <color rgb="FF000000"/>
            <rFont val="Times New Roman"/>
            <family val="18"/>
          </rPr>
          <t>16/01/1807 Muster: IR 13 Haupt. Niederreuther Komp. Nr. 53 [</t>
        </r>
        <r>
          <rPr>
            <i/>
            <sz val="14"/>
            <color rgb="FF000000"/>
            <rFont val="Times New Roman"/>
            <family val="18"/>
          </rPr>
          <t>Auf Rith nach Triest</t>
        </r>
        <r>
          <rPr>
            <sz val="14"/>
            <color rgb="FF000000"/>
            <rFont val="Times New Roman"/>
            <family val="18"/>
          </rPr>
          <t xml:space="preserve">]
</t>
        </r>
        <r>
          <rPr>
            <sz val="14"/>
            <color rgb="FF000000"/>
            <rFont val="Times New Roman"/>
            <family val="18"/>
          </rPr>
          <t xml:space="preserve">20/09/1808 Revision: IR 13 Haupt Bouchot Komp. Nr. 37
</t>
        </r>
        <r>
          <rPr>
            <sz val="14"/>
            <color rgb="FF000000"/>
            <rFont val="Times New Roman"/>
            <family val="18"/>
          </rPr>
          <t xml:space="preserve">16/12/1808 </t>
        </r>
        <r>
          <rPr>
            <i/>
            <sz val="14"/>
            <color rgb="FF000000"/>
            <rFont val="Times New Roman"/>
            <family val="18"/>
          </rPr>
          <t>Von IR 13 Haupt Buchot Komp. zum krainer-kärntnerischen Militar Cordon transferiert und zur 5. Haupt Braunitzer Komp. eingeteilt</t>
        </r>
        <r>
          <rPr>
            <sz val="14"/>
            <color rgb="FF000000"/>
            <rFont val="Times New Roman"/>
            <family val="18"/>
          </rPr>
          <t xml:space="preserve"> [ST Dez 1808 &amp; ST Jan 1809]
</t>
        </r>
        <r>
          <rPr>
            <sz val="14"/>
            <color rgb="FF000000"/>
            <rFont val="Times New Roman"/>
            <family val="18"/>
          </rPr>
          <t xml:space="preserve">05/01/1809 </t>
        </r>
        <r>
          <rPr>
            <i/>
            <sz val="14"/>
            <color rgb="FF000000"/>
            <rFont val="Times New Roman"/>
            <family val="18"/>
          </rPr>
          <t>In Krenzkordon eingerückt</t>
        </r>
        <r>
          <rPr>
            <sz val="14"/>
            <color rgb="FF000000"/>
            <rFont val="Times New Roman"/>
            <family val="18"/>
          </rPr>
          <t xml:space="preserve"> [ST Jan 1809]
</t>
        </r>
        <r>
          <rPr>
            <sz val="14"/>
            <color rgb="FF000000"/>
            <rFont val="Times New Roman"/>
            <family val="18"/>
          </rPr>
          <t xml:space="preserve">31/03/1809 </t>
        </r>
        <r>
          <rPr>
            <i/>
            <sz val="14"/>
            <color rgb="FF000000"/>
            <rFont val="Times New Roman"/>
            <family val="18"/>
          </rPr>
          <t>Von</t>
        </r>
        <r>
          <rPr>
            <sz val="14"/>
            <color rgb="FF000000"/>
            <rFont val="Times New Roman"/>
            <family val="18"/>
          </rPr>
          <t xml:space="preserve"> </t>
        </r>
        <r>
          <rPr>
            <i/>
            <sz val="14"/>
            <color rgb="FF000000"/>
            <rFont val="Times New Roman"/>
            <family val="18"/>
          </rPr>
          <t>krainer-kärntnerischen Militar Cordon zur Sanitäts Companie des 9. Armee Corps transferiert</t>
        </r>
        <r>
          <rPr>
            <sz val="14"/>
            <color rgb="FF000000"/>
            <rFont val="Times New Roman"/>
            <family val="18"/>
          </rPr>
          <t xml:space="preserve"> [ST April 1809]
</t>
        </r>
        <r>
          <rPr>
            <sz val="14"/>
            <color rgb="FF000000"/>
            <rFont val="Times New Roman"/>
            <family val="18"/>
          </rPr>
          <t xml:space="preserve">15/05/1809 </t>
        </r>
        <r>
          <rPr>
            <i/>
            <sz val="14"/>
            <color rgb="FF000000"/>
            <rFont val="Times New Roman"/>
            <family val="18"/>
          </rPr>
          <t>Während die Retirade aus Italien vermisst</t>
        </r>
        <r>
          <rPr>
            <sz val="14"/>
            <color rgb="FF000000"/>
            <rFont val="Times New Roman"/>
            <family val="18"/>
          </rPr>
          <t xml:space="preserve"> [ST Mai 1809]</t>
        </r>
        <r>
          <rPr>
            <sz val="14"/>
            <color rgb="FF000000"/>
            <rFont val="Calibri"/>
            <family val="34"/>
          </rPr>
          <t xml:space="preserve">
</t>
        </r>
        <r>
          <rPr>
            <sz val="14"/>
            <color rgb="FF000000"/>
            <rFont val="Calibri"/>
            <family val="34"/>
          </rPr>
          <t xml:space="preserve">
</t>
        </r>
      </text>
    </comment>
    <comment ref="BG73" authorId="0" shapeId="0" xr:uid="{06DBB34D-F5BD-CA48-BEA7-858A5CD57507}">
      <text>
        <r>
          <rPr>
            <sz val="14"/>
            <color rgb="FF000000"/>
            <rFont val="Times New Roman"/>
            <family val="18"/>
          </rPr>
          <t xml:space="preserve">ML 10.763 FK Grün Laudon (1797-98) – RL Haupt Quenaudon Komp. Nr. 127 (Maria Saal 19/06/1797); RL Haupt Quenaudon Komp. Nr. 113 (Rovigo 07/03/1798)
</t>
        </r>
        <r>
          <rPr>
            <sz val="14"/>
            <color rgb="FF000000"/>
            <rFont val="Times New Roman"/>
            <family val="18"/>
          </rPr>
          <t xml:space="preserve">ML 10.630 LB 4 (1798-1801) – RL Haupt Quenaudon Komp. Nr. 109 (Rovigo 30/06/1798)
</t>
        </r>
        <r>
          <rPr>
            <sz val="14"/>
            <color rgb="FF000000"/>
            <rFont val="Times New Roman"/>
            <family val="18"/>
          </rPr>
          <t xml:space="preserve">RL Haupt Quenaudon Komp. Nr. 107 (Rovigo 22/01/1799); RL Haupt Quenaudon Komp. Nr. 88 (Pisa 04/03/1800); RL Haupt Löwel Nr. 50 (Furriaco 28/08/1801)
</t>
        </r>
        <r>
          <rPr>
            <sz val="14"/>
            <color rgb="FF000000"/>
            <rFont val="Times New Roman"/>
            <family val="18"/>
          </rPr>
          <t xml:space="preserve">ML 10.632 LB 4 (1801) – TL LB 4-&gt;IR 13 Nr. 126 (Görz 30/09/1801); ST Juli (Görz 05/10/1801)
</t>
        </r>
        <r>
          <rPr>
            <sz val="14"/>
            <color rgb="FF000000"/>
            <rFont val="Times New Roman"/>
            <family val="18"/>
          </rPr>
          <t xml:space="preserve">10.045/6 IR 13 (1802) – Haupt Tuzzi Komp. Nr. 104 (Görz 22/09/1802)
</t>
        </r>
        <r>
          <rPr>
            <sz val="14"/>
            <color rgb="FF000000"/>
            <rFont val="Times New Roman"/>
            <family val="18"/>
          </rPr>
          <t xml:space="preserve">ML 10.047/8 IR 13 (1803): ML Haupt Tuzzy Komp. Nr. 97 (Exerzierlager bei St. Andra neben Görz 16/09/1803)
</t>
        </r>
        <r>
          <rPr>
            <sz val="14"/>
            <color rgb="FF000000"/>
            <rFont val="Times New Roman"/>
            <family val="18"/>
          </rPr>
          <t xml:space="preserve">ML 10.050/1 IR 13 (1806): Haupt Niederreuther Komp. Nr. 53 (Grignano 16/01/1807)
</t>
        </r>
        <r>
          <rPr>
            <sz val="14"/>
            <color rgb="FF000000"/>
            <rFont val="Times New Roman"/>
            <family val="18"/>
          </rPr>
          <t xml:space="preserve">ML 10.052 IR 13 (1808-10): RL Haupt Bouchot Komp. 37 (Triest 20/09/1808)
</t>
        </r>
        <r>
          <rPr>
            <sz val="14"/>
            <color rgb="FF000000"/>
            <rFont val="Times New Roman"/>
            <family val="18"/>
          </rPr>
          <t xml:space="preserve">ML 10.094 IR 13 (1808): ST Dez (Triest 23/01/1809)
</t>
        </r>
        <r>
          <rPr>
            <sz val="14"/>
            <color rgb="FF000000"/>
            <rFont val="Times New Roman"/>
            <family val="18"/>
          </rPr>
          <t xml:space="preserve">ML 11.016 GK </t>
        </r>
        <r>
          <rPr>
            <i/>
            <sz val="14"/>
            <color rgb="FF000000"/>
            <rFont val="Times New Roman"/>
            <family val="18"/>
          </rPr>
          <t xml:space="preserve">Kr-Kärn </t>
        </r>
        <r>
          <rPr>
            <sz val="14"/>
            <color rgb="FF000000"/>
            <rFont val="Times New Roman"/>
            <family val="18"/>
          </rPr>
          <t xml:space="preserve">(1809): ST Jan (Laibach 14/02/1809), ST April (Graz 03/01/1811)
</t>
        </r>
        <r>
          <rPr>
            <sz val="14"/>
            <color rgb="FF000000"/>
            <rFont val="Times New Roman"/>
            <family val="18"/>
          </rPr>
          <t xml:space="preserve">ML 9954 Sanitäts-Komps. (1809) – ST 9. Komp. Mai (Graz 26/06/1810)
</t>
        </r>
      </text>
    </comment>
    <comment ref="BH73" authorId="0" shapeId="0" xr:uid="{B177A8A9-C400-CF42-BC3E-A2B9B174C3EE}">
      <text>
        <r>
          <rPr>
            <sz val="14"/>
            <color rgb="FF000000"/>
            <rFont val="Times New Roman"/>
            <family val="18"/>
          </rPr>
          <t xml:space="preserve">FK Grün Loudon (1796-1798)
</t>
        </r>
        <r>
          <rPr>
            <sz val="14"/>
            <color rgb="FF000000"/>
            <rFont val="Times New Roman"/>
            <family val="18"/>
          </rPr>
          <t xml:space="preserve">LB 4 (1798-1801)
</t>
        </r>
        <r>
          <rPr>
            <sz val="14"/>
            <color rgb="FF000000"/>
            <rFont val="Times New Roman"/>
            <family val="18"/>
          </rPr>
          <t xml:space="preserve">IR 13 (1801-1808)
</t>
        </r>
        <r>
          <rPr>
            <sz val="14"/>
            <color rgb="FF000000"/>
            <rFont val="Times New Roman"/>
            <family val="18"/>
          </rPr>
          <t xml:space="preserve">GK KrKärn (1808-1809)
</t>
        </r>
        <r>
          <rPr>
            <sz val="14"/>
            <color rgb="FF000000"/>
            <rFont val="Times New Roman"/>
            <family val="18"/>
          </rPr>
          <t xml:space="preserve">Sänitats Komp. 9 (1809) 
</t>
        </r>
      </text>
    </comment>
    <comment ref="BF74" authorId="0" shapeId="0" xr:uid="{E78A50BD-4933-9E4A-9D86-BBE769B3BD61}">
      <text>
        <r>
          <rPr>
            <sz val="14"/>
            <color rgb="FF000000"/>
            <rFont val="Times New Roman"/>
            <family val="18"/>
          </rPr>
          <t xml:space="preserve">08/07/1796 </t>
        </r>
        <r>
          <rPr>
            <i/>
            <sz val="14"/>
            <color rgb="FF000000"/>
            <rFont val="Times New Roman"/>
            <family val="18"/>
          </rPr>
          <t xml:space="preserve">Auf 10 Fl Werbgeld (3Fl 30Xr Handgeld, 2Fl Angbringsgeld und 4Fl 30Xr Sonstige Umkosten) in Brody zur FK O’Donnel Assentiert </t>
        </r>
        <r>
          <rPr>
            <sz val="14"/>
            <color rgb="FF000000"/>
            <rFont val="Times New Roman"/>
            <family val="18"/>
          </rPr>
          <t xml:space="preserve">[AL July 1796]
</t>
        </r>
        <r>
          <rPr>
            <sz val="14"/>
            <color rgb="FF000000"/>
            <rFont val="Calibri"/>
            <family val="34"/>
          </rPr>
          <t xml:space="preserve">
</t>
        </r>
      </text>
    </comment>
    <comment ref="BG74" authorId="0" shapeId="0" xr:uid="{5BE35CC0-D60C-C54C-8D9A-408E0CECC3A6}">
      <text>
        <r>
          <rPr>
            <sz val="14"/>
            <color rgb="FF000000"/>
            <rFont val="Times New Roman"/>
            <family val="18"/>
          </rPr>
          <t xml:space="preserve">ML 10.761 FK O’Donnel (1793-6) – AL Brody Nr. 5 (14/07/1796)
</t>
        </r>
      </text>
    </comment>
    <comment ref="BH74" authorId="0" shapeId="0" xr:uid="{73F46EB6-B887-A540-8383-396E5FD7B985}">
      <text>
        <r>
          <rPr>
            <sz val="14"/>
            <color rgb="FF000000"/>
            <rFont val="Times New Roman"/>
            <family val="18"/>
          </rPr>
          <t xml:space="preserve">FK O'Donnel </t>
        </r>
        <r>
          <rPr>
            <sz val="14"/>
            <color rgb="FF000000"/>
            <rFont val="Calibri"/>
            <family val="34"/>
          </rPr>
          <t>(1796)</t>
        </r>
      </text>
    </comment>
    <comment ref="BF75" authorId="0" shapeId="0" xr:uid="{9F14C433-D7DE-E840-92CF-54072E004741}">
      <text>
        <r>
          <rPr>
            <sz val="14"/>
            <color rgb="FF000000"/>
            <rFont val="Times New Roman"/>
            <family val="18"/>
          </rPr>
          <t xml:space="preserve">12/07/1796 </t>
        </r>
        <r>
          <rPr>
            <i/>
            <sz val="14"/>
            <color rgb="FF000000"/>
            <rFont val="Times New Roman"/>
            <family val="18"/>
          </rPr>
          <t>Auf 12 Fl Werbgeld (3Fl 30Xr Handgeld, 2Fl Angbringsgeld und 6Fl 30Xr Sonstige Umkosten) aud die Zeit des Krieges in Brody zur FK O’Donnel Assentiert</t>
        </r>
        <r>
          <rPr>
            <sz val="14"/>
            <color rgb="FF000000"/>
            <rFont val="Times New Roman"/>
            <family val="18"/>
          </rPr>
          <t xml:space="preserve"> [AL July 1796]</t>
        </r>
        <r>
          <rPr>
            <sz val="14"/>
            <color rgb="FF000000"/>
            <rFont val="Calibri"/>
            <family val="34"/>
          </rPr>
          <t xml:space="preserve">
</t>
        </r>
        <r>
          <rPr>
            <sz val="14"/>
            <color rgb="FFFF0000"/>
            <rFont val="Times New Roman"/>
            <family val="18"/>
          </rPr>
          <t xml:space="preserve">14/06/1796 </t>
        </r>
        <r>
          <rPr>
            <i/>
            <sz val="14"/>
            <color rgb="FFFF0000"/>
            <rFont val="Times New Roman"/>
            <family val="18"/>
          </rPr>
          <t>In O’Donnel Freicorps auf die Kriegszeit assentiert</t>
        </r>
        <r>
          <rPr>
            <sz val="14"/>
            <color rgb="FFFF0000"/>
            <rFont val="Times New Roman"/>
            <family val="18"/>
          </rPr>
          <t xml:space="preserve"> [GB 1801]</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dissolvierte O’Donnel’s Freycorps ins LB 1 ‚Strozzi‘ transferiert und zum Haupt Reinisch Comp eingeteilt</t>
        </r>
        <r>
          <rPr>
            <sz val="14"/>
            <color rgb="FF000000"/>
            <rFont val="Times New Roman"/>
            <family val="18"/>
          </rPr>
          <t xml:space="preserve"> [GB 1801]</t>
        </r>
        <r>
          <rPr>
            <sz val="14"/>
            <color rgb="FF000000"/>
            <rFont val="Calibri"/>
            <family val="34"/>
          </rPr>
          <t xml:space="preserve">
</t>
        </r>
        <r>
          <rPr>
            <sz val="14"/>
            <color rgb="FF000000"/>
            <rFont val="Times New Roman"/>
            <family val="18"/>
          </rPr>
          <t xml:space="preserve">07/03/1799 </t>
        </r>
        <r>
          <rPr>
            <i/>
            <sz val="14"/>
            <color rgb="FF000000"/>
            <rFont val="Times New Roman"/>
            <family val="18"/>
          </rPr>
          <t>Ins Kriegsgefangenschaft Gefallen</t>
        </r>
        <r>
          <rPr>
            <sz val="14"/>
            <color rgb="FF000000"/>
            <rFont val="Times New Roman"/>
            <family val="18"/>
          </rPr>
          <t xml:space="preserve"> </t>
        </r>
        <r>
          <rPr>
            <b/>
            <sz val="14"/>
            <color rgb="FF000000"/>
            <rFont val="Times New Roman"/>
            <family val="18"/>
          </rPr>
          <t>[Battle near chur]</t>
        </r>
        <r>
          <rPr>
            <sz val="14"/>
            <color rgb="FF000000"/>
            <rFont val="Times New Roman"/>
            <family val="18"/>
          </rPr>
          <t xml:space="preserve"> (ST March 1799)</t>
        </r>
        <r>
          <rPr>
            <sz val="14"/>
            <color rgb="FF000000"/>
            <rFont val="Calibri"/>
            <family val="34"/>
          </rPr>
          <t xml:space="preserve">
</t>
        </r>
      </text>
    </comment>
    <comment ref="BG75" authorId="0" shapeId="0" xr:uid="{8D98B8DE-A50D-B440-A3A4-A3CD45073D93}">
      <text>
        <r>
          <rPr>
            <sz val="14"/>
            <color rgb="FF000000"/>
            <rFont val="Times New Roman"/>
            <family val="18"/>
          </rPr>
          <t>ML 10.761 FK O’Donnel (1793-6) – AL Brody Nr. 5 (14/07/1796)</t>
        </r>
        <r>
          <rPr>
            <sz val="14"/>
            <color rgb="FF000000"/>
            <rFont val="Calibri"/>
            <family val="34"/>
          </rPr>
          <t xml:space="preserve">
</t>
        </r>
        <r>
          <rPr>
            <sz val="14"/>
            <color rgb="FF000000"/>
            <rFont val="Times New Roman"/>
            <family val="18"/>
          </rPr>
          <t>ML 10.614 LB 1 (1798-1801) – GB ‘Leibel MOSZKOWITZ‘</t>
        </r>
        <r>
          <rPr>
            <sz val="14"/>
            <color rgb="FF000000"/>
            <rFont val="Calibri"/>
            <family val="34"/>
          </rPr>
          <t xml:space="preserve">
</t>
        </r>
      </text>
    </comment>
    <comment ref="BH75" authorId="0" shapeId="0" xr:uid="{C3D0CF87-2958-ED45-B4A4-28981EB8737A}">
      <text>
        <r>
          <rPr>
            <sz val="14"/>
            <color rgb="FF000000"/>
            <rFont val="Times New Roman"/>
            <family val="18"/>
          </rPr>
          <t xml:space="preserve">FK O'Donnel </t>
        </r>
        <r>
          <rPr>
            <sz val="14"/>
            <color rgb="FF000000"/>
            <rFont val="Calibri"/>
            <family val="34"/>
          </rPr>
          <t xml:space="preserve">(1796-98)
</t>
        </r>
        <r>
          <rPr>
            <sz val="14"/>
            <color rgb="FF000000"/>
            <rFont val="Calibri"/>
            <family val="34"/>
          </rPr>
          <t>LB 1 (1798-1799)</t>
        </r>
      </text>
    </comment>
    <comment ref="BF76" authorId="0" shapeId="0" xr:uid="{41557F82-6AC7-8B4B-A99C-03D4BF718FF5}">
      <text>
        <r>
          <rPr>
            <sz val="14"/>
            <color rgb="FF000000"/>
            <rFont val="Times New Roman"/>
            <family val="18"/>
          </rPr>
          <t xml:space="preserve">07/08/1796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07/08/1796 </t>
        </r>
        <r>
          <rPr>
            <i/>
            <sz val="14"/>
            <color rgb="FF000000"/>
            <rFont val="Times New Roman"/>
            <family val="18"/>
          </rPr>
          <t>Von MFWK 99. Artillerie Reserve Division zu IR 1 3. Bat transferiert</t>
        </r>
        <r>
          <rPr>
            <sz val="14"/>
            <color rgb="FF000000"/>
            <rFont val="Times New Roman"/>
            <family val="18"/>
          </rPr>
          <t xml:space="preserve"> [TL Aug 1796]</t>
        </r>
        <r>
          <rPr>
            <sz val="14"/>
            <color rgb="FF000000"/>
            <rFont val="Calibri"/>
            <family val="34"/>
          </rPr>
          <t xml:space="preserve">
</t>
        </r>
        <r>
          <rPr>
            <sz val="14"/>
            <color rgb="FF000000"/>
            <rFont val="Times New Roman"/>
            <family val="18"/>
          </rPr>
          <t xml:space="preserve">20/11/1796 </t>
        </r>
        <r>
          <rPr>
            <i/>
            <sz val="14"/>
            <color rgb="FF000000"/>
            <rFont val="Times New Roman"/>
            <family val="18"/>
          </rPr>
          <t>Als Krank in das k:k: Aufnahme Spital zu Appenweyer Von IR 1 zum MFWK 79. Pro Cento Artillerie Division übergeben</t>
        </r>
        <r>
          <rPr>
            <sz val="14"/>
            <color rgb="FF000000"/>
            <rFont val="Times New Roman"/>
            <family val="18"/>
          </rPr>
          <t xml:space="preserve"> [TL July 1798]</t>
        </r>
        <r>
          <rPr>
            <sz val="14"/>
            <color rgb="FF000000"/>
            <rFont val="Calibri"/>
            <family val="34"/>
          </rPr>
          <t xml:space="preserve">
</t>
        </r>
        <r>
          <rPr>
            <sz val="14"/>
            <color rgb="FF000000"/>
            <rFont val="Calibri"/>
            <family val="34"/>
          </rPr>
          <t xml:space="preserve">
</t>
        </r>
      </text>
    </comment>
    <comment ref="BG76" authorId="0" shapeId="0" xr:uid="{94D43567-827F-6E45-8FBC-86342B86709E}">
      <text>
        <r>
          <rPr>
            <sz val="14"/>
            <color rgb="FF000000"/>
            <rFont val="Times New Roman"/>
            <family val="18"/>
          </rPr>
          <t>ML 65 IR 1 (1796) – ST Aug (29/11/1799)</t>
        </r>
        <r>
          <rPr>
            <sz val="14"/>
            <color rgb="FF000000"/>
            <rFont val="Calibri"/>
            <family val="34"/>
          </rPr>
          <t xml:space="preserve">
</t>
        </r>
        <r>
          <rPr>
            <sz val="14"/>
            <color rgb="FF000000"/>
            <rFont val="Times New Roman"/>
            <family val="18"/>
          </rPr>
          <t>ML 66/7 IR 1 (1796) – TL MFWK-&gt;IR 1 Nr. 4 (Botschgardo 07/08/1796); TL IR 1-&gt; MFWK (Breisgau 20/07/1798)</t>
        </r>
        <r>
          <rPr>
            <sz val="14"/>
            <color rgb="FF000000"/>
            <rFont val="Calibri"/>
            <family val="34"/>
          </rPr>
          <t xml:space="preserve">
</t>
        </r>
      </text>
    </comment>
    <comment ref="BH76" authorId="0" shapeId="0" xr:uid="{4A25D3AE-A569-3043-80BC-336307612455}">
      <text>
        <r>
          <rPr>
            <sz val="14"/>
            <color rgb="FF000000"/>
            <rFont val="Times New Roman"/>
            <family val="18"/>
          </rPr>
          <t>MFWK (1796)</t>
        </r>
      </text>
    </comment>
    <comment ref="BF77" authorId="0" shapeId="0" xr:uid="{A3998029-2454-AD4E-8371-658033082524}">
      <text>
        <r>
          <rPr>
            <sz val="14"/>
            <color rgb="FF000000"/>
            <rFont val="Times New Roman"/>
            <family val="18"/>
          </rPr>
          <t xml:space="preserve">15/09/1796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1796]</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die Reserve Division eigeruckt</t>
        </r>
        <r>
          <rPr>
            <sz val="14"/>
            <color rgb="FF000000"/>
            <rFont val="Times New Roman"/>
            <family val="18"/>
          </rPr>
          <t xml:space="preserve"> [ST Dec 1796]</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auswärts mit Kriegsgebühr</t>
        </r>
        <r>
          <rPr>
            <sz val="14"/>
            <color rgb="FF000000"/>
            <rFont val="Times New Roman"/>
            <family val="18"/>
          </rPr>
          <t xml:space="preserve"> [ST Mai 1797]</t>
        </r>
        <r>
          <rPr>
            <sz val="14"/>
            <color rgb="FF000000"/>
            <rFont val="Calibri"/>
            <family val="34"/>
          </rPr>
          <t xml:space="preserve">
</t>
        </r>
        <r>
          <rPr>
            <sz val="14"/>
            <color rgb="FF000000"/>
            <rFont val="Times New Roman"/>
            <family val="18"/>
          </rPr>
          <t xml:space="preserve">31/10/1797 [bis Mindestens] </t>
        </r>
        <r>
          <rPr>
            <i/>
            <sz val="14"/>
            <color rgb="FF000000"/>
            <rFont val="Times New Roman"/>
            <family val="18"/>
          </rPr>
          <t>Krank auswärts mit Kriegsgebühr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31/10/1798 [Früher als] UNBEKANNT: vermutlich im Spital gestorben oder verloren gegangen [ML 1799]</t>
        </r>
        <r>
          <rPr>
            <sz val="14"/>
            <color rgb="FF000000"/>
            <rFont val="Calibri"/>
            <family val="34"/>
          </rPr>
          <t xml:space="preserve">
</t>
        </r>
      </text>
    </comment>
    <comment ref="BG77" authorId="0" shapeId="0" xr:uid="{FE9BC942-8338-FF4D-B205-C4F74064FF06}">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r>
          <rPr>
            <sz val="14"/>
            <color rgb="FF000000"/>
            <rFont val="Calibri"/>
            <family val="34"/>
          </rPr>
          <t xml:space="preserve">
</t>
        </r>
        <r>
          <rPr>
            <sz val="14"/>
            <color rgb="FF000000"/>
            <rFont val="Times New Roman"/>
            <family val="18"/>
          </rPr>
          <t>ML 10.305 IR 43 (1797) – ST Feb (09/03/1802), ST Mai (01/06/1803) und Okt (31/05/1805)</t>
        </r>
      </text>
    </comment>
    <comment ref="BH77" authorId="0" shapeId="0" xr:uid="{527FBB12-E17E-FC4A-AA5C-756669EF6DA2}">
      <text>
        <r>
          <rPr>
            <sz val="14"/>
            <color rgb="FF000000"/>
            <rFont val="Calibri"/>
            <family val="34"/>
          </rPr>
          <t>IR 43 (1796-1797/8)</t>
        </r>
      </text>
    </comment>
    <comment ref="BF78" authorId="0" shapeId="0" xr:uid="{C6171023-7AFD-A244-AADA-9E75C5C9A6CB}">
      <text>
        <r>
          <rPr>
            <sz val="14"/>
            <color rgb="FF000000"/>
            <rFont val="Times New Roman"/>
            <family val="18"/>
          </rPr>
          <t xml:space="preserve">24/09/1796 </t>
        </r>
        <r>
          <rPr>
            <i/>
            <sz val="14"/>
            <color rgb="FF000000"/>
            <rFont val="Times New Roman"/>
            <family val="18"/>
          </rPr>
          <t>Von galizischen Ständen gestellt und a 3Fl Handgeld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Lieb Komp. Nr. 63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10/02/1803 </t>
        </r>
        <r>
          <rPr>
            <i/>
            <sz val="14"/>
            <color rgb="FF000000"/>
            <rFont val="Times New Roman"/>
            <family val="18"/>
          </rPr>
          <t>Als Reale Invalid mit Laufpaß entlassen</t>
        </r>
        <r>
          <rPr>
            <sz val="14"/>
            <color rgb="FF000000"/>
            <rFont val="Times New Roman"/>
            <family val="18"/>
          </rPr>
          <t xml:space="preserve"> [ML 1803]</t>
        </r>
        <r>
          <rPr>
            <sz val="14"/>
            <color rgb="FF000000"/>
            <rFont val="Calibri"/>
            <family val="2"/>
          </rPr>
          <t xml:space="preserve"> </t>
        </r>
      </text>
    </comment>
    <comment ref="BG78" authorId="0" shapeId="0" xr:uid="{BA234232-8DD4-374D-80C2-B7E0A5CABD50}">
      <text>
        <r>
          <rPr>
            <sz val="14"/>
            <color rgb="FF000000"/>
            <rFont val="Times New Roman"/>
            <family val="18"/>
          </rPr>
          <t>ML 10.124 IR 23 (1802) – Lieb Komp. Nr. 63 (Krems 09/09/1802)</t>
        </r>
        <r>
          <rPr>
            <sz val="14"/>
            <color rgb="FF000000"/>
            <rFont val="Calibri"/>
            <family val="34"/>
          </rPr>
          <t xml:space="preserve">
</t>
        </r>
        <r>
          <rPr>
            <sz val="14"/>
            <color rgb="FF000000"/>
            <rFont val="Times New Roman"/>
            <family val="18"/>
          </rPr>
          <t>ML 10.125 IR 23 (1802) – Lieb Komp. Abgang (Execierlager bei St Pölten 07/09/1803)</t>
        </r>
      </text>
    </comment>
    <comment ref="BH78" authorId="0" shapeId="0" xr:uid="{610E6B42-5359-E947-BEB5-1FFC0E686CB5}">
      <text>
        <r>
          <rPr>
            <sz val="14"/>
            <color rgb="FF000000"/>
            <rFont val="Calibri"/>
            <family val="34"/>
          </rPr>
          <t>IR 23 (1796-1803)</t>
        </r>
      </text>
    </comment>
    <comment ref="BF79" authorId="0" shapeId="0" xr:uid="{15777114-51FE-4A4C-BD13-1B6DBD81B344}">
      <text>
        <r>
          <rPr>
            <sz val="14"/>
            <color rgb="FF000000"/>
            <rFont val="Times New Roman"/>
            <family val="18"/>
          </rPr>
          <t xml:space="preserve">24/09/1796 </t>
        </r>
        <r>
          <rPr>
            <i/>
            <sz val="14"/>
            <color rgb="FF000000"/>
            <rFont val="Times New Roman"/>
            <family val="18"/>
          </rPr>
          <t>Von Ständen Gestellt und a 3Fl auf Kriegsdauer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74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64</t>
        </r>
        <r>
          <rPr>
            <sz val="14"/>
            <color rgb="FF000000"/>
            <rFont val="Calibri"/>
            <family val="34"/>
          </rPr>
          <t xml:space="preserve">
</t>
        </r>
        <r>
          <rPr>
            <sz val="14"/>
            <color rgb="FF000000"/>
            <rFont val="Times New Roman"/>
            <family val="18"/>
          </rPr>
          <t>13/09/1804 Muster: IR 23 Haupt Hochegg Nr. 62 [</t>
        </r>
        <r>
          <rPr>
            <i/>
            <sz val="14"/>
            <color rgb="FF000000"/>
            <rFont val="Times New Roman"/>
            <family val="18"/>
          </rPr>
          <t>Krank in Wien</t>
        </r>
        <r>
          <rPr>
            <sz val="14"/>
            <color rgb="FF000000"/>
            <rFont val="Times New Roman"/>
            <family val="18"/>
          </rPr>
          <t>]</t>
        </r>
        <r>
          <rPr>
            <sz val="14"/>
            <color rgb="FF000000"/>
            <rFont val="Calibri"/>
            <family val="34"/>
          </rPr>
          <t xml:space="preserve">
</t>
        </r>
        <r>
          <rPr>
            <sz val="14"/>
            <color rgb="FF000000"/>
            <rFont val="Times New Roman"/>
            <family val="18"/>
          </rPr>
          <t xml:space="preserve">20/06/1805 </t>
        </r>
        <r>
          <rPr>
            <i/>
            <sz val="14"/>
            <color rgb="FF000000"/>
            <rFont val="Times New Roman"/>
            <family val="18"/>
          </rPr>
          <t>Als ausgedienter Capitulant mit Abschied entlassen</t>
        </r>
        <r>
          <rPr>
            <sz val="14"/>
            <color rgb="FF000000"/>
            <rFont val="Times New Roman"/>
            <family val="18"/>
          </rPr>
          <t xml:space="preserve"> [ML 1807]</t>
        </r>
      </text>
    </comment>
    <comment ref="BG79" authorId="0" shapeId="0" xr:uid="{4CDFD75F-C2CA-D74C-9DF8-544520D52DE3}">
      <text>
        <r>
          <rPr>
            <sz val="14"/>
            <color rgb="FF000000"/>
            <rFont val="Times New Roman"/>
            <family val="18"/>
          </rPr>
          <t>ML 10.124 IR 23 (1802) – Haupt Hochegg Komp. Nr. 74 (Krems 09/09/1802)</t>
        </r>
        <r>
          <rPr>
            <sz val="14"/>
            <color rgb="FF000000"/>
            <rFont val="Calibri"/>
            <family val="34"/>
          </rPr>
          <t xml:space="preserve">
</t>
        </r>
        <r>
          <rPr>
            <sz val="14"/>
            <color rgb="FF000000"/>
            <rFont val="Times New Roman"/>
            <family val="18"/>
          </rPr>
          <t>ML 10.125 IR 23 (1803) – Haupt Hochegg Komp. Nr. 64 (Execierlager bei St Pölten 07/09/1803)</t>
        </r>
        <r>
          <rPr>
            <sz val="14"/>
            <color rgb="FF000000"/>
            <rFont val="Calibri"/>
            <family val="34"/>
          </rPr>
          <t xml:space="preserve">
</t>
        </r>
        <r>
          <rPr>
            <sz val="14"/>
            <color rgb="FF000000"/>
            <rFont val="Times New Roman"/>
            <family val="18"/>
          </rPr>
          <t>10.126 IR 23 (1804) – Haupt Hochegg Komp. Nr. 62 (Vienna 13/09/1804)</t>
        </r>
        <r>
          <rPr>
            <sz val="14"/>
            <color rgb="FF000000"/>
            <rFont val="Calibri"/>
            <family val="34"/>
          </rPr>
          <t xml:space="preserve">
</t>
        </r>
        <r>
          <rPr>
            <sz val="14"/>
            <color rgb="FF000000"/>
            <rFont val="Times New Roman"/>
            <family val="18"/>
          </rPr>
          <t>ML 10.127/8 IR 23 (1807) – Haupt Della Torre Komp. Abgang (Korneuburg 24/01/1807)</t>
        </r>
      </text>
    </comment>
    <comment ref="BH79" authorId="0" shapeId="0" xr:uid="{99C66EA9-6D8A-6946-9AF2-04591CCDE709}">
      <text>
        <r>
          <rPr>
            <sz val="14"/>
            <color rgb="FF000000"/>
            <rFont val="Calibri"/>
            <family val="34"/>
          </rPr>
          <t>IR 23 (1796-1805)</t>
        </r>
      </text>
    </comment>
    <comment ref="BF80" authorId="0" shapeId="0" xr:uid="{F3EE35BB-677D-2A44-8F3C-F4BACA68441B}">
      <text>
        <r>
          <rPr>
            <sz val="14"/>
            <color rgb="FF000000"/>
            <rFont val="Times New Roman"/>
            <family val="18"/>
          </rPr>
          <t xml:space="preserve">25/09/1796 </t>
        </r>
        <r>
          <rPr>
            <i/>
            <sz val="14"/>
            <color rgb="FF000000"/>
            <rFont val="Times New Roman"/>
            <family val="18"/>
          </rPr>
          <t>A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In die Gefangenschaft gefallen</t>
        </r>
        <r>
          <rPr>
            <sz val="14"/>
            <color rgb="FF000000"/>
            <rFont val="Times New Roman"/>
            <family val="18"/>
          </rPr>
          <t xml:space="preserve"> </t>
        </r>
        <r>
          <rPr>
            <b/>
            <sz val="14"/>
            <color rgb="FF000000"/>
            <rFont val="Times New Roman"/>
            <family val="18"/>
          </rPr>
          <t>[Bei Genua]</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12/04/1800 </t>
        </r>
        <r>
          <rPr>
            <i/>
            <sz val="14"/>
            <color rgb="FF000000"/>
            <rFont val="Times New Roman"/>
            <family val="18"/>
          </rPr>
          <t>gegen Auswechslung 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Nr. 36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r>
          <rPr>
            <sz val="14"/>
            <color rgb="FF000000"/>
            <rFont val="Calibri"/>
            <family val="34"/>
          </rPr>
          <t xml:space="preserve">
</t>
        </r>
      </text>
    </comment>
    <comment ref="BG80" authorId="0" shapeId="0" xr:uid="{18988A90-E32D-D446-AEA0-0F2FFB512A0C}">
      <text>
        <r>
          <rPr>
            <sz val="14"/>
            <color rgb="FF000000"/>
            <rFont val="Times New Roman"/>
            <family val="18"/>
          </rPr>
          <t>ML 5015 IR 59 (1803) –Haupt Setlinger Komp. Nr. 36 (Enns 29/08/1803)</t>
        </r>
        <r>
          <rPr>
            <sz val="14"/>
            <color rgb="FF000000"/>
            <rFont val="Calibri"/>
            <family val="34"/>
          </rPr>
          <t xml:space="preserve">
</t>
        </r>
        <r>
          <rPr>
            <sz val="14"/>
            <color rgb="FF000000"/>
            <rFont val="Times New Roman"/>
            <family val="18"/>
          </rPr>
          <t>ML 5016 IR 59 (1804) –Haupt Setlinger Komp. Abgang (Innsbruck 03/09/1804)</t>
        </r>
      </text>
    </comment>
    <comment ref="BH80" authorId="0" shapeId="0" xr:uid="{D1349EA6-61A4-334B-8C1E-06D2E50F3CC5}">
      <text>
        <r>
          <rPr>
            <sz val="14"/>
            <color rgb="FF000000"/>
            <rFont val="Calibri"/>
            <family val="34"/>
          </rPr>
          <t>IR 43 (1796-1803)</t>
        </r>
      </text>
    </comment>
    <comment ref="BF81" authorId="0" shapeId="0" xr:uid="{F983C3CB-E63A-D749-A4E0-4556A2D4B7E8}">
      <text>
        <r>
          <rPr>
            <sz val="14"/>
            <color rgb="FF000000"/>
            <rFont val="Times New Roman"/>
            <family val="18"/>
          </rPr>
          <t xml:space="preserve">26/09/1796 </t>
        </r>
        <r>
          <rPr>
            <i/>
            <sz val="14"/>
            <color rgb="FF000000"/>
            <rFont val="Times New Roman"/>
            <family val="18"/>
          </rPr>
          <t>Von Ständen gestellt und a 3Fl auf Kriegsdauer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65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64 [</t>
        </r>
        <r>
          <rPr>
            <i/>
            <sz val="14"/>
            <color rgb="FF000000"/>
            <rFont val="Times New Roman"/>
            <family val="18"/>
          </rPr>
          <t>Beurlaubt in seinem Geburtsort auf Bestimmte Zeit</t>
        </r>
        <r>
          <rPr>
            <sz val="14"/>
            <color rgb="FF000000"/>
            <rFont val="Times New Roman"/>
            <family val="18"/>
          </rPr>
          <t>]</t>
        </r>
        <r>
          <rPr>
            <sz val="14"/>
            <color rgb="FF000000"/>
            <rFont val="Calibri"/>
            <family val="34"/>
          </rPr>
          <t xml:space="preserve">
</t>
        </r>
        <r>
          <rPr>
            <sz val="14"/>
            <color rgb="FF000000"/>
            <rFont val="Times New Roman"/>
            <family val="18"/>
          </rPr>
          <t>13/09/1804 Muster: IR 23 Haupt Hochegg Nr. 63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 </t>
        </r>
      </text>
    </comment>
    <comment ref="BG81" authorId="0" shapeId="0" xr:uid="{01ED9CAE-8CAF-FB45-BBC2-8D914E8EED02}">
      <text>
        <r>
          <rPr>
            <sz val="14"/>
            <color rgb="FF000000"/>
            <rFont val="Times New Roman"/>
            <family val="18"/>
          </rPr>
          <t>ML 10.124 IR 23 (1802) – Haupt Hochegg Komp. Nr. 75 (Krems 09/09/1802)</t>
        </r>
        <r>
          <rPr>
            <sz val="14"/>
            <color rgb="FF000000"/>
            <rFont val="Calibri"/>
            <family val="34"/>
          </rPr>
          <t xml:space="preserve">
</t>
        </r>
        <r>
          <rPr>
            <sz val="14"/>
            <color rgb="FF000000"/>
            <rFont val="Times New Roman"/>
            <family val="18"/>
          </rPr>
          <t>ML 10.125 IR 23 (1803) – Haupt Hochegg Komp. Nr. 65 (Execierlager bei St Pölten 07/09/1803)</t>
        </r>
        <r>
          <rPr>
            <sz val="14"/>
            <color rgb="FF000000"/>
            <rFont val="Calibri"/>
            <family val="34"/>
          </rPr>
          <t xml:space="preserve">
</t>
        </r>
        <r>
          <rPr>
            <sz val="14"/>
            <color rgb="FF000000"/>
            <rFont val="Times New Roman"/>
            <family val="18"/>
          </rPr>
          <t>10.126 IR 23 (1804) – Haupt Hochegg Komp. Nr. 63 (Vienna 13/09/1804)</t>
        </r>
        <r>
          <rPr>
            <sz val="14"/>
            <color rgb="FF000000"/>
            <rFont val="Calibri"/>
            <family val="34"/>
          </rPr>
          <t xml:space="preserve">
</t>
        </r>
        <r>
          <rPr>
            <sz val="14"/>
            <color rgb="FF000000"/>
            <rFont val="Times New Roman"/>
            <family val="18"/>
          </rPr>
          <t>ML 10.127/8 IR 23 (1807) – Haupt Della Torre Komp. Abgang (Korneuburg 24/01/1807)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81" authorId="0" shapeId="0" xr:uid="{9434B0C6-D225-2C47-9B3C-81BBB3D12296}">
      <text>
        <r>
          <rPr>
            <sz val="14"/>
            <color rgb="FF000000"/>
            <rFont val="Calibri"/>
            <family val="34"/>
          </rPr>
          <t>IR 43 (1796-1806)</t>
        </r>
      </text>
    </comment>
    <comment ref="BF82" authorId="0" shapeId="0" xr:uid="{C68130B9-CF52-F44B-AE5A-D9AE0E37BE58}">
      <text>
        <r>
          <rPr>
            <sz val="14"/>
            <color rgb="FF000000"/>
            <rFont val="Times New Roman"/>
            <family val="18"/>
          </rPr>
          <t xml:space="preserve">26/09/1796 </t>
        </r>
        <r>
          <rPr>
            <i/>
            <sz val="14"/>
            <color rgb="FF000000"/>
            <rFont val="Times New Roman"/>
            <family val="18"/>
          </rPr>
          <t>a 3Fl von Gallizieshcne Ständen auf Beständig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31/07/1803</t>
        </r>
        <r>
          <rPr>
            <i/>
            <sz val="14"/>
            <color rgb="FF000000"/>
            <rFont val="Times New Roman"/>
            <family val="18"/>
          </rPr>
          <t xml:space="preserve"> Vermog Anzeige des Przemysl Werbbzirk Kommando während unbestimmten Urlaubs entwichen </t>
        </r>
        <r>
          <rPr>
            <sz val="14"/>
            <color rgb="FF000000"/>
            <rFont val="Times New Roman"/>
            <family val="18"/>
          </rPr>
          <t>[ML 1803 &amp; ST Aug 1803]</t>
        </r>
      </text>
    </comment>
    <comment ref="BG82" authorId="0" shapeId="0" xr:uid="{FCD3F67C-CCE4-F144-B47D-08BD40860DE5}">
      <text>
        <r>
          <rPr>
            <sz val="14"/>
            <color rgb="FF000000"/>
            <rFont val="Times New Roman"/>
            <family val="18"/>
          </rPr>
          <t>ML 5015 IR 59 (1803) – Haupt. Gollner Komp. Ohne Nummer zwischen 57 und 58 &amp; Abgang (Enns 29/08/1803)</t>
        </r>
        <r>
          <rPr>
            <sz val="14"/>
            <color rgb="FF000000"/>
            <rFont val="Calibri"/>
            <family val="34"/>
          </rPr>
          <t xml:space="preserve">
</t>
        </r>
        <r>
          <rPr>
            <sz val="14"/>
            <color rgb="FF000000"/>
            <rFont val="Times New Roman"/>
            <family val="18"/>
          </rPr>
          <t>ML 5062 IR 59 (1803) – ST Aug (23/09/1803)</t>
        </r>
        <r>
          <rPr>
            <sz val="14"/>
            <color rgb="FF000000"/>
            <rFont val="Calibri"/>
            <family val="34"/>
          </rPr>
          <t xml:space="preserve">
</t>
        </r>
      </text>
    </comment>
    <comment ref="BH82" authorId="0" shapeId="0" xr:uid="{23D469ED-8F11-604E-ADD0-FF977FCC6B87}">
      <text>
        <r>
          <rPr>
            <sz val="14"/>
            <color rgb="FF000000"/>
            <rFont val="Calibri"/>
            <family val="34"/>
          </rPr>
          <t>IR 59 (1796-1803)</t>
        </r>
      </text>
    </comment>
    <comment ref="BF83" authorId="0" shapeId="0" xr:uid="{1640F2C0-13C7-E146-ADFE-40A496BFFCD0}">
      <text>
        <r>
          <rPr>
            <sz val="14"/>
            <color rgb="FF000000"/>
            <rFont val="Times New Roman"/>
            <family val="18"/>
          </rPr>
          <t xml:space="preserve">26/09/1796 </t>
        </r>
        <r>
          <rPr>
            <i/>
            <sz val="14"/>
            <color rgb="FF000000"/>
            <rFont val="Times New Roman"/>
            <family val="18"/>
          </rPr>
          <t>von Ständen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 xml:space="preserve">[bei Genua] </t>
        </r>
        <r>
          <rPr>
            <sz val="14"/>
            <color rgb="FF000000"/>
            <rFont val="Times New Roman"/>
            <family val="18"/>
          </rPr>
          <t>[ML 1803]</t>
        </r>
        <r>
          <rPr>
            <sz val="14"/>
            <color rgb="FF000000"/>
            <rFont val="Calibri"/>
            <family val="34"/>
          </rPr>
          <t xml:space="preserve">
</t>
        </r>
        <r>
          <rPr>
            <sz val="14"/>
            <color rgb="FF000000"/>
            <rFont val="Times New Roman"/>
            <family val="18"/>
          </rPr>
          <t xml:space="preserve">12/04/1800 </t>
        </r>
        <r>
          <rPr>
            <i/>
            <sz val="14"/>
            <color rgb="FF000000"/>
            <rFont val="Times New Roman"/>
            <family val="18"/>
          </rPr>
          <t>Gegen Austauschung</t>
        </r>
        <r>
          <rPr>
            <sz val="14"/>
            <color rgb="FF000000"/>
            <rFont val="Times New Roman"/>
            <family val="18"/>
          </rPr>
          <t xml:space="preserve"> Ranzioniert [ML 1803]</t>
        </r>
        <r>
          <rPr>
            <sz val="14"/>
            <color rgb="FF000000"/>
            <rFont val="Calibri"/>
            <family val="34"/>
          </rPr>
          <t xml:space="preserve">
</t>
        </r>
        <r>
          <rPr>
            <sz val="14"/>
            <color rgb="FF000000"/>
            <rFont val="Times New Roman"/>
            <family val="18"/>
          </rPr>
          <t>29/08/1803 Muster: IR 59 Haupt Straka Nr. 37[</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30/09/1803 </t>
        </r>
        <r>
          <rPr>
            <i/>
            <sz val="14"/>
            <color rgb="FF000000"/>
            <rFont val="Times New Roman"/>
            <family val="18"/>
          </rPr>
          <t>Gegen stellung Anderer Mann mit Abschied entalssen</t>
        </r>
        <r>
          <rPr>
            <sz val="14"/>
            <color rgb="FF000000"/>
            <rFont val="Times New Roman"/>
            <family val="18"/>
          </rPr>
          <t xml:space="preserve"> [ML 1804]</t>
        </r>
        <r>
          <rPr>
            <sz val="14"/>
            <color rgb="FF000000"/>
            <rFont val="Calibri"/>
            <family val="34"/>
          </rPr>
          <t xml:space="preserve">
</t>
        </r>
      </text>
    </comment>
    <comment ref="BG83" authorId="0" shapeId="0" xr:uid="{179918ED-DB8E-9640-8B82-6034B66EF01F}">
      <text>
        <r>
          <rPr>
            <sz val="14"/>
            <color rgb="FF000000"/>
            <rFont val="Times New Roman"/>
            <family val="18"/>
          </rPr>
          <t>ML 5015 IR 59 (1803) –Haupt Straka Comp. Nr. 37 (Enns, 29/08/1803)</t>
        </r>
        <r>
          <rPr>
            <sz val="14"/>
            <color rgb="FF000000"/>
            <rFont val="Calibri"/>
            <family val="34"/>
          </rPr>
          <t xml:space="preserve">
</t>
        </r>
        <r>
          <rPr>
            <sz val="14"/>
            <color rgb="FF000000"/>
            <rFont val="Times New Roman"/>
            <family val="18"/>
          </rPr>
          <t>ML 5016 IR 59 (1804) –Haupt Straka Comp. Abgang (Innsbruck 03/09/1804)</t>
        </r>
      </text>
    </comment>
    <comment ref="BH83" authorId="0" shapeId="0" xr:uid="{54348BF7-40C3-D044-B186-919EC7E6C2CB}">
      <text>
        <r>
          <rPr>
            <sz val="14"/>
            <color rgb="FF000000"/>
            <rFont val="Calibri"/>
            <family val="34"/>
          </rPr>
          <t>IR 59 (1796-1803)</t>
        </r>
      </text>
    </comment>
    <comment ref="B84" authorId="0" shapeId="0" xr:uid="{C28CEA12-FB8D-364A-A326-64427A21F28F}">
      <text>
        <r>
          <rPr>
            <sz val="14"/>
            <color rgb="FF000000"/>
            <rFont val="Times New Roman"/>
            <family val="18"/>
          </rPr>
          <t>Abel/Aibel; PEUTTEL/ BAITEL (1802/4-5)/ BARTHEL (1803)/ BEITL (1806)</t>
        </r>
      </text>
    </comment>
    <comment ref="BF84" authorId="0" shapeId="0" xr:uid="{2B4D1F27-2E2D-804A-96C4-9B0538621321}">
      <text>
        <r>
          <rPr>
            <sz val="14"/>
            <color rgb="FFFF0000"/>
            <rFont val="Times New Roman"/>
            <family val="18"/>
          </rPr>
          <t xml:space="preserve">04/09/1796 </t>
        </r>
        <r>
          <rPr>
            <i/>
            <sz val="14"/>
            <color rgb="FFFF0000"/>
            <rFont val="Times New Roman"/>
            <family val="18"/>
          </rPr>
          <t>Von Galizischen Ständen gestellt</t>
        </r>
        <r>
          <rPr>
            <sz val="14"/>
            <color rgb="FFFF0000"/>
            <rFont val="Times New Roman"/>
            <family val="18"/>
          </rPr>
          <t xml:space="preserve"> [ML 1802-5]</t>
        </r>
        <r>
          <rPr>
            <sz val="14"/>
            <color rgb="FF000000"/>
            <rFont val="Times New Roman"/>
            <family val="18"/>
          </rPr>
          <t xml:space="preserve">
</t>
        </r>
        <r>
          <rPr>
            <sz val="14"/>
            <color rgb="FF000000"/>
            <rFont val="Times New Roman"/>
            <family val="18"/>
          </rPr>
          <t xml:space="preserve">27/09/1796 </t>
        </r>
        <r>
          <rPr>
            <i/>
            <sz val="14"/>
            <color rgb="FF000000"/>
            <rFont val="Times New Roman"/>
            <family val="18"/>
          </rPr>
          <t>Von Galizischen Ständen gestellt und zum Tarnopol sssentiert; Seitdem auf Anmarsch mit Auswärtiger Verpflegung</t>
        </r>
        <r>
          <rPr>
            <sz val="14"/>
            <color rgb="FF000000"/>
            <rFont val="Times New Roman"/>
            <family val="18"/>
          </rPr>
          <t xml:space="preserve"> [ST Sept 1796]
</t>
        </r>
        <r>
          <rPr>
            <sz val="14"/>
            <color rgb="FFFF0000"/>
            <rFont val="Times New Roman"/>
            <family val="18"/>
          </rPr>
          <t xml:space="preserve">31/10/1796 </t>
        </r>
        <r>
          <rPr>
            <i/>
            <sz val="14"/>
            <color rgb="FFFF0000"/>
            <rFont val="Times New Roman"/>
            <family val="18"/>
          </rPr>
          <t>Mit Kriegsgebühr beim dem Obristbattalion transferiert</t>
        </r>
        <r>
          <rPr>
            <sz val="14"/>
            <color rgb="FFFF0000"/>
            <rFont val="Times New Roman"/>
            <family val="18"/>
          </rPr>
          <t xml:space="preserve"> </t>
        </r>
        <r>
          <rPr>
            <sz val="14"/>
            <color rgb="FF000000"/>
            <rFont val="Times New Roman"/>
            <family val="18"/>
          </rPr>
          <t xml:space="preserve">[ST Oct 1796]
</t>
        </r>
        <r>
          <rPr>
            <sz val="14"/>
            <color rgb="FF000000"/>
            <rFont val="Times New Roman"/>
            <family val="18"/>
          </rPr>
          <t xml:space="preserve">23/12/1796 </t>
        </r>
        <r>
          <rPr>
            <i/>
            <sz val="14"/>
            <color rgb="FF000000"/>
            <rFont val="Times New Roman"/>
            <family val="18"/>
          </rPr>
          <t xml:space="preserve">in die Reserve Division eingerückt </t>
        </r>
        <r>
          <rPr>
            <sz val="14"/>
            <color rgb="FF000000"/>
            <rFont val="Times New Roman"/>
            <family val="18"/>
          </rPr>
          <t xml:space="preserve">[vorige notiz war per Errorem] [ST Dec 1796]
</t>
        </r>
        <r>
          <rPr>
            <sz val="14"/>
            <color rgb="FF000000"/>
            <rFont val="Times New Roman"/>
            <family val="18"/>
          </rPr>
          <t xml:space="preserve">01/02/1797 </t>
        </r>
        <r>
          <rPr>
            <i/>
            <sz val="14"/>
            <color rgb="FF000000"/>
            <rFont val="Times New Roman"/>
            <family val="18"/>
          </rPr>
          <t>von Reserve Division zum ObristLT Comp. Transferiert</t>
        </r>
        <r>
          <rPr>
            <sz val="14"/>
            <color rgb="FF000000"/>
            <rFont val="Times New Roman"/>
            <family val="18"/>
          </rPr>
          <t xml:space="preserve"> [ST Feb 1797]
</t>
        </r>
        <r>
          <rPr>
            <sz val="14"/>
            <color rgb="FF000000"/>
            <rFont val="Times New Roman"/>
            <family val="18"/>
          </rPr>
          <t xml:space="preserve">16/02/1797 </t>
        </r>
        <r>
          <rPr>
            <i/>
            <sz val="14"/>
            <color rgb="FF000000"/>
            <rFont val="Times New Roman"/>
            <family val="18"/>
          </rPr>
          <t>Krank auswärts mit Kriegsgebühr</t>
        </r>
        <r>
          <rPr>
            <sz val="14"/>
            <color rgb="FF000000"/>
            <rFont val="Times New Roman"/>
            <family val="18"/>
          </rPr>
          <t xml:space="preserve"> [ST Feb 1797]
</t>
        </r>
        <r>
          <rPr>
            <sz val="14"/>
            <color rgb="FF000000"/>
            <rFont val="Times New Roman"/>
            <family val="18"/>
          </rPr>
          <t xml:space="preserve">01/03/1797 </t>
        </r>
        <r>
          <rPr>
            <i/>
            <sz val="14"/>
            <color rgb="FF000000"/>
            <rFont val="Times New Roman"/>
            <family val="18"/>
          </rPr>
          <t>von ObristLT zum Obrist Comp transferiert</t>
        </r>
        <r>
          <rPr>
            <sz val="14"/>
            <color rgb="FF000000"/>
            <rFont val="Times New Roman"/>
            <family val="18"/>
          </rPr>
          <t xml:space="preserve"> [ST March 1797]
</t>
        </r>
        <r>
          <rPr>
            <sz val="14"/>
            <color rgb="FF000000"/>
            <rFont val="Times New Roman"/>
            <family val="18"/>
          </rPr>
          <t xml:space="preserve">15/08/1797 </t>
        </r>
        <r>
          <rPr>
            <i/>
            <sz val="14"/>
            <color rgb="FF000000"/>
            <rFont val="Times New Roman"/>
            <family val="18"/>
          </rPr>
          <t>Reconvalesciert und von Obrist zum ObristLt Comp. Transferiert</t>
        </r>
        <r>
          <rPr>
            <sz val="14"/>
            <color rgb="FF000000"/>
            <rFont val="Times New Roman"/>
            <family val="18"/>
          </rPr>
          <t xml:space="preserve"> [ST Aug 1797]
</t>
        </r>
        <r>
          <rPr>
            <sz val="14"/>
            <color rgb="FF000000"/>
            <rFont val="Times New Roman"/>
            <family val="18"/>
          </rPr>
          <t xml:space="preserve">01/10/1797 [SIC!] [Seit] </t>
        </r>
        <r>
          <rPr>
            <i/>
            <sz val="14"/>
            <color rgb="FF000000"/>
            <rFont val="Times New Roman"/>
            <family val="18"/>
          </rPr>
          <t>Krank auswärts mit Kriegsgebühr</t>
        </r>
        <r>
          <rPr>
            <sz val="14"/>
            <color rgb="FF000000"/>
            <rFont val="Times New Roman"/>
            <family val="18"/>
          </rPr>
          <t xml:space="preserve"> [ST Oct Obrist Comp 1797]!
</t>
        </r>
        <r>
          <rPr>
            <sz val="14"/>
            <color rgb="FF000000"/>
            <rFont val="Times New Roman"/>
            <family val="18"/>
          </rPr>
          <t>26/01/1799 Revision: IR 43 Nr. 58 [</t>
        </r>
        <r>
          <rPr>
            <i/>
            <sz val="14"/>
            <color rgb="FF000000"/>
            <rFont val="Times New Roman"/>
            <family val="18"/>
          </rPr>
          <t>Auf Landes Exekution</t>
        </r>
        <r>
          <rPr>
            <sz val="14"/>
            <color rgb="FF000000"/>
            <rFont val="Times New Roman"/>
            <family val="18"/>
          </rPr>
          <t xml:space="preserve">] </t>
        </r>
        <r>
          <rPr>
            <sz val="14"/>
            <color rgb="FFFF0000"/>
            <rFont val="Times New Roman"/>
            <family val="18"/>
          </rPr>
          <t xml:space="preserve">(Crossed out) </t>
        </r>
        <r>
          <rPr>
            <sz val="14"/>
            <color rgb="FF000000"/>
            <rFont val="Times New Roman"/>
            <family val="18"/>
          </rPr>
          <t xml:space="preserve">
</t>
        </r>
        <r>
          <rPr>
            <sz val="14"/>
            <color rgb="FF000000"/>
            <rFont val="Times New Roman"/>
            <family val="18"/>
          </rPr>
          <t xml:space="preserve">01/07/1799 </t>
        </r>
        <r>
          <rPr>
            <i/>
            <sz val="14"/>
            <color rgb="FF000000"/>
            <rFont val="Times New Roman"/>
            <family val="18"/>
          </rPr>
          <t xml:space="preserve">zum Gefreyter avanciert </t>
        </r>
        <r>
          <rPr>
            <sz val="14"/>
            <color rgb="FF000000"/>
            <rFont val="Times New Roman"/>
            <family val="18"/>
          </rPr>
          <t xml:space="preserve">[ST July 1799]
</t>
        </r>
        <r>
          <rPr>
            <sz val="14"/>
            <color rgb="FF000000"/>
            <rFont val="Times New Roman"/>
            <family val="18"/>
          </rPr>
          <t xml:space="preserve">01/09/1799 </t>
        </r>
        <r>
          <rPr>
            <i/>
            <sz val="14"/>
            <color rgb="FF000000"/>
            <rFont val="Times New Roman"/>
            <family val="18"/>
          </rPr>
          <t>Krank auswärts Nach Bologna mit Kriegsgebühr</t>
        </r>
        <r>
          <rPr>
            <sz val="14"/>
            <color rgb="FF000000"/>
            <rFont val="Times New Roman"/>
            <family val="18"/>
          </rPr>
          <t xml:space="preserve"> [ST Sept 1799]
</t>
        </r>
        <r>
          <rPr>
            <sz val="14"/>
            <color rgb="FF000000"/>
            <rFont val="Times New Roman"/>
            <family val="18"/>
          </rPr>
          <t xml:space="preserve">30/09/1799 [Bis Mindestens] </t>
        </r>
        <r>
          <rPr>
            <i/>
            <sz val="14"/>
            <color rgb="FF000000"/>
            <rFont val="Times New Roman"/>
            <family val="18"/>
          </rPr>
          <t>Krank auswärts Nach Bologna mit Kriegsgebühr</t>
        </r>
        <r>
          <rPr>
            <sz val="14"/>
            <color rgb="FF000000"/>
            <rFont val="Times New Roman"/>
            <family val="18"/>
          </rPr>
          <t xml:space="preserve"> [ST Sept 1799]
</t>
        </r>
        <r>
          <rPr>
            <sz val="14"/>
            <color rgb="FF000000"/>
            <rFont val="Times New Roman"/>
            <family val="18"/>
          </rPr>
          <t xml:space="preserve">28/08/1802 Musterung: IR 43 ObristLt Comp Nr. 22
</t>
        </r>
        <r>
          <rPr>
            <sz val="14"/>
            <color rgb="FF000000"/>
            <rFont val="Times New Roman"/>
            <family val="18"/>
          </rPr>
          <t xml:space="preserve">02/11/1803 Musterung: IR 43 ObristLt Comp. Nr. 17
</t>
        </r>
        <r>
          <rPr>
            <sz val="14"/>
            <color rgb="FF000000"/>
            <rFont val="Times New Roman"/>
            <family val="18"/>
          </rPr>
          <t xml:space="preserve">05/10/1804 Musterung: IR 43 ObristLt Comp. Nr. 18
</t>
        </r>
        <r>
          <rPr>
            <sz val="14"/>
            <color rgb="FF000000"/>
            <rFont val="Times New Roman"/>
            <family val="18"/>
          </rPr>
          <t xml:space="preserve">31/10/1805 Musterung: IR 43 9. Fus Comp Nr. 20
</t>
        </r>
        <r>
          <rPr>
            <sz val="14"/>
            <color rgb="FF000000"/>
            <rFont val="Times New Roman"/>
            <family val="18"/>
          </rPr>
          <t xml:space="preserve">28/02/1806 </t>
        </r>
        <r>
          <rPr>
            <i/>
            <sz val="14"/>
            <color rgb="FF000000"/>
            <rFont val="Times New Roman"/>
            <family val="18"/>
          </rPr>
          <t>von Sonsten Desertiert</t>
        </r>
        <r>
          <rPr>
            <sz val="14"/>
            <color rgb="FF000000"/>
            <rFont val="Times New Roman"/>
            <family val="18"/>
          </rPr>
          <t xml:space="preserve"> [ML 1806]
</t>
        </r>
      </text>
    </comment>
    <comment ref="BG84" authorId="0" shapeId="0" xr:uid="{B546C4A0-11AD-C44B-B9AF-D223731E8A29}">
      <text>
        <r>
          <rPr>
            <sz val="14"/>
            <color rgb="FF000000"/>
            <rFont val="Times New Roman"/>
            <family val="18"/>
          </rPr>
          <t xml:space="preserve">ML 10.271 IR 43 (1796-9) – RL ObristLt Comp Nr. 58 (Civitalle 26/01/1799)
</t>
        </r>
        <r>
          <rPr>
            <sz val="14"/>
            <color rgb="FF000000"/>
            <rFont val="Times New Roman"/>
            <family val="18"/>
          </rPr>
          <t xml:space="preserve">ML 10.272 IR 43 (1802) – Heft von ObristLt. Comp. Nr. 22 (Zara 11/09/1802)
</t>
        </r>
        <r>
          <rPr>
            <sz val="14"/>
            <color rgb="FF000000"/>
            <rFont val="Times New Roman"/>
            <family val="18"/>
          </rPr>
          <t xml:space="preserve">ML 10.273 IR 43 (1803) – Heft von ObristLt. Comp. Nr. 17 (Zara 28/09/1803)
</t>
        </r>
        <r>
          <rPr>
            <sz val="14"/>
            <color rgb="FF000000"/>
            <rFont val="Times New Roman"/>
            <family val="18"/>
          </rPr>
          <t xml:space="preserve">ML 10.274 IR 43 (1804) – Heft von ObristLt. Comp. Nr. 18 (Cattaro 07/10/1804)
</t>
        </r>
        <r>
          <rPr>
            <sz val="14"/>
            <color rgb="FF000000"/>
            <rFont val="Times New Roman"/>
            <family val="18"/>
          </rPr>
          <t xml:space="preserve">ML 10.275/6 IR 43 (1805) – Heft von 9. Fus Comp. Nr. 20 (Sebenico (31/10/1805))
</t>
        </r>
        <r>
          <rPr>
            <sz val="14"/>
            <color rgb="FF000000"/>
            <rFont val="Times New Roman"/>
            <family val="18"/>
          </rPr>
          <t xml:space="preserve">ML 10/277/8 IR 43 (1806) – Heft von 13. Fus Comp. Abgang (Laibach 01/12/1806)
</t>
        </r>
        <r>
          <rPr>
            <sz val="14"/>
            <color rgb="FF000000"/>
            <rFont val="Times New Roman"/>
            <family val="18"/>
          </rPr>
          <t xml:space="preserve">ML 10.304 IR 43 (1796) ST Sept (16/02/1799), Okt (16/02/1799) und Dez (02/03/1800)
</t>
        </r>
        <r>
          <rPr>
            <sz val="14"/>
            <color rgb="FF000000"/>
            <rFont val="Times New Roman"/>
            <family val="18"/>
          </rPr>
          <t xml:space="preserve">ML 10.305 IR 43 (1797) – ST Feb (09/03/1802), März (), und Okt (31/05/1805)
</t>
        </r>
        <r>
          <rPr>
            <sz val="14"/>
            <color rgb="FF000000"/>
            <rFont val="Times New Roman"/>
            <family val="18"/>
          </rPr>
          <t xml:space="preserve">ML 10.307 IR 43 (1799) – ST Sept (21/07/1800)
</t>
        </r>
        <r>
          <rPr>
            <sz val="14"/>
            <color rgb="FF000000"/>
            <rFont val="Times New Roman"/>
            <family val="18"/>
          </rPr>
          <t>ML 10.317 IR 43 (1806) – ST Okt (27/11/1806)</t>
        </r>
      </text>
    </comment>
    <comment ref="BH84" authorId="0" shapeId="0" xr:uid="{A69583BE-9D61-9642-867F-A223B9D6EBF8}">
      <text>
        <r>
          <rPr>
            <sz val="14"/>
            <color rgb="FF000000"/>
            <rFont val="Calibri"/>
            <family val="34"/>
          </rPr>
          <t>IR 43 (1796-1806)</t>
        </r>
      </text>
    </comment>
    <comment ref="BF85" authorId="0" shapeId="0" xr:uid="{8394BD92-3D91-1E44-9E42-029DC36F9B14}">
      <text>
        <r>
          <rPr>
            <sz val="14"/>
            <color rgb="FF000000"/>
            <rFont val="Times New Roman"/>
            <family val="18"/>
          </rPr>
          <t xml:space="preserve">27/09/1796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Division eigeruckt</t>
        </r>
        <r>
          <rPr>
            <sz val="14"/>
            <color rgb="FF000000"/>
            <rFont val="Times New Roman"/>
            <family val="18"/>
          </rPr>
          <t xml:space="preserve"> [ST Dec 1797]</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ObristLT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25/01/1799 Revision: IR 43 Obrist Comp Nr. 48 [</t>
        </r>
        <r>
          <rPr>
            <i/>
            <sz val="14"/>
            <color rgb="FF000000"/>
            <rFont val="Times New Roman"/>
            <family val="18"/>
          </rPr>
          <t>Auf Kommando in Nespoletto</t>
        </r>
        <r>
          <rPr>
            <sz val="14"/>
            <color rgb="FF000000"/>
            <rFont val="Times New Roman"/>
            <family val="18"/>
          </rPr>
          <t>]</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ar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29/01/1800 </t>
        </r>
        <r>
          <rPr>
            <i/>
            <sz val="14"/>
            <color rgb="FF000000"/>
            <rFont val="Times New Roman"/>
            <family val="18"/>
          </rPr>
          <t>Reconvalescient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01/03/1800 </t>
        </r>
        <r>
          <rPr>
            <i/>
            <sz val="14"/>
            <color rgb="FF000000"/>
            <rFont val="Times New Roman"/>
            <family val="18"/>
          </rPr>
          <t>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31/03/1800 </t>
        </r>
        <r>
          <rPr>
            <i/>
            <sz val="14"/>
            <color rgb="FF000000"/>
            <rFont val="Times New Roman"/>
            <family val="18"/>
          </rPr>
          <t xml:space="preserve">Reconvalesciert </t>
        </r>
        <r>
          <rPr>
            <sz val="14"/>
            <color rgb="FF000000"/>
            <rFont val="Times New Roman"/>
            <family val="18"/>
          </rPr>
          <t>[ST April 1800]</t>
        </r>
        <r>
          <rPr>
            <sz val="14"/>
            <color rgb="FF000000"/>
            <rFont val="Calibri"/>
            <family val="34"/>
          </rPr>
          <t xml:space="preserve">
</t>
        </r>
        <r>
          <rPr>
            <sz val="14"/>
            <color rgb="FF000000"/>
            <rFont val="Times New Roman"/>
            <family val="18"/>
          </rPr>
          <t xml:space="preserve">05/04/1800 </t>
        </r>
        <r>
          <rPr>
            <i/>
            <sz val="14"/>
            <color rgb="FF000000"/>
            <rFont val="Times New Roman"/>
            <family val="18"/>
          </rPr>
          <t>Krank auswärts mit Kriegsgebühr</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Der Gemeiner Pietel BLUMGARTEN wurde mit Geld von 1. Marz bis 10. April, dann mit Brot von 1. Marz unrecht auswärts Gefuhrt, weil selbe auf dieser Zeit den Ober Lieutenant [Wolfgang] Kleinhaus verehrt [ST May 1800] [Compare with soldier Michael Horwath from 2. Major Comp]</t>
        </r>
        <r>
          <rPr>
            <sz val="14"/>
            <color rgb="FF000000"/>
            <rFont val="Calibri"/>
            <family val="34"/>
          </rPr>
          <t xml:space="preserve">
</t>
        </r>
        <r>
          <rPr>
            <sz val="14"/>
            <color rgb="FF000000"/>
            <rFont val="Times New Roman"/>
            <family val="18"/>
          </rPr>
          <t>07/06/1800 I</t>
        </r>
        <r>
          <rPr>
            <i/>
            <sz val="14"/>
            <color rgb="FF000000"/>
            <rFont val="Times New Roman"/>
            <family val="18"/>
          </rPr>
          <t>n die Kriegsgefangenschaft gefallen</t>
        </r>
        <r>
          <rPr>
            <sz val="14"/>
            <color rgb="FF000000"/>
            <rFont val="Times New Roman"/>
            <family val="18"/>
          </rPr>
          <t xml:space="preserve"> </t>
        </r>
        <r>
          <rPr>
            <b/>
            <sz val="14"/>
            <color rgb="FF000000"/>
            <rFont val="Times New Roman"/>
            <family val="18"/>
          </rPr>
          <t>[Action of Montalto]</t>
        </r>
        <r>
          <rPr>
            <sz val="14"/>
            <color rgb="FF000000"/>
            <rFont val="Times New Roman"/>
            <family val="18"/>
          </rPr>
          <t xml:space="preserve"> [ST June 1800]</t>
        </r>
        <r>
          <rPr>
            <sz val="14"/>
            <color rgb="FF000000"/>
            <rFont val="Calibri"/>
            <family val="34"/>
          </rPr>
          <t xml:space="preserve">
</t>
        </r>
      </text>
    </comment>
    <comment ref="BG85" authorId="0" shapeId="0" xr:uid="{754E480D-E0C4-1243-A5DA-7E7AEE4DED62}">
      <text>
        <r>
          <rPr>
            <sz val="14"/>
            <color rgb="FF000000"/>
            <rFont val="Times New Roman"/>
            <family val="18"/>
          </rPr>
          <t>ML 10.271 IR 43 (1796-9) – RL Haupt Obrist Comp. Nr. 89 (Udine 25/01/1799)</t>
        </r>
        <r>
          <rPr>
            <sz val="14"/>
            <color rgb="FF000000"/>
            <rFont val="Calibri"/>
            <family val="34"/>
          </rPr>
          <t xml:space="preserve">
</t>
        </r>
        <r>
          <rPr>
            <sz val="14"/>
            <color rgb="FF000000"/>
            <rFont val="Times New Roman"/>
            <family val="18"/>
          </rPr>
          <t>ML 10.304 IR 43 (1796) ST Oct (16/02/1799) und Dez (02/03/1800)</t>
        </r>
        <r>
          <rPr>
            <sz val="14"/>
            <color rgb="FF000000"/>
            <rFont val="Calibri"/>
            <family val="34"/>
          </rPr>
          <t xml:space="preserve">
</t>
        </r>
        <r>
          <rPr>
            <sz val="14"/>
            <color rgb="FF000000"/>
            <rFont val="Times New Roman"/>
            <family val="18"/>
          </rPr>
          <t>ML 10.305 IR 43 (1797) – ST Feb (09/03/1802)</t>
        </r>
        <r>
          <rPr>
            <sz val="14"/>
            <color rgb="FF000000"/>
            <rFont val="Calibri"/>
            <family val="34"/>
          </rPr>
          <t xml:space="preserve">
</t>
        </r>
        <r>
          <rPr>
            <sz val="14"/>
            <color rgb="FF000000"/>
            <rFont val="Times New Roman"/>
            <family val="18"/>
          </rPr>
          <t>ML 10.307 IR 43 (1799) – ST Aug (06/03/1800)</t>
        </r>
        <r>
          <rPr>
            <sz val="14"/>
            <color rgb="FF000000"/>
            <rFont val="Calibri"/>
            <family val="34"/>
          </rPr>
          <t xml:space="preserve">
</t>
        </r>
        <r>
          <rPr>
            <sz val="14"/>
            <color rgb="FF000000"/>
            <rFont val="Times New Roman"/>
            <family val="18"/>
          </rPr>
          <t>ML 10.309 IR 43 (1800) – ST Feb (06/04/1801), März (04/10/1801), April (24/01/1802), Mai (??), und Juni (27/08/1803)</t>
        </r>
      </text>
    </comment>
    <comment ref="BH85" authorId="0" shapeId="0" xr:uid="{797AC688-0017-8C4B-8136-FF4BBC8A9D08}">
      <text>
        <r>
          <rPr>
            <sz val="14"/>
            <color rgb="FF000000"/>
            <rFont val="Calibri"/>
            <family val="34"/>
          </rPr>
          <t>IR 43 (1796-1800)</t>
        </r>
      </text>
    </comment>
    <comment ref="B86" authorId="0" shapeId="0" xr:uid="{78694583-E0B8-0C41-8A04-17226838F2C9}">
      <text>
        <r>
          <rPr>
            <sz val="14"/>
            <color rgb="FF000000"/>
            <rFont val="Times New Roman"/>
            <family val="18"/>
          </rPr>
          <t>Tobias/Thomas, FUCHSKEHL/FUCHSKELLER</t>
        </r>
      </text>
    </comment>
    <comment ref="BF86" authorId="0" shapeId="0" xr:uid="{E96A25F0-459B-DF45-BF5C-F3CC41035249}">
      <text>
        <r>
          <rPr>
            <sz val="14"/>
            <color rgb="FF000000"/>
            <rFont val="Times New Roman"/>
            <family val="18"/>
          </rPr>
          <t xml:space="preserve">ML 10.271 IR 43 (1796-9) – RL (Udine &amp; Civitalle 25-26/01/1799)
</t>
        </r>
        <r>
          <rPr>
            <sz val="14"/>
            <color rgb="FF000000"/>
            <rFont val="Times New Roman"/>
            <family val="18"/>
          </rPr>
          <t xml:space="preserve">ML 10.304 IR 43 (1796) ST Sept (16/02/1799) und Dez (02/03/1800)
</t>
        </r>
        <r>
          <rPr>
            <sz val="14"/>
            <color rgb="FF000000"/>
            <rFont val="Times New Roman"/>
            <family val="18"/>
          </rPr>
          <t xml:space="preserve">ML 10.305 IR 43 (1797) – ST Feb (09/03/1802) und Okt (31/05/1805)
</t>
        </r>
      </text>
    </comment>
    <comment ref="BG86" authorId="0" shapeId="0" xr:uid="{73466EF3-5399-F648-8EA8-77FAA0FDE2B2}">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r>
          <rPr>
            <sz val="14"/>
            <color rgb="FF000000"/>
            <rFont val="Calibri"/>
            <family val="34"/>
          </rPr>
          <t xml:space="preserve">
</t>
        </r>
        <r>
          <rPr>
            <sz val="14"/>
            <color rgb="FF000000"/>
            <rFont val="Times New Roman"/>
            <family val="18"/>
          </rPr>
          <t>ML 10.305 IR 43 (1797) – ST Feb (09/03/1802) und Okt (31/05/1805)</t>
        </r>
        <r>
          <rPr>
            <sz val="14"/>
            <color rgb="FF000000"/>
            <rFont val="Calibri"/>
            <family val="34"/>
          </rPr>
          <t xml:space="preserve">
</t>
        </r>
      </text>
    </comment>
    <comment ref="BH86" authorId="0" shapeId="0" xr:uid="{EA1AD531-3BE9-7346-AE1F-D91F97B02DCA}">
      <text>
        <r>
          <rPr>
            <sz val="14"/>
            <color rgb="FF000000"/>
            <rFont val="Calibri"/>
            <family val="34"/>
          </rPr>
          <t>IR 43 (1796-1797/8)</t>
        </r>
      </text>
    </comment>
    <comment ref="BF87" authorId="0" shapeId="0" xr:uid="{545B6D82-05F2-DA41-B54F-8FB5E2D842F1}">
      <text>
        <r>
          <rPr>
            <sz val="14"/>
            <color rgb="FF000000"/>
            <rFont val="Times New Roman"/>
            <family val="18"/>
          </rPr>
          <t xml:space="preserve">28/09/1796 </t>
        </r>
        <r>
          <rPr>
            <i/>
            <sz val="14"/>
            <color rgb="FF000000"/>
            <rFont val="Times New Roman"/>
            <family val="18"/>
          </rPr>
          <t>Von Domenien a 3Fl gestellt und zum Tarnopol Assentiert; Seit Assentierungs Datum auf Anmarsch mit Auswärtiger Verpflegung</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Reserve Division eigeruckt</t>
        </r>
        <r>
          <rPr>
            <sz val="14"/>
            <color rgb="FF000000"/>
            <rFont val="Times New Roman"/>
            <family val="18"/>
          </rPr>
          <t xml:space="preserve"> [Dec 1796]</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Haupt Moriz Schmoll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06/04/1797 </t>
        </r>
        <r>
          <rPr>
            <i/>
            <sz val="14"/>
            <color rgb="FF000000"/>
            <rFont val="Times New Roman"/>
            <family val="18"/>
          </rPr>
          <t>Krank auswärts mit Kriegs Gebühr</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Reconvalesciert</t>
        </r>
        <r>
          <rPr>
            <sz val="14"/>
            <color rgb="FF000000"/>
            <rFont val="Times New Roman"/>
            <family val="18"/>
          </rPr>
          <t xml:space="preserve"> [ST Mai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von Haupt Moritz Schmoll Zum Stephan Schmoll Comp. transferiert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26/01/1798 </t>
        </r>
        <r>
          <rPr>
            <i/>
            <sz val="14"/>
            <color rgb="FF000000"/>
            <rFont val="Times New Roman"/>
            <family val="18"/>
          </rPr>
          <t>zu Sittich gestorben</t>
        </r>
        <r>
          <rPr>
            <sz val="14"/>
            <color rgb="FF000000"/>
            <rFont val="Times New Roman"/>
            <family val="18"/>
          </rPr>
          <t xml:space="preserve"> [ML Jan 1799]</t>
        </r>
        <r>
          <rPr>
            <sz val="14"/>
            <color rgb="FF000000"/>
            <rFont val="Calibri"/>
            <family val="34"/>
          </rPr>
          <t xml:space="preserve">
</t>
        </r>
      </text>
    </comment>
    <comment ref="BG87" authorId="0" shapeId="0" xr:uid="{7D1BAB7E-EF73-BA4A-8ABC-8EE5805E21B4}">
      <text>
        <r>
          <rPr>
            <sz val="14"/>
            <color rgb="FF000000"/>
            <rFont val="Times New Roman"/>
            <family val="18"/>
          </rPr>
          <t>ML 10.271 IR 43 (1796-9) – RL Haupt Fischer Abgang (Udine 25/01/1799)</t>
        </r>
        <r>
          <rPr>
            <sz val="14"/>
            <color rgb="FF000000"/>
            <rFont val="Calibri"/>
            <family val="34"/>
          </rPr>
          <t xml:space="preserve">
</t>
        </r>
        <r>
          <rPr>
            <sz val="14"/>
            <color rgb="FF000000"/>
            <rFont val="Times New Roman"/>
            <family val="18"/>
          </rPr>
          <t>ML 10.304 IR 43 (1796) – ST Sept (03/12/1798) und Dez (02/03/1800)</t>
        </r>
        <r>
          <rPr>
            <sz val="14"/>
            <color rgb="FF000000"/>
            <rFont val="Calibri"/>
            <family val="34"/>
          </rPr>
          <t xml:space="preserve">
</t>
        </r>
        <r>
          <rPr>
            <sz val="14"/>
            <color rgb="FF000000"/>
            <rFont val="Times New Roman"/>
            <family val="18"/>
          </rPr>
          <t xml:space="preserve">ML 10.305 IR 43 (1797) – ST Feb (09/03/1802), April (24/05/1803), Mai (01/06/1803) </t>
        </r>
      </text>
    </comment>
    <comment ref="BH87" authorId="0" shapeId="0" xr:uid="{2E67BEB2-CCB9-DD4B-9334-63E9EC95E30B}">
      <text>
        <r>
          <rPr>
            <sz val="14"/>
            <color rgb="FF000000"/>
            <rFont val="Calibri"/>
            <family val="34"/>
          </rPr>
          <t>IR 43 (1796-1798)</t>
        </r>
      </text>
    </comment>
    <comment ref="BF88" authorId="0" shapeId="0" xr:uid="{AACBD280-2698-4947-B230-774BE6211B36}">
      <text>
        <r>
          <rPr>
            <sz val="14"/>
            <color rgb="FF000000"/>
            <rFont val="Times New Roman"/>
            <family val="18"/>
          </rPr>
          <t xml:space="preserve">28/09/1796 Von Dominien a 3Fl gestellt und zum Tarnopol Assentiert; Seit Assentierungs Datum auf Anmarsch mit Auswärtiger Verpflegung [ST Sept 1796]
</t>
        </r>
        <r>
          <rPr>
            <sz val="14"/>
            <color rgb="FF000000"/>
            <rFont val="Times New Roman"/>
            <family val="18"/>
          </rPr>
          <t xml:space="preserve">23/12/1796 in Division eigeruckt [ST Dec 1796]
</t>
        </r>
        <r>
          <rPr>
            <sz val="14"/>
            <color rgb="FF000000"/>
            <rFont val="Times New Roman"/>
            <family val="18"/>
          </rPr>
          <t xml:space="preserve">31/10/1798 [Früher als] UNBEKANNT [ML 1799]
</t>
        </r>
      </text>
    </comment>
    <comment ref="BG88" authorId="0" shapeId="0" xr:uid="{98AC1001-1231-164A-83EC-E2B6335EEA7C}">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10.304 IR 43 (1796) ST Sept (16/02/1799) und Dez (02/03/1800)</t>
        </r>
      </text>
    </comment>
    <comment ref="BH88" authorId="0" shapeId="0" xr:uid="{78B6D1AA-6B7B-B24A-8A6E-808C57D14C69}">
      <text>
        <r>
          <rPr>
            <sz val="14"/>
            <color rgb="FF000000"/>
            <rFont val="Calibri"/>
            <family val="34"/>
          </rPr>
          <t>IR 43 (1796-1797/8)</t>
        </r>
      </text>
    </comment>
    <comment ref="BF89" authorId="0" shapeId="0" xr:uid="{BD8C61A3-65B9-504E-ADBD-38B40F87C863}">
      <text>
        <r>
          <rPr>
            <sz val="14"/>
            <color rgb="FF000000"/>
            <rFont val="Times New Roman"/>
            <family val="18"/>
          </rPr>
          <t>28/09/1796</t>
        </r>
        <r>
          <rPr>
            <i/>
            <sz val="14"/>
            <color rgb="FF000000"/>
            <rFont val="Times New Roman"/>
            <family val="18"/>
          </rPr>
          <t xml:space="preserve"> A 3Fl Handgeld in IR 1 ‚Reserve Division‘ gestellt </t>
        </r>
        <r>
          <rPr>
            <sz val="14"/>
            <color rgb="FF000000"/>
            <rFont val="Times New Roman"/>
            <family val="18"/>
          </rPr>
          <t>[TL Aug 1796]</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89" authorId="0" shapeId="0" xr:uid="{91923701-3976-5446-B9AD-6D844E0779D0}">
      <text>
        <r>
          <rPr>
            <sz val="14"/>
            <color rgb="FF000000"/>
            <rFont val="Times New Roman"/>
            <family val="18"/>
          </rPr>
          <t>ML 66/7 IR 1 (1796) – AL. Nr. 140 (Hrubeiszow 18/10/1796)</t>
        </r>
        <r>
          <rPr>
            <sz val="14"/>
            <color rgb="FF000000"/>
            <rFont val="Calibri"/>
            <family val="34"/>
          </rPr>
          <t xml:space="preserve">
</t>
        </r>
        <r>
          <rPr>
            <sz val="14"/>
            <color rgb="FF000000"/>
            <rFont val="Times New Roman"/>
            <family val="18"/>
          </rPr>
          <t>ML 69/70 IR 1 (1797) AL/TL – TL IR 1-&gt;IR 56 Nr. 93 (Olmütz 20/08/1797)</t>
        </r>
      </text>
    </comment>
    <comment ref="BH89" authorId="0" shapeId="0" xr:uid="{0F6219C4-E445-BE4D-88CB-FF8EF90BD6D7}">
      <text>
        <r>
          <rPr>
            <sz val="14"/>
            <color rgb="FF000000"/>
            <rFont val="Calibri"/>
            <family val="34"/>
          </rPr>
          <t xml:space="preserve">IR 1 (1797)
</t>
        </r>
        <r>
          <rPr>
            <sz val="14"/>
            <color rgb="FF000000"/>
            <rFont val="Calibri"/>
            <family val="34"/>
          </rPr>
          <t>IR 56 (1797)</t>
        </r>
      </text>
    </comment>
    <comment ref="T90" authorId="0" shapeId="0" xr:uid="{BE2FE7FB-9061-394F-8B53-C92B0289410C}">
      <text>
        <r>
          <rPr>
            <sz val="14"/>
            <color rgb="FF000000"/>
            <rFont val="Calibri"/>
            <family val="34"/>
          </rPr>
          <t xml:space="preserve">5.2.2 [163.7 cm] (1802)
</t>
        </r>
        <r>
          <rPr>
            <sz val="14"/>
            <color rgb="FF000000"/>
            <rFont val="Calibri"/>
            <family val="34"/>
          </rPr>
          <t>5.4 [168.7 cm] (1803-5)</t>
        </r>
      </text>
    </comment>
    <comment ref="BF90" authorId="0" shapeId="0" xr:uid="{4C22C6BE-E47A-724D-ACF2-1601914A53F4}">
      <text>
        <r>
          <rPr>
            <sz val="14"/>
            <color rgb="FFFF0000"/>
            <rFont val="Times New Roman"/>
            <family val="18"/>
          </rPr>
          <t xml:space="preserve">23/03/1796 </t>
        </r>
        <r>
          <rPr>
            <i/>
            <sz val="14"/>
            <color rgb="FFFF0000"/>
            <rFont val="Times New Roman"/>
            <family val="18"/>
          </rPr>
          <t>Von Ständen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28/09/1796 </t>
        </r>
        <r>
          <rPr>
            <i/>
            <sz val="14"/>
            <color rgb="FF000000"/>
            <rFont val="Times New Roman"/>
            <family val="18"/>
          </rPr>
          <t>Von Dominien a 3Fl gestellt und zum Tarnopol Assentiert; Seit Assentierungs Datum auf Anmarsch mit Auswärtiger Verpflegung</t>
        </r>
        <r>
          <rPr>
            <sz val="14"/>
            <color rgb="FF000000"/>
            <rFont val="Times New Roman"/>
            <family val="18"/>
          </rPr>
          <t xml:space="preserve"> [ST Sept 1796]</t>
        </r>
        <r>
          <rPr>
            <sz val="14"/>
            <color rgb="FF000000"/>
            <rFont val="Calibri"/>
            <family val="34"/>
          </rPr>
          <t xml:space="preserve">
</t>
        </r>
        <r>
          <rPr>
            <sz val="14"/>
            <color rgb="FF000000"/>
            <rFont val="Times New Roman"/>
            <family val="18"/>
          </rPr>
          <t xml:space="preserve">23/12/1796 </t>
        </r>
        <r>
          <rPr>
            <i/>
            <sz val="14"/>
            <color rgb="FF000000"/>
            <rFont val="Times New Roman"/>
            <family val="18"/>
          </rPr>
          <t>in Division eingerückt</t>
        </r>
        <r>
          <rPr>
            <sz val="14"/>
            <color rgb="FF000000"/>
            <rFont val="Times New Roman"/>
            <family val="18"/>
          </rPr>
          <t xml:space="preserve"> [ST Dec 1796]</t>
        </r>
        <r>
          <rPr>
            <sz val="14"/>
            <color rgb="FF000000"/>
            <rFont val="Calibri"/>
            <family val="34"/>
          </rPr>
          <t xml:space="preserve">
</t>
        </r>
        <r>
          <rPr>
            <sz val="14"/>
            <color rgb="FF000000"/>
            <rFont val="Times New Roman"/>
            <family val="18"/>
          </rPr>
          <t xml:space="preserve">01/02/1797 </t>
        </r>
        <r>
          <rPr>
            <i/>
            <sz val="14"/>
            <color rgb="FF000000"/>
            <rFont val="Times New Roman"/>
            <family val="18"/>
          </rPr>
          <t>von Reserve Division zum 2. Major Comp. Transferiert</t>
        </r>
        <r>
          <rPr>
            <sz val="14"/>
            <color rgb="FF000000"/>
            <rFont val="Times New Roman"/>
            <family val="18"/>
          </rPr>
          <t xml:space="preserve"> [ST Feb 1797]</t>
        </r>
        <r>
          <rPr>
            <sz val="14"/>
            <color rgb="FF000000"/>
            <rFont val="Calibri"/>
            <family val="34"/>
          </rPr>
          <t xml:space="preserve">
</t>
        </r>
        <r>
          <rPr>
            <sz val="14"/>
            <color rgb="FF000000"/>
            <rFont val="Times New Roman"/>
            <family val="18"/>
          </rPr>
          <t>25/01/1799 Revision: IR 43 2. Major Comp. Nr. 86</t>
        </r>
        <r>
          <rPr>
            <sz val="14"/>
            <color rgb="FF000000"/>
            <rFont val="Calibri"/>
            <family val="34"/>
          </rPr>
          <t xml:space="preserve">
</t>
        </r>
        <r>
          <rPr>
            <sz val="14"/>
            <color rgb="FF000000"/>
            <rFont val="Times New Roman"/>
            <family val="18"/>
          </rPr>
          <t xml:space="preserve">06/07/1799 </t>
        </r>
        <r>
          <rPr>
            <i/>
            <sz val="14"/>
            <color rgb="FF000000"/>
            <rFont val="Times New Roman"/>
            <family val="18"/>
          </rPr>
          <t>Krank auswärts mit Kriegsgebühr</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 xml:space="preserve">Reconvalesciert </t>
        </r>
        <r>
          <rPr>
            <sz val="14"/>
            <color rgb="FF000000"/>
            <rFont val="Times New Roman"/>
            <family val="18"/>
          </rPr>
          <t>[ST Aus 1799]</t>
        </r>
        <r>
          <rPr>
            <sz val="14"/>
            <color rgb="FF000000"/>
            <rFont val="Calibri"/>
            <family val="34"/>
          </rPr>
          <t xml:space="preserve">
</t>
        </r>
        <r>
          <rPr>
            <sz val="14"/>
            <color rgb="FF000000"/>
            <rFont val="Times New Roman"/>
            <family val="18"/>
          </rPr>
          <t xml:space="preserve">15/08/1799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Reconvalesciert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07/06/1800 </t>
        </r>
        <r>
          <rPr>
            <i/>
            <sz val="14"/>
            <color rgb="FF000000"/>
            <rFont val="Times New Roman"/>
            <family val="18"/>
          </rPr>
          <t>Zu Piacenza gefangen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08/06/1800 </t>
        </r>
        <r>
          <rPr>
            <i/>
            <sz val="14"/>
            <color rgb="FF000000"/>
            <rFont val="Times New Roman"/>
            <family val="18"/>
          </rPr>
          <t>Sich selbst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11/09/1802 Musterung: IR 43 2. Major Comp Nr. 43]</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Musterung: 2. Major Comp. Nr. 40 [</t>
        </r>
        <r>
          <rPr>
            <i/>
            <sz val="14"/>
            <color rgb="FF000000"/>
            <rFont val="Times New Roman"/>
            <family val="18"/>
          </rPr>
          <t>Beurlaubt bis Einberufung zu Zbaras in Ost Gallizien</t>
        </r>
        <r>
          <rPr>
            <sz val="14"/>
            <color rgb="FF000000"/>
            <rFont val="Times New Roman"/>
            <family val="18"/>
          </rPr>
          <t>]</t>
        </r>
        <r>
          <rPr>
            <sz val="14"/>
            <color rgb="FF000000"/>
            <rFont val="Calibri"/>
            <family val="34"/>
          </rPr>
          <t xml:space="preserve">
</t>
        </r>
        <r>
          <rPr>
            <sz val="14"/>
            <color rgb="FF000000"/>
            <rFont val="Times New Roman"/>
            <family val="18"/>
          </rPr>
          <t>07/10/1804 Musterung: 2. Major Comp. Nr. 38 [</t>
        </r>
        <r>
          <rPr>
            <i/>
            <sz val="14"/>
            <color rgb="FF000000"/>
            <rFont val="Times New Roman"/>
            <family val="18"/>
          </rPr>
          <t>Beurlaubt bis Einberufung zu Zbaras in Ost Gallizien</t>
        </r>
        <r>
          <rPr>
            <sz val="14"/>
            <color rgb="FF000000"/>
            <rFont val="Times New Roman"/>
            <family val="18"/>
          </rPr>
          <t>]</t>
        </r>
        <r>
          <rPr>
            <sz val="14"/>
            <color rgb="FF000000"/>
            <rFont val="Calibri"/>
            <family val="34"/>
          </rPr>
          <t xml:space="preserve">
</t>
        </r>
        <r>
          <rPr>
            <sz val="14"/>
            <color rgb="FF000000"/>
            <rFont val="Times New Roman"/>
            <family val="18"/>
          </rPr>
          <t>At Muster 01/10/1805 Musterung: 3. Fus Comp. Nr. 36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7.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90" authorId="0" shapeId="0" xr:uid="{F3C08F99-A041-684D-9B51-7F8B7D6C7200}">
      <text>
        <r>
          <rPr>
            <sz val="14"/>
            <color rgb="FF000000"/>
            <rFont val="Times New Roman"/>
            <family val="18"/>
          </rPr>
          <t xml:space="preserve">ML 10.271 IR 43 (1796-9) – RL ObristLt Comp Nr. 58 (Civitalle 26/01/1799)
</t>
        </r>
        <r>
          <rPr>
            <sz val="14"/>
            <color rgb="FF000000"/>
            <rFont val="Times New Roman"/>
            <family val="18"/>
          </rPr>
          <t xml:space="preserve">ML 10.272 IR 43 (1802) – Heft von ObristLt. Comp. Nr. 22 (Zara 11/09/1802)
</t>
        </r>
        <r>
          <rPr>
            <sz val="14"/>
            <color rgb="FF000000"/>
            <rFont val="Times New Roman"/>
            <family val="18"/>
          </rPr>
          <t xml:space="preserve">ML 10.273 IR 43 (1803) – Heft von ObristLt. Comp. Nr. 17 (Zara 28/09/1803)
</t>
        </r>
        <r>
          <rPr>
            <sz val="14"/>
            <color rgb="FF000000"/>
            <rFont val="Times New Roman"/>
            <family val="18"/>
          </rPr>
          <t xml:space="preserve">ML 10.274 IR 43 (1804) – Heft von ObristLt. Comp. Nr. 18 (Cattaro 07/10/1804)
</t>
        </r>
        <r>
          <rPr>
            <sz val="14"/>
            <color rgb="FF000000"/>
            <rFont val="Times New Roman"/>
            <family val="18"/>
          </rPr>
          <t xml:space="preserve">ML 10.275/6 IR 43 (1805) – Heft von 9. Fus Comp. Nr. 20 (Sebenico (31/10/1805))
</t>
        </r>
        <r>
          <rPr>
            <sz val="14"/>
            <color rgb="FF000000"/>
            <rFont val="Times New Roman"/>
            <family val="18"/>
          </rPr>
          <t xml:space="preserve">ML 10/277/8 IR 43 (1806) – Heft von 13. Fus Comp. Abgang (Laibach 01/12/1806)
</t>
        </r>
        <r>
          <rPr>
            <sz val="14"/>
            <color rgb="FF000000"/>
            <rFont val="Times New Roman"/>
            <family val="18"/>
          </rPr>
          <t xml:space="preserve">ML 10.304 IR 43 (1796) ST Sept (16/02/1799), Okt (16/02/1799) und Dez (02/03/1800)
</t>
        </r>
        <r>
          <rPr>
            <sz val="14"/>
            <color rgb="FF000000"/>
            <rFont val="Times New Roman"/>
            <family val="18"/>
          </rPr>
          <t xml:space="preserve">ML 10.305 IR 43 (1797) – ST Feb (09/03/1802), März (), und Okt (31/05/1805)
</t>
        </r>
        <r>
          <rPr>
            <sz val="14"/>
            <color rgb="FF000000"/>
            <rFont val="Times New Roman"/>
            <family val="18"/>
          </rPr>
          <t xml:space="preserve">ML 10.307 IR 43 (1799) – ST Sept (21/07/1800)
</t>
        </r>
        <r>
          <rPr>
            <sz val="14"/>
            <color rgb="FF000000"/>
            <rFont val="Times New Roman"/>
            <family val="18"/>
          </rPr>
          <t>ML 10.317 IR 43 (1806) – ST Okt (27/11/1806)</t>
        </r>
      </text>
    </comment>
    <comment ref="BH90" authorId="0" shapeId="0" xr:uid="{866BA430-3DF2-464C-99FB-FA424D2FAF60}">
      <text>
        <r>
          <rPr>
            <sz val="14"/>
            <color rgb="FF000000"/>
            <rFont val="Calibri"/>
            <family val="34"/>
          </rPr>
          <t>IR 43 (1796-1806)</t>
        </r>
      </text>
    </comment>
    <comment ref="BF91" authorId="0" shapeId="0" xr:uid="{7AAAFAC9-C46F-104A-9DA2-8E49E6944A4D}">
      <text>
        <r>
          <rPr>
            <sz val="14"/>
            <color rgb="FF000000"/>
            <rFont val="Times New Roman"/>
            <family val="18"/>
          </rPr>
          <t xml:space="preserve">28/09/1796 </t>
        </r>
        <r>
          <rPr>
            <i/>
            <sz val="14"/>
            <color rgb="FF000000"/>
            <rFont val="Times New Roman"/>
            <family val="18"/>
          </rPr>
          <t>Von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Lieb Komp. Nr. 79 [</t>
        </r>
        <r>
          <rPr>
            <i/>
            <sz val="14"/>
            <color rgb="FF000000"/>
            <rFont val="Times New Roman"/>
            <family val="18"/>
          </rPr>
          <t>Commanidert bey Werbezierk in Gallizien</t>
        </r>
        <r>
          <rPr>
            <sz val="14"/>
            <color rgb="FF000000"/>
            <rFont val="Times New Roman"/>
            <family val="18"/>
          </rPr>
          <t>]</t>
        </r>
        <r>
          <rPr>
            <sz val="14"/>
            <color rgb="FF000000"/>
            <rFont val="Calibri"/>
            <family val="34"/>
          </rPr>
          <t xml:space="preserve">
</t>
        </r>
        <r>
          <rPr>
            <sz val="14"/>
            <color rgb="FF000000"/>
            <rFont val="Times New Roman"/>
            <family val="18"/>
          </rPr>
          <t xml:space="preserve">15/08/1804 </t>
        </r>
        <r>
          <rPr>
            <i/>
            <sz val="14"/>
            <color rgb="FF000000"/>
            <rFont val="Times New Roman"/>
            <family val="18"/>
          </rPr>
          <t>Gegen stellung Anderer Mann mit Abschied entalssen</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15/08/1804 </t>
        </r>
        <r>
          <rPr>
            <i/>
            <sz val="14"/>
            <color rgb="FF000000"/>
            <rFont val="Times New Roman"/>
            <family val="18"/>
          </rPr>
          <t>Per errorem in Abgang</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28/01/1805 </t>
        </r>
        <r>
          <rPr>
            <i/>
            <sz val="14"/>
            <color rgb="FF000000"/>
            <rFont val="Times New Roman"/>
            <family val="18"/>
          </rPr>
          <t>Gegen Stellung mit Abshied Entlassen</t>
        </r>
        <r>
          <rPr>
            <sz val="14"/>
            <color rgb="FF000000"/>
            <rFont val="Times New Roman"/>
            <family val="18"/>
          </rPr>
          <t xml:space="preserve"> [ML 1806]</t>
        </r>
        <r>
          <rPr>
            <sz val="14"/>
            <color rgb="FF000000"/>
            <rFont val="Calibri"/>
            <family val="34"/>
          </rPr>
          <t xml:space="preserve">
</t>
        </r>
      </text>
    </comment>
    <comment ref="BG91" authorId="0" shapeId="0" xr:uid="{28AE6675-9A04-5B4E-A6D9-298724A4925A}">
      <text>
        <r>
          <rPr>
            <sz val="14"/>
            <color rgb="FF000000"/>
            <rFont val="Times New Roman"/>
            <family val="18"/>
          </rPr>
          <t>ML 5015 IR 59 (1803) – Lieb Komp. Nr. 79 (Enns 29/08/1803)</t>
        </r>
        <r>
          <rPr>
            <sz val="14"/>
            <color rgb="FF000000"/>
            <rFont val="Calibri"/>
            <family val="34"/>
          </rPr>
          <t xml:space="preserve">
</t>
        </r>
        <r>
          <rPr>
            <sz val="14"/>
            <color rgb="FF000000"/>
            <rFont val="Times New Roman"/>
            <family val="18"/>
          </rPr>
          <t>ML 5015 IR 59 (1804) – Lieb Komp Abgang (Innsbruck 03/09/1804)</t>
        </r>
        <r>
          <rPr>
            <sz val="14"/>
            <color rgb="FF000000"/>
            <rFont val="Calibri"/>
            <family val="34"/>
          </rPr>
          <t xml:space="preserve">
</t>
        </r>
        <r>
          <rPr>
            <sz val="14"/>
            <color rgb="FF000000"/>
            <rFont val="Times New Roman"/>
            <family val="18"/>
          </rPr>
          <t>ML 5017/8 IR 59 (1806) – Heft von Lieb Comp. Zuwachs &amp; Abgang (Linz 20/12/1806)</t>
        </r>
        <r>
          <rPr>
            <sz val="14"/>
            <color rgb="FF000000"/>
            <rFont val="Calibri"/>
            <family val="34"/>
          </rPr>
          <t xml:space="preserve">
</t>
        </r>
        <r>
          <rPr>
            <sz val="14"/>
            <color rgb="FF000000"/>
            <rFont val="Times New Roman"/>
            <family val="18"/>
          </rPr>
          <t xml:space="preserve">) </t>
        </r>
      </text>
    </comment>
    <comment ref="BH91" authorId="0" shapeId="0" xr:uid="{EB696D12-71E5-024F-8367-B79999AC212A}">
      <text>
        <r>
          <rPr>
            <sz val="14"/>
            <color rgb="FF000000"/>
            <rFont val="Calibri"/>
            <family val="34"/>
          </rPr>
          <t>IR 43 (1796-1805)</t>
        </r>
      </text>
    </comment>
    <comment ref="BF92" authorId="0" shapeId="0" xr:uid="{457F5C64-878C-2C41-BB37-202C1CF9FBB0}">
      <text>
        <r>
          <rPr>
            <sz val="14"/>
            <color rgb="FF000000"/>
            <rFont val="Times New Roman"/>
            <family val="18"/>
          </rPr>
          <t xml:space="preserve">30/09/1796 </t>
        </r>
        <r>
          <rPr>
            <i/>
            <sz val="14"/>
            <color rgb="FF000000"/>
            <rFont val="Times New Roman"/>
            <family val="18"/>
          </rPr>
          <t>Von Domenian gestellt und a 3 Fl zum Tarnopol Assentiert seitdem au Anmarsch mit Auswärtiger Verpflegung</t>
        </r>
        <r>
          <rPr>
            <sz val="14"/>
            <color rgb="FF000000"/>
            <rFont val="Times New Roman"/>
            <family val="18"/>
          </rPr>
          <t xml:space="preserve"> [ST Oct 1796]</t>
        </r>
        <r>
          <rPr>
            <sz val="14"/>
            <color rgb="FF000000"/>
            <rFont val="Calibri"/>
            <family val="34"/>
          </rPr>
          <t xml:space="preserve">
</t>
        </r>
        <r>
          <rPr>
            <sz val="14"/>
            <color rgb="FF000000"/>
            <rFont val="Times New Roman"/>
            <family val="18"/>
          </rPr>
          <t xml:space="preserve">12/12/1796 </t>
        </r>
        <r>
          <rPr>
            <i/>
            <sz val="14"/>
            <color rgb="FF000000"/>
            <rFont val="Times New Roman"/>
            <family val="18"/>
          </rPr>
          <t>zum Pest Gestorben</t>
        </r>
        <r>
          <rPr>
            <sz val="14"/>
            <color rgb="FF000000"/>
            <rFont val="Times New Roman"/>
            <family val="18"/>
          </rPr>
          <t xml:space="preserve"> [ST Dec 1797]</t>
        </r>
        <r>
          <rPr>
            <sz val="14"/>
            <color rgb="FF000000"/>
            <rFont val="Calibri"/>
            <family val="34"/>
          </rPr>
          <t xml:space="preserve">
</t>
        </r>
      </text>
    </comment>
    <comment ref="BG92" authorId="0" shapeId="0" xr:uid="{C2D78712-65BE-BC40-AABF-F58B5CD6A306}">
      <text>
        <r>
          <rPr>
            <sz val="14"/>
            <color rgb="FF000000"/>
            <rFont val="Calibri"/>
            <family val="34"/>
          </rPr>
          <t>ML 10.304 IR 43 (1796) ST Oct (16/02/1799) und Dez (02/03/1800)</t>
        </r>
      </text>
    </comment>
    <comment ref="BH92" authorId="0" shapeId="0" xr:uid="{DA9710AA-7A27-5747-B712-E516F1F48BCB}">
      <text>
        <r>
          <rPr>
            <sz val="14"/>
            <color rgb="FF000000"/>
            <rFont val="Calibri"/>
            <family val="34"/>
          </rPr>
          <t>IR 43 (1796)</t>
        </r>
      </text>
    </comment>
    <comment ref="BF93" authorId="0" shapeId="0" xr:uid="{C07DD575-6343-E44B-B17A-A1897185D9D5}">
      <text>
        <r>
          <rPr>
            <sz val="14"/>
            <color rgb="FF000000"/>
            <rFont val="Times New Roman"/>
            <family val="18"/>
          </rPr>
          <t xml:space="preserve">16/10/1796 </t>
        </r>
        <r>
          <rPr>
            <i/>
            <sz val="14"/>
            <color rgb="FF000000"/>
            <rFont val="Times New Roman"/>
            <family val="18"/>
          </rPr>
          <t>Gegen 10 Gulden Werbgeld in Krakau ins Grün Loudon Frey Corps Assentiert</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 xml:space="preserve">15/12/1796 [Als Thomas BLUM] </t>
        </r>
        <r>
          <rPr>
            <i/>
            <sz val="14"/>
            <color rgb="FF000000"/>
            <rFont val="Times New Roman"/>
            <family val="18"/>
          </rPr>
          <t>auf dem Marsch Desertiert</t>
        </r>
        <r>
          <rPr>
            <sz val="14"/>
            <color rgb="FF000000"/>
            <rFont val="Times New Roman"/>
            <family val="18"/>
          </rPr>
          <t xml:space="preserve"> [RL June 1797]</t>
        </r>
        <r>
          <rPr>
            <sz val="14"/>
            <color rgb="FF000000"/>
            <rFont val="Calibri"/>
            <family val="34"/>
          </rPr>
          <t xml:space="preserve">
</t>
        </r>
      </text>
    </comment>
    <comment ref="BG93" authorId="0" shapeId="0" xr:uid="{096C0299-FD86-4445-BABA-71DA5D1269BB}">
      <text>
        <r>
          <rPr>
            <sz val="14"/>
            <color rgb="FF000000"/>
            <rFont val="Times New Roman"/>
            <family val="18"/>
          </rPr>
          <t>ML 10.763 FK Grün Loudon (1797-98) – RL Haupt Bach Jr. – Abgang (Maria Saal 19/06/1797)</t>
        </r>
        <r>
          <rPr>
            <sz val="14"/>
            <color rgb="FF000000"/>
            <rFont val="Calibri"/>
            <family val="34"/>
          </rPr>
          <t xml:space="preserve">
</t>
        </r>
      </text>
    </comment>
    <comment ref="BH93" authorId="0" shapeId="0" xr:uid="{70E4DAC4-2B37-2E49-9AAA-469378D8B581}">
      <text>
        <r>
          <rPr>
            <sz val="14"/>
            <color rgb="FF000000"/>
            <rFont val="Times New Roman"/>
            <family val="18"/>
          </rPr>
          <t xml:space="preserve">FK Grün Loudon </t>
        </r>
        <r>
          <rPr>
            <sz val="14"/>
            <color rgb="FF000000"/>
            <rFont val="Calibri"/>
            <family val="34"/>
          </rPr>
          <t>(1796)</t>
        </r>
      </text>
    </comment>
    <comment ref="I94" authorId="0" shapeId="0" xr:uid="{1DA05C49-3265-414F-97FC-263B71F7D2B2}">
      <text>
        <r>
          <rPr>
            <sz val="14"/>
            <color rgb="FF000000"/>
            <rFont val="Calibri"/>
            <family val="34"/>
          </rPr>
          <t xml:space="preserve">1773 [23 bei assent)]
</t>
        </r>
        <r>
          <rPr>
            <sz val="14"/>
            <color rgb="FF000000"/>
            <rFont val="Calibri"/>
            <family val="34"/>
          </rPr>
          <t xml:space="preserve">OR 
</t>
        </r>
        <r>
          <rPr>
            <sz val="14"/>
            <color rgb="FF000000"/>
            <rFont val="Calibri"/>
            <family val="34"/>
          </rPr>
          <t>1783 [23 (ML 1806)]</t>
        </r>
      </text>
    </comment>
    <comment ref="BF94" authorId="0" shapeId="0" xr:uid="{06A78525-CCAA-7A46-B918-30896B6C8D36}">
      <text>
        <r>
          <rPr>
            <sz val="14"/>
            <color rgb="FF000000"/>
            <rFont val="Times New Roman"/>
            <family val="18"/>
          </rPr>
          <t xml:space="preserve">01/11/1796 </t>
        </r>
        <r>
          <rPr>
            <i/>
            <sz val="14"/>
            <color rgb="FF000000"/>
            <rFont val="Times New Roman"/>
            <family val="18"/>
          </rPr>
          <t>Als Landständischer Rekrut ohne capitulation</t>
        </r>
        <r>
          <rPr>
            <sz val="14"/>
            <color rgb="FF000000"/>
            <rFont val="Times New Roman"/>
            <family val="18"/>
          </rPr>
          <t xml:space="preserve"> [gestellt] [ML 1806]</t>
        </r>
        <r>
          <rPr>
            <sz val="14"/>
            <color rgb="FF000000"/>
            <rFont val="Calibri"/>
            <family val="34"/>
          </rPr>
          <t xml:space="preserve">
</t>
        </r>
        <r>
          <rPr>
            <sz val="14"/>
            <color rgb="FF000000"/>
            <rFont val="Times New Roman"/>
            <family val="18"/>
          </rPr>
          <t xml:space="preserve">06/10/1805 </t>
        </r>
        <r>
          <rPr>
            <i/>
            <sz val="14"/>
            <color rgb="FF000000"/>
            <rFont val="Times New Roman"/>
            <family val="18"/>
          </rPr>
          <t>Von 8. Füsilier. zu 1. Grenadier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08/10/1805 </t>
        </r>
        <r>
          <rPr>
            <b/>
            <sz val="14"/>
            <color rgb="FFFF0000"/>
            <rFont val="Times New Roman"/>
            <family val="18"/>
          </rPr>
          <t>bey Wertingen</t>
        </r>
        <r>
          <rPr>
            <sz val="14"/>
            <color rgb="FFFF0000"/>
            <rFont val="Times New Roman"/>
            <family val="18"/>
          </rPr>
          <t xml:space="preserve"> </t>
        </r>
        <r>
          <rPr>
            <sz val="14"/>
            <color rgb="FF000000"/>
            <rFont val="Times New Roman"/>
            <family val="18"/>
          </rPr>
          <t>in die Kriegsgefangenschaft [ML 1806]</t>
        </r>
        <r>
          <rPr>
            <sz val="14"/>
            <color rgb="FF000000"/>
            <rFont val="Calibri"/>
            <family val="34"/>
          </rPr>
          <t xml:space="preserve">
</t>
        </r>
        <r>
          <rPr>
            <sz val="14"/>
            <color rgb="FF000000"/>
            <rFont val="Times New Roman"/>
            <family val="18"/>
          </rPr>
          <t xml:space="preserve">13/02/1806 </t>
        </r>
        <r>
          <rPr>
            <i/>
            <sz val="14"/>
            <color rgb="FF000000"/>
            <rFont val="Times New Roman"/>
            <family val="18"/>
          </rPr>
          <t>Als selbst Ranzionierte zu Würzburg präsentiert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1. Gren. Komp. Nr. 60 [</t>
        </r>
        <r>
          <rPr>
            <i/>
            <sz val="14"/>
            <color rgb="FF000000"/>
            <rFont val="Times New Roman"/>
            <family val="18"/>
          </rPr>
          <t>Krank in Prag</t>
        </r>
        <r>
          <rPr>
            <sz val="14"/>
            <color rgb="FF000000"/>
            <rFont val="Times New Roman"/>
            <family val="18"/>
          </rPr>
          <t>]</t>
        </r>
        <r>
          <rPr>
            <sz val="14"/>
            <color rgb="FF000000"/>
            <rFont val="Calibri"/>
            <family val="34"/>
          </rPr>
          <t xml:space="preserve">
</t>
        </r>
        <r>
          <rPr>
            <sz val="14"/>
            <color rgb="FF000000"/>
            <rFont val="Times New Roman"/>
            <family val="18"/>
          </rPr>
          <t xml:space="preserve">07/01/1807 </t>
        </r>
        <r>
          <rPr>
            <i/>
            <sz val="14"/>
            <color rgb="FF000000"/>
            <rFont val="Times New Roman"/>
            <family val="18"/>
          </rPr>
          <t>Als Real Invalid in das Prager Invaliden Haus zur Versorgung</t>
        </r>
        <r>
          <rPr>
            <sz val="14"/>
            <color rgb="FF000000"/>
            <rFont val="Times New Roman"/>
            <family val="18"/>
          </rPr>
          <t xml:space="preserve"> [TL Jan 1807 &amp; ML 1808]</t>
        </r>
        <r>
          <rPr>
            <sz val="14"/>
            <color rgb="FF000000"/>
            <rFont val="Calibri"/>
            <family val="34"/>
          </rPr>
          <t xml:space="preserve">
</t>
        </r>
      </text>
    </comment>
    <comment ref="BG94" authorId="0" shapeId="0" xr:uid="{A6BB101B-F39D-5F48-B340-79BB9597384B}">
      <text>
        <r>
          <rPr>
            <sz val="14"/>
            <color rgb="FF000000"/>
            <rFont val="Times New Roman"/>
            <family val="18"/>
          </rPr>
          <t>ML 3500 IR 39 (1808-10) – RL 13. Fus. Komp. Nr. 201 (Lager bei Comorn 19/09/1808)</t>
        </r>
        <r>
          <rPr>
            <sz val="14"/>
            <color rgb="FF000000"/>
            <rFont val="Calibri"/>
            <family val="34"/>
          </rPr>
          <t xml:space="preserve">
</t>
        </r>
        <r>
          <rPr>
            <sz val="14"/>
            <color rgb="FF000000"/>
            <rFont val="Times New Roman"/>
            <family val="18"/>
          </rPr>
          <t>ML 9664 InvH Prag (1811) – Heft von 7. &amp; 8. Chambre Nr. 147 (Prag 24/06/1811)</t>
        </r>
        <r>
          <rPr>
            <sz val="14"/>
            <color rgb="FF000000"/>
            <rFont val="Calibri"/>
            <family val="34"/>
          </rPr>
          <t xml:space="preserve">
</t>
        </r>
      </text>
    </comment>
    <comment ref="BH94" authorId="0" shapeId="0" xr:uid="{685B391C-DB79-DD41-8475-4D62FA618F12}">
      <text>
        <r>
          <rPr>
            <sz val="14"/>
            <color rgb="FF000000"/>
            <rFont val="Calibri"/>
            <family val="34"/>
          </rPr>
          <t xml:space="preserve">IR 42 (1796-1807)
</t>
        </r>
        <r>
          <rPr>
            <sz val="14"/>
            <color rgb="FF000000"/>
            <rFont val="Calibri"/>
            <family val="34"/>
          </rPr>
          <t>InvH (1807)</t>
        </r>
      </text>
    </comment>
    <comment ref="BI94" authorId="0" shapeId="0" xr:uid="{EDA3F2D0-0641-6A46-8AF9-574690071A07}">
      <text>
        <r>
          <rPr>
            <sz val="14"/>
            <color rgb="FF000000"/>
            <rFont val="Calibri"/>
            <family val="34"/>
          </rPr>
          <t>Gut [TL Jan 1807]</t>
        </r>
      </text>
    </comment>
    <comment ref="BJ94" authorId="0" shapeId="0" xr:uid="{2E9DF3AF-0E27-4E4A-8319-2BC426BDB011}">
      <text>
        <r>
          <rPr>
            <i/>
            <sz val="14"/>
            <color rgb="FF000000"/>
            <rFont val="Times New Roman"/>
            <family val="18"/>
          </rPr>
          <t>Schwindel vom Kopf und Blut gieser</t>
        </r>
        <r>
          <rPr>
            <sz val="14"/>
            <color rgb="FF000000"/>
            <rFont val="Times New Roman"/>
            <family val="18"/>
          </rPr>
          <t>‘ [SUP Jan 1807]</t>
        </r>
      </text>
    </comment>
    <comment ref="BF95" authorId="0" shapeId="0" xr:uid="{1C848EEA-EEAF-014B-A071-FCCEE1BF19E8}">
      <text>
        <r>
          <rPr>
            <sz val="14"/>
            <color rgb="FF000000"/>
            <rFont val="Times New Roman"/>
            <family val="18"/>
          </rPr>
          <t xml:space="preserve">09/11/1796 </t>
        </r>
        <r>
          <rPr>
            <i/>
            <sz val="14"/>
            <color rgb="FF000000"/>
            <rFont val="Times New Roman"/>
            <family val="18"/>
          </rPr>
          <t xml:space="preserve">zu Lublin a 10Fl Werbgeld assentiert und seitdem auf Anhero Marsch von Galizien </t>
        </r>
        <r>
          <rPr>
            <sz val="14"/>
            <color rgb="FF000000"/>
            <rFont val="Times New Roman"/>
            <family val="18"/>
          </rPr>
          <t xml:space="preserve"> [RL 1797 &amp; ST Aug 1797]</t>
        </r>
        <r>
          <rPr>
            <sz val="14"/>
            <color rgb="FF000000"/>
            <rFont val="Calibri"/>
            <family val="34"/>
          </rPr>
          <t xml:space="preserve">
</t>
        </r>
        <r>
          <rPr>
            <sz val="14"/>
            <color rgb="FF000000"/>
            <rFont val="Times New Roman"/>
            <family val="18"/>
          </rPr>
          <t>19/06/1797 Revision: FK Grün Loudon Major Komp. Nr. 146 [</t>
        </r>
        <r>
          <rPr>
            <i/>
            <sz val="14"/>
            <color rgb="FF000000"/>
            <rFont val="Times New Roman"/>
            <family val="18"/>
          </rPr>
          <t>Auf dem Marsch aus Gallizien</t>
        </r>
        <r>
          <rPr>
            <sz val="14"/>
            <color rgb="FF000000"/>
            <rFont val="Times New Roman"/>
            <family val="18"/>
          </rPr>
          <t>]</t>
        </r>
        <r>
          <rPr>
            <sz val="14"/>
            <color rgb="FF000000"/>
            <rFont val="Calibri"/>
            <family val="34"/>
          </rPr>
          <t xml:space="preserve">
</t>
        </r>
        <r>
          <rPr>
            <sz val="14"/>
            <color rgb="FF000000"/>
            <rFont val="Times New Roman"/>
            <family val="18"/>
          </rPr>
          <t>07/03/1798 Revision Grün Loudon ObristLt Komp. Nr. 112 [</t>
        </r>
        <r>
          <rPr>
            <i/>
            <sz val="14"/>
            <color rgb="FF000000"/>
            <rFont val="Times New Roman"/>
            <family val="18"/>
          </rPr>
          <t>Auf dem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Major Von Bach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4 ObristLt Major von Bach Komp. Nr. 99 [</t>
        </r>
        <r>
          <rPr>
            <i/>
            <sz val="14"/>
            <color rgb="FF000000"/>
            <rFont val="Times New Roman"/>
            <family val="18"/>
          </rPr>
          <t>Auf dem Anmarsch aus Galizien</t>
        </r>
        <r>
          <rPr>
            <sz val="14"/>
            <color rgb="FF000000"/>
            <rFont val="Times New Roman"/>
            <family val="18"/>
          </rPr>
          <t>]</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Major von Bach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4 Major von Bach Komp. Nr. 90 [</t>
        </r>
        <r>
          <rPr>
            <i/>
            <sz val="14"/>
            <color rgb="FF000000"/>
            <rFont val="Times New Roman"/>
            <family val="18"/>
          </rPr>
          <t>Auf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30/04/1799 </t>
        </r>
        <r>
          <rPr>
            <i/>
            <sz val="14"/>
            <color rgb="FF000000"/>
            <rFont val="Times New Roman"/>
            <family val="18"/>
          </rPr>
          <t>Vermog Revisions Standes Erledigung als unwissend verloren in</t>
        </r>
        <r>
          <rPr>
            <sz val="14"/>
            <color rgb="FF000000"/>
            <rFont val="Times New Roman"/>
            <family val="18"/>
          </rPr>
          <t xml:space="preserve"> </t>
        </r>
        <r>
          <rPr>
            <i/>
            <sz val="14"/>
            <color rgb="FF000000"/>
            <rFont val="Times New Roman"/>
            <family val="18"/>
          </rPr>
          <t>Abgang</t>
        </r>
        <r>
          <rPr>
            <sz val="14"/>
            <color rgb="FF000000"/>
            <rFont val="Times New Roman"/>
            <family val="18"/>
          </rPr>
          <t xml:space="preserve"> [RL 1800]</t>
        </r>
        <r>
          <rPr>
            <sz val="14"/>
            <color rgb="FF000000"/>
            <rFont val="Calibri"/>
            <family val="34"/>
          </rPr>
          <t xml:space="preserve">
</t>
        </r>
      </text>
    </comment>
    <comment ref="BG95" authorId="0" shapeId="0" xr:uid="{B62F6C97-F20F-FD48-B259-8BD835FDD654}">
      <text>
        <r>
          <rPr>
            <sz val="14"/>
            <color rgb="FF000000"/>
            <rFont val="Times New Roman"/>
            <family val="18"/>
          </rPr>
          <t xml:space="preserve">ML 10.763 FK Grün Laudon (1797-98) – RL Major Amade Komp. Nr. 146 (Maria Saal 19/06/1797); RL ObristLt  Komp. Nr. 112 (Rovigo 07/03/1798)
</t>
        </r>
        <r>
          <rPr>
            <sz val="14"/>
            <color rgb="FF000000"/>
            <rFont val="Times New Roman"/>
            <family val="18"/>
          </rPr>
          <t xml:space="preserve">ML 10.771 FK Grün Laudon (1796-97) – ST August 1797 (Rovigo 06/06/1798)
</t>
        </r>
        <r>
          <rPr>
            <sz val="14"/>
            <color rgb="FF000000"/>
            <rFont val="Times New Roman"/>
            <family val="18"/>
          </rPr>
          <t xml:space="preserve">ML 10.630 LB 4 (1798-1801) – RL (1798) Major Bach Komp. Nr. 99; 1799 RL Major Baron von Bach Komp. Nr. 90 (Rovigo 22/01/1799); Major Bach Komp. Abgang (Pisa 04/03/1800)
</t>
        </r>
      </text>
    </comment>
    <comment ref="BH95" authorId="0" shapeId="0" xr:uid="{BF71858E-5E31-0141-A83E-B0047D489892}">
      <text>
        <r>
          <rPr>
            <sz val="14"/>
            <color rgb="FF000000"/>
            <rFont val="Times New Roman"/>
            <family val="18"/>
          </rPr>
          <t xml:space="preserve">FK Grün Loudon (1796-1798)
</t>
        </r>
        <r>
          <rPr>
            <sz val="14"/>
            <color rgb="FF000000"/>
            <rFont val="Times New Roman"/>
            <family val="18"/>
          </rPr>
          <t>LB 4 (1798-1799)</t>
        </r>
      </text>
    </comment>
    <comment ref="BF96" authorId="0" shapeId="0" xr:uid="{346B53F9-F0E4-1A45-9058-FA8125103653}">
      <text>
        <r>
          <rPr>
            <sz val="14"/>
            <color rgb="FF000000"/>
            <rFont val="Times New Roman"/>
            <family val="18"/>
          </rPr>
          <t xml:space="preserve">25/11/1796 </t>
        </r>
        <r>
          <rPr>
            <i/>
            <sz val="14"/>
            <color rgb="FF000000"/>
            <rFont val="Times New Roman"/>
            <family val="18"/>
          </rPr>
          <t>Wurde auf die Zeit der Gegenwärtigenkrieg beim Corps Wiener FW gestellt und zum 6. Komp. von Haupt Moser eingeheilt; wird des deren von der landständische Stadt Wienerisch Neustadt beigetragenen 3145Fl 28Xr erhalten und mundiert</t>
        </r>
        <r>
          <rPr>
            <sz val="14"/>
            <color rgb="FF000000"/>
            <rFont val="Times New Roman"/>
            <family val="18"/>
          </rPr>
          <t xml:space="preserve"> [AL Dec 1796 &amp; RL June 1797]</t>
        </r>
        <r>
          <rPr>
            <sz val="14"/>
            <color rgb="FF000000"/>
            <rFont val="Calibri"/>
            <family val="34"/>
          </rPr>
          <t xml:space="preserve">
</t>
        </r>
        <r>
          <rPr>
            <sz val="14"/>
            <color rgb="FF000000"/>
            <rFont val="Times New Roman"/>
            <family val="18"/>
          </rPr>
          <t xml:space="preserve">16/01/1797 </t>
        </r>
        <r>
          <rPr>
            <i/>
            <sz val="14"/>
            <color rgb="FF000000"/>
            <rFont val="Times New Roman"/>
            <family val="18"/>
          </rPr>
          <t>Bey St. Giorgio in Kriegsgefangenschaft geraten</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15/03/1797 Aus der Kriegsgrfangenschaft selbst ranzioniert [DL April 1797]</t>
        </r>
        <r>
          <rPr>
            <sz val="14"/>
            <color rgb="FF000000"/>
            <rFont val="Calibri"/>
            <family val="34"/>
          </rPr>
          <t xml:space="preserve">
</t>
        </r>
        <r>
          <rPr>
            <sz val="14"/>
            <color rgb="FF000000"/>
            <rFont val="Times New Roman"/>
            <family val="18"/>
          </rPr>
          <t xml:space="preserve">??/04/1797 </t>
        </r>
        <r>
          <rPr>
            <i/>
            <sz val="14"/>
            <color rgb="FF000000"/>
            <rFont val="Times New Roman"/>
            <family val="18"/>
          </rPr>
          <t>Im Monat April bey der Reserve in Wien aus der Kriegsgefangenschaft präsentiert , das fällige Zuwachs Documenten seid aber von daherro not nicht eingelegt</t>
        </r>
        <r>
          <rPr>
            <sz val="14"/>
            <color rgb="FF000000"/>
            <rFont val="Times New Roman"/>
            <family val="18"/>
          </rPr>
          <t xml:space="preserve"> [RL June 1797]</t>
        </r>
        <r>
          <rPr>
            <sz val="14"/>
            <color rgb="FF000000"/>
            <rFont val="Calibri"/>
            <family val="34"/>
          </rPr>
          <t xml:space="preserve">
</t>
        </r>
        <r>
          <rPr>
            <sz val="14"/>
            <color rgb="FF000000"/>
            <rFont val="Times New Roman"/>
            <family val="18"/>
          </rPr>
          <t xml:space="preserve">16/09/1797 </t>
        </r>
        <r>
          <rPr>
            <i/>
            <sz val="14"/>
            <color rgb="FF000000"/>
            <rFont val="Times New Roman"/>
            <family val="18"/>
          </rPr>
          <t>Vermög Corps Befehl ddt. 21 dicti aud dem Stand der Dreywilligen Gemeine zum Gefreyter avanciert</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30/04/1798 </t>
        </r>
        <r>
          <rPr>
            <i/>
            <sz val="14"/>
            <color rgb="FF000000"/>
            <rFont val="Times New Roman"/>
            <family val="18"/>
          </rPr>
          <t>Zu Hofkriegsratlichen Verordnung ddt. Wien am 24. Marz 798 Mit Zertifikat entlassen</t>
        </r>
        <r>
          <rPr>
            <sz val="14"/>
            <color rgb="FF000000"/>
            <rFont val="Times New Roman"/>
            <family val="18"/>
          </rPr>
          <t xml:space="preserve"> [DL April 1798 &amp; ST/RT April 1798]</t>
        </r>
        <r>
          <rPr>
            <sz val="14"/>
            <color rgb="FF000000"/>
            <rFont val="Calibri"/>
            <family val="34"/>
          </rPr>
          <t xml:space="preserve">
</t>
        </r>
      </text>
    </comment>
    <comment ref="BG96" authorId="0" shapeId="0" xr:uid="{8EF6D652-463B-7543-81BD-DF5490B848C6}">
      <text>
        <r>
          <rPr>
            <sz val="14"/>
            <color rgb="FF000000"/>
            <rFont val="Times New Roman"/>
            <family val="18"/>
          </rPr>
          <t>ML 10.791 Korps Wiener FW (1797-8) – RL Haupt Moser (6.) Komp. – Zuwachs &amp; Abgang (Eich 17/06/1797), DL Perchtolsdorf (30/04/1798)</t>
        </r>
        <r>
          <rPr>
            <sz val="14"/>
            <color rgb="FF000000"/>
            <rFont val="Calibri"/>
            <family val="34"/>
          </rPr>
          <t xml:space="preserve">
</t>
        </r>
        <r>
          <rPr>
            <sz val="14"/>
            <color rgb="FF000000"/>
            <rFont val="Times New Roman"/>
            <family val="18"/>
          </rPr>
          <t>ML 10.792 Korps Wiener FW (1796-8) – AL Nr. 4 (Vienna 06/12/1793), 1796 ST Nov (??/??1797), 1797 ST Sept (Vienna 31/08/1799), 1798 RT (Vienna 24/11/1800)</t>
        </r>
      </text>
    </comment>
    <comment ref="BH96" authorId="0" shapeId="0" xr:uid="{46ABFB6A-0DC6-7848-9D68-A2DE4F99DDFD}">
      <text>
        <r>
          <rPr>
            <sz val="14"/>
            <color rgb="FF000000"/>
            <rFont val="Calibri"/>
            <family val="34"/>
          </rPr>
          <t>Wiener FW  (1796-98)</t>
        </r>
      </text>
    </comment>
    <comment ref="BF97" authorId="0" shapeId="0" xr:uid="{ACD91F75-D13D-3A4E-93DB-FE48EFA800AD}">
      <text>
        <r>
          <rPr>
            <sz val="14"/>
            <color rgb="FF000000"/>
            <rFont val="Times New Roman"/>
            <family val="18"/>
          </rPr>
          <t xml:space="preserve">04/12/1796 </t>
        </r>
        <r>
          <rPr>
            <i/>
            <sz val="14"/>
            <color rgb="FF000000"/>
            <rFont val="Times New Roman"/>
            <family val="18"/>
          </rPr>
          <t>A 10Fl Werbgeld zu Lemberg auf Dauer des Krieges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Loudon Gasser Komp. Nr. 176</t>
        </r>
        <r>
          <rPr>
            <sz val="14"/>
            <color rgb="FF000000"/>
            <rFont val="Calibri"/>
            <family val="34"/>
          </rPr>
          <t xml:space="preserve">
</t>
        </r>
        <r>
          <rPr>
            <sz val="14"/>
            <color rgb="FF000000"/>
            <rFont val="Times New Roman"/>
            <family val="18"/>
          </rPr>
          <t>07/03/1798 Revision: FK Grün Loudon Haupt Gasser Komp. Nr. 135</t>
        </r>
        <r>
          <rPr>
            <sz val="14"/>
            <color rgb="FF000000"/>
            <rFont val="Calibri"/>
            <family val="34"/>
          </rPr>
          <t xml:space="preserve">
</t>
        </r>
        <r>
          <rPr>
            <sz val="14"/>
            <color rgb="FF000000"/>
            <rFont val="Times New Roman"/>
            <family val="18"/>
          </rPr>
          <t xml:space="preserve">22/06/1798 </t>
        </r>
        <r>
          <rPr>
            <i/>
            <sz val="14"/>
            <color rgb="FF000000"/>
            <rFont val="Times New Roman"/>
            <family val="18"/>
          </rPr>
          <t>Als Angehörige von Haupt Gasser Comp. zu Rovigo Katholisch getauft, und bekam bei seiner Taufe dem Namen Lorenz ROSANSKY, welche auf künftigen so übertragen worden wird</t>
        </r>
        <r>
          <rPr>
            <sz val="14"/>
            <color rgb="FF000000"/>
            <rFont val="Times New Roman"/>
            <family val="18"/>
          </rPr>
          <t xml:space="preserve"> [ST June 1798]</t>
        </r>
        <r>
          <rPr>
            <sz val="14"/>
            <color rgb="FF000000"/>
            <rFont val="Calibri"/>
            <family val="34"/>
          </rPr>
          <t xml:space="preserve">
</t>
        </r>
        <r>
          <rPr>
            <sz val="14"/>
            <color rgb="FF000000"/>
            <rFont val="Times New Roman"/>
            <family val="18"/>
          </rPr>
          <t xml:space="preserve">30/06/1798 </t>
        </r>
        <r>
          <rPr>
            <i/>
            <sz val="14"/>
            <color rgb="FF000000"/>
            <rFont val="Times New Roman"/>
            <family val="18"/>
          </rPr>
          <t>Von FK Grün Loudon zum LB 3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01/07/1798 Revision: LB 3 Haupt Gasser Komp. Nr 125</t>
        </r>
        <r>
          <rPr>
            <sz val="14"/>
            <color rgb="FF000000"/>
            <rFont val="Calibri"/>
            <family val="34"/>
          </rPr>
          <t xml:space="preserve">
</t>
        </r>
        <r>
          <rPr>
            <sz val="14"/>
            <color rgb="FF000000"/>
            <rFont val="Times New Roman"/>
            <family val="18"/>
          </rPr>
          <t>22/01/1799 Revision: LB 3 Haupt Gasser Komp. Nr. 118</t>
        </r>
        <r>
          <rPr>
            <sz val="14"/>
            <color rgb="FF000000"/>
            <rFont val="Calibri"/>
            <family val="34"/>
          </rPr>
          <t xml:space="preserve">
</t>
        </r>
        <r>
          <rPr>
            <sz val="14"/>
            <color rgb="FF000000"/>
            <rFont val="Times New Roman"/>
            <family val="18"/>
          </rPr>
          <t>04/03/1800 Revision LB 3 Haupt Gasser Komp. Nr. 31</t>
        </r>
        <r>
          <rPr>
            <sz val="14"/>
            <color rgb="FF000000"/>
            <rFont val="Calibri"/>
            <family val="34"/>
          </rPr>
          <t xml:space="preserve">
</t>
        </r>
        <r>
          <rPr>
            <sz val="14"/>
            <color rgb="FF000000"/>
            <rFont val="Times New Roman"/>
            <family val="18"/>
          </rPr>
          <t xml:space="preserve">10/04/1801 </t>
        </r>
        <r>
          <rPr>
            <i/>
            <sz val="14"/>
            <color rgb="FF000000"/>
            <rFont val="Times New Roman"/>
            <family val="18"/>
          </rPr>
          <t>in Loco Deseriert</t>
        </r>
        <r>
          <rPr>
            <sz val="14"/>
            <color rgb="FF000000"/>
            <rFont val="Times New Roman"/>
            <family val="18"/>
          </rPr>
          <t xml:space="preserve"> [DL 1801]</t>
        </r>
        <r>
          <rPr>
            <sz val="14"/>
            <color rgb="FF000000"/>
            <rFont val="Calibri"/>
            <family val="34"/>
          </rPr>
          <t xml:space="preserve">
</t>
        </r>
        <r>
          <rPr>
            <sz val="14"/>
            <color rgb="FF000000"/>
            <rFont val="Times New Roman"/>
            <family val="18"/>
          </rPr>
          <t xml:space="preserve">19/05/1801 </t>
        </r>
        <r>
          <rPr>
            <i/>
            <sz val="14"/>
            <color rgb="FF000000"/>
            <rFont val="Times New Roman"/>
            <family val="18"/>
          </rPr>
          <t>Zu Legnano als selbst gemeldet präsentier</t>
        </r>
        <r>
          <rPr>
            <sz val="14"/>
            <color rgb="FF000000"/>
            <rFont val="Times New Roman"/>
            <family val="18"/>
          </rPr>
          <t>t [DL 1801]</t>
        </r>
        <r>
          <rPr>
            <sz val="14"/>
            <color rgb="FF000000"/>
            <rFont val="Calibri"/>
            <family val="34"/>
          </rPr>
          <t xml:space="preserve">
</t>
        </r>
        <r>
          <rPr>
            <sz val="14"/>
            <color rgb="FF000000"/>
            <rFont val="Times New Roman"/>
            <family val="18"/>
          </rPr>
          <t>31/10/1801 Dissolvierung LB 3 Haupt Schlick Nr. 34 [</t>
        </r>
        <r>
          <rPr>
            <i/>
            <sz val="14"/>
            <color rgb="FF000000"/>
            <rFont val="Times New Roman"/>
            <family val="18"/>
          </rPr>
          <t>Ins IR 44 Bellegarde zu transferieren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Schlick Comp zum IR 44 Haupt Triulzy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22/11/1801 </t>
        </r>
        <r>
          <rPr>
            <i/>
            <sz val="14"/>
            <color rgb="FF000000"/>
            <rFont val="Times New Roman"/>
            <family val="18"/>
          </rPr>
          <t>Gegen 15 Fl auf weitere 6 Jahr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19/09/1803 Musterung: IR 44 Haupt Trivulzi Komp. Nr. 100</t>
        </r>
        <r>
          <rPr>
            <sz val="14"/>
            <color rgb="FF000000"/>
            <rFont val="Calibri"/>
            <family val="34"/>
          </rPr>
          <t xml:space="preserve">
</t>
        </r>
        <r>
          <rPr>
            <sz val="14"/>
            <color rgb="FF000000"/>
            <rFont val="Times New Roman"/>
            <family val="18"/>
          </rPr>
          <t>12/05/1804 Musterung: IR 44 Haupt Trivulzi Komp. Nr. 82</t>
        </r>
        <r>
          <rPr>
            <sz val="14"/>
            <color rgb="FF000000"/>
            <rFont val="Calibri"/>
            <family val="34"/>
          </rPr>
          <t xml:space="preserve">
</t>
        </r>
        <r>
          <rPr>
            <sz val="14"/>
            <color rgb="FF000000"/>
            <rFont val="Times New Roman"/>
            <family val="18"/>
          </rPr>
          <t xml:space="preserve">07/03/1805 </t>
        </r>
        <r>
          <rPr>
            <i/>
            <sz val="14"/>
            <color rgb="FF000000"/>
            <rFont val="Times New Roman"/>
            <family val="18"/>
          </rPr>
          <t>Gegen 24Fl auf weitere 6 Jahr reengagiert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01/09/1805 </t>
        </r>
        <r>
          <rPr>
            <i/>
            <sz val="14"/>
            <color rgb="FF000000"/>
            <rFont val="Times New Roman"/>
            <family val="18"/>
          </rPr>
          <t>Zum Gefreyter avanciert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01/02/1806 </t>
        </r>
        <r>
          <rPr>
            <i/>
            <sz val="14"/>
            <color rgb="FF000000"/>
            <rFont val="Times New Roman"/>
            <family val="18"/>
          </rPr>
          <t>Zum Corporal avanciert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Musterung: IR 43 Haupt Trivulzi Komp. Nr. 20 [</t>
        </r>
        <r>
          <rPr>
            <i/>
            <sz val="14"/>
            <color rgb="FF000000"/>
            <rFont val="Times New Roman"/>
            <family val="18"/>
          </rPr>
          <t>Commandiert auf der cannonier Chalupe</t>
        </r>
        <r>
          <rPr>
            <sz val="14"/>
            <color rgb="FF000000"/>
            <rFont val="Times New Roman"/>
            <family val="18"/>
          </rPr>
          <t>]</t>
        </r>
        <r>
          <rPr>
            <sz val="14"/>
            <color rgb="FF000000"/>
            <rFont val="Calibri"/>
            <family val="34"/>
          </rPr>
          <t xml:space="preserve">
</t>
        </r>
        <r>
          <rPr>
            <sz val="14"/>
            <color rgb="FF000000"/>
            <rFont val="Times New Roman"/>
            <family val="18"/>
          </rPr>
          <t xml:space="preserve">19/12/1806 </t>
        </r>
        <r>
          <rPr>
            <i/>
            <sz val="14"/>
            <color rgb="FF000000"/>
            <rFont val="Times New Roman"/>
            <family val="18"/>
          </rPr>
          <t>Von die Kannonier chapule desertiert</t>
        </r>
        <r>
          <rPr>
            <sz val="14"/>
            <color rgb="FF000000"/>
            <rFont val="Times New Roman"/>
            <family val="18"/>
          </rPr>
          <t xml:space="preserve"> [RL 1808] [Unter Marz 1807 eingetragen]</t>
        </r>
        <r>
          <rPr>
            <sz val="14"/>
            <color rgb="FF000000"/>
            <rFont val="Calibri"/>
            <family val="34"/>
          </rPr>
          <t xml:space="preserve">
</t>
        </r>
      </text>
    </comment>
    <comment ref="BG97" authorId="0" shapeId="0" xr:uid="{E2DE3888-5F40-334F-9691-DD4D4090057B}">
      <text>
        <r>
          <rPr>
            <sz val="14"/>
            <color rgb="FF000000"/>
            <rFont val="Times New Roman"/>
            <family val="18"/>
          </rPr>
          <t>ML 10.763 FK Grün Laudon (1797-98) – RL Haupt Gasser Nr. 176 (Maria Saal 19/06/1797); RL Haupt Gasser Nr. 135 (Rovigo 07/03/1798)</t>
        </r>
        <r>
          <rPr>
            <sz val="14"/>
            <color rgb="FF000000"/>
            <rFont val="Calibri"/>
            <family val="34"/>
          </rPr>
          <t xml:space="preserve">
</t>
        </r>
        <r>
          <rPr>
            <sz val="14"/>
            <color rgb="FF000000"/>
            <rFont val="Times New Roman"/>
            <family val="18"/>
          </rPr>
          <t>ML 10.772 (1798) FK Grün Laudon (1798) – June 1798 (Rovigo 04/08/1798)</t>
        </r>
        <r>
          <rPr>
            <sz val="14"/>
            <color rgb="FF000000"/>
            <rFont val="Calibri"/>
            <family val="34"/>
          </rPr>
          <t xml:space="preserve">
</t>
        </r>
        <r>
          <rPr>
            <sz val="14"/>
            <color rgb="FF000000"/>
            <rFont val="Times New Roman"/>
            <family val="18"/>
          </rPr>
          <t>ML 10.624 LB 3 (1798-1801) – 1798 RL Haupt Gasser Komp. Nr. 125 (Rovigo 30/06/1798); 1799 RL Haupt Gasser Komp. Nr. 118 (Rovigo 22/01/1799); 1800 RL Haupt Gasser Nr. 31 (Livorno 04/03/1800)</t>
        </r>
        <r>
          <rPr>
            <sz val="14"/>
            <color rgb="FF000000"/>
            <rFont val="Calibri"/>
            <family val="34"/>
          </rPr>
          <t xml:space="preserve">
</t>
        </r>
        <r>
          <rPr>
            <sz val="14"/>
            <color rgb="FF000000"/>
            <rFont val="Times New Roman"/>
            <family val="18"/>
          </rPr>
          <t>ML 10.625 LB (1799-1801) – GB Haupt Gasser</t>
        </r>
        <r>
          <rPr>
            <sz val="14"/>
            <color rgb="FF000000"/>
            <rFont val="Calibri"/>
            <family val="34"/>
          </rPr>
          <t xml:space="preserve">
</t>
        </r>
        <r>
          <rPr>
            <sz val="14"/>
            <color rgb="FF000000"/>
            <rFont val="Times New Roman"/>
            <family val="18"/>
          </rPr>
          <t>ML 3908 IR 44 (1803) – Haupt Trivulzi Komp. Nr. 100 (Vicenza 18/09/1803)</t>
        </r>
        <r>
          <rPr>
            <sz val="14"/>
            <color rgb="FF000000"/>
            <rFont val="Calibri"/>
            <family val="34"/>
          </rPr>
          <t xml:space="preserve">
</t>
        </r>
        <r>
          <rPr>
            <sz val="14"/>
            <color rgb="FF000000"/>
            <rFont val="Times New Roman"/>
            <family val="18"/>
          </rPr>
          <t>ML 3909 IR 44 (1804) – Haupt Trivulzi Komp. Nr. 82 (Vicenza 12/05/1804)</t>
        </r>
        <r>
          <rPr>
            <sz val="14"/>
            <color rgb="FF000000"/>
            <rFont val="Calibri"/>
            <family val="34"/>
          </rPr>
          <t xml:space="preserve">
</t>
        </r>
        <r>
          <rPr>
            <sz val="14"/>
            <color rgb="FF000000"/>
            <rFont val="Times New Roman"/>
            <family val="18"/>
          </rPr>
          <t>ML 3910 IR 44 (1806) – Haupt Trivulzi Komp. Nr. 20 (Fiume 10/12/1806)</t>
        </r>
        <r>
          <rPr>
            <sz val="14"/>
            <color rgb="FF000000"/>
            <rFont val="Calibri"/>
            <family val="34"/>
          </rPr>
          <t xml:space="preserve">
</t>
        </r>
        <r>
          <rPr>
            <sz val="14"/>
            <color rgb="FF000000"/>
            <rFont val="Times New Roman"/>
            <family val="18"/>
          </rPr>
          <t>ML 3911 IR 44 (1808) – Haupt Trivulzi Abgang (Comorn 19/09/1808)</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text>
    </comment>
    <comment ref="BH97" authorId="0" shapeId="0" xr:uid="{1CBDBAA6-6BBC-7948-A9FA-19A14302935E}">
      <text>
        <r>
          <rPr>
            <sz val="14"/>
            <color rgb="FF000000"/>
            <rFont val="Times New Roman"/>
            <family val="18"/>
          </rPr>
          <t xml:space="preserve">FK Grün Loudon (1796-98)
</t>
        </r>
        <r>
          <rPr>
            <sz val="14"/>
            <color rgb="FF000000"/>
            <rFont val="Times New Roman"/>
            <family val="18"/>
          </rPr>
          <t xml:space="preserve">LB 3 (1798-1801)
</t>
        </r>
        <r>
          <rPr>
            <sz val="14"/>
            <color rgb="FF000000"/>
            <rFont val="Times New Roman"/>
            <family val="18"/>
          </rPr>
          <t>IR 44 (1801-1806)</t>
        </r>
      </text>
    </comment>
    <comment ref="BF98" authorId="0" shapeId="0" xr:uid="{5192253F-2C50-F54A-9437-DF709544FC54}">
      <text>
        <r>
          <rPr>
            <sz val="14"/>
            <color rgb="FF000000"/>
            <rFont val="Times New Roman"/>
            <family val="18"/>
          </rPr>
          <t xml:space="preserve">08/12/1796 </t>
        </r>
        <r>
          <rPr>
            <i/>
            <sz val="14"/>
            <color rgb="FF000000"/>
            <rFont val="Times New Roman"/>
            <family val="18"/>
          </rPr>
          <t>A 3Fl Handgeld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Seitlinger Komp. Nr. 27 [</t>
        </r>
        <r>
          <rPr>
            <i/>
            <sz val="14"/>
            <color rgb="FF000000"/>
            <rFont val="Times New Roman"/>
            <family val="18"/>
          </rPr>
          <t>Beurlaubt in Gallizien zu Przemysl</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Von Urlaub desertiert</t>
        </r>
        <r>
          <rPr>
            <sz val="14"/>
            <color rgb="FF000000"/>
            <rFont val="Times New Roman"/>
            <family val="18"/>
          </rPr>
          <t xml:space="preserve"> [ML 1804]</t>
        </r>
      </text>
    </comment>
    <comment ref="BG98" authorId="0" shapeId="0" xr:uid="{F2D4BAF5-1F59-3E48-90FA-DDB6A5B2EFBA}">
      <text>
        <r>
          <rPr>
            <sz val="14"/>
            <color rgb="FF000000"/>
            <rFont val="Times New Roman"/>
            <family val="18"/>
          </rPr>
          <t>ML 5015 IR 59 (1803) – Haupt Setlinger Komp. Nr. 27 (Enns 29/08/1803)</t>
        </r>
        <r>
          <rPr>
            <sz val="14"/>
            <color rgb="FF000000"/>
            <rFont val="Calibri"/>
            <family val="34"/>
          </rPr>
          <t xml:space="preserve">
</t>
        </r>
        <r>
          <rPr>
            <sz val="14"/>
            <color rgb="FF000000"/>
            <rFont val="Times New Roman"/>
            <family val="18"/>
          </rPr>
          <t>ML 5016 IR 59 (1804) – Haupt Setlinger Komp. Abgang (Innsbruck 03/09/1804)</t>
        </r>
        <r>
          <rPr>
            <sz val="14"/>
            <color rgb="FF000000"/>
            <rFont val="Calibri"/>
            <family val="34"/>
          </rPr>
          <t xml:space="preserve">
</t>
        </r>
      </text>
    </comment>
    <comment ref="BH98" authorId="0" shapeId="0" xr:uid="{5C377532-A667-6A4B-BFE6-0DA71369EB69}">
      <text>
        <r>
          <rPr>
            <sz val="14"/>
            <color rgb="FF000000"/>
            <rFont val="Calibri"/>
            <family val="34"/>
          </rPr>
          <t>IR 59  (1796-1798)</t>
        </r>
      </text>
    </comment>
    <comment ref="BF99" authorId="0" shapeId="0" xr:uid="{E343F088-9BE7-C94C-B517-668170B0C986}">
      <text>
        <r>
          <rPr>
            <sz val="14"/>
            <color rgb="FF000000"/>
            <rFont val="Times New Roman"/>
            <family val="18"/>
          </rPr>
          <t xml:space="preserve">13/12/1796 </t>
        </r>
        <r>
          <rPr>
            <i/>
            <sz val="14"/>
            <color rgb="FF000000"/>
            <rFont val="Times New Roman"/>
            <family val="18"/>
          </rPr>
          <t>zu Czortkow a 12Fl Handgeld ins FK Grün Loudon assentiert</t>
        </r>
        <r>
          <rPr>
            <sz val="14"/>
            <color rgb="FF000000"/>
            <rFont val="Times New Roman"/>
            <family val="18"/>
          </rPr>
          <t xml:space="preserve"> [RL 1796]</t>
        </r>
        <r>
          <rPr>
            <sz val="14"/>
            <color rgb="FF000000"/>
            <rFont val="Calibri"/>
            <family val="34"/>
          </rPr>
          <t xml:space="preserve">
</t>
        </r>
        <r>
          <rPr>
            <sz val="14"/>
            <color rgb="FF000000"/>
            <rFont val="Times New Roman"/>
            <family val="18"/>
          </rPr>
          <t>19/06/1797 Revision: FK Grün Laudon Haupt Bach Senior Komp. Nr. 166 [</t>
        </r>
        <r>
          <rPr>
            <i/>
            <sz val="14"/>
            <color rgb="FF000000"/>
            <rFont val="Times New Roman"/>
            <family val="18"/>
          </rPr>
          <t>Auf dem Aufmarsch</t>
        </r>
        <r>
          <rPr>
            <sz val="14"/>
            <color rgb="FF000000"/>
            <rFont val="Times New Roman"/>
            <family val="18"/>
          </rPr>
          <t>]</t>
        </r>
        <r>
          <rPr>
            <sz val="14"/>
            <color rgb="FF000000"/>
            <rFont val="Calibri"/>
            <family val="34"/>
          </rPr>
          <t xml:space="preserve">
</t>
        </r>
        <r>
          <rPr>
            <sz val="14"/>
            <color rgb="FF000000"/>
            <rFont val="Times New Roman"/>
            <family val="18"/>
          </rPr>
          <t>07/03/1798 Revision: FK Grün Laudon Haupt Melchior Komp. Nr. 117</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Laudon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3 Haupt Melchior Comp Nr. 98</t>
        </r>
        <r>
          <rPr>
            <sz val="14"/>
            <color rgb="FF000000"/>
            <rFont val="Calibri"/>
            <family val="34"/>
          </rPr>
          <t xml:space="preserve">
</t>
        </r>
        <r>
          <rPr>
            <sz val="14"/>
            <color rgb="FF000000"/>
            <rFont val="Times New Roman"/>
            <family val="18"/>
          </rPr>
          <t xml:space="preserve">08/05/1799 </t>
        </r>
        <r>
          <rPr>
            <i/>
            <sz val="14"/>
            <color rgb="FF000000"/>
            <rFont val="Times New Roman"/>
            <family val="18"/>
          </rPr>
          <t>Bey Stradella in die Kriegsgefangenschaft gefallen</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10/05/1799 </t>
        </r>
        <r>
          <rPr>
            <i/>
            <sz val="14"/>
            <color rgb="FF000000"/>
            <rFont val="Times New Roman"/>
            <family val="18"/>
          </rPr>
          <t>Gegen Austausch in Casa Laschi Presentiert</t>
        </r>
        <r>
          <rPr>
            <sz val="14"/>
            <color rgb="FF000000"/>
            <rFont val="Times New Roman"/>
            <family val="18"/>
          </rPr>
          <t xml:space="preserve"> [RL 1800]</t>
        </r>
        <r>
          <rPr>
            <sz val="14"/>
            <color rgb="FF000000"/>
            <rFont val="Calibri"/>
            <family val="34"/>
          </rPr>
          <t xml:space="preserve">
</t>
        </r>
        <r>
          <rPr>
            <sz val="14"/>
            <color rgb="FF000000"/>
            <rFont val="Times New Roman"/>
            <family val="18"/>
          </rPr>
          <t>04/03/1800 Revision: LB Haupt Melchior Comp Nr. 130</t>
        </r>
        <r>
          <rPr>
            <sz val="14"/>
            <color rgb="FF000000"/>
            <rFont val="Calibri"/>
            <family val="34"/>
          </rPr>
          <t xml:space="preserve">
</t>
        </r>
        <r>
          <rPr>
            <sz val="14"/>
            <color rgb="FF000000"/>
            <rFont val="Times New Roman"/>
            <family val="18"/>
          </rPr>
          <t xml:space="preserve">14/04/1800 </t>
        </r>
        <r>
          <rPr>
            <i/>
            <sz val="14"/>
            <color rgb="FF000000"/>
            <rFont val="Times New Roman"/>
            <family val="18"/>
          </rPr>
          <t>In Spital zu Padua gestorben</t>
        </r>
        <r>
          <rPr>
            <sz val="14"/>
            <color rgb="FF000000"/>
            <rFont val="Times New Roman"/>
            <family val="18"/>
          </rPr>
          <t xml:space="preserve"> [DL 1801]</t>
        </r>
        <r>
          <rPr>
            <sz val="14"/>
            <color rgb="FF000000"/>
            <rFont val="Calibri"/>
            <family val="34"/>
          </rPr>
          <t xml:space="preserve">
</t>
        </r>
      </text>
    </comment>
    <comment ref="BG99" authorId="0" shapeId="0" xr:uid="{CA718E86-D666-3A46-940C-AAB99227CB0D}">
      <text>
        <r>
          <rPr>
            <sz val="18"/>
            <color rgb="FF000000"/>
            <rFont val="Times New Roman"/>
            <family val="18"/>
          </rPr>
          <t>M</t>
        </r>
        <r>
          <rPr>
            <sz val="14"/>
            <color rgb="FF000000"/>
            <rFont val="Times New Roman"/>
            <family val="18"/>
          </rPr>
          <t xml:space="preserve">L 10.763 FK Grün Laudon (1797-98) – RL Haupt Bach Sr. Komp. Nr. 166 (Maria Saal 19/06/1797); RL Haupt Melchior Komp. Nr. 117
</t>
        </r>
        <r>
          <rPr>
            <sz val="14"/>
            <color rgb="FF000000"/>
            <rFont val="Times New Roman"/>
            <family val="18"/>
          </rPr>
          <t xml:space="preserve">ML 10.771 FK Grün Laudon (1796-97) – 1797 ST August (Rovigo 06/06/1798); October (Rovigo 06/06/1798)
</t>
        </r>
        <r>
          <rPr>
            <sz val="14"/>
            <color rgb="FF000000"/>
            <rFont val="Times New Roman"/>
            <family val="18"/>
          </rPr>
          <t xml:space="preserve">ML 10.624 LB 3 (1798-1801) – 1799 RL Haupt Melchior Komp. Nr. 98 (Rovigo 22/01/1799); 1800 RL Haupt Malchior Nr. 130 (Livorno 04/03/1800); DL 1801 Haupt Melchior – Abgang (Cervignano 31/10/1801)
</t>
        </r>
        <r>
          <rPr>
            <sz val="14"/>
            <color rgb="FF000000"/>
            <rFont val="Times New Roman"/>
            <family val="18"/>
          </rPr>
          <t xml:space="preserve">ML 10.625 LB (1799-1801) – GB Haupt Melchior
</t>
        </r>
      </text>
    </comment>
    <comment ref="BH99" authorId="0" shapeId="0" xr:uid="{C3A6E9C0-3F76-EF40-A85F-69380FBA7F23}">
      <text>
        <r>
          <rPr>
            <sz val="14"/>
            <color rgb="FF000000"/>
            <rFont val="Times New Roman"/>
            <family val="18"/>
          </rPr>
          <t xml:space="preserve">FK Grün Loudon </t>
        </r>
        <r>
          <rPr>
            <sz val="14"/>
            <color rgb="FF000000"/>
            <rFont val="Calibri"/>
            <family val="34"/>
          </rPr>
          <t xml:space="preserve">(1796-1798)
</t>
        </r>
        <r>
          <rPr>
            <sz val="14"/>
            <color rgb="FF000000"/>
            <rFont val="Calibri"/>
            <family val="34"/>
          </rPr>
          <t>LB 3 (1798-1800)</t>
        </r>
      </text>
    </comment>
    <comment ref="BF100" authorId="0" shapeId="0" xr:uid="{C076F495-E573-7940-B2C4-0D8A2F114DFE}">
      <text>
        <r>
          <rPr>
            <sz val="14"/>
            <color rgb="FF000000"/>
            <rFont val="Times New Roman"/>
            <family val="18"/>
          </rPr>
          <t xml:space="preserve">24/12/1796 </t>
        </r>
        <r>
          <rPr>
            <i/>
            <sz val="14"/>
            <color rgb="FF000000"/>
            <rFont val="Times New Roman"/>
            <family val="18"/>
          </rPr>
          <t>Gegen 10 Gulden Werbgeld in Lemberg ins Grün Loudon Frey Corps Assentiert</t>
        </r>
        <r>
          <rPr>
            <sz val="14"/>
            <color rgb="FF000000"/>
            <rFont val="Times New Roman"/>
            <family val="18"/>
          </rPr>
          <t xml:space="preserve"> [RL 1797]</t>
        </r>
        <r>
          <rPr>
            <sz val="14"/>
            <color rgb="FF000000"/>
            <rFont val="Calibri"/>
            <family val="34"/>
          </rPr>
          <t xml:space="preserve">
</t>
        </r>
        <r>
          <rPr>
            <sz val="14"/>
            <color rgb="FF000000"/>
            <rFont val="Times New Roman"/>
            <family val="18"/>
          </rPr>
          <t>19/06/1797 Revision: FK Grün Loudon Haupt Quenaudon Komp. Nr. 140 [</t>
        </r>
        <r>
          <rPr>
            <i/>
            <sz val="14"/>
            <color rgb="FF000000"/>
            <rFont val="Times New Roman"/>
            <family val="18"/>
          </rPr>
          <t>Auf Anhero Marsch</t>
        </r>
        <r>
          <rPr>
            <sz val="14"/>
            <color rgb="FF000000"/>
            <rFont val="Times New Roman"/>
            <family val="18"/>
          </rPr>
          <t>]</t>
        </r>
        <r>
          <rPr>
            <sz val="14"/>
            <color rgb="FF000000"/>
            <rFont val="Calibri"/>
            <family val="34"/>
          </rPr>
          <t xml:space="preserve">
</t>
        </r>
        <r>
          <rPr>
            <sz val="14"/>
            <color rgb="FF000000"/>
            <rFont val="Times New Roman"/>
            <family val="18"/>
          </rPr>
          <t>07/03/1798 Revision: FK Grün Loudon Haupt Quenaudon Komp. Nr. 129</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FK Grün Loudon zum LB 4 transferiert und zur Haupt. Quenaudon Komp. eingeteilt</t>
        </r>
        <r>
          <rPr>
            <sz val="14"/>
            <color rgb="FF000000"/>
            <rFont val="Times New Roman"/>
            <family val="18"/>
          </rPr>
          <t xml:space="preserve"> [RL 1798]</t>
        </r>
        <r>
          <rPr>
            <sz val="14"/>
            <color rgb="FF000000"/>
            <rFont val="Calibri"/>
            <family val="34"/>
          </rPr>
          <t xml:space="preserve">
</t>
        </r>
        <r>
          <rPr>
            <sz val="14"/>
            <color rgb="FF000000"/>
            <rFont val="Times New Roman"/>
            <family val="18"/>
          </rPr>
          <t xml:space="preserve">01/12/1798 </t>
        </r>
        <r>
          <rPr>
            <i/>
            <sz val="14"/>
            <color rgb="FF000000"/>
            <rFont val="Times New Roman"/>
            <family val="18"/>
          </rPr>
          <t>Zum Vice Corporal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22/01/1799 Revision: LB 4 Haupt Quenaudon Komp Nr. 17 [</t>
        </r>
        <r>
          <rPr>
            <i/>
            <sz val="14"/>
            <color rgb="FF000000"/>
            <rFont val="Times New Roman"/>
            <family val="18"/>
          </rPr>
          <t>Auf Commando nach Treviso</t>
        </r>
        <r>
          <rPr>
            <sz val="14"/>
            <color rgb="FF000000"/>
            <rFont val="Times New Roman"/>
            <family val="18"/>
          </rPr>
          <t>]</t>
        </r>
        <r>
          <rPr>
            <sz val="14"/>
            <color rgb="FF000000"/>
            <rFont val="Calibri"/>
            <family val="34"/>
          </rPr>
          <t xml:space="preserve">
</t>
        </r>
        <r>
          <rPr>
            <sz val="14"/>
            <color rgb="FF000000"/>
            <rFont val="Times New Roman"/>
            <family val="18"/>
          </rPr>
          <t xml:space="preserve">10/04/1799 </t>
        </r>
        <r>
          <rPr>
            <i/>
            <sz val="14"/>
            <color rgb="FF000000"/>
            <rFont val="Times New Roman"/>
            <family val="18"/>
          </rPr>
          <t>Zum Wirklicher Corporal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 xml:space="preserve">16/10/1799 </t>
        </r>
        <r>
          <rPr>
            <i/>
            <sz val="14"/>
            <color rgb="FF000000"/>
            <rFont val="Times New Roman"/>
            <family val="18"/>
          </rPr>
          <t>Zum 2. Feldwebel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04/03/1800 Revision: LB 4 Haupt Quenaudon Komp. nr. 6</t>
        </r>
        <r>
          <rPr>
            <sz val="14"/>
            <color rgb="FF000000"/>
            <rFont val="Calibri"/>
            <family val="34"/>
          </rPr>
          <t xml:space="preserve">
</t>
        </r>
        <r>
          <rPr>
            <sz val="14"/>
            <color rgb="FF000000"/>
            <rFont val="Times New Roman"/>
            <family val="18"/>
          </rPr>
          <t xml:space="preserve">07/12/1800 </t>
        </r>
        <r>
          <rPr>
            <i/>
            <sz val="14"/>
            <color rgb="FF000000"/>
            <rFont val="Times New Roman"/>
            <family val="18"/>
          </rPr>
          <t>Krank in Spital zu Montegano</t>
        </r>
        <r>
          <rPr>
            <sz val="14"/>
            <color rgb="FF000000"/>
            <rFont val="Times New Roman"/>
            <family val="18"/>
          </rPr>
          <t xml:space="preserve"> [ST Dez 1800]</t>
        </r>
        <r>
          <rPr>
            <sz val="14"/>
            <color rgb="FF000000"/>
            <rFont val="Calibri"/>
            <family val="34"/>
          </rPr>
          <t xml:space="preserve">
</t>
        </r>
        <r>
          <rPr>
            <sz val="14"/>
            <color rgb="FF000000"/>
            <rFont val="Times New Roman"/>
            <family val="18"/>
          </rPr>
          <t xml:space="preserve">25/03/1801 </t>
        </r>
        <r>
          <rPr>
            <i/>
            <sz val="14"/>
            <color rgb="FF000000"/>
            <rFont val="Times New Roman"/>
            <family val="18"/>
          </rPr>
          <t>Zur Kompanie eingerückt</t>
        </r>
        <r>
          <rPr>
            <sz val="14"/>
            <color rgb="FF000000"/>
            <rFont val="Times New Roman"/>
            <family val="18"/>
          </rPr>
          <t xml:space="preserve"> [ST Marz 1801]</t>
        </r>
        <r>
          <rPr>
            <sz val="14"/>
            <color rgb="FF000000"/>
            <rFont val="Calibri"/>
            <family val="34"/>
          </rPr>
          <t xml:space="preserve">
</t>
        </r>
        <r>
          <rPr>
            <sz val="14"/>
            <color rgb="FF000000"/>
            <rFont val="Times New Roman"/>
            <family val="18"/>
          </rPr>
          <t xml:space="preserve">01/04/1801 </t>
        </r>
        <r>
          <rPr>
            <i/>
            <sz val="14"/>
            <color rgb="FF000000"/>
            <rFont val="Times New Roman"/>
            <family val="18"/>
          </rPr>
          <t>Zum Wirklicher Feldwebel avanciert</t>
        </r>
        <r>
          <rPr>
            <sz val="14"/>
            <color rgb="FF000000"/>
            <rFont val="Times New Roman"/>
            <family val="18"/>
          </rPr>
          <t xml:space="preserve"> [TL Sept 1801]</t>
        </r>
        <r>
          <rPr>
            <sz val="14"/>
            <color rgb="FF000000"/>
            <rFont val="Calibri"/>
            <family val="34"/>
          </rPr>
          <t xml:space="preserve">
</t>
        </r>
        <r>
          <rPr>
            <sz val="14"/>
            <color rgb="FF000000"/>
            <rFont val="Times New Roman"/>
            <family val="18"/>
          </rPr>
          <t>28/08/1801 Reduction: LB 4 Haupt Löwel Nr. 5 [</t>
        </r>
        <r>
          <rPr>
            <i/>
            <sz val="14"/>
            <color rgb="FF000000"/>
            <rFont val="Times New Roman"/>
            <family val="18"/>
          </rPr>
          <t>Zu Oliver Wallis Inf.</t>
        </r>
        <r>
          <rPr>
            <sz val="14"/>
            <color rgb="FF000000"/>
            <rFont val="Times New Roman"/>
            <family val="18"/>
          </rPr>
          <t xml:space="preserve"> </t>
        </r>
        <r>
          <rPr>
            <b/>
            <sz val="14"/>
            <color rgb="FF000000"/>
            <rFont val="Times New Roman"/>
            <family val="18"/>
          </rPr>
          <t xml:space="preserve">IR 29 </t>
        </r>
        <r>
          <rPr>
            <i/>
            <sz val="14"/>
            <color rgb="FF000000"/>
            <rFont val="Times New Roman"/>
            <family val="18"/>
          </rPr>
          <t>Regt.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01/09/1801 </t>
        </r>
        <r>
          <rPr>
            <i/>
            <sz val="14"/>
            <color rgb="FF000000"/>
            <rFont val="Times New Roman"/>
            <family val="18"/>
          </rPr>
          <t>Von IR 13 Haupt Löwel Komp. Zum IR 29 Oliver Wallis transferiert und zur Haupt. Schröfel von Mannsberg Komp. Komp eingeteilt</t>
        </r>
        <r>
          <rPr>
            <sz val="14"/>
            <color rgb="FF000000"/>
            <rFont val="Times New Roman"/>
            <family val="18"/>
          </rPr>
          <t xml:space="preserve"> [TL Sept 1801 &amp; ML 1802]</t>
        </r>
        <r>
          <rPr>
            <sz val="14"/>
            <color rgb="FF000000"/>
            <rFont val="Calibri"/>
            <family val="34"/>
          </rPr>
          <t xml:space="preserve">
</t>
        </r>
        <r>
          <rPr>
            <sz val="14"/>
            <color rgb="FF000000"/>
            <rFont val="Times New Roman"/>
            <family val="18"/>
          </rPr>
          <t xml:space="preserve">10/02/1802 </t>
        </r>
        <r>
          <rPr>
            <i/>
            <sz val="14"/>
            <color rgb="FF000000"/>
            <rFont val="Times New Roman"/>
            <family val="18"/>
          </rPr>
          <t>Als auf die Kriegsdauer gestellte ausgedienter Capitulant mit Abschied entlassen</t>
        </r>
        <r>
          <rPr>
            <sz val="14"/>
            <color rgb="FF000000"/>
            <rFont val="Times New Roman"/>
            <family val="18"/>
          </rPr>
          <t xml:space="preserve"> [ML 1802]</t>
        </r>
        <r>
          <rPr>
            <sz val="14"/>
            <color rgb="FF000000"/>
            <rFont val="Calibri"/>
            <family val="34"/>
          </rPr>
          <t xml:space="preserve">
</t>
        </r>
      </text>
    </comment>
    <comment ref="BG100" authorId="0" shapeId="0" xr:uid="{E0F86DFB-C4F1-D147-8BB5-2F03836519D4}">
      <text>
        <r>
          <rPr>
            <sz val="18"/>
            <color rgb="FF000000"/>
            <rFont val="Times New Roman"/>
            <family val="18"/>
          </rPr>
          <t>ML 10.763 FK Grün Laudon (1797-98) – RL Haupt Quenaudon Komp. Nr. 140 (Maria Saal 19/06/1797); RL Haupt Quenaudon Komp. Nr. 129 (Rovigo 07/03/1798)</t>
        </r>
        <r>
          <rPr>
            <sz val="18"/>
            <color rgb="FF000000"/>
            <rFont val="Calibri"/>
            <family val="34"/>
          </rPr>
          <t xml:space="preserve">
</t>
        </r>
        <r>
          <rPr>
            <sz val="18"/>
            <color rgb="FF000000"/>
            <rFont val="Times New Roman"/>
            <family val="18"/>
          </rPr>
          <t>ML 10.630 LB 4 (1798-1801) – 1798 RL Haupt Quenaudon Komp. Nr. 123 (Rovigo 30/06/1798); RL Haupt Quenaudon Komp. Nr. 17 (Rovigo 22/01/1799); RL Haupt Quenaudon Komp. Nr. 6 (Pisa 04/03/1800); RL Haupt Löwel Nr. 5 (Furriaco 28/08/1801)</t>
        </r>
        <r>
          <rPr>
            <sz val="18"/>
            <color rgb="FF000000"/>
            <rFont val="Calibri"/>
            <family val="34"/>
          </rPr>
          <t xml:space="preserve">
</t>
        </r>
        <r>
          <rPr>
            <sz val="18"/>
            <color rgb="FF000000"/>
            <rFont val="Times New Roman"/>
            <family val="18"/>
          </rPr>
          <t>ML 10.631 LB (1798-1800) – 1800 ST Dez (Görz 16/07/1801)</t>
        </r>
        <r>
          <rPr>
            <sz val="18"/>
            <color rgb="FF000000"/>
            <rFont val="Calibri"/>
            <family val="34"/>
          </rPr>
          <t xml:space="preserve">
</t>
        </r>
        <r>
          <rPr>
            <sz val="18"/>
            <color rgb="FF000000"/>
            <rFont val="Times New Roman"/>
            <family val="18"/>
          </rPr>
          <t>ML 10.632 LB 4 (1801) – TL LB 4-&gt;IR 13 Nr. 1 (Görz 30/09/1801); ST März (Görz 25/07/1801)</t>
        </r>
        <r>
          <rPr>
            <sz val="18"/>
            <color rgb="FF000000"/>
            <rFont val="Calibri"/>
            <family val="34"/>
          </rPr>
          <t xml:space="preserve">
</t>
        </r>
        <r>
          <rPr>
            <sz val="18"/>
            <color rgb="FF000000"/>
            <rFont val="Times New Roman"/>
            <family val="18"/>
          </rPr>
          <t>ML 2522 IR 29 (1802) – Haupt. Schröfel von Mannsberg Komp. Zuwachs &amp; Abgang (Exerzierslager beim Brünn 27/08/1802)</t>
        </r>
        <r>
          <rPr>
            <sz val="18"/>
            <color rgb="FF000000"/>
            <rFont val="Calibri"/>
            <family val="34"/>
          </rPr>
          <t xml:space="preserve">
</t>
        </r>
      </text>
    </comment>
    <comment ref="BH100" authorId="0" shapeId="0" xr:uid="{A8FAD831-A61F-A844-BDA4-4CD6878A9CC1}">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(1801-1802)</t>
        </r>
      </text>
    </comment>
    <comment ref="BI100" authorId="0" shapeId="0" xr:uid="{DB282BB3-2449-8244-A5F3-B9847014D6E2}">
      <text>
        <r>
          <rPr>
            <sz val="14"/>
            <color rgb="FF000000"/>
            <rFont val="Calibri"/>
            <family val="34"/>
          </rPr>
          <t>Sehr Gut (TL Sept 1801)</t>
        </r>
      </text>
    </comment>
    <comment ref="H101" authorId="0" shapeId="0" xr:uid="{0C97434D-4A1D-854E-AD4C-9AA389CE56DA}">
      <text>
        <r>
          <rPr>
            <i/>
            <sz val="12"/>
            <color rgb="FF000000"/>
            <rFont val="+mn-lt"/>
            <charset val="1"/>
          </rPr>
          <t>Naturalisierter habsburgischer Untertan</t>
        </r>
      </text>
    </comment>
    <comment ref="I101" authorId="0" shapeId="0" xr:uid="{D4910C5B-8017-4D46-A162-766A4D6D3DFD}">
      <text>
        <r>
          <rPr>
            <sz val="14"/>
            <color rgb="FF000000"/>
            <rFont val="Calibri"/>
            <family val="34"/>
          </rPr>
          <t xml:space="preserve">1781 [22 (ML 1803)] 
</t>
        </r>
        <r>
          <rPr>
            <sz val="14"/>
            <color rgb="FF000000"/>
            <rFont val="Calibri"/>
            <family val="34"/>
          </rPr>
          <t xml:space="preserve">OR 
</t>
        </r>
        <r>
          <rPr>
            <sz val="14"/>
            <color rgb="FF000000"/>
            <rFont val="Calibri"/>
            <family val="34"/>
          </rPr>
          <t>1778 [26 (ML 1804)]</t>
        </r>
      </text>
    </comment>
    <comment ref="J101" authorId="0" shapeId="0" xr:uid="{F35DEE20-5633-9744-B9F9-B77E634B8A87}">
      <text>
        <r>
          <rPr>
            <sz val="14"/>
            <color rgb="FF000000"/>
            <rFont val="Calibri"/>
            <family val="34"/>
          </rPr>
          <t xml:space="preserve">Veheiratet (1803)
</t>
        </r>
        <r>
          <rPr>
            <sz val="14"/>
            <color rgb="FF000000"/>
            <rFont val="Calibri"/>
            <family val="34"/>
          </rPr>
          <t>Ledig (1804)</t>
        </r>
      </text>
    </comment>
    <comment ref="BF101" authorId="0" shapeId="0" xr:uid="{9B7C3264-3A6A-D943-86C3-1DC4D700EE22}">
      <text>
        <r>
          <rPr>
            <sz val="14"/>
            <color rgb="FF000000"/>
            <rFont val="Times New Roman"/>
            <family val="18"/>
          </rPr>
          <t xml:space="preserve">01/02/1797 </t>
        </r>
        <r>
          <rPr>
            <i/>
            <sz val="14"/>
            <color rgb="FF000000"/>
            <rFont val="Times New Roman"/>
            <family val="18"/>
          </rPr>
          <t>von Ständen a 3Fl ohne Capitulation gestellt, da er sich schon breits über 10 Jahren im Land aufgehalten</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05/03/1797 </t>
        </r>
        <r>
          <rPr>
            <i/>
            <sz val="14"/>
            <color rgb="FFFF0000"/>
            <rFont val="Times New Roman"/>
            <family val="18"/>
          </rPr>
          <t xml:space="preserve">Zu Klatz </t>
        </r>
        <r>
          <rPr>
            <sz val="14"/>
            <color rgb="FFFF0000"/>
            <rFont val="Times New Roman"/>
            <family val="18"/>
          </rPr>
          <t>[Kielce]</t>
        </r>
        <r>
          <rPr>
            <i/>
            <sz val="14"/>
            <color rgb="FFFF0000"/>
            <rFont val="Times New Roman"/>
            <family val="18"/>
          </rPr>
          <t xml:space="preserve"> a 3Fl assentiert </t>
        </r>
        <r>
          <rPr>
            <sz val="14"/>
            <color rgb="FFFF0000"/>
            <rFont val="Times New Roman"/>
            <family val="18"/>
          </rPr>
          <t>[ML 1803]</t>
        </r>
        <r>
          <rPr>
            <sz val="14"/>
            <color rgb="FF000000"/>
            <rFont val="Calibri"/>
            <family val="34"/>
          </rPr>
          <t xml:space="preserve">
</t>
        </r>
        <r>
          <rPr>
            <sz val="14"/>
            <color rgb="FF000000"/>
            <rFont val="Times New Roman"/>
            <family val="18"/>
          </rPr>
          <t>29/08/1803 Muster: IR 59 Lieb Komp. Nr. 96 [</t>
        </r>
        <r>
          <rPr>
            <i/>
            <sz val="14"/>
            <color rgb="FF000000"/>
            <rFont val="Times New Roman"/>
            <family val="18"/>
          </rPr>
          <t xml:space="preserve">Beurlaubt in seinem Geburtsort in Panzow </t>
        </r>
        <r>
          <rPr>
            <b/>
            <sz val="14"/>
            <color rgb="FF000000"/>
            <rFont val="Times New Roman"/>
            <family val="18"/>
          </rPr>
          <t>[</t>
        </r>
        <r>
          <rPr>
            <b/>
            <u/>
            <sz val="14"/>
            <color rgb="FF0563C1"/>
            <rFont val="Times New Roman"/>
            <family val="18"/>
          </rPr>
          <t>Pińczów, Poland</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03/09/1804 Muster: IR 59 Lieb Komp. Nr. 84 [</t>
        </r>
        <r>
          <rPr>
            <i/>
            <sz val="14"/>
            <color rgb="FF000000"/>
            <rFont val="Times New Roman"/>
            <family val="18"/>
          </rPr>
          <t>Beurlaubt bis zur Einberufung zu Krakau in West Gallizein</t>
        </r>
        <r>
          <rPr>
            <sz val="14"/>
            <color rgb="FF000000"/>
            <rFont val="Times New Roman"/>
            <family val="18"/>
          </rPr>
          <t>]</t>
        </r>
        <r>
          <rPr>
            <sz val="14"/>
            <color rgb="FF000000"/>
            <rFont val="Calibri"/>
            <family val="34"/>
          </rPr>
          <t xml:space="preserve">
</t>
        </r>
        <r>
          <rPr>
            <sz val="14"/>
            <color rgb="FF000000"/>
            <rFont val="Times New Roman"/>
            <family val="18"/>
          </rPr>
          <t xml:space="preserve">03/09/1804 [Nach] UNBEKANNT: </t>
        </r>
        <r>
          <rPr>
            <i/>
            <sz val="14"/>
            <color rgb="FF000000"/>
            <rFont val="Times New Roman"/>
            <family val="18"/>
          </rPr>
          <t>Der Soldat verschwindet aus allen weiteren Dokumenten</t>
        </r>
        <r>
          <rPr>
            <sz val="14"/>
            <color rgb="FF000000"/>
            <rFont val="Calibri"/>
            <family val="34"/>
          </rPr>
          <t xml:space="preserve">
</t>
        </r>
      </text>
    </comment>
    <comment ref="BG101" authorId="0" shapeId="0" xr:uid="{2740A39D-863A-1242-952B-9C9191D1EA19}">
      <text>
        <r>
          <rPr>
            <sz val="14"/>
            <color rgb="FF000000"/>
            <rFont val="Times New Roman"/>
            <family val="18"/>
          </rPr>
          <t> ML 5015 IR 59 (1803) – Leib Komp. Nr. 96 (Enns 29/08/1803)</t>
        </r>
        <r>
          <rPr>
            <sz val="14"/>
            <color rgb="FF000000"/>
            <rFont val="Calibri"/>
            <family val="34"/>
          </rPr>
          <t xml:space="preserve">
</t>
        </r>
        <r>
          <rPr>
            <sz val="14"/>
            <color rgb="FF000000"/>
            <rFont val="Times New Roman"/>
            <family val="18"/>
          </rPr>
          <t>ML 5016 IR 59 (1804) – Lieb Komp. Nr. 84 (Innsbruck 29/08/1804)</t>
        </r>
        <r>
          <rPr>
            <sz val="14"/>
            <color rgb="FF000000"/>
            <rFont val="Calibri"/>
            <family val="34"/>
          </rPr>
          <t xml:space="preserve">
</t>
        </r>
        <r>
          <rPr>
            <sz val="14"/>
            <color rgb="FF000000"/>
            <rFont val="Times New Roman"/>
            <family val="18"/>
          </rPr>
          <t>ML 5017/8 IR 59 (1806) – 1. Fus. Komp. (Linz 20/12/1806)</t>
        </r>
        <r>
          <rPr>
            <sz val="14"/>
            <color rgb="FF000000"/>
            <rFont val="Calibri"/>
            <family val="34"/>
          </rPr>
          <t xml:space="preserve">
</t>
        </r>
      </text>
    </comment>
    <comment ref="BH101" authorId="0" shapeId="0" xr:uid="{69A40DC2-A9EA-284A-A2DC-053DF74CE6D0}">
      <text>
        <r>
          <rPr>
            <sz val="14"/>
            <color rgb="FF000000"/>
            <rFont val="Calibri"/>
            <family val="34"/>
          </rPr>
          <t>IR 3 (1797-18054)</t>
        </r>
      </text>
    </comment>
    <comment ref="K102" authorId="0" shapeId="0" xr:uid="{FB11550A-B1D5-514E-803C-E4FE379B5A80}">
      <text>
        <r>
          <rPr>
            <sz val="14"/>
            <color rgb="FF000000"/>
            <rFont val="Calibri"/>
            <family val="34"/>
          </rPr>
          <t xml:space="preserve">Schneider  (1797)
</t>
        </r>
        <r>
          <rPr>
            <sz val="14"/>
            <color rgb="FF000000"/>
            <rFont val="Calibri"/>
            <family val="34"/>
          </rPr>
          <t>Ohne (1797-1805)</t>
        </r>
      </text>
    </comment>
    <comment ref="T102" authorId="0" shapeId="0" xr:uid="{38AC644E-B770-444D-A801-13CC9172E1C6}">
      <text>
        <r>
          <rPr>
            <sz val="14"/>
            <color rgb="FF000000"/>
            <rFont val="Calibri"/>
            <family val="34"/>
          </rPr>
          <t xml:space="preserve">5.3 [165.89 cm] (1797)
</t>
        </r>
        <r>
          <rPr>
            <sz val="14"/>
            <color rgb="FF000000"/>
            <rFont val="Calibri"/>
            <family val="34"/>
          </rPr>
          <t>5.3.1 [166.11 cm] (1802-1805)</t>
        </r>
      </text>
    </comment>
    <comment ref="BF102" authorId="0" shapeId="0" xr:uid="{227D2C5D-26C3-9240-BB83-34A34CB0DE3D}">
      <text>
        <r>
          <rPr>
            <sz val="14"/>
            <color rgb="FF000000"/>
            <rFont val="Times New Roman"/>
            <family val="18"/>
          </rPr>
          <t xml:space="preserve">01/02/1797 </t>
        </r>
        <r>
          <rPr>
            <i/>
            <sz val="14"/>
            <color rgb="FF000000"/>
            <rFont val="Times New Roman"/>
            <family val="18"/>
          </rPr>
          <t>Mit Versicherungsschein auf Kriegsdauer von Ständen zum IR 21 ‚Reserve Division‘ gestellt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4. Bataillon Haupt von Willmovsky Komp. zum IR 43 Haupt Selmbach Comp. transferiert; Seitdem auf anhero Marsch mit Friedensgebühr</t>
        </r>
        <r>
          <rPr>
            <sz val="14"/>
            <color rgb="FF000000"/>
            <rFont val="Times New Roman"/>
            <family val="18"/>
          </rPr>
          <t xml:space="preserve"> [TL Oct 1797 &amp; ST Oct 1797]</t>
        </r>
        <r>
          <rPr>
            <sz val="14"/>
            <color rgb="FF000000"/>
            <rFont val="Calibri"/>
            <family val="34"/>
          </rPr>
          <t xml:space="preserve">
</t>
        </r>
        <r>
          <rPr>
            <sz val="14"/>
            <color rgb="FF000000"/>
            <rFont val="Times New Roman"/>
            <family val="18"/>
          </rPr>
          <t xml:space="preserve">25/01/1799 Revision: IR 43 Haupt Selmbach Nr. 118 </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2nd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Rekonvalesziert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 xml:space="preserve">Rekonvalesziert </t>
        </r>
        <r>
          <rPr>
            <sz val="14"/>
            <color rgb="FF000000"/>
            <rFont val="Times New Roman"/>
            <family val="18"/>
          </rPr>
          <t>[ST July 1800]</t>
        </r>
        <r>
          <rPr>
            <sz val="14"/>
            <color rgb="FF000000"/>
            <rFont val="Calibri"/>
            <family val="34"/>
          </rPr>
          <t xml:space="preserve">
</t>
        </r>
        <r>
          <rPr>
            <sz val="14"/>
            <color rgb="FF000000"/>
            <rFont val="Times New Roman"/>
            <family val="18"/>
          </rPr>
          <t>24/08/1802 Muster: IR 43 Haupt Selmbach Komp. Nr. 50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16/09/1802 </t>
        </r>
        <r>
          <rPr>
            <i/>
            <sz val="14"/>
            <color rgb="FF000000"/>
            <rFont val="Times New Roman"/>
            <family val="18"/>
          </rPr>
          <t>Mit deutscher Gebühr und Teuerungsbeitrag bis 20. und ungarische Gebühr ohne Teuerungsbeitrag verpflegt und auf bestimmten Urlaub entlassen</t>
        </r>
        <r>
          <rPr>
            <sz val="14"/>
            <color rgb="FF000000"/>
            <rFont val="Times New Roman"/>
            <family val="18"/>
          </rPr>
          <t xml:space="preserve"> [ST Sept 1802] </t>
        </r>
        <r>
          <rPr>
            <sz val="14"/>
            <color rgb="FF000000"/>
            <rFont val="Calibri"/>
            <family val="34"/>
          </rPr>
          <t xml:space="preserve">
</t>
        </r>
        <r>
          <rPr>
            <sz val="14"/>
            <color rgb="FF000000"/>
            <rFont val="Times New Roman"/>
            <family val="18"/>
          </rPr>
          <t>04/11/1803 Muster: IR 43 Haupt Selmbach Komp. Nr. 47 [</t>
        </r>
        <r>
          <rPr>
            <i/>
            <sz val="14"/>
            <color rgb="FF000000"/>
            <rFont val="Times New Roman"/>
            <family val="18"/>
          </rPr>
          <t>Beurlaubt in seinem Geburtsort bis zur Einberufung</t>
        </r>
        <r>
          <rPr>
            <sz val="14"/>
            <color rgb="FF000000"/>
            <rFont val="Times New Roman"/>
            <family val="18"/>
          </rPr>
          <t>[sic!]]</t>
        </r>
        <r>
          <rPr>
            <sz val="14"/>
            <color rgb="FF000000"/>
            <rFont val="Calibri"/>
            <family val="34"/>
          </rPr>
          <t xml:space="preserve">
</t>
        </r>
        <r>
          <rPr>
            <sz val="14"/>
            <color rgb="FF000000"/>
            <rFont val="Times New Roman"/>
            <family val="18"/>
          </rPr>
          <t>15/09/1804 Muster: IR 43 Haupt Selmbach Komp. Nr. 49 [</t>
        </r>
        <r>
          <rPr>
            <i/>
            <sz val="14"/>
            <color rgb="FF000000"/>
            <rFont val="Times New Roman"/>
            <family val="18"/>
          </rPr>
          <t>Beurlaubt in seinem Geburtsort bis zur Exerzierzeit</t>
        </r>
        <r>
          <rPr>
            <sz val="14"/>
            <color rgb="FF000000"/>
            <rFont val="Times New Roman"/>
            <family val="18"/>
          </rPr>
          <t>]</t>
        </r>
        <r>
          <rPr>
            <sz val="14"/>
            <color rgb="FF000000"/>
            <rFont val="Calibri"/>
            <family val="34"/>
          </rPr>
          <t xml:space="preserve">
</t>
        </r>
        <r>
          <rPr>
            <sz val="14"/>
            <color rgb="FF000000"/>
            <rFont val="Times New Roman"/>
            <family val="18"/>
          </rPr>
          <t>01/10/1805 Muster: IR 43 13. Fus Komp. Nr. 49 [</t>
        </r>
        <r>
          <rPr>
            <i/>
            <sz val="14"/>
            <color rgb="FF000000"/>
            <rFont val="Times New Roman"/>
            <family val="18"/>
          </rPr>
          <t>Beurlaubt bis zur Exerzierzeit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30/09/1805 </t>
        </r>
        <r>
          <rPr>
            <i/>
            <sz val="14"/>
            <color rgb="FF000000"/>
            <rFont val="Times New Roman"/>
            <family val="18"/>
          </rPr>
          <t>Von unbestimmte Urlaub desertiert</t>
        </r>
        <r>
          <rPr>
            <sz val="14"/>
            <color rgb="FF000000"/>
            <rFont val="Times New Roman"/>
            <family val="18"/>
          </rPr>
          <t xml:space="preserve"> [ST Ort 1805 &amp; ML 1806]</t>
        </r>
        <r>
          <rPr>
            <sz val="14"/>
            <color rgb="FF000000"/>
            <rFont val="Calibri"/>
            <family val="34"/>
          </rPr>
          <t xml:space="preserve">
</t>
        </r>
      </text>
    </comment>
    <comment ref="BG102" authorId="0" shapeId="0" xr:uid="{165D4F64-02B6-5249-8A0D-74794FCC270A}">
      <text>
        <r>
          <rPr>
            <sz val="14"/>
            <color rgb="FF000000"/>
            <rFont val="Calibri"/>
            <family val="34"/>
          </rPr>
          <t xml:space="preserve">ML 1755 IR 21 (1797) – AL Nr. 2 (Lublin 01/02/1797) &amp; TL IR 21-&gt;IR 43 Nr. 13 (Königgrätz 21/10/1797)
</t>
        </r>
        <r>
          <rPr>
            <sz val="14"/>
            <color rgb="FF000000"/>
            <rFont val="Calibri"/>
            <family val="34"/>
          </rPr>
          <t xml:space="preserve">ML 10.271 IR 43 (1799) – RL Selmbach Komp. Nr. 118 (Udine 25/01/1799)
</t>
        </r>
        <r>
          <rPr>
            <sz val="14"/>
            <color rgb="FF000000"/>
            <rFont val="Calibri"/>
            <family val="34"/>
          </rPr>
          <t xml:space="preserve">ML 10.272 IR 43 (1802) – Haupt Selmbach Komp. Nr. 50 (Budua 24/08/1802)
</t>
        </r>
        <r>
          <rPr>
            <sz val="14"/>
            <color rgb="FF000000"/>
            <rFont val="Calibri"/>
            <family val="34"/>
          </rPr>
          <t xml:space="preserve">ML 10.273 IR 43 (1803) – Haupt Selmbach Komp. Nr. 47 (Knin 04/11/1803)
</t>
        </r>
        <r>
          <rPr>
            <sz val="14"/>
            <color rgb="FF000000"/>
            <rFont val="Calibri"/>
            <family val="34"/>
          </rPr>
          <t xml:space="preserve">ML 10.274 IR 43 (1804) – Haupt Selmbach Komp. Nr. 49 (Zara 15/09/1804)
</t>
        </r>
        <r>
          <rPr>
            <sz val="14"/>
            <color rgb="FF000000"/>
            <rFont val="Calibri"/>
            <family val="34"/>
          </rPr>
          <t xml:space="preserve">ML 10.275/6 IR 43 (1805) –13. Fus. Komp. Nr. 49 (Zara 01/10/1805)
</t>
        </r>
        <r>
          <rPr>
            <sz val="14"/>
            <color rgb="FF000000"/>
            <rFont val="Calibri"/>
            <family val="34"/>
          </rPr>
          <t xml:space="preserve">ML 10/277/8 IR 43 (1806) – 3. Fus Komp. Abgang (Laibach 01/12/1806)
</t>
        </r>
        <r>
          <rPr>
            <sz val="14"/>
            <color rgb="FF000000"/>
            <rFont val="Calibri"/>
            <family val="34"/>
          </rPr>
          <t xml:space="preserve">ML 10.305 IR 43 (1797) – ST Okt (31/05/1805)
</t>
        </r>
        <r>
          <rPr>
            <sz val="14"/>
            <color rgb="FF000000"/>
            <rFont val="Calibri"/>
            <family val="34"/>
          </rPr>
          <t xml:space="preserve">ML 10.307 IR 43 (1799) – ST Aug (06/03/1800)
</t>
        </r>
        <r>
          <rPr>
            <sz val="14"/>
            <color rgb="FF000000"/>
            <rFont val="Calibri"/>
            <family val="34"/>
          </rPr>
          <t xml:space="preserve">ML 10.309 IR 43 (1800) – ST Jan (26/02/1801), Juni (27/08/1803), Juli (24/10/1804)
</t>
        </r>
        <r>
          <rPr>
            <sz val="14"/>
            <color rgb="FF000000"/>
            <rFont val="Calibri"/>
            <family val="34"/>
          </rPr>
          <t xml:space="preserve">ML 10.312 IR 43 (1802) – ST Sept (15/10/1802)
</t>
        </r>
        <r>
          <rPr>
            <sz val="14"/>
            <color rgb="FF000000"/>
            <rFont val="Calibri"/>
            <family val="34"/>
          </rPr>
          <t>ML 10.315 IR 43 (1805) – ST Okt (22/05/1806)</t>
        </r>
      </text>
    </comment>
    <comment ref="BH102" authorId="0" shapeId="0" xr:uid="{816FF96D-00C0-574D-A9FB-E0A3E4F10011}">
      <text>
        <r>
          <rPr>
            <sz val="14"/>
            <color rgb="FF000000"/>
            <rFont val="Calibri"/>
            <family val="34"/>
          </rPr>
          <t xml:space="preserve">IR 21 (1797)
</t>
        </r>
        <r>
          <rPr>
            <sz val="14"/>
            <color rgb="FF000000"/>
            <rFont val="Calibri"/>
            <family val="34"/>
          </rPr>
          <t>IR 43 (1797-1805)</t>
        </r>
      </text>
    </comment>
    <comment ref="BF103" authorId="0" shapeId="0" xr:uid="{5A549435-7673-CC42-82E3-D70F139E5E0A}">
      <text>
        <r>
          <rPr>
            <sz val="14"/>
            <color rgb="FF000000"/>
            <rFont val="Times New Roman"/>
            <family val="18"/>
          </rPr>
          <t xml:space="preserve">01/02/1797 </t>
        </r>
        <r>
          <rPr>
            <i/>
            <sz val="14"/>
            <color rgb="FF000000"/>
            <rFont val="Times New Roman"/>
            <family val="18"/>
          </rPr>
          <t xml:space="preserve">Von Lande a 3Fl Handgeld zu, IR 3 Reserve Div 3. Abteilung gestellt </t>
        </r>
        <r>
          <rPr>
            <sz val="14"/>
            <color rgb="FF000000"/>
            <rFont val="Times New Roman"/>
            <family val="18"/>
          </rPr>
          <t>[AL Feb 1797]</t>
        </r>
        <r>
          <rPr>
            <sz val="14"/>
            <color rgb="FF000000"/>
            <rFont val="Calibri"/>
            <family val="34"/>
          </rPr>
          <t xml:space="preserve">
</t>
        </r>
        <r>
          <rPr>
            <sz val="14"/>
            <color rgb="FFFF0000"/>
            <rFont val="Times New Roman"/>
            <family val="18"/>
          </rPr>
          <t>[02/03/1797] Desertiert [Mit Beleistift notiert – Erscheint nicht am TL von April 1797]</t>
        </r>
        <r>
          <rPr>
            <sz val="14"/>
            <color rgb="FF000000"/>
            <rFont val="Calibri"/>
            <family val="34"/>
          </rPr>
          <t xml:space="preserve">
</t>
        </r>
        <r>
          <rPr>
            <sz val="14"/>
            <color rgb="FF000000"/>
            <rFont val="Times New Roman"/>
            <family val="18"/>
          </rPr>
          <t xml:space="preserve">25/04/1797 </t>
        </r>
        <r>
          <rPr>
            <i/>
            <sz val="14"/>
            <color rgb="FF000000"/>
            <rFont val="Times New Roman"/>
            <family val="18"/>
          </rPr>
          <t>Von IR 3 ‘Reserve Division’ 3. Abtehilung zu IR 24 ‚Reserve Division‘ transferiert</t>
        </r>
        <r>
          <rPr>
            <sz val="14"/>
            <color rgb="FF000000"/>
            <rFont val="Times New Roman"/>
            <family val="18"/>
          </rPr>
          <t xml:space="preserve"> [TL May 1797]</t>
        </r>
        <r>
          <rPr>
            <sz val="14"/>
            <color rgb="FF000000"/>
            <rFont val="Calibri"/>
            <family val="34"/>
          </rPr>
          <t xml:space="preserve">
</t>
        </r>
        <r>
          <rPr>
            <sz val="14"/>
            <color rgb="FF000000"/>
            <rFont val="Times New Roman"/>
            <family val="18"/>
          </rPr>
          <t xml:space="preserve">12/02/1800 [seit mindestens] </t>
        </r>
        <r>
          <rPr>
            <i/>
            <sz val="14"/>
            <color rgb="FF000000"/>
            <rFont val="Times New Roman"/>
            <family val="18"/>
          </rPr>
          <t>Dient bei IR 24 Haupt Chupay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26/03/1800 </t>
        </r>
        <r>
          <rPr>
            <i/>
            <sz val="14"/>
            <color rgb="FF000000"/>
            <rFont val="Times New Roman"/>
            <family val="18"/>
          </rPr>
          <t>Als Fourierschütz von Haupt Mayer zur Haupt Chupay Komp. transferiert</t>
        </r>
        <r>
          <rPr>
            <sz val="14"/>
            <color rgb="FF000000"/>
            <rFont val="Times New Roman"/>
            <family val="18"/>
          </rPr>
          <t xml:space="preserve"> [ML 1802] </t>
        </r>
        <r>
          <rPr>
            <sz val="14"/>
            <color rgb="FF000000"/>
            <rFont val="Calibri"/>
            <family val="34"/>
          </rPr>
          <t xml:space="preserve">
</t>
        </r>
        <r>
          <rPr>
            <sz val="14"/>
            <color rgb="FF000000"/>
            <rFont val="Times New Roman"/>
            <family val="18"/>
          </rPr>
          <t xml:space="preserve">01/06/1800 </t>
        </r>
        <r>
          <rPr>
            <i/>
            <sz val="14"/>
            <color rgb="FF000000"/>
            <rFont val="Times New Roman"/>
            <family val="18"/>
          </rPr>
          <t>Von Haupt Chupay zur Weisenwolf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11/03/1801 </t>
        </r>
        <r>
          <rPr>
            <i/>
            <sz val="14"/>
            <color rgb="FF000000"/>
            <rFont val="Times New Roman"/>
            <family val="18"/>
          </rPr>
          <t>Von Haupt Weisenwoelf</t>
        </r>
        <r>
          <rPr>
            <sz val="14"/>
            <color rgb="FF000000"/>
            <rFont val="Times New Roman"/>
            <family val="18"/>
          </rPr>
          <t xml:space="preserve"> zur </t>
        </r>
        <r>
          <rPr>
            <i/>
            <sz val="14"/>
            <color rgb="FF000000"/>
            <rFont val="Times New Roman"/>
            <family val="18"/>
          </rPr>
          <t>Haupt Chupay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31/08/1802 </t>
        </r>
        <r>
          <rPr>
            <i/>
            <sz val="14"/>
            <color rgb="FF000000"/>
            <rFont val="Times New Roman"/>
            <family val="18"/>
          </rPr>
          <t xml:space="preserve">Als Gemeiner gegen Renuncierung als Reale Invalid mit Abschied </t>
        </r>
        <r>
          <rPr>
            <sz val="14"/>
            <color rgb="FF000000"/>
            <rFont val="Times New Roman"/>
            <family val="18"/>
          </rPr>
          <t>[ML 1802]</t>
        </r>
        <r>
          <rPr>
            <sz val="14"/>
            <color rgb="FF000000"/>
            <rFont val="Calibri"/>
            <family val="34"/>
          </rPr>
          <t xml:space="preserve">
</t>
        </r>
      </text>
    </comment>
    <comment ref="BG103" authorId="0" shapeId="0" xr:uid="{0F4C8926-22F6-054E-AFAA-13CA54FE1998}">
      <text>
        <r>
          <rPr>
            <sz val="14"/>
            <color rgb="FF000000"/>
            <rFont val="Times New Roman"/>
            <family val="18"/>
          </rPr>
          <t>ML 269 IR 3 (1797) – AL Nr. 2 (Sandomierz 05/02/1797); TL IR 3-&gt;IR 24 Nr. 247 (Wien 11/05/1797)</t>
        </r>
        <r>
          <rPr>
            <sz val="14"/>
            <color rgb="FF000000"/>
            <rFont val="Calibri"/>
            <family val="34"/>
          </rPr>
          <t xml:space="preserve">
</t>
        </r>
        <r>
          <rPr>
            <sz val="14"/>
            <color rgb="FF000000"/>
            <rFont val="Times New Roman"/>
            <family val="18"/>
          </rPr>
          <t>ML 1937 IR 24 (1802) – Haupt Chupay Abgang (Vienna 16/09/1802)</t>
        </r>
      </text>
    </comment>
    <comment ref="BH103" authorId="0" shapeId="0" xr:uid="{F5A07A23-1169-9B4D-88F2-396A5FF4C20A}">
      <text>
        <r>
          <rPr>
            <sz val="14"/>
            <color rgb="FF000000"/>
            <rFont val="Calibri"/>
            <family val="34"/>
          </rPr>
          <t xml:space="preserve">IR 3 (1797)
</t>
        </r>
        <r>
          <rPr>
            <sz val="14"/>
            <color rgb="FF000000"/>
            <rFont val="Calibri"/>
            <family val="34"/>
          </rPr>
          <t>IR 24 (1797-1802)</t>
        </r>
      </text>
    </comment>
    <comment ref="BI103" authorId="0" shapeId="0" xr:uid="{AA16D8BB-C2BD-8544-AB05-0627A2C09773}">
      <text>
        <r>
          <rPr>
            <i/>
            <sz val="14"/>
            <color rgb="FF000000"/>
            <rFont val="Times New Roman"/>
            <family val="18"/>
          </rPr>
          <t>Seit ihres heirsein Gut</t>
        </r>
        <r>
          <rPr>
            <sz val="14"/>
            <color rgb="FF000000"/>
            <rFont val="Times New Roman"/>
            <family val="18"/>
          </rPr>
          <t xml:space="preserve"> [TL May 1797]</t>
        </r>
        <r>
          <rPr>
            <sz val="14"/>
            <color rgb="FF000000"/>
            <rFont val="Calibri"/>
            <family val="2"/>
            <scheme val="minor"/>
          </rPr>
          <t xml:space="preserve"> </t>
        </r>
      </text>
    </comment>
    <comment ref="BF104" authorId="0" shapeId="0" xr:uid="{D217187D-20E8-4A45-9D99-1B1C29BB708B}">
      <text>
        <r>
          <rPr>
            <sz val="14"/>
            <color rgb="FF000000"/>
            <rFont val="Times New Roman"/>
            <family val="18"/>
          </rPr>
          <t xml:space="preserve">02/02/1797 </t>
        </r>
        <r>
          <rPr>
            <i/>
            <sz val="14"/>
            <color rgb="FF000000"/>
            <rFont val="Times New Roman"/>
            <family val="18"/>
          </rPr>
          <t>Von Lande a 3Fl Handgeld zum IR 3 Reserve Division 2. Abtheilung gestellt</t>
        </r>
        <r>
          <rPr>
            <sz val="14"/>
            <color rgb="FF000000"/>
            <rFont val="Times New Roman"/>
            <family val="18"/>
          </rPr>
          <t xml:space="preserve"> [AL Feb 1797]</t>
        </r>
        <r>
          <rPr>
            <sz val="14"/>
            <color rgb="FF000000"/>
            <rFont val="Times New Roman"/>
            <family val="18"/>
          </rPr>
          <t xml:space="preserve">
</t>
        </r>
        <r>
          <rPr>
            <sz val="14"/>
            <color rgb="FF000000"/>
            <rFont val="Times New Roman"/>
            <family val="18"/>
          </rPr>
          <t xml:space="preserve">02/03/1797 </t>
        </r>
        <r>
          <rPr>
            <i/>
            <sz val="14"/>
            <color rgb="FF000000"/>
            <rFont val="Times New Roman"/>
            <family val="18"/>
          </rPr>
          <t>Desertiert</t>
        </r>
        <r>
          <rPr>
            <sz val="14"/>
            <color rgb="FF000000"/>
            <rFont val="Times New Roman"/>
            <family val="18"/>
          </rPr>
          <t xml:space="preserve"> [AL Feb 1797 – Spätere Notiz]</t>
        </r>
      </text>
    </comment>
    <comment ref="BG104" authorId="0" shapeId="0" xr:uid="{ABE36093-5575-064C-B440-F0B8E866E943}">
      <text>
        <r>
          <rPr>
            <sz val="14"/>
            <color rgb="FF000000"/>
            <rFont val="Times New Roman"/>
            <family val="18"/>
          </rPr>
          <t xml:space="preserve">ML 269 IR 3 (1797) – AL von IR 3 Reserve Division, Nr. 7 (Sandomierz, 05/02/1797)
</t>
        </r>
      </text>
    </comment>
    <comment ref="BH104" authorId="0" shapeId="0" xr:uid="{3FAB20AE-98C0-0541-BAE0-6C76AA4118E8}">
      <text>
        <r>
          <rPr>
            <sz val="14"/>
            <color rgb="FF000000"/>
            <rFont val="Calibri"/>
            <family val="34"/>
          </rPr>
          <t>IR 3 (1797)</t>
        </r>
      </text>
    </comment>
    <comment ref="BF105" authorId="0" shapeId="0" xr:uid="{B7A7B88A-F676-0C46-B6C5-8054624EA3DA}">
      <text>
        <r>
          <rPr>
            <sz val="14"/>
            <color rgb="FF000000"/>
            <rFont val="Times New Roman"/>
            <family val="18"/>
          </rPr>
          <t xml:space="preserve">02/02/1797 </t>
        </r>
        <r>
          <rPr>
            <i/>
            <sz val="14"/>
            <color rgb="FF000000"/>
            <rFont val="Times New Roman"/>
            <family val="18"/>
          </rPr>
          <t>Auf Kriegsdauer Bei Fürstenberg Infanterie</t>
        </r>
        <r>
          <rPr>
            <sz val="14"/>
            <color rgb="FF000000"/>
            <rFont val="Times New Roman"/>
            <family val="18"/>
          </rPr>
          <t xml:space="preserve"> </t>
        </r>
        <r>
          <rPr>
            <b/>
            <sz val="14"/>
            <color rgb="FF000000"/>
            <rFont val="Times New Roman"/>
            <family val="18"/>
          </rPr>
          <t xml:space="preserve">[IR 36] </t>
        </r>
        <r>
          <rPr>
            <i/>
            <sz val="14"/>
            <color rgb="FF000000"/>
            <rFont val="Times New Roman"/>
            <family val="18"/>
          </rPr>
          <t>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26/06/1798 von </t>
        </r>
        <r>
          <rPr>
            <i/>
            <sz val="14"/>
            <color rgb="FF000000"/>
            <rFont val="Times New Roman"/>
            <family val="18"/>
          </rPr>
          <t xml:space="preserve">Fürstenberg </t>
        </r>
        <r>
          <rPr>
            <b/>
            <sz val="14"/>
            <color rgb="FF000000"/>
            <rFont val="Times New Roman"/>
            <family val="18"/>
          </rPr>
          <t>[IR 36]</t>
        </r>
        <r>
          <rPr>
            <sz val="14"/>
            <color rgb="FF000000"/>
            <rFont val="Times New Roman"/>
            <family val="18"/>
          </rPr>
          <t xml:space="preserve"> </t>
        </r>
        <r>
          <rPr>
            <i/>
            <sz val="14"/>
            <color rgb="FF000000"/>
            <rFont val="Times New Roman"/>
            <family val="18"/>
          </rPr>
          <t>zum De Ligne Infanterie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29/06/1798 </t>
        </r>
        <r>
          <rPr>
            <i/>
            <sz val="14"/>
            <color rgb="FF000000"/>
            <rFont val="Times New Roman"/>
            <family val="18"/>
          </rPr>
          <t xml:space="preserve">Desertiert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Land a 24Fl Taglia attrapiert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30/09/1798 </t>
        </r>
        <r>
          <rPr>
            <i/>
            <sz val="14"/>
            <color rgb="FF000000"/>
            <rFont val="Times New Roman"/>
            <family val="18"/>
          </rPr>
          <t xml:space="preserve">Desertiert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03/10/1798 </t>
        </r>
        <r>
          <rPr>
            <i/>
            <sz val="14"/>
            <color rgb="FF000000"/>
            <rFont val="Times New Roman"/>
            <family val="18"/>
          </rPr>
          <t>von Militar a 8Fl Taglia attrapiert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13/05/1800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24/12/1800 </t>
        </r>
        <r>
          <rPr>
            <i/>
            <sz val="14"/>
            <color rgb="FF000000"/>
            <rFont val="Times New Roman"/>
            <family val="18"/>
          </rPr>
          <t>auf General Pardon selbst Gemeldet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Delawoestines Komp. Nr. 72 [</t>
        </r>
        <r>
          <rPr>
            <i/>
            <sz val="14"/>
            <color rgb="FF000000"/>
            <rFont val="Times New Roman"/>
            <family val="18"/>
          </rPr>
          <t>Hat Ausgedient &amp; Reale Invalide</t>
        </r>
        <r>
          <rPr>
            <sz val="14"/>
            <color rgb="FF000000"/>
            <rFont val="Times New Roman"/>
            <family val="18"/>
          </rPr>
          <t>] [ML 1803]</t>
        </r>
        <r>
          <rPr>
            <sz val="14"/>
            <color rgb="FF000000"/>
            <rFont val="Calibri"/>
            <family val="34"/>
          </rPr>
          <t xml:space="preserve">
</t>
        </r>
        <r>
          <rPr>
            <sz val="14"/>
            <color rgb="FF000000"/>
            <rFont val="Times New Roman"/>
            <family val="18"/>
          </rPr>
          <t xml:space="preserve">15/09/1803 </t>
        </r>
        <r>
          <rPr>
            <i/>
            <sz val="14"/>
            <color rgb="FF000000"/>
            <rFont val="Times New Roman"/>
            <family val="18"/>
          </rPr>
          <t>Laut general commando Verordnung von 8 hujus als untauglich mit Laufpaß entlassen</t>
        </r>
        <r>
          <rPr>
            <sz val="14"/>
            <color rgb="FF000000"/>
            <rFont val="Times New Roman"/>
            <family val="18"/>
          </rPr>
          <t xml:space="preserve"> [ML 1804]</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105" authorId="0" shapeId="0" xr:uid="{D04B1527-1E85-8A46-94E0-8B3ED795D4CB}">
      <text>
        <r>
          <rPr>
            <sz val="14"/>
            <color rgb="FF000000"/>
            <rFont val="Times New Roman"/>
            <family val="18"/>
          </rPr>
          <t>ML 2630 IR 30 (1803) –Haupt Delawoestines Komp. Nr. 72 (Lemberg 12/08/1803)</t>
        </r>
        <r>
          <rPr>
            <sz val="14"/>
            <color rgb="FF000000"/>
            <rFont val="Calibri"/>
            <family val="34"/>
          </rPr>
          <t xml:space="preserve">
</t>
        </r>
        <r>
          <rPr>
            <sz val="14"/>
            <color rgb="FF000000"/>
            <rFont val="Times New Roman"/>
            <family val="18"/>
          </rPr>
          <t xml:space="preserve">ML 2631 IR 30 (1804) –Haupt Delawoestines Komp.  – Abgang (Lemberg 19/09/1804) </t>
        </r>
        <r>
          <rPr>
            <sz val="14"/>
            <color rgb="FF000000"/>
            <rFont val="Calibri"/>
            <family val="34"/>
          </rPr>
          <t xml:space="preserve">
</t>
        </r>
      </text>
    </comment>
    <comment ref="BH105" authorId="0" shapeId="0" xr:uid="{BCD7812C-B9FD-4D42-8B28-F37F4C8FC5DF}">
      <text>
        <r>
          <rPr>
            <sz val="14"/>
            <color rgb="FF000000"/>
            <rFont val="Calibri"/>
            <family val="34"/>
          </rPr>
          <t xml:space="preserve">IR 36 (1797-1798)
</t>
        </r>
        <r>
          <rPr>
            <sz val="14"/>
            <color rgb="FF000000"/>
            <rFont val="Calibri"/>
            <family val="34"/>
          </rPr>
          <t xml:space="preserve">IR 30 (1798-1803)
</t>
        </r>
      </text>
    </comment>
    <comment ref="BF106" authorId="0" shapeId="0" xr:uid="{5B9D0A2E-877C-CD43-AA87-A5A74A8934E3}">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23/04/1797 </t>
        </r>
        <r>
          <rPr>
            <i/>
            <sz val="14"/>
            <color rgb="FF000000"/>
            <rFont val="Times New Roman"/>
            <family val="18"/>
          </rPr>
          <t>Ins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24/04/1797 </t>
        </r>
        <r>
          <rPr>
            <i/>
            <sz val="14"/>
            <color rgb="FF000000"/>
            <rFont val="Times New Roman"/>
            <family val="18"/>
          </rPr>
          <t>von Reserve Division zum ObristLt.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Reconvalesciert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15/09/1797 </t>
        </r>
        <r>
          <rPr>
            <i/>
            <sz val="14"/>
            <color rgb="FF000000"/>
            <rFont val="Times New Roman"/>
            <family val="18"/>
          </rPr>
          <t xml:space="preserve">Krank in loco Spital </t>
        </r>
        <r>
          <rPr>
            <sz val="14"/>
            <color rgb="FF000000"/>
            <rFont val="Times New Roman"/>
            <family val="18"/>
          </rPr>
          <t>[ST September 1797]</t>
        </r>
        <r>
          <rPr>
            <sz val="14"/>
            <color rgb="FF000000"/>
            <rFont val="Calibri"/>
            <family val="34"/>
          </rPr>
          <t xml:space="preserve">
</t>
        </r>
        <r>
          <rPr>
            <sz val="14"/>
            <color rgb="FF000000"/>
            <rFont val="Times New Roman"/>
            <family val="18"/>
          </rPr>
          <t xml:space="preserve">31/10/1797 [Mindenstens bis] </t>
        </r>
        <r>
          <rPr>
            <i/>
            <sz val="14"/>
            <color rgb="FF000000"/>
            <rFont val="Times New Roman"/>
            <family val="18"/>
          </rPr>
          <t>Krank in loco Spital</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beim Bau Kommandiert mit Kriegsgebühr</t>
        </r>
        <r>
          <rPr>
            <sz val="14"/>
            <color rgb="FF000000"/>
            <rFont val="Times New Roman"/>
            <family val="18"/>
          </rPr>
          <t xml:space="preserve"> [ST Nov 1798]</t>
        </r>
        <r>
          <rPr>
            <sz val="14"/>
            <color rgb="FF000000"/>
            <rFont val="Calibri"/>
            <family val="34"/>
          </rPr>
          <t xml:space="preserve">
</t>
        </r>
        <r>
          <rPr>
            <sz val="14"/>
            <color rgb="FF000000"/>
            <rFont val="Times New Roman"/>
            <family val="18"/>
          </rPr>
          <t xml:space="preserve">05/12/1798 </t>
        </r>
        <r>
          <rPr>
            <i/>
            <sz val="14"/>
            <color rgb="FF000000"/>
            <rFont val="Times New Roman"/>
            <family val="18"/>
          </rPr>
          <t>Zurück in Companie</t>
        </r>
        <r>
          <rPr>
            <sz val="14"/>
            <color rgb="FF000000"/>
            <rFont val="Times New Roman"/>
            <family val="18"/>
          </rPr>
          <t xml:space="preserve"> [ST Dez 1798]</t>
        </r>
        <r>
          <rPr>
            <sz val="14"/>
            <color rgb="FF000000"/>
            <rFont val="Calibri"/>
            <family val="34"/>
          </rPr>
          <t xml:space="preserve">
</t>
        </r>
        <r>
          <rPr>
            <sz val="14"/>
            <color rgb="FF000000"/>
            <rFont val="Times New Roman"/>
            <family val="18"/>
          </rPr>
          <t>25/01/1799 Revision: IR 43 ObristLt Comp Nr. 37</t>
        </r>
        <r>
          <rPr>
            <sz val="14"/>
            <color rgb="FF000000"/>
            <rFont val="Calibri"/>
            <family val="34"/>
          </rPr>
          <t xml:space="preserve">
</t>
        </r>
        <r>
          <rPr>
            <sz val="14"/>
            <color rgb="FF000000"/>
            <rFont val="Times New Roman"/>
            <family val="18"/>
          </rPr>
          <t xml:space="preserve">01/04/1799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ObristLt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30/09/1799 [Mindestens bis] </t>
        </r>
        <r>
          <rPr>
            <i/>
            <sz val="14"/>
            <color rgb="FF000000"/>
            <rFont val="Times New Roman"/>
            <family val="18"/>
          </rPr>
          <t>bei dem Artillerie Reserve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06/10/1799 </t>
        </r>
        <r>
          <rPr>
            <i/>
            <sz val="14"/>
            <color rgb="FF000000"/>
            <rFont val="Times New Roman"/>
            <family val="18"/>
          </rPr>
          <t xml:space="preserve">zu Treviso gestorben </t>
        </r>
        <r>
          <rPr>
            <sz val="14"/>
            <color rgb="FF000000"/>
            <rFont val="Times New Roman"/>
            <family val="18"/>
          </rPr>
          <t>[ST Juli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per Errorem in Abgang gebracht</t>
        </r>
        <r>
          <rPr>
            <sz val="14"/>
            <color rgb="FF000000"/>
            <rFont val="Times New Roman"/>
            <family val="18"/>
          </rPr>
          <t xml:space="preserve"> </t>
        </r>
        <r>
          <rPr>
            <i/>
            <sz val="14"/>
            <color rgb="FF000000"/>
            <rFont val="Times New Roman"/>
            <family val="18"/>
          </rPr>
          <t>war bis dahin Auswärts</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 xml:space="preserve">mit Lafpaß entlassen </t>
        </r>
        <r>
          <rPr>
            <sz val="14"/>
            <color rgb="FF000000"/>
            <rFont val="Times New Roman"/>
            <family val="18"/>
          </rPr>
          <t>[ST Juli 1801]</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106" authorId="0" shapeId="0" xr:uid="{07F6F661-BC54-1F43-AD1D-C689D7D58684}">
      <text>
        <r>
          <rPr>
            <sz val="14"/>
            <color rgb="FF000000"/>
            <rFont val="Calibri"/>
            <family val="34"/>
          </rPr>
          <t xml:space="preserve">ML 10.271 IR 43 (1796-9) – RL Haupt Obrist LtComp. Nr. 37 (Udine 25/01/1799)
</t>
        </r>
        <r>
          <rPr>
            <sz val="14"/>
            <color rgb="FF000000"/>
            <rFont val="Calibri"/>
            <family val="34"/>
          </rPr>
          <t xml:space="preserve">ML 10.305 IR 43 (1797) – ST Feb (09/03/1802), April (24/05/1803), Mai (01/06/1803), Sept (02/09/1804), und Okt (31/05/1805)
</t>
        </r>
        <r>
          <rPr>
            <sz val="14"/>
            <color rgb="FF000000"/>
            <rFont val="Calibri"/>
            <family val="34"/>
          </rPr>
          <t xml:space="preserve">ML 10.306 IR 43 (1798) – ST Nov (23/12/1798) und Dez (24/01/1799)
</t>
        </r>
        <r>
          <rPr>
            <sz val="14"/>
            <color rgb="FF000000"/>
            <rFont val="Calibri"/>
            <family val="34"/>
          </rPr>
          <t xml:space="preserve">ML 10.307 IR 43 (1799) – ST April (19/08/1799), Aug (06/03/1800), und Sept (21/07/1800)
</t>
        </r>
        <r>
          <rPr>
            <sz val="14"/>
            <color rgb="FF000000"/>
            <rFont val="Calibri"/>
            <family val="34"/>
          </rPr>
          <t xml:space="preserve">ML 10.311 IR 43 (1801) – ST Juli (08/07/1805)
</t>
        </r>
      </text>
    </comment>
    <comment ref="BH106" authorId="0" shapeId="0" xr:uid="{F1CD779F-F45F-DA48-A3D4-F72103BF1AA9}">
      <text>
        <r>
          <rPr>
            <sz val="14"/>
            <color rgb="FF000000"/>
            <rFont val="Calibri"/>
            <family val="34"/>
          </rPr>
          <t>IR 43 (1796-1801)</t>
        </r>
      </text>
    </comment>
    <comment ref="BF107" authorId="0" shapeId="0" xr:uid="{C47FD879-48D8-6446-B1E0-7A84C641A7A5}">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21/04/1797 I</t>
        </r>
        <r>
          <rPr>
            <i/>
            <sz val="14"/>
            <color rgb="FF000000"/>
            <rFont val="Times New Roman"/>
            <family val="18"/>
          </rPr>
          <t xml:space="preserve">n Reserve Division eingerückt </t>
        </r>
        <r>
          <rPr>
            <sz val="14"/>
            <color rgb="FF000000"/>
            <rFont val="Times New Roman"/>
            <family val="18"/>
          </rPr>
          <t>[ST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Lieb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Reconvalesciert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01/07/1797 [seit] </t>
        </r>
        <r>
          <rPr>
            <i/>
            <sz val="14"/>
            <color rgb="FF000000"/>
            <rFont val="Times New Roman"/>
            <family val="18"/>
          </rPr>
          <t>Krank Auswärts mit Kriegsgebühr</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31/10/1797 [bis mindestens] </t>
        </r>
        <r>
          <rPr>
            <i/>
            <sz val="14"/>
            <color rgb="FF000000"/>
            <rFont val="Times New Roman"/>
            <family val="18"/>
          </rPr>
          <t>Krank Auswärts mit Kriegsgebühr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Lieb Comp. Nr. 80 [</t>
        </r>
        <r>
          <rPr>
            <i/>
            <sz val="14"/>
            <color rgb="FF000000"/>
            <rFont val="Times New Roman"/>
            <family val="18"/>
          </rPr>
          <t>Artillerie Handlanger in loco]</t>
        </r>
        <r>
          <rPr>
            <sz val="14"/>
            <color rgb="FF000000"/>
            <rFont val="Calibri"/>
            <family val="34"/>
          </rPr>
          <t xml:space="preserve">
</t>
        </r>
        <r>
          <rPr>
            <sz val="14"/>
            <color rgb="FF000000"/>
            <rFont val="Times New Roman"/>
            <family val="18"/>
          </rPr>
          <t xml:space="preserve">01/06/1799 </t>
        </r>
        <r>
          <rPr>
            <i/>
            <sz val="14"/>
            <color rgb="FF000000"/>
            <rFont val="Times New Roman"/>
            <family val="18"/>
          </rPr>
          <t>von Lieb Comp zum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04/09/1799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Reconvalesciert</t>
        </r>
        <r>
          <rPr>
            <sz val="14"/>
            <color rgb="FF000000"/>
            <rFont val="Calibri"/>
            <family val="34"/>
          </rPr>
          <t xml:space="preserve">
</t>
        </r>
        <r>
          <rPr>
            <sz val="14"/>
            <color rgb="FF000000"/>
            <rFont val="Times New Roman"/>
            <family val="18"/>
          </rPr>
          <t xml:space="preserve">31/10/1799 </t>
        </r>
        <r>
          <rPr>
            <i/>
            <sz val="14"/>
            <color rgb="FF000000"/>
            <rFont val="Times New Roman"/>
            <family val="18"/>
          </rPr>
          <t>Von Artillerie Handlanger zum Lieb Comp. Transferiert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02/12/1799 </t>
        </r>
        <r>
          <rPr>
            <i/>
            <sz val="14"/>
            <color rgb="FF000000"/>
            <rFont val="Times New Roman"/>
            <family val="18"/>
          </rPr>
          <t>In Loco Ancona Gestorben</t>
        </r>
        <r>
          <rPr>
            <sz val="14"/>
            <color rgb="FF000000"/>
            <rFont val="Times New Roman"/>
            <family val="18"/>
          </rPr>
          <t xml:space="preserve"> [ST Dec 1799]</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107" authorId="0" shapeId="0" xr:uid="{4CDC17D9-67DB-3548-A6D7-8AD5DA03E7AC}">
      <text>
        <r>
          <rPr>
            <sz val="14"/>
            <color rgb="FF000000"/>
            <rFont val="Times New Roman"/>
            <family val="18"/>
          </rPr>
          <t>ML 10.271 IR 43 (1796-9) – RL Lieb Comp. Nr. 80 (Udine 25/01/1799)</t>
        </r>
        <r>
          <rPr>
            <sz val="14"/>
            <color rgb="FF000000"/>
            <rFont val="Calibri"/>
            <family val="34"/>
          </rPr>
          <t xml:space="preserve">
</t>
        </r>
        <r>
          <rPr>
            <sz val="14"/>
            <color rgb="FF000000"/>
            <rFont val="Times New Roman"/>
            <family val="18"/>
          </rPr>
          <t>ML 10.305 IR 43 (1797) – ST Feb (09/03/1802), April (24/05/1803), Mai (01/06/1803), Juli (24/07/1803) und Oct (31/05/1805)</t>
        </r>
        <r>
          <rPr>
            <sz val="14"/>
            <color rgb="FF000000"/>
            <rFont val="Calibri"/>
            <family val="34"/>
          </rPr>
          <t xml:space="preserve">
</t>
        </r>
        <r>
          <rPr>
            <sz val="14"/>
            <color rgb="FF000000"/>
            <rFont val="Times New Roman"/>
            <family val="18"/>
          </rPr>
          <t>ML 10.307 IR 43 (1799) – ST June (12/12/1799), Sept (21/07/1800), Nov (12/10/1800) und Dez (01/11/1800)</t>
        </r>
        <r>
          <rPr>
            <sz val="14"/>
            <color rgb="FF000000"/>
            <rFont val="Calibri"/>
            <family val="34"/>
          </rPr>
          <t xml:space="preserve">
</t>
        </r>
      </text>
    </comment>
    <comment ref="BH107" authorId="0" shapeId="0" xr:uid="{65B7481E-57A3-8641-A72D-D7D449399B2F}">
      <text>
        <r>
          <rPr>
            <sz val="14"/>
            <color rgb="FF000000"/>
            <rFont val="Calibri"/>
            <family val="34"/>
          </rPr>
          <t>IR 43 (1796-1799)</t>
        </r>
      </text>
    </comment>
    <comment ref="BF108" authorId="0" shapeId="0" xr:uid="{CA52C497-4C8B-AC45-86C6-9C446FBC6C06}">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Ins Reserve Division eingeruckt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25/05/1797 </t>
        </r>
        <r>
          <rPr>
            <i/>
            <sz val="14"/>
            <color rgb="FF000000"/>
            <rFont val="Times New Roman"/>
            <family val="18"/>
          </rPr>
          <t>Krank auswärts mit</t>
        </r>
        <r>
          <rPr>
            <sz val="14"/>
            <color rgb="FF000000"/>
            <rFont val="Times New Roman"/>
            <family val="18"/>
          </rPr>
          <t xml:space="preserve"> Kriegsgebühr [ST May 1797]</t>
        </r>
        <r>
          <rPr>
            <sz val="14"/>
            <color rgb="FF000000"/>
            <rFont val="Calibri"/>
            <family val="34"/>
          </rPr>
          <t xml:space="preserve">
</t>
        </r>
        <r>
          <rPr>
            <sz val="14"/>
            <color rgb="FF000000"/>
            <rFont val="Times New Roman"/>
            <family val="18"/>
          </rPr>
          <t xml:space="preserve">20/07/1797 </t>
        </r>
        <r>
          <rPr>
            <i/>
            <sz val="14"/>
            <color rgb="FF000000"/>
            <rFont val="Times New Roman"/>
            <family val="18"/>
          </rPr>
          <t>Reconvaleciert und Eodem eingerückt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25/01/1799 Revision IR 43 Haupt Fischer Nr. 85]</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10/11/1799 </t>
        </r>
        <r>
          <rPr>
            <i/>
            <sz val="14"/>
            <color rgb="FF000000"/>
            <rFont val="Times New Roman"/>
            <family val="18"/>
          </rPr>
          <t>Reconvalesciert und zurück in Haupt Fischer Companie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13/12/1799 </t>
        </r>
        <r>
          <rPr>
            <i/>
            <sz val="14"/>
            <color rgb="FF000000"/>
            <rFont val="Times New Roman"/>
            <family val="18"/>
          </rPr>
          <t>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 xml:space="preserve">Reconvalesciert </t>
        </r>
        <r>
          <rPr>
            <sz val="14"/>
            <color rgb="FF000000"/>
            <rFont val="Calibri"/>
            <family val="34"/>
          </rPr>
          <t xml:space="preserve">
</t>
        </r>
        <r>
          <rPr>
            <sz val="14"/>
            <color rgb="FF000000"/>
            <rFont val="Times New Roman"/>
            <family val="18"/>
          </rPr>
          <t xml:space="preserve">19/04/1802 </t>
        </r>
        <r>
          <rPr>
            <i/>
            <sz val="14"/>
            <color rgb="FF000000"/>
            <rFont val="Times New Roman"/>
            <family val="18"/>
          </rPr>
          <t>in loco gestorben</t>
        </r>
        <r>
          <rPr>
            <sz val="14"/>
            <color rgb="FF000000"/>
            <rFont val="Times New Roman"/>
            <family val="18"/>
          </rPr>
          <t xml:space="preserve"> [ML 1802 &amp; ST April 1802]</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G108" authorId="0" shapeId="0" xr:uid="{24FDFF84-D159-3647-AF8F-B7C080352595}">
      <text>
        <r>
          <rPr>
            <sz val="14"/>
            <color rgb="FF000000"/>
            <rFont val="Times New Roman"/>
            <family val="18"/>
          </rPr>
          <t>ML 10.271 IR 43 (1796-9) – RL Haupt Fischer Comp.  Nr. 85 (Udine 25/01/1799)</t>
        </r>
        <r>
          <rPr>
            <sz val="14"/>
            <color rgb="FF000000"/>
            <rFont val="Calibri"/>
            <family val="34"/>
          </rPr>
          <t xml:space="preserve">
</t>
        </r>
        <r>
          <rPr>
            <sz val="14"/>
            <color rgb="FF000000"/>
            <rFont val="Times New Roman"/>
            <family val="18"/>
          </rPr>
          <t xml:space="preserve">ML 10.305 IR 43 (1797) – ST Feb (09/03/1802), April (24/05/1803), Mai (01/06/1803), Juli (24/07/1803) </t>
        </r>
        <r>
          <rPr>
            <sz val="14"/>
            <color rgb="FF000000"/>
            <rFont val="Calibri"/>
            <family val="34"/>
          </rPr>
          <t xml:space="preserve">
</t>
        </r>
        <r>
          <rPr>
            <sz val="14"/>
            <color rgb="FF000000"/>
            <rFont val="Times New Roman"/>
            <family val="18"/>
          </rPr>
          <t>ML 10.307 IR 43 (1799) –Aug (06/03/1800), und Nov (21/07/1800)</t>
        </r>
        <r>
          <rPr>
            <sz val="14"/>
            <color rgb="FF000000"/>
            <rFont val="Calibri"/>
            <family val="34"/>
          </rPr>
          <t xml:space="preserve">
</t>
        </r>
        <r>
          <rPr>
            <sz val="14"/>
            <color rgb="FF000000"/>
            <rFont val="Times New Roman"/>
            <family val="18"/>
          </rPr>
          <t>ML 10.312 IR 43 (1801) – ST April (13/10/1803)</t>
        </r>
        <r>
          <rPr>
            <sz val="14"/>
            <color rgb="FF000000"/>
            <rFont val="Calibri"/>
            <family val="34"/>
          </rPr>
          <t xml:space="preserve">
</t>
        </r>
      </text>
    </comment>
    <comment ref="BH108" authorId="0" shapeId="0" xr:uid="{BF5364A7-6514-044D-AD1F-3DB1176AB1E0}">
      <text>
        <r>
          <rPr>
            <sz val="14"/>
            <color rgb="FF000000"/>
            <rFont val="Calibri"/>
            <family val="34"/>
          </rPr>
          <t>IR 43 (1797-1802)</t>
        </r>
      </text>
    </comment>
    <comment ref="BF109" authorId="0" shapeId="0" xr:uid="{E2632368-8BFD-1E41-963D-BF17DA0CA425}">
      <text>
        <r>
          <rPr>
            <sz val="14"/>
            <color rgb="FF000000"/>
            <rFont val="Times New Roman"/>
            <family val="18"/>
          </rPr>
          <t xml:space="preserve">03/02/1797 </t>
        </r>
        <r>
          <rPr>
            <i/>
            <sz val="14"/>
            <color rgb="FF000000"/>
            <rFont val="Times New Roman"/>
            <family val="18"/>
          </rPr>
          <t>Von Dominien Ausgehoben und von Ständen als Galizische Recrouten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 xml:space="preserve">In die Reserve Division eingerückt </t>
        </r>
        <r>
          <rPr>
            <sz val="14"/>
            <color rgb="FF000000"/>
            <rFont val="Times New Roman"/>
            <family val="18"/>
          </rPr>
          <t>[ST October 1797]</t>
        </r>
        <r>
          <rPr>
            <sz val="14"/>
            <color rgb="FF000000"/>
            <rFont val="Calibri"/>
            <family val="34"/>
          </rPr>
          <t xml:space="preserve">
</t>
        </r>
        <r>
          <rPr>
            <sz val="14"/>
            <color rgb="FF000000"/>
            <rFont val="Times New Roman"/>
            <family val="18"/>
          </rPr>
          <t>31/10/1798 [Früher als] UNBEKANNT [ML 1799]</t>
        </r>
        <r>
          <rPr>
            <sz val="14"/>
            <color rgb="FF000000"/>
            <rFont val="Calibri"/>
            <family val="34"/>
          </rPr>
          <t xml:space="preserve">
</t>
        </r>
      </text>
    </comment>
    <comment ref="BG109" authorId="0" shapeId="0" xr:uid="{470C2DB6-3CE4-274C-A2A3-EA4D4817E68E}">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ML 10.305 IR 43 (1797) – ST Feb (09/03/1802) und Okt (31/05/1805)</t>
        </r>
        <r>
          <rPr>
            <sz val="14"/>
            <color rgb="FF000000"/>
            <rFont val="Calibri"/>
            <family val="34"/>
          </rPr>
          <t xml:space="preserve">
</t>
        </r>
      </text>
    </comment>
    <comment ref="BH109" authorId="0" shapeId="0" xr:uid="{BD3AD818-5547-5248-BE4C-4E1BDEEE1D99}">
      <text>
        <r>
          <rPr>
            <sz val="14"/>
            <color rgb="FF000000"/>
            <rFont val="Calibri"/>
            <family val="34"/>
          </rPr>
          <t>IR 43 (1797-1797/8)</t>
        </r>
      </text>
    </comment>
    <comment ref="BF110" authorId="0" shapeId="0" xr:uid="{54D8B5DB-E4F0-BF4A-9043-9C988C5B3E56}">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 die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25/01/1799 Revision: IR 43 Haupt Fischer Nr. 87]</t>
        </r>
        <r>
          <rPr>
            <sz val="14"/>
            <color rgb="FF000000"/>
            <rFont val="Calibri"/>
            <family val="34"/>
          </rPr>
          <t xml:space="preserve">
</t>
        </r>
        <r>
          <rPr>
            <sz val="14"/>
            <color rgb="FF000000"/>
            <rFont val="Times New Roman"/>
            <family val="18"/>
          </rPr>
          <t xml:space="preserve">24/08/1799 Krank auswärts mit Kriegsgebühr </t>
        </r>
        <r>
          <rPr>
            <sz val="14"/>
            <color rgb="FFFF0000"/>
            <rFont val="Times New Roman"/>
            <family val="18"/>
          </rPr>
          <t>[wounded at Novi?]</t>
        </r>
        <r>
          <rPr>
            <sz val="14"/>
            <color rgb="FF000000"/>
            <rFont val="Times New Roman"/>
            <family val="18"/>
          </rPr>
          <t xml:space="preserve"> [ST Aug 1799] [Als Hrinko JERSHKOVIZ]</t>
        </r>
        <r>
          <rPr>
            <sz val="14"/>
            <color rgb="FF000000"/>
            <rFont val="Calibri"/>
            <family val="34"/>
          </rPr>
          <t xml:space="preserve">
</t>
        </r>
        <r>
          <rPr>
            <sz val="14"/>
            <color rgb="FF000000"/>
            <rFont val="Times New Roman"/>
            <family val="18"/>
          </rPr>
          <t xml:space="preserve">In 10/1799 </t>
        </r>
        <r>
          <rPr>
            <i/>
            <sz val="14"/>
            <color rgb="FF000000"/>
            <rFont val="Times New Roman"/>
            <family val="18"/>
          </rPr>
          <t xml:space="preserve">Rekonvalesziert </t>
        </r>
        <r>
          <rPr>
            <sz val="14"/>
            <color rgb="FF000000"/>
            <rFont val="Times New Roman"/>
            <family val="18"/>
          </rPr>
          <t>[ST Okt 1799]</t>
        </r>
        <r>
          <rPr>
            <sz val="14"/>
            <color rgb="FF000000"/>
            <rFont val="Calibri"/>
            <family val="34"/>
          </rPr>
          <t xml:space="preserve">
</t>
        </r>
        <r>
          <rPr>
            <sz val="14"/>
            <color rgb="FF000000"/>
            <rFont val="Times New Roman"/>
            <family val="18"/>
          </rPr>
          <t>21/08/1802 Musterung: IR 43 Haupt Basta Nr. 42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At Muster 08/11/1803 Haupt Ellison Nr. 40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At Muster 15/09/1804 Haupt Lichtenberg Nr. 39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10/06/1805 </t>
        </r>
        <r>
          <rPr>
            <i/>
            <sz val="14"/>
            <color rgb="FF000000"/>
            <rFont val="Times New Roman"/>
            <family val="18"/>
          </rPr>
          <t>von unbestimmte Urlaub Zurück und seitdem auf anhero Marsch von</t>
        </r>
        <r>
          <rPr>
            <sz val="14"/>
            <color rgb="FF000000"/>
            <rFont val="Times New Roman"/>
            <family val="18"/>
          </rPr>
          <t xml:space="preserve"> Staszow [ST Sept 1805]</t>
        </r>
        <r>
          <rPr>
            <sz val="14"/>
            <color rgb="FF000000"/>
            <rFont val="Calibri"/>
            <family val="34"/>
          </rPr>
          <t xml:space="preserve">
</t>
        </r>
        <r>
          <rPr>
            <sz val="14"/>
            <color rgb="FF000000"/>
            <rFont val="Times New Roman"/>
            <family val="18"/>
          </rPr>
          <t>At Muster 30/09/1805 2. Fus Comp Nr. 38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2. Fus Comp. als unwissend Verloren in Abgang</t>
        </r>
        <r>
          <rPr>
            <sz val="14"/>
            <color rgb="FF000000"/>
            <rFont val="Times New Roman"/>
            <family val="18"/>
          </rPr>
          <t xml:space="preserve"> [ST Oct 1806 &amp; ML 1806]</t>
        </r>
      </text>
    </comment>
    <comment ref="BG110" authorId="0" shapeId="0" xr:uid="{432B66DA-AD20-6449-9753-66DB53D3C4F1}">
      <text>
        <r>
          <rPr>
            <sz val="14"/>
            <color rgb="FF000000"/>
            <rFont val="Times New Roman"/>
            <family val="18"/>
          </rPr>
          <t>ML 10.271 IR 43 (1796-9) – RL Haupt Fischer Nr. 87 (Udine 25/01/1799)</t>
        </r>
        <r>
          <rPr>
            <sz val="14"/>
            <color rgb="FF000000"/>
            <rFont val="Calibri"/>
            <family val="34"/>
          </rPr>
          <t xml:space="preserve">
</t>
        </r>
        <r>
          <rPr>
            <sz val="14"/>
            <color rgb="FF000000"/>
            <rFont val="Times New Roman"/>
            <family val="18"/>
          </rPr>
          <t>ML 10.272 IR 43 (1802) – Heft von Haupt Basta Comp. Nr. 42 (Risano 21/08/1802)</t>
        </r>
        <r>
          <rPr>
            <sz val="14"/>
            <color rgb="FF000000"/>
            <rFont val="Calibri"/>
            <family val="34"/>
          </rPr>
          <t xml:space="preserve">
</t>
        </r>
        <r>
          <rPr>
            <sz val="14"/>
            <color rgb="FF000000"/>
            <rFont val="Times New Roman"/>
            <family val="18"/>
          </rPr>
          <t>ML 10.273 IR 43 (1803) – Heft von Haupt von Niedles Nr. 40 (Sign 08/11/1803)</t>
        </r>
        <r>
          <rPr>
            <sz val="14"/>
            <color rgb="FF000000"/>
            <rFont val="Calibri"/>
            <family val="34"/>
          </rPr>
          <t xml:space="preserve">
</t>
        </r>
        <r>
          <rPr>
            <sz val="14"/>
            <color rgb="FF000000"/>
            <rFont val="Times New Roman"/>
            <family val="18"/>
          </rPr>
          <t>ML 10.274 IR 43 (1804) – Heft von Haupt Lichtenberg Comp. Nr. 39 (Zara 15/09/1804)</t>
        </r>
        <r>
          <rPr>
            <sz val="14"/>
            <color rgb="FF000000"/>
            <rFont val="Calibri"/>
            <family val="34"/>
          </rPr>
          <t xml:space="preserve">
</t>
        </r>
        <r>
          <rPr>
            <sz val="14"/>
            <color rgb="FF000000"/>
            <rFont val="Times New Roman"/>
            <family val="18"/>
          </rPr>
          <t>ML 10.275/6 IR 43 (1805) – Heft von 2. Fus Comp. Nr. 38 (Cattaro 30/09/1805)</t>
        </r>
        <r>
          <rPr>
            <sz val="14"/>
            <color rgb="FF000000"/>
            <rFont val="Calibri"/>
            <family val="34"/>
          </rPr>
          <t xml:space="preserve">
</t>
        </r>
        <r>
          <rPr>
            <sz val="14"/>
            <color rgb="FF000000"/>
            <rFont val="Times New Roman"/>
            <family val="18"/>
          </rPr>
          <t xml:space="preserve">ML 10/277/8 (1806) – Heft von 2. Fus Comp. Abgang (Laibach 01/12/1806)
</t>
        </r>
        <r>
          <rPr>
            <sz val="14"/>
            <color rgb="FF000000"/>
            <rFont val="Times New Roman"/>
            <family val="18"/>
          </rPr>
          <t>ML 10.305 IR 43 (1797) – ST Feb (09/03/1802), April (24/05/1803)</t>
        </r>
        <r>
          <rPr>
            <sz val="14"/>
            <color rgb="FF000000"/>
            <rFont val="Calibri"/>
            <family val="34"/>
          </rPr>
          <t xml:space="preserve">
</t>
        </r>
        <r>
          <rPr>
            <sz val="14"/>
            <color rgb="FF000000"/>
            <rFont val="Times New Roman"/>
            <family val="18"/>
          </rPr>
          <t>ML 10.307 IR 43 (1799) – ST August (06/03/1800) und Okt (Tabelle Fehlt)</t>
        </r>
        <r>
          <rPr>
            <sz val="14"/>
            <color rgb="FF000000"/>
            <rFont val="Calibri"/>
            <family val="34"/>
          </rPr>
          <t xml:space="preserve">
</t>
        </r>
        <r>
          <rPr>
            <sz val="14"/>
            <color rgb="FF000000"/>
            <rFont val="Times New Roman"/>
            <family val="18"/>
          </rPr>
          <t>ML 10.313 IR 43 (1803) – ST Feb (15/03/1803) und April (15/05/1803)</t>
        </r>
        <r>
          <rPr>
            <sz val="14"/>
            <color rgb="FF000000"/>
            <rFont val="Calibri"/>
            <family val="34"/>
          </rPr>
          <t xml:space="preserve">
</t>
        </r>
        <r>
          <rPr>
            <sz val="14"/>
            <color rgb="FF000000"/>
            <rFont val="Times New Roman"/>
            <family val="18"/>
          </rPr>
          <t>ML 10.315 IR 43 (1805) – ST June (15/07/1805)</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110" authorId="0" shapeId="0" xr:uid="{69746CCF-13B6-B945-AA27-39A1D713704A}">
      <text>
        <r>
          <rPr>
            <sz val="14"/>
            <color rgb="FF000000"/>
            <rFont val="Calibri"/>
            <family val="34"/>
          </rPr>
          <t>IR 43 (1797-1806)</t>
        </r>
      </text>
    </comment>
    <comment ref="BF111" authorId="0" shapeId="0" xr:uid="{C2CB4AC1-A81D-1F45-91D4-294EA2BD6E01}">
      <text>
        <r>
          <rPr>
            <sz val="14"/>
            <color rgb="FF000000"/>
            <rFont val="Times New Roman"/>
            <family val="18"/>
          </rPr>
          <t xml:space="preserve">03/02/1797 </t>
        </r>
        <r>
          <rPr>
            <i/>
            <sz val="14"/>
            <color rgb="FF000000"/>
            <rFont val="Times New Roman"/>
            <family val="18"/>
          </rPr>
          <t>Von Dominien Ausgehoben und von Ständen als Galizische Recrouten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 xml:space="preserve">In die Reserve Division eingerückt </t>
        </r>
        <r>
          <rPr>
            <sz val="14"/>
            <color rgb="FF000000"/>
            <rFont val="Times New Roman"/>
            <family val="18"/>
          </rPr>
          <t>[ST October 1797]</t>
        </r>
        <r>
          <rPr>
            <sz val="14"/>
            <color rgb="FF000000"/>
            <rFont val="Calibri"/>
            <family val="34"/>
          </rPr>
          <t xml:space="preserve">
</t>
        </r>
        <r>
          <rPr>
            <sz val="14"/>
            <color rgb="FF000000"/>
            <rFont val="Times New Roman"/>
            <family val="18"/>
          </rPr>
          <t>31/10/1798 [Früher als] UNBEKANNT [ML 1799]</t>
        </r>
        <r>
          <rPr>
            <sz val="14"/>
            <color rgb="FF000000"/>
            <rFont val="Calibri"/>
            <family val="34"/>
          </rPr>
          <t xml:space="preserve">
</t>
        </r>
      </text>
    </comment>
    <comment ref="BG111" authorId="0" shapeId="0" xr:uid="{A2008E0D-EF79-7E4B-B792-4EA66B03ED7F}">
      <text>
        <r>
          <rPr>
            <sz val="14"/>
            <color rgb="FF000000"/>
            <rFont val="Times New Roman"/>
            <family val="18"/>
          </rPr>
          <t>ML 10.271 IR 43 (1796-9) – RL (Udine &amp; Civitalle 25-26/01/1799)</t>
        </r>
        <r>
          <rPr>
            <sz val="14"/>
            <color rgb="FF000000"/>
            <rFont val="Calibri"/>
            <family val="34"/>
          </rPr>
          <t xml:space="preserve">
</t>
        </r>
        <r>
          <rPr>
            <sz val="14"/>
            <color rgb="FF000000"/>
            <rFont val="Times New Roman"/>
            <family val="18"/>
          </rPr>
          <t xml:space="preserve">ML 10.305 IR 43 (1797) – ST Feb (09/03/1802) </t>
        </r>
        <r>
          <rPr>
            <sz val="14"/>
            <color rgb="FF000000"/>
            <rFont val="Times New Roman"/>
            <family val="18"/>
          </rPr>
          <t>und Okt (31/05/1805)</t>
        </r>
        <r>
          <rPr>
            <sz val="14"/>
            <color rgb="FF000000"/>
            <rFont val="Calibri"/>
            <family val="34"/>
          </rPr>
          <t xml:space="preserve">
</t>
        </r>
      </text>
    </comment>
    <comment ref="BH111" authorId="0" shapeId="0" xr:uid="{4DB2AA23-A10D-FF4C-999B-BBBF543CB458}">
      <text>
        <r>
          <rPr>
            <sz val="14"/>
            <color rgb="FF000000"/>
            <rFont val="Calibri"/>
            <family val="34"/>
          </rPr>
          <t>IR 43 (1797-1797/8)</t>
        </r>
      </text>
    </comment>
    <comment ref="B112" authorId="0" shapeId="0" xr:uid="{FC84150B-3EB0-6848-A0D3-9DD204258AF9}">
      <text>
        <r>
          <rPr>
            <sz val="14"/>
            <color rgb="FF000000"/>
            <rFont val="Times New Roman"/>
            <family val="18"/>
          </rPr>
          <t xml:space="preserve">Kopel/Cajetan/Paul JUDKOWITZ </t>
        </r>
      </text>
    </comment>
    <comment ref="BF112" authorId="0" shapeId="0" xr:uid="{E3A0DEDB-1760-7148-93AE-4DAB9EF46A1F}">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Ankunft in Reserve Division</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24/06/1797 </t>
        </r>
        <r>
          <rPr>
            <i/>
            <sz val="14"/>
            <color rgb="FF000000"/>
            <rFont val="Times New Roman"/>
            <family val="18"/>
          </rPr>
          <t>Krank in loco Spital</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10/07/1797 </t>
        </r>
        <r>
          <rPr>
            <i/>
            <sz val="14"/>
            <color rgb="FF000000"/>
            <rFont val="Times New Roman"/>
            <family val="18"/>
          </rPr>
          <t>Reconvalesciert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31/09/1797 Krank in loco Spital [ST September 1797]</t>
        </r>
        <r>
          <rPr>
            <sz val="14"/>
            <color rgb="FF000000"/>
            <rFont val="Calibri"/>
            <family val="34"/>
          </rPr>
          <t xml:space="preserve">
</t>
        </r>
        <r>
          <rPr>
            <sz val="14"/>
            <color rgb="FF000000"/>
            <rFont val="Times New Roman"/>
            <family val="18"/>
          </rPr>
          <t>25/01/1799 Revision: IR 43 Haupt Fischer Nr. 86</t>
        </r>
        <r>
          <rPr>
            <sz val="14"/>
            <color rgb="FF000000"/>
            <rFont val="Calibri"/>
            <family val="34"/>
          </rPr>
          <t xml:space="preserve">
</t>
        </r>
        <r>
          <rPr>
            <sz val="14"/>
            <color rgb="FF000000"/>
            <rFont val="Times New Roman"/>
            <family val="18"/>
          </rPr>
          <t xml:space="preserve">04/09/1801 </t>
        </r>
        <r>
          <rPr>
            <i/>
            <sz val="14"/>
            <color rgb="FF000000"/>
            <rFont val="Times New Roman"/>
            <family val="18"/>
          </rPr>
          <t>Desertiert</t>
        </r>
        <r>
          <rPr>
            <sz val="14"/>
            <color rgb="FF000000"/>
            <rFont val="Times New Roman"/>
            <family val="18"/>
          </rPr>
          <t xml:space="preserve"> [ST Sept 1801]</t>
        </r>
        <r>
          <rPr>
            <sz val="14"/>
            <color rgb="FF000000"/>
            <rFont val="Calibri"/>
            <family val="34"/>
          </rPr>
          <t xml:space="preserve">
</t>
        </r>
      </text>
    </comment>
    <comment ref="BG112" authorId="0" shapeId="0" xr:uid="{B2EA498B-6FD1-4040-AD94-C2565E3BDAA9}">
      <text>
        <r>
          <rPr>
            <sz val="14"/>
            <color rgb="FF000000"/>
            <rFont val="Times New Roman"/>
            <family val="18"/>
          </rPr>
          <t>ML 10.271 IR 43 (1796-9) – RL Haupt Fischer Nr. 86 (Udine 25/01/1799)</t>
        </r>
        <r>
          <rPr>
            <sz val="14"/>
            <color rgb="FF000000"/>
            <rFont val="Calibri"/>
            <family val="34"/>
          </rPr>
          <t xml:space="preserve">
</t>
        </r>
        <r>
          <rPr>
            <sz val="14"/>
            <color rgb="FF000000"/>
            <rFont val="Times New Roman"/>
            <family val="18"/>
          </rPr>
          <t>ML 10.305 IR 43 (1797) – ST Feb (09/03/1802), April (24/05/1803), Juli (24/07/1803) und Sept (02/09/1804)</t>
        </r>
        <r>
          <rPr>
            <sz val="14"/>
            <color rgb="FF000000"/>
            <rFont val="Calibri"/>
            <family val="34"/>
          </rPr>
          <t xml:space="preserve">
</t>
        </r>
        <r>
          <rPr>
            <sz val="14"/>
            <color rgb="FF000000"/>
            <rFont val="Times New Roman"/>
            <family val="18"/>
          </rPr>
          <t>ML 10.311 IR 43 (1801) – ST Sept (16/07/1805)</t>
        </r>
        <r>
          <rPr>
            <sz val="14"/>
            <color rgb="FF000000"/>
            <rFont val="Calibri"/>
            <family val="34"/>
          </rPr>
          <t xml:space="preserve">
</t>
        </r>
      </text>
    </comment>
    <comment ref="BH112" authorId="0" shapeId="0" xr:uid="{F286B54C-4882-1B41-9C27-671A60982742}">
      <text>
        <r>
          <rPr>
            <sz val="14"/>
            <color rgb="FF000000"/>
            <rFont val="Calibri"/>
            <family val="34"/>
          </rPr>
          <t>IR 43 (1797-1801)</t>
        </r>
      </text>
    </comment>
    <comment ref="BF113" authorId="0" shapeId="0" xr:uid="{AFF5FC20-CD0A-014C-99B4-DEB8E7433B6F}">
      <text>
        <r>
          <rPr>
            <sz val="14"/>
            <color rgb="FF000000"/>
            <rFont val="Times New Roman"/>
            <family val="18"/>
          </rPr>
          <t xml:space="preserve">03/02/1797 </t>
        </r>
        <r>
          <rPr>
            <i/>
            <sz val="14"/>
            <color rgb="FF000000"/>
            <rFont val="Times New Roman"/>
            <family val="18"/>
          </rPr>
          <t>von Dominien Ausgehoben und von Ständen als Galizische Recrout auf Kriegsdauer zum Biala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 die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25/05/1797 </t>
        </r>
        <r>
          <rPr>
            <i/>
            <sz val="14"/>
            <color rgb="FF000000"/>
            <rFont val="Times New Roman"/>
            <family val="18"/>
          </rPr>
          <t>Krank auswärts mit Kriegsgebühr</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17/07/1797 </t>
        </r>
        <r>
          <rPr>
            <i/>
            <sz val="14"/>
            <color rgb="FF000000"/>
            <rFont val="Times New Roman"/>
            <family val="18"/>
          </rPr>
          <t>Rekonvaleciert und Eodem Tag eingerückt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31/08/1798 </t>
        </r>
        <r>
          <rPr>
            <i/>
            <sz val="14"/>
            <color rgb="FF000000"/>
            <rFont val="Times New Roman"/>
            <family val="18"/>
          </rPr>
          <t>von Schmoll/Fischern zum Schoer Comp Transferiert</t>
        </r>
        <r>
          <rPr>
            <sz val="14"/>
            <color rgb="FF000000"/>
            <rFont val="Times New Roman"/>
            <family val="18"/>
          </rPr>
          <t xml:space="preserve"> [ML Jan 1799]</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Osopo als Handlanger kommandiert mit Kriegsgebühr</t>
        </r>
        <r>
          <rPr>
            <sz val="14"/>
            <color rgb="FF000000"/>
            <rFont val="Times New Roman"/>
            <family val="18"/>
          </rPr>
          <t xml:space="preserve"> [ST Nov 1798]</t>
        </r>
        <r>
          <rPr>
            <sz val="14"/>
            <color rgb="FF000000"/>
            <rFont val="Calibri"/>
            <family val="34"/>
          </rPr>
          <t xml:space="preserve">
</t>
        </r>
        <r>
          <rPr>
            <sz val="14"/>
            <color rgb="FF000000"/>
            <rFont val="Times New Roman"/>
            <family val="18"/>
          </rPr>
          <t>25/01/1799 Musterung: IR 43 Schoer Comp. Nr. 56 [</t>
        </r>
        <r>
          <rPr>
            <i/>
            <sz val="14"/>
            <color rgb="FF000000"/>
            <rFont val="Times New Roman"/>
            <family val="18"/>
          </rPr>
          <t>bei der Artillerie Reserve in Palma</t>
        </r>
        <r>
          <rPr>
            <sz val="14"/>
            <color rgb="FF000000"/>
            <rFont val="Times New Roman"/>
            <family val="18"/>
          </rPr>
          <t>]</t>
        </r>
        <r>
          <rPr>
            <sz val="14"/>
            <color rgb="FF000000"/>
            <rFont val="Calibri"/>
            <family val="34"/>
          </rPr>
          <t xml:space="preserve">
</t>
        </r>
        <r>
          <rPr>
            <sz val="14"/>
            <color rgb="FF000000"/>
            <rFont val="Times New Roman"/>
            <family val="18"/>
          </rPr>
          <t xml:space="preserve">01/04/1799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Schoer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von Dissolvierte Artillerie Handlanger zurück ins Schoer Comp transferiert und seitdem krank auswärts [St May 1801] </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ins auswärtiger Feldspitalern als über ½ Jahr auswärts und deren Existenz gänzlich Unbewusst</t>
        </r>
        <r>
          <rPr>
            <sz val="14"/>
            <color rgb="FFFF0000"/>
            <rFont val="Times New Roman"/>
            <family val="18"/>
          </rPr>
          <t xml:space="preserve"> [ST Oct 1801]</t>
        </r>
        <r>
          <rPr>
            <sz val="14"/>
            <color rgb="FF000000"/>
            <rFont val="Calibri"/>
            <family val="34"/>
          </rPr>
          <t xml:space="preserve">
</t>
        </r>
        <r>
          <rPr>
            <sz val="14"/>
            <color rgb="FF000000"/>
            <rFont val="Times New Roman"/>
            <family val="18"/>
          </rPr>
          <t>12/08/1802 Musterung: IR 43 Haupt Basta Comp Nr. 112</t>
        </r>
        <r>
          <rPr>
            <sz val="14"/>
            <color rgb="FF000000"/>
            <rFont val="Calibri"/>
            <family val="34"/>
          </rPr>
          <t xml:space="preserve">
</t>
        </r>
        <r>
          <rPr>
            <sz val="14"/>
            <color rgb="FF000000"/>
            <rFont val="Times New Roman"/>
            <family val="18"/>
          </rPr>
          <t>08/11/1803 Musterung: IR 43 Haupt Ellison Comp Nr. 99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15/09/1804 Musterung: IR 43 Haupt Lichtenberg Nr. 89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30/09/1805 Musterung: IR 43 2. Fus. Comp. Nr. 73 [</t>
        </r>
        <r>
          <rPr>
            <i/>
            <sz val="14"/>
            <color rgb="FF000000"/>
            <rFont val="Times New Roman"/>
            <family val="18"/>
          </rPr>
          <t>Beurlaubt bis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deren Existenz gänzlich Unbewusst unwissend verloren in Abgang</t>
        </r>
        <r>
          <rPr>
            <sz val="14"/>
            <color rgb="FF000000"/>
            <rFont val="Times New Roman"/>
            <family val="18"/>
          </rPr>
          <t xml:space="preserve"> [ML 1806]</t>
        </r>
        <r>
          <rPr>
            <sz val="14"/>
            <color rgb="FF000000"/>
            <rFont val="Calibri"/>
            <family val="34"/>
          </rPr>
          <t xml:space="preserve">
</t>
        </r>
      </text>
    </comment>
    <comment ref="BG113" authorId="0" shapeId="0" xr:uid="{945BE601-E783-E34B-83FA-DEC0D8CCE79C}">
      <text>
        <r>
          <rPr>
            <sz val="14"/>
            <color rgb="FF000000"/>
            <rFont val="Times New Roman"/>
            <family val="18"/>
          </rPr>
          <t>ML 10.271 IR 43 (1796-9) – RL Haupt Schoer Nr. 56 (Udine 25/01/1799)</t>
        </r>
        <r>
          <rPr>
            <sz val="14"/>
            <color rgb="FF000000"/>
            <rFont val="Calibri"/>
            <family val="34"/>
          </rPr>
          <t xml:space="preserve">
</t>
        </r>
        <r>
          <rPr>
            <sz val="14"/>
            <color rgb="FF000000"/>
            <rFont val="Times New Roman"/>
            <family val="18"/>
          </rPr>
          <t>ML 10.272 IR 43 (1802) – Heft von Haupt Basta Comp. Nr. 112 (Risano 21/08/1802)</t>
        </r>
        <r>
          <rPr>
            <sz val="14"/>
            <color rgb="FF000000"/>
            <rFont val="Calibri"/>
            <family val="34"/>
          </rPr>
          <t xml:space="preserve">
</t>
        </r>
        <r>
          <rPr>
            <sz val="14"/>
            <color rgb="FF000000"/>
            <rFont val="Times New Roman"/>
            <family val="18"/>
          </rPr>
          <t>ML 10.273 IR 43 (1803) – Heft von Haupt von Niedles Nr. 99 (Sign 08/11/1803)</t>
        </r>
        <r>
          <rPr>
            <sz val="14"/>
            <color rgb="FF000000"/>
            <rFont val="Calibri"/>
            <family val="34"/>
          </rPr>
          <t xml:space="preserve">
</t>
        </r>
        <r>
          <rPr>
            <sz val="14"/>
            <color rgb="FF000000"/>
            <rFont val="Times New Roman"/>
            <family val="18"/>
          </rPr>
          <t>ML 10.274 IR 43 (1804) – Heft von Haupt Lichtenberg Comp. Nr. 89 (Zara 15/09/1804)</t>
        </r>
        <r>
          <rPr>
            <sz val="14"/>
            <color rgb="FF000000"/>
            <rFont val="Calibri"/>
            <family val="34"/>
          </rPr>
          <t xml:space="preserve">
</t>
        </r>
        <r>
          <rPr>
            <sz val="14"/>
            <color rgb="FF000000"/>
            <rFont val="Times New Roman"/>
            <family val="18"/>
          </rPr>
          <t>ML 10.275/6 IR 43 (1805) – Heft von 2. Fus Comp. Nr. 73 (Cattaro 30/09/1805)</t>
        </r>
        <r>
          <rPr>
            <sz val="14"/>
            <color rgb="FF000000"/>
            <rFont val="Calibri"/>
            <family val="34"/>
          </rPr>
          <t xml:space="preserve">
</t>
        </r>
        <r>
          <rPr>
            <sz val="14"/>
            <color rgb="FF000000"/>
            <rFont val="Times New Roman"/>
            <family val="18"/>
          </rPr>
          <t>ML 10/277/8 IR 43 (1806) – Heft von 2. Fus Comp. Abgang (Laibach 01/12/1806)</t>
        </r>
        <r>
          <rPr>
            <sz val="14"/>
            <color rgb="FF000000"/>
            <rFont val="Calibri"/>
            <family val="34"/>
          </rPr>
          <t xml:space="preserve">
</t>
        </r>
        <r>
          <rPr>
            <sz val="14"/>
            <color rgb="FF000000"/>
            <rFont val="Times New Roman"/>
            <family val="18"/>
          </rPr>
          <t>ML 10.305 IR 43 (1797) – ST Feb (09/03/1802), April (24/05/1803), Mai (01/06/1803) und Juli (24/07/1803)</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April (19/08/1799) und August (06/03/1800)</t>
        </r>
        <r>
          <rPr>
            <sz val="14"/>
            <color rgb="FF000000"/>
            <rFont val="Calibri"/>
            <family val="34"/>
          </rPr>
          <t xml:space="preserve">
</t>
        </r>
        <r>
          <rPr>
            <sz val="14"/>
            <color rgb="FF000000"/>
            <rFont val="Times New Roman"/>
            <family val="18"/>
          </rPr>
          <t>ML 10.311 IR 43 (1801) – ST Mai (10/03/1805) &amp; Oct (21/07/1805)</t>
        </r>
        <r>
          <rPr>
            <sz val="14"/>
            <color rgb="FF000000"/>
            <rFont val="Calibri"/>
            <family val="34"/>
          </rPr>
          <t xml:space="preserve">
</t>
        </r>
        <r>
          <rPr>
            <sz val="14"/>
            <color rgb="FF000000"/>
            <rFont val="Times New Roman"/>
            <family val="18"/>
          </rPr>
          <t>ML 10.313 IR 43 (1803) – ST Feb (15/03/1803) und April (15/05/1803)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113" authorId="0" shapeId="0" xr:uid="{F9F64F0B-5077-9947-BBE1-A3C78B2A8787}">
      <text>
        <r>
          <rPr>
            <sz val="14"/>
            <color rgb="FF000000"/>
            <rFont val="Calibri"/>
            <family val="34"/>
          </rPr>
          <t>IR 43 (1797-1806)</t>
        </r>
      </text>
    </comment>
    <comment ref="BF114" authorId="0" shapeId="0" xr:uid="{DFCE1F50-CF75-2843-ADD8-459D788A1F13}">
      <text>
        <r>
          <rPr>
            <sz val="14"/>
            <color rgb="FF000000"/>
            <rFont val="Times New Roman"/>
            <family val="18"/>
          </rPr>
          <t xml:space="preserve">Gemeiner Klew LAITEZAROVICH/ Chlawne LEYZEROWICZ [???]
</t>
        </r>
        <r>
          <rPr>
            <sz val="14"/>
            <color rgb="FF000000"/>
            <rFont val="Times New Roman"/>
            <family val="18"/>
          </rPr>
          <t xml:space="preserve">03/02/1797 von Dominien Ausgehoben und von Ständen als Galizische Recrout zum Biala auf Kriegsdauer gestellt; seitdem auf anhero Marsch mit Friedens Gebühr [ST Feb 1797]
</t>
        </r>
        <r>
          <rPr>
            <sz val="14"/>
            <color rgb="FF000000"/>
            <rFont val="Times New Roman"/>
            <family val="18"/>
          </rPr>
          <t xml:space="preserve">21/04/1797 Ankunft in Reserve Division [ST April 1797]
</t>
        </r>
        <r>
          <rPr>
            <sz val="14"/>
            <color rgb="FF000000"/>
            <rFont val="Times New Roman"/>
            <family val="18"/>
          </rPr>
          <t xml:space="preserve">22/04/1797 von Reserve Division zum Lieb Comp. transferiert [ST April 1797]
</t>
        </r>
        <r>
          <rPr>
            <sz val="14"/>
            <color rgb="FF000000"/>
            <rFont val="Times New Roman"/>
            <family val="18"/>
          </rPr>
          <t xml:space="preserve">06/05/1797 Krank Auswärts mit Kriegsgebühr [ST May 1797]
</t>
        </r>
        <r>
          <rPr>
            <sz val="14"/>
            <color rgb="FF000000"/>
            <rFont val="Times New Roman"/>
            <family val="18"/>
          </rPr>
          <t xml:space="preserve">31/10/1797 [bis mindestens] Krank Auswärts mit Kriegsgebühr [ST Oct 1797]
</t>
        </r>
        <r>
          <rPr>
            <sz val="14"/>
            <color rgb="FF000000"/>
            <rFont val="Times New Roman"/>
            <family val="18"/>
          </rPr>
          <t xml:space="preserve">30/06/1798 Ultimo Juni als uber ½ in auswarts vermog hohe HKR Verordenung 10/06/1798 als unwissend in armee spitalern verlohren [ML 1799]
</t>
        </r>
      </text>
    </comment>
    <comment ref="BG114" authorId="0" shapeId="0" xr:uid="{6D6F0B85-6B92-E24F-AC5A-C7102C5D7CB0}">
      <text>
        <r>
          <rPr>
            <sz val="14"/>
            <color rgb="FF000000"/>
            <rFont val="Times New Roman"/>
            <family val="18"/>
          </rPr>
          <t>ML 10.271 IR 43 (1796-9) – RL Lieb Comp. - Abgang (Udine 25/01/1799)</t>
        </r>
        <r>
          <rPr>
            <sz val="14"/>
            <color rgb="FF000000"/>
            <rFont val="Calibri"/>
            <family val="34"/>
          </rPr>
          <t xml:space="preserve">
</t>
        </r>
        <r>
          <rPr>
            <sz val="14"/>
            <color rgb="FF000000"/>
            <rFont val="Times New Roman"/>
            <family val="18"/>
          </rPr>
          <t>ML 10.305 IR 43 (1797) – ST Feb (09/03/1802), April (24/05/1803), Mai (01/06/1803) und Okt (31/05/1805)</t>
        </r>
      </text>
    </comment>
    <comment ref="BH114" authorId="0" shapeId="0" xr:uid="{53F0E2A0-739A-8540-8562-923EAF787F40}">
      <text>
        <r>
          <rPr>
            <sz val="14"/>
            <color rgb="FF000000"/>
            <rFont val="Calibri"/>
            <family val="34"/>
          </rPr>
          <t>IR 43 (1797-1798)</t>
        </r>
      </text>
    </comment>
    <comment ref="BF115" authorId="0" shapeId="0" xr:uid="{BAB98C8A-2128-AE41-90B2-76547941A7A5}">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 xml:space="preserve">In die Reserve Division eingerückt </t>
        </r>
        <r>
          <rPr>
            <sz val="14"/>
            <color rgb="FF000000"/>
            <rFont val="Times New Roman"/>
            <family val="18"/>
          </rPr>
          <t>[ST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12/07/1797 </t>
        </r>
        <r>
          <rPr>
            <i/>
            <sz val="14"/>
            <color rgb="FF000000"/>
            <rFont val="Times New Roman"/>
            <family val="18"/>
          </rPr>
          <t>Krank in loco Spital</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15/07/1797 </t>
        </r>
        <r>
          <rPr>
            <i/>
            <sz val="14"/>
            <color rgb="FF000000"/>
            <rFont val="Times New Roman"/>
            <family val="18"/>
          </rPr>
          <t xml:space="preserve">Rekonvalesziert </t>
        </r>
        <r>
          <rPr>
            <sz val="14"/>
            <color rgb="FF000000"/>
            <rFont val="Times New Roman"/>
            <family val="18"/>
          </rPr>
          <t>[ST July 1797]</t>
        </r>
        <r>
          <rPr>
            <sz val="14"/>
            <color rgb="FF000000"/>
            <rFont val="Calibri"/>
            <family val="34"/>
          </rPr>
          <t xml:space="preserve">
</t>
        </r>
        <r>
          <rPr>
            <sz val="14"/>
            <color rgb="FF000000"/>
            <rFont val="Times New Roman"/>
            <family val="18"/>
          </rPr>
          <t>25/01/1799 Revision: IR 43 Haupt Fischer Nr. 88</t>
        </r>
        <r>
          <rPr>
            <sz val="14"/>
            <color rgb="FF000000"/>
            <rFont val="Calibri"/>
            <family val="34"/>
          </rPr>
          <t xml:space="preserve">
</t>
        </r>
        <r>
          <rPr>
            <sz val="14"/>
            <color rgb="FF000000"/>
            <rFont val="Times New Roman"/>
            <family val="18"/>
          </rPr>
          <t>26/05/1799 Krank auswärts mit Kriegsgebühr [ST Mai 1799]</t>
        </r>
        <r>
          <rPr>
            <sz val="14"/>
            <color rgb="FF000000"/>
            <rFont val="Calibri"/>
            <family val="34"/>
          </rPr>
          <t xml:space="preserve">
</t>
        </r>
        <r>
          <rPr>
            <sz val="14"/>
            <color rgb="FF000000"/>
            <rFont val="Times New Roman"/>
            <family val="18"/>
          </rPr>
          <t>16/03/1800 Rekonvalesziert und ins Comp. eingerückt [St Marz 1800]</t>
        </r>
        <r>
          <rPr>
            <sz val="14"/>
            <color rgb="FF000000"/>
            <rFont val="Calibri"/>
            <family val="34"/>
          </rPr>
          <t xml:space="preserve">
</t>
        </r>
        <r>
          <rPr>
            <sz val="14"/>
            <color rgb="FF000000"/>
            <rFont val="Times New Roman"/>
            <family val="18"/>
          </rPr>
          <t>WEITERES SCHICKSAL UNBEKANNT</t>
        </r>
      </text>
    </comment>
    <comment ref="BG115" authorId="0" shapeId="0" xr:uid="{CF9C664C-68F2-8E4A-81E7-8AB67F17F043}">
      <text>
        <r>
          <rPr>
            <sz val="14"/>
            <color rgb="FF000000"/>
            <rFont val="Times New Roman"/>
            <family val="18"/>
          </rPr>
          <t>ML 10.271 IR 43 (1796-9) – RL Haupt Fischer Nr. 88 (Udine 25/01/1799)</t>
        </r>
        <r>
          <rPr>
            <sz val="14"/>
            <color rgb="FF000000"/>
            <rFont val="Calibri"/>
            <family val="34"/>
          </rPr>
          <t xml:space="preserve">
</t>
        </r>
        <r>
          <rPr>
            <sz val="14"/>
            <color rgb="FF000000"/>
            <rFont val="Times New Roman"/>
            <family val="18"/>
          </rPr>
          <t>ML 10.305 IR 43 (1797) – ST Feb (09/03/1802), April (24/05/1803), und Juli (24/07/1803)</t>
        </r>
        <r>
          <rPr>
            <sz val="14"/>
            <color rgb="FF000000"/>
            <rFont val="Calibri"/>
            <family val="34"/>
          </rPr>
          <t xml:space="preserve">
</t>
        </r>
        <r>
          <rPr>
            <sz val="14"/>
            <color rgb="FF000000"/>
            <rFont val="Times New Roman"/>
            <family val="18"/>
          </rPr>
          <t>ML 10.307 IR 43 (1799) – ST Mai (22/09/1799)</t>
        </r>
        <r>
          <rPr>
            <sz val="14"/>
            <color rgb="FF000000"/>
            <rFont val="Calibri"/>
            <family val="34"/>
          </rPr>
          <t xml:space="preserve">
</t>
        </r>
        <r>
          <rPr>
            <sz val="14"/>
            <color rgb="FF000000"/>
            <rFont val="Times New Roman"/>
            <family val="18"/>
          </rPr>
          <t xml:space="preserve">ML 10.309 IR 43 (1800) – ST Marz (04/10/1801) </t>
        </r>
      </text>
    </comment>
    <comment ref="BH115" authorId="0" shapeId="0" xr:uid="{A9B06E03-F3E2-FC49-A193-1C7B7D9E560D}">
      <text>
        <r>
          <rPr>
            <sz val="14"/>
            <color rgb="FF000000"/>
            <rFont val="Calibri"/>
            <family val="34"/>
          </rPr>
          <t>IR 43 (1797-1800)</t>
        </r>
      </text>
    </comment>
    <comment ref="BF116" authorId="0" shapeId="0" xr:uid="{76E94708-4CAF-EE40-A83B-6EFC1BE91835}">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Ankunft in Reserve Division</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Lieb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01/05/1797 </t>
        </r>
        <r>
          <rPr>
            <i/>
            <sz val="14"/>
            <color rgb="FF000000"/>
            <rFont val="Times New Roman"/>
            <family val="18"/>
          </rPr>
          <t>Krank in loco Spital</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10/05/1797 </t>
        </r>
        <r>
          <rPr>
            <i/>
            <sz val="14"/>
            <color rgb="FF000000"/>
            <rFont val="Times New Roman"/>
            <family val="18"/>
          </rPr>
          <t>Rekonvalesziert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Krank in Loco Spital</t>
        </r>
        <r>
          <rPr>
            <sz val="14"/>
            <color rgb="FF000000"/>
            <rFont val="Times New Roman"/>
            <family val="18"/>
          </rPr>
          <t xml:space="preserve"> [ST June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Rekonvalesziert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01/10/1798 </t>
        </r>
        <r>
          <rPr>
            <i/>
            <sz val="14"/>
            <color rgb="FF000000"/>
            <rFont val="Times New Roman"/>
            <family val="18"/>
          </rPr>
          <t>Von Lieb zum 2. Major Komp. transferiert</t>
        </r>
        <r>
          <rPr>
            <sz val="14"/>
            <color rgb="FF000000"/>
            <rFont val="Times New Roman"/>
            <family val="18"/>
          </rPr>
          <t xml:space="preserve"> [ML 1799]</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als Handlanger mit Kriegsgebühr kommandiert</t>
        </r>
        <r>
          <rPr>
            <sz val="14"/>
            <color rgb="FF000000"/>
            <rFont val="Times New Roman"/>
            <family val="18"/>
          </rPr>
          <t xml:space="preserve"> [ST Nov 1798] </t>
        </r>
        <r>
          <rPr>
            <sz val="14"/>
            <color rgb="FF000000"/>
            <rFont val="Calibri"/>
            <family val="34"/>
          </rPr>
          <t xml:space="preserve">
</t>
        </r>
        <r>
          <rPr>
            <sz val="14"/>
            <color rgb="FF000000"/>
            <rFont val="Times New Roman"/>
            <family val="18"/>
          </rPr>
          <t>25/01/1799 Revision: 2. Major Komp. Nr. 118 [</t>
        </r>
        <r>
          <rPr>
            <i/>
            <sz val="14"/>
            <color rgb="FF000000"/>
            <rFont val="Times New Roman"/>
            <family val="18"/>
          </rPr>
          <t>Bei der Artillerie Reserve im Palma</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31/03/1799 [bis] in Palma als Handlanger mit </t>
        </r>
        <r>
          <rPr>
            <i/>
            <sz val="14"/>
            <color rgb="FF000000"/>
            <rFont val="Times New Roman"/>
            <family val="18"/>
          </rPr>
          <t>Kriegsgebühr kommandiert</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01/04/1799 [seit] </t>
        </r>
        <r>
          <rPr>
            <i/>
            <sz val="14"/>
            <color rgb="FF000000"/>
            <rFont val="Times New Roman"/>
            <family val="18"/>
          </rPr>
          <t>als Handlanger Auswärts kommandiert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2. Major Comp. Komp.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30/04/1801 [Mindestens bis] </t>
        </r>
        <r>
          <rPr>
            <i/>
            <sz val="14"/>
            <color rgb="FF000000"/>
            <rFont val="Times New Roman"/>
            <family val="18"/>
          </rPr>
          <t xml:space="preserve">bei dem Artillerie Reserve als 2. Major Komp. angehöriger mit Kriegsgebühr </t>
        </r>
        <r>
          <rPr>
            <sz val="14"/>
            <color rgb="FF000000"/>
            <rFont val="Times New Roman"/>
            <family val="18"/>
          </rPr>
          <t>[ST April 1801]</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2. Major Comp. transferiert und seitdem krank auswärts</t>
        </r>
        <r>
          <rPr>
            <sz val="14"/>
            <color rgb="FF000000"/>
            <rFont val="Times New Roman"/>
            <family val="18"/>
          </rPr>
          <t xml:space="preserve"> [ST May 1801] </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ins auswärtiger Feldspitalern als über ½ Jahr auswärts und deren Existenz gänzlich Unbewusst</t>
        </r>
        <r>
          <rPr>
            <sz val="14"/>
            <color rgb="FFFF0000"/>
            <rFont val="Times New Roman"/>
            <family val="18"/>
          </rPr>
          <t xml:space="preserve">  [ST Oct 1801]</t>
        </r>
        <r>
          <rPr>
            <sz val="14"/>
            <color rgb="FF000000"/>
            <rFont val="Calibri"/>
            <family val="34"/>
          </rPr>
          <t xml:space="preserve">
</t>
        </r>
        <r>
          <rPr>
            <sz val="14"/>
            <color rgb="FF000000"/>
            <rFont val="Times New Roman"/>
            <family val="18"/>
          </rPr>
          <t>28/08/1802 Muster: IR 43 Lieb Komp. Nr. 130</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Cattaro von Lieb Komp. Desertiert</t>
        </r>
        <r>
          <rPr>
            <sz val="14"/>
            <color rgb="FF000000"/>
            <rFont val="Times New Roman"/>
            <family val="18"/>
          </rPr>
          <t xml:space="preserve"> [ST Sept 1802 &amp; ML 1803]</t>
        </r>
        <r>
          <rPr>
            <sz val="14"/>
            <color rgb="FF000000"/>
            <rFont val="Calibri"/>
            <family val="34"/>
          </rPr>
          <t xml:space="preserve">
</t>
        </r>
      </text>
    </comment>
    <comment ref="BG116" authorId="0" shapeId="0" xr:uid="{62E17E07-332F-7446-A32F-5EFA0456E4DA}">
      <text>
        <r>
          <rPr>
            <sz val="14"/>
            <color rgb="FF000000"/>
            <rFont val="Times New Roman"/>
            <family val="18"/>
          </rPr>
          <t>ML 10.271 IR 43 (1796-9) – RL 2. Major Komp (Udine 25/01/1799)</t>
        </r>
        <r>
          <rPr>
            <sz val="14"/>
            <color rgb="FF000000"/>
            <rFont val="Calibri"/>
            <family val="34"/>
          </rPr>
          <t xml:space="preserve">
</t>
        </r>
        <r>
          <rPr>
            <sz val="14"/>
            <color rgb="FF000000"/>
            <rFont val="Times New Roman"/>
            <family val="18"/>
          </rPr>
          <t>ML 10.272 IR 43 (1802) – Leib Komp. Nr. 130 (Cattaro 28/08/1802)</t>
        </r>
        <r>
          <rPr>
            <sz val="14"/>
            <color rgb="FF000000"/>
            <rFont val="Calibri"/>
            <family val="34"/>
          </rPr>
          <t xml:space="preserve">
</t>
        </r>
        <r>
          <rPr>
            <sz val="14"/>
            <color rgb="FF000000"/>
            <rFont val="Times New Roman"/>
            <family val="18"/>
          </rPr>
          <t>ML 10.273 IR 43 (1803) – Lieb Komp. Abgang (Scardona 30/09/1803)</t>
        </r>
        <r>
          <rPr>
            <sz val="14"/>
            <color rgb="FF000000"/>
            <rFont val="Calibri"/>
            <family val="34"/>
          </rPr>
          <t xml:space="preserve">
</t>
        </r>
        <r>
          <rPr>
            <sz val="14"/>
            <color rgb="FF000000"/>
            <rFont val="Times New Roman"/>
            <family val="18"/>
          </rPr>
          <t>ML 10.305 IR 43 (1797) – ST Feb (09/03/1802), April (24/05/1803), Mai (01/06/1803), Juni (21/06/1803), Okt (31/05/1805)</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März (30/05/1799), April (19/08/1799), Aug (06/03/1800)</t>
        </r>
        <r>
          <rPr>
            <sz val="14"/>
            <color rgb="FF000000"/>
            <rFont val="Calibri"/>
            <family val="34"/>
          </rPr>
          <t xml:space="preserve">
</t>
        </r>
        <r>
          <rPr>
            <sz val="14"/>
            <color rgb="FF000000"/>
            <rFont val="Times New Roman"/>
            <family val="18"/>
          </rPr>
          <t>ML 10.311 IR 43 (1801) – ST April (13/10/1804), Mai (10/03/1805), Okt (21/07/1805)</t>
        </r>
        <r>
          <rPr>
            <sz val="14"/>
            <color rgb="FF000000"/>
            <rFont val="Calibri"/>
            <family val="34"/>
          </rPr>
          <t xml:space="preserve">
</t>
        </r>
        <r>
          <rPr>
            <sz val="14"/>
            <color rgb="FF000000"/>
            <rFont val="Times New Roman"/>
            <family val="18"/>
          </rPr>
          <t>ML 10.312 IR 43 (1802) – ST Sept (15/10/1802)</t>
        </r>
        <r>
          <rPr>
            <sz val="14"/>
            <color rgb="FF000000"/>
            <rFont val="Calibri"/>
            <family val="34"/>
          </rPr>
          <t xml:space="preserve">
</t>
        </r>
      </text>
    </comment>
    <comment ref="BH116" authorId="0" shapeId="0" xr:uid="{5AEF2EA9-C76D-8B4E-9E5E-7546F03B429B}">
      <text>
        <r>
          <rPr>
            <sz val="14"/>
            <color rgb="FF000000"/>
            <rFont val="Calibri"/>
            <family val="34"/>
          </rPr>
          <t>IR 43 (1797-1802)</t>
        </r>
      </text>
    </comment>
    <comment ref="B117" authorId="0" shapeId="0" xr:uid="{2223A4BB-6ED6-7B48-8EE4-EEE569FE6D9F}">
      <text>
        <r>
          <rPr>
            <sz val="14"/>
            <color rgb="FF000000"/>
            <rFont val="Times New Roman"/>
            <family val="18"/>
          </rPr>
          <t>Jacob SCHÖPS/ SCHNEFF</t>
        </r>
      </text>
    </comment>
    <comment ref="BF117" authorId="0" shapeId="0" xr:uid="{9BC20439-A50A-BF49-9238-A3F712B4D6EC}">
      <text>
        <r>
          <rPr>
            <sz val="14"/>
            <color rgb="FF000000"/>
            <rFont val="Times New Roman"/>
            <family val="18"/>
          </rPr>
          <t xml:space="preserve">03/02/1797 </t>
        </r>
        <r>
          <rPr>
            <i/>
            <sz val="14"/>
            <color rgb="FF000000"/>
            <rFont val="Times New Roman"/>
            <family val="18"/>
          </rPr>
          <t>von Dominien Ausgehoben und von Ständen als Galizische Recrout zum Biala auf Kriegsdauer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21/04/1797 </t>
        </r>
        <r>
          <rPr>
            <i/>
            <sz val="14"/>
            <color rgb="FF000000"/>
            <rFont val="Times New Roman"/>
            <family val="18"/>
          </rPr>
          <t>Ins Reserve Division eingerückt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22/04/1797 </t>
        </r>
        <r>
          <rPr>
            <i/>
            <sz val="14"/>
            <color rgb="FF000000"/>
            <rFont val="Times New Roman"/>
            <family val="18"/>
          </rPr>
          <t>von Reserve Division zum Haupt Stephan Schmoll Comp. Transferiert</t>
        </r>
        <r>
          <rPr>
            <sz val="14"/>
            <color rgb="FF000000"/>
            <rFont val="Times New Roman"/>
            <family val="18"/>
          </rPr>
          <t xml:space="preserve"> [ST April 1797]</t>
        </r>
        <r>
          <rPr>
            <sz val="14"/>
            <color rgb="FF000000"/>
            <rFont val="Calibri"/>
            <family val="34"/>
          </rPr>
          <t xml:space="preserve">
</t>
        </r>
        <r>
          <rPr>
            <sz val="14"/>
            <color rgb="FF000000"/>
            <rFont val="Times New Roman"/>
            <family val="18"/>
          </rPr>
          <t xml:space="preserve">01/01/1799 </t>
        </r>
        <r>
          <rPr>
            <i/>
            <sz val="14"/>
            <color rgb="FF000000"/>
            <rFont val="Times New Roman"/>
            <family val="18"/>
          </rPr>
          <t>Handlanger beim loco mit Liniengeschütz</t>
        </r>
        <r>
          <rPr>
            <sz val="14"/>
            <color rgb="FF000000"/>
            <rFont val="Times New Roman"/>
            <family val="18"/>
          </rPr>
          <t xml:space="preserve"> [ST Jan 1799]</t>
        </r>
        <r>
          <rPr>
            <sz val="14"/>
            <color rgb="FF000000"/>
            <rFont val="Calibri"/>
            <family val="34"/>
          </rPr>
          <t xml:space="preserve">
</t>
        </r>
        <r>
          <rPr>
            <sz val="14"/>
            <color rgb="FF000000"/>
            <rFont val="Times New Roman"/>
            <family val="18"/>
          </rPr>
          <t>25/01/1799 Revision: Haupt Fischer Comp Nr. 89] [</t>
        </r>
        <r>
          <rPr>
            <i/>
            <sz val="14"/>
            <color rgb="FF000000"/>
            <rFont val="Times New Roman"/>
            <family val="18"/>
          </rPr>
          <t>Artillerie Handlanger in loco</t>
        </r>
        <r>
          <rPr>
            <sz val="14"/>
            <color rgb="FF000000"/>
            <rFont val="Times New Roman"/>
            <family val="18"/>
          </rPr>
          <t>]</t>
        </r>
        <r>
          <rPr>
            <sz val="14"/>
            <color rgb="FF000000"/>
            <rFont val="Calibri"/>
            <family val="34"/>
          </rPr>
          <t xml:space="preserve">
</t>
        </r>
        <r>
          <rPr>
            <sz val="14"/>
            <color rgb="FF000000"/>
            <rFont val="Times New Roman"/>
            <family val="18"/>
          </rPr>
          <t xml:space="preserve">31/05/1799 </t>
        </r>
        <r>
          <rPr>
            <i/>
            <sz val="14"/>
            <color rgb="FF000000"/>
            <rFont val="Times New Roman"/>
            <family val="18"/>
          </rPr>
          <t>Von Haupt Fischer Zum Regiments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Von Regiments Artillerie Handlanger transferiert wieder zum Haupt Fischer Comp transferiert Companie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22/12/1799 </t>
        </r>
        <r>
          <rPr>
            <i/>
            <sz val="14"/>
            <color rgb="FF000000"/>
            <rFont val="Times New Roman"/>
            <family val="18"/>
          </rPr>
          <t>in loco gestorben</t>
        </r>
        <r>
          <rPr>
            <sz val="14"/>
            <color rgb="FF000000"/>
            <rFont val="Times New Roman"/>
            <family val="18"/>
          </rPr>
          <t xml:space="preserve"> [ST Dec 1799] [als Jacob SCHNEPF]</t>
        </r>
        <r>
          <rPr>
            <sz val="14"/>
            <color rgb="FF000000"/>
            <rFont val="Calibri"/>
            <family val="34"/>
          </rPr>
          <t xml:space="preserve">
</t>
        </r>
      </text>
    </comment>
    <comment ref="BG117" authorId="0" shapeId="0" xr:uid="{629615B3-9EF3-EE4E-B157-02019C9A5207}">
      <text>
        <r>
          <rPr>
            <sz val="14"/>
            <color rgb="FF000000"/>
            <rFont val="Times New Roman"/>
            <family val="18"/>
          </rPr>
          <t>ML 10.271 IR 43 (1796-9) – RL Haupt Fischer Comp. Nr. 89 (Udine 25/01/1799)</t>
        </r>
        <r>
          <rPr>
            <sz val="14"/>
            <color rgb="FF000000"/>
            <rFont val="Calibri"/>
            <family val="34"/>
          </rPr>
          <t xml:space="preserve">
</t>
        </r>
        <r>
          <rPr>
            <sz val="14"/>
            <color rgb="FF000000"/>
            <rFont val="Times New Roman"/>
            <family val="18"/>
          </rPr>
          <t>ML 10.305 IR 43 (1797) – ST Feb (09/03/1802), April (24/05/1803)</t>
        </r>
        <r>
          <rPr>
            <sz val="14"/>
            <color rgb="FF000000"/>
            <rFont val="Calibri"/>
            <family val="34"/>
          </rPr>
          <t xml:space="preserve">
</t>
        </r>
        <r>
          <rPr>
            <sz val="14"/>
            <color rgb="FF000000"/>
            <rFont val="Times New Roman"/>
            <family val="18"/>
          </rPr>
          <t>ML 10.307 IR 43 (1799) – ST Jän (21/02/1799), Juni (12/12/1799), Sept (21/07/1800) und Dez (01/11/1800)</t>
        </r>
      </text>
    </comment>
    <comment ref="BH117" authorId="0" shapeId="0" xr:uid="{1599BD58-A3AA-7F43-A6E7-1322386F96A1}">
      <text>
        <r>
          <rPr>
            <sz val="14"/>
            <color rgb="FF000000"/>
            <rFont val="Calibri"/>
            <family val="34"/>
          </rPr>
          <t>IR 43 (1797-1799)</t>
        </r>
      </text>
    </comment>
    <comment ref="BF118" authorId="0" shapeId="0" xr:uid="{1C82534A-5024-2F46-9429-0F020FE036E5}">
      <text>
        <r>
          <rPr>
            <sz val="14"/>
            <color rgb="FF000000"/>
            <rFont val="+mn-lt"/>
            <charset val="1"/>
          </rPr>
          <t xml:space="preserve">03/02/1797 Kriegsdauer gestellt; seitdem auf anhero Marsch mit Friedensgebühr [ST Feb 1797 &amp; ML 1802]
</t>
        </r>
        <r>
          <rPr>
            <sz val="14"/>
            <color rgb="FF000000"/>
            <rFont val="+mn-lt"/>
            <charset val="1"/>
          </rPr>
          <t xml:space="preserve">21/04/1797 Ankunft in Reserve Division [ST April 1797]
</t>
        </r>
        <r>
          <rPr>
            <sz val="14"/>
            <color rgb="FF000000"/>
            <rFont val="+mn-lt"/>
            <charset val="1"/>
          </rPr>
          <t xml:space="preserve">22/04/1797 von Reserve Division zum Haupt Selmbach Comp. Transferiert [ST April 1797]
</t>
        </r>
        <r>
          <rPr>
            <sz val="14"/>
            <color rgb="FF000000"/>
            <rFont val="+mn-lt"/>
            <charset val="1"/>
          </rPr>
          <t xml:space="preserve">10/05/1797 Krank auswärts mit Kriegsgebühr [ST May 1797]
</t>
        </r>
        <r>
          <rPr>
            <sz val="14"/>
            <color rgb="FF000000"/>
            <rFont val="+mn-lt"/>
            <charset val="1"/>
          </rPr>
          <t xml:space="preserve">20/08/1797 Reconvoleciert in Zurück in Companie eingerückt [ST August 1797] 
</t>
        </r>
        <r>
          <rPr>
            <sz val="14"/>
            <color rgb="FF000000"/>
            <rFont val="+mn-lt"/>
            <charset val="1"/>
          </rPr>
          <t xml:space="preserve">25/01/1799 Revision: IR 43 Haupt Selmbach Nr. 80]
</t>
        </r>
        <r>
          <rPr>
            <sz val="14"/>
            <color rgb="FF000000"/>
            <rFont val="+mn-lt"/>
            <charset val="1"/>
          </rPr>
          <t xml:space="preserve">21/07/1801 von Haupt Selmbach zum 1. Grenadier Comp Transferiert [ST Juli 1801]
</t>
        </r>
        <r>
          <rPr>
            <sz val="14"/>
            <color rgb="FF000000"/>
            <rFont val="+mn-lt"/>
            <charset val="1"/>
          </rPr>
          <t xml:space="preserve">11/09/1802 Musterung: IR 1. Grenadier Comp. Nr. 93 [Krank in loco Spital]
</t>
        </r>
        <r>
          <rPr>
            <sz val="14"/>
            <color rgb="FF000000"/>
            <rFont val="+mn-lt"/>
            <charset val="1"/>
          </rPr>
          <t xml:space="preserve">02/11/1802 Von 1. Grenadier Comp zum Obrist Comp transferiert [ST Nov 1802]
</t>
        </r>
        <r>
          <rPr>
            <sz val="14"/>
            <color rgb="FF000000"/>
            <rFont val="+mn-lt"/>
            <charset val="1"/>
          </rPr>
          <t xml:space="preserve">08/11/1802 Auf dem Marsch mit Urlaub und Auswärtiger Verpflegung ins Galizien [ST Nov 1802]
</t>
        </r>
        <r>
          <rPr>
            <sz val="14"/>
            <color rgb="FF000000"/>
            <rFont val="+mn-lt"/>
            <charset val="1"/>
          </rPr>
          <t xml:space="preserve">28/02/1803 Als Unbestimmte Beurlaubte in Galizien eingerückt [ST March 1803]
</t>
        </r>
        <r>
          <rPr>
            <sz val="14"/>
            <color rgb="FF000000"/>
            <rFont val="+mn-lt"/>
            <charset val="1"/>
          </rPr>
          <t xml:space="preserve">28/09/1803 Musterung: Obrist Comp. Nr. 140 [Bis zur Einberufung Beurlaubt in Oppal in Galizien]
</t>
        </r>
        <r>
          <rPr>
            <sz val="14"/>
            <color rgb="FF000000"/>
            <rFont val="+mn-lt"/>
            <charset val="1"/>
          </rPr>
          <t xml:space="preserve">07/10/1804 Musterung: IR 43 Obrist Comp. Nr. 127. [Bis zur Einberufung Beurlaubt zu seinem Geburtsort]
</t>
        </r>
        <r>
          <rPr>
            <sz val="14"/>
            <color rgb="FF000000"/>
            <rFont val="+mn-lt"/>
            <charset val="1"/>
          </rPr>
          <t xml:space="preserve">01/10/1805 Musterung: IR 43 8. Fus Comp. Nr. 95 [In seinem Geburtsort bis zur Einberufung Beurlaubt]
</t>
        </r>
        <r>
          <rPr>
            <sz val="14"/>
            <color rgb="FF000000"/>
            <rFont val="+mn-lt"/>
            <charset val="1"/>
          </rPr>
          <t xml:space="preserve">31/10/1806 Als auf Urlaub verbliebene von 12. Fus Comp. als unwissend verloren in Abgang [ST Okt 1806 &amp; ML 1806]
</t>
        </r>
      </text>
    </comment>
    <comment ref="BG118" authorId="0" shapeId="0" xr:uid="{C31EF1EA-7657-4B4D-B619-2D349FD9EEEA}">
      <text>
        <r>
          <rPr>
            <sz val="14"/>
            <color rgb="FF000000"/>
            <rFont val="Calibri"/>
            <family val="34"/>
          </rPr>
          <t xml:space="preserve">ML 10.271 IR 43 (1796-9) – RL Heft von Haupt Selmbach Comp Nr. 80 (Udine 25/01/1799)
</t>
        </r>
        <r>
          <rPr>
            <sz val="14"/>
            <color rgb="FF000000"/>
            <rFont val="Calibri"/>
            <family val="34"/>
          </rPr>
          <t xml:space="preserve">ML 10.272 IR 43 (1802) – Heft von 1. Gren. Comp. Nr. 93 (Zara 11/09/1802)
</t>
        </r>
        <r>
          <rPr>
            <sz val="14"/>
            <color rgb="FF000000"/>
            <rFont val="Calibri"/>
            <family val="34"/>
          </rPr>
          <t xml:space="preserve">ML 10.273 IR 43 (1803) – Heft von Obrist Comp. Nr. 140 (Zara 28/09/1803)
</t>
        </r>
        <r>
          <rPr>
            <sz val="14"/>
            <color rgb="FF000000"/>
            <rFont val="Calibri"/>
            <family val="34"/>
          </rPr>
          <t xml:space="preserve">ML 10.274 IR 43 (1804) – Heft von Obrist Comp. Nr. 127 (Cattaro 07/10/1804)
</t>
        </r>
        <r>
          <rPr>
            <sz val="14"/>
            <color rgb="FF000000"/>
            <rFont val="Calibri"/>
            <family val="34"/>
          </rPr>
          <t xml:space="preserve">ML 10.275/6 IR 43 (1805) – Heft von 8. Fus Comp. Nr. 95 (Zara (01/10/1805)
</t>
        </r>
        <r>
          <rPr>
            <sz val="14"/>
            <color rgb="FF000000"/>
            <rFont val="Calibri"/>
            <family val="34"/>
          </rPr>
          <t xml:space="preserve">ML 10/277/8 IR 43 (1806) – Heft von 12. Fus Comp. Abgang (Neustadt 05/12/1806)
</t>
        </r>
        <r>
          <rPr>
            <sz val="14"/>
            <color rgb="FF000000"/>
            <rFont val="Calibri"/>
            <family val="34"/>
          </rPr>
          <t xml:space="preserve">ML 10.305 IR 43 (1797) – ST April (24/05/1803), Mai (01/06/1803), und August (01/09/1802)
</t>
        </r>
        <r>
          <rPr>
            <sz val="14"/>
            <color rgb="FF000000"/>
            <rFont val="Calibri"/>
            <family val="34"/>
          </rPr>
          <t xml:space="preserve">ML 10.311 IR 43 (1801) – ST Juli (08/07/1805)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10.317 IR 43 (1806) – ST Oktober (27/11/1806) </t>
        </r>
      </text>
    </comment>
    <comment ref="BH118" authorId="0" shapeId="0" xr:uid="{BC848171-870A-A64E-AFFE-FC099615C0C6}">
      <text>
        <r>
          <rPr>
            <sz val="14"/>
            <color rgb="FF000000"/>
            <rFont val="Calibri"/>
            <family val="34"/>
          </rPr>
          <t>IR 43 (1797-1806)</t>
        </r>
      </text>
    </comment>
    <comment ref="BF119" authorId="0" shapeId="0" xr:uid="{24771ADD-B8B3-3048-9B5C-9D398DA9B5D6}">
      <text>
        <r>
          <rPr>
            <sz val="14"/>
            <color rgb="FF000000"/>
            <rFont val="Times New Roman"/>
            <family val="18"/>
          </rPr>
          <t xml:space="preserve">06/02/1797 </t>
        </r>
        <r>
          <rPr>
            <i/>
            <sz val="14"/>
            <color rgb="FF000000"/>
            <rFont val="Times New Roman"/>
            <family val="18"/>
          </rPr>
          <t>Von Gallizischen Ständen a 3Fl Handgeld auf die Dauer des Kriegs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05/04/1799 </t>
        </r>
        <r>
          <rPr>
            <i/>
            <sz val="14"/>
            <color rgb="FF000000"/>
            <rFont val="Times New Roman"/>
            <family val="18"/>
          </rPr>
          <t>In Die Kriegsgefangenschaft gefallen</t>
        </r>
        <r>
          <rPr>
            <sz val="14"/>
            <color rgb="FF000000"/>
            <rFont val="Times New Roman"/>
            <family val="18"/>
          </rPr>
          <t xml:space="preserve"> </t>
        </r>
        <r>
          <rPr>
            <b/>
            <sz val="14"/>
            <color rgb="FF000000"/>
            <rFont val="Times New Roman"/>
            <family val="18"/>
          </rPr>
          <t>[</t>
        </r>
        <r>
          <rPr>
            <b/>
            <sz val="14"/>
            <color rgb="FFFF0000"/>
            <rFont val="Times New Roman"/>
            <family val="18"/>
          </rPr>
          <t>Battle of Magnano]</t>
        </r>
        <r>
          <rPr>
            <b/>
            <sz val="14"/>
            <color rgb="FF000000"/>
            <rFont val="Times New Roman"/>
            <family val="18"/>
          </rPr>
          <t xml:space="preserve"> </t>
        </r>
        <r>
          <rPr>
            <sz val="14"/>
            <color rgb="FF000000"/>
            <rFont val="Times New Roman"/>
            <family val="18"/>
          </rPr>
          <t>[ML 1803]</t>
        </r>
        <r>
          <rPr>
            <sz val="14"/>
            <color rgb="FF000000"/>
            <rFont val="Calibri"/>
            <family val="34"/>
          </rPr>
          <t xml:space="preserve">
</t>
        </r>
        <r>
          <rPr>
            <sz val="14"/>
            <color rgb="FF000000"/>
            <rFont val="Times New Roman"/>
            <family val="18"/>
          </rPr>
          <t xml:space="preserve">09/05/1801 </t>
        </r>
        <r>
          <rPr>
            <i/>
            <sz val="14"/>
            <color rgb="FF000000"/>
            <rFont val="Times New Roman"/>
            <family val="18"/>
          </rPr>
          <t>Gegen Auswechslung 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Strack Komp. Nr. 121 [</t>
        </r>
        <r>
          <rPr>
            <i/>
            <sz val="14"/>
            <color rgb="FF000000"/>
            <rFont val="Times New Roman"/>
            <family val="18"/>
          </rPr>
          <t>Beurlaubt bis zur Einberufung in seiner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Stracka Komp. Nr. 110 [</t>
        </r>
        <r>
          <rPr>
            <i/>
            <sz val="14"/>
            <color rgb="FF000000"/>
            <rFont val="Times New Roman"/>
            <family val="18"/>
          </rPr>
          <t>Beurlaubt in Mendczyce</t>
        </r>
        <r>
          <rPr>
            <sz val="14"/>
            <color rgb="FF000000"/>
            <rFont val="Times New Roman"/>
            <family val="18"/>
          </rPr>
          <t xml:space="preserve"> </t>
        </r>
        <r>
          <rPr>
            <b/>
            <sz val="14"/>
            <color rgb="FF000000"/>
            <rFont val="Times New Roman"/>
            <family val="18"/>
          </rPr>
          <t>[</t>
        </r>
        <r>
          <rPr>
            <b/>
            <u/>
            <sz val="14"/>
            <color rgb="FF0563C1"/>
            <rFont val="Times New Roman"/>
            <family val="18"/>
          </rPr>
          <t>Międzyrzec Podlaski, Poland</t>
        </r>
        <r>
          <rPr>
            <b/>
            <sz val="14"/>
            <color rgb="FF000000"/>
            <rFont val="Times New Roman"/>
            <family val="18"/>
          </rPr>
          <t>]</t>
        </r>
        <r>
          <rPr>
            <sz val="14"/>
            <color rgb="FF000000"/>
            <rFont val="Times New Roman"/>
            <family val="18"/>
          </rPr>
          <t>,</t>
        </r>
        <r>
          <rPr>
            <i/>
            <sz val="14"/>
            <color rgb="FF000000"/>
            <rFont val="Times New Roman"/>
            <family val="18"/>
          </rPr>
          <t xml:space="preserve"> Bialer Kreis in West Galizien bis</t>
        </r>
        <r>
          <rPr>
            <sz val="14"/>
            <color rgb="FF000000"/>
            <rFont val="Times New Roman"/>
            <family val="18"/>
          </rPr>
          <t xml:space="preserve"> </t>
        </r>
        <r>
          <rPr>
            <i/>
            <sz val="14"/>
            <color rgb="FF000000"/>
            <rFont val="Times New Roman"/>
            <family val="18"/>
          </rPr>
          <t>Einberufung</t>
        </r>
        <r>
          <rPr>
            <sz val="14"/>
            <color rgb="FF000000"/>
            <rFont val="Times New Roman"/>
            <family val="18"/>
          </rPr>
          <t>]</t>
        </r>
        <r>
          <rPr>
            <sz val="14"/>
            <color rgb="FF000000"/>
            <rFont val="Calibri"/>
            <family val="34"/>
          </rPr>
          <t xml:space="preserve">
</t>
        </r>
        <r>
          <rPr>
            <sz val="14"/>
            <color rgb="FF000000"/>
            <rFont val="Times New Roman"/>
            <family val="18"/>
          </rPr>
          <t xml:space="preserve">25/08/1805 </t>
        </r>
        <r>
          <rPr>
            <i/>
            <sz val="14"/>
            <color rgb="FF000000"/>
            <rFont val="Times New Roman"/>
            <family val="18"/>
          </rPr>
          <t>Als inländische Kriegscapitulant mit Abschied entlassen</t>
        </r>
        <r>
          <rPr>
            <sz val="14"/>
            <color rgb="FF000000"/>
            <rFont val="Times New Roman"/>
            <family val="18"/>
          </rPr>
          <t xml:space="preserve"> [ML 1806]</t>
        </r>
        <r>
          <rPr>
            <sz val="14"/>
            <color rgb="FF000000"/>
            <rFont val="Calibri"/>
            <family val="34"/>
          </rPr>
          <t xml:space="preserve">
</t>
        </r>
      </text>
    </comment>
    <comment ref="BG119" authorId="0" shapeId="0" xr:uid="{0E9C312C-48C9-5842-9832-44546D54C4F8}">
      <text>
        <r>
          <rPr>
            <sz val="14"/>
            <color rgb="FF000000"/>
            <rFont val="Times New Roman"/>
            <family val="18"/>
          </rPr>
          <t>ML 5015 IR 59 (1803) –Haupt Setlinger Komp. Nr. 121 (Enns 29/08/1803)</t>
        </r>
        <r>
          <rPr>
            <sz val="14"/>
            <color rgb="FF000000"/>
            <rFont val="Calibri"/>
            <family val="34"/>
          </rPr>
          <t xml:space="preserve">
</t>
        </r>
        <r>
          <rPr>
            <sz val="14"/>
            <color rgb="FF000000"/>
            <rFont val="Times New Roman"/>
            <family val="18"/>
          </rPr>
          <t>ML 5016 IR 59 (1804) –Haupt Setlinger Komp. Nr. 110 (Innsbruck 03/09/1804)</t>
        </r>
        <r>
          <rPr>
            <sz val="14"/>
            <color rgb="FF000000"/>
            <rFont val="Calibri"/>
            <family val="34"/>
          </rPr>
          <t xml:space="preserve">
</t>
        </r>
        <r>
          <rPr>
            <sz val="14"/>
            <color rgb="FF000000"/>
            <rFont val="Times New Roman"/>
            <family val="18"/>
          </rPr>
          <t>ML 5017/8 IR 59 (1806) – 5. Fus Comp. Abgang (Linz 20/12/1806)</t>
        </r>
        <r>
          <rPr>
            <sz val="14"/>
            <color rgb="FF000000"/>
            <rFont val="Calibri"/>
            <family val="34"/>
          </rPr>
          <t xml:space="preserve">
</t>
        </r>
      </text>
    </comment>
    <comment ref="BH119" authorId="0" shapeId="0" xr:uid="{12ED3B3D-FAEC-9942-B23C-7136C67C0367}">
      <text>
        <r>
          <rPr>
            <sz val="14"/>
            <color rgb="FF000000"/>
            <rFont val="Calibri"/>
            <family val="34"/>
          </rPr>
          <t>IR 59 (1797-1805)</t>
        </r>
      </text>
    </comment>
    <comment ref="BF120" authorId="0" shapeId="0" xr:uid="{70A4F219-EADB-0848-9968-673181AAA0BE}">
      <text>
        <r>
          <rPr>
            <sz val="14"/>
            <color rgb="FF000000"/>
            <rFont val="Times New Roman"/>
            <family val="18"/>
          </rPr>
          <t xml:space="preserve">06/02/1797 </t>
        </r>
        <r>
          <rPr>
            <i/>
            <sz val="14"/>
            <color rgb="FF000000"/>
            <rFont val="Times New Roman"/>
            <family val="18"/>
          </rPr>
          <t>Von Dominio auf 10 Jahre zu Stain</t>
        </r>
        <r>
          <rPr>
            <sz val="14"/>
            <color rgb="FF000000"/>
            <rFont val="Times New Roman"/>
            <family val="18"/>
          </rPr>
          <t xml:space="preserve"> </t>
        </r>
        <r>
          <rPr>
            <b/>
            <sz val="14"/>
            <color rgb="FF000000"/>
            <rFont val="Times New Roman"/>
            <family val="18"/>
          </rPr>
          <t xml:space="preserve">Inf Nr. 50 </t>
        </r>
        <r>
          <rPr>
            <i/>
            <sz val="14"/>
            <color rgb="FF000000"/>
            <rFont val="Times New Roman"/>
            <family val="18"/>
          </rPr>
          <t>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11/09/1804 Muster: IR 50 Haupt Crus Komp. Nr. 113 [</t>
        </r>
        <r>
          <rPr>
            <i/>
            <sz val="14"/>
            <color rgb="FF000000"/>
            <rFont val="Times New Roman"/>
            <family val="18"/>
          </rPr>
          <t>Unbestimmt Beurlaubt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Stain Inf Nr. 50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10. Fus Komp. Nr. 157 [</t>
        </r>
        <r>
          <rPr>
            <i/>
            <sz val="14"/>
            <color rgb="FF000000"/>
            <rFont val="Times New Roman"/>
            <family val="18"/>
          </rPr>
          <t>Krank in loco Spital zu Czernowitz</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120" authorId="0" shapeId="0" xr:uid="{08A5CFD0-2793-D24F-9422-A16CD14A8D25}">
      <text>
        <r>
          <rPr>
            <sz val="14"/>
            <color rgb="FF000000"/>
            <rFont val="Times New Roman"/>
            <family val="18"/>
          </rPr>
          <t xml:space="preserve">ML 10.483 IR 50 (1804) – Haupt Crus Komp. Nr. 113 (Wels 11/09/1804) </t>
        </r>
        <r>
          <rPr>
            <sz val="14"/>
            <color rgb="FF000000"/>
            <rFont val="Calibri"/>
            <family val="34"/>
          </rPr>
          <t xml:space="preserve">
</t>
        </r>
        <r>
          <rPr>
            <sz val="14"/>
            <color rgb="FF000000"/>
            <rFont val="Times New Roman"/>
            <family val="18"/>
          </rPr>
          <t>ML 2633 IR 30 (1811) – Heft von 10. Komp. Nr. 157 (Czernowitz 21/09/1811)</t>
        </r>
        <r>
          <rPr>
            <sz val="14"/>
            <color rgb="FF000000"/>
            <rFont val="Calibri"/>
            <family val="34"/>
          </rPr>
          <t xml:space="preserve">
</t>
        </r>
        <r>
          <rPr>
            <sz val="14"/>
            <color rgb="FF000000"/>
            <rFont val="Times New Roman"/>
            <family val="18"/>
          </rPr>
          <t>ML 2635 IR 30 (1817) – Heft von 7. Fus. Komp. – Abgang (Lemberg 15/10/1817)</t>
        </r>
        <r>
          <rPr>
            <sz val="14"/>
            <color rgb="FF000000"/>
            <rFont val="Calibri"/>
            <family val="34"/>
          </rPr>
          <t xml:space="preserve">
</t>
        </r>
      </text>
    </comment>
    <comment ref="BH120" authorId="0" shapeId="0" xr:uid="{59502DA2-E083-2848-91D7-4F6CA5D056EB}">
      <text>
        <r>
          <rPr>
            <sz val="14"/>
            <color rgb="FF000000"/>
            <rFont val="Calibri"/>
            <family val="34"/>
          </rPr>
          <t xml:space="preserve">IR 50 (1797-1810)
</t>
        </r>
        <r>
          <rPr>
            <sz val="14"/>
            <color rgb="FF000000"/>
            <rFont val="Calibri"/>
            <family val="34"/>
          </rPr>
          <t>IR 30 (1810-1817)</t>
        </r>
      </text>
    </comment>
    <comment ref="BF121" authorId="0" shapeId="0" xr:uid="{FD25FEBC-C7E7-7F42-BE8E-4D1BB1F53029}">
      <text>
        <r>
          <rPr>
            <sz val="14"/>
            <color rgb="FF000000"/>
            <rFont val="Times New Roman"/>
            <family val="18"/>
          </rPr>
          <t xml:space="preserve">06/02/1797 </t>
        </r>
        <r>
          <rPr>
            <i/>
            <sz val="14"/>
            <color rgb="FF000000"/>
            <rFont val="Times New Roman"/>
            <family val="18"/>
          </rPr>
          <t>Von Ständen als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26/10/1802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Obrist Komp. Nr. 84 [</t>
        </r>
        <r>
          <rPr>
            <i/>
            <sz val="14"/>
            <color rgb="FF000000"/>
            <rFont val="Times New Roman"/>
            <family val="18"/>
          </rPr>
          <t>Baurlaubt in Gallizien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Obrist Komp. Nr. 76 [</t>
        </r>
        <r>
          <rPr>
            <i/>
            <sz val="14"/>
            <color rgb="FF000000"/>
            <rFont val="Times New Roman"/>
            <family val="18"/>
          </rPr>
          <t>Baurlaubt in Gallizien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121" authorId="0" shapeId="0" xr:uid="{9A825708-46FC-654E-8D08-FBE99B9B4B5D}">
      <text>
        <r>
          <rPr>
            <sz val="14"/>
            <color rgb="FF000000"/>
            <rFont val="Times New Roman"/>
            <family val="18"/>
          </rPr>
          <t>ML 5015 IR 59 (1803) – Obrist Komp. Nr. 84 (Enns 29/08/1803)</t>
        </r>
        <r>
          <rPr>
            <sz val="14"/>
            <color rgb="FF000000"/>
            <rFont val="Calibri"/>
            <family val="34"/>
          </rPr>
          <t xml:space="preserve">
</t>
        </r>
        <r>
          <rPr>
            <sz val="14"/>
            <color rgb="FF000000"/>
            <rFont val="Times New Roman"/>
            <family val="18"/>
          </rPr>
          <t>ML 5016 IR 59 (1804) – Obrist Komp. Nr. 76 (Innsbruck 03/09/1804)</t>
        </r>
        <r>
          <rPr>
            <sz val="14"/>
            <color rgb="FF000000"/>
            <rFont val="Calibri"/>
            <family val="34"/>
          </rPr>
          <t xml:space="preserve">
</t>
        </r>
        <r>
          <rPr>
            <sz val="14"/>
            <color rgb="FF000000"/>
            <rFont val="Times New Roman"/>
            <family val="18"/>
          </rPr>
          <t>ML 5017/8 IR 59 (1806) – 12. Fus. Komp. Abgang‚ Unwissend verlohren‘ Cons. Nr. 212 (Linz 10/07/1807)</t>
        </r>
        <r>
          <rPr>
            <sz val="14"/>
            <color rgb="FF000000"/>
            <rFont val="Calibri"/>
            <family val="34"/>
          </rPr>
          <t xml:space="preserve">
</t>
        </r>
      </text>
    </comment>
    <comment ref="BH121" authorId="0" shapeId="0" xr:uid="{D07D835C-4502-F24B-B244-64E15915F93A}">
      <text>
        <r>
          <rPr>
            <sz val="14"/>
            <color rgb="FF000000"/>
            <rFont val="Calibri"/>
            <family val="34"/>
          </rPr>
          <t>IR 59 (1797-1806)</t>
        </r>
      </text>
    </comment>
    <comment ref="BF122" authorId="0" shapeId="0" xr:uid="{5B63F0BA-20CB-404C-8D8F-E57F3A805416}">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122" authorId="0" shapeId="0" xr:uid="{7F5FBD55-49BE-F749-8DDF-05FE81640BF6}">
      <text>
        <r>
          <rPr>
            <sz val="14"/>
            <color rgb="FF000000"/>
            <rFont val="Times New Roman"/>
            <family val="18"/>
          </rPr>
          <t>ML 69/70 IR 1 (1797) – AL Nr. 9 (Radom 08/02/1797); TL IR 1-&gt;IR 56  Nr. 8 (Olmütz 20/08/1797)</t>
        </r>
      </text>
    </comment>
    <comment ref="BH122" authorId="0" shapeId="0" xr:uid="{3E65F861-2E53-8A4B-A350-CDEE3C3EA3CB}">
      <text>
        <r>
          <rPr>
            <sz val="14"/>
            <color rgb="FF000000"/>
            <rFont val="Calibri"/>
            <family val="34"/>
          </rPr>
          <t xml:space="preserve">IR 1 (1797)
</t>
        </r>
        <r>
          <rPr>
            <sz val="14"/>
            <color rgb="FF000000"/>
            <rFont val="Calibri"/>
            <family val="34"/>
          </rPr>
          <t>IR 56 (1797)</t>
        </r>
      </text>
    </comment>
    <comment ref="BF123" authorId="0" shapeId="0" xr:uid="{0E5D43BD-5A7F-7E4E-A8C2-2F1289D8FBD3}">
      <text>
        <r>
          <rPr>
            <sz val="14"/>
            <color rgb="FF000000"/>
            <rFont val="Times New Roman"/>
            <family val="18"/>
          </rPr>
          <t xml:space="preserve">08/02/1797 </t>
        </r>
        <r>
          <rPr>
            <i/>
            <sz val="14"/>
            <color rgb="FF000000"/>
            <rFont val="Times New Roman"/>
            <family val="18"/>
          </rPr>
          <t>A 3Fl Handgeld als landständische Rekrut gestellt und zum IR 3 Reserve Division ohne Capitulation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Major von Ribonet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123" authorId="0" shapeId="0" xr:uid="{27F73736-2358-5442-A0B7-6D2E56804266}">
      <text>
        <r>
          <rPr>
            <sz val="14"/>
            <color rgb="FF000000"/>
            <rFont val="Times New Roman"/>
            <family val="18"/>
          </rPr>
          <t>ML 69/70 IR 1 (1797) – AL Nr. 10 (Radom 08/02/1797); TL IR 1 3 Feld Bats-&gt; 4. Bat Nr. 124 (Freiburg in Breisgau 29/18/1798); ML 69/70 IR 1 (1797) AL/TL – TL IR 1-&gt;IR 56  Nr. 9 (Olmütz 20/08/1797)</t>
        </r>
      </text>
    </comment>
    <comment ref="BH123" authorId="0" shapeId="0" xr:uid="{5951BEA4-9A98-F640-AAD2-3A7302417E62}">
      <text>
        <r>
          <rPr>
            <sz val="14"/>
            <color rgb="FF000000"/>
            <rFont val="Calibri"/>
            <family val="34"/>
          </rPr>
          <t xml:space="preserve">IR 1 (1797)
</t>
        </r>
        <r>
          <rPr>
            <sz val="14"/>
            <color rgb="FF000000"/>
            <rFont val="Calibri"/>
            <family val="34"/>
          </rPr>
          <t>IR 56 (1797)</t>
        </r>
      </text>
    </comment>
    <comment ref="I124" authorId="0" shapeId="0" xr:uid="{B442D4DD-FC2B-4749-BEC3-C2F5887A4585}">
      <text>
        <r>
          <rPr>
            <sz val="14"/>
            <color rgb="FF000000"/>
            <rFont val="Calibri"/>
            <family val="34"/>
          </rPr>
          <t xml:space="preserve">1765 [38 (ML 1803)] 
</t>
        </r>
        <r>
          <rPr>
            <sz val="14"/>
            <color rgb="FF000000"/>
            <rFont val="Calibri"/>
            <family val="34"/>
          </rPr>
          <t xml:space="preserve">OR 
</t>
        </r>
        <r>
          <rPr>
            <sz val="14"/>
            <color rgb="FF000000"/>
            <rFont val="Calibri"/>
            <family val="34"/>
          </rPr>
          <t>1755 [50 (ML 1805)]</t>
        </r>
      </text>
    </comment>
    <comment ref="BF124" authorId="0" shapeId="0" xr:uid="{65E7C83F-475D-9E42-8E87-C5936B5E5D3F}">
      <text>
        <r>
          <rPr>
            <sz val="14"/>
            <color rgb="FF000000"/>
            <rFont val="Times New Roman"/>
            <family val="18"/>
          </rPr>
          <t xml:space="preserve">08/02/1797 </t>
        </r>
        <r>
          <rPr>
            <i/>
            <sz val="14"/>
            <color rgb="FF000000"/>
            <rFont val="Times New Roman"/>
            <family val="18"/>
          </rPr>
          <t>Zu Krakau 3Fl für beständig gestellt und zum IR 59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War 1802 bey Hauptmann Speidel Komp [ML 1803]</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Spiedel zu Settlinger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Settlinger Nr. 136 [</t>
        </r>
        <r>
          <rPr>
            <i/>
            <sz val="14"/>
            <color rgb="FF000000"/>
            <rFont val="Times New Roman"/>
            <family val="18"/>
          </rPr>
          <t xml:space="preserve">Beurlaubt in Gallizien in zu Chzanow </t>
        </r>
        <r>
          <rPr>
            <b/>
            <sz val="14"/>
            <color rgb="FF000000"/>
            <rFont val="Times New Roman"/>
            <family val="18"/>
          </rPr>
          <t>[</t>
        </r>
        <r>
          <rPr>
            <b/>
            <u/>
            <sz val="14"/>
            <color rgb="FF0563C1"/>
            <rFont val="Times New Roman"/>
            <family val="18"/>
          </rPr>
          <t>Chrzanów, Poland</t>
        </r>
        <r>
          <rPr>
            <b/>
            <sz val="14"/>
            <color rgb="FF000000"/>
            <rFont val="Times New Roman"/>
            <family val="18"/>
          </rPr>
          <t>]</t>
        </r>
        <r>
          <rPr>
            <sz val="14"/>
            <color rgb="FF000000"/>
            <rFont val="Times New Roman"/>
            <family val="18"/>
          </rPr>
          <t xml:space="preserve"> </t>
        </r>
        <r>
          <rPr>
            <i/>
            <sz val="14"/>
            <color rgb="FF000000"/>
            <rFont val="Times New Roman"/>
            <family val="18"/>
          </rPr>
          <t>Krakauer Kreis</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Settlinger [</t>
        </r>
        <r>
          <rPr>
            <i/>
            <sz val="14"/>
            <color rgb="FF000000"/>
            <rFont val="Times New Roman"/>
            <family val="18"/>
          </rPr>
          <t>Beurlaubt bis zur Einberufung in seinem</t>
        </r>
        <r>
          <rPr>
            <sz val="14"/>
            <color rgb="FF000000"/>
            <rFont val="Times New Roman"/>
            <family val="18"/>
          </rPr>
          <t>]</t>
        </r>
        <r>
          <rPr>
            <sz val="14"/>
            <color rgb="FF000000"/>
            <rFont val="Calibri"/>
            <family val="34"/>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k auch k.k. Feldkriegs und Garnisons Diensten untauglich und zu entlassen</t>
        </r>
        <r>
          <rPr>
            <sz val="14"/>
            <color rgb="FF000000"/>
            <rFont val="Calibri"/>
            <family val="34"/>
          </rPr>
          <t xml:space="preserve">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t>
        </r>
      </text>
    </comment>
    <comment ref="BG124" authorId="0" shapeId="0" xr:uid="{E4E94580-ACE4-1442-831F-9DE4861077EE}">
      <text>
        <r>
          <rPr>
            <sz val="14"/>
            <color rgb="FF000000"/>
            <rFont val="Times New Roman"/>
            <family val="18"/>
          </rPr>
          <t>ML 5015 IR 59 (1803) –Haupt Setlinger Comp. Nr. 136 (Enns 29/08/1803)</t>
        </r>
        <r>
          <rPr>
            <sz val="14"/>
            <color rgb="FF000000"/>
            <rFont val="Calibri"/>
            <family val="34"/>
          </rPr>
          <t xml:space="preserve">
</t>
        </r>
        <r>
          <rPr>
            <sz val="14"/>
            <color rgb="FF000000"/>
            <rFont val="Times New Roman"/>
            <family val="18"/>
          </rPr>
          <t>ML 5016 IR 59 (1804) –Haupt Setlinger Nr. 124 (Innsbruck 03/09/1804)</t>
        </r>
        <r>
          <rPr>
            <sz val="14"/>
            <color rgb="FF000000"/>
            <rFont val="Calibri"/>
            <family val="34"/>
          </rPr>
          <t xml:space="preserve">
</t>
        </r>
        <r>
          <rPr>
            <sz val="14"/>
            <color rgb="FF000000"/>
            <rFont val="Times New Roman"/>
            <family val="18"/>
          </rPr>
          <t>ML 5017/8 IR 59 (1806) –5. Fus Comp. Abgang (Linz 20/12/1806)</t>
        </r>
        <r>
          <rPr>
            <sz val="14"/>
            <color rgb="FF000000"/>
            <rFont val="Calibri"/>
            <family val="34"/>
          </rPr>
          <t xml:space="preserve">
</t>
        </r>
        <r>
          <rPr>
            <sz val="14"/>
            <color rgb="FF000000"/>
            <rFont val="Times New Roman"/>
            <family val="18"/>
          </rPr>
          <t>ML 5067 IR 59 (1805) AL/TL – SUP pro Junio Nr. 1 (Krakow 20/06/1805)</t>
        </r>
        <r>
          <rPr>
            <sz val="14"/>
            <color rgb="FF000000"/>
            <rFont val="Calibri"/>
            <family val="34"/>
          </rPr>
          <t xml:space="preserve">
</t>
        </r>
      </text>
    </comment>
    <comment ref="BH124" authorId="0" shapeId="0" xr:uid="{C371DA28-205E-0D41-BF05-401059A98D9D}">
      <text>
        <r>
          <rPr>
            <sz val="14"/>
            <color rgb="FF000000"/>
            <rFont val="Calibri"/>
            <family val="34"/>
          </rPr>
          <t>IR 59 (1797-1805)</t>
        </r>
      </text>
    </comment>
    <comment ref="BI124" authorId="0" shapeId="0" xr:uid="{6E969385-FC2A-8947-92FD-7A2B78F272BD}">
      <text>
        <r>
          <rPr>
            <sz val="14"/>
            <color rgb="FF000000"/>
            <rFont val="Calibri"/>
            <family val="34"/>
          </rPr>
          <t>Unwissend [SUP June 1805]</t>
        </r>
      </text>
    </comment>
    <comment ref="BJ124" authorId="0" shapeId="0" xr:uid="{23221D6A-FA5F-C341-B4A7-BB3230D3C5BD}">
      <text>
        <r>
          <rPr>
            <sz val="14"/>
            <color rgb="FF000000"/>
            <rFont val="Times New Roman"/>
            <family val="18"/>
          </rPr>
          <t xml:space="preserve">1805: </t>
        </r>
        <r>
          <rPr>
            <i/>
            <sz val="14"/>
            <color rgb="FF000000"/>
            <rFont val="Times New Roman"/>
            <family val="18"/>
          </rPr>
          <t>Mit unheilbare Geschworen und Buifmass auf dessen Oberschenkel und Blutflüssen</t>
        </r>
        <r>
          <rPr>
            <sz val="14"/>
            <color rgb="FF000000"/>
            <rFont val="Times New Roman"/>
            <family val="18"/>
          </rPr>
          <t xml:space="preserve">
</t>
        </r>
      </text>
    </comment>
    <comment ref="BF125" authorId="0" shapeId="0" xr:uid="{52F04342-6842-BF48-88C1-EAE3BB28CA94}">
      <text>
        <r>
          <rPr>
            <sz val="14"/>
            <color rgb="FF000000"/>
            <rFont val="Times New Roman"/>
            <family val="18"/>
          </rPr>
          <t xml:space="preserve">08/02/1797 </t>
        </r>
        <r>
          <rPr>
            <i/>
            <sz val="14"/>
            <color rgb="FF000000"/>
            <rFont val="Times New Roman"/>
            <family val="18"/>
          </rPr>
          <t>A 3Fl Handgeld als landständische Rekrut ohne Capitulation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Raimonval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CaptLt Raimonval Komp. zum IR 26 transferiert </t>
        </r>
        <r>
          <rPr>
            <sz val="14"/>
            <color rgb="FF000000"/>
            <rFont val="Times New Roman"/>
            <family val="18"/>
          </rPr>
          <t>[TL Oct 1797]</t>
        </r>
      </text>
    </comment>
    <comment ref="BG125" authorId="0" shapeId="0" xr:uid="{27EF0EF5-77C4-344E-933A-47075B06C28A}">
      <text>
        <r>
          <rPr>
            <sz val="14"/>
            <color rgb="FF000000"/>
            <rFont val="Times New Roman"/>
            <family val="18"/>
          </rPr>
          <t xml:space="preserve">ML 69/70 IR 1 (1797) – AL Nr. 3 (Radom 08/02/1797); TL IR 1 3 Feld Bats-&gt; 4. Bat Nr. 391 (Freiburg in Breisgau 29/18/1798); ML 69/70 (1799) AL/TL – TL IR 1 -&gt; IR 26 Nr. 36 </t>
        </r>
        <r>
          <rPr>
            <sz val="14"/>
            <color rgb="FF000000"/>
            <rFont val="Times New Roman"/>
            <family val="18"/>
          </rPr>
          <t>(Olmütz 20/10/1797)</t>
        </r>
      </text>
    </comment>
    <comment ref="BH125" authorId="0" shapeId="0" xr:uid="{7B4A7555-6672-D243-AA5E-B81A6536C0B9}">
      <text>
        <r>
          <rPr>
            <sz val="14"/>
            <color rgb="FF000000"/>
            <rFont val="Calibri"/>
            <family val="34"/>
          </rPr>
          <t xml:space="preserve">IR 1 (1797)
</t>
        </r>
        <r>
          <rPr>
            <sz val="14"/>
            <color rgb="FF000000"/>
            <rFont val="Calibri"/>
            <family val="34"/>
          </rPr>
          <t>IR 26 (1797)</t>
        </r>
      </text>
    </comment>
    <comment ref="BF126" authorId="0" shapeId="0" xr:uid="{9F0BAABD-B1FD-9D4B-A6CE-A2EE48C43921}">
      <text>
        <r>
          <rPr>
            <sz val="14"/>
            <color rgb="FF000000"/>
            <rFont val="Times New Roman"/>
            <family val="18"/>
          </rPr>
          <t xml:space="preserve">08/02/1797 </t>
        </r>
        <r>
          <rPr>
            <i/>
            <sz val="14"/>
            <color rgb="FF000000"/>
            <rFont val="Times New Roman"/>
            <family val="18"/>
          </rPr>
          <t>A 3Fl Handgeld als landständische Rekrut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Köberlein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Köberlin Komp. zum IR 56 Feld Bats transferiert</t>
        </r>
        <r>
          <rPr>
            <sz val="14"/>
            <color rgb="FF000000"/>
            <rFont val="Times New Roman"/>
            <family val="18"/>
          </rPr>
          <t xml:space="preserve"> [TL Aug 1797]</t>
        </r>
      </text>
    </comment>
    <comment ref="BG126" authorId="0" shapeId="0" xr:uid="{CB3E93EF-2114-DC47-9EF1-6ED724C6E690}">
      <text>
        <r>
          <rPr>
            <sz val="14"/>
            <color rgb="FF000000"/>
            <rFont val="Times New Roman"/>
            <family val="18"/>
          </rPr>
          <t>ML 69/70 IR 1 (1797) – AL Nr. 1 (Radom 08/02/1797); AL/TL – TL IR 1 3 Feld Bats-&gt; 4. Bat Nr. 679 (Freiburg in Breisgau 29/18/1798); ML 69/70 IR 1 (1797) AL/TL – TL IR 1-&gt;IR 56 Nr. 59 (Olmütz 20/08/1797)</t>
        </r>
      </text>
    </comment>
    <comment ref="BH126" authorId="0" shapeId="0" xr:uid="{452C7D10-4998-B740-A363-6A38FC8A7384}">
      <text>
        <r>
          <rPr>
            <sz val="14"/>
            <color rgb="FF000000"/>
            <rFont val="Calibri"/>
            <family val="34"/>
          </rPr>
          <t xml:space="preserve">IR 1 (1797)
</t>
        </r>
        <r>
          <rPr>
            <sz val="14"/>
            <color rgb="FF000000"/>
            <rFont val="Calibri"/>
            <family val="34"/>
          </rPr>
          <t>IR 56 (1797)</t>
        </r>
      </text>
    </comment>
    <comment ref="I127" authorId="0" shapeId="0" xr:uid="{B4471794-B130-DC49-B1D5-FCAACDDA38DE}">
      <text>
        <r>
          <rPr>
            <sz val="14"/>
            <color rgb="FF000000"/>
            <rFont val="Calibri"/>
            <family val="34"/>
          </rPr>
          <t xml:space="preserve">1772 [31 (ML 1803)] 
</t>
        </r>
        <r>
          <rPr>
            <sz val="14"/>
            <color rgb="FF000000"/>
            <rFont val="Calibri"/>
            <family val="34"/>
          </rPr>
          <t xml:space="preserve">OR 
</t>
        </r>
        <r>
          <rPr>
            <sz val="14"/>
            <color rgb="FF000000"/>
            <rFont val="Calibri"/>
            <family val="34"/>
          </rPr>
          <t>1755 [50 (ML 1805)]</t>
        </r>
      </text>
    </comment>
    <comment ref="BF127" authorId="0" shapeId="0" xr:uid="{615504CA-07CB-684C-BEDF-DDD9A9AEB6E2}">
      <text>
        <r>
          <rPr>
            <sz val="14"/>
            <color rgb="FF000000"/>
            <rFont val="Times New Roman"/>
            <family val="18"/>
          </rPr>
          <t xml:space="preserve">08/02/1797 </t>
        </r>
        <r>
          <rPr>
            <i/>
            <sz val="14"/>
            <color rgb="FF000000"/>
            <rFont val="Times New Roman"/>
            <family val="18"/>
          </rPr>
          <t xml:space="preserve">A 3Fl für Beständig gestellt und zu Krakau assentiert </t>
        </r>
        <r>
          <rPr>
            <sz val="14"/>
            <color rgb="FF000000"/>
            <rFont val="Times New Roman"/>
            <family val="18"/>
          </rPr>
          <t>[ML 1804]</t>
        </r>
        <r>
          <rPr>
            <sz val="14"/>
            <color rgb="FF000000"/>
            <rFont val="Calibri"/>
            <family val="34"/>
          </rPr>
          <t xml:space="preserve">
</t>
        </r>
        <r>
          <rPr>
            <sz val="14"/>
            <color rgb="FF000000"/>
            <rFont val="Times New Roman"/>
            <family val="18"/>
          </rPr>
          <t>20/09/1802 [war 1802 bey Hauptmann Speidel Coy]</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Spiedel zu Setlinger Comp.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t>
        </r>
        <r>
          <rPr>
            <i/>
            <sz val="14"/>
            <color rgb="FF000000"/>
            <rFont val="Times New Roman"/>
            <family val="18"/>
          </rPr>
          <t>Beurlabt in Gallizien zu Krakau bis zur Einberufung</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Setlinger [</t>
        </r>
        <r>
          <rPr>
            <i/>
            <sz val="14"/>
            <color rgb="FF000000"/>
            <rFont val="Times New Roman"/>
            <family val="18"/>
          </rPr>
          <t>Beurlaubt in seinem Geburtsort bis Einberufung</t>
        </r>
        <r>
          <rPr>
            <sz val="14"/>
            <color rgb="FF000000"/>
            <rFont val="Times New Roman"/>
            <family val="18"/>
          </rPr>
          <t>]</t>
        </r>
        <r>
          <rPr>
            <sz val="14"/>
            <color rgb="FF000000"/>
            <rFont val="Calibri"/>
            <family val="34"/>
          </rPr>
          <t xml:space="preserve">
</t>
        </r>
        <r>
          <rPr>
            <sz val="14"/>
            <color rgb="FF000000"/>
            <rFont val="Times New Roman"/>
            <family val="18"/>
          </rPr>
          <t xml:space="preserve">26/06/1805 </t>
        </r>
        <r>
          <rPr>
            <sz val="14"/>
            <color rgb="FF000000"/>
            <rFont val="Times New Roman"/>
            <family val="18"/>
          </rPr>
          <t xml:space="preserve">Als von unbestimmtem Urlaub eingerückte in Krakow Superarbitriert: </t>
        </r>
        <r>
          <rPr>
            <i/>
            <sz val="14"/>
            <color rgb="FF000000"/>
            <rFont val="Times New Roman"/>
            <family val="18"/>
          </rPr>
          <t>Nach Stabs Ärztlichen Beschluss zu k auch k.k. Feldkriegs und Garnisons Diensten untauglich und zu entlassen</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t>
        </r>
      </text>
    </comment>
    <comment ref="BG127" authorId="0" shapeId="0" xr:uid="{55E82F10-3C6C-4B40-9F18-84C35CAE7AE1}">
      <text>
        <r>
          <rPr>
            <sz val="14"/>
            <color rgb="FF000000"/>
            <rFont val="Times New Roman"/>
            <family val="18"/>
          </rPr>
          <t>ML 5015 IR 59 ‘Jordis’ (1803) –Haupt Setlinger Comp. Nr. 137 &amp; Zuwachs (Enns 29/08/1803)</t>
        </r>
        <r>
          <rPr>
            <sz val="14"/>
            <color rgb="FF000000"/>
            <rFont val="Calibri"/>
            <family val="34"/>
          </rPr>
          <t xml:space="preserve">
</t>
        </r>
        <r>
          <rPr>
            <sz val="14"/>
            <color rgb="FF000000"/>
            <rFont val="Times New Roman"/>
            <family val="18"/>
          </rPr>
          <t>ML 5016 IR 59 ‚Jordis‘ (1804) –Haupt Setlinger Nr. 125 (Innsbruck 03/09/1804)</t>
        </r>
        <r>
          <rPr>
            <sz val="14"/>
            <color rgb="FF000000"/>
            <rFont val="Calibri"/>
            <family val="34"/>
          </rPr>
          <t xml:space="preserve">
</t>
        </r>
        <r>
          <rPr>
            <sz val="14"/>
            <color rgb="FF000000"/>
            <rFont val="Times New Roman"/>
            <family val="18"/>
          </rPr>
          <t>ML 5017/8 IR 59 ‚Jordis‘ (1806) –5. Fus Comp. Abgang (Linz 20/12/1806)</t>
        </r>
        <r>
          <rPr>
            <sz val="14"/>
            <color rgb="FF000000"/>
            <rFont val="Calibri"/>
            <family val="34"/>
          </rPr>
          <t xml:space="preserve">
</t>
        </r>
        <r>
          <rPr>
            <sz val="14"/>
            <color rgb="FF000000"/>
            <rFont val="Times New Roman"/>
            <family val="18"/>
          </rPr>
          <t>ML 5067 IR 59 (1805) – AL/TL SUP pro Junio Nr. 1 (Kraków 20/06/1805)</t>
        </r>
        <r>
          <rPr>
            <sz val="14"/>
            <color rgb="FF000000"/>
            <rFont val="Calibri"/>
            <family val="34"/>
          </rPr>
          <t xml:space="preserve">
</t>
        </r>
      </text>
    </comment>
    <comment ref="BH127" authorId="0" shapeId="0" xr:uid="{6CAE83BA-CE87-2D47-B1E6-D76CCE3E0803}">
      <text>
        <r>
          <rPr>
            <sz val="14"/>
            <color rgb="FF000000"/>
            <rFont val="Calibri"/>
            <family val="34"/>
          </rPr>
          <t>IR 43 (1797-1805)</t>
        </r>
      </text>
    </comment>
    <comment ref="BI127" authorId="0" shapeId="0" xr:uid="{DE707120-1E0C-C54B-A994-DA6EC9B91AB7}">
      <text>
        <r>
          <rPr>
            <sz val="14"/>
            <color rgb="FF000000"/>
            <rFont val="Calibri"/>
            <family val="34"/>
          </rPr>
          <t>Unwissend [SUP June 1805]</t>
        </r>
      </text>
    </comment>
    <comment ref="BJ127" authorId="0" shapeId="0" xr:uid="{CBB21AC2-F6F4-094D-B97F-3FE2C7FE5A5C}">
      <text>
        <r>
          <rPr>
            <sz val="14"/>
            <color rgb="FF000000"/>
            <rFont val="Times New Roman"/>
            <family val="18"/>
          </rPr>
          <t>Alt und Unkraftig mit bösartigen Anschlag am Körper und Taub (SUP June 1805)</t>
        </r>
      </text>
    </comment>
    <comment ref="BF128" authorId="0" shapeId="0" xr:uid="{1BD2D5BB-2903-364A-A701-C9ADFB9F6F1C}">
      <text>
        <r>
          <rPr>
            <sz val="14"/>
            <color rgb="FF000000"/>
            <rFont val="Times New Roman"/>
            <family val="18"/>
          </rPr>
          <t xml:space="preserve">08/02/1797 </t>
        </r>
        <r>
          <rPr>
            <i/>
            <sz val="14"/>
            <color rgb="FF000000"/>
            <rFont val="Times New Roman"/>
            <family val="18"/>
          </rPr>
          <t>A 3Fl Handgeld als landständische Rekrut auf Dauer des Krieges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128" authorId="0" shapeId="0" xr:uid="{3AE43591-4793-6E4C-9AE0-5CDAF74C11AE}">
      <text>
        <r>
          <rPr>
            <sz val="14"/>
            <color rgb="FF000000"/>
            <rFont val="Times New Roman"/>
            <family val="18"/>
          </rPr>
          <t>ML 69/70 IR 1 (1797) – AL Nr. 8 (Radom 08/02/1797); TL IR 1-&gt;IR 56  Nr. 7 (Olmütz 20/08/1797)</t>
        </r>
        <r>
          <rPr>
            <sz val="14"/>
            <color rgb="FF000000"/>
            <rFont val="Calibri"/>
            <family val="2"/>
            <scheme val="minor"/>
          </rPr>
          <t xml:space="preserve"> </t>
        </r>
      </text>
    </comment>
    <comment ref="BH128" authorId="0" shapeId="0" xr:uid="{34EDACBD-CE02-A043-AC44-289B05DF49D5}">
      <text>
        <r>
          <rPr>
            <sz val="14"/>
            <color rgb="FF000000"/>
            <rFont val="Calibri"/>
            <family val="34"/>
          </rPr>
          <t xml:space="preserve">IR 1 (1797)
</t>
        </r>
        <r>
          <rPr>
            <sz val="14"/>
            <color rgb="FF000000"/>
            <rFont val="Calibri"/>
            <family val="34"/>
          </rPr>
          <t>IR 56 (1797)</t>
        </r>
      </text>
    </comment>
    <comment ref="BF129" authorId="0" shapeId="0" xr:uid="{130FE702-79EA-C74E-A75F-FD01599DE57B}">
      <text>
        <r>
          <rPr>
            <sz val="14"/>
            <color rgb="FF000000"/>
            <rFont val="Times New Roman"/>
            <family val="18"/>
          </rPr>
          <t xml:space="preserve">10/02/1797 </t>
        </r>
        <r>
          <rPr>
            <i/>
            <sz val="14"/>
            <color rgb="FF000000"/>
            <rFont val="Times New Roman"/>
            <family val="18"/>
          </rPr>
          <t>A 3Fl Handgeld als landständische Rekrut auf Dauer des Kriegs gestellt und zum IR 3 Reserve Division ohne Capitulation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 Major von Ribonet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129" authorId="0" shapeId="0" xr:uid="{77C8F285-F749-5845-8BA5-5637379FE0C3}">
      <text>
        <r>
          <rPr>
            <sz val="14"/>
            <color rgb="FF000000"/>
            <rFont val="Times New Roman"/>
            <family val="18"/>
          </rPr>
          <t>ML 69/70 IR 1 (1797) – AL Nr. 11 (Radom 08/02/1797); TL IR 1 3 Feld Bats-&gt; 4. Bat Nr. 124 (Freiburg in Breisgau 29/18/1798); ML 69/70 IR 1 (1797) AL/TL – TL IR 1-&gt;IR 56  Nr. 10 (Olmütz 20/08/1797)</t>
        </r>
      </text>
    </comment>
    <comment ref="BH129" authorId="0" shapeId="0" xr:uid="{DD64C801-1A2C-774C-934F-AE8123255C11}">
      <text>
        <r>
          <rPr>
            <sz val="14"/>
            <color rgb="FF000000"/>
            <rFont val="Calibri"/>
            <family val="34"/>
          </rPr>
          <t xml:space="preserve">IR 1 (1797)
</t>
        </r>
        <r>
          <rPr>
            <sz val="14"/>
            <color rgb="FF000000"/>
            <rFont val="Calibri"/>
            <family val="34"/>
          </rPr>
          <t>IR 56 (1797)</t>
        </r>
      </text>
    </comment>
    <comment ref="BF130" authorId="0" shapeId="0" xr:uid="{D6753B3E-136F-2C4E-955A-AF15B94CB80F}">
      <text>
        <r>
          <rPr>
            <sz val="14"/>
            <color rgb="FF000000"/>
            <rFont val="Times New Roman"/>
            <family val="18"/>
          </rPr>
          <t xml:space="preserve">10/02/1797 </t>
        </r>
        <r>
          <rPr>
            <i/>
            <sz val="14"/>
            <color rgb="FF000000"/>
            <rFont val="Times New Roman"/>
            <family val="18"/>
          </rPr>
          <t>A 3Fl Handgeld als landständische Rekrut auf Dauer des Krieges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Major Ribolet Komp. zum IR 56 Feld Bats transferiert</t>
        </r>
        <r>
          <rPr>
            <sz val="14"/>
            <color rgb="FF000000"/>
            <rFont val="Times New Roman"/>
            <family val="18"/>
          </rPr>
          <t xml:space="preserve"> [TL Aug 1797]</t>
        </r>
      </text>
    </comment>
    <comment ref="BG130" authorId="0" shapeId="0" xr:uid="{7C7D12FC-4677-0145-AD80-65ECC39BA573}">
      <text>
        <r>
          <rPr>
            <sz val="14"/>
            <color rgb="FF000000"/>
            <rFont val="Times New Roman"/>
            <family val="18"/>
          </rPr>
          <t>ML 69/70 IR 1 (1797) – AL Nr. 13 (Radom 08/02/1797); ML 69/70 IR 1 (1797) AL/TL – TL IR 1-&gt;IR 56  Nr. 11 (Olmütz 20/08/1797)</t>
        </r>
      </text>
    </comment>
    <comment ref="BH130" authorId="0" shapeId="0" xr:uid="{410C0903-5A74-9C42-9568-D40A64D1CCB2}">
      <text>
        <r>
          <rPr>
            <sz val="14"/>
            <color rgb="FF000000"/>
            <rFont val="Calibri"/>
            <family val="34"/>
          </rPr>
          <t xml:space="preserve">IR 1 (1797)
</t>
        </r>
        <r>
          <rPr>
            <sz val="14"/>
            <color rgb="FF000000"/>
            <rFont val="Calibri"/>
            <family val="34"/>
          </rPr>
          <t>IR 56 (1797)</t>
        </r>
      </text>
    </comment>
    <comment ref="O131" authorId="0" shapeId="0" xr:uid="{9BB9BD34-1A3F-4A4D-B3EA-5D6A02D322BF}">
      <text>
        <r>
          <rPr>
            <sz val="14"/>
            <color rgb="FF000000"/>
            <rFont val="Times New Roman"/>
            <family val="18"/>
          </rPr>
          <t>Moises (1790)</t>
        </r>
      </text>
    </comment>
    <comment ref="P131" authorId="0" shapeId="0" xr:uid="{D7DF239C-6930-804B-A77E-45EA132D4147}">
      <text>
        <r>
          <rPr>
            <sz val="14"/>
            <color rgb="FF000000"/>
            <rFont val="Times New Roman"/>
            <family val="18"/>
          </rPr>
          <t>Ades (1788)</t>
        </r>
      </text>
    </comment>
    <comment ref="BF131" authorId="0" shapeId="0" xr:uid="{07862C31-712E-0147-9C3E-57A258D32040}">
      <text>
        <r>
          <rPr>
            <sz val="14"/>
            <color rgb="FFFF0000"/>
            <rFont val="Times New Roman"/>
            <family val="18"/>
          </rPr>
          <t xml:space="preserve">12/01/1797 </t>
        </r>
        <r>
          <rPr>
            <i/>
            <sz val="14"/>
            <color rgb="FFFF0000"/>
            <rFont val="Times New Roman"/>
            <family val="18"/>
          </rPr>
          <t>A 10 Fl Werbgeld auf die Dauer des Krieges zu Bordy zum Vorigen Grün Laudonischen Freikorps assentiert</t>
        </r>
        <r>
          <rPr>
            <sz val="14"/>
            <color rgb="FF000000"/>
            <rFont val="Times New Roman"/>
            <family val="18"/>
          </rPr>
          <t xml:space="preserve">
</t>
        </r>
        <r>
          <rPr>
            <sz val="14"/>
            <color rgb="FF000000"/>
            <rFont val="Times New Roman"/>
            <family val="18"/>
          </rPr>
          <t xml:space="preserve">12/02/1797 </t>
        </r>
        <r>
          <rPr>
            <i/>
            <sz val="14"/>
            <color rgb="FF000000"/>
            <rFont val="Times New Roman"/>
            <family val="18"/>
          </rPr>
          <t>Zu Brody auf 10Fl Werbgeld assentiert</t>
        </r>
        <r>
          <rPr>
            <sz val="14"/>
            <color rgb="FF000000"/>
            <rFont val="Times New Roman"/>
            <family val="18"/>
          </rPr>
          <t xml:space="preserve"> [RL 1796]
</t>
        </r>
        <r>
          <rPr>
            <sz val="14"/>
            <color rgb="FF000000"/>
            <rFont val="Times New Roman"/>
            <family val="18"/>
          </rPr>
          <t>19/06/1797 Revision FK Grün Laudon Kirchberg Nr. 161 [</t>
        </r>
        <r>
          <rPr>
            <i/>
            <sz val="14"/>
            <color rgb="FF000000"/>
            <rFont val="Times New Roman"/>
            <family val="18"/>
          </rPr>
          <t>Auf den Anhero Marsch</t>
        </r>
        <r>
          <rPr>
            <sz val="14"/>
            <color rgb="FF000000"/>
            <rFont val="Times New Roman"/>
            <family val="18"/>
          </rPr>
          <t xml:space="preserve">]
</t>
        </r>
        <r>
          <rPr>
            <sz val="14"/>
            <color rgb="FF000000"/>
            <rFont val="Times New Roman"/>
            <family val="18"/>
          </rPr>
          <t xml:space="preserve">20/10/1797 </t>
        </r>
        <r>
          <rPr>
            <i/>
            <sz val="14"/>
            <color rgb="FF000000"/>
            <rFont val="Times New Roman"/>
            <family val="18"/>
          </rPr>
          <t>In Companie eingerückt</t>
        </r>
        <r>
          <rPr>
            <sz val="14"/>
            <color rgb="FF000000"/>
            <rFont val="Times New Roman"/>
            <family val="18"/>
          </rPr>
          <t xml:space="preserve"> [ST Okt 1797]
</t>
        </r>
        <r>
          <rPr>
            <sz val="14"/>
            <color rgb="FF000000"/>
            <rFont val="Times New Roman"/>
            <family val="18"/>
          </rPr>
          <t xml:space="preserve">07/03/1798 Revision: FK Grün Laudon Kirchberg Komp. Nr. 140
</t>
        </r>
        <r>
          <rPr>
            <sz val="14"/>
            <color rgb="FF000000"/>
            <rFont val="Times New Roman"/>
            <family val="18"/>
          </rPr>
          <t xml:space="preserve">01/07/1798 </t>
        </r>
        <r>
          <rPr>
            <i/>
            <sz val="14"/>
            <color rgb="FF000000"/>
            <rFont val="Times New Roman"/>
            <family val="18"/>
          </rPr>
          <t>Von FK Grün Loudon zum LB 4 transferiert und zur Haupt. Kirchberg Komp. eingeteilt</t>
        </r>
        <r>
          <rPr>
            <sz val="14"/>
            <color rgb="FF000000"/>
            <rFont val="Times New Roman"/>
            <family val="18"/>
          </rPr>
          <t xml:space="preserve"> [RL 1798]
</t>
        </r>
        <r>
          <rPr>
            <sz val="14"/>
            <color rgb="FF000000"/>
            <rFont val="Times New Roman"/>
            <family val="18"/>
          </rPr>
          <t xml:space="preserve">01/07/1798 Revision: LB 4 Haupt Kirchberg Komp. Nr. 122
</t>
        </r>
        <r>
          <rPr>
            <sz val="14"/>
            <color rgb="FF000000"/>
            <rFont val="Times New Roman"/>
            <family val="18"/>
          </rPr>
          <t>22/01/1799 Revision: LB 4 Haupt Kirchberg Komp. Nr. 119 [</t>
        </r>
        <r>
          <rPr>
            <i/>
            <sz val="14"/>
            <color rgb="FF000000"/>
            <rFont val="Times New Roman"/>
            <family val="18"/>
          </rPr>
          <t>Als Koch in der Caserne zurück</t>
        </r>
        <r>
          <rPr>
            <sz val="14"/>
            <color rgb="FF000000"/>
            <rFont val="Times New Roman"/>
            <family val="18"/>
          </rPr>
          <t xml:space="preserve">]
</t>
        </r>
        <r>
          <rPr>
            <sz val="14"/>
            <color rgb="FF000000"/>
            <rFont val="Times New Roman"/>
            <family val="18"/>
          </rPr>
          <t xml:space="preserve">21/10/1799 </t>
        </r>
        <r>
          <rPr>
            <i/>
            <sz val="14"/>
            <color rgb="FF000000"/>
            <rFont val="Times New Roman"/>
            <family val="18"/>
          </rPr>
          <t>Von Haupt Kirchberg Komp. zu den Artillerie Handlanger transferiert</t>
        </r>
        <r>
          <rPr>
            <sz val="14"/>
            <color rgb="FF000000"/>
            <rFont val="Times New Roman"/>
            <family val="18"/>
          </rPr>
          <t xml:space="preserve"> [RL 1800]
</t>
        </r>
        <r>
          <rPr>
            <sz val="14"/>
            <color rgb="FF000000"/>
            <rFont val="Times New Roman"/>
            <family val="18"/>
          </rPr>
          <t xml:space="preserve">04/03/1800 Revision: LB 4 Artillerie Handlanger Nr. 15
</t>
        </r>
        <r>
          <rPr>
            <sz val="14"/>
            <color rgb="FF000000"/>
            <rFont val="Times New Roman"/>
            <family val="18"/>
          </rPr>
          <t xml:space="preserve">01/08/1800 </t>
        </r>
        <r>
          <rPr>
            <i/>
            <sz val="14"/>
            <color rgb="FF000000"/>
            <rFont val="Times New Roman"/>
            <family val="18"/>
          </rPr>
          <t xml:space="preserve">Von Artillerie Handlanger zur Haupt Kirchberg Komp. transferiert </t>
        </r>
        <r>
          <rPr>
            <sz val="14"/>
            <color rgb="FF000000"/>
            <rFont val="Times New Roman"/>
            <family val="18"/>
          </rPr>
          <t xml:space="preserve">[RL 1801]
</t>
        </r>
        <r>
          <rPr>
            <sz val="14"/>
            <color rgb="FF000000"/>
            <rFont val="Times New Roman"/>
            <family val="18"/>
          </rPr>
          <t>28/08/1801 Reduction: LB 4 Haupt Kleinschmied Nr. 45 [</t>
        </r>
        <r>
          <rPr>
            <i/>
            <sz val="14"/>
            <color rgb="FF000000"/>
            <rFont val="Times New Roman"/>
            <family val="18"/>
          </rPr>
          <t>Zu Reisky Infanterie Regiment</t>
        </r>
        <r>
          <rPr>
            <sz val="14"/>
            <color rgb="FF000000"/>
            <rFont val="Times New Roman"/>
            <family val="18"/>
          </rPr>
          <t xml:space="preserve"> </t>
        </r>
        <r>
          <rPr>
            <b/>
            <sz val="14"/>
            <color rgb="FF000000"/>
            <rFont val="Times New Roman"/>
            <family val="18"/>
          </rPr>
          <t xml:space="preserve">IR 13 </t>
        </r>
        <r>
          <rPr>
            <i/>
            <sz val="14"/>
            <color rgb="FF000000"/>
            <rFont val="Times New Roman"/>
            <family val="18"/>
          </rPr>
          <t>transferiert</t>
        </r>
        <r>
          <rPr>
            <sz val="14"/>
            <color rgb="FF000000"/>
            <rFont val="Times New Roman"/>
            <family val="18"/>
          </rPr>
          <t xml:space="preserve">]
</t>
        </r>
        <r>
          <rPr>
            <sz val="14"/>
            <color rgb="FF000000"/>
            <rFont val="Times New Roman"/>
            <family val="18"/>
          </rPr>
          <t xml:space="preserve">01/09/1802 </t>
        </r>
        <r>
          <rPr>
            <i/>
            <sz val="14"/>
            <color rgb="FF000000"/>
            <rFont val="Times New Roman"/>
            <family val="18"/>
          </rPr>
          <t>Von dissolvierte LB 4 zum IR 13 transferiert und zur Haupt Ghiss Komp. eingeteilt</t>
        </r>
        <r>
          <rPr>
            <sz val="14"/>
            <color rgb="FF000000"/>
            <rFont val="Times New Roman"/>
            <family val="18"/>
          </rPr>
          <t xml:space="preserve"> [ML 1802]
</t>
        </r>
        <r>
          <rPr>
            <sz val="14"/>
            <color rgb="FF000000"/>
            <rFont val="Times New Roman"/>
            <family val="18"/>
          </rPr>
          <t>19/08/1802 Musterung: IR 13 Haupt Ghiss Nr. 98 [</t>
        </r>
        <r>
          <rPr>
            <i/>
            <sz val="14"/>
            <color rgb="FF000000"/>
            <rFont val="Times New Roman"/>
            <family val="18"/>
          </rPr>
          <t>Krank in Rovigo</t>
        </r>
        <r>
          <rPr>
            <sz val="14"/>
            <color rgb="FF000000"/>
            <rFont val="Times New Roman"/>
            <family val="18"/>
          </rPr>
          <t xml:space="preserve">]
</t>
        </r>
        <r>
          <rPr>
            <sz val="14"/>
            <color rgb="FF000000"/>
            <rFont val="Times New Roman"/>
            <family val="18"/>
          </rPr>
          <t xml:space="preserve">15/10/1802 </t>
        </r>
        <r>
          <rPr>
            <i/>
            <sz val="14"/>
            <color rgb="FF000000"/>
            <rFont val="Times New Roman"/>
            <family val="18"/>
          </rPr>
          <t>Zu Wien gestorben</t>
        </r>
        <r>
          <rPr>
            <sz val="14"/>
            <color rgb="FF000000"/>
            <rFont val="Times New Roman"/>
            <family val="18"/>
          </rPr>
          <t xml:space="preserve"> [ML 1803]</t>
        </r>
      </text>
    </comment>
    <comment ref="BG131" authorId="0" shapeId="0" xr:uid="{287AF20B-0128-8343-99BD-D33CF6DB7CC4}">
      <text>
        <r>
          <rPr>
            <sz val="14"/>
            <color rgb="FF000000"/>
            <rFont val="Times New Roman"/>
            <family val="18"/>
          </rPr>
          <t xml:space="preserve">ML 10.763 FK Grün Laudon (1797-98) – RLHaupt Kirchberg Nr. 161 (Maria Saal 19/06/1797); RL Haupt Kirchberg Nr. 140 (Rovigo 07/03/1798)
</t>
        </r>
        <r>
          <rPr>
            <sz val="14"/>
            <color rgb="FF000000"/>
            <rFont val="Times New Roman"/>
            <family val="18"/>
          </rPr>
          <t xml:space="preserve">ML 10.771 FK Grün Laudon (1796-97) – ST 1797 Okt (Rovigo 06/06/1798)
</t>
        </r>
        <r>
          <rPr>
            <sz val="14"/>
            <color rgb="FF000000"/>
            <rFont val="Times New Roman"/>
            <family val="18"/>
          </rPr>
          <t xml:space="preserve">ML 10.630 LB 4 (1798-1801) – RL Haupt Kirchberg Komp. Nr. 122 (Rovigo 30/06/1798); RL 1799 Haupt Kirchberg Komp. Nr. 119 (Rovigo 22/01/1799); RL Artillerie Handlanger Nr. 15 (Pisa 04/03/1800); RL Haupt Kleinschmied Nr. 45 (Furriaco 28/08/1801)
</t>
        </r>
        <r>
          <rPr>
            <sz val="14"/>
            <color rgb="FF000000"/>
            <rFont val="Times New Roman"/>
            <family val="18"/>
          </rPr>
          <t xml:space="preserve">ML 10.632 LB 4 (1801) – TL LB 4-&gt;IR 13 Nr. 148 (Görz 30/09/1801)
</t>
        </r>
        <r>
          <rPr>
            <sz val="14"/>
            <color rgb="FF000000"/>
            <rFont val="Times New Roman"/>
            <family val="18"/>
          </rPr>
          <t xml:space="preserve">ML 10.045/6 IR 13 (1802): ML Haupt Ghiss Komp. Nr. 98 (Capo D’Istria 18/09/1802)
</t>
        </r>
        <r>
          <rPr>
            <sz val="14"/>
            <color rgb="FF000000"/>
            <rFont val="Times New Roman"/>
            <family val="18"/>
          </rPr>
          <t xml:space="preserve">ML 10.047/8 IR 13 (1803): ML Haupt Ghiss Komp. Nr. 84 (Capo D’Istria 24/09/1803)
</t>
        </r>
      </text>
    </comment>
    <comment ref="BH131" authorId="0" shapeId="0" xr:uid="{D7EDA62F-E232-8042-8BFB-AAF59F56A7A3}">
      <text>
        <r>
          <rPr>
            <sz val="14"/>
            <color rgb="FF000000"/>
            <rFont val="Times New Roman"/>
            <family val="18"/>
          </rPr>
          <t xml:space="preserve">FK Grün Loudon (1796-98)
</t>
        </r>
        <r>
          <rPr>
            <sz val="14"/>
            <color rgb="FF000000"/>
            <rFont val="Times New Roman"/>
            <family val="18"/>
          </rPr>
          <t xml:space="preserve">LB 4 (1798-1801)
</t>
        </r>
        <r>
          <rPr>
            <sz val="14"/>
            <color rgb="FF000000"/>
            <rFont val="Times New Roman"/>
            <family val="18"/>
          </rPr>
          <t>IR 13 (1801-1802)</t>
        </r>
      </text>
    </comment>
    <comment ref="BI131" authorId="0" shapeId="0" xr:uid="{74F7D682-85A4-4548-A52C-A134B3E8A1C5}">
      <text>
        <r>
          <rPr>
            <sz val="14"/>
            <color rgb="FF000000"/>
            <rFont val="Calibri"/>
            <family val="34"/>
          </rPr>
          <t>Gut [TL Sept 1801]</t>
        </r>
      </text>
    </comment>
    <comment ref="BF132" authorId="0" shapeId="0" xr:uid="{ED2D47C6-6892-B543-98B9-50BB383F6DD5}">
      <text>
        <r>
          <rPr>
            <sz val="14"/>
            <color rgb="FF000000"/>
            <rFont val="Times New Roman"/>
            <family val="18"/>
          </rPr>
          <t xml:space="preserve">15/02/1797 </t>
        </r>
        <r>
          <rPr>
            <i/>
            <sz val="14"/>
            <color rgb="FF000000"/>
            <rFont val="Times New Roman"/>
            <family val="18"/>
          </rPr>
          <t>A 3Fl 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ObristLt Komp. Nr. 91 [</t>
        </r>
        <r>
          <rPr>
            <i/>
            <sz val="14"/>
            <color rgb="FF000000"/>
            <rFont val="Times New Roman"/>
            <family val="18"/>
          </rPr>
          <t>Beulraubt in seinem Geburtort</t>
        </r>
        <r>
          <rPr>
            <sz val="14"/>
            <color rgb="FF000000"/>
            <rFont val="Times New Roman"/>
            <family val="18"/>
          </rPr>
          <t>]</t>
        </r>
        <r>
          <rPr>
            <sz val="14"/>
            <color rgb="FF000000"/>
            <rFont val="Calibri"/>
            <family val="34"/>
          </rPr>
          <t xml:space="preserve">
</t>
        </r>
        <r>
          <rPr>
            <sz val="14"/>
            <color rgb="FF000000"/>
            <rFont val="Times New Roman"/>
            <family val="18"/>
          </rPr>
          <t>05/09/1804 Muster: IR 59 ObristLt Komp. Nr. 85 [</t>
        </r>
        <r>
          <rPr>
            <i/>
            <sz val="14"/>
            <color rgb="FF000000"/>
            <rFont val="Times New Roman"/>
            <family val="18"/>
          </rPr>
          <t>Beulraubt in seinem Geburtort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05/07/1805 </t>
        </r>
        <r>
          <rPr>
            <i/>
            <sz val="14"/>
            <color rgb="FF000000"/>
            <rFont val="Times New Roman"/>
            <family val="18"/>
          </rPr>
          <t>Zu Sancignow gestorben</t>
        </r>
        <r>
          <rPr>
            <sz val="14"/>
            <color rgb="FF000000"/>
            <rFont val="Times New Roman"/>
            <family val="18"/>
          </rPr>
          <t xml:space="preserve"> [ML 1806]</t>
        </r>
      </text>
    </comment>
    <comment ref="BG132" authorId="0" shapeId="0" xr:uid="{4467BF7B-F690-2342-B81D-5D10194A04CC}">
      <text>
        <r>
          <rPr>
            <sz val="14"/>
            <color rgb="FF000000"/>
            <rFont val="Times New Roman"/>
            <family val="18"/>
          </rPr>
          <t>ML 5015 IR 59 (1803) – ObristLt Komp. Nr. 91 (Wells 30/08/1803)</t>
        </r>
        <r>
          <rPr>
            <sz val="14"/>
            <color rgb="FF000000"/>
            <rFont val="Calibri"/>
            <family val="34"/>
          </rPr>
          <t xml:space="preserve">
</t>
        </r>
        <r>
          <rPr>
            <sz val="14"/>
            <color rgb="FF000000"/>
            <rFont val="Times New Roman"/>
            <family val="18"/>
          </rPr>
          <t>ML 5016 IR 59 (1804) – ObristLt Komp. Nr. 85 (Mills bei Halls 05/09/1804)</t>
        </r>
        <r>
          <rPr>
            <sz val="14"/>
            <color rgb="FF000000"/>
            <rFont val="Calibri"/>
            <family val="34"/>
          </rPr>
          <t xml:space="preserve">
</t>
        </r>
        <r>
          <rPr>
            <sz val="14"/>
            <color rgb="FF000000"/>
            <rFont val="Times New Roman"/>
            <family val="18"/>
          </rPr>
          <t>ML 5017/8 IR 59 (1806) – 13. Fus. Komp. Abgang (Freistadt 22/12/1806)</t>
        </r>
        <r>
          <rPr>
            <sz val="14"/>
            <color rgb="FF000000"/>
            <rFont val="Calibri"/>
            <family val="34"/>
          </rPr>
          <t xml:space="preserve">
</t>
        </r>
      </text>
    </comment>
    <comment ref="BH132" authorId="0" shapeId="0" xr:uid="{4FCF2C8D-4BA0-3049-8A0C-34708352138E}">
      <text>
        <r>
          <rPr>
            <sz val="14"/>
            <color rgb="FF000000"/>
            <rFont val="Calibri"/>
            <family val="34"/>
          </rPr>
          <t>IR 43 (1797-1805)</t>
        </r>
      </text>
    </comment>
    <comment ref="T133" authorId="0" shapeId="0" xr:uid="{82B4E4E1-A153-2741-8BFB-70F3EAE58249}">
      <text>
        <r>
          <rPr>
            <sz val="14"/>
            <color rgb="FF000000"/>
            <rFont val="Calibri"/>
            <family val="34"/>
          </rPr>
          <t xml:space="preserve">5.8.1 [179.26 cm] (1803)
</t>
        </r>
        <r>
          <rPr>
            <sz val="14"/>
            <color rgb="FF000000"/>
            <rFont val="Calibri"/>
            <family val="34"/>
          </rPr>
          <t>5.8.3 [179.7] (1804)</t>
        </r>
      </text>
    </comment>
    <comment ref="BF133" authorId="0" shapeId="0" xr:uid="{F1982648-A18B-BE4D-85FF-0979CF520196}">
      <text>
        <r>
          <rPr>
            <sz val="14"/>
            <color rgb="FF000000"/>
            <rFont val="Times New Roman"/>
            <family val="18"/>
          </rPr>
          <t xml:space="preserve">15/02/1797 </t>
        </r>
        <r>
          <rPr>
            <i/>
            <sz val="14"/>
            <color rgb="FF000000"/>
            <rFont val="Times New Roman"/>
            <family val="18"/>
          </rPr>
          <t>Von Gallizischen Ständen a 3Fl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25/08/1803 Muster: IR 59 2. Gren. Komp. Nr. 46</t>
        </r>
        <r>
          <rPr>
            <sz val="14"/>
            <color rgb="FF000000"/>
            <rFont val="Calibri"/>
            <family val="34"/>
          </rPr>
          <t xml:space="preserve">
</t>
        </r>
        <r>
          <rPr>
            <sz val="14"/>
            <color rgb="FF000000"/>
            <rFont val="Times New Roman"/>
            <family val="18"/>
          </rPr>
          <t>03/09/1804 Muster: IR 59 2. Gren. Komp. Nr. 42</t>
        </r>
        <r>
          <rPr>
            <sz val="14"/>
            <color rgb="FF000000"/>
            <rFont val="Calibri"/>
            <family val="34"/>
          </rPr>
          <t xml:space="preserve">
</t>
        </r>
        <r>
          <rPr>
            <sz val="14"/>
            <color rgb="FF000000"/>
            <rFont val="Times New Roman"/>
            <family val="18"/>
          </rPr>
          <t xml:space="preserve">26/08/1806 </t>
        </r>
        <r>
          <rPr>
            <i/>
            <sz val="14"/>
            <color rgb="FF000000"/>
            <rFont val="Times New Roman"/>
            <family val="18"/>
          </rPr>
          <t xml:space="preserve">Am sonsten desertiert </t>
        </r>
        <r>
          <rPr>
            <sz val="14"/>
            <color rgb="FF000000"/>
            <rFont val="Times New Roman"/>
            <family val="18"/>
          </rPr>
          <t>[ML 1806]</t>
        </r>
      </text>
    </comment>
    <comment ref="BG133" authorId="0" shapeId="0" xr:uid="{23EE9806-3E47-254C-871B-0FD439E5F8BF}">
      <text>
        <r>
          <rPr>
            <sz val="14"/>
            <color rgb="FF000000"/>
            <rFont val="Times New Roman"/>
            <family val="18"/>
          </rPr>
          <t>ML 5015 IR 59 ‘Jordis’ (1803) –2. Gren. Komp. Nr. 46 (Linz 25/08/1803)</t>
        </r>
        <r>
          <rPr>
            <sz val="14"/>
            <color rgb="FF000000"/>
            <rFont val="Calibri"/>
            <family val="34"/>
          </rPr>
          <t xml:space="preserve">
</t>
        </r>
        <r>
          <rPr>
            <sz val="14"/>
            <color rgb="FF000000"/>
            <rFont val="Times New Roman"/>
            <family val="18"/>
          </rPr>
          <t>ML 5015 IR 59 ‚Jordis‘ (1804) –2. Gren. Komp. Nr. 42 (Innsbruck 03/09/1804)</t>
        </r>
        <r>
          <rPr>
            <sz val="14"/>
            <color rgb="FF000000"/>
            <rFont val="Calibri"/>
            <family val="34"/>
          </rPr>
          <t xml:space="preserve">
</t>
        </r>
        <r>
          <rPr>
            <sz val="14"/>
            <color rgb="FF000000"/>
            <rFont val="Times New Roman"/>
            <family val="18"/>
          </rPr>
          <t>ML 5017/8 IR 59 ‘Jordis‘ (1806) –2. Gren. Komp. Abgang (Linz 20/12/1806)</t>
        </r>
        <r>
          <rPr>
            <sz val="14"/>
            <color rgb="FF000000"/>
            <rFont val="Calibri"/>
            <family val="34"/>
          </rPr>
          <t xml:space="preserve">
</t>
        </r>
      </text>
    </comment>
    <comment ref="BH133" authorId="0" shapeId="0" xr:uid="{E9ACC213-B306-EC4C-917B-4C5A9467D763}">
      <text>
        <r>
          <rPr>
            <sz val="14"/>
            <color rgb="FF000000"/>
            <rFont val="Calibri"/>
            <family val="34"/>
          </rPr>
          <t>IR 43 (1797-1806)</t>
        </r>
      </text>
    </comment>
    <comment ref="BF134" authorId="0" shapeId="0" xr:uid="{5F9BBFC4-9B72-2743-9048-C3874D805D2A}">
      <text>
        <r>
          <rPr>
            <sz val="14"/>
            <color rgb="FFFF0000"/>
            <rFont val="Times New Roman"/>
            <family val="18"/>
          </rPr>
          <t xml:space="preserve">01/03/1796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21/02/1797 </t>
        </r>
        <r>
          <rPr>
            <i/>
            <sz val="14"/>
            <color rgb="FF000000"/>
            <rFont val="Times New Roman"/>
            <family val="18"/>
          </rPr>
          <t>Von Domenien ausgehoben und von Ständen als Galizische Recrouten zum Tarnopol gestellt; seitdem auf anhero Marsch mit Friedens Gebühr</t>
        </r>
        <r>
          <rPr>
            <sz val="14"/>
            <color rgb="FF000000"/>
            <rFont val="Times New Roman"/>
            <family val="18"/>
          </rPr>
          <t xml:space="preserve"> [ST Feb 1797]</t>
        </r>
        <r>
          <rPr>
            <sz val="14"/>
            <color rgb="FF000000"/>
            <rFont val="Calibri"/>
            <family val="34"/>
          </rPr>
          <t xml:space="preserve">
</t>
        </r>
        <r>
          <rPr>
            <sz val="14"/>
            <color rgb="FF000000"/>
            <rFont val="Times New Roman"/>
            <family val="18"/>
          </rPr>
          <t xml:space="preserve">05/05/1797 </t>
        </r>
        <r>
          <rPr>
            <i/>
            <sz val="14"/>
            <color rgb="FF000000"/>
            <rFont val="Times New Roman"/>
            <family val="18"/>
          </rPr>
          <t>In die Reserve Division eingerückt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 xml:space="preserve">06/05/1797 </t>
        </r>
        <r>
          <rPr>
            <i/>
            <sz val="14"/>
            <color rgb="FF000000"/>
            <rFont val="Times New Roman"/>
            <family val="18"/>
          </rPr>
          <t>Von Reserve Division zum Lieb Komp. transferiert</t>
        </r>
        <r>
          <rPr>
            <sz val="14"/>
            <color rgb="FF000000"/>
            <rFont val="Times New Roman"/>
            <family val="18"/>
          </rPr>
          <t xml:space="preserve"> [ST May 1797]</t>
        </r>
        <r>
          <rPr>
            <sz val="14"/>
            <color rgb="FF000000"/>
            <rFont val="Calibri"/>
            <family val="34"/>
          </rPr>
          <t xml:space="preserve">
</t>
        </r>
        <r>
          <rPr>
            <sz val="14"/>
            <color rgb="FF000000"/>
            <rFont val="Times New Roman"/>
            <family val="18"/>
          </rPr>
          <t>25/01/1799 Revision IR 43: Leib Komp Nr. 81</t>
        </r>
        <r>
          <rPr>
            <sz val="14"/>
            <color rgb="FF000000"/>
            <rFont val="Calibri"/>
            <family val="34"/>
          </rPr>
          <t xml:space="preserve">
</t>
        </r>
        <r>
          <rPr>
            <sz val="14"/>
            <color rgb="FF000000"/>
            <rFont val="Times New Roman"/>
            <family val="18"/>
          </rPr>
          <t xml:space="preserve">06/04/1799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t>
        </r>
        <r>
          <rPr>
            <b/>
            <sz val="14"/>
            <color rgb="FFFF0000"/>
            <rFont val="Times New Roman"/>
            <family val="18"/>
          </rPr>
          <t>Wounded at Magnano</t>
        </r>
        <r>
          <rPr>
            <sz val="14"/>
            <color rgb="FFFF0000"/>
            <rFont val="Times New Roman"/>
            <family val="18"/>
          </rPr>
          <t xml:space="preserve">] </t>
        </r>
        <r>
          <rPr>
            <sz val="14"/>
            <color rgb="FF000000"/>
            <rFont val="Times New Roman"/>
            <family val="18"/>
          </rPr>
          <t>[ST April 1799]</t>
        </r>
        <r>
          <rPr>
            <sz val="14"/>
            <color rgb="FF000000"/>
            <rFont val="Calibri"/>
            <family val="34"/>
          </rPr>
          <t xml:space="preserve">
</t>
        </r>
        <r>
          <rPr>
            <sz val="14"/>
            <color rgb="FF000000"/>
            <rFont val="Times New Roman"/>
            <family val="18"/>
          </rPr>
          <t xml:space="preserve">31/05/1799 </t>
        </r>
        <r>
          <rPr>
            <i/>
            <sz val="14"/>
            <color rgb="FF000000"/>
            <rFont val="Times New Roman"/>
            <family val="18"/>
          </rPr>
          <t xml:space="preserve">Rekonvalesziert </t>
        </r>
        <r>
          <rPr>
            <sz val="14"/>
            <color rgb="FF000000"/>
            <rFont val="Times New Roman"/>
            <family val="18"/>
          </rPr>
          <t>[ST May 1799]</t>
        </r>
        <r>
          <rPr>
            <sz val="14"/>
            <color rgb="FF000000"/>
            <rFont val="Calibri"/>
            <family val="34"/>
          </rPr>
          <t xml:space="preserve">
</t>
        </r>
        <r>
          <rPr>
            <sz val="14"/>
            <color rgb="FF000000"/>
            <rFont val="Times New Roman"/>
            <family val="18"/>
          </rPr>
          <t xml:space="preserve">01/09/1799 </t>
        </r>
        <r>
          <rPr>
            <i/>
            <sz val="14"/>
            <color rgb="FF000000"/>
            <rFont val="Times New Roman"/>
            <family val="18"/>
          </rPr>
          <t>Krank zu Bologna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Rekonvalesziert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27/04/1800 </t>
        </r>
        <r>
          <rPr>
            <i/>
            <sz val="14"/>
            <color rgb="FF000000"/>
            <rFont val="Times New Roman"/>
            <family val="18"/>
          </rPr>
          <t>Krank auswärts mit Kriegsgebühr [</t>
        </r>
        <r>
          <rPr>
            <sz val="14"/>
            <color rgb="FF000000"/>
            <rFont val="Times New Roman"/>
            <family val="18"/>
          </rPr>
          <t>ST April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 xml:space="preserve">Rekonvalesziert </t>
        </r>
        <r>
          <rPr>
            <sz val="14"/>
            <color rgb="FF000000"/>
            <rFont val="Times New Roman"/>
            <family val="18"/>
          </rPr>
          <t>[ST July 1800]</t>
        </r>
        <r>
          <rPr>
            <sz val="14"/>
            <color rgb="FF000000"/>
            <rFont val="Calibri"/>
            <family val="34"/>
          </rPr>
          <t xml:space="preserve">
</t>
        </r>
        <r>
          <rPr>
            <sz val="14"/>
            <color rgb="FF000000"/>
            <rFont val="Times New Roman"/>
            <family val="18"/>
          </rPr>
          <t xml:space="preserve">01/09/1800 </t>
        </r>
        <r>
          <rPr>
            <i/>
            <sz val="14"/>
            <color rgb="FF000000"/>
            <rFont val="Times New Roman"/>
            <family val="18"/>
          </rPr>
          <t>Von Lieb Comp. zum 1. Grenadier Komp transferiert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16/05/1801 </t>
        </r>
        <r>
          <rPr>
            <i/>
            <sz val="14"/>
            <color rgb="FF000000"/>
            <rFont val="Times New Roman"/>
            <family val="18"/>
          </rPr>
          <t>Von 1. Grenadier Comp zum ObristLt Komp transferiert</t>
        </r>
        <r>
          <rPr>
            <sz val="14"/>
            <color rgb="FF000000"/>
            <rFont val="Times New Roman"/>
            <family val="18"/>
          </rPr>
          <t xml:space="preserve"> [ST May 1801]</t>
        </r>
        <r>
          <rPr>
            <sz val="14"/>
            <color rgb="FF000000"/>
            <rFont val="Calibri"/>
            <family val="34"/>
          </rPr>
          <t xml:space="preserve">
</t>
        </r>
        <r>
          <rPr>
            <sz val="14"/>
            <color rgb="FF000000"/>
            <rFont val="Times New Roman"/>
            <family val="18"/>
          </rPr>
          <t>[28/08/1802 Muster: IR 43 ObristLt Komp. Nr. 46]</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ObristLt Komp. Nr. 40 [</t>
        </r>
        <r>
          <rPr>
            <i/>
            <sz val="14"/>
            <color rgb="FF000000"/>
            <rFont val="Times New Roman"/>
            <family val="18"/>
          </rPr>
          <t>Auf Unbestimmte Urlaub in Tarnopol</t>
        </r>
        <r>
          <rPr>
            <sz val="14"/>
            <color rgb="FF000000"/>
            <rFont val="Times New Roman"/>
            <family val="18"/>
          </rPr>
          <t>]</t>
        </r>
        <r>
          <rPr>
            <sz val="14"/>
            <color rgb="FF000000"/>
            <rFont val="Calibri"/>
            <family val="34"/>
          </rPr>
          <t xml:space="preserve">
</t>
        </r>
        <r>
          <rPr>
            <sz val="14"/>
            <color rgb="FF000000"/>
            <rFont val="Times New Roman"/>
            <family val="18"/>
          </rPr>
          <t>05/10/1804 Muster: IR 43 ObristLt Komp. Nr. 40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31/12/1804 </t>
        </r>
        <r>
          <rPr>
            <i/>
            <sz val="14"/>
            <color rgb="FF000000"/>
            <rFont val="Times New Roman"/>
            <family val="18"/>
          </rPr>
          <t>Als Steuerbare Grundbesitzer gegen entgeldliche Stellung deas in der Monats-Tabbela pro Xber 804 bei Hauptmann Prati Compg. unter 6t 8ber d:a: in Zuwachs erscheinender Recorouten Iwan Prihuba von unbesittmte Urlaub mit Abschied Entlassen</t>
        </r>
        <r>
          <rPr>
            <sz val="14"/>
            <color rgb="FF000000"/>
            <rFont val="Times New Roman"/>
            <family val="18"/>
          </rPr>
          <t xml:space="preserve"> [ST Jan 1805 &amp; ML 1805] [Trihuba eventually deserts on 25/05/1805 from Kocken company at Cattaro]</t>
        </r>
        <r>
          <rPr>
            <sz val="14"/>
            <color rgb="FF000000"/>
            <rFont val="Calibri"/>
            <family val="34"/>
          </rPr>
          <t xml:space="preserve">
</t>
        </r>
      </text>
    </comment>
    <comment ref="BG134" authorId="0" shapeId="0" xr:uid="{92906374-8620-B947-A950-DA4A27412E5F}">
      <text>
        <r>
          <rPr>
            <sz val="14"/>
            <color rgb="FF000000"/>
            <rFont val="Calibri"/>
            <family val="34"/>
          </rPr>
          <t xml:space="preserve">ML 10.271 IR 43 (1796-9) – RL Leib Komp. Nr. 81 (Udine 25/01/1799)
</t>
        </r>
        <r>
          <rPr>
            <sz val="14"/>
            <color rgb="FF000000"/>
            <rFont val="Calibri"/>
            <family val="34"/>
          </rPr>
          <t xml:space="preserve">ML 10.272 IR 43 (1802) – ObristLt Komp. Nr. 46 (Cattaro 28/08/1802)
</t>
        </r>
        <r>
          <rPr>
            <sz val="14"/>
            <color rgb="FF000000"/>
            <rFont val="Calibri"/>
            <family val="34"/>
          </rPr>
          <t xml:space="preserve">ML 10.273 IR 43 (1803) – ObristLt Komp. Nr. 40 (Cattaro 02/11/1803)
</t>
        </r>
        <r>
          <rPr>
            <sz val="14"/>
            <color rgb="FF000000"/>
            <rFont val="Calibri"/>
            <family val="34"/>
          </rPr>
          <t xml:space="preserve">ML 10.274 IR 43 (1804) – ObristLt Komp. Nr. 40 (Zara 15/09/1804)
</t>
        </r>
        <r>
          <rPr>
            <sz val="14"/>
            <color rgb="FF000000"/>
            <rFont val="Calibri"/>
            <family val="34"/>
          </rPr>
          <t xml:space="preserve">ML 10.275/6 IR 43 (1805) –9. Fus Komp. Abgang (Sebenico 31/10/1805)
</t>
        </r>
        <r>
          <rPr>
            <sz val="14"/>
            <color rgb="FF000000"/>
            <rFont val="Calibri"/>
            <family val="34"/>
          </rPr>
          <t xml:space="preserve">ML 10.305 IR 43 (1797) – ST Feb (09/03/1802), Mai (01/06/1803)
</t>
        </r>
        <r>
          <rPr>
            <sz val="14"/>
            <color rgb="FF000000"/>
            <rFont val="Calibri"/>
            <family val="34"/>
          </rPr>
          <t xml:space="preserve">ML 10.307 IR 43 (1799) – ST April (19/08/1799), Mai (22/09/1799), Sept (21/07/1800)
</t>
        </r>
        <r>
          <rPr>
            <sz val="14"/>
            <color rgb="FF000000"/>
            <rFont val="Calibri"/>
            <family val="34"/>
          </rPr>
          <t xml:space="preserve">ML 10.309 IR 43 (1800) – ST April (24/01/1802), Juli (24/10/1803), Aug (27/12/1803)
</t>
        </r>
        <r>
          <rPr>
            <sz val="14"/>
            <color rgb="FF000000"/>
            <rFont val="Calibri"/>
            <family val="34"/>
          </rPr>
          <t xml:space="preserve">ML 10.311 IR 43 (1801) – ST Mai (10/03/1805)
</t>
        </r>
        <r>
          <rPr>
            <sz val="14"/>
            <color rgb="FF000000"/>
            <rFont val="Calibri"/>
            <family val="34"/>
          </rPr>
          <t xml:space="preserve">ML 10.313 IR 43 (1803) – ST Jan (15/02/1803), März (15/04/1803)
</t>
        </r>
        <r>
          <rPr>
            <sz val="14"/>
            <color rgb="FF000000"/>
            <rFont val="Calibri"/>
            <family val="34"/>
          </rPr>
          <t>ML 10.315 IR 43 (1805) – ST Jan (15/02/1805)</t>
        </r>
      </text>
    </comment>
    <comment ref="BH134" authorId="0" shapeId="0" xr:uid="{ADAF531E-1393-8649-B498-59AA14453C68}">
      <text>
        <r>
          <rPr>
            <sz val="14"/>
            <color rgb="FF000000"/>
            <rFont val="Calibri"/>
            <family val="34"/>
          </rPr>
          <t>IR 43 (1797-1804)</t>
        </r>
      </text>
    </comment>
    <comment ref="BF135" authorId="0" shapeId="0" xr:uid="{88E7757C-CFC8-2B4A-A0FC-ABA28595A385}">
      <text>
        <r>
          <rPr>
            <sz val="14"/>
            <color rgb="FF000000"/>
            <rFont val="Times New Roman"/>
            <family val="18"/>
          </rPr>
          <t xml:space="preserve">22/02/1797 </t>
        </r>
        <r>
          <rPr>
            <i/>
            <sz val="14"/>
            <color rgb="FF000000"/>
            <rFont val="Times New Roman"/>
            <family val="18"/>
          </rPr>
          <t>A 3Fl Handgeld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135" authorId="0" shapeId="0" xr:uid="{39337EC4-5130-064D-9BA7-F5A688D38A0B}">
      <text>
        <r>
          <rPr>
            <sz val="14"/>
            <color rgb="FF000000"/>
            <rFont val="Times New Roman"/>
            <family val="18"/>
          </rPr>
          <t>ML 69/70 IR 1 (1797) – AL. 35 (Hrubieszow 27/02/1797); TL IR 1 3 Feld Bats-&gt; 4. Bat Nr. 1092 (Freiburg in Breisgau 29/18/1798); TL IR 1-&gt;IR 56 Nr. 93 (Olmütz 20/08/1797)</t>
        </r>
      </text>
    </comment>
    <comment ref="BH135" authorId="0" shapeId="0" xr:uid="{53D11A8D-4F39-424C-B427-E296FD8E1020}">
      <text>
        <r>
          <rPr>
            <sz val="14"/>
            <color rgb="FF000000"/>
            <rFont val="Calibri"/>
            <family val="34"/>
          </rPr>
          <t xml:space="preserve">IR 1 (1797)
</t>
        </r>
        <r>
          <rPr>
            <sz val="14"/>
            <color rgb="FF000000"/>
            <rFont val="Calibri"/>
            <family val="34"/>
          </rPr>
          <t>IR 56 (1797)</t>
        </r>
      </text>
    </comment>
    <comment ref="B136" authorId="0" shapeId="0" xr:uid="{25D86EE6-66F7-6140-838D-C4A8FE4AB59C}">
      <text>
        <r>
          <rPr>
            <sz val="14"/>
            <color rgb="FF000000"/>
            <rFont val="Times New Roman"/>
            <family val="18"/>
          </rPr>
          <t xml:space="preserve">Judka TOCK/ Juthka DOTT/ Jatko/Fetko/Zetko DOCK/DICK </t>
        </r>
      </text>
    </comment>
    <comment ref="BF136" authorId="0" shapeId="0" xr:uid="{B21D4D8A-3B54-A84D-A97D-9B3006C98EEF}">
      <text>
        <r>
          <rPr>
            <sz val="14"/>
            <color rgb="FF000000"/>
            <rFont val="Times New Roman"/>
            <family val="18"/>
          </rPr>
          <t xml:space="preserve">23/02/1797 </t>
        </r>
        <r>
          <rPr>
            <i/>
            <sz val="14"/>
            <color rgb="FF000000"/>
            <rFont val="Times New Roman"/>
            <family val="18"/>
          </rPr>
          <t>von Domenien Ausgehoben und von Ständen als Galizische Recrouten zum Tarnopol gestellt; seitdem auf anhero Marsch mit Friedens Gebühr</t>
        </r>
        <r>
          <rPr>
            <sz val="14"/>
            <color rgb="FF000000"/>
            <rFont val="Times New Roman"/>
            <family val="18"/>
          </rPr>
          <t xml:space="preserve"> [ST Feb 1797] </t>
        </r>
        <r>
          <rPr>
            <sz val="14"/>
            <color rgb="FF000000"/>
            <rFont val="Calibri"/>
            <family val="34"/>
          </rPr>
          <t xml:space="preserve">
</t>
        </r>
        <r>
          <rPr>
            <sz val="14"/>
            <color rgb="FF000000"/>
            <rFont val="Times New Roman"/>
            <family val="18"/>
          </rPr>
          <t xml:space="preserve">05/05/1797 </t>
        </r>
        <r>
          <rPr>
            <i/>
            <sz val="14"/>
            <color rgb="FF000000"/>
            <rFont val="Times New Roman"/>
            <family val="18"/>
          </rPr>
          <t xml:space="preserve">In die Reserve Division eingerückt </t>
        </r>
        <r>
          <rPr>
            <sz val="14"/>
            <color rgb="FF000000"/>
            <rFont val="Times New Roman"/>
            <family val="18"/>
          </rPr>
          <t>[ST May 1797]</t>
        </r>
        <r>
          <rPr>
            <sz val="14"/>
            <color rgb="FF000000"/>
            <rFont val="Calibri"/>
            <family val="34"/>
          </rPr>
          <t xml:space="preserve">
</t>
        </r>
        <r>
          <rPr>
            <sz val="14"/>
            <color rgb="FF000000"/>
            <rFont val="Times New Roman"/>
            <family val="18"/>
          </rPr>
          <t xml:space="preserve">06/05/1797 </t>
        </r>
        <r>
          <rPr>
            <i/>
            <sz val="14"/>
            <color rgb="FF000000"/>
            <rFont val="Times New Roman"/>
            <family val="18"/>
          </rPr>
          <t xml:space="preserve">Von die Reserve Division in Haupt Höffern Comp trasnferiert </t>
        </r>
        <r>
          <rPr>
            <sz val="14"/>
            <color rgb="FF000000"/>
            <rFont val="Times New Roman"/>
            <family val="18"/>
          </rPr>
          <t xml:space="preserve">[ST May] </t>
        </r>
        <r>
          <rPr>
            <sz val="14"/>
            <color rgb="FF000000"/>
            <rFont val="Calibri"/>
            <family val="34"/>
          </rPr>
          <t xml:space="preserve">
</t>
        </r>
        <r>
          <rPr>
            <sz val="14"/>
            <color rgb="FF000000"/>
            <rFont val="Times New Roman"/>
            <family val="18"/>
          </rPr>
          <t xml:space="preserve">20/06/1797 </t>
        </r>
        <r>
          <rPr>
            <i/>
            <sz val="14"/>
            <color rgb="FF000000"/>
            <rFont val="Times New Roman"/>
            <family val="18"/>
          </rPr>
          <t>Krank in Loco Spital</t>
        </r>
        <r>
          <rPr>
            <sz val="14"/>
            <color rgb="FF000000"/>
            <rFont val="Times New Roman"/>
            <family val="18"/>
          </rPr>
          <t xml:space="preserve"> [ST June 1797]</t>
        </r>
        <r>
          <rPr>
            <sz val="14"/>
            <color rgb="FF000000"/>
            <rFont val="Calibri"/>
            <family val="34"/>
          </rPr>
          <t xml:space="preserve">
</t>
        </r>
        <r>
          <rPr>
            <sz val="14"/>
            <color rgb="FF000000"/>
            <rFont val="Times New Roman"/>
            <family val="18"/>
          </rPr>
          <t xml:space="preserve">30/06/1797 </t>
        </r>
        <r>
          <rPr>
            <i/>
            <sz val="14"/>
            <color rgb="FF000000"/>
            <rFont val="Times New Roman"/>
            <family val="18"/>
          </rPr>
          <t>Reconvalesciert</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Krank in Loco Spital</t>
        </r>
        <r>
          <rPr>
            <sz val="14"/>
            <color rgb="FF000000"/>
            <rFont val="Times New Roman"/>
            <family val="18"/>
          </rPr>
          <t xml:space="preserve"> [ST July 1797]</t>
        </r>
        <r>
          <rPr>
            <sz val="14"/>
            <color rgb="FF000000"/>
            <rFont val="Calibri"/>
            <family val="34"/>
          </rPr>
          <t xml:space="preserve">
</t>
        </r>
        <r>
          <rPr>
            <sz val="14"/>
            <color rgb="FF000000"/>
            <rFont val="Times New Roman"/>
            <family val="18"/>
          </rPr>
          <t xml:space="preserve">31/08/1797 </t>
        </r>
        <r>
          <rPr>
            <i/>
            <sz val="14"/>
            <color rgb="FF000000"/>
            <rFont val="Times New Roman"/>
            <family val="18"/>
          </rPr>
          <t xml:space="preserve">Reconvalesciert </t>
        </r>
        <r>
          <rPr>
            <sz val="14"/>
            <color rgb="FF000000"/>
            <rFont val="Times New Roman"/>
            <family val="18"/>
          </rPr>
          <t>[ST Sept 1797]</t>
        </r>
        <r>
          <rPr>
            <sz val="14"/>
            <color rgb="FF000000"/>
            <rFont val="Calibri"/>
            <family val="34"/>
          </rPr>
          <t xml:space="preserve">
</t>
        </r>
        <r>
          <rPr>
            <sz val="14"/>
            <color rgb="FF000000"/>
            <rFont val="Times New Roman"/>
            <family val="18"/>
          </rPr>
          <t>25/01/1799 Revision: IR 43 Haupt Höffern Nr. 39</t>
        </r>
        <r>
          <rPr>
            <sz val="14"/>
            <color rgb="FF000000"/>
            <rFont val="Calibri"/>
            <family val="34"/>
          </rPr>
          <t xml:space="preserve">
</t>
        </r>
        <r>
          <rPr>
            <sz val="14"/>
            <color rgb="FF000000"/>
            <rFont val="Times New Roman"/>
            <family val="18"/>
          </rPr>
          <t xml:space="preserve">26/03/1799 </t>
        </r>
        <r>
          <rPr>
            <i/>
            <sz val="14"/>
            <color rgb="FF000000"/>
            <rFont val="Times New Roman"/>
            <family val="18"/>
          </rPr>
          <t xml:space="preserve">Bei der Italienischen Artillerie Reserve mit Kriegsgebühr </t>
        </r>
        <r>
          <rPr>
            <sz val="14"/>
            <color rgb="FF000000"/>
            <rFont val="Times New Roman"/>
            <family val="18"/>
          </rPr>
          <t>[ST March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Höffern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Baumann Comp transferiert und seitdem 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 xml:space="preserve">als ins auswärtiger Feldspitalern als über ½ Jahr auswärts und deren Existenz gänzlich Unbewusst </t>
        </r>
        <r>
          <rPr>
            <sz val="14"/>
            <color rgb="FF000000"/>
            <rFont val="Times New Roman"/>
            <family val="18"/>
          </rPr>
          <t>[ST Oct 1801]</t>
        </r>
        <r>
          <rPr>
            <sz val="14"/>
            <color rgb="FF000000"/>
            <rFont val="Calibri"/>
            <family val="34"/>
          </rPr>
          <t xml:space="preserve">
</t>
        </r>
      </text>
    </comment>
    <comment ref="BG136" authorId="0" shapeId="0" xr:uid="{F34995BC-3D58-9F49-BC84-AD79144B2201}">
      <text>
        <r>
          <rPr>
            <sz val="14"/>
            <color rgb="FF000000"/>
            <rFont val="Times New Roman"/>
            <family val="18"/>
          </rPr>
          <t>ML 10.271 IR 43 (1796-9) – RL Haupt Höffern. Nr. 39 (Udine 25/01/1799)</t>
        </r>
        <r>
          <rPr>
            <sz val="14"/>
            <color rgb="FF000000"/>
            <rFont val="Calibri"/>
            <family val="34"/>
          </rPr>
          <t xml:space="preserve">
</t>
        </r>
        <r>
          <rPr>
            <sz val="14"/>
            <color rgb="FF000000"/>
            <rFont val="Times New Roman"/>
            <family val="18"/>
          </rPr>
          <t>ML 10.305 IR 43 (1797) – ST Feb (09/03/1802), Mai (01/06/1803), Juni (21/06/1803), Juli (24/07/1803) und Sept (02/09/1804)</t>
        </r>
        <r>
          <rPr>
            <sz val="14"/>
            <color rgb="FF000000"/>
            <rFont val="Calibri"/>
            <family val="34"/>
          </rPr>
          <t xml:space="preserve">
</t>
        </r>
        <r>
          <rPr>
            <sz val="14"/>
            <color rgb="FF000000"/>
            <rFont val="Times New Roman"/>
            <family val="18"/>
          </rPr>
          <t>ML 10.307 IR 43 (1799) – ST März (30/05/1799), und Aug (06/03/1800)</t>
        </r>
        <r>
          <rPr>
            <sz val="14"/>
            <color rgb="FF000000"/>
            <rFont val="Calibri"/>
            <family val="34"/>
          </rPr>
          <t xml:space="preserve">
</t>
        </r>
        <r>
          <rPr>
            <sz val="14"/>
            <color rgb="FF000000"/>
            <rFont val="Times New Roman"/>
            <family val="18"/>
          </rPr>
          <t>ML 10.311 IR 43 (1801) – ST Mai (10/03/1805) und Okt (21/07/1805)</t>
        </r>
      </text>
    </comment>
    <comment ref="BH136" authorId="0" shapeId="0" xr:uid="{4C200DF3-85E6-2A4F-8AF2-4EB2188CD30C}">
      <text>
        <r>
          <rPr>
            <sz val="14"/>
            <color rgb="FF000000"/>
            <rFont val="Calibri"/>
            <family val="34"/>
          </rPr>
          <t>IR 43 (1797-1801)</t>
        </r>
      </text>
    </comment>
    <comment ref="I137" authorId="0" shapeId="0" xr:uid="{A2F9455B-017E-4A4A-9F01-79C0113C8264}">
      <text>
        <r>
          <rPr>
            <sz val="14"/>
            <color rgb="FF000000"/>
            <rFont val="Calibri"/>
            <family val="34"/>
          </rPr>
          <t xml:space="preserve">1772 [32 (ML 1804)] 
</t>
        </r>
        <r>
          <rPr>
            <sz val="14"/>
            <color rgb="FF000000"/>
            <rFont val="Calibri"/>
            <family val="34"/>
          </rPr>
          <t xml:space="preserve">OR 
</t>
        </r>
        <r>
          <rPr>
            <sz val="14"/>
            <color rgb="FF000000"/>
            <rFont val="Calibri"/>
            <family val="34"/>
          </rPr>
          <t>1770 [33 (ML 1803)]</t>
        </r>
      </text>
    </comment>
    <comment ref="BF137" authorId="0" shapeId="0" xr:uid="{EC4610EA-81C2-8044-AD90-CDA3C1AAB360}">
      <text>
        <r>
          <rPr>
            <sz val="14"/>
            <color rgb="FF000000"/>
            <rFont val="Times New Roman"/>
            <family val="18"/>
          </rPr>
          <t xml:space="preserve">23/02/1797 </t>
        </r>
        <r>
          <rPr>
            <i/>
            <sz val="14"/>
            <color rgb="FF000000"/>
            <rFont val="Times New Roman"/>
            <family val="18"/>
          </rPr>
          <t>Von Ständen gestellt und a 3Fl Handgeld auf Beständig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09/09/1802 Muster: IR 23 Haupt Stark Komp Nr. 85</t>
        </r>
        <r>
          <rPr>
            <sz val="14"/>
            <color rgb="FF000000"/>
            <rFont val="Calibri"/>
            <family val="34"/>
          </rPr>
          <t xml:space="preserve">
</t>
        </r>
        <r>
          <rPr>
            <sz val="14"/>
            <color rgb="FF000000"/>
            <rFont val="Times New Roman"/>
            <family val="18"/>
          </rPr>
          <t>07/09/1803 Muster: IR 23 Haupt Stark Komp Nr. 73</t>
        </r>
        <r>
          <rPr>
            <sz val="14"/>
            <color rgb="FF000000"/>
            <rFont val="Calibri"/>
            <family val="34"/>
          </rPr>
          <t xml:space="preserve">
</t>
        </r>
        <r>
          <rPr>
            <sz val="14"/>
            <color rgb="FF000000"/>
            <rFont val="Times New Roman"/>
            <family val="18"/>
          </rPr>
          <t>06/09/1804 Muster: IR 23 Haupt Stark Komp Nr. 68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20/09/1805 </t>
        </r>
        <r>
          <rPr>
            <i/>
            <sz val="14"/>
            <color rgb="FF000000"/>
            <rFont val="Times New Roman"/>
            <family val="18"/>
          </rPr>
          <t>Zum Linzer Hauptspital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01/12/1805 </t>
        </r>
        <r>
          <rPr>
            <i/>
            <sz val="14"/>
            <color rgb="FF000000"/>
            <rFont val="Times New Roman"/>
            <family val="18"/>
          </rPr>
          <t>Von die Spitalstand anhero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05/05/1806 </t>
        </r>
        <r>
          <rPr>
            <i/>
            <sz val="14"/>
            <color rgb="FF000000"/>
            <rFont val="Times New Roman"/>
            <family val="18"/>
          </rPr>
          <t>Als Reale Invalid Gegen Renuncierung amit Abschied entlassen</t>
        </r>
        <r>
          <rPr>
            <sz val="14"/>
            <color rgb="FF000000"/>
            <rFont val="Times New Roman"/>
            <family val="18"/>
          </rPr>
          <t xml:space="preserve"> [ML 1807] </t>
        </r>
      </text>
    </comment>
    <comment ref="BG137" authorId="0" shapeId="0" xr:uid="{443E23FC-8AEE-E344-80B3-C2A50D5FC23E}">
      <text>
        <r>
          <rPr>
            <sz val="14"/>
            <color rgb="FF000000"/>
            <rFont val="Times New Roman"/>
            <family val="18"/>
          </rPr>
          <t>ML 10.124 IR 23 (1802) – Haupt Starck Komp. Nr. 85 (Krems 09/09/1802)</t>
        </r>
        <r>
          <rPr>
            <sz val="14"/>
            <color rgb="FF000000"/>
            <rFont val="Calibri"/>
            <family val="34"/>
          </rPr>
          <t xml:space="preserve">
</t>
        </r>
        <r>
          <rPr>
            <sz val="14"/>
            <color rgb="FF000000"/>
            <rFont val="Times New Roman"/>
            <family val="18"/>
          </rPr>
          <t>ML 10.125 IR 23 (1803) – Haupt Starck Komp. Nr. 73 (Execierlager bei St Pölten 07/09/1803)</t>
        </r>
        <r>
          <rPr>
            <sz val="14"/>
            <color rgb="FF000000"/>
            <rFont val="Calibri"/>
            <family val="34"/>
          </rPr>
          <t xml:space="preserve">
</t>
        </r>
        <r>
          <rPr>
            <sz val="14"/>
            <color rgb="FF000000"/>
            <rFont val="Times New Roman"/>
            <family val="18"/>
          </rPr>
          <t>ML 10.126 IR 23 (1804) – Haupt Starck Komp. Nr. 73 (Krems 06/09/1804)</t>
        </r>
        <r>
          <rPr>
            <sz val="14"/>
            <color rgb="FF000000"/>
            <rFont val="Calibri"/>
            <family val="34"/>
          </rPr>
          <t xml:space="preserve">
</t>
        </r>
        <r>
          <rPr>
            <sz val="14"/>
            <color rgb="FF000000"/>
            <rFont val="Times New Roman"/>
            <family val="18"/>
          </rPr>
          <t>ML 10.127/8 IR 23 (1807) – Haupt Wagner Komp. Abgang (Poysdorf 26/01/1807)</t>
        </r>
        <r>
          <rPr>
            <sz val="14"/>
            <color rgb="FF000000"/>
            <rFont val="Calibri"/>
            <family val="34"/>
          </rPr>
          <t xml:space="preserve">
</t>
        </r>
      </text>
    </comment>
    <comment ref="BH137" authorId="0" shapeId="0" xr:uid="{2D6D8C42-B4E5-0A4F-B4EC-70D1F8BBC01E}">
      <text>
        <r>
          <rPr>
            <sz val="14"/>
            <color rgb="FF000000"/>
            <rFont val="Calibri"/>
            <family val="34"/>
          </rPr>
          <t xml:space="preserve">IR 23 (1797-1805)
</t>
        </r>
        <r>
          <rPr>
            <sz val="14"/>
            <color rgb="FF000000"/>
            <rFont val="Calibri"/>
            <family val="34"/>
          </rPr>
          <t xml:space="preserve">HS Linz (1805)
</t>
        </r>
        <r>
          <rPr>
            <sz val="14"/>
            <color rgb="FF000000"/>
            <rFont val="Calibri"/>
            <family val="34"/>
          </rPr>
          <t>IR 23 (1805-1806)</t>
        </r>
      </text>
    </comment>
    <comment ref="BF138" authorId="0" shapeId="0" xr:uid="{BE2D9A07-C952-634F-969E-113AB94B6060}">
      <text>
        <r>
          <rPr>
            <sz val="14"/>
            <color rgb="FF000000"/>
            <rFont val="Times New Roman"/>
            <family val="18"/>
          </rPr>
          <t xml:space="preserve">24/02/1797 </t>
        </r>
        <r>
          <rPr>
            <i/>
            <sz val="14"/>
            <color rgb="FF000000"/>
            <rFont val="Times New Roman"/>
            <family val="18"/>
          </rPr>
          <t>A 3Fl Handgeld gestellt und zum IR 3 Reserve Division assentiert</t>
        </r>
        <r>
          <rPr>
            <sz val="14"/>
            <color rgb="FF000000"/>
            <rFont val="Times New Roman"/>
            <family val="18"/>
          </rPr>
          <t xml:space="preserve"> [AL Feb 1797]</t>
        </r>
        <r>
          <rPr>
            <sz val="14"/>
            <color rgb="FF000000"/>
            <rFont val="Calibri"/>
            <family val="34"/>
          </rPr>
          <t xml:space="preserve">
</t>
        </r>
        <r>
          <rPr>
            <sz val="14"/>
            <color rgb="FF000000"/>
            <rFont val="Times New Roman"/>
            <family val="18"/>
          </rPr>
          <t xml:space="preserve">30/04/1797 </t>
        </r>
        <r>
          <rPr>
            <i/>
            <sz val="14"/>
            <color rgb="FF000000"/>
            <rFont val="Times New Roman"/>
            <family val="18"/>
          </rPr>
          <t>Von IR 1 Reserve Division zum 4. Bat. Transferiert und zum Haupt Lefebre Komp. zugeteilt</t>
        </r>
        <r>
          <rPr>
            <sz val="14"/>
            <color rgb="FF000000"/>
            <rFont val="Times New Roman"/>
            <family val="18"/>
          </rPr>
          <t xml:space="preserve"> [ML Oct 1798]</t>
        </r>
        <r>
          <rPr>
            <sz val="14"/>
            <color rgb="FF000000"/>
            <rFont val="Calibri"/>
            <family val="34"/>
          </rPr>
          <t xml:space="preserve">
</t>
        </r>
        <r>
          <rPr>
            <sz val="14"/>
            <color rgb="FF000000"/>
            <rFont val="Times New Roman"/>
            <family val="18"/>
          </rPr>
          <t xml:space="preserve">15/08/1797 </t>
        </r>
        <r>
          <rPr>
            <i/>
            <sz val="14"/>
            <color rgb="FF000000"/>
            <rFont val="Times New Roman"/>
            <family val="18"/>
          </rPr>
          <t>Von IR 1 4. Bat Haupt Dittlinger Komp. zum IR 56 Feld Bats transferiert</t>
        </r>
        <r>
          <rPr>
            <sz val="14"/>
            <color rgb="FF000000"/>
            <rFont val="Times New Roman"/>
            <family val="18"/>
          </rPr>
          <t xml:space="preserve"> [TL Aug 1797]</t>
        </r>
      </text>
    </comment>
    <comment ref="BG138" authorId="0" shapeId="0" xr:uid="{860ADEEB-880C-F348-8CB8-C2E540D620F7}">
      <text>
        <r>
          <rPr>
            <sz val="14"/>
            <color rgb="FF000000"/>
            <rFont val="Times New Roman"/>
            <family val="18"/>
          </rPr>
          <t>ML 69/70 IR 1 (1797) – AL. 63 (Hrubieszow 27/02/1797); TL IR 1 3 Feld Bats-&gt; 4. Bat Nr. 1097 (Freiburg in Breisgau 29/18/1798); TL IR 1-&gt;IR 56 Nr. 82 (Olmütz 20/08/1797)</t>
        </r>
      </text>
    </comment>
    <comment ref="BH138" authorId="0" shapeId="0" xr:uid="{BFC4493C-509F-F043-B790-BB8003F1BA34}">
      <text>
        <r>
          <rPr>
            <sz val="14"/>
            <color rgb="FF000000"/>
            <rFont val="Calibri"/>
            <family val="34"/>
          </rPr>
          <t xml:space="preserve">IR 1 (1797)
</t>
        </r>
        <r>
          <rPr>
            <sz val="14"/>
            <color rgb="FF000000"/>
            <rFont val="Calibri"/>
            <family val="34"/>
          </rPr>
          <t>IR 56 (1797)</t>
        </r>
      </text>
    </comment>
    <comment ref="BF139" authorId="0" shapeId="0" xr:uid="{83A427C1-2559-A943-93E9-45B9B5FC4C06}">
      <text>
        <r>
          <rPr>
            <sz val="14"/>
            <color rgb="FF000000"/>
            <rFont val="Times New Roman"/>
            <family val="18"/>
          </rPr>
          <t xml:space="preserve">24/02/1797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Rauch Nr. 101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Urlaub in Polen desertiert</t>
        </r>
        <r>
          <rPr>
            <sz val="14"/>
            <color rgb="FF000000"/>
            <rFont val="Times New Roman"/>
            <family val="18"/>
          </rPr>
          <t xml:space="preserve"> [ML 1803]</t>
        </r>
        <r>
          <rPr>
            <sz val="14"/>
            <color rgb="FF000000"/>
            <rFont val="Calibri"/>
            <family val="2"/>
            <scheme val="minor"/>
          </rPr>
          <t xml:space="preserve"> </t>
        </r>
      </text>
    </comment>
    <comment ref="BG139" authorId="0" shapeId="0" xr:uid="{833C04CD-07AC-CF44-B5BB-230BBA7A1217}">
      <text>
        <r>
          <rPr>
            <sz val="14"/>
            <color rgb="FF000000"/>
            <rFont val="Times New Roman"/>
            <family val="18"/>
          </rPr>
          <t>ML 10.124 IR 23 (1802) – Haupt Rauch Komp. Nr. 101 (Vienna 16/09/1802)</t>
        </r>
        <r>
          <rPr>
            <sz val="14"/>
            <color rgb="FF000000"/>
            <rFont val="Calibri"/>
            <family val="34"/>
          </rPr>
          <t xml:space="preserve">
</t>
        </r>
        <r>
          <rPr>
            <sz val="14"/>
            <color rgb="FF000000"/>
            <rFont val="Times New Roman"/>
            <family val="18"/>
          </rPr>
          <t>ML 10.125 IR 23 (1803) – Haupt Rauch Komp. Abgang (Vienna 16/09/1803)</t>
        </r>
        <r>
          <rPr>
            <sz val="14"/>
            <color rgb="FF000000"/>
            <rFont val="Calibri"/>
            <family val="34"/>
          </rPr>
          <t xml:space="preserve">
</t>
        </r>
      </text>
    </comment>
    <comment ref="BH139" authorId="0" shapeId="0" xr:uid="{A2B1D2A2-1F66-C34C-B61B-E900C96EE1E3}">
      <text>
        <r>
          <rPr>
            <sz val="14"/>
            <color rgb="FF000000"/>
            <rFont val="Calibri"/>
            <family val="34"/>
          </rPr>
          <t>IR 23 (1797-1803)</t>
        </r>
      </text>
    </comment>
    <comment ref="BF140" authorId="0" shapeId="0" xr:uid="{6074C017-62C4-D14B-8B74-74DE7EB59DEE}">
      <text>
        <r>
          <rPr>
            <sz val="14"/>
            <color rgb="FF000000"/>
            <rFont val="Times New Roman"/>
            <family val="18"/>
          </rPr>
          <t xml:space="preserve">28/02/1797 </t>
        </r>
        <r>
          <rPr>
            <i/>
            <sz val="14"/>
            <color rgb="FF000000"/>
            <rFont val="Times New Roman"/>
            <family val="18"/>
          </rPr>
          <t>als Landständischer Recrout a 3Fl Handgeld zu Jaslo assentiert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01/03/1809 </t>
        </r>
        <r>
          <rPr>
            <i/>
            <sz val="14"/>
            <color rgb="FF000000"/>
            <rFont val="Times New Roman"/>
            <family val="18"/>
          </rPr>
          <t>zum Gefreyter Avanciert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3. Fus. Kompanie zum IR 63 transferiert und zur 10. Fus. Komp. eingeheilt</t>
        </r>
        <r>
          <rPr>
            <sz val="14"/>
            <color rgb="FF000000"/>
            <rFont val="Times New Roman"/>
            <family val="18"/>
          </rPr>
          <t xml:space="preserve"> [TL Sept 1810 &amp; ST March 1810] </t>
        </r>
        <r>
          <rPr>
            <sz val="14"/>
            <color rgb="FF000000"/>
            <rFont val="Calibri"/>
            <family val="34"/>
          </rPr>
          <t xml:space="preserve">
</t>
        </r>
        <r>
          <rPr>
            <sz val="14"/>
            <color rgb="FF000000"/>
            <rFont val="Times New Roman"/>
            <family val="18"/>
          </rPr>
          <t xml:space="preserve">21/08/1810 </t>
        </r>
        <r>
          <rPr>
            <i/>
            <sz val="14"/>
            <color rgb="FF000000"/>
            <rFont val="Times New Roman"/>
            <family val="18"/>
          </rPr>
          <t>Auf Arbeit zu Comorn commandiert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20/10/1810 </t>
        </r>
        <r>
          <rPr>
            <i/>
            <sz val="14"/>
            <color rgb="FF000000"/>
            <rFont val="Times New Roman"/>
            <family val="18"/>
          </rPr>
          <t>Als ausgedienter Capitulant mit Abschied entlassen</t>
        </r>
        <r>
          <rPr>
            <sz val="14"/>
            <color rgb="FF000000"/>
            <rFont val="Times New Roman"/>
            <family val="18"/>
          </rPr>
          <t xml:space="preserve"> [ST Oct 1810] </t>
        </r>
      </text>
    </comment>
    <comment ref="BG140" authorId="0" shapeId="0" xr:uid="{FA57EB38-2312-1A4D-BE49-B8C92CAC4247}">
      <text>
        <r>
          <rPr>
            <sz val="14"/>
            <color rgb="FF000000"/>
            <rFont val="Times New Roman"/>
            <family val="18"/>
          </rPr>
          <t xml:space="preserve">ML 5292 IR 63 (1810) – März (Preßburg 16/07/1811), Aug (31/10/1811), Oct (Karlhaus bei Brünn 20/11/1810)
</t>
        </r>
        <r>
          <rPr>
            <sz val="14"/>
            <color rgb="FF000000"/>
            <rFont val="Times New Roman"/>
            <family val="18"/>
          </rPr>
          <t xml:space="preserve">ML 5293 IR 63 (1810) AL/TL – TL IR 13-&gt;IR 63 Nr. 33 (Graz 02/09/1810)
</t>
        </r>
      </text>
    </comment>
    <comment ref="BH140" authorId="0" shapeId="0" xr:uid="{DB9FDF63-6D69-9846-98B8-A49373CEFF95}">
      <text>
        <r>
          <rPr>
            <sz val="14"/>
            <color rgb="FF000000"/>
            <rFont val="Calibri"/>
            <family val="34"/>
          </rPr>
          <t xml:space="preserve">IR 13 (1797-1810)
</t>
        </r>
        <r>
          <rPr>
            <sz val="14"/>
            <color rgb="FF000000"/>
            <rFont val="Calibri"/>
            <family val="34"/>
          </rPr>
          <t>IR 63 (1810)</t>
        </r>
      </text>
    </comment>
    <comment ref="BF141" authorId="0" shapeId="0" xr:uid="{F383B807-EB6F-5C4E-8A75-ADFDE26DDDDD}">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Haupt Dostal Comp</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 xml:space="preserve">15/09/1797 </t>
        </r>
        <r>
          <rPr>
            <i/>
            <sz val="14"/>
            <color rgb="FF000000"/>
            <rFont val="Times New Roman"/>
            <family val="18"/>
          </rPr>
          <t>zu militar Fuhrwesen Corps der I.Oe Armee trasnferiert</t>
        </r>
        <r>
          <rPr>
            <sz val="14"/>
            <color rgb="FF000000"/>
            <rFont val="Times New Roman"/>
            <family val="18"/>
          </rPr>
          <t xml:space="preserve"> [ST Sept 1797]</t>
        </r>
        <r>
          <rPr>
            <sz val="14"/>
            <color rgb="FF000000"/>
            <rFont val="Calibri"/>
            <family val="34"/>
          </rPr>
          <t xml:space="preserve">
</t>
        </r>
      </text>
    </comment>
    <comment ref="BG141" authorId="0" shapeId="0" xr:uid="{1C2AF3A2-51B1-D243-A619-99FD107880CA}">
      <text>
        <r>
          <rPr>
            <sz val="14"/>
            <color rgb="FF000000"/>
            <rFont val="Calibri"/>
            <family val="34"/>
          </rPr>
          <t>ML 10.305 IR 43 (1797) ST Aug (01/09/1803) und Sept (02/09/1804)</t>
        </r>
      </text>
    </comment>
    <comment ref="BH141" authorId="0" shapeId="0" xr:uid="{AA4B88BD-5EED-184B-98C2-31933553A39B}">
      <text>
        <r>
          <rPr>
            <sz val="14"/>
            <color rgb="FF000000"/>
            <rFont val="Calibri"/>
            <family val="34"/>
          </rPr>
          <t>IR 43 (1797)</t>
        </r>
      </text>
    </comment>
    <comment ref="BF142" authorId="0" shapeId="0" xr:uid="{556F23E7-4744-2549-A18E-F791087DF25D}">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Dietrich Comp eingerückt</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25/01/1799 Revision: IR 43 Nr. 53 beim Dietrich Comp Nr. 53 [</t>
        </r>
        <r>
          <rPr>
            <i/>
            <sz val="14"/>
            <color rgb="FF000000"/>
            <rFont val="Times New Roman"/>
            <family val="18"/>
          </rPr>
          <t>Commandiert in loco Spital</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01/06/1799 </t>
        </r>
        <r>
          <rPr>
            <i/>
            <sz val="14"/>
            <color rgb="FF000000"/>
            <rFont val="Times New Roman"/>
            <family val="18"/>
          </rPr>
          <t>Krank 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25/08/1799 </t>
        </r>
        <r>
          <rPr>
            <i/>
            <sz val="14"/>
            <color rgb="FF000000"/>
            <rFont val="Times New Roman"/>
            <family val="18"/>
          </rPr>
          <t>von anhero Marsch desertiert</t>
        </r>
        <r>
          <rPr>
            <sz val="14"/>
            <color rgb="FF000000"/>
            <rFont val="Times New Roman"/>
            <family val="18"/>
          </rPr>
          <t xml:space="preserve"> [ST August 1799]</t>
        </r>
        <r>
          <rPr>
            <sz val="14"/>
            <color rgb="FF000000"/>
            <rFont val="Calibri"/>
            <family val="34"/>
          </rPr>
          <t xml:space="preserve">
</t>
        </r>
      </text>
    </comment>
    <comment ref="BG142" authorId="0" shapeId="0" xr:uid="{FF774EF8-FB94-FF4F-93B3-1CC86BF743BB}">
      <text>
        <r>
          <rPr>
            <sz val="14"/>
            <color rgb="FF000000"/>
            <rFont val="Calibri"/>
            <family val="34"/>
          </rPr>
          <t xml:space="preserve">ML 10.271 IR 43 (1796-9) – RL Heft von Haupt Dietrich Comp Nr. 53 (Udine 25/01/1799)
</t>
        </r>
        <r>
          <rPr>
            <sz val="14"/>
            <color rgb="FF000000"/>
            <rFont val="Calibri"/>
            <family val="34"/>
          </rPr>
          <t xml:space="preserve">ML 10.305 IR 43 (1797) August (01/09/1802)
</t>
        </r>
        <r>
          <rPr>
            <sz val="14"/>
            <color rgb="FF000000"/>
            <rFont val="Calibri"/>
            <family val="34"/>
          </rPr>
          <t xml:space="preserve">ML 10.307 IR 43 (1799) – ST June (12/12/1799) und August (01/01/1800)
</t>
        </r>
      </text>
    </comment>
    <comment ref="BH142" authorId="0" shapeId="0" xr:uid="{3D179E1D-3886-644D-8601-F2C23538455F}">
      <text>
        <r>
          <rPr>
            <sz val="14"/>
            <color rgb="FF000000"/>
            <rFont val="Calibri"/>
            <family val="34"/>
          </rPr>
          <t>IR 43 (1797-1799)</t>
        </r>
      </text>
    </comment>
    <comment ref="BF143" authorId="0" shapeId="0" xr:uid="{B006BB66-1636-9841-8B99-223F79FDC9B5}">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 xml:space="preserve">Ohne Handgeld in die Loco Verpflegung eingebracht und kommt anhero einstwillig von begabte dato in Stand und Gebührin Haupt Pasqually Comp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01/09/1797 </t>
        </r>
        <r>
          <rPr>
            <i/>
            <sz val="14"/>
            <color rgb="FF000000"/>
            <rFont val="Times New Roman"/>
            <family val="18"/>
          </rPr>
          <t>Krank in loco Spital</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31/09/1797 </t>
        </r>
        <r>
          <rPr>
            <i/>
            <sz val="14"/>
            <color rgb="FF000000"/>
            <rFont val="Times New Roman"/>
            <family val="18"/>
          </rPr>
          <t>Reconvaleciert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Pasqually Nr. 72</t>
        </r>
        <r>
          <rPr>
            <sz val="14"/>
            <color rgb="FF000000"/>
            <rFont val="Calibri"/>
            <family val="34"/>
          </rPr>
          <t xml:space="preserve">
</t>
        </r>
        <r>
          <rPr>
            <sz val="14"/>
            <color rgb="FF000000"/>
            <rFont val="Times New Roman"/>
            <family val="18"/>
          </rPr>
          <t xml:space="preserve">24/06/1799 </t>
        </r>
        <r>
          <rPr>
            <i/>
            <sz val="14"/>
            <color rgb="FF000000"/>
            <rFont val="Times New Roman"/>
            <family val="18"/>
          </rPr>
          <t>von loco ohne Feuergewehr Desertiert</t>
        </r>
        <r>
          <rPr>
            <sz val="14"/>
            <color rgb="FF000000"/>
            <rFont val="Times New Roman"/>
            <family val="18"/>
          </rPr>
          <t xml:space="preserve"> [ST June 1799]</t>
        </r>
        <r>
          <rPr>
            <sz val="14"/>
            <color rgb="FF000000"/>
            <rFont val="Calibri"/>
            <family val="34"/>
          </rPr>
          <t xml:space="preserve">
</t>
        </r>
      </text>
    </comment>
    <comment ref="BG143" authorId="0" shapeId="0" xr:uid="{BC73174D-3F9B-604A-9D95-1EEB67A17366}">
      <text>
        <r>
          <rPr>
            <sz val="14"/>
            <color rgb="FF000000"/>
            <rFont val="Calibri"/>
            <family val="34"/>
          </rPr>
          <t xml:space="preserve">ML 10.271 IR 43 (1796-9) – RL Heft von Haupt Pasqually Nr. 72 (Udine 25/01/1799)
</t>
        </r>
        <r>
          <rPr>
            <sz val="14"/>
            <color rgb="FF000000"/>
            <rFont val="Calibri"/>
            <family val="34"/>
          </rPr>
          <t xml:space="preserve">ML 10.305 IR 43 (1797) August (01/09/1803) und Sept (02/09/1804) und Okt (31/05/1805)
</t>
        </r>
        <r>
          <rPr>
            <sz val="14"/>
            <color rgb="FF000000"/>
            <rFont val="Calibri"/>
            <family val="34"/>
          </rPr>
          <t xml:space="preserve">ML 10.307 IR 43 (1799) – ST June (12/12/1799) 
</t>
        </r>
      </text>
    </comment>
    <comment ref="BH143" authorId="0" shapeId="0" xr:uid="{2F268066-0D5D-3A4D-8E6A-3B06F956B451}">
      <text>
        <r>
          <rPr>
            <sz val="14"/>
            <color rgb="FF000000"/>
            <rFont val="Calibri"/>
            <family val="34"/>
          </rPr>
          <t>IR 43 (1797-1799)</t>
        </r>
      </text>
    </comment>
    <comment ref="BF144" authorId="0" shapeId="0" xr:uid="{38F27263-B281-BD4B-8CFA-D920A6E40706}">
      <text>
        <r>
          <rPr>
            <sz val="14"/>
            <color rgb="FF000000"/>
            <rFont val="Times New Roman"/>
            <family val="18"/>
          </rPr>
          <t>In 03/1797</t>
        </r>
        <r>
          <rPr>
            <i/>
            <sz val="14"/>
            <color rgb="FFFF0000"/>
            <rFont val="Times New Roman"/>
            <family val="18"/>
          </rPr>
          <t xml:space="preserve"> </t>
        </r>
        <r>
          <rPr>
            <i/>
            <sz val="14"/>
            <color rgb="FF000000"/>
            <rFont val="Times New Roman"/>
            <family val="18"/>
          </rPr>
          <t>von Galizischen Ständen auf Kriegsdauer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 xml:space="preserve">Ohne Handgeld in die Loco Verpflegung eingebracht und kommt anhero einstwillig von begabte dato in Stand und Gebühr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01/08/1797 </t>
        </r>
        <r>
          <rPr>
            <i/>
            <sz val="14"/>
            <color rgb="FF000000"/>
            <rFont val="Times New Roman"/>
            <family val="18"/>
          </rPr>
          <t>Ein tag in Arrest</t>
        </r>
        <r>
          <rPr>
            <sz val="14"/>
            <color rgb="FF000000"/>
            <rFont val="Times New Roman"/>
            <family val="18"/>
          </rPr>
          <t xml:space="preserve"> [ST August 1797]</t>
        </r>
        <r>
          <rPr>
            <sz val="14"/>
            <color rgb="FF000000"/>
            <rFont val="Calibri"/>
            <family val="34"/>
          </rPr>
          <t xml:space="preserve">
</t>
        </r>
        <r>
          <rPr>
            <sz val="14"/>
            <color rgb="FF000000"/>
            <rFont val="Times New Roman"/>
            <family val="18"/>
          </rPr>
          <t xml:space="preserve">17/09/1797 </t>
        </r>
        <r>
          <rPr>
            <i/>
            <sz val="14"/>
            <color rgb="FF000000"/>
            <rFont val="Times New Roman"/>
            <family val="18"/>
          </rPr>
          <t>in Arrest</t>
        </r>
        <r>
          <rPr>
            <sz val="14"/>
            <color rgb="FF000000"/>
            <rFont val="Times New Roman"/>
            <family val="18"/>
          </rPr>
          <t xml:space="preserve"> [ST Sept 1797]</t>
        </r>
        <r>
          <rPr>
            <sz val="14"/>
            <color rgb="FF000000"/>
            <rFont val="Calibri"/>
            <family val="34"/>
          </rPr>
          <t xml:space="preserve">
</t>
        </r>
        <r>
          <rPr>
            <sz val="14"/>
            <color rgb="FF000000"/>
            <rFont val="Times New Roman"/>
            <family val="18"/>
          </rPr>
          <t xml:space="preserve">24/10/1797 </t>
        </r>
        <r>
          <rPr>
            <i/>
            <sz val="14"/>
            <color rgb="FF000000"/>
            <rFont val="Times New Roman"/>
            <family val="18"/>
          </rPr>
          <t>von Arrest Befreit</t>
        </r>
        <r>
          <rPr>
            <sz val="14"/>
            <color rgb="FF000000"/>
            <rFont val="Times New Roman"/>
            <family val="18"/>
          </rPr>
          <t xml:space="preserve"> [ST October 1797]</t>
        </r>
        <r>
          <rPr>
            <sz val="14"/>
            <color rgb="FF000000"/>
            <rFont val="Calibri"/>
            <family val="34"/>
          </rPr>
          <t xml:space="preserve">
</t>
        </r>
        <r>
          <rPr>
            <sz val="14"/>
            <color rgb="FFFF0000"/>
            <rFont val="Times New Roman"/>
            <family val="18"/>
          </rPr>
          <t xml:space="preserve">28/11/1797 </t>
        </r>
        <r>
          <rPr>
            <i/>
            <sz val="14"/>
            <color rgb="FFFF0000"/>
            <rFont val="Times New Roman"/>
            <family val="18"/>
          </rPr>
          <t xml:space="preserve">a 3Fl Handgeld von Ständen a 3Fl auf Kriegsdauer gestellt </t>
        </r>
        <r>
          <rPr>
            <sz val="14"/>
            <color rgb="FFFF0000"/>
            <rFont val="Times New Roman"/>
            <family val="18"/>
          </rPr>
          <t>[ML 1802-5]</t>
        </r>
        <r>
          <rPr>
            <sz val="14"/>
            <color rgb="FF000000"/>
            <rFont val="Calibri"/>
            <family val="34"/>
          </rPr>
          <t xml:space="preserve">
</t>
        </r>
        <r>
          <rPr>
            <sz val="14"/>
            <color rgb="FF000000"/>
            <rFont val="Times New Roman"/>
            <family val="18"/>
          </rPr>
          <t>26/01/1799 Revision: IR 43 Haupt Pasqually Nr. 82]</t>
        </r>
        <r>
          <rPr>
            <sz val="14"/>
            <color rgb="FF000000"/>
            <rFont val="Calibri"/>
            <family val="34"/>
          </rPr>
          <t xml:space="preserve">
</t>
        </r>
        <r>
          <rPr>
            <sz val="14"/>
            <color rgb="FF000000"/>
            <rFont val="Times New Roman"/>
            <family val="18"/>
          </rPr>
          <t xml:space="preserve">11/08/1799 </t>
        </r>
        <r>
          <rPr>
            <i/>
            <sz val="14"/>
            <color rgb="FF000000"/>
            <rFont val="Times New Roman"/>
            <family val="18"/>
          </rPr>
          <t>Zum Gefreyter avanciert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01/02/1802 </t>
        </r>
        <r>
          <rPr>
            <i/>
            <sz val="14"/>
            <color rgb="FF000000"/>
            <rFont val="Times New Roman"/>
            <family val="18"/>
          </rPr>
          <t>Von Haupt Pasqually zum Supernumeraries transferiert</t>
        </r>
        <r>
          <rPr>
            <sz val="14"/>
            <color rgb="FF000000"/>
            <rFont val="Times New Roman"/>
            <family val="18"/>
          </rPr>
          <t xml:space="preserve"> [ST Feb 1802 &amp; ML 1802]</t>
        </r>
        <r>
          <rPr>
            <sz val="14"/>
            <color rgb="FF000000"/>
            <rFont val="Calibri"/>
            <family val="34"/>
          </rPr>
          <t xml:space="preserve">
</t>
        </r>
        <r>
          <rPr>
            <sz val="14"/>
            <color rgb="FF000000"/>
            <rFont val="Times New Roman"/>
            <family val="18"/>
          </rPr>
          <t xml:space="preserve">30/06/1802 </t>
        </r>
        <r>
          <rPr>
            <i/>
            <sz val="14"/>
            <color rgb="FF000000"/>
            <rFont val="Times New Roman"/>
            <family val="18"/>
          </rPr>
          <t>Vom Supernumerarien zum Haupt Pasqually Company zurück transferiert</t>
        </r>
        <r>
          <rPr>
            <sz val="14"/>
            <color rgb="FF000000"/>
            <rFont val="Times New Roman"/>
            <family val="18"/>
          </rPr>
          <t xml:space="preserve"> [ST July 1802 &amp; ML 1802]</t>
        </r>
        <r>
          <rPr>
            <sz val="14"/>
            <color rgb="FF000000"/>
            <rFont val="Calibri"/>
            <family val="34"/>
          </rPr>
          <t xml:space="preserve">
</t>
        </r>
        <r>
          <rPr>
            <sz val="14"/>
            <color rgb="FF000000"/>
            <rFont val="Times New Roman"/>
            <family val="18"/>
          </rPr>
          <t>28/08/1802 Musterung: IR 43 Haupt Pasqually Nr. 16</t>
        </r>
        <r>
          <rPr>
            <sz val="14"/>
            <color rgb="FF000000"/>
            <rFont val="Calibri"/>
            <family val="34"/>
          </rPr>
          <t xml:space="preserve">
</t>
        </r>
        <r>
          <rPr>
            <sz val="14"/>
            <color rgb="FF000000"/>
            <rFont val="Times New Roman"/>
            <family val="18"/>
          </rPr>
          <t xml:space="preserve">31/12/1802 </t>
        </r>
        <r>
          <rPr>
            <i/>
            <sz val="14"/>
            <color rgb="FF000000"/>
            <rFont val="Times New Roman"/>
            <family val="18"/>
          </rPr>
          <t>ist Freiwillig zu Gemeiner degradiert</t>
        </r>
        <r>
          <rPr>
            <sz val="14"/>
            <color rgb="FF000000"/>
            <rFont val="Times New Roman"/>
            <family val="18"/>
          </rPr>
          <t xml:space="preserve"> [ML 1803 &amp; ST Jan 1803]</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IR 43 Haupt Pasqually Comp. Nr. 158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Musterung: IR 43 Haupt Pasqually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10/11/1805 Musterung: IR 43 15. Fus Comp Nr. 131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 xml:space="preserve">Als auf Urlaub </t>
        </r>
      </text>
    </comment>
    <comment ref="BG144" authorId="0" shapeId="0" xr:uid="{20F58282-6A9A-9D4E-A3D9-73141DBCFF62}">
      <text>
        <r>
          <rPr>
            <sz val="14"/>
            <color rgb="FF000000"/>
            <rFont val="Times New Roman"/>
            <family val="18"/>
          </rPr>
          <t>ML 10.271 IR 43 (1796-9) – RL Haupt Pasqually Comp. Nr. 82 (Cividalle 26/01/1799)</t>
        </r>
        <r>
          <rPr>
            <sz val="14"/>
            <color rgb="FF000000"/>
            <rFont val="Calibri"/>
            <family val="34"/>
          </rPr>
          <t xml:space="preserve">
</t>
        </r>
        <r>
          <rPr>
            <sz val="14"/>
            <color rgb="FF000000"/>
            <rFont val="Times New Roman"/>
            <family val="18"/>
          </rPr>
          <t>ML 10.272 IR 48 (1802) – Heft von Haupt Pasqually Nr. 16 (Cattaro 28/08/1802) &amp; Heft von Supernumeraries, Zuwachs &amp; Abgang (Zara 11/09/1802)</t>
        </r>
        <r>
          <rPr>
            <sz val="14"/>
            <color rgb="FF000000"/>
            <rFont val="Calibri"/>
            <family val="34"/>
          </rPr>
          <t xml:space="preserve">
</t>
        </r>
        <r>
          <rPr>
            <sz val="14"/>
            <color rgb="FF000000"/>
            <rFont val="Times New Roman"/>
            <family val="18"/>
          </rPr>
          <t>ML 10.273 IR 46 (1803) – Heft von Haupt Pasqually Nr. 158 (Cattaro 02/11/1803)</t>
        </r>
        <r>
          <rPr>
            <sz val="14"/>
            <color rgb="FF000000"/>
            <rFont val="Calibri"/>
            <family val="34"/>
          </rPr>
          <t xml:space="preserve">
</t>
        </r>
        <r>
          <rPr>
            <sz val="14"/>
            <color rgb="FF000000"/>
            <rFont val="Times New Roman"/>
            <family val="18"/>
          </rPr>
          <t>ML 10.274 IR 43 (1804) – Heft von Haupt Pasqually Comp. Nr. 148 (Theodo 05/10/1804)</t>
        </r>
        <r>
          <rPr>
            <sz val="14"/>
            <color rgb="FF000000"/>
            <rFont val="Calibri"/>
            <family val="34"/>
          </rPr>
          <t xml:space="preserve">
</t>
        </r>
        <r>
          <rPr>
            <sz val="14"/>
            <color rgb="FF000000"/>
            <rFont val="Times New Roman"/>
            <family val="18"/>
          </rPr>
          <t>ML 10.275/6 IR 43 (1805) – Heft von 15. Fus Comp. Nr. 131 (Macarsca (10/11/1805)</t>
        </r>
        <r>
          <rPr>
            <sz val="14"/>
            <color rgb="FF000000"/>
            <rFont val="Calibri"/>
            <family val="34"/>
          </rPr>
          <t xml:space="preserve">
</t>
        </r>
        <r>
          <rPr>
            <sz val="14"/>
            <color rgb="FF000000"/>
            <rFont val="Times New Roman"/>
            <family val="18"/>
          </rPr>
          <t>ML 10/277/8 IR 43 (1806) – Heft von 9. Fus Comp. Abgang (Neustadt 05/12/1806)</t>
        </r>
        <r>
          <rPr>
            <sz val="14"/>
            <color rgb="FF000000"/>
            <rFont val="Calibri"/>
            <family val="34"/>
          </rPr>
          <t xml:space="preserve">
</t>
        </r>
        <r>
          <rPr>
            <sz val="14"/>
            <color rgb="FF000000"/>
            <rFont val="Times New Roman"/>
            <family val="18"/>
          </rPr>
          <t>ML 10.305 IR 43 (1797) – ST Aug (01/09/1803), Sept (02/09/1804), und Okt (31/05/1805)</t>
        </r>
        <r>
          <rPr>
            <sz val="14"/>
            <color rgb="FF000000"/>
            <rFont val="Calibri"/>
            <family val="34"/>
          </rPr>
          <t xml:space="preserve">
</t>
        </r>
        <r>
          <rPr>
            <sz val="14"/>
            <color rgb="FF000000"/>
            <rFont val="Times New Roman"/>
            <family val="18"/>
          </rPr>
          <t>ML 10.307 IR 43 (1799) – ST Sept (21/07/1800), Nov (12/10/1800)</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 xml:space="preserve">ML 10.313 IR 43 (1803) – ST Jänner (15/02/1803) und März (15/07/1803) </t>
        </r>
        <r>
          <rPr>
            <sz val="14"/>
            <color rgb="FF000000"/>
            <rFont val="Calibri"/>
            <family val="34"/>
          </rPr>
          <t xml:space="preserve">
</t>
        </r>
        <r>
          <rPr>
            <sz val="14"/>
            <color rgb="FF000000"/>
            <rFont val="Times New Roman"/>
            <family val="18"/>
          </rPr>
          <t xml:space="preserve">ML 10.317 IR 43 (1806) – ST Oktober (27/11/1806) </t>
        </r>
      </text>
    </comment>
    <comment ref="BH144" authorId="0" shapeId="0" xr:uid="{8E805AD8-5BC3-2D40-A9B4-712DAA766D6D}">
      <text>
        <r>
          <rPr>
            <sz val="14"/>
            <color rgb="FF000000"/>
            <rFont val="Calibri"/>
            <family val="34"/>
          </rPr>
          <t>IR 43 (1797-1799)</t>
        </r>
      </text>
    </comment>
    <comment ref="BF145" authorId="0" shapeId="0" xr:uid="{77A443D9-E717-7D49-96BE-8955D5964968}">
      <text>
        <r>
          <rPr>
            <sz val="14"/>
            <color rgb="FFFF0000"/>
            <rFont val="+mn-lt"/>
            <charset val="1"/>
          </rPr>
          <t xml:space="preserve">10/03/1796 von Gallizischen Ständen auf Kriegsdauer gestellt [ML 1802-3/5]
</t>
        </r>
        <r>
          <rPr>
            <sz val="14"/>
            <color rgb="FFFF0000"/>
            <rFont val="+mn-lt"/>
            <charset val="1"/>
          </rPr>
          <t xml:space="preserve">16/03/1796 seit auf Kriegsdauer [ML 1804]
</t>
        </r>
        <r>
          <rPr>
            <sz val="14"/>
            <color rgb="FF000000"/>
            <rFont val="+mn-lt"/>
            <charset val="1"/>
          </rPr>
          <t xml:space="preserve">In 03/1797 von Galizischen Ständen auf Kriegsdauer gestellt
</t>
        </r>
        <r>
          <rPr>
            <sz val="14"/>
            <color rgb="FF000000"/>
            <rFont val="+mn-lt"/>
            <charset val="1"/>
          </rPr>
          <t xml:space="preserve">01/08/1797 von Galizischen Ständen gestellt und Ohne Handgeld in die Loco Verpflegung eingebracht und kommt anhero einstwillig von begabte dato in Stand und Gebühr der Haupt Fischer Companie [ST August 1797] 
</t>
        </r>
        <r>
          <rPr>
            <sz val="14"/>
            <color rgb="FF000000"/>
            <rFont val="+mn-lt"/>
            <charset val="1"/>
          </rPr>
          <t xml:space="preserve">20/08/1797 [seit] Krank in loco Spital [ST August 1797]
</t>
        </r>
        <r>
          <rPr>
            <sz val="14"/>
            <color rgb="FF000000"/>
            <rFont val="+mn-lt"/>
            <charset val="1"/>
          </rPr>
          <t xml:space="preserve">07/10/1797 Reconvalesciert [ST October 1797]
</t>
        </r>
        <r>
          <rPr>
            <sz val="14"/>
            <color rgb="FF000000"/>
            <rFont val="+mn-lt"/>
            <charset val="1"/>
          </rPr>
          <t xml:space="preserve">Bevor 13/03/1798 von Reserve Division zum Haupt Geisler Comp transferiert [ML 1799]
</t>
        </r>
        <r>
          <rPr>
            <sz val="14"/>
            <color rgb="FF000000"/>
            <rFont val="+mn-lt"/>
            <charset val="1"/>
          </rPr>
          <t xml:space="preserve">26/01/1799 Revision: IR 43 Haupt Geisler Nr. 64
</t>
        </r>
        <r>
          <rPr>
            <sz val="14"/>
            <color rgb="FF000000"/>
            <rFont val="+mn-lt"/>
            <charset val="1"/>
          </rPr>
          <t xml:space="preserve">18/08/1799 Krank auswärts mit Kriegsgebühr [wounded at Novi?] [ST Aug 1799]
</t>
        </r>
        <r>
          <rPr>
            <sz val="14"/>
            <color rgb="FF000000"/>
            <rFont val="+mn-lt"/>
            <charset val="1"/>
          </rPr>
          <t xml:space="preserve">31/08/1799 Reconvalesciert [ST Sept 1799]
</t>
        </r>
        <r>
          <rPr>
            <sz val="14"/>
            <color rgb="FF000000"/>
            <rFont val="+mn-lt"/>
            <charset val="1"/>
          </rPr>
          <t xml:space="preserve">31/12/1799 von Haupt Geistler Comp zum Regiments Artillerie Handlanger transferiert [ST Jan 1800]
</t>
        </r>
        <r>
          <rPr>
            <sz val="14"/>
            <color rgb="FF000000"/>
            <rFont val="+mn-lt"/>
            <charset val="1"/>
          </rPr>
          <t xml:space="preserve">01/02/1801 Zugeheilt beim Reserve Division mit Friedens Gebühr und ½xr Fleischbeitrag [ST Feb 1801]
</t>
        </r>
        <r>
          <rPr>
            <sz val="14"/>
            <color rgb="FF000000"/>
            <rFont val="+mn-lt"/>
            <charset val="1"/>
          </rPr>
          <t xml:space="preserve">06/02/1801 wieder zum Artillerie Handlanger eingerückt [ST Feb 1801]
</t>
        </r>
        <r>
          <rPr>
            <sz val="14"/>
            <color rgb="FF000000"/>
            <rFont val="+mn-lt"/>
            <charset val="1"/>
          </rPr>
          <t xml:space="preserve">11/04/1801 von dissolvierte Artillerie Handlanger zurück ins Haupt Geistler Comp transferiert [ST May 1801] 
</t>
        </r>
        <r>
          <rPr>
            <sz val="14"/>
            <color rgb="FF000000"/>
            <rFont val="+mn-lt"/>
            <charset val="1"/>
          </rPr>
          <t xml:space="preserve">28/08/1802 Musterung: IR 43 Haupt Geisler Nr. 46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Geistler Comp. Nr. 42 [Auf Unbestimmte Urlaub zu Messeritz]
</t>
        </r>
        <r>
          <rPr>
            <sz val="14"/>
            <color rgb="FF000000"/>
            <rFont val="+mn-lt"/>
            <charset val="1"/>
          </rPr>
          <t xml:space="preserve">05/10/1804 Musterung: IR 43 Haupt Geistler Comp Nr. 42 [Beurlaubt bis zur Einberufung in seinem Geburtsort]
</t>
        </r>
        <r>
          <rPr>
            <sz val="14"/>
            <color rgb="FF000000"/>
            <rFont val="+mn-lt"/>
            <charset val="1"/>
          </rPr>
          <t xml:space="preserve">At Muster 23/10/1805 10. Fus Comp Nr. 40 [Beurlaubt bis zur Einberufung in seinem Geburtsort]
</t>
        </r>
        <r>
          <rPr>
            <sz val="14"/>
            <color rgb="FF000000"/>
            <rFont val="+mn-lt"/>
            <charset val="1"/>
          </rPr>
          <t xml:space="preserve">31/10/1806 Als auf Urlaub verbliebene von 14. Fus Comp als unwissend Verloren in Abgang [ST Oct 1806 &amp; ML 1806]
</t>
        </r>
      </text>
    </comment>
    <comment ref="BG145" authorId="0" shapeId="0" xr:uid="{F06AD246-0953-2D4E-9F2D-3CD9C7C5ABF9}">
      <text>
        <r>
          <rPr>
            <sz val="14"/>
            <color rgb="FF000000"/>
            <rFont val="Calibri"/>
            <family val="34"/>
          </rPr>
          <t xml:space="preserve">ML 10.271 IR 43 (1796-99) – RL Haupt Höffern Comp Nr. 56 (Civittale 26/01/1799)
</t>
        </r>
        <r>
          <rPr>
            <sz val="14"/>
            <color rgb="FF000000"/>
            <rFont val="Calibri"/>
            <family val="34"/>
          </rPr>
          <t xml:space="preserve">ML 10.272 IR 43 (1802) – Heft von Haupt Baumann Comp Nr. 44 (Cattaro 28/08/1802)
</t>
        </r>
        <r>
          <rPr>
            <sz val="14"/>
            <color rgb="FF000000"/>
            <rFont val="Calibri"/>
            <family val="34"/>
          </rPr>
          <t xml:space="preserve">ML 10.273 IR 43 (1803) – Heft von Haupt Baumann Comp. Nr. 43 (Cattaro 02/11/1803)
</t>
        </r>
        <r>
          <rPr>
            <sz val="14"/>
            <color rgb="FF000000"/>
            <rFont val="Calibri"/>
            <family val="34"/>
          </rPr>
          <t xml:space="preserve">ML 10.274 IR 43 (1804) – Heft von Haupt Baumann Comp. Nr. 42 (Theodo 05/10/1804)
</t>
        </r>
        <r>
          <rPr>
            <sz val="14"/>
            <color rgb="FF000000"/>
            <rFont val="Calibri"/>
            <family val="34"/>
          </rPr>
          <t xml:space="preserve">ML 10.275/6 IR 43 (1805) – Heft von 12. Fus. Comp. Nr. 49 (Spalato 05/10/1805)
</t>
        </r>
        <r>
          <rPr>
            <sz val="14"/>
            <color rgb="FF000000"/>
            <rFont val="Calibri"/>
            <family val="34"/>
          </rPr>
          <t xml:space="preserve">ML 10.277/8 IR 43 (1806) – Heft von 16. Fus. Comp. – Abgang (Laibach (01/12/1806)
</t>
        </r>
        <r>
          <rPr>
            <sz val="14"/>
            <color rgb="FF000000"/>
            <rFont val="Calibri"/>
            <family val="34"/>
          </rPr>
          <t xml:space="preserve">ML 10.305 IR 43 (1797) – ST Aug (01/09/1803)
</t>
        </r>
        <r>
          <rPr>
            <sz val="14"/>
            <color rgb="FF000000"/>
            <rFont val="Calibri"/>
            <family val="34"/>
          </rPr>
          <t xml:space="preserve">ML 10.307 IR 43 (1799) – ST Juni (12/12/1799), August (06/03/1800), und Dezember (01/11/1800)
</t>
        </r>
        <r>
          <rPr>
            <sz val="14"/>
            <color rgb="FF000000"/>
            <rFont val="Calibri"/>
            <family val="34"/>
          </rPr>
          <t xml:space="preserve">ML 10.312 IR 43 (1802) – ST Juli (15/08/1802)
</t>
        </r>
        <r>
          <rPr>
            <sz val="14"/>
            <color rgb="FF000000"/>
            <rFont val="Calibri"/>
            <family val="34"/>
          </rPr>
          <t xml:space="preserve">ML 10.313 IR 43 (1803) – ST März (15/04/1804)
</t>
        </r>
        <r>
          <rPr>
            <sz val="14"/>
            <color rgb="FF000000"/>
            <rFont val="Calibri"/>
            <family val="34"/>
          </rPr>
          <t xml:space="preserve">ML 10.315 IR 43 (1805) – ST Sept (15/11/1805)
</t>
        </r>
        <r>
          <rPr>
            <sz val="14"/>
            <color rgb="FF000000"/>
            <rFont val="Calibri"/>
            <family val="34"/>
          </rPr>
          <t>ML 10.317 IR 43 (1806) – ST Nov (15/12/1806)</t>
        </r>
      </text>
    </comment>
    <comment ref="BH145" authorId="0" shapeId="0" xr:uid="{644859B2-6570-674F-A8D2-FA3146326A51}">
      <text>
        <r>
          <rPr>
            <sz val="14"/>
            <color rgb="FF000000"/>
            <rFont val="Calibri"/>
            <family val="34"/>
          </rPr>
          <t>IR 43 (1797-1806)</t>
        </r>
      </text>
    </comment>
    <comment ref="BF146" authorId="0" shapeId="0" xr:uid="{DA2E0C26-65A6-CA44-89F7-B009DD38D71D}">
      <text>
        <r>
          <rPr>
            <sz val="14"/>
            <color rgb="FF000000"/>
            <rFont val="Times New Roman"/>
            <family val="18"/>
          </rPr>
          <t xml:space="preserve">In März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01/08/1797 </t>
        </r>
        <r>
          <rPr>
            <i/>
            <sz val="14"/>
            <color rgb="FF000000"/>
            <rFont val="Times New Roman"/>
            <family val="18"/>
          </rPr>
          <t>Ohne Handgeld in die Loco Verpflegung eingebracht und kommt anhero einstwillig von begabte dato in Stand und Gebühr ins Haupt Dostal Comp</t>
        </r>
        <r>
          <rPr>
            <sz val="14"/>
            <color rgb="FF000000"/>
            <rFont val="Times New Roman"/>
            <family val="18"/>
          </rPr>
          <t xml:space="preserve"> [ST August 1797] </t>
        </r>
        <r>
          <rPr>
            <sz val="14"/>
            <color rgb="FF000000"/>
            <rFont val="Calibri"/>
            <family val="34"/>
          </rPr>
          <t xml:space="preserve">
</t>
        </r>
        <r>
          <rPr>
            <sz val="14"/>
            <color rgb="FF000000"/>
            <rFont val="Times New Roman"/>
            <family val="18"/>
          </rPr>
          <t xml:space="preserve">15/09/1797 </t>
        </r>
        <r>
          <rPr>
            <i/>
            <sz val="14"/>
            <color rgb="FF000000"/>
            <rFont val="Times New Roman"/>
            <family val="18"/>
          </rPr>
          <t>zu militar Fuhrwesen Corps der I.Oe Armee trasnferiert</t>
        </r>
        <r>
          <rPr>
            <sz val="14"/>
            <color rgb="FF000000"/>
            <rFont val="Times New Roman"/>
            <family val="18"/>
          </rPr>
          <t xml:space="preserve"> [ST Sept 1797]</t>
        </r>
        <r>
          <rPr>
            <sz val="14"/>
            <color rgb="FF000000"/>
            <rFont val="Calibri"/>
            <family val="34"/>
          </rPr>
          <t xml:space="preserve">
</t>
        </r>
      </text>
    </comment>
    <comment ref="BG146" authorId="0" shapeId="0" xr:uid="{89539F17-76AD-FB47-9503-82477F36CF04}">
      <text>
        <r>
          <rPr>
            <sz val="14"/>
            <color rgb="FF000000"/>
            <rFont val="Calibri"/>
            <family val="34"/>
          </rPr>
          <t>ML 10.305 IR 43 (1797) ST Aug (01/09/1803) und Sept (02/09/1804)</t>
        </r>
      </text>
    </comment>
    <comment ref="BH146" authorId="0" shapeId="0" xr:uid="{29516D21-BF30-7741-8EBA-62C5F9BD8664}">
      <text>
        <r>
          <rPr>
            <sz val="14"/>
            <color rgb="FF000000"/>
            <rFont val="Calibri"/>
            <family val="34"/>
          </rPr>
          <t xml:space="preserve">IR 43 (1797)
</t>
        </r>
        <r>
          <rPr>
            <sz val="14"/>
            <color rgb="FF000000"/>
            <rFont val="Calibri"/>
            <family val="34"/>
          </rPr>
          <t>MFWK (1797)</t>
        </r>
      </text>
    </comment>
    <comment ref="J147" authorId="0" shapeId="0" xr:uid="{73BBCF34-BC1D-5E40-8DFD-1264EF2CA6DC}">
      <text>
        <r>
          <rPr>
            <sz val="14"/>
            <color rgb="FF000000"/>
            <rFont val="Calibri"/>
            <family val="34"/>
          </rPr>
          <t xml:space="preserve">Ledig (bis 1803)
</t>
        </r>
        <r>
          <rPr>
            <sz val="14"/>
            <color rgb="FF000000"/>
            <rFont val="Calibri"/>
            <family val="34"/>
          </rPr>
          <t>Veheiratet (1804-5)</t>
        </r>
      </text>
    </comment>
    <comment ref="BF147" authorId="0" shapeId="0" xr:uid="{E7A0109E-5DA9-9849-B5A4-4ECE1940EA43}">
      <text>
        <r>
          <rPr>
            <sz val="14"/>
            <color rgb="FFFF0000"/>
            <rFont val="+mn-lt"/>
            <charset val="1"/>
          </rPr>
          <t xml:space="preserve">10/03/1796 von Gallizischen Ständen auf Kriegsdauer gestellt [ML 1802-3/5]
</t>
        </r>
        <r>
          <rPr>
            <sz val="14"/>
            <color rgb="FFFF0000"/>
            <rFont val="+mn-lt"/>
            <charset val="1"/>
          </rPr>
          <t xml:space="preserve">16/03/1796 seit auf Kriegsdauer [ML 1804]
</t>
        </r>
        <r>
          <rPr>
            <sz val="14"/>
            <color rgb="FF000000"/>
            <rFont val="+mn-lt"/>
            <charset val="1"/>
          </rPr>
          <t xml:space="preserve">In 03/1797 von Galizischen Ständen auf Kriegsdauer gestellt
</t>
        </r>
        <r>
          <rPr>
            <sz val="14"/>
            <color rgb="FF000000"/>
            <rFont val="+mn-lt"/>
            <charset val="1"/>
          </rPr>
          <t xml:space="preserve">01/08/1797 von Galizischen Ständen gestellt und Ohne Handgeld in die Loco Verpflegung eingebracht und kommt anhero einstwillig von begabte dato in Stand und Gebühr der Haupt Fischer Companie [ST August 1797] 
</t>
        </r>
        <r>
          <rPr>
            <sz val="14"/>
            <color rgb="FF000000"/>
            <rFont val="+mn-lt"/>
            <charset val="1"/>
          </rPr>
          <t xml:space="preserve">20/08/1797 [seit] Krank in loco Spital [ST August 1797]
</t>
        </r>
        <r>
          <rPr>
            <sz val="14"/>
            <color rgb="FF000000"/>
            <rFont val="+mn-lt"/>
            <charset val="1"/>
          </rPr>
          <t xml:space="preserve">07/10/1797 Reconvalesciert [ST October 1797]
</t>
        </r>
        <r>
          <rPr>
            <sz val="14"/>
            <color rgb="FF000000"/>
            <rFont val="+mn-lt"/>
            <charset val="1"/>
          </rPr>
          <t xml:space="preserve">Bevor 13/03/1798 von Reserve Division zum Haupt Geisler Comp transferiert [ML 1799]
</t>
        </r>
        <r>
          <rPr>
            <sz val="14"/>
            <color rgb="FF000000"/>
            <rFont val="+mn-lt"/>
            <charset val="1"/>
          </rPr>
          <t xml:space="preserve">26/01/1799 Revision: IR 43 Haupt Geisler Nr. 64
</t>
        </r>
        <r>
          <rPr>
            <sz val="14"/>
            <color rgb="FF000000"/>
            <rFont val="+mn-lt"/>
            <charset val="1"/>
          </rPr>
          <t xml:space="preserve">18/08/1799 Krank auswärts mit Kriegsgebühr [wounded at Novi?] [ST Aug 1799]
</t>
        </r>
        <r>
          <rPr>
            <sz val="14"/>
            <color rgb="FF000000"/>
            <rFont val="+mn-lt"/>
            <charset val="1"/>
          </rPr>
          <t xml:space="preserve">31/08/1799 Reconvalesciert [ST Sept 1799]
</t>
        </r>
        <r>
          <rPr>
            <sz val="14"/>
            <color rgb="FF000000"/>
            <rFont val="+mn-lt"/>
            <charset val="1"/>
          </rPr>
          <t xml:space="preserve">31/12/1799 von Haupt Geistler Comp zum Regiments Artillerie Handlanger transferiert [ST Jan 1800]
</t>
        </r>
        <r>
          <rPr>
            <sz val="14"/>
            <color rgb="FF000000"/>
            <rFont val="+mn-lt"/>
            <charset val="1"/>
          </rPr>
          <t xml:space="preserve">01/02/1801 Zugeheilt beim Reserve Division mit Friedens Gebühr und ½xr Fleischbeitrag [ST Feb 1801]
</t>
        </r>
        <r>
          <rPr>
            <sz val="14"/>
            <color rgb="FF000000"/>
            <rFont val="+mn-lt"/>
            <charset val="1"/>
          </rPr>
          <t xml:space="preserve">06/02/1801 wieder zum Artillerie Handlanger eingerückt [ST Feb 1801]
</t>
        </r>
        <r>
          <rPr>
            <sz val="14"/>
            <color rgb="FF000000"/>
            <rFont val="+mn-lt"/>
            <charset val="1"/>
          </rPr>
          <t xml:space="preserve">11/04/1801 von dissolvierte Artillerie Handlanger zurück ins Haupt Geistler Comp transferiert [ST May 1801] 
</t>
        </r>
        <r>
          <rPr>
            <sz val="14"/>
            <color rgb="FF000000"/>
            <rFont val="+mn-lt"/>
            <charset val="1"/>
          </rPr>
          <t xml:space="preserve">28/08/1802 Musterung: IR 43 Haupt Geisler Nr. 46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Geistler Comp. Nr. 42 [Auf Unbestimmte Urlaub zu Messeritz]
</t>
        </r>
        <r>
          <rPr>
            <sz val="14"/>
            <color rgb="FF000000"/>
            <rFont val="+mn-lt"/>
            <charset val="1"/>
          </rPr>
          <t xml:space="preserve">05/10/1804 Musterung: IR 43 Haupt Geistler Comp Nr. 42 [Beurlaubt bis zur Einberufung in seinem Geburtsort]
</t>
        </r>
        <r>
          <rPr>
            <sz val="14"/>
            <color rgb="FF000000"/>
            <rFont val="+mn-lt"/>
            <charset val="1"/>
          </rPr>
          <t xml:space="preserve">At Muster 23/10/1805 10. Fus Comp Nr. 40 [Beurlaubt bis zur Einberufung in seinem Geburtsort]
</t>
        </r>
        <r>
          <rPr>
            <sz val="14"/>
            <color rgb="FF000000"/>
            <rFont val="+mn-lt"/>
            <charset val="1"/>
          </rPr>
          <t xml:space="preserve">31/10/1806 Als auf Urlaub verbliebene von 14. Fus Comp als unwissend Verloren in Abgang [ST Oct 1806 &amp; ML 1806]
</t>
        </r>
      </text>
    </comment>
    <comment ref="BG147" authorId="0" shapeId="0" xr:uid="{0A5E6435-29F3-9F4F-99AC-33366D59F2E1}">
      <text>
        <r>
          <rPr>
            <sz val="14"/>
            <color rgb="FF000000"/>
            <rFont val="Calibri"/>
            <family val="34"/>
          </rPr>
          <t xml:space="preserve">ML 10.271 IR 43 (1796-9) – RL Haupt Pasqually Comp. Nr. 78 (Cividalle 26/01/1799)
</t>
        </r>
        <r>
          <rPr>
            <sz val="14"/>
            <color rgb="FF000000"/>
            <rFont val="Calibri"/>
            <family val="34"/>
          </rPr>
          <t xml:space="preserve">ML 10.272 IR 43 (1802) – Heft von Haupt Pasqually Nr. 47 (Cattaro 28/08/1802)
</t>
        </r>
        <r>
          <rPr>
            <sz val="14"/>
            <color rgb="FF000000"/>
            <rFont val="Calibri"/>
            <family val="34"/>
          </rPr>
          <t xml:space="preserve">ML 10.273 IR 43 (1803) – Heft von Haupt Pasqually Nr. 145 (Cattaro 02/11/1803)
</t>
        </r>
        <r>
          <rPr>
            <sz val="14"/>
            <color rgb="FF000000"/>
            <rFont val="Calibri"/>
            <family val="34"/>
          </rPr>
          <t xml:space="preserve">ML 10.274 IR 43 (1804) – Heft von Haupt Pasqually Comp. Nr. 137 (Theodo 05/10/1804)
</t>
        </r>
        <r>
          <rPr>
            <sz val="14"/>
            <color rgb="FF000000"/>
            <rFont val="Calibri"/>
            <family val="34"/>
          </rPr>
          <t xml:space="preserve">ML 10.275/6 IR 43 (1805) – Heft von 15. Fus Comp. Nr. 124 (Macarsca (10/11/1805)
</t>
        </r>
        <r>
          <rPr>
            <sz val="14"/>
            <color rgb="FF000000"/>
            <rFont val="Calibri"/>
            <family val="34"/>
          </rPr>
          <t xml:space="preserve">ML 10/277/8 IR 43 (1806) – Heft von 9. Fus Comp. Abgang (Neustadt 05/12/1806)
</t>
        </r>
        <r>
          <rPr>
            <sz val="14"/>
            <color rgb="FF000000"/>
            <rFont val="Calibri"/>
            <family val="34"/>
          </rPr>
          <t xml:space="preserve">ML 10.305 IR 43 (1797) – ST Aug (01/09/1803), Sept (02/09/1804), und Okt (31/05/1805)
</t>
        </r>
        <r>
          <rPr>
            <sz val="14"/>
            <color rgb="FF000000"/>
            <rFont val="Calibri"/>
            <family val="34"/>
          </rPr>
          <t xml:space="preserve">ML 10.307 IR 43 (1799) – ST Sept (21/07/1800), Nov (12/10/1800)
</t>
        </r>
        <r>
          <rPr>
            <sz val="14"/>
            <color rgb="FF000000"/>
            <rFont val="Calibri"/>
            <family val="34"/>
          </rPr>
          <t xml:space="preserve">ML 10.312 IR 43 (1802) – ST Dez (15/01/1803)
</t>
        </r>
        <r>
          <rPr>
            <sz val="14"/>
            <color rgb="FF000000"/>
            <rFont val="Calibri"/>
            <family val="34"/>
          </rPr>
          <t xml:space="preserve">ML 10.313 IR 43 (1803) – ST Jänner (15/02/1803) und März (15/07/1803) 
</t>
        </r>
        <r>
          <rPr>
            <sz val="14"/>
            <color rgb="FF000000"/>
            <rFont val="Calibri"/>
            <family val="34"/>
          </rPr>
          <t xml:space="preserve">ML 10.317 IR 43 (1806) – ST Oktober (27/11/1806) </t>
        </r>
      </text>
    </comment>
    <comment ref="BH147" authorId="0" shapeId="0" xr:uid="{054C7902-374A-C34B-B748-B947174829A6}">
      <text>
        <r>
          <rPr>
            <sz val="14"/>
            <color rgb="FF000000"/>
            <rFont val="Calibri"/>
            <family val="34"/>
          </rPr>
          <t>IR 43 (1797-1806)</t>
        </r>
      </text>
    </comment>
    <comment ref="B148" authorId="0" shapeId="0" xr:uid="{7F37939A-43FD-DD4C-94C6-B7F4E9A89991}">
      <text>
        <r>
          <rPr>
            <sz val="14"/>
            <color rgb="FF000000"/>
            <rFont val="Calibri"/>
            <family val="34"/>
          </rPr>
          <t xml:space="preserve">Josel SACHIM (1799)/ Jachim JASSEL/ Josel ZACH (1802)/ Zacharias JOSELL (1803)/ Zachor JOSELL (1804)/ Zahar JOSELL (1805) </t>
        </r>
      </text>
    </comment>
    <comment ref="BF148" authorId="0" shapeId="0" xr:uid="{30F1F7B7-240E-034B-A8B9-10BD210364B0}">
      <text>
        <r>
          <rPr>
            <sz val="14"/>
            <color rgb="FF000000"/>
            <rFont val="+mn-lt"/>
            <charset val="1"/>
          </rPr>
          <t xml:space="preserve">22/03/1797 von Galizischen Ständen gestellt [ML 1802-1806]
</t>
        </r>
        <r>
          <rPr>
            <sz val="14"/>
            <color rgb="FF000000"/>
            <rFont val="+mn-lt"/>
            <charset val="1"/>
          </rPr>
          <t xml:space="preserve">01/08/1797 Ohne Handgeld in die Loco Verpflegung eingebracht und kommt anhero einstwillig von begabte dato in Stand und Gebühr] [ST August 1797] 
</t>
        </r>
        <r>
          <rPr>
            <sz val="14"/>
            <color rgb="FF000000"/>
            <rFont val="+mn-lt"/>
            <charset val="1"/>
          </rPr>
          <t xml:space="preserve">25/01/1799 Revision: IR 43 Haupt Höffern Nr. 56
</t>
        </r>
        <r>
          <rPr>
            <sz val="14"/>
            <color rgb="FF000000"/>
            <rFont val="+mn-lt"/>
            <charset val="1"/>
          </rPr>
          <t xml:space="preserve">31/05/1799 von Haupt Höfern Comp zum Regiments Artillerie Handlanger transferiert [ST June 1799]
</t>
        </r>
        <r>
          <rPr>
            <sz val="14"/>
            <color rgb="FF000000"/>
            <rFont val="+mn-lt"/>
            <charset val="1"/>
          </rPr>
          <t xml:space="preserve">01/08/1799 Von Regiments Artillerie Handlanger zurück zum Haupt Höfern Comp Trasnferiert [ST August 1799]
</t>
        </r>
        <r>
          <rPr>
            <sz val="14"/>
            <color rgb="FF000000"/>
            <rFont val="+mn-lt"/>
            <charset val="1"/>
          </rPr>
          <t xml:space="preserve">18/08/1799 [seit] Krank auswärts mit Kriegsgebühr [wounded at Novi?] [ST Aug 1799]
</t>
        </r>
        <r>
          <rPr>
            <sz val="14"/>
            <color rgb="FF000000"/>
            <rFont val="+mn-lt"/>
            <charset val="1"/>
          </rPr>
          <t xml:space="preserve">05/12/1799 Reconvalesciert [ST Dec 1799]
</t>
        </r>
        <r>
          <rPr>
            <sz val="14"/>
            <color rgb="FF000000"/>
            <rFont val="+mn-lt"/>
            <charset val="1"/>
          </rPr>
          <t xml:space="preserve">07/07/1802 mit Deutscher Gebühr und Teuerungsbeitrag bis 11, und mit Ungarischen Gebühr ohne Teuerungsbeitrag bis inclusive 13. verpflegt und dato [ST Juli 1802]
</t>
        </r>
        <r>
          <rPr>
            <sz val="14"/>
            <color rgb="FF000000"/>
            <rFont val="+mn-lt"/>
            <charset val="1"/>
          </rPr>
          <t xml:space="preserve">28/08/1802 Musterung: IR 43 Haupt Baumann Nr. 44 [Beurlaubt]
</t>
        </r>
        <r>
          <rPr>
            <sz val="14"/>
            <color rgb="FF000000"/>
            <rFont val="+mn-lt"/>
            <charset val="1"/>
          </rPr>
          <t xml:space="preserve">??/03/1803 Von bestimmte zum unbestimmte Urlaub Übersetzt [ST March 1803]
</t>
        </r>
        <r>
          <rPr>
            <sz val="14"/>
            <color rgb="FF000000"/>
            <rFont val="+mn-lt"/>
            <charset val="1"/>
          </rPr>
          <t xml:space="preserve">02/11/1803 Musterung: Haupt Baumann Comp Nr. 43 [Beulraubt in seinem Geburtort bis zur Einberufung]
</t>
        </r>
        <r>
          <rPr>
            <sz val="14"/>
            <color rgb="FF000000"/>
            <rFont val="+mn-lt"/>
            <charset val="1"/>
          </rPr>
          <t xml:space="preserve">05/10/1804 Musterung: Haupt Baumann Comp Nr. 42 [Beurlaubt bis zur Einberufung in seinem Geburtsort]
</t>
        </r>
        <r>
          <rPr>
            <sz val="14"/>
            <color rgb="FF000000"/>
            <rFont val="+mn-lt"/>
            <charset val="1"/>
          </rPr>
          <t xml:space="preserve">23/10/1805 Musterung: 12. Fus Comp Nr. 49 [Beurlaubt bis zur Einberufung in seinem Geburtsort]
</t>
        </r>
        <r>
          <rPr>
            <sz val="14"/>
            <color rgb="FF000000"/>
            <rFont val="+mn-lt"/>
            <charset val="1"/>
          </rPr>
          <t xml:space="preserve">31/07/1806 Von Urlaub Desertiert [ML 1806]
</t>
        </r>
        <r>
          <rPr>
            <sz val="14"/>
            <color rgb="FF000000"/>
            <rFont val="+mn-lt"/>
            <charset val="1"/>
          </rPr>
          <t xml:space="preserve">31/10/1806 wurde in den Monats Tabelle per 8ber 806 nit ultimo unrecht als desertiert in Abgang gebracht; weil selbe auf Urlaub als Untauglich entlausen Wird [ST Nov 1806)
</t>
        </r>
        <r>
          <rPr>
            <sz val="14"/>
            <color rgb="FF000000"/>
            <rFont val="+mn-lt"/>
            <charset val="1"/>
          </rPr>
          <t xml:space="preserve">31/10/1806 zu Folge hoher General Commando Verordnung Nr. 7200 als ungehöriger von 16. Comp untauglich mit Abschied entlassen [ST Nov 1806 &amp; ML 1806]
</t>
        </r>
      </text>
    </comment>
    <comment ref="BG148" authorId="0" shapeId="0" xr:uid="{16DDFBCD-22BB-8D41-AA25-F5EC9BD5C9FB}">
      <text>
        <r>
          <rPr>
            <sz val="14"/>
            <color rgb="FF000000"/>
            <rFont val="Calibri"/>
            <family val="34"/>
          </rPr>
          <t xml:space="preserve">ML 10.271 IR 43 (1796-9) – RL Heft von Haupt Geisler Comp Nr. 64
</t>
        </r>
        <r>
          <rPr>
            <sz val="14"/>
            <color rgb="FF000000"/>
            <rFont val="Calibri"/>
            <family val="34"/>
          </rPr>
          <t xml:space="preserve">ML 10.272 IR 43 (1802) – Heft von Haupt Geistler. Comp. Nr. 46 (Cattaro 28/08/1802)
</t>
        </r>
        <r>
          <rPr>
            <sz val="14"/>
            <color rgb="FF000000"/>
            <rFont val="Calibri"/>
            <family val="34"/>
          </rPr>
          <t xml:space="preserve">ML 10.273 IR 43 (1803) – Heft von Haupt Geistler Nr. 42 (Cattaro 02/11/1803)
</t>
        </r>
        <r>
          <rPr>
            <sz val="14"/>
            <color rgb="FF000000"/>
            <rFont val="Calibri"/>
            <family val="34"/>
          </rPr>
          <t xml:space="preserve">ML 10.274 IR 43 (1804) – Heft von Haupt Geistler Comp. Nr. 42 (Theodo 05/10/1804)
</t>
        </r>
        <r>
          <rPr>
            <sz val="14"/>
            <color rgb="FF000000"/>
            <rFont val="Calibri"/>
            <family val="34"/>
          </rPr>
          <t xml:space="preserve">ML 10.275/6 IR 43 (1805) – Heft von 10. Fus Comp. Nr. 40 (Spalato (23/10/1805)
</t>
        </r>
        <r>
          <rPr>
            <sz val="14"/>
            <color rgb="FF000000"/>
            <rFont val="Calibri"/>
            <family val="34"/>
          </rPr>
          <t xml:space="preserve">ML 10/277/8 IR 43 (1806) – Heft von 14. Fus Comp. Abgang (Laibach 01/12/1806)
</t>
        </r>
        <r>
          <rPr>
            <sz val="14"/>
            <color rgb="FF000000"/>
            <rFont val="Calibri"/>
            <family val="34"/>
          </rPr>
          <t xml:space="preserve">ML 10.305 IR 43 (1797) – ST August (01/09/1803) und Oktober (31/05/1805)
</t>
        </r>
        <r>
          <rPr>
            <sz val="14"/>
            <color rgb="FF000000"/>
            <rFont val="Calibri"/>
            <family val="34"/>
          </rPr>
          <t xml:space="preserve">ML 10.307 IR 43 (1799) – ST August (06/03/1800) und September (21/07/1800)
</t>
        </r>
        <r>
          <rPr>
            <sz val="14"/>
            <color rgb="FF000000"/>
            <rFont val="Calibri"/>
            <family val="34"/>
          </rPr>
          <t xml:space="preserve">ML 10.309 IR 43 (1800) – ST Jänner (26/02/1801)
</t>
        </r>
        <r>
          <rPr>
            <sz val="14"/>
            <color rgb="FF000000"/>
            <rFont val="Calibri"/>
            <family val="34"/>
          </rPr>
          <t xml:space="preserve">ML 10.311 IR 43 (1801) – ST Feb (28/09/1804) und Mai (10/03/1805)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t>
        </r>
      </text>
    </comment>
    <comment ref="BH148" authorId="0" shapeId="0" xr:uid="{18E7A505-5311-B144-B739-855969D99C96}">
      <text>
        <r>
          <rPr>
            <sz val="14"/>
            <color rgb="FF000000"/>
            <rFont val="Calibri"/>
            <family val="34"/>
          </rPr>
          <t>IR 43 (1797-1806)</t>
        </r>
      </text>
    </comment>
    <comment ref="BF149" authorId="0" shapeId="0" xr:uid="{87156952-D7F1-164B-88DB-D113CD4035F0}">
      <text>
        <r>
          <rPr>
            <sz val="14"/>
            <color rgb="FF000000"/>
            <rFont val="Times New Roman"/>
            <family val="18"/>
          </rPr>
          <t xml:space="preserve">29/03/1797 </t>
        </r>
        <r>
          <rPr>
            <i/>
            <sz val="14"/>
            <color rgb="FF000000"/>
            <rFont val="Times New Roman"/>
            <family val="18"/>
          </rPr>
          <t>Von Gallizischen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25/03/1799 </t>
        </r>
        <r>
          <rPr>
            <i/>
            <sz val="14"/>
            <color rgb="FF000000"/>
            <rFont val="Times New Roman"/>
            <family val="18"/>
          </rPr>
          <t>Bei Martins Bruck Gefangen</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04/07/1801 </t>
        </r>
        <r>
          <rPr>
            <i/>
            <sz val="14"/>
            <color rgb="FF000000"/>
            <rFont val="Times New Roman"/>
            <family val="18"/>
          </rPr>
          <t>Gegen Austausch Ranzioniert Worden</t>
        </r>
        <r>
          <rPr>
            <sz val="14"/>
            <color rgb="FF000000"/>
            <rFont val="Times New Roman"/>
            <family val="18"/>
          </rPr>
          <t xml:space="preserve"> [01/07/1801 in DOC]</t>
        </r>
        <r>
          <rPr>
            <sz val="14"/>
            <color rgb="FF000000"/>
            <rFont val="Calibri"/>
            <family val="34"/>
          </rPr>
          <t xml:space="preserve">
</t>
        </r>
        <r>
          <rPr>
            <sz val="14"/>
            <color rgb="FF000000"/>
            <rFont val="Times New Roman"/>
            <family val="18"/>
          </rPr>
          <t>09/09/1802 Muster: IR 23 Haupt Ebertin Nr. 144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Kleinschmidt Nr. 121 [</t>
        </r>
        <r>
          <rPr>
            <i/>
            <sz val="14"/>
            <color rgb="FF000000"/>
            <rFont val="Times New Roman"/>
            <family val="18"/>
          </rPr>
          <t>In sein Geburtsort auf bestimmte Zeit beurlaubt</t>
        </r>
        <r>
          <rPr>
            <sz val="14"/>
            <color rgb="FF000000"/>
            <rFont val="Times New Roman"/>
            <family val="18"/>
          </rPr>
          <t>]</t>
        </r>
        <r>
          <rPr>
            <sz val="14"/>
            <color rgb="FF000000"/>
            <rFont val="Calibri"/>
            <family val="34"/>
          </rPr>
          <t xml:space="preserve">
</t>
        </r>
        <r>
          <rPr>
            <sz val="14"/>
            <color rgb="FF000000"/>
            <rFont val="Times New Roman"/>
            <family val="18"/>
          </rPr>
          <t>12/09/1804 Muster: IR 23 Haupt Kleinschmidt Nr. 101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 </t>
        </r>
      </text>
    </comment>
    <comment ref="BG149" authorId="0" shapeId="0" xr:uid="{2AD99E38-27FF-3747-A522-BF4EE73B76B9}">
      <text>
        <r>
          <rPr>
            <sz val="14"/>
            <color rgb="FF000000"/>
            <rFont val="Times New Roman"/>
            <family val="18"/>
          </rPr>
          <t>ML 10.124 IR 23 (1802) – Haupt Ebertin Komp. Nr. 144 (Krems 09/09/1802)</t>
        </r>
        <r>
          <rPr>
            <sz val="14"/>
            <color rgb="FF000000"/>
            <rFont val="Calibri"/>
            <family val="34"/>
          </rPr>
          <t xml:space="preserve">
</t>
        </r>
        <r>
          <rPr>
            <sz val="14"/>
            <color rgb="FF000000"/>
            <rFont val="Times New Roman"/>
            <family val="18"/>
          </rPr>
          <t>ML 10.125 IR 23 (1803) – Haupt Kleinschmidt Komp. Nr. 121 (Execierlager bei St Pölten 07/09/1803)</t>
        </r>
        <r>
          <rPr>
            <sz val="14"/>
            <color rgb="FF000000"/>
            <rFont val="Calibri"/>
            <family val="34"/>
          </rPr>
          <t xml:space="preserve">
</t>
        </r>
        <r>
          <rPr>
            <sz val="14"/>
            <color rgb="FF000000"/>
            <rFont val="Times New Roman"/>
            <family val="18"/>
          </rPr>
          <t>ML 10.126 IR 23 (1804) – Haupt Kleinschmidt Komp. Nr. 117 (Vienna 13/09/1804)</t>
        </r>
        <r>
          <rPr>
            <sz val="14"/>
            <color rgb="FF000000"/>
            <rFont val="Calibri"/>
            <family val="34"/>
          </rPr>
          <t xml:space="preserve">
</t>
        </r>
        <r>
          <rPr>
            <sz val="14"/>
            <color rgb="FF000000"/>
            <rFont val="Times New Roman"/>
            <family val="18"/>
          </rPr>
          <t>ML 10.127/8 IR 23 (1807) – Haupt Hautzinger Komp. Abgang (Poysdorf 26/01/1807)</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149" authorId="0" shapeId="0" xr:uid="{B13206EA-E8D7-6C4C-9920-500BA4256E4D}">
      <text>
        <r>
          <rPr>
            <sz val="14"/>
            <color rgb="FF000000"/>
            <rFont val="Calibri"/>
            <family val="34"/>
          </rPr>
          <t>IR 23 (1797-1806)</t>
        </r>
      </text>
    </comment>
    <comment ref="T150" authorId="0" shapeId="0" xr:uid="{F8097F5B-1ADF-6248-BC5E-14A404A330F8}">
      <text>
        <r>
          <rPr>
            <sz val="14"/>
            <color rgb="FF000000"/>
            <rFont val="Calibri"/>
            <family val="34"/>
          </rPr>
          <t xml:space="preserve">5.2 [163.26 cm] (1797)
</t>
        </r>
        <r>
          <rPr>
            <sz val="14"/>
            <color rgb="FF000000"/>
            <rFont val="Calibri"/>
            <family val="34"/>
          </rPr>
          <t>5.2.2 [163.7 cm] (1803)</t>
        </r>
      </text>
    </comment>
    <comment ref="BF150" authorId="0" shapeId="0" xr:uid="{28D7E4BD-2021-3C48-8970-A9928763DC6A}">
      <text>
        <r>
          <rPr>
            <sz val="14"/>
            <color rgb="FF000000"/>
            <rFont val="Times New Roman"/>
            <family val="18"/>
          </rPr>
          <t xml:space="preserve">04/04/1797 </t>
        </r>
        <r>
          <rPr>
            <i/>
            <sz val="14"/>
            <color rgb="FF000000"/>
            <rFont val="Times New Roman"/>
            <family val="18"/>
          </rPr>
          <t>Mit Versicherungsschein von Ständen und zum IR 21 ‚Reserve Division‘ gestellt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4. Bataillon Haupt von Engelthal Comp. zum IR 43 transferiert;</t>
        </r>
        <r>
          <rPr>
            <sz val="14"/>
            <color rgb="FF000000"/>
            <rFont val="Times New Roman"/>
            <family val="18"/>
          </rPr>
          <t xml:space="preserve"> </t>
        </r>
        <r>
          <rPr>
            <i/>
            <sz val="14"/>
            <color rgb="FF000000"/>
            <rFont val="Times New Roman"/>
            <family val="18"/>
          </rPr>
          <t>Seitdem auf anhero Marsch mit Friedensgebühr</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Selmbach Komp. Nr. 119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 xml:space="preserve">[Wounded at Novi?] </t>
        </r>
        <r>
          <rPr>
            <sz val="14"/>
            <color rgb="FF000000"/>
            <rFont val="Times New Roman"/>
            <family val="18"/>
          </rPr>
          <t>[ST September 1797]</t>
        </r>
        <r>
          <rPr>
            <sz val="14"/>
            <color rgb="FF000000"/>
            <rFont val="Calibri"/>
            <family val="34"/>
          </rPr>
          <t xml:space="preserve">
</t>
        </r>
        <r>
          <rPr>
            <sz val="14"/>
            <color rgb="FF000000"/>
            <rFont val="Times New Roman"/>
            <family val="18"/>
          </rPr>
          <t xml:space="preserve">27/08/1799 </t>
        </r>
        <r>
          <rPr>
            <i/>
            <sz val="14"/>
            <color rgb="FF000000"/>
            <rFont val="Times New Roman"/>
            <family val="18"/>
          </rPr>
          <t>Ohne Feuerwehr Desertiert</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01/11/1799 </t>
        </r>
        <r>
          <rPr>
            <i/>
            <sz val="14"/>
            <color rgb="FF000000"/>
            <rFont val="Times New Roman"/>
            <family val="18"/>
          </rPr>
          <t>Wurde 27. August bist ultimo verlegt als Deserteur in Abgang gebracht, war aber Krank auswärts, wird von 01/09/1799 wieder in Stand und gebühr genommen, und vor dieser Zeit in Auswärtiger gebühr bis Ultimo Oct. nachgetragen sait1. in loco</t>
        </r>
        <r>
          <rPr>
            <sz val="14"/>
            <color rgb="FF000000"/>
            <rFont val="Times New Roman"/>
            <family val="18"/>
          </rPr>
          <t xml:space="preserve"> [ST November 1799]</t>
        </r>
        <r>
          <rPr>
            <sz val="14"/>
            <color rgb="FF000000"/>
            <rFont val="Calibri"/>
            <family val="34"/>
          </rPr>
          <t xml:space="preserve">
</t>
        </r>
        <r>
          <rPr>
            <sz val="14"/>
            <color rgb="FF000000"/>
            <rFont val="Times New Roman"/>
            <family val="18"/>
          </rPr>
          <t>24/08/1802 Muster: IR 43 Haupt Selmbach Nr. 51]</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42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Als Capitulant auf Kriegsdauer ohnentgeldich zum Betrieb der Wirtschaft Mit Abschied entlassen</t>
        </r>
        <r>
          <rPr>
            <sz val="14"/>
            <color rgb="FF000000"/>
            <rFont val="Times New Roman"/>
            <family val="18"/>
          </rPr>
          <t xml:space="preserve"> [ST Dec 1803]</t>
        </r>
        <r>
          <rPr>
            <sz val="14"/>
            <color rgb="FF000000"/>
            <rFont val="Calibri"/>
            <family val="34"/>
          </rPr>
          <t xml:space="preserve">
</t>
        </r>
      </text>
    </comment>
    <comment ref="BG150" authorId="0" shapeId="0" xr:uid="{16D956A5-40CA-B84F-9D4F-9020568B0E77}">
      <text>
        <r>
          <rPr>
            <sz val="14"/>
            <color rgb="FF000000"/>
            <rFont val="Times New Roman"/>
            <family val="18"/>
          </rPr>
          <t>ML 1775 IR 21 (1797) – TL IR 21 -&gt; IR 43 Nr.32 (Königgrätz 21/10/1797)</t>
        </r>
        <r>
          <rPr>
            <sz val="14"/>
            <color rgb="FF000000"/>
            <rFont val="Calibri"/>
            <family val="34"/>
          </rPr>
          <t xml:space="preserve">
</t>
        </r>
        <r>
          <rPr>
            <sz val="14"/>
            <color rgb="FF000000"/>
            <rFont val="Times New Roman"/>
            <family val="18"/>
          </rPr>
          <t>ML 10.271 IR 43 (1796-9) –Haupt Selmbach Komp Nr. 119 (Udine 25/01/799)</t>
        </r>
        <r>
          <rPr>
            <sz val="14"/>
            <color rgb="FF000000"/>
            <rFont val="Calibri"/>
            <family val="34"/>
          </rPr>
          <t xml:space="preserve">
</t>
        </r>
        <r>
          <rPr>
            <sz val="14"/>
            <color rgb="FF000000"/>
            <rFont val="Times New Roman"/>
            <family val="18"/>
          </rPr>
          <t xml:space="preserve">ML 10.272 IR 43 (1802) – Haupt Selmbach Komp. Nr. 151 (Budua 24/08/1802) </t>
        </r>
        <r>
          <rPr>
            <sz val="14"/>
            <color rgb="FF000000"/>
            <rFont val="Calibri"/>
            <family val="34"/>
          </rPr>
          <t xml:space="preserve">
</t>
        </r>
        <r>
          <rPr>
            <sz val="14"/>
            <color rgb="FF000000"/>
            <rFont val="Times New Roman"/>
            <family val="18"/>
          </rPr>
          <t>ML 10.273 IR 43 (1803) – Haupt Selmbach Komp. Nr. 48 (Knin 04/11/1803)</t>
        </r>
        <r>
          <rPr>
            <sz val="14"/>
            <color rgb="FF000000"/>
            <rFont val="Calibri"/>
            <family val="34"/>
          </rPr>
          <t xml:space="preserve">
</t>
        </r>
        <r>
          <rPr>
            <sz val="14"/>
            <color rgb="FF000000"/>
            <rFont val="Times New Roman"/>
            <family val="18"/>
          </rPr>
          <t>ML 10.274 IR 43 (1804) – 2. Major Komp. Abgang (Zara 15/09/1804)</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Sept (21/07/1800), Nov (12/10/1800)</t>
        </r>
        <r>
          <rPr>
            <sz val="14"/>
            <color rgb="FF000000"/>
            <rFont val="Calibri"/>
            <family val="34"/>
          </rPr>
          <t xml:space="preserve">
</t>
        </r>
        <r>
          <rPr>
            <sz val="14"/>
            <color rgb="FF000000"/>
            <rFont val="Times New Roman"/>
            <family val="18"/>
          </rPr>
          <t>ML 10.312 IR 43 (1802) – ST Jan (15/02/1803), März (15/04/1803), Dez (15/01/1804)</t>
        </r>
      </text>
    </comment>
    <comment ref="BH150" authorId="0" shapeId="0" xr:uid="{54D6A397-65B8-114D-9C68-F8A98244B2E8}">
      <text>
        <r>
          <rPr>
            <sz val="14"/>
            <color rgb="FF000000"/>
            <rFont val="Calibri"/>
            <family val="34"/>
          </rPr>
          <t xml:space="preserve">IR 21 (1797)
</t>
        </r>
        <r>
          <rPr>
            <sz val="14"/>
            <color rgb="FF000000"/>
            <rFont val="Calibri"/>
            <family val="34"/>
          </rPr>
          <t>IR 43 (1797-1803)</t>
        </r>
      </text>
    </comment>
    <comment ref="BI150" authorId="0" shapeId="0" xr:uid="{A2DDD7C2-8351-0F4C-8915-140EA51DB2D5}">
      <text>
        <r>
          <rPr>
            <sz val="14"/>
            <color rgb="FF000000"/>
            <rFont val="Calibri"/>
            <family val="34"/>
          </rPr>
          <t>1797: Gut</t>
        </r>
      </text>
    </comment>
    <comment ref="BF151" authorId="0" shapeId="0" xr:uid="{C593FC8F-BE0B-C343-B930-72307ADA7C16}">
      <text>
        <r>
          <rPr>
            <sz val="14"/>
            <color rgb="FF000000"/>
            <rFont val="Times New Roman"/>
            <family val="18"/>
          </rPr>
          <t xml:space="preserve">06/04/1797 </t>
        </r>
        <r>
          <rPr>
            <i/>
            <sz val="14"/>
            <color rgb="FF000000"/>
            <rFont val="Times New Roman"/>
            <family val="18"/>
          </rPr>
          <t xml:space="preserve">Als Werbbezirk Recrout von IR 11 am 3Fl Handgeld in Galizien assentiert und Seitdem auf anhero Marsch </t>
        </r>
        <r>
          <rPr>
            <sz val="14"/>
            <color rgb="FF000000"/>
            <rFont val="Times New Roman"/>
            <family val="18"/>
          </rPr>
          <t xml:space="preserve"> [AL 1797 &amp; ST June 1797]</t>
        </r>
        <r>
          <rPr>
            <sz val="14"/>
            <color rgb="FF000000"/>
            <rFont val="Calibri"/>
            <family val="34"/>
          </rPr>
          <t xml:space="preserve">
</t>
        </r>
        <r>
          <rPr>
            <sz val="14"/>
            <color rgb="FF000000"/>
            <rFont val="Times New Roman"/>
            <family val="18"/>
          </rPr>
          <t xml:space="preserve">01/06/1797 </t>
        </r>
        <r>
          <rPr>
            <i/>
            <sz val="14"/>
            <color rgb="FF000000"/>
            <rFont val="Times New Roman"/>
            <family val="18"/>
          </rPr>
          <t>Ins IR 11 Lieb Bat Haupt Babischek Comp eingerückt und sofort zum 4. Bataillon transferiert</t>
        </r>
        <r>
          <rPr>
            <sz val="14"/>
            <color rgb="FF000000"/>
            <rFont val="Times New Roman"/>
            <family val="18"/>
          </rPr>
          <t xml:space="preserve"> [TL Sept 1797 &amp; ST June 1797]</t>
        </r>
        <r>
          <rPr>
            <sz val="14"/>
            <color rgb="FF000000"/>
            <rFont val="Calibri"/>
            <family val="34"/>
          </rPr>
          <t xml:space="preserve">
</t>
        </r>
      </text>
    </comment>
    <comment ref="BG151" authorId="0" shapeId="0" xr:uid="{AD5CD350-2AE4-2B4A-AACE-CD84A3CEE4FB}">
      <text>
        <r>
          <rPr>
            <sz val="14"/>
            <color rgb="FF000000"/>
            <rFont val="Times New Roman"/>
            <family val="18"/>
          </rPr>
          <t>ML 835 IR 11 (1797) – AL Nr. 1 (Chelm 06/04/1797); TL Nr. 1 (Hüfingen 16/09/1797); ST June (Prague 14/04/1803)</t>
        </r>
      </text>
    </comment>
    <comment ref="BH151" authorId="0" shapeId="0" xr:uid="{EA96C97E-AF40-F549-9CF6-78322E4A3A9C}">
      <text>
        <r>
          <rPr>
            <sz val="14"/>
            <color rgb="FF000000"/>
            <rFont val="Calibri"/>
            <family val="34"/>
          </rPr>
          <t>IR 11 (1797)</t>
        </r>
      </text>
    </comment>
    <comment ref="BF152" authorId="0" shapeId="0" xr:uid="{3FAA65AF-F386-0C40-B306-5BCCEE1D58D0}">
      <text>
        <r>
          <rPr>
            <sz val="14"/>
            <color rgb="FF000000"/>
            <rFont val="Times New Roman"/>
            <family val="18"/>
          </rPr>
          <t xml:space="preserve">16/04/1797 </t>
        </r>
        <r>
          <rPr>
            <i/>
            <sz val="14"/>
            <color rgb="FF000000"/>
            <rFont val="Times New Roman"/>
            <family val="18"/>
          </rPr>
          <t>Als Fähnrich bei Stein Inf Regiment No. 50 neu zugewachsen</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04/06/1799 </t>
        </r>
        <r>
          <rPr>
            <i/>
            <sz val="14"/>
            <color rgb="FF000000"/>
            <rFont val="Times New Roman"/>
            <family val="18"/>
          </rPr>
          <t xml:space="preserve">In die französische Kriegsgefangenschaft geraten </t>
        </r>
        <r>
          <rPr>
            <b/>
            <sz val="14"/>
            <color rgb="FF000000"/>
            <rFont val="Times New Roman"/>
            <family val="18"/>
          </rPr>
          <t xml:space="preserve">[1. Schlacht von Zürich] </t>
        </r>
        <r>
          <rPr>
            <sz val="14"/>
            <color rgb="FF000000"/>
            <rFont val="Times New Roman"/>
            <family val="18"/>
          </rPr>
          <t>[TL 1800]</t>
        </r>
        <r>
          <rPr>
            <sz val="14"/>
            <color rgb="FF000000"/>
            <rFont val="Calibri"/>
            <family val="34"/>
          </rPr>
          <t xml:space="preserve">
</t>
        </r>
        <r>
          <rPr>
            <sz val="14"/>
            <color rgb="FF000000"/>
            <rFont val="Times New Roman"/>
            <family val="18"/>
          </rPr>
          <t xml:space="preserve">16/07/1799 </t>
        </r>
        <r>
          <rPr>
            <i/>
            <sz val="14"/>
            <color rgb="FF000000"/>
            <rFont val="Times New Roman"/>
            <family val="18"/>
          </rPr>
          <t>Wieder ranzioniert worden</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01/10/1799 </t>
        </r>
        <r>
          <rPr>
            <i/>
            <sz val="14"/>
            <color rgb="FF000000"/>
            <rFont val="Times New Roman"/>
            <family val="18"/>
          </rPr>
          <t>Zum UnterLt. Avanciert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25/10/1800 </t>
        </r>
        <r>
          <rPr>
            <i/>
            <sz val="14"/>
            <color rgb="FF000000"/>
            <rFont val="Times New Roman"/>
            <family val="18"/>
          </rPr>
          <t>Von Stein Inf Regiment</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zum IR 60 transferiert und zum Haupt Flygely Komp. Zugeteilt, derselbe Tag zum OberLt. Avanciert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Haupt Flygely zum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Haupt Krapf zum Szombathely Komp. transferiert</t>
        </r>
        <r>
          <rPr>
            <sz val="14"/>
            <color rgb="FF000000"/>
            <rFont val="Times New Roman"/>
            <family val="18"/>
          </rPr>
          <t xml:space="preserve"> [1802]</t>
        </r>
        <r>
          <rPr>
            <sz val="14"/>
            <color rgb="FF000000"/>
            <rFont val="Calibri"/>
            <family val="34"/>
          </rPr>
          <t xml:space="preserve">
</t>
        </r>
        <r>
          <rPr>
            <sz val="14"/>
            <color rgb="FF000000"/>
            <rFont val="Times New Roman"/>
            <family val="18"/>
          </rPr>
          <t>15/09/1802 Musterung: IR 60 Haupt Szombathely Komp Nr. 2 [</t>
        </r>
        <r>
          <rPr>
            <i/>
            <sz val="14"/>
            <color rgb="FF000000"/>
            <rFont val="Times New Roman"/>
            <family val="18"/>
          </rPr>
          <t>Beurlaubt in Wien</t>
        </r>
        <r>
          <rPr>
            <sz val="14"/>
            <color rgb="FF000000"/>
            <rFont val="Times New Roman"/>
            <family val="18"/>
          </rPr>
          <t>]</t>
        </r>
        <r>
          <rPr>
            <sz val="14"/>
            <color rgb="FF000000"/>
            <rFont val="Calibri"/>
            <family val="34"/>
          </rPr>
          <t xml:space="preserve">
</t>
        </r>
        <r>
          <rPr>
            <sz val="14"/>
            <color rgb="FF000000"/>
            <rFont val="Times New Roman"/>
            <family val="18"/>
          </rPr>
          <t xml:space="preserve">13/11/1802 </t>
        </r>
        <r>
          <rPr>
            <i/>
            <sz val="14"/>
            <color rgb="FF000000"/>
            <rFont val="Times New Roman"/>
            <family val="18"/>
          </rPr>
          <t>Von IR 60 Haupt Szombathely Komp. Zum IR 23 ‚EH Toscana‘ laut Einverständnis transferiert</t>
        </r>
        <r>
          <rPr>
            <sz val="14"/>
            <color rgb="FF000000"/>
            <rFont val="Times New Roman"/>
            <family val="18"/>
          </rPr>
          <t xml:space="preserve"> [TL Dec 1803 &amp; ML 1803]</t>
        </r>
        <r>
          <rPr>
            <sz val="14"/>
            <color rgb="FF000000"/>
            <rFont val="Calibri"/>
            <family val="34"/>
          </rPr>
          <t xml:space="preserve">
</t>
        </r>
      </text>
    </comment>
    <comment ref="BG152" authorId="0" shapeId="0" xr:uid="{40F6B056-F7E7-DF41-9E95-A88A8D2EE990}">
      <text>
        <r>
          <rPr>
            <sz val="14"/>
            <color rgb="FF000000"/>
            <rFont val="Times New Roman"/>
            <family val="18"/>
          </rPr>
          <t>ML 5102-4 IR 60 (1802) –Haupt Szombathely Komp. Nr. 2 (Tamesvar 15/09/1802)</t>
        </r>
        <r>
          <rPr>
            <sz val="14"/>
            <color rgb="FF000000"/>
            <rFont val="Calibri"/>
            <family val="34"/>
          </rPr>
          <t xml:space="preserve">
</t>
        </r>
        <r>
          <rPr>
            <sz val="14"/>
            <color rgb="FF000000"/>
            <rFont val="Times New Roman"/>
            <family val="18"/>
          </rPr>
          <t>ML 5105 IR 60 (1802) – Haupt Szombathely Komp. – Abgang (Tamesvar 15/12/1803)</t>
        </r>
        <r>
          <rPr>
            <sz val="14"/>
            <color rgb="FF000000"/>
            <rFont val="Calibri"/>
            <family val="34"/>
          </rPr>
          <t xml:space="preserve">
</t>
        </r>
        <r>
          <rPr>
            <sz val="14"/>
            <color rgb="FF000000"/>
            <rFont val="Times New Roman"/>
            <family val="18"/>
          </rPr>
          <t>ML 5123 IR 60 (1800) – TL IR 50-&gt;IR 60 Nr. 1 (Linz 27/01/1801)</t>
        </r>
        <r>
          <rPr>
            <sz val="14"/>
            <color rgb="FF000000"/>
            <rFont val="Calibri"/>
            <family val="34"/>
          </rPr>
          <t xml:space="preserve">
</t>
        </r>
        <r>
          <rPr>
            <sz val="14"/>
            <color rgb="FF000000"/>
            <rFont val="Times New Roman"/>
            <family val="18"/>
          </rPr>
          <t>ML 5126 IR 60 (1802) – TL IR 60-&gt;IR 23 Nr. 1 (Tamesvar 13/12/1802)</t>
        </r>
        <r>
          <rPr>
            <sz val="14"/>
            <color rgb="FF000000"/>
            <rFont val="Calibri"/>
            <family val="34"/>
          </rPr>
          <t xml:space="preserve">
</t>
        </r>
      </text>
    </comment>
    <comment ref="BH152" authorId="0" shapeId="0" xr:uid="{C906392A-C8C5-4D4B-9AA7-05F06A63EE8B}">
      <text>
        <r>
          <rPr>
            <sz val="14"/>
            <color rgb="FF000000"/>
            <rFont val="Calibri"/>
            <family val="34"/>
          </rPr>
          <t xml:space="preserve">IR 50 (1797-1800)
</t>
        </r>
        <r>
          <rPr>
            <sz val="14"/>
            <color rgb="FF000000"/>
            <rFont val="Calibri"/>
            <family val="34"/>
          </rPr>
          <t xml:space="preserve">IR 60 (1800-1802)
</t>
        </r>
        <r>
          <rPr>
            <sz val="14"/>
            <color rgb="FF000000"/>
            <rFont val="Calibri"/>
            <family val="34"/>
          </rPr>
          <t>IR 23 (1802)</t>
        </r>
      </text>
    </comment>
    <comment ref="BF153" authorId="0" shapeId="0" xr:uid="{C81DCD90-4F31-8043-A1DC-1E1069B2D34E}">
      <text>
        <r>
          <rPr>
            <sz val="14"/>
            <color rgb="FF000000"/>
            <rFont val="Times New Roman"/>
            <family val="18"/>
          </rPr>
          <t xml:space="preserve">22/04/1797 </t>
        </r>
        <r>
          <rPr>
            <i/>
            <sz val="14"/>
            <color rgb="FF000000"/>
            <rFont val="Times New Roman"/>
            <family val="18"/>
          </rPr>
          <t>a 3Fl in Brody ins FK Grün Loudon assentiert uns seitdem auf anhero Marsch von Galizien</t>
        </r>
        <r>
          <rPr>
            <sz val="14"/>
            <color rgb="FF000000"/>
            <rFont val="Times New Roman"/>
            <family val="18"/>
          </rPr>
          <t xml:space="preserve"> [RL 1798 &amp; ST Aug 1797</t>
        </r>
        <r>
          <rPr>
            <sz val="14"/>
            <color rgb="FF000000"/>
            <rFont val="Calibri"/>
            <family val="34"/>
          </rPr>
          <t xml:space="preserve">
</t>
        </r>
        <r>
          <rPr>
            <sz val="14"/>
            <color rgb="FF000000"/>
            <rFont val="Times New Roman"/>
            <family val="18"/>
          </rPr>
          <t xml:space="preserve">31/12/1797 [Mindestens bis] </t>
        </r>
        <r>
          <rPr>
            <i/>
            <sz val="14"/>
            <color rgb="FF000000"/>
            <rFont val="Times New Roman"/>
            <family val="18"/>
          </rPr>
          <t>Auf Anhero Marsch von Galizien</t>
        </r>
        <r>
          <rPr>
            <sz val="14"/>
            <color rgb="FF000000"/>
            <rFont val="Times New Roman"/>
            <family val="18"/>
          </rPr>
          <t xml:space="preserve"> [ST Dec 1797]</t>
        </r>
        <r>
          <rPr>
            <sz val="14"/>
            <color rgb="FF000000"/>
            <rFont val="Calibri"/>
            <family val="34"/>
          </rPr>
          <t xml:space="preserve">
</t>
        </r>
        <r>
          <rPr>
            <sz val="14"/>
            <color rgb="FF000000"/>
            <rFont val="Times New Roman"/>
            <family val="18"/>
          </rPr>
          <t>07/03/1798 Revision: FK Grün Loudon Haupt Wattlet Komp. Nr. 145 [</t>
        </r>
        <r>
          <rPr>
            <i/>
            <sz val="14"/>
            <color rgb="FF000000"/>
            <rFont val="Times New Roman"/>
            <family val="18"/>
          </rPr>
          <t>auf dem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Loudon zum </t>
        </r>
        <r>
          <rPr>
            <b/>
            <sz val="14"/>
            <color rgb="FF000000"/>
            <rFont val="Times New Roman"/>
            <family val="18"/>
          </rPr>
          <t>LB 3</t>
        </r>
        <r>
          <rPr>
            <i/>
            <sz val="14"/>
            <color rgb="FF000000"/>
            <rFont val="Times New Roman"/>
            <family val="18"/>
          </rPr>
          <t xml:space="preserve"> transferiert</t>
        </r>
        <r>
          <rPr>
            <sz val="14"/>
            <color rgb="FF000000"/>
            <rFont val="Times New Roman"/>
            <family val="18"/>
          </rPr>
          <t xml:space="preserve"> [RL 1798]</t>
        </r>
        <r>
          <rPr>
            <sz val="14"/>
            <color rgb="FF000000"/>
            <rFont val="Calibri"/>
            <family val="34"/>
          </rPr>
          <t xml:space="preserve">
</t>
        </r>
        <r>
          <rPr>
            <sz val="14"/>
            <color rgb="FF000000"/>
            <rFont val="Times New Roman"/>
            <family val="18"/>
          </rPr>
          <t>22/01/1799 Revision: LB 3 Haupt Wattlet Komp. Nr. 128 [</t>
        </r>
        <r>
          <rPr>
            <i/>
            <sz val="14"/>
            <color rgb="FF000000"/>
            <rFont val="Times New Roman"/>
            <family val="18"/>
          </rPr>
          <t>auf den Anhero Marsch</t>
        </r>
        <r>
          <rPr>
            <sz val="14"/>
            <color rgb="FF000000"/>
            <rFont val="Times New Roman"/>
            <family val="18"/>
          </rPr>
          <t>]</t>
        </r>
        <r>
          <rPr>
            <sz val="14"/>
            <color rgb="FF000000"/>
            <rFont val="Calibri"/>
            <family val="34"/>
          </rPr>
          <t xml:space="preserve">
</t>
        </r>
        <r>
          <rPr>
            <sz val="14"/>
            <color rgb="FF000000"/>
            <rFont val="Times New Roman"/>
            <family val="18"/>
          </rPr>
          <t xml:space="preserve">30/04/1799 </t>
        </r>
        <r>
          <rPr>
            <i/>
            <sz val="14"/>
            <color rgb="FF000000"/>
            <rFont val="Times New Roman"/>
            <family val="18"/>
          </rPr>
          <t>Vermog Revisions Erledigung als Unwissend Verloren in Abgang</t>
        </r>
        <r>
          <rPr>
            <sz val="14"/>
            <color rgb="FF000000"/>
            <rFont val="Times New Roman"/>
            <family val="18"/>
          </rPr>
          <t xml:space="preserve"> [RL 1800]</t>
        </r>
        <r>
          <rPr>
            <sz val="14"/>
            <color rgb="FF000000"/>
            <rFont val="Calibri"/>
            <family val="34"/>
          </rPr>
          <t xml:space="preserve">
</t>
        </r>
        <r>
          <rPr>
            <sz val="14"/>
            <color rgb="FF000000"/>
            <rFont val="Calibri"/>
            <family val="34"/>
          </rPr>
          <t xml:space="preserve">
</t>
        </r>
      </text>
    </comment>
    <comment ref="BG153" authorId="0" shapeId="0" xr:uid="{9708D805-E6C9-6A41-91D3-7DC94D1B76B1}">
      <text>
        <r>
          <rPr>
            <sz val="14"/>
            <color rgb="FF000000"/>
            <rFont val="Times New Roman"/>
            <family val="18"/>
          </rPr>
          <t>ML 10.763 FK Grün Laudon (1797-98) – RL Haupt Wattlet Komp. Nr. 145 (Rovigo 07/03/1798)</t>
        </r>
        <r>
          <rPr>
            <sz val="14"/>
            <color rgb="FF000000"/>
            <rFont val="Calibri"/>
            <family val="34"/>
          </rPr>
          <t xml:space="preserve">
</t>
        </r>
        <r>
          <rPr>
            <sz val="14"/>
            <color rgb="FF000000"/>
            <rFont val="Times New Roman"/>
            <family val="18"/>
          </rPr>
          <t xml:space="preserve">ML 10.771 FK Grün Laudon (1796-7) – 1797 ST August (Rovigo 06/06/1798) &amp; December (Rovigo 06/07/1798) </t>
        </r>
        <r>
          <rPr>
            <sz val="14"/>
            <color rgb="FF000000"/>
            <rFont val="Calibri"/>
            <family val="34"/>
          </rPr>
          <t xml:space="preserve">
</t>
        </r>
        <r>
          <rPr>
            <sz val="14"/>
            <color rgb="FF000000"/>
            <rFont val="Times New Roman"/>
            <family val="18"/>
          </rPr>
          <t>ML 10.624 LB 3 (1798-1801) – 1799 RL Haupt Wattlet Komp. Nr. 128 (Rovigo 22/01/1799); 1800 RL Haupt Wattlet Komp. – Abgang (Livorno 04/03/1800)</t>
        </r>
        <r>
          <rPr>
            <sz val="14"/>
            <color rgb="FF000000"/>
            <rFont val="Calibri"/>
            <family val="34"/>
          </rPr>
          <t xml:space="preserve">
</t>
        </r>
      </text>
    </comment>
    <comment ref="BH153" authorId="0" shapeId="0" xr:uid="{6DC4DECC-DE20-9F49-BA99-D4A15326CD28}">
      <text>
        <r>
          <rPr>
            <sz val="14"/>
            <color rgb="FF000000"/>
            <rFont val="Times New Roman"/>
            <family val="18"/>
          </rPr>
          <t xml:space="preserve">FK Grün Loudon (1796-7)
</t>
        </r>
        <r>
          <rPr>
            <sz val="14"/>
            <color rgb="FF000000"/>
            <rFont val="Times New Roman"/>
            <family val="18"/>
          </rPr>
          <t>LB 3 (1798-1799)</t>
        </r>
      </text>
    </comment>
    <comment ref="BF154" authorId="0" shapeId="0" xr:uid="{2EF3A46F-B2EE-EA4A-ACAC-9FDF8179D47C}">
      <text>
        <r>
          <rPr>
            <sz val="14"/>
            <color rgb="FF000000"/>
            <rFont val="Times New Roman"/>
            <family val="18"/>
          </rPr>
          <t xml:space="preserve">25/04/1797 </t>
        </r>
        <r>
          <rPr>
            <i/>
            <sz val="14"/>
            <color rgb="FF000000"/>
            <rFont val="Times New Roman"/>
            <family val="18"/>
          </rPr>
          <t>Auf Kriegsdauer assentiert</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05/09/1805 </t>
        </r>
        <r>
          <rPr>
            <i/>
            <sz val="14"/>
            <color rgb="FF000000"/>
            <rFont val="Times New Roman"/>
            <family val="18"/>
          </rPr>
          <t>Mit Abschied entlassen</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17/09/1805 </t>
        </r>
        <r>
          <rPr>
            <i/>
            <sz val="14"/>
            <color rgb="FF000000"/>
            <rFont val="Times New Roman"/>
            <family val="18"/>
          </rPr>
          <t>Mit 10 Jähriger Capitulation assentiert</t>
        </r>
        <r>
          <rPr>
            <sz val="14"/>
            <color rgb="FF000000"/>
            <rFont val="Times New Roman"/>
            <family val="18"/>
          </rPr>
          <t xml:space="preserve"> [TL July 1814]</t>
        </r>
        <r>
          <rPr>
            <sz val="14"/>
            <color rgb="FF000000"/>
            <rFont val="Calibri"/>
            <family val="34"/>
          </rPr>
          <t xml:space="preserve">
</t>
        </r>
        <r>
          <rPr>
            <sz val="14"/>
            <color rgb="FF000000"/>
            <rFont val="Times New Roman"/>
            <family val="18"/>
          </rPr>
          <t xml:space="preserve">20/01/1814 </t>
        </r>
        <r>
          <rPr>
            <i/>
            <sz val="14"/>
            <color rgb="FF000000"/>
            <rFont val="Times New Roman"/>
            <family val="18"/>
          </rPr>
          <t>Von IR 26 11. Fus. Komp. zum JFK ‚Fenner‘ mittels Einverständnis beide Regimenter transferiert und zum 5. Kompanie eingeheilt als Privat Diener von OberLt, Ferdinand Graf Urschenbeck</t>
        </r>
        <r>
          <rPr>
            <sz val="14"/>
            <color rgb="FF000000"/>
            <rFont val="Times New Roman"/>
            <family val="18"/>
          </rPr>
          <t xml:space="preserve"> [TL July 1814 &amp; ST Jan 1814]</t>
        </r>
        <r>
          <rPr>
            <sz val="14"/>
            <color rgb="FF000000"/>
            <rFont val="Calibri"/>
            <family val="34"/>
          </rPr>
          <t xml:space="preserve">
</t>
        </r>
        <r>
          <rPr>
            <sz val="14"/>
            <color rgb="FF000000"/>
            <rFont val="Times New Roman"/>
            <family val="18"/>
          </rPr>
          <t xml:space="preserve">31/05/1815 </t>
        </r>
        <r>
          <rPr>
            <i/>
            <sz val="14"/>
            <color rgb="FF000000"/>
            <rFont val="Times New Roman"/>
            <family val="18"/>
          </rPr>
          <t>Nach Superarbietrierung als untaugliche Halb Invalid von JFK Fenner 5. Komp. zum HFS 32 zu Padua transferiert</t>
        </r>
        <r>
          <rPr>
            <sz val="14"/>
            <color rgb="FF000000"/>
            <rFont val="Times New Roman"/>
            <family val="18"/>
          </rPr>
          <t xml:space="preserve"> [TL Aug 1815 &amp; ST May 1815]</t>
        </r>
        <r>
          <rPr>
            <sz val="14"/>
            <color rgb="FF000000"/>
            <rFont val="Calibri"/>
            <family val="34"/>
          </rPr>
          <t xml:space="preserve">
</t>
        </r>
        <r>
          <rPr>
            <sz val="14"/>
            <color rgb="FF000000"/>
            <rFont val="Calibri"/>
            <family val="34"/>
          </rPr>
          <t xml:space="preserve">
</t>
        </r>
      </text>
    </comment>
    <comment ref="BG154" authorId="0" shapeId="0" xr:uid="{36D275D6-AB14-ED4D-8369-5B9887AE70B3}">
      <text>
        <r>
          <rPr>
            <sz val="14"/>
            <color rgb="FF000000"/>
            <rFont val="Times New Roman"/>
            <family val="18"/>
          </rPr>
          <t>ML 11.083 JFK Fenner (1814) – TL IR 26-&gt;JFK Fenner Nr. 4 (Klagenfurt 01/09/1814); ST Jan (Trient 15/07/1814)</t>
        </r>
        <r>
          <rPr>
            <sz val="14"/>
            <color rgb="FF000000"/>
            <rFont val="Calibri"/>
            <family val="34"/>
          </rPr>
          <t xml:space="preserve">
</t>
        </r>
        <r>
          <rPr>
            <sz val="14"/>
            <color rgb="FF000000"/>
            <rFont val="Times New Roman"/>
            <family val="18"/>
          </rPr>
          <t>ML 11.084 JFK Fenner (1815) – ST May (Innsbruck 26/10/1815)</t>
        </r>
        <r>
          <rPr>
            <sz val="14"/>
            <color rgb="FF000000"/>
            <rFont val="Calibri"/>
            <family val="34"/>
          </rPr>
          <t xml:space="preserve">
</t>
        </r>
        <r>
          <rPr>
            <sz val="14"/>
            <color rgb="FF000000"/>
            <rFont val="Times New Roman"/>
            <family val="18"/>
          </rPr>
          <t>ML 11.085 JFK Fenner (1815) – TL JFK Fenner-&gt; HFS 32 Nr. 4 (Innsbruck 09/08/1815)</t>
        </r>
        <r>
          <rPr>
            <sz val="14"/>
            <color rgb="FF000000"/>
            <rFont val="Calibri"/>
            <family val="34"/>
          </rPr>
          <t xml:space="preserve">
</t>
        </r>
        <r>
          <rPr>
            <sz val="14"/>
            <color rgb="FF000000"/>
            <rFont val="Times New Roman"/>
            <family val="18"/>
          </rPr>
          <t>ML 11.995 HFS 32 (1815/6) – TL JFK Fenner-&gt; HFS 32 Nr. 4 (Innsbruck 09/08/1815)</t>
        </r>
        <r>
          <rPr>
            <sz val="14"/>
            <color rgb="FF000000"/>
            <rFont val="Calibri"/>
            <family val="34"/>
          </rPr>
          <t xml:space="preserve">
</t>
        </r>
      </text>
    </comment>
    <comment ref="BH154" authorId="0" shapeId="0" xr:uid="{E2F9E68E-6AF1-0C40-AD64-85CFEDB6904B}">
      <text>
        <r>
          <rPr>
            <sz val="14"/>
            <color rgb="FF000000"/>
            <rFont val="Times New Roman"/>
            <family val="18"/>
          </rPr>
          <t xml:space="preserve">IR 26 (1797-1814)
</t>
        </r>
        <r>
          <rPr>
            <sz val="14"/>
            <color rgb="FF000000"/>
            <rFont val="Times New Roman"/>
            <family val="18"/>
          </rPr>
          <t xml:space="preserve">JFK Fenner (1814-1815)
</t>
        </r>
        <r>
          <rPr>
            <sz val="14"/>
            <color rgb="FF000000"/>
            <rFont val="Times New Roman"/>
            <family val="18"/>
          </rPr>
          <t>HFS 32 (1815)</t>
        </r>
      </text>
    </comment>
    <comment ref="BJ154" authorId="0" shapeId="0" xr:uid="{091EB447-77B2-BD44-B0DA-D639933BDBD5}">
      <text>
        <r>
          <rPr>
            <i/>
            <sz val="14"/>
            <color rgb="FF000000"/>
            <rFont val="Times New Roman"/>
            <family val="18"/>
          </rPr>
          <t>Leistenbruch und Steifheit der Fingern</t>
        </r>
        <r>
          <rPr>
            <sz val="14"/>
            <color rgb="FF000000"/>
            <rFont val="Times New Roman"/>
            <family val="18"/>
          </rPr>
          <t xml:space="preserve"> [TL Aug 1815]</t>
        </r>
        <r>
          <rPr>
            <sz val="14"/>
            <color rgb="FF000000"/>
            <rFont val="Calibri"/>
            <family val="2"/>
            <scheme val="minor"/>
          </rPr>
          <t xml:space="preserve"> </t>
        </r>
      </text>
    </comment>
    <comment ref="BF155" authorId="0" shapeId="0" xr:uid="{CB2CF3AE-67E2-B84A-BC81-7B5188BEBB61}">
      <text>
        <r>
          <rPr>
            <sz val="14"/>
            <color rgb="FF000000"/>
            <rFont val="Times New Roman"/>
            <family val="18"/>
          </rPr>
          <t xml:space="preserve">26/04/1797 </t>
        </r>
        <r>
          <rPr>
            <i/>
            <sz val="14"/>
            <color rgb="FF000000"/>
            <rFont val="Times New Roman"/>
            <family val="18"/>
          </rPr>
          <t>A 3 Fl auf Kriegsdauer zu Krakau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Gollner Nr. 40 [</t>
        </r>
        <r>
          <rPr>
            <i/>
            <sz val="14"/>
            <color rgb="FF000000"/>
            <rFont val="Times New Roman"/>
            <family val="18"/>
          </rPr>
          <t>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03/09/1804 Muster: IR 59 Haupt Gollner Nr. 47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t auch k.k. Feldkriegs und Garisons dinsten untauglich und zu entlassen</t>
        </r>
        <r>
          <rPr>
            <sz val="14"/>
            <color rgb="FF000000"/>
            <rFont val="Times New Roman"/>
            <family val="18"/>
          </rPr>
          <t xml:space="preserve"> [Ist Breits als Kriegscapitulant entlassen worden]</t>
        </r>
        <r>
          <rPr>
            <sz val="14"/>
            <color rgb="FF000000"/>
            <rFont val="Calibri"/>
            <family val="34"/>
          </rPr>
          <t xml:space="preserve">
</t>
        </r>
        <r>
          <rPr>
            <sz val="14"/>
            <color rgb="FF000000"/>
            <rFont val="Times New Roman"/>
            <family val="18"/>
          </rPr>
          <t xml:space="preserve">30/06/1805 </t>
        </r>
        <r>
          <rPr>
            <i/>
            <sz val="14"/>
            <color rgb="FF000000"/>
            <rFont val="Times New Roman"/>
            <family val="18"/>
          </rPr>
          <t xml:space="preserve">Als Kriegscapitulant entlassen </t>
        </r>
        <r>
          <rPr>
            <sz val="14"/>
            <color rgb="FF000000"/>
            <rFont val="Times New Roman"/>
            <family val="18"/>
          </rPr>
          <t>[ML 1806]</t>
        </r>
        <r>
          <rPr>
            <sz val="14"/>
            <color rgb="FF000000"/>
            <rFont val="Calibri"/>
            <family val="34"/>
          </rPr>
          <t xml:space="preserve">
</t>
        </r>
      </text>
    </comment>
    <comment ref="BG155" authorId="0" shapeId="0" xr:uid="{62758E8D-72CD-2545-9158-B96CC923A77C}">
      <text>
        <r>
          <rPr>
            <sz val="14"/>
            <color rgb="FF000000"/>
            <rFont val="Times New Roman"/>
            <family val="18"/>
          </rPr>
          <t>ML 5015 IR 59 (1803) – Haupt Gollner Komp. Nr. 40 (Enns, 29/08/1803)</t>
        </r>
        <r>
          <rPr>
            <sz val="14"/>
            <color rgb="FF000000"/>
            <rFont val="Calibri"/>
            <family val="34"/>
          </rPr>
          <t xml:space="preserve">
</t>
        </r>
        <r>
          <rPr>
            <sz val="14"/>
            <color rgb="FF000000"/>
            <rFont val="Times New Roman"/>
            <family val="18"/>
          </rPr>
          <t>ML 5016 IR 59 (1804) – Haupt Gollner Komp. Nr. 37 (Innsbruck 03/09/1804)</t>
        </r>
        <r>
          <rPr>
            <sz val="14"/>
            <color rgb="FF000000"/>
            <rFont val="Calibri"/>
            <family val="34"/>
          </rPr>
          <t xml:space="preserve">
</t>
        </r>
        <r>
          <rPr>
            <sz val="14"/>
            <color rgb="FF000000"/>
            <rFont val="Times New Roman"/>
            <family val="18"/>
          </rPr>
          <t>ML 5017/8 IR 59 (1806) – 2. Fus. Komp. Abgang (Florian 27/12/1806)</t>
        </r>
        <r>
          <rPr>
            <sz val="14"/>
            <color rgb="FF000000"/>
            <rFont val="Calibri"/>
            <family val="34"/>
          </rPr>
          <t xml:space="preserve">
</t>
        </r>
        <r>
          <rPr>
            <sz val="14"/>
            <color rgb="FF000000"/>
            <rFont val="Times New Roman"/>
            <family val="18"/>
          </rPr>
          <t>ML 5067 IR 59 (1805) AL/TL – SUP pro Junio Nr. 1 (Kraków 14/06/1805)</t>
        </r>
        <r>
          <rPr>
            <sz val="14"/>
            <color rgb="FF000000"/>
            <rFont val="Calibri"/>
            <family val="34"/>
          </rPr>
          <t xml:space="preserve">
</t>
        </r>
      </text>
    </comment>
    <comment ref="BH155" authorId="0" shapeId="0" xr:uid="{83731F40-F60E-1042-8F3A-40BD32625E31}">
      <text>
        <r>
          <rPr>
            <sz val="14"/>
            <color rgb="FF000000"/>
            <rFont val="Times New Roman"/>
            <family val="18"/>
          </rPr>
          <t>IR 59 (1797-1805)</t>
        </r>
      </text>
    </comment>
    <comment ref="BF156" authorId="0" shapeId="0" xr:uid="{F4792A24-ABFA-974C-8C8E-E0EDDEC37A5A}">
      <text>
        <r>
          <rPr>
            <sz val="14"/>
            <color rgb="FF000000"/>
            <rFont val="Times New Roman"/>
            <family val="18"/>
          </rPr>
          <t xml:space="preserve">28/04/1793 [1797 SIC!] </t>
        </r>
        <r>
          <rPr>
            <i/>
            <sz val="14"/>
            <color rgb="FF000000"/>
            <rFont val="Times New Roman"/>
            <family val="18"/>
          </rPr>
          <t>Auf die Kriegsdauer gestellt und a 3Fl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Lieb Komp. Nr. 63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Auf Urlaub in Polen desertiert</t>
        </r>
        <r>
          <rPr>
            <sz val="14"/>
            <color rgb="FF000000"/>
            <rFont val="Times New Roman"/>
            <family val="18"/>
          </rPr>
          <t xml:space="preserve"> </t>
        </r>
      </text>
    </comment>
    <comment ref="BG156" authorId="0" shapeId="0" xr:uid="{3AA5E265-5C4C-7742-8A82-E247F5DB3E38}">
      <text>
        <r>
          <rPr>
            <sz val="14"/>
            <color rgb="FF000000"/>
            <rFont val="Times New Roman"/>
            <family val="18"/>
          </rPr>
          <t>ML 10.124 IR 23 (1802) – Lieb Komp. Nr. 67 (Krems 09/09/1802)</t>
        </r>
        <r>
          <rPr>
            <sz val="14"/>
            <color rgb="FF000000"/>
            <rFont val="Calibri"/>
            <family val="34"/>
          </rPr>
          <t xml:space="preserve">
</t>
        </r>
        <r>
          <rPr>
            <sz val="14"/>
            <color rgb="FF000000"/>
            <rFont val="Times New Roman"/>
            <family val="18"/>
          </rPr>
          <t>ML 10.125 IR 23 (1802) – Lieb Komp. Abgang (Execierlager bei St Pölten 07/09/1803)</t>
        </r>
      </text>
    </comment>
    <comment ref="BH156" authorId="0" shapeId="0" xr:uid="{27BF9619-15AD-0A4F-97F9-CDDF1FCCF86A}">
      <text>
        <r>
          <rPr>
            <sz val="14"/>
            <color rgb="FF000000"/>
            <rFont val="Times New Roman"/>
            <family val="18"/>
          </rPr>
          <t>IR 23 (1797-1802)</t>
        </r>
      </text>
    </comment>
    <comment ref="B157" authorId="0" shapeId="0" xr:uid="{166A02EC-EC2C-0245-AB77-61D0B9C3E228}">
      <text>
        <r>
          <rPr>
            <sz val="14"/>
            <color rgb="FF000000"/>
            <rFont val="Times New Roman"/>
            <family val="18"/>
          </rPr>
          <t xml:space="preserve">Herschel BENJAMIN/ BENJAMUND/ WENJAMINELL </t>
        </r>
      </text>
    </comment>
    <comment ref="BF157" authorId="0" shapeId="0" xr:uid="{FD61CB13-9A2D-9442-8831-07DBC852BD70}">
      <text>
        <r>
          <rPr>
            <sz val="14"/>
            <color rgb="FF000000"/>
            <rFont val="Times New Roman"/>
            <family val="18"/>
          </rPr>
          <t xml:space="preserve">n Mai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11/08/1797 </t>
        </r>
        <r>
          <rPr>
            <i/>
            <sz val="14"/>
            <color rgb="FF000000"/>
            <rFont val="Times New Roman"/>
            <family val="18"/>
          </rPr>
          <t xml:space="preserve">Ohne Handgeld in die Loco Verpflegung eingebracht und kommt anhero einstwillig von begabte dato ins Haupt Dostall Comp  in Stand und Gebühr </t>
        </r>
        <r>
          <rPr>
            <sz val="14"/>
            <color rgb="FF000000"/>
            <rFont val="Times New Roman"/>
            <family val="18"/>
          </rPr>
          <t xml:space="preserve">[ST August 1797] </t>
        </r>
        <r>
          <rPr>
            <sz val="14"/>
            <color rgb="FF000000"/>
            <rFont val="Calibri"/>
            <family val="34"/>
          </rPr>
          <t xml:space="preserve">
</t>
        </r>
        <r>
          <rPr>
            <sz val="14"/>
            <color rgb="FF000000"/>
            <rFont val="Times New Roman"/>
            <family val="18"/>
          </rPr>
          <t xml:space="preserve">01/11/1798 [Mindestens seit] </t>
        </r>
        <r>
          <rPr>
            <i/>
            <sz val="14"/>
            <color rgb="FF000000"/>
            <rFont val="Times New Roman"/>
            <family val="18"/>
          </rPr>
          <t>in Palma als Handlanger mit Kriegsgebühr kommandiert</t>
        </r>
        <r>
          <rPr>
            <sz val="14"/>
            <color rgb="FF000000"/>
            <rFont val="Times New Roman"/>
            <family val="18"/>
          </rPr>
          <t xml:space="preserve"> [ST Nov 1798]</t>
        </r>
        <r>
          <rPr>
            <sz val="14"/>
            <color rgb="FF000000"/>
            <rFont val="Calibri"/>
            <family val="34"/>
          </rPr>
          <t xml:space="preserve">
</t>
        </r>
        <r>
          <rPr>
            <sz val="14"/>
            <color rgb="FF000000"/>
            <rFont val="Times New Roman"/>
            <family val="18"/>
          </rPr>
          <t>[25/01/1799 Revision:  IR 43 Haupt Dostall Nr. 63 [</t>
        </r>
        <r>
          <rPr>
            <i/>
            <sz val="14"/>
            <color rgb="FF000000"/>
            <rFont val="Times New Roman"/>
            <family val="18"/>
          </rPr>
          <t>Artillerie Handlanger in Palma</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01/04/1799 </t>
        </r>
        <r>
          <rPr>
            <i/>
            <sz val="14"/>
            <color rgb="FF000000"/>
            <rFont val="Times New Roman"/>
            <family val="18"/>
          </rPr>
          <t xml:space="preserve">Als Handlanger Auswärts mit Kriegsgebühr kommandiert </t>
        </r>
        <r>
          <rPr>
            <sz val="14"/>
            <color rgb="FF000000"/>
            <rFont val="Times New Roman"/>
            <family val="18"/>
          </rPr>
          <t>[ST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Dostall Comp. zum Artillerie Handlanger transferiert und seitdem bei dem Artillerie Reserve mit Kriegsgebühr</t>
        </r>
        <r>
          <rPr>
            <sz val="14"/>
            <color rgb="FF000000"/>
            <rFont val="Times New Roman"/>
            <family val="18"/>
          </rPr>
          <t xml:space="preserve"> [teilweise als zum Oberburg Comp gehörige] [ST Aug 1799]</t>
        </r>
        <r>
          <rPr>
            <sz val="14"/>
            <color rgb="FF000000"/>
            <rFont val="Calibri"/>
            <family val="34"/>
          </rPr>
          <t xml:space="preserve">
</t>
        </r>
        <r>
          <rPr>
            <sz val="14"/>
            <color rgb="FF000000"/>
            <rFont val="Times New Roman"/>
            <family val="18"/>
          </rPr>
          <t xml:space="preserve">11/11/1800 </t>
        </r>
        <r>
          <rPr>
            <i/>
            <sz val="14"/>
            <color rgb="FF000000"/>
            <rFont val="Times New Roman"/>
            <family val="18"/>
          </rPr>
          <t>zum Reserve Division Zugeheilt mit Friedensgebühr und ½ Xr Fleischbeitrag</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11/12/1800 </t>
        </r>
        <r>
          <rPr>
            <i/>
            <sz val="14"/>
            <color rgb="FF000000"/>
            <rFont val="Times New Roman"/>
            <family val="18"/>
          </rPr>
          <t>Krank auswärts</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06/04/1801 </t>
        </r>
        <r>
          <rPr>
            <i/>
            <sz val="14"/>
            <color rgb="FF000000"/>
            <rFont val="Times New Roman"/>
            <family val="18"/>
          </rPr>
          <t>Reconvalesciert und zugeheilt beim Reserve Division mit ½ Xr Fleischbeitrag</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Oberburg Companie und beliebt beim Reserve Division zugeheilt mir 4/8 Fleischbeitrag</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15/05/1801 </t>
        </r>
        <r>
          <rPr>
            <i/>
            <sz val="14"/>
            <color rgb="FF000000"/>
            <rFont val="Times New Roman"/>
            <family val="18"/>
          </rPr>
          <t>Zurück in Companie eingerückt</t>
        </r>
        <r>
          <rPr>
            <sz val="14"/>
            <color rgb="FF000000"/>
            <rFont val="Times New Roman"/>
            <family val="18"/>
          </rPr>
          <t xml:space="preserve"> [ST Mai 1801]</t>
        </r>
        <r>
          <rPr>
            <sz val="14"/>
            <color rgb="FF000000"/>
            <rFont val="Calibri"/>
            <family val="34"/>
          </rPr>
          <t xml:space="preserve">
</t>
        </r>
        <r>
          <rPr>
            <sz val="14"/>
            <color rgb="FF000000"/>
            <rFont val="Times New Roman"/>
            <family val="18"/>
          </rPr>
          <t xml:space="preserve">21/12/1801 </t>
        </r>
        <r>
          <rPr>
            <i/>
            <sz val="14"/>
            <color rgb="FF000000"/>
            <rFont val="Times New Roman"/>
            <family val="18"/>
          </rPr>
          <t>zu in loco Cattaro gestorben</t>
        </r>
        <r>
          <rPr>
            <sz val="14"/>
            <color rgb="FF000000"/>
            <rFont val="Times New Roman"/>
            <family val="18"/>
          </rPr>
          <t xml:space="preserve"> [ST Dec 1801 &amp; ML 1802]</t>
        </r>
        <r>
          <rPr>
            <sz val="14"/>
            <color rgb="FF000000"/>
            <rFont val="Calibri"/>
            <family val="34"/>
          </rPr>
          <t xml:space="preserve">
</t>
        </r>
      </text>
    </comment>
    <comment ref="BG157" authorId="0" shapeId="0" xr:uid="{45A3F3A4-EE3A-744A-819E-5A4AF00CB1E6}">
      <text>
        <r>
          <rPr>
            <sz val="14"/>
            <color rgb="FF000000"/>
            <rFont val="Times New Roman"/>
            <family val="18"/>
          </rPr>
          <t>ML 10.271 IR 43 (1796-9) – RL Haupt Pasqually Comp. Nr. 63 (Udine 25/01/1799)</t>
        </r>
        <r>
          <rPr>
            <sz val="14"/>
            <color rgb="FF000000"/>
            <rFont val="Calibri"/>
            <family val="34"/>
          </rPr>
          <t xml:space="preserve">
</t>
        </r>
        <r>
          <rPr>
            <sz val="14"/>
            <color rgb="FF000000"/>
            <rFont val="Times New Roman"/>
            <family val="18"/>
          </rPr>
          <t xml:space="preserve">ML 10.272 IR 48 (1802) – Heft von Haupt Frintlos Comp Abgang (Cattaro 28/08/1802) </t>
        </r>
        <r>
          <rPr>
            <sz val="14"/>
            <color rgb="FF000000"/>
            <rFont val="Calibri"/>
            <family val="34"/>
          </rPr>
          <t xml:space="preserve">
</t>
        </r>
        <r>
          <rPr>
            <sz val="14"/>
            <color rgb="FF000000"/>
            <rFont val="Times New Roman"/>
            <family val="18"/>
          </rPr>
          <t>ML 10.305 IR 43 (1797) – ST Aug (01/09/1803)</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April (19/08/1799), August (06/03/1800)</t>
        </r>
        <r>
          <rPr>
            <sz val="14"/>
            <color rgb="FF000000"/>
            <rFont val="Calibri"/>
            <family val="34"/>
          </rPr>
          <t xml:space="preserve">
</t>
        </r>
        <r>
          <rPr>
            <sz val="14"/>
            <color rgb="FF000000"/>
            <rFont val="Times New Roman"/>
            <family val="18"/>
          </rPr>
          <t>ML 10.309 IR 43 (1800) – ST Dez (18/08/1804)</t>
        </r>
        <r>
          <rPr>
            <sz val="14"/>
            <color rgb="FF000000"/>
            <rFont val="Calibri"/>
            <family val="34"/>
          </rPr>
          <t xml:space="preserve">
</t>
        </r>
        <r>
          <rPr>
            <sz val="14"/>
            <color rgb="FF000000"/>
            <rFont val="Times New Roman"/>
            <family val="18"/>
          </rPr>
          <t>ML 10.311 IR 43 (1801) – April (13/10/1804), Mai (10/03/1805) und Dez (13/01/1802)</t>
        </r>
        <r>
          <rPr>
            <sz val="14"/>
            <color rgb="FF000000"/>
            <rFont val="Calibri"/>
            <family val="34"/>
          </rPr>
          <t xml:space="preserve">
</t>
        </r>
      </text>
    </comment>
    <comment ref="BH157" authorId="0" shapeId="0" xr:uid="{E7B90F4C-F7CE-5A44-9A38-74A895D7A129}">
      <text>
        <r>
          <rPr>
            <sz val="14"/>
            <color rgb="FF000000"/>
            <rFont val="Calibri"/>
            <family val="34"/>
          </rPr>
          <t>IR 43 (1797-1801)</t>
        </r>
      </text>
    </comment>
    <comment ref="BF158" authorId="0" shapeId="0" xr:uid="{8BE7482E-D967-904A-9547-63FD7146FC29}">
      <text>
        <r>
          <rPr>
            <sz val="14"/>
            <color rgb="FF000000"/>
            <rFont val="Times New Roman"/>
            <family val="18"/>
          </rPr>
          <t xml:space="preserve">In Mai 1797 </t>
        </r>
        <r>
          <rPr>
            <i/>
            <sz val="14"/>
            <color rgb="FF000000"/>
            <rFont val="Times New Roman"/>
            <family val="18"/>
          </rPr>
          <t>von Galizischen Ständen gestellt</t>
        </r>
        <r>
          <rPr>
            <sz val="14"/>
            <color rgb="FF000000"/>
            <rFont val="Calibri"/>
            <family val="34"/>
          </rPr>
          <t xml:space="preserve">
</t>
        </r>
        <r>
          <rPr>
            <sz val="14"/>
            <color rgb="FF000000"/>
            <rFont val="Times New Roman"/>
            <family val="18"/>
          </rPr>
          <t xml:space="preserve">21/08/1797 </t>
        </r>
        <r>
          <rPr>
            <i/>
            <sz val="14"/>
            <color rgb="FF000000"/>
            <rFont val="Times New Roman"/>
            <family val="18"/>
          </rPr>
          <t>von Galizischen Ständen gestellt [bis ultimo dicti auswärts verpflegt ohne Z.D. in die loco Verpflegung eingerückt und dahero einstwillig von begabte dato in Haupt Fübich Comp in Stand und Gebühr</t>
        </r>
        <r>
          <rPr>
            <sz val="14"/>
            <color rgb="FF000000"/>
            <rFont val="Times New Roman"/>
            <family val="18"/>
          </rPr>
          <t>] [ST August 1797]</t>
        </r>
        <r>
          <rPr>
            <sz val="14"/>
            <color rgb="FF000000"/>
            <rFont val="Calibri"/>
            <family val="34"/>
          </rPr>
          <t xml:space="preserve">
</t>
        </r>
        <r>
          <rPr>
            <sz val="14"/>
            <color rgb="FF000000"/>
            <rFont val="Times New Roman"/>
            <family val="18"/>
          </rPr>
          <t xml:space="preserve">01/01/1799 </t>
        </r>
        <r>
          <rPr>
            <i/>
            <sz val="14"/>
            <color rgb="FF000000"/>
            <rFont val="Times New Roman"/>
            <family val="18"/>
          </rPr>
          <t>Handlanger beim loco mit Liniengeschütz</t>
        </r>
        <r>
          <rPr>
            <sz val="14"/>
            <color rgb="FF000000"/>
            <rFont val="Times New Roman"/>
            <family val="18"/>
          </rPr>
          <t xml:space="preserve"> [ST Jan 1799]</t>
        </r>
        <r>
          <rPr>
            <sz val="14"/>
            <color rgb="FF000000"/>
            <rFont val="Calibri"/>
            <family val="34"/>
          </rPr>
          <t xml:space="preserve">
</t>
        </r>
        <r>
          <rPr>
            <sz val="14"/>
            <color rgb="FF000000"/>
            <rFont val="Times New Roman"/>
            <family val="18"/>
          </rPr>
          <t>25/01/1799 Revision: IR 43 Haupt Fübich Nr. 125] [</t>
        </r>
        <r>
          <rPr>
            <i/>
            <sz val="14"/>
            <color rgb="FF000000"/>
            <rFont val="Times New Roman"/>
            <family val="18"/>
          </rPr>
          <t>Beim Regiments Liniengeschütz</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28/06/1799 Krank </t>
        </r>
        <r>
          <rPr>
            <i/>
            <sz val="14"/>
            <color rgb="FF000000"/>
            <rFont val="Times New Roman"/>
            <family val="18"/>
          </rPr>
          <t>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20/07/1799 </t>
        </r>
        <r>
          <rPr>
            <i/>
            <sz val="14"/>
            <color rgb="FF000000"/>
            <rFont val="Times New Roman"/>
            <family val="18"/>
          </rPr>
          <t xml:space="preserve">Reconvalesciert </t>
        </r>
        <r>
          <rPr>
            <sz val="14"/>
            <color rgb="FF000000"/>
            <rFont val="Times New Roman"/>
            <family val="18"/>
          </rPr>
          <t>[ST July 1799]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 19/11/1799 19/11/1799 </t>
        </r>
        <r>
          <rPr>
            <i/>
            <sz val="14"/>
            <color rgb="FF000000"/>
            <rFont val="Times New Roman"/>
            <family val="18"/>
          </rPr>
          <t>Als Angehorige von Haupt Leon zu Perugia Gestorben</t>
        </r>
        <r>
          <rPr>
            <sz val="14"/>
            <color rgb="FF000000"/>
            <rFont val="Times New Roman"/>
            <family val="18"/>
          </rPr>
          <t xml:space="preserve"> [ST Nov 1799]</t>
        </r>
        <r>
          <rPr>
            <sz val="14"/>
            <color rgb="FF000000"/>
            <rFont val="Calibri"/>
            <family val="34"/>
          </rPr>
          <t xml:space="preserve">
</t>
        </r>
      </text>
    </comment>
    <comment ref="BG158" authorId="0" shapeId="0" xr:uid="{3258E871-82FC-A441-ADF7-0A10F5AF33FF}">
      <text>
        <r>
          <rPr>
            <sz val="14"/>
            <color rgb="FF000000"/>
            <rFont val="Times New Roman"/>
            <family val="18"/>
          </rPr>
          <t>ML 10.271 IR 43 (1796-9) – RL Haupt Fübich Comp. Nr. 125 (Udine 25/01/1799)</t>
        </r>
        <r>
          <rPr>
            <sz val="14"/>
            <color rgb="FF000000"/>
            <rFont val="Calibri"/>
            <family val="34"/>
          </rPr>
          <t xml:space="preserve">
</t>
        </r>
        <r>
          <rPr>
            <sz val="14"/>
            <color rgb="FF000000"/>
            <rFont val="Times New Roman"/>
            <family val="18"/>
          </rPr>
          <t>ML 10.305 IR 43 (1797) – ST Aug (01/09/1803)</t>
        </r>
        <r>
          <rPr>
            <sz val="14"/>
            <color rgb="FF000000"/>
            <rFont val="Calibri"/>
            <family val="34"/>
          </rPr>
          <t xml:space="preserve">
</t>
        </r>
        <r>
          <rPr>
            <sz val="14"/>
            <color rgb="FF000000"/>
            <rFont val="Times New Roman"/>
            <family val="18"/>
          </rPr>
          <t>ML 10.307 IR 43 (1799) – ST Jän (21/02/1799), Juni (12/12/1799), Juli (01/01/1800), August (06/03/1800), Nov (12/10/1799)</t>
        </r>
      </text>
    </comment>
    <comment ref="BH158" authorId="0" shapeId="0" xr:uid="{5C6E34CE-835C-A442-A64E-E86583E68F1D}">
      <text>
        <r>
          <rPr>
            <sz val="14"/>
            <color rgb="FF000000"/>
            <rFont val="Calibri"/>
            <family val="34"/>
          </rPr>
          <t>IR 43 (1797-1799)</t>
        </r>
      </text>
    </comment>
    <comment ref="BF159" authorId="0" shapeId="0" xr:uid="{57CFCC77-9525-7D4B-9776-8F27317A047A}">
      <text>
        <r>
          <rPr>
            <sz val="14"/>
            <color rgb="FF000000"/>
            <rFont val="Times New Roman"/>
            <family val="18"/>
          </rPr>
          <t xml:space="preserve">02/05/1797 </t>
        </r>
        <r>
          <rPr>
            <i/>
            <sz val="14"/>
            <color rgb="FF000000"/>
            <rFont val="Times New Roman"/>
            <family val="18"/>
          </rPr>
          <t xml:space="preserve">Von Land gestellt und auf 3Fl Handgeld zum IR 54 4. Bataillon und seitdem mit auswärtiger Verpflegung auf anhero Marsch von Galizien </t>
        </r>
        <r>
          <rPr>
            <sz val="14"/>
            <color rgb="FF000000"/>
            <rFont val="Times New Roman"/>
            <family val="18"/>
          </rPr>
          <t>[AL May 1797 &amp; ST Juli 1797]</t>
        </r>
        <r>
          <rPr>
            <sz val="14"/>
            <color rgb="FF000000"/>
            <rFont val="Calibri"/>
            <family val="34"/>
          </rPr>
          <t xml:space="preserve">
</t>
        </r>
        <r>
          <rPr>
            <sz val="14"/>
            <color rgb="FF000000"/>
            <rFont val="Times New Roman"/>
            <family val="18"/>
          </rPr>
          <t xml:space="preserve">15/06/1797 </t>
        </r>
        <r>
          <rPr>
            <i/>
            <sz val="14"/>
            <color rgb="FF000000"/>
            <rFont val="Times New Roman"/>
            <family val="18"/>
          </rPr>
          <t>in Bataillon eingerückt und zum 1. Companie zugeteilt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25/07/1797 </t>
        </r>
        <r>
          <rPr>
            <i/>
            <sz val="14"/>
            <color rgb="FF000000"/>
            <rFont val="Times New Roman"/>
            <family val="18"/>
          </rPr>
          <t>in Folge Abgehaltene Superarbietrierung deto Prag den 18 Juli 797 wegen Untauglichkeit mit Laufpaß entlassen</t>
        </r>
        <r>
          <rPr>
            <sz val="14"/>
            <color rgb="FF000000"/>
            <rFont val="Times New Roman"/>
            <family val="18"/>
          </rPr>
          <t xml:space="preserve"> [ST Juli 1797]</t>
        </r>
      </text>
    </comment>
    <comment ref="BG159" authorId="0" shapeId="0" xr:uid="{86682656-572A-D44D-9440-B99BE4A309FA}">
      <text>
        <r>
          <rPr>
            <sz val="14"/>
            <color rgb="FF000000"/>
            <rFont val="Times New Roman"/>
            <family val="18"/>
          </rPr>
          <t xml:space="preserve">ML 4659 IR 54 (1797) – AL Nr. 1 (Lublin 02/05/1797) &amp; ST July – Zuwachs &amp; Abgang (15/09/1797) </t>
        </r>
        <r>
          <rPr>
            <sz val="14"/>
            <color rgb="FF000000"/>
            <rFont val="Calibri"/>
            <family val="34"/>
          </rPr>
          <t xml:space="preserve">
</t>
        </r>
      </text>
    </comment>
    <comment ref="BH159" authorId="0" shapeId="0" xr:uid="{C1B1857E-0639-1C48-BEC3-6DF64E10FF90}">
      <text>
        <r>
          <rPr>
            <sz val="14"/>
            <color rgb="FF000000"/>
            <rFont val="Calibri"/>
            <family val="34"/>
          </rPr>
          <t>IR 54 (1797)</t>
        </r>
      </text>
    </comment>
    <comment ref="BF160" authorId="0" shapeId="0" xr:uid="{D3F2A1A1-6D0F-E04D-9C13-30057100D48F}">
      <text>
        <r>
          <rPr>
            <sz val="14"/>
            <color rgb="FF000000"/>
            <rFont val="Times New Roman"/>
            <family val="18"/>
          </rPr>
          <t xml:space="preserve">02/05/1797 </t>
        </r>
        <r>
          <rPr>
            <i/>
            <sz val="14"/>
            <color rgb="FF000000"/>
            <rFont val="Times New Roman"/>
            <family val="18"/>
          </rPr>
          <t xml:space="preserve">Von Land gestellt und auf 3Fl Handgeld zum IR 54 4. Bataillon und seitdem mit auswärtiger Verpflegung auf anhero Marsch von Galizien </t>
        </r>
        <r>
          <rPr>
            <sz val="14"/>
            <color rgb="FF000000"/>
            <rFont val="Times New Roman"/>
            <family val="18"/>
          </rPr>
          <t>[AL May 1797 &amp; ST Juli 1797]</t>
        </r>
        <r>
          <rPr>
            <sz val="14"/>
            <color rgb="FF000000"/>
            <rFont val="Calibri"/>
            <family val="34"/>
          </rPr>
          <t xml:space="preserve">
</t>
        </r>
        <r>
          <rPr>
            <sz val="14"/>
            <color rgb="FF000000"/>
            <rFont val="Times New Roman"/>
            <family val="18"/>
          </rPr>
          <t xml:space="preserve">12/06/1797 </t>
        </r>
        <r>
          <rPr>
            <i/>
            <sz val="14"/>
            <color rgb="FF000000"/>
            <rFont val="Times New Roman"/>
            <family val="18"/>
          </rPr>
          <t>in Bataillon eingerückt und zum 4. Companie zugeteilt</t>
        </r>
        <r>
          <rPr>
            <sz val="14"/>
            <color rgb="FF000000"/>
            <rFont val="Times New Roman"/>
            <family val="18"/>
          </rPr>
          <t xml:space="preserve"> [ST Juli 1797]</t>
        </r>
        <r>
          <rPr>
            <sz val="14"/>
            <color rgb="FF000000"/>
            <rFont val="Calibri"/>
            <family val="34"/>
          </rPr>
          <t xml:space="preserve">
</t>
        </r>
        <r>
          <rPr>
            <sz val="14"/>
            <color rgb="FF000000"/>
            <rFont val="Times New Roman"/>
            <family val="18"/>
          </rPr>
          <t xml:space="preserve">25/06/1797 </t>
        </r>
        <r>
          <rPr>
            <i/>
            <sz val="14"/>
            <color rgb="FF000000"/>
            <rFont val="Times New Roman"/>
            <family val="18"/>
          </rPr>
          <t>in Folge Abgehaltene Superarbietrierung deto Prag den 18 Juli 797 wegen Untauglichkeit</t>
        </r>
        <r>
          <rPr>
            <sz val="14"/>
            <color rgb="FF000000"/>
            <rFont val="Times New Roman"/>
            <family val="18"/>
          </rPr>
          <t xml:space="preserve"> </t>
        </r>
        <r>
          <rPr>
            <i/>
            <sz val="14"/>
            <color rgb="FF000000"/>
            <rFont val="Times New Roman"/>
            <family val="18"/>
          </rPr>
          <t>gegen verursachten Unkosten Ersatz mit Laufpaß entlassen</t>
        </r>
        <r>
          <rPr>
            <sz val="14"/>
            <color rgb="FF000000"/>
            <rFont val="Times New Roman"/>
            <family val="18"/>
          </rPr>
          <t xml:space="preserve"> [ST Juli 1797]</t>
        </r>
      </text>
    </comment>
    <comment ref="BG160" authorId="0" shapeId="0" xr:uid="{6C32FEA4-35BD-9A42-9D3A-4AC1865FBDCD}">
      <text>
        <r>
          <rPr>
            <sz val="14"/>
            <color rgb="FF000000"/>
            <rFont val="Times New Roman"/>
            <family val="18"/>
          </rPr>
          <t xml:space="preserve">ML 4659 IR 54 (1797) – AL Nr. 1 (Lublin 02/05/1797) &amp; ST July 4TH Bat 4. Comp – Zuwachs &amp; Abgang (15/09/1797) </t>
        </r>
        <r>
          <rPr>
            <sz val="14"/>
            <color rgb="FF000000"/>
            <rFont val="Calibri"/>
            <family val="34"/>
          </rPr>
          <t xml:space="preserve">
</t>
        </r>
      </text>
    </comment>
    <comment ref="BH160" authorId="0" shapeId="0" xr:uid="{83CE2DCA-5036-EF4F-9F3D-3D99FA0988C5}">
      <text>
        <r>
          <rPr>
            <sz val="14"/>
            <color rgb="FF000000"/>
            <rFont val="Calibri"/>
            <family val="34"/>
          </rPr>
          <t>IR 54 (1797)</t>
        </r>
      </text>
    </comment>
    <comment ref="BF161" authorId="0" shapeId="0" xr:uid="{9F92093A-AE6B-7242-B378-A442C4736177}">
      <text>
        <r>
          <rPr>
            <sz val="14"/>
            <color rgb="FF000000"/>
            <rFont val="Times New Roman"/>
            <family val="18"/>
          </rPr>
          <t xml:space="preserve">02/05/1797 </t>
        </r>
        <r>
          <rPr>
            <i/>
            <sz val="14"/>
            <color rgb="FF000000"/>
            <rFont val="Times New Roman"/>
            <family val="18"/>
          </rPr>
          <t>zu Bialla a 3Fl ohne Capitulation assentiert</t>
        </r>
        <r>
          <rPr>
            <sz val="14"/>
            <color rgb="FF000000"/>
            <rFont val="Times New Roman"/>
            <family val="18"/>
          </rPr>
          <t xml:space="preserve"> [TL 1797]</t>
        </r>
        <r>
          <rPr>
            <sz val="14"/>
            <color rgb="FF000000"/>
            <rFont val="Calibri"/>
            <family val="34"/>
          </rPr>
          <t xml:space="preserve">
</t>
        </r>
        <r>
          <rPr>
            <sz val="14"/>
            <color rgb="FF000000"/>
            <rFont val="Times New Roman"/>
            <family val="18"/>
          </rPr>
          <t xml:space="preserve">29/08/1797 </t>
        </r>
        <r>
          <rPr>
            <i/>
            <sz val="14"/>
            <color rgb="FF000000"/>
            <rFont val="Times New Roman"/>
            <family val="18"/>
          </rPr>
          <t>von Galizischen Ständen gestellt [bis ultimo dicti auswärts verpflegt ohne Z.D. in die loco Verpflegung zum Gabrielli Comp eingerückt und dahero einstwillig von begabte dato in Stand und Gebühr</t>
        </r>
        <r>
          <rPr>
            <sz val="14"/>
            <color rgb="FF000000"/>
            <rFont val="Times New Roman"/>
            <family val="18"/>
          </rPr>
          <t>; Absent mit Geld und Brot non 29 bis ultimo mit service aber bis 28 dicti] [ST August 1797]</t>
        </r>
        <r>
          <rPr>
            <sz val="14"/>
            <color rgb="FF000000"/>
            <rFont val="Calibri"/>
            <family val="34"/>
          </rPr>
          <t xml:space="preserve">
</t>
        </r>
        <r>
          <rPr>
            <sz val="14"/>
            <color rgb="FF000000"/>
            <rFont val="Times New Roman"/>
            <family val="18"/>
          </rPr>
          <t xml:space="preserve">09/11/1797 </t>
        </r>
        <r>
          <rPr>
            <i/>
            <sz val="14"/>
            <color rgb="FF000000"/>
            <rFont val="Times New Roman"/>
            <family val="18"/>
          </rPr>
          <t>von IR 43 Gabrielly Comp. zum Feld Spitals stand als Halb Invalid transferierit</t>
        </r>
        <r>
          <rPr>
            <sz val="14"/>
            <color rgb="FF000000"/>
            <rFont val="Times New Roman"/>
            <family val="18"/>
          </rPr>
          <t xml:space="preserve"> [TL 1797]</t>
        </r>
        <r>
          <rPr>
            <sz val="14"/>
            <color rgb="FF000000"/>
            <rFont val="Calibri"/>
            <family val="34"/>
          </rPr>
          <t xml:space="preserve">
</t>
        </r>
      </text>
    </comment>
    <comment ref="BG161" authorId="0" shapeId="0" xr:uid="{75B31229-916A-EA4A-ADC2-B580C03CC9A2}">
      <text>
        <r>
          <rPr>
            <sz val="14"/>
            <color rgb="FF000000"/>
            <rFont val="Calibri"/>
            <family val="34"/>
          </rPr>
          <t>ML 10.305 IR 43 (1797) – ST Aug (01/09/1803) und TL IR 43-&gt; Feld Spital Nr. 1 (Laibach 09/11/1797)</t>
        </r>
      </text>
    </comment>
    <comment ref="BH161" authorId="0" shapeId="0" xr:uid="{8366615A-C482-F042-BB2C-0924DD075A9C}">
      <text>
        <r>
          <rPr>
            <sz val="14"/>
            <color rgb="FF000000"/>
            <rFont val="Calibri"/>
            <family val="34"/>
          </rPr>
          <t xml:space="preserve">IR 43 (1797)
</t>
        </r>
        <r>
          <rPr>
            <sz val="14"/>
            <color rgb="FF000000"/>
            <rFont val="Calibri"/>
            <family val="34"/>
          </rPr>
          <t>Feld Spital (1797)</t>
        </r>
      </text>
    </comment>
    <comment ref="BI161" authorId="0" shapeId="0" xr:uid="{976F31F1-DD10-124B-B4B9-95C4F676FB1A}">
      <text>
        <r>
          <rPr>
            <sz val="14"/>
            <color rgb="FF000000"/>
            <rFont val="Calibri"/>
            <family val="34"/>
          </rPr>
          <t>1810: Gut</t>
        </r>
      </text>
    </comment>
    <comment ref="BJ161" authorId="0" shapeId="0" xr:uid="{BD205531-7BB7-3F45-BF87-328976C25F9D}">
      <text>
        <r>
          <rPr>
            <sz val="14"/>
            <color rgb="FF000000"/>
            <rFont val="Calibri"/>
            <family val="34"/>
          </rPr>
          <t>1797: Ist zu Klein fur den Infanterie diesnt</t>
        </r>
      </text>
    </comment>
    <comment ref="BF162" authorId="0" shapeId="0" xr:uid="{552E6E97-84F9-6D4B-AA20-CC5D88D2C44C}">
      <text>
        <r>
          <rPr>
            <sz val="14"/>
            <color rgb="FF000000"/>
            <rFont val="Times New Roman"/>
            <family val="18"/>
          </rPr>
          <t xml:space="preserve">04/05/1797 </t>
        </r>
        <r>
          <rPr>
            <i/>
            <sz val="14"/>
            <color rgb="FF000000"/>
            <rFont val="Times New Roman"/>
            <family val="18"/>
          </rPr>
          <t>A 3Fl mit Versicherungsschein von standen Gestellt Von standen gestellt und zum IR 21 ‚Reserve Division‘ 3. Companie assentiert</t>
        </r>
        <r>
          <rPr>
            <sz val="14"/>
            <color rgb="FF000000"/>
            <rFont val="Times New Roman"/>
            <family val="18"/>
          </rPr>
          <t xml:space="preserve"> [AL &amp; TL IR 21 1797]</t>
        </r>
        <r>
          <rPr>
            <sz val="14"/>
            <color rgb="FF000000"/>
            <rFont val="Calibri"/>
            <family val="34"/>
          </rPr>
          <t xml:space="preserve">
</t>
        </r>
        <r>
          <rPr>
            <sz val="14"/>
            <color rgb="FF000000"/>
            <rFont val="Times New Roman"/>
            <family val="18"/>
          </rPr>
          <t xml:space="preserve">24/10/1797 </t>
        </r>
        <r>
          <rPr>
            <i/>
            <sz val="14"/>
            <color rgb="FF000000"/>
            <rFont val="Times New Roman"/>
            <family val="18"/>
          </rPr>
          <t xml:space="preserve">Von IR 21 ,Gemmingen‘ 4. Bataillon Haupt von Engelthal Comp. </t>
        </r>
        <r>
          <rPr>
            <i/>
            <sz val="14"/>
            <color rgb="FF000000"/>
            <rFont val="Times New Roman"/>
            <family val="18"/>
          </rPr>
          <t>zum IR 43 OberstLt Comp. transferiert; Seitdem auf anhero Marsch mit Friedensgebühr</t>
        </r>
        <r>
          <rPr>
            <sz val="14"/>
            <color rgb="FF000000"/>
            <rFont val="Times New Roman"/>
            <family val="18"/>
          </rPr>
          <t xml:space="preserve"> [ST October 1797 &amp; TL IR 21 1797]</t>
        </r>
        <r>
          <rPr>
            <sz val="14"/>
            <color rgb="FF000000"/>
            <rFont val="Calibri"/>
            <family val="34"/>
          </rPr>
          <t xml:space="preserve">
</t>
        </r>
        <r>
          <rPr>
            <sz val="14"/>
            <color rgb="FF000000"/>
            <rFont val="Times New Roman"/>
            <family val="18"/>
          </rPr>
          <t xml:space="preserve">01/07/1798 </t>
        </r>
        <r>
          <rPr>
            <i/>
            <sz val="14"/>
            <color rgb="FF000000"/>
            <rFont val="Times New Roman"/>
            <family val="18"/>
          </rPr>
          <t>Von Udine Deserteurt</t>
        </r>
        <r>
          <rPr>
            <sz val="14"/>
            <color rgb="FF000000"/>
            <rFont val="Times New Roman"/>
            <family val="18"/>
          </rPr>
          <t xml:space="preserve"> [ML Jan 1799]</t>
        </r>
        <r>
          <rPr>
            <sz val="14"/>
            <color rgb="FF000000"/>
            <rFont val="Calibri"/>
            <family val="34"/>
          </rPr>
          <t xml:space="preserve">
</t>
        </r>
        <r>
          <rPr>
            <sz val="14"/>
            <color rgb="FF000000"/>
            <rFont val="Times New Roman"/>
            <family val="18"/>
          </rPr>
          <t xml:space="preserve">01/11/1801 </t>
        </r>
        <r>
          <rPr>
            <i/>
            <sz val="14"/>
            <color rgb="FF000000"/>
            <rFont val="Times New Roman"/>
            <family val="18"/>
          </rPr>
          <t>Laut monats tabella pro December 1801 per erroem in abgang gebracht, zurück in Stand</t>
        </r>
        <r>
          <rPr>
            <sz val="14"/>
            <color rgb="FF000000"/>
            <rFont val="Times New Roman"/>
            <family val="18"/>
          </rPr>
          <t xml:space="preserve"> </t>
        </r>
        <r>
          <rPr>
            <sz val="14"/>
            <color rgb="FF000000"/>
            <rFont val="Times New Roman"/>
            <family val="18"/>
          </rPr>
          <t>[ST Dec 1801]</t>
        </r>
        <r>
          <rPr>
            <sz val="14"/>
            <color rgb="FF000000"/>
            <rFont val="Calibri"/>
            <family val="34"/>
          </rPr>
          <t xml:space="preserve">
</t>
        </r>
        <r>
          <rPr>
            <sz val="14"/>
            <color rgb="FF000000"/>
            <rFont val="Times New Roman"/>
            <family val="18"/>
          </rPr>
          <t xml:space="preserve">21/12/1801 </t>
        </r>
        <r>
          <rPr>
            <i/>
            <sz val="14"/>
            <color rgb="FF000000"/>
            <rFont val="Times New Roman"/>
            <family val="18"/>
          </rPr>
          <t>Per errorem in Zuwachs gebracht</t>
        </r>
        <r>
          <rPr>
            <sz val="14"/>
            <color rgb="FF000000"/>
            <rFont val="Times New Roman"/>
            <family val="18"/>
          </rPr>
          <t xml:space="preserve"> [ST Dec 1801]</t>
        </r>
        <r>
          <rPr>
            <sz val="14"/>
            <color rgb="FF000000"/>
            <rFont val="Calibri"/>
            <family val="34"/>
          </rPr>
          <t xml:space="preserve">
</t>
        </r>
      </text>
    </comment>
    <comment ref="BG162" authorId="0" shapeId="0" xr:uid="{A521F60A-59BB-994F-88CE-A3E765F82015}">
      <text>
        <r>
          <rPr>
            <sz val="14"/>
            <color rgb="FF000000"/>
            <rFont val="Times New Roman"/>
            <family val="18"/>
          </rPr>
          <t xml:space="preserve">ML 1755 IR 21 (1797) – </t>
        </r>
        <r>
          <rPr>
            <sz val="14"/>
            <color rgb="FF000000"/>
            <rFont val="Times New Roman"/>
            <family val="18"/>
          </rPr>
          <t>AL IR 21 Nr. 45 (Stanislau 21/05/1797), TL IR 21-&gt;IR 43 Nr. 30 (Königgrätz 21/10/1797)</t>
        </r>
        <r>
          <rPr>
            <sz val="14"/>
            <color rgb="FF000000"/>
            <rFont val="Calibri"/>
            <family val="34"/>
          </rPr>
          <t xml:space="preserve">
</t>
        </r>
        <r>
          <rPr>
            <sz val="14"/>
            <color rgb="FF000000"/>
            <rFont val="Times New Roman"/>
            <family val="18"/>
          </rPr>
          <t>ML 10.271 IR 43 (1799) – RL ObristLt Komp. Abgang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10.311 IR 43 (1801) – ST Dez (13/01/1802)</t>
        </r>
        <r>
          <rPr>
            <sz val="14"/>
            <color rgb="FF000000"/>
            <rFont val="Calibri"/>
            <family val="34"/>
          </rPr>
          <t xml:space="preserve">
</t>
        </r>
      </text>
    </comment>
    <comment ref="BH162" authorId="0" shapeId="0" xr:uid="{37C5ED95-A6A4-6C41-A5A6-D91295681722}">
      <text>
        <r>
          <rPr>
            <sz val="14"/>
            <color rgb="FF000000"/>
            <rFont val="Calibri"/>
            <family val="34"/>
          </rPr>
          <t xml:space="preserve">IR 21 (1797)
</t>
        </r>
        <r>
          <rPr>
            <sz val="14"/>
            <color rgb="FF000000"/>
            <rFont val="Calibri"/>
            <family val="34"/>
          </rPr>
          <t>IR 43 (1797-1798)</t>
        </r>
      </text>
    </comment>
    <comment ref="BI162" authorId="0" shapeId="0" xr:uid="{D9ECEA30-C6C8-DC4B-A8AE-435147ECA992}">
      <text>
        <r>
          <rPr>
            <sz val="14"/>
            <color rgb="FF000000"/>
            <rFont val="Calibri"/>
            <family val="34"/>
          </rPr>
          <t>Gut [TL Oct 1797]</t>
        </r>
      </text>
    </comment>
    <comment ref="BF163" authorId="0" shapeId="0" xr:uid="{F919CC44-08D7-EF41-AFBD-11061972AD12}">
      <text>
        <r>
          <rPr>
            <sz val="14"/>
            <color rgb="FF000000"/>
            <rFont val="Times New Roman"/>
            <family val="18"/>
          </rPr>
          <t xml:space="preserve">05/05/1797 </t>
        </r>
        <r>
          <rPr>
            <i/>
            <sz val="14"/>
            <color rgb="FF000000"/>
            <rFont val="Times New Roman"/>
            <family val="18"/>
          </rPr>
          <t>A 3Fl Von standen gestellt und auf Dauer des Krieges zum IR 21 ‚Reserve Division‘ 4. Assentiert</t>
        </r>
        <r>
          <rPr>
            <sz val="14"/>
            <color rgb="FF000000"/>
            <rFont val="Times New Roman"/>
            <family val="18"/>
          </rPr>
          <t xml:space="preserve"> [AL May Nr. 3]</t>
        </r>
        <r>
          <rPr>
            <sz val="14"/>
            <color rgb="FF000000"/>
            <rFont val="Calibri"/>
            <family val="34"/>
          </rPr>
          <t xml:space="preserve">
</t>
        </r>
        <r>
          <rPr>
            <sz val="14"/>
            <color rgb="FF000000"/>
            <rFont val="Times New Roman"/>
            <family val="18"/>
          </rPr>
          <t xml:space="preserve">23/10/1797 </t>
        </r>
        <r>
          <rPr>
            <i/>
            <sz val="14"/>
            <color rgb="FF000000"/>
            <rFont val="Times New Roman"/>
            <family val="18"/>
          </rPr>
          <t xml:space="preserve">von IR 21 4. Bataillon Haupt von Willmovsky Comp. </t>
        </r>
        <r>
          <rPr>
            <i/>
            <sz val="14"/>
            <color rgb="FF000000"/>
            <rFont val="Times New Roman"/>
            <family val="18"/>
          </rPr>
          <t>zum IR 43 OberstLt comp. transferiert; Seitdem auf anhero Marsch mit Friedensgebühr</t>
        </r>
        <r>
          <rPr>
            <sz val="14"/>
            <color rgb="FF000000"/>
            <rFont val="Times New Roman"/>
            <family val="18"/>
          </rPr>
          <t xml:space="preserve"> [TL Oct 1797 &amp; ST October 1797]</t>
        </r>
        <r>
          <rPr>
            <sz val="14"/>
            <color rgb="FF000000"/>
            <rFont val="Calibri"/>
            <family val="34"/>
          </rPr>
          <t xml:space="preserve">
</t>
        </r>
        <r>
          <rPr>
            <sz val="14"/>
            <color rgb="FF000000"/>
            <rFont val="Times New Roman"/>
            <family val="18"/>
          </rPr>
          <t>25/01/1799 Revision: IR 43 ObristLt Komp. Nr. 110</t>
        </r>
        <r>
          <rPr>
            <sz val="14"/>
            <color rgb="FF000000"/>
            <rFont val="Calibri"/>
            <family val="34"/>
          </rPr>
          <t xml:space="preserve">
</t>
        </r>
        <r>
          <rPr>
            <sz val="14"/>
            <color rgb="FF000000"/>
            <rFont val="Times New Roman"/>
            <family val="18"/>
          </rPr>
          <t xml:space="preserve">15/08/1799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Reconvalesziert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Oct 1799 </t>
        </r>
        <r>
          <rPr>
            <i/>
            <sz val="14"/>
            <color rgb="FF000000"/>
            <rFont val="Times New Roman"/>
            <family val="18"/>
          </rPr>
          <t>Wieder Krank</t>
        </r>
        <r>
          <rPr>
            <sz val="14"/>
            <color rgb="FF000000"/>
            <rFont val="Calibri"/>
            <family val="34"/>
          </rPr>
          <t xml:space="preserve">
</t>
        </r>
        <r>
          <rPr>
            <sz val="14"/>
            <color rgb="FF000000"/>
            <rFont val="Times New Roman"/>
            <family val="18"/>
          </rPr>
          <t xml:space="preserve">15/11/1799 </t>
        </r>
        <r>
          <rPr>
            <i/>
            <sz val="14"/>
            <color rgb="FF000000"/>
            <rFont val="Times New Roman"/>
            <family val="18"/>
          </rPr>
          <t>Reconvalesziert</t>
        </r>
        <r>
          <rPr>
            <sz val="14"/>
            <color rgb="FF000000"/>
            <rFont val="Times New Roman"/>
            <family val="18"/>
          </rPr>
          <t xml:space="preserve"> [?] [ST Nov 1799]</t>
        </r>
        <r>
          <rPr>
            <sz val="14"/>
            <color rgb="FF000000"/>
            <rFont val="Calibri"/>
            <family val="34"/>
          </rPr>
          <t xml:space="preserve">
</t>
        </r>
        <r>
          <rPr>
            <sz val="14"/>
            <color rgb="FF000000"/>
            <rFont val="Times New Roman"/>
            <family val="18"/>
          </rPr>
          <t xml:space="preserve">01/12/1799 </t>
        </r>
        <r>
          <rPr>
            <i/>
            <sz val="14"/>
            <color rgb="FF000000"/>
            <rFont val="Times New Roman"/>
            <family val="18"/>
          </rPr>
          <t>Zu Perugia gestorben</t>
        </r>
        <r>
          <rPr>
            <sz val="14"/>
            <color rgb="FF000000"/>
            <rFont val="Times New Roman"/>
            <family val="18"/>
          </rPr>
          <t xml:space="preserve"> [ST Jan 1800]</t>
        </r>
        <r>
          <rPr>
            <sz val="14"/>
            <color rgb="FF000000"/>
            <rFont val="Calibri"/>
            <family val="34"/>
          </rPr>
          <t xml:space="preserve">
</t>
        </r>
      </text>
    </comment>
    <comment ref="BG163" authorId="0" shapeId="0" xr:uid="{E8A89DCE-9AA9-6D4C-AC95-AFB2EB928B84}">
      <text>
        <r>
          <rPr>
            <sz val="14"/>
            <color rgb="FF000000"/>
            <rFont val="Times New Roman"/>
            <family val="18"/>
          </rPr>
          <t xml:space="preserve">ML 1755 IR 21 (1797) – </t>
        </r>
        <r>
          <rPr>
            <sz val="14"/>
            <color rgb="FF000000"/>
            <rFont val="Times New Roman"/>
            <family val="18"/>
          </rPr>
          <t>AL IR 21 Nr. 3 (Lublin 08/05/1797), TL IR 21-&gt;IR 43 Nr. 25 (Königgrätz 21/10/1797)</t>
        </r>
        <r>
          <rPr>
            <sz val="14"/>
            <color rgb="FF000000"/>
            <rFont val="Calibri"/>
            <family val="34"/>
          </rPr>
          <t xml:space="preserve">
</t>
        </r>
        <r>
          <rPr>
            <sz val="14"/>
            <color rgb="FF000000"/>
            <rFont val="Times New Roman"/>
            <family val="18"/>
          </rPr>
          <t>ML 10.271 IR 43 (1799) – RL ObristLt Komp. Nr. 110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Aug (06/03/1800), Sept (21/07/1800), Nov (12/10/1800)</t>
        </r>
        <r>
          <rPr>
            <sz val="14"/>
            <color rgb="FF000000"/>
            <rFont val="Calibri"/>
            <family val="34"/>
          </rPr>
          <t xml:space="preserve">
</t>
        </r>
        <r>
          <rPr>
            <sz val="14"/>
            <color rgb="FF000000"/>
            <rFont val="Times New Roman"/>
            <family val="18"/>
          </rPr>
          <t>ML 10.309 IR 43 (1800) – ST Jän (26/01/1801)</t>
        </r>
      </text>
    </comment>
    <comment ref="BH163" authorId="0" shapeId="0" xr:uid="{A889E02B-2AA2-B349-AFE5-87C2E4E15B2D}">
      <text>
        <r>
          <rPr>
            <sz val="14"/>
            <color rgb="FF000000"/>
            <rFont val="Calibri"/>
            <family val="34"/>
          </rPr>
          <t xml:space="preserve">IR 21 (1797)
</t>
        </r>
        <r>
          <rPr>
            <sz val="14"/>
            <color rgb="FF000000"/>
            <rFont val="Calibri"/>
            <family val="34"/>
          </rPr>
          <t>IR 43 (1797-1799)</t>
        </r>
      </text>
    </comment>
    <comment ref="BI163" authorId="0" shapeId="0" xr:uid="{C437DC96-1512-4C4A-A986-B83F2632610F}">
      <text>
        <r>
          <rPr>
            <sz val="14"/>
            <color rgb="FF000000"/>
            <rFont val="Calibri"/>
            <family val="34"/>
          </rPr>
          <t>Gut [TL Oct 1797]</t>
        </r>
      </text>
    </comment>
    <comment ref="I164" authorId="0" shapeId="0" xr:uid="{BAAC3661-8450-464E-8332-4CBDC186C5B5}">
      <text>
        <r>
          <rPr>
            <sz val="14"/>
            <color rgb="FF000000"/>
            <rFont val="Calibri"/>
            <family val="34"/>
          </rPr>
          <t xml:space="preserve">1755 [42 (TL Oct 1797)] 
</t>
        </r>
        <r>
          <rPr>
            <sz val="14"/>
            <color rgb="FF000000"/>
            <rFont val="Calibri"/>
            <family val="34"/>
          </rPr>
          <t xml:space="preserve">OR 
</t>
        </r>
        <r>
          <rPr>
            <sz val="14"/>
            <color rgb="FF000000"/>
            <rFont val="Calibri"/>
            <family val="34"/>
          </rPr>
          <t>1766 [31 (AL May 1797)]</t>
        </r>
      </text>
    </comment>
    <comment ref="J164" authorId="0" shapeId="0" xr:uid="{D9168FF1-4178-634E-B6EA-15DAF2C4A090}">
      <text>
        <r>
          <rPr>
            <sz val="14"/>
            <color rgb="FF000000"/>
            <rFont val="Calibri"/>
            <family val="34"/>
          </rPr>
          <t xml:space="preserve">Ledig (AL May 1797)
</t>
        </r>
        <r>
          <rPr>
            <sz val="14"/>
            <color rgb="FF000000"/>
            <rFont val="Calibri"/>
            <family val="34"/>
          </rPr>
          <t>Veheiratet (TL Oct 1797)</t>
        </r>
      </text>
    </comment>
    <comment ref="K164" authorId="0" shapeId="0" xr:uid="{1EBC8FA9-5F1D-8A44-98B2-F23CCAFA2A12}">
      <text>
        <r>
          <rPr>
            <sz val="14"/>
            <color rgb="FF000000"/>
            <rFont val="Calibri"/>
            <family val="34"/>
          </rPr>
          <t xml:space="preserve">Ohne (AL 1797)
</t>
        </r>
        <r>
          <rPr>
            <sz val="14"/>
            <color rgb="FF000000"/>
            <rFont val="Calibri"/>
            <family val="34"/>
          </rPr>
          <t>Schneider (TL 1797)</t>
        </r>
      </text>
    </comment>
    <comment ref="BF164" authorId="0" shapeId="0" xr:uid="{00D9B693-B008-3E43-A37E-D826AF6BE765}">
      <text>
        <r>
          <rPr>
            <sz val="14"/>
            <color rgb="FF000000"/>
            <rFont val="Times New Roman"/>
            <family val="18"/>
          </rPr>
          <t xml:space="preserve">06/05/1797 </t>
        </r>
        <r>
          <rPr>
            <i/>
            <sz val="14"/>
            <color rgb="FF000000"/>
            <rFont val="Times New Roman"/>
            <family val="18"/>
          </rPr>
          <t xml:space="preserve">A 3Fl von Ständen gestellt und zum IR 21 ‚Reserve Division‘ 4. Companie assentiert </t>
        </r>
        <r>
          <rPr>
            <sz val="14"/>
            <color rgb="FF000000"/>
            <rFont val="Times New Roman"/>
            <family val="18"/>
          </rPr>
          <t>[AL May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‚Gemmingen‘ 4. Battalion Vacant Comp zum Ir 43 OberstLt Comp. transferiert; Seitdem auf anhero Marsch mit Friedensgebühr</t>
        </r>
        <r>
          <rPr>
            <sz val="14"/>
            <color rgb="FF000000"/>
            <rFont val="Times New Roman"/>
            <family val="18"/>
          </rPr>
          <t xml:space="preserve"> [ST October 1797]</t>
        </r>
        <r>
          <rPr>
            <sz val="14"/>
            <color rgb="FF000000"/>
            <rFont val="Calibri"/>
            <family val="34"/>
          </rPr>
          <t xml:space="preserve">
</t>
        </r>
        <r>
          <rPr>
            <sz val="14"/>
            <color rgb="FF000000"/>
            <rFont val="Times New Roman"/>
            <family val="18"/>
          </rPr>
          <t>25/01/1799 Revision: IR 43 ObristLt. Komp. Nr. 80</t>
        </r>
        <r>
          <rPr>
            <sz val="14"/>
            <color rgb="FF000000"/>
            <rFont val="Calibri"/>
            <family val="34"/>
          </rPr>
          <t xml:space="preserve">
</t>
        </r>
        <r>
          <rPr>
            <sz val="14"/>
            <color rgb="FF000000"/>
            <rFont val="Times New Roman"/>
            <family val="18"/>
          </rPr>
          <t xml:space="preserve">31/05/1799 </t>
        </r>
        <r>
          <rPr>
            <i/>
            <sz val="14"/>
            <color rgb="FF000000"/>
            <rFont val="Times New Roman"/>
            <family val="18"/>
          </rPr>
          <t>Von Haupt Mellanz Companie zum Artillerie Handlanger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05/08/1800 </t>
        </r>
        <r>
          <rPr>
            <i/>
            <sz val="14"/>
            <color rgb="FF000000"/>
            <rFont val="Times New Roman"/>
            <family val="18"/>
          </rPr>
          <t>Krank Auswärts mit Kriegsgebühr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29/01/1801 </t>
        </r>
        <r>
          <rPr>
            <i/>
            <sz val="14"/>
            <color rgb="FF000000"/>
            <rFont val="Times New Roman"/>
            <family val="18"/>
          </rPr>
          <t>In Klagenfurt gestorben</t>
        </r>
        <r>
          <rPr>
            <sz val="14"/>
            <color rgb="FF000000"/>
            <rFont val="Times New Roman"/>
            <family val="18"/>
          </rPr>
          <t xml:space="preserve"> [ST April 1801]</t>
        </r>
        <r>
          <rPr>
            <sz val="14"/>
            <color rgb="FF000000"/>
            <rFont val="Calibri"/>
            <family val="34"/>
          </rPr>
          <t xml:space="preserve">
</t>
        </r>
      </text>
    </comment>
    <comment ref="BG164" authorId="0" shapeId="0" xr:uid="{A5BD2868-6346-2D43-A997-1C9E932D105A}">
      <text>
        <r>
          <rPr>
            <sz val="14"/>
            <color rgb="FF000000"/>
            <rFont val="Times New Roman"/>
            <family val="18"/>
          </rPr>
          <t>ML 1755 IR 21 (1797) – AL IR 21 Nr. 51 (Stanislau 21/05/1797), TL IR 21-&gt;IR 43 Nr. 41 (Königgrätz 21/10/1797)</t>
        </r>
        <r>
          <rPr>
            <sz val="14"/>
            <color rgb="FF000000"/>
            <rFont val="Calibri"/>
            <family val="34"/>
          </rPr>
          <t xml:space="preserve">
</t>
        </r>
        <r>
          <rPr>
            <sz val="14"/>
            <color rgb="FF000000"/>
            <rFont val="Times New Roman"/>
            <family val="18"/>
          </rPr>
          <t>ML 10.271 IR 43 (1799) – RL ObristLt Komp. Nr. 80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10.307 IR 43 (1799) – ST Juni (12/12/1799)</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r>
          <rPr>
            <sz val="14"/>
            <color rgb="FF000000"/>
            <rFont val="Times New Roman"/>
            <family val="18"/>
          </rPr>
          <t>ML 10.311 IR 43 (1801) – ST April (13/10/1804)</t>
        </r>
        <r>
          <rPr>
            <sz val="14"/>
            <color rgb="FF000000"/>
            <rFont val="Calibri"/>
            <family val="34"/>
          </rPr>
          <t xml:space="preserve">
</t>
        </r>
      </text>
    </comment>
    <comment ref="BH164" authorId="0" shapeId="0" xr:uid="{CC71833A-5E14-2E40-9CDB-40B92C545DB3}">
      <text>
        <r>
          <rPr>
            <sz val="14"/>
            <color rgb="FF000000"/>
            <rFont val="Calibri"/>
            <family val="34"/>
          </rPr>
          <t xml:space="preserve">IR 21 (1797)
</t>
        </r>
        <r>
          <rPr>
            <sz val="14"/>
            <color rgb="FF000000"/>
            <rFont val="Calibri"/>
            <family val="34"/>
          </rPr>
          <t>IR 43 (1797-1801)</t>
        </r>
      </text>
    </comment>
    <comment ref="BI164" authorId="0" shapeId="0" xr:uid="{8162C554-D7EE-5243-9C7A-6DB46EA0B803}">
      <text>
        <r>
          <rPr>
            <sz val="14"/>
            <color rgb="FF000000"/>
            <rFont val="Calibri"/>
            <family val="34"/>
          </rPr>
          <t>Gut [TL Oct 1797]</t>
        </r>
      </text>
    </comment>
    <comment ref="BF165" authorId="0" shapeId="0" xr:uid="{6302A999-FB9D-1B4E-A130-EB39430C462B}">
      <text>
        <r>
          <rPr>
            <sz val="14"/>
            <color rgb="FF000000"/>
            <rFont val="Times New Roman"/>
            <family val="18"/>
          </rPr>
          <t xml:space="preserve">08/05/1797 </t>
        </r>
        <r>
          <rPr>
            <i/>
            <sz val="14"/>
            <color rgb="FF000000"/>
            <rFont val="Times New Roman"/>
            <family val="18"/>
          </rPr>
          <t xml:space="preserve">von Gute Nemischel statt in Folge GENERAL COMMANDO Verordnung ddt. Prag den 7ten August 796 auf Steuerbare Wirtschaft zu entlassenen Bewilligten diseitingen Regiment Gemeinern JOHANN WESETZKY a 3FL Handgeld als Werbbezirk Recrout gestellt und zum IR 54 4. Bataillon 2. Companie assentiert </t>
        </r>
        <r>
          <rPr>
            <sz val="14"/>
            <color rgb="FF000000"/>
            <rFont val="Times New Roman"/>
            <family val="18"/>
          </rPr>
          <t>[AL May 1797 &amp; ST Mai 1797]</t>
        </r>
        <r>
          <rPr>
            <sz val="14"/>
            <color rgb="FF000000"/>
            <rFont val="Calibri"/>
            <family val="34"/>
          </rPr>
          <t xml:space="preserve">
</t>
        </r>
        <r>
          <rPr>
            <sz val="14"/>
            <color rgb="FF000000"/>
            <rFont val="Times New Roman"/>
            <family val="18"/>
          </rPr>
          <t xml:space="preserve">16/06/1797 </t>
        </r>
        <r>
          <rPr>
            <i/>
            <sz val="14"/>
            <color rgb="FF000000"/>
            <rFont val="Times New Roman"/>
            <family val="18"/>
          </rPr>
          <t xml:space="preserve">Krank in Prager Garrison Spital </t>
        </r>
        <r>
          <rPr>
            <sz val="14"/>
            <color rgb="FF000000"/>
            <rFont val="Times New Roman"/>
            <family val="18"/>
          </rPr>
          <t>[ST Juni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Folge hoher Superarbietrierung dd Prag den 25. Sept 797 als untauglich mit Laufpaß entlassen</t>
        </r>
        <r>
          <rPr>
            <sz val="14"/>
            <color rgb="FF000000"/>
            <rFont val="Times New Roman"/>
            <family val="18"/>
          </rPr>
          <t xml:space="preserve"> [ST Oct 1797]</t>
        </r>
        <r>
          <rPr>
            <sz val="14"/>
            <color rgb="FF000000"/>
            <rFont val="Calibri"/>
            <family val="34"/>
          </rPr>
          <t xml:space="preserve">
</t>
        </r>
      </text>
    </comment>
    <comment ref="BG165" authorId="0" shapeId="0" xr:uid="{B225E25D-1AE1-9946-9EF0-63F38A780739}">
      <text>
        <r>
          <rPr>
            <sz val="14"/>
            <color rgb="FF000000"/>
            <rFont val="Times New Roman"/>
            <family val="18"/>
          </rPr>
          <t xml:space="preserve">ML 4659 IR 54 (1797) – AL Nr. 1 (Prag 08/05/1797), ST Mai - Zuwachs (Prag 18/07/1797), ST Juni - Krank (Prag 31/07/1797) und ST Oct – Abgang (Prag 10/12/1797) </t>
        </r>
        <r>
          <rPr>
            <sz val="14"/>
            <color rgb="FF000000"/>
            <rFont val="Calibri"/>
            <family val="34"/>
          </rPr>
          <t xml:space="preserve">
</t>
        </r>
      </text>
    </comment>
    <comment ref="BH165" authorId="0" shapeId="0" xr:uid="{2A901FBB-1706-AF4E-A8C6-86E1627D8D85}">
      <text>
        <r>
          <rPr>
            <sz val="14"/>
            <color rgb="FF000000"/>
            <rFont val="Calibri"/>
            <family val="34"/>
          </rPr>
          <t>IR 54 (1797)</t>
        </r>
      </text>
    </comment>
    <comment ref="T166" authorId="0" shapeId="0" xr:uid="{81B2F033-4A0F-3C43-82C1-C317831D523F}">
      <text>
        <r>
          <rPr>
            <sz val="14"/>
            <color rgb="FF000000"/>
            <rFont val="Calibri"/>
            <family val="34"/>
          </rPr>
          <t xml:space="preserve">5.2 [163.26 cm] (Mai 1797)
</t>
        </r>
        <r>
          <rPr>
            <sz val="14"/>
            <color rgb="FF000000"/>
            <rFont val="Calibri"/>
            <family val="34"/>
          </rPr>
          <t>5.3 [165.89 cm] (Okt 1797)</t>
        </r>
      </text>
    </comment>
    <comment ref="BF166" authorId="0" shapeId="0" xr:uid="{9ACC05AC-77A8-5A4B-8BB5-D491139DA708}">
      <text>
        <r>
          <rPr>
            <sz val="14"/>
            <color rgb="FF000000"/>
            <rFont val="Times New Roman"/>
            <family val="18"/>
          </rPr>
          <t xml:space="preserve">08/05/1797 </t>
        </r>
        <r>
          <rPr>
            <i/>
            <sz val="14"/>
            <color rgb="FF000000"/>
            <rFont val="Times New Roman"/>
            <family val="18"/>
          </rPr>
          <t>als Vagabund a 3Fl Von standen gestellt und zum IR 21 ‚Reserve Division‘ 4. Companie Assentiert</t>
        </r>
        <r>
          <rPr>
            <sz val="14"/>
            <color rgb="FF000000"/>
            <rFont val="Times New Roman"/>
            <family val="18"/>
          </rPr>
          <t xml:space="preserve"> [AL May 1797]</t>
        </r>
        <r>
          <rPr>
            <sz val="14"/>
            <color rgb="FF000000"/>
            <rFont val="Calibri"/>
            <family val="34"/>
          </rPr>
          <t xml:space="preserve">
</t>
        </r>
        <r>
          <rPr>
            <sz val="14"/>
            <color rgb="FF000000"/>
            <rFont val="Times New Roman"/>
            <family val="18"/>
          </rPr>
          <t xml:space="preserve">23/10/1797 </t>
        </r>
        <r>
          <rPr>
            <i/>
            <sz val="14"/>
            <color rgb="FF000000"/>
            <rFont val="Times New Roman"/>
            <family val="18"/>
          </rPr>
          <t>von IR 21 ‚Gemmingen‘ 4. Battalion vacant Comp zum Ir 43 OberstLt Comp. transferiert; Seitdem auf anhero Marsch mit Friedensgebühr</t>
        </r>
        <r>
          <rPr>
            <sz val="14"/>
            <color rgb="FF000000"/>
            <rFont val="Times New Roman"/>
            <family val="18"/>
          </rPr>
          <t xml:space="preserve"> [ST October 1797]</t>
        </r>
        <r>
          <rPr>
            <sz val="14"/>
            <color rgb="FF000000"/>
            <rFont val="Calibri"/>
            <family val="34"/>
          </rPr>
          <t xml:space="preserve">
</t>
        </r>
        <r>
          <rPr>
            <sz val="14"/>
            <color rgb="FF000000"/>
            <rFont val="Times New Roman"/>
            <family val="18"/>
          </rPr>
          <t>01/11/1798 [Mindestens seit] in Palma als Handlanger mit Krieggebuhr kommandiert [ST Nov 1798]</t>
        </r>
        <r>
          <rPr>
            <sz val="14"/>
            <color rgb="FF000000"/>
            <rFont val="Calibri"/>
            <family val="34"/>
          </rPr>
          <t xml:space="preserve">
</t>
        </r>
        <r>
          <rPr>
            <sz val="14"/>
            <color rgb="FF000000"/>
            <rFont val="Times New Roman"/>
            <family val="18"/>
          </rPr>
          <t>25/01/1799 Revision: IR 43 ObristLt. Komp. Nr. 109 [</t>
        </r>
        <r>
          <rPr>
            <i/>
            <sz val="14"/>
            <color rgb="FF000000"/>
            <rFont val="Times New Roman"/>
            <family val="18"/>
          </rPr>
          <t>In Palma als Handlanger Commandiert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31/03/1799 [Bis] </t>
        </r>
        <r>
          <rPr>
            <i/>
            <sz val="14"/>
            <color rgb="FF000000"/>
            <rFont val="Times New Roman"/>
            <family val="18"/>
          </rPr>
          <t>In Palma als Handlanger mit Krieggebuhr commandiert</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01/04/1799 [seit] </t>
        </r>
        <r>
          <rPr>
            <i/>
            <sz val="14"/>
            <color rgb="FF000000"/>
            <rFont val="Times New Roman"/>
            <family val="18"/>
          </rPr>
          <t>als Handlanger Auswärts kommandiert mit Kriegsgebuhr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ObristLt Comp. zum Artillerie Handlanger transferiert und seitdem bei dem Artillerie Reserve mit Kriegsgebühr</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dissolvierte Artillerie Handlanger zurück ins Schoer Comp transferiert und seitdem 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Oct 1801]</t>
        </r>
        <r>
          <rPr>
            <sz val="14"/>
            <color rgb="FF000000"/>
            <rFont val="Calibri"/>
            <family val="34"/>
          </rPr>
          <t xml:space="preserve">
</t>
        </r>
      </text>
    </comment>
    <comment ref="BG166" authorId="0" shapeId="0" xr:uid="{E6ACC89D-7BCC-2142-95A9-42A22960DF99}">
      <text>
        <r>
          <rPr>
            <sz val="14"/>
            <color rgb="FF000000"/>
            <rFont val="Times New Roman"/>
            <family val="18"/>
          </rPr>
          <t xml:space="preserve">ML 1755 IR 21 (1797) – </t>
        </r>
        <r>
          <rPr>
            <sz val="14"/>
            <color rgb="FF000000"/>
            <rFont val="Times New Roman"/>
            <family val="18"/>
          </rPr>
          <t>AL IR 21 Nr. 100 (Stanislau 21/05/1797), TL IR 21-&gt;IR 43 Nr. 49 (Königgrätz 21/10/1797)</t>
        </r>
        <r>
          <rPr>
            <sz val="14"/>
            <color rgb="FF000000"/>
            <rFont val="Calibri"/>
            <family val="34"/>
          </rPr>
          <t xml:space="preserve">
</t>
        </r>
        <r>
          <rPr>
            <sz val="14"/>
            <color rgb="FF000000"/>
            <rFont val="Times New Roman"/>
            <family val="18"/>
          </rPr>
          <t>ML 10.271 IR 43 (1799) – RL ObristLt Komp. Nr. 109 (Udine 25/01/1799)</t>
        </r>
        <r>
          <rPr>
            <sz val="14"/>
            <color rgb="FF000000"/>
            <rFont val="Calibri"/>
            <family val="34"/>
          </rPr>
          <t xml:space="preserve">
</t>
        </r>
        <r>
          <rPr>
            <sz val="14"/>
            <color rgb="FF000000"/>
            <rFont val="Times New Roman"/>
            <family val="18"/>
          </rPr>
          <t>ML 10.305 IR 43 (1797) – ST Oct (31/05/1805)</t>
        </r>
        <r>
          <rPr>
            <sz val="14"/>
            <color rgb="FF000000"/>
            <rFont val="Calibri"/>
            <family val="34"/>
          </rPr>
          <t xml:space="preserve">
</t>
        </r>
        <r>
          <rPr>
            <sz val="14"/>
            <color rgb="FF000000"/>
            <rFont val="Times New Roman"/>
            <family val="18"/>
          </rPr>
          <t>ML 10.306 IR 43 (1798) – ST Nov (23/12/1798)</t>
        </r>
        <r>
          <rPr>
            <sz val="14"/>
            <color rgb="FF000000"/>
            <rFont val="Calibri"/>
            <family val="34"/>
          </rPr>
          <t xml:space="preserve">
</t>
        </r>
        <r>
          <rPr>
            <sz val="14"/>
            <color rgb="FF000000"/>
            <rFont val="Times New Roman"/>
            <family val="18"/>
          </rPr>
          <t>ML 10.307 IR 43 (1799) – ST März (30/05/1799), April (19/08/1799), Aug (06/03/1800)</t>
        </r>
        <r>
          <rPr>
            <sz val="14"/>
            <color rgb="FF000000"/>
            <rFont val="Calibri"/>
            <family val="34"/>
          </rPr>
          <t xml:space="preserve">
</t>
        </r>
        <r>
          <rPr>
            <sz val="14"/>
            <color rgb="FF000000"/>
            <rFont val="Times New Roman"/>
            <family val="18"/>
          </rPr>
          <t>ML 10.311 IR 43 (1801) – ST April (13/10/1804), Mai (10/03/1805), Okt (21/07/1805)</t>
        </r>
      </text>
    </comment>
    <comment ref="BH166" authorId="0" shapeId="0" xr:uid="{EE14F3FE-FB2A-8640-97C7-A463D6E4197B}">
      <text>
        <r>
          <rPr>
            <sz val="14"/>
            <color rgb="FF000000"/>
            <rFont val="Calibri"/>
            <family val="34"/>
          </rPr>
          <t xml:space="preserve">IR 21 (1797)
</t>
        </r>
        <r>
          <rPr>
            <sz val="14"/>
            <color rgb="FF000000"/>
            <rFont val="Calibri"/>
            <family val="34"/>
          </rPr>
          <t>IR 43 (1797-1801)</t>
        </r>
      </text>
    </comment>
    <comment ref="BI166" authorId="0" shapeId="0" xr:uid="{16464A6A-549F-8146-839E-CFBF9DEC879C}">
      <text>
        <r>
          <rPr>
            <sz val="14"/>
            <color rgb="FF000000"/>
            <rFont val="Calibri"/>
            <family val="34"/>
          </rPr>
          <t>Gut [TL Oct 1797]</t>
        </r>
      </text>
    </comment>
    <comment ref="BF167" authorId="0" shapeId="0" xr:uid="{CE3977D3-352A-A14C-A346-54A8C8F6D04F}">
      <text>
        <r>
          <rPr>
            <sz val="14"/>
            <color rgb="FF000000"/>
            <rFont val="Times New Roman"/>
            <family val="18"/>
          </rPr>
          <t xml:space="preserve">10/05/1797 </t>
        </r>
        <r>
          <rPr>
            <i/>
            <sz val="14"/>
            <color rgb="FF000000"/>
            <rFont val="Times New Roman"/>
            <family val="18"/>
          </rPr>
          <t>zu Lublin auf de Kriegszeit zum IR 10 assentiert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31/10/1797 </t>
        </r>
        <r>
          <rPr>
            <i/>
            <sz val="14"/>
            <color rgb="FF000000"/>
            <rFont val="Times New Roman"/>
            <family val="18"/>
          </rPr>
          <t>von Keuhl Inf Regiment 4. Battalion Haupt Künzler zum IR 43 Haupt Schmoll Comp Transferiert</t>
        </r>
        <r>
          <rPr>
            <sz val="14"/>
            <color rgb="FF000000"/>
            <rFont val="Times New Roman"/>
            <family val="18"/>
          </rPr>
          <t xml:space="preserve"> [TL Oct 1797]</t>
        </r>
        <r>
          <rPr>
            <sz val="14"/>
            <color rgb="FF000000"/>
            <rFont val="Calibri"/>
            <family val="34"/>
          </rPr>
          <t xml:space="preserve">
</t>
        </r>
        <r>
          <rPr>
            <sz val="14"/>
            <color rgb="FF000000"/>
            <rFont val="Times New Roman"/>
            <family val="18"/>
          </rPr>
          <t xml:space="preserve">UNBEKANNT: </t>
        </r>
        <r>
          <rPr>
            <i/>
            <sz val="14"/>
            <color rgb="FF000000"/>
            <rFont val="Times New Roman"/>
            <family val="18"/>
          </rPr>
          <t>Erscheint nicht in der Revisions-Liste von Haupt Schmoll Kompanie zwischen 25. Mai 1798 und Jänner 1799</t>
        </r>
        <r>
          <rPr>
            <sz val="14"/>
            <color rgb="FF000000"/>
            <rFont val="Calibri"/>
            <family val="34"/>
          </rPr>
          <t xml:space="preserve">
</t>
        </r>
      </text>
    </comment>
    <comment ref="BG167" authorId="0" shapeId="0" xr:uid="{4583A1B7-7479-3A4F-AF4F-2B0E2258F751}">
      <text>
        <r>
          <rPr>
            <sz val="14"/>
            <color rgb="FF000000"/>
            <rFont val="Times New Roman"/>
            <family val="18"/>
          </rPr>
          <t>ML 10.305 IR 43 (1797) – TL IR 10-&gt;IR 43 Nr. 10 (Budweis 30/10/1797); ST Oct (31/05/1805)</t>
        </r>
        <r>
          <rPr>
            <sz val="14"/>
            <color rgb="FF000000"/>
            <rFont val="Calibri"/>
            <family val="34"/>
          </rPr>
          <t xml:space="preserve">
</t>
        </r>
      </text>
    </comment>
    <comment ref="BH167" authorId="0" shapeId="0" xr:uid="{A3ECE115-F339-B34D-BCFD-E6A96A77AD50}">
      <text>
        <r>
          <rPr>
            <sz val="14"/>
            <color rgb="FF000000"/>
            <rFont val="Calibri"/>
            <family val="34"/>
          </rPr>
          <t xml:space="preserve">IR 10 (1797)
</t>
        </r>
        <r>
          <rPr>
            <sz val="14"/>
            <color rgb="FF000000"/>
            <rFont val="Calibri"/>
            <family val="34"/>
          </rPr>
          <t>IR 44 (1797-?1798)</t>
        </r>
      </text>
    </comment>
    <comment ref="BI167" authorId="0" shapeId="0" xr:uid="{13D8B23E-3F79-784E-8469-BA7E1082891E}">
      <text>
        <r>
          <rPr>
            <sz val="14"/>
            <color rgb="FF000000"/>
            <rFont val="Calibri"/>
            <family val="34"/>
          </rPr>
          <t>Gut [TL Oct 1797]</t>
        </r>
      </text>
    </comment>
    <comment ref="BF168" authorId="0" shapeId="0" xr:uid="{A657EB79-8B5A-114A-8C99-075C7D942853}">
      <text>
        <r>
          <rPr>
            <sz val="14"/>
            <color rgb="FF000000"/>
            <rFont val="Times New Roman"/>
            <family val="18"/>
          </rPr>
          <t xml:space="preserve">29/05/1797 </t>
        </r>
        <r>
          <rPr>
            <i/>
            <sz val="14"/>
            <color rgb="FF000000"/>
            <rFont val="Times New Roman"/>
            <family val="18"/>
          </rPr>
          <t>a 12Fl zu Kurzelow ins FK Grün Loudon assentiert und seitdem auf Anhero Marsch</t>
        </r>
        <r>
          <rPr>
            <sz val="14"/>
            <color rgb="FF000000"/>
            <rFont val="Times New Roman"/>
            <family val="18"/>
          </rPr>
          <t xml:space="preserve"> [RL 1798 &amp; ST Aug 1797]</t>
        </r>
        <r>
          <rPr>
            <sz val="14"/>
            <color rgb="FF000000"/>
            <rFont val="Calibri"/>
            <family val="34"/>
          </rPr>
          <t xml:space="preserve">
</t>
        </r>
        <r>
          <rPr>
            <sz val="14"/>
            <color rgb="FF000000"/>
            <rFont val="Times New Roman"/>
            <family val="18"/>
          </rPr>
          <t>07/03/1798 Revision: FK Grün Loudon Haupt Melchior Komp. Nr. 130</t>
        </r>
        <r>
          <rPr>
            <sz val="14"/>
            <color rgb="FF000000"/>
            <rFont val="Calibri"/>
            <family val="34"/>
          </rPr>
          <t xml:space="preserve">
</t>
        </r>
        <r>
          <rPr>
            <sz val="14"/>
            <color rgb="FF000000"/>
            <rFont val="Times New Roman"/>
            <family val="18"/>
          </rPr>
          <t xml:space="preserve">30/06/1798 </t>
        </r>
        <r>
          <rPr>
            <i/>
            <sz val="14"/>
            <color rgb="FF000000"/>
            <rFont val="Times New Roman"/>
            <family val="18"/>
          </rPr>
          <t xml:space="preserve">Von FK Grün Loudon zum </t>
        </r>
        <r>
          <rPr>
            <b/>
            <sz val="14"/>
            <color rgb="FF000000"/>
            <rFont val="Times New Roman"/>
            <family val="18"/>
          </rPr>
          <t>LB 3</t>
        </r>
        <r>
          <rPr>
            <i/>
            <sz val="14"/>
            <color rgb="FF000000"/>
            <rFont val="Times New Roman"/>
            <family val="18"/>
          </rPr>
          <t xml:space="preserve"> transferiert </t>
        </r>
        <r>
          <rPr>
            <sz val="14"/>
            <color rgb="FF000000"/>
            <rFont val="Times New Roman"/>
            <family val="18"/>
          </rPr>
          <t>[RL 1798]</t>
        </r>
        <r>
          <rPr>
            <sz val="14"/>
            <color rgb="FF000000"/>
            <rFont val="Calibri"/>
            <family val="34"/>
          </rPr>
          <t xml:space="preserve">
</t>
        </r>
        <r>
          <rPr>
            <sz val="14"/>
            <color rgb="FF000000"/>
            <rFont val="Times New Roman"/>
            <family val="18"/>
          </rPr>
          <t>22/01/1799 Revision: LB 3 Haupt Melchior Komp. Nr. 110</t>
        </r>
        <r>
          <rPr>
            <sz val="14"/>
            <color rgb="FF000000"/>
            <rFont val="Calibri"/>
            <family val="34"/>
          </rPr>
          <t xml:space="preserve">
</t>
        </r>
        <r>
          <rPr>
            <sz val="14"/>
            <color rgb="FF000000"/>
            <rFont val="Times New Roman"/>
            <family val="18"/>
          </rPr>
          <t xml:space="preserve">21/02/1800 </t>
        </r>
        <r>
          <rPr>
            <i/>
            <sz val="14"/>
            <color rgb="FF000000"/>
            <rFont val="Times New Roman"/>
            <family val="18"/>
          </rPr>
          <t>In Florenz Gestorben</t>
        </r>
        <r>
          <rPr>
            <sz val="14"/>
            <color rgb="FF000000"/>
            <rFont val="Times New Roman"/>
            <family val="18"/>
          </rPr>
          <t xml:space="preserve"> [RL 1800]</t>
        </r>
        <r>
          <rPr>
            <sz val="14"/>
            <color rgb="FF000000"/>
            <rFont val="Calibri"/>
            <family val="34"/>
          </rPr>
          <t xml:space="preserve">
</t>
        </r>
      </text>
    </comment>
    <comment ref="BG168" authorId="0" shapeId="0" xr:uid="{934343F9-2A17-BF46-8E6D-ED8C64E8D8FE}">
      <text>
        <r>
          <rPr>
            <sz val="14"/>
            <color rgb="FF000000"/>
            <rFont val="Times New Roman"/>
            <family val="18"/>
          </rPr>
          <t>ML 10.763 FK Grün Laudon (1797-98) – RL Haupt Melchior Komp. Nr. 130</t>
        </r>
        <r>
          <rPr>
            <sz val="14"/>
            <color rgb="FF000000"/>
            <rFont val="Calibri"/>
            <family val="34"/>
          </rPr>
          <t xml:space="preserve">
</t>
        </r>
        <r>
          <rPr>
            <sz val="14"/>
            <color rgb="FF000000"/>
            <rFont val="Times New Roman"/>
            <family val="18"/>
          </rPr>
          <t>ML 10.771 FK Grün Laudon (1796-97) – 1797 ST August (Rovigo 06/06/1798)</t>
        </r>
        <r>
          <rPr>
            <sz val="14"/>
            <color rgb="FF000000"/>
            <rFont val="Calibri"/>
            <family val="34"/>
          </rPr>
          <t xml:space="preserve">
</t>
        </r>
        <r>
          <rPr>
            <sz val="14"/>
            <color rgb="FF000000"/>
            <rFont val="Times New Roman"/>
            <family val="18"/>
          </rPr>
          <t>ML 10.624 LB 3 (1798-1801) – 1799 RL Haupt Melchior Komp. Nr. 110 (Rovigo 22/01/1799); 1800 RL Haupt Melchior - Abgang (Livorno 04/03/1800)</t>
        </r>
        <r>
          <rPr>
            <sz val="14"/>
            <color rgb="FF000000"/>
            <rFont val="Calibri"/>
            <family val="34"/>
          </rPr>
          <t xml:space="preserve">
</t>
        </r>
        <r>
          <rPr>
            <sz val="14"/>
            <color rgb="FF000000"/>
            <rFont val="Times New Roman"/>
            <family val="18"/>
          </rPr>
          <t>ML 10.625 LB (1799-1801) – GB Haupt Melchior</t>
        </r>
      </text>
    </comment>
    <comment ref="BH168" authorId="0" shapeId="0" xr:uid="{7FEB9C7A-3ECC-434D-BE5E-E2182FA7C0D0}">
      <text>
        <r>
          <rPr>
            <sz val="14"/>
            <color rgb="FF000000"/>
            <rFont val="Times New Roman"/>
            <family val="18"/>
          </rPr>
          <t xml:space="preserve">FK Grün Loudon </t>
        </r>
        <r>
          <rPr>
            <sz val="14"/>
            <color rgb="FF000000"/>
            <rFont val="Calibri"/>
            <family val="34"/>
          </rPr>
          <t xml:space="preserve">(1797-1798)
</t>
        </r>
        <r>
          <rPr>
            <sz val="14"/>
            <color rgb="FF000000"/>
            <rFont val="Calibri"/>
            <family val="34"/>
          </rPr>
          <t>LB 3 (1798-1800)</t>
        </r>
      </text>
    </comment>
    <comment ref="BF169" authorId="0" shapeId="0" xr:uid="{A28A01C9-0230-5549-B9AC-78DE2034C8FA}">
      <text>
        <r>
          <rPr>
            <sz val="14"/>
            <color rgb="FF000000"/>
            <rFont val="Times New Roman"/>
            <family val="18"/>
          </rPr>
          <t xml:space="preserve">20/06/1797 </t>
        </r>
        <r>
          <rPr>
            <i/>
            <sz val="14"/>
            <color rgb="FF000000"/>
            <rFont val="Times New Roman"/>
            <family val="18"/>
          </rPr>
          <t>Auf die Dauer des Krieges gestellt und a 3 Fl Handgeld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August Komp Nr. 96</t>
        </r>
        <r>
          <rPr>
            <sz val="14"/>
            <color rgb="FF000000"/>
            <rFont val="Calibri"/>
            <family val="34"/>
          </rPr>
          <t xml:space="preserve">
</t>
        </r>
        <r>
          <rPr>
            <sz val="14"/>
            <color rgb="FF000000"/>
            <rFont val="Times New Roman"/>
            <family val="18"/>
          </rPr>
          <t xml:space="preserve">30/06/1803 </t>
        </r>
        <r>
          <rPr>
            <i/>
            <sz val="14"/>
            <color rgb="FF000000"/>
            <rFont val="Times New Roman"/>
            <family val="18"/>
          </rPr>
          <t>Als ein auf die Dauer des Krieges Gestellte Inländer Capitulanten mit Abschied entlassen</t>
        </r>
        <r>
          <rPr>
            <sz val="14"/>
            <color rgb="FF000000"/>
            <rFont val="Times New Roman"/>
            <family val="18"/>
          </rPr>
          <t xml:space="preserve"> [ML 1803]</t>
        </r>
        <r>
          <rPr>
            <sz val="14"/>
            <color rgb="FF000000"/>
            <rFont val="Calibri"/>
            <family val="2"/>
          </rPr>
          <t xml:space="preserve"> </t>
        </r>
      </text>
    </comment>
    <comment ref="BG169" authorId="0" shapeId="0" xr:uid="{C9879BAA-5E2D-194B-A644-47173772C0DB}">
      <text>
        <r>
          <rPr>
            <sz val="14"/>
            <color rgb="FF000000"/>
            <rFont val="Times New Roman"/>
            <family val="18"/>
          </rPr>
          <t>ML 10.124 IR 23 (1802) – Haupt August Komp. Nr. 96 (Krems 09/09/1802)</t>
        </r>
        <r>
          <rPr>
            <sz val="14"/>
            <color rgb="FF000000"/>
            <rFont val="Calibri"/>
            <family val="34"/>
          </rPr>
          <t xml:space="preserve">
</t>
        </r>
        <r>
          <rPr>
            <sz val="14"/>
            <color rgb="FF000000"/>
            <rFont val="Times New Roman"/>
            <family val="18"/>
          </rPr>
          <t>ML 10.125 IR 23 (1803) – Haupt Strack Komp. Abgang (Execierlager bei St Pölten 07/09/1803)</t>
        </r>
      </text>
    </comment>
    <comment ref="BH169" authorId="0" shapeId="0" xr:uid="{9E5F5599-2BE2-BD4F-B1E3-3A4C5575C16B}">
      <text>
        <r>
          <rPr>
            <sz val="14"/>
            <color rgb="FF000000"/>
            <rFont val="Calibri"/>
            <family val="34"/>
          </rPr>
          <t>IR 23 (1797-1803)</t>
        </r>
      </text>
    </comment>
    <comment ref="BF170" authorId="0" shapeId="0" xr:uid="{AF222D44-467E-0F4E-A8E6-B514F0AC6D11}">
      <text>
        <r>
          <rPr>
            <sz val="14"/>
            <color rgb="FF000000"/>
            <rFont val="Times New Roman"/>
            <family val="18"/>
          </rPr>
          <t xml:space="preserve">28/06/1797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170" authorId="0" shapeId="0" xr:uid="{F516AA2A-F08E-6B4E-A8B7-E5BFEDACB9D7}">
      <text>
        <r>
          <rPr>
            <sz val="14"/>
            <color rgb="FF000000"/>
            <rFont val="Times New Roman"/>
            <family val="18"/>
          </rPr>
          <t>ML 69/70 IR 1 (1797) – AL Unnumbered (Zamosc 13/07/1797); TL IR 1 -&gt; IR 26 Nr. 64 (Olmütz 20/10/1797)</t>
        </r>
        <r>
          <rPr>
            <sz val="14"/>
            <color rgb="FF000000"/>
            <rFont val="Calibri"/>
            <family val="34"/>
          </rPr>
          <t xml:space="preserve">
</t>
        </r>
      </text>
    </comment>
    <comment ref="BH170" authorId="0" shapeId="0" xr:uid="{B294CC9A-14C6-9342-A14C-4E53B1EE362D}">
      <text>
        <r>
          <rPr>
            <sz val="14"/>
            <color rgb="FF000000"/>
            <rFont val="Calibri"/>
            <family val="34"/>
          </rPr>
          <t xml:space="preserve">IR 1 (1797)
</t>
        </r>
        <r>
          <rPr>
            <sz val="14"/>
            <color rgb="FF000000"/>
            <rFont val="Calibri"/>
            <family val="34"/>
          </rPr>
          <t>IR 26 (1797)</t>
        </r>
      </text>
    </comment>
    <comment ref="BF171" authorId="0" shapeId="0" xr:uid="{699CD799-0CAC-614A-81D6-947A04483C45}">
      <text>
        <r>
          <rPr>
            <sz val="14"/>
            <color rgb="FF000000"/>
            <rFont val="Times New Roman"/>
            <family val="18"/>
          </rPr>
          <t xml:space="preserve">28/06/1797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29/06/1798 </t>
        </r>
        <r>
          <rPr>
            <i/>
            <sz val="14"/>
            <color rgb="FF000000"/>
            <rFont val="Times New Roman"/>
            <family val="18"/>
          </rPr>
          <t>Als angehöriger von 1. Major Lamarine Komp. ex loco desertiert</t>
        </r>
        <r>
          <rPr>
            <sz val="14"/>
            <color rgb="FF000000"/>
            <rFont val="Times New Roman"/>
            <family val="18"/>
          </rPr>
          <t xml:space="preserve"> [ST June 1798]</t>
        </r>
      </text>
    </comment>
    <comment ref="BG171" authorId="0" shapeId="0" xr:uid="{B0228AD9-DE1F-ED42-9774-8DD86E8F2D3A}">
      <text>
        <r>
          <rPr>
            <sz val="14"/>
            <color rgb="FF000000"/>
            <rFont val="Times New Roman"/>
            <family val="18"/>
          </rPr>
          <t>ML 69/70 IR 1 (1797) – AL Unnumbered (Zamosc 13/07/1797)</t>
        </r>
        <r>
          <rPr>
            <sz val="14"/>
            <color rgb="FF000000"/>
            <rFont val="Calibri"/>
            <family val="34"/>
          </rPr>
          <t xml:space="preserve">
</t>
        </r>
        <r>
          <rPr>
            <sz val="14"/>
            <color rgb="FF000000"/>
            <rFont val="Times New Roman"/>
            <family val="18"/>
          </rPr>
          <t>ML 71 IR 1 (1798) – ST June (Brünn 05/05/1802)</t>
        </r>
        <r>
          <rPr>
            <sz val="14"/>
            <color rgb="FF000000"/>
            <rFont val="Calibri"/>
            <family val="34"/>
          </rPr>
          <t xml:space="preserve">
</t>
        </r>
      </text>
    </comment>
    <comment ref="BH171" authorId="0" shapeId="0" xr:uid="{6AA0B0FD-F4B2-134A-A3ED-7E235747588B}">
      <text>
        <r>
          <rPr>
            <sz val="14"/>
            <color rgb="FF000000"/>
            <rFont val="Calibri"/>
            <family val="34"/>
          </rPr>
          <t>IR 1 (1797-1798)</t>
        </r>
      </text>
    </comment>
    <comment ref="BF172" authorId="0" shapeId="0" xr:uid="{71112A8F-3D11-C44D-B8A9-66CAFEE503DA}">
      <text>
        <r>
          <rPr>
            <sz val="14"/>
            <color rgb="FF000000"/>
            <rFont val="Times New Roman"/>
            <family val="18"/>
          </rPr>
          <t xml:space="preserve">30/06/1797 </t>
        </r>
        <r>
          <rPr>
            <i/>
            <sz val="14"/>
            <color rgb="FF000000"/>
            <rFont val="Times New Roman"/>
            <family val="18"/>
          </rPr>
          <t>Zu Zolkiew gegen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von Eisenkolb Komp. Nr. 95</t>
        </r>
        <r>
          <rPr>
            <sz val="14"/>
            <color rgb="FF000000"/>
            <rFont val="Calibri"/>
            <family val="34"/>
          </rPr>
          <t xml:space="preserve">
</t>
        </r>
        <r>
          <rPr>
            <sz val="14"/>
            <color rgb="FF000000"/>
            <rFont val="Times New Roman"/>
            <family val="18"/>
          </rPr>
          <t>07/09/1803 Muster: IR 23 Haupt von Eisenkolb Komp. Nr. 86</t>
        </r>
        <r>
          <rPr>
            <sz val="14"/>
            <color rgb="FF000000"/>
            <rFont val="Calibri"/>
            <family val="34"/>
          </rPr>
          <t xml:space="preserve">
</t>
        </r>
        <r>
          <rPr>
            <sz val="14"/>
            <color rgb="FF000000"/>
            <rFont val="Times New Roman"/>
            <family val="18"/>
          </rPr>
          <t xml:space="preserve">30/06/1804 </t>
        </r>
        <r>
          <rPr>
            <i/>
            <sz val="14"/>
            <color rgb="FF000000"/>
            <rFont val="Times New Roman"/>
            <family val="18"/>
          </rPr>
          <t>Gegen Stellung Zwei Capitulierte Ausländer Rekruten Michael Kotz und Johann Ziegler mit Abschied entlassen</t>
        </r>
        <r>
          <rPr>
            <sz val="14"/>
            <color rgb="FF000000"/>
            <rFont val="Times New Roman"/>
            <family val="18"/>
          </rPr>
          <t xml:space="preserve"> [ML 1804]</t>
        </r>
        <r>
          <rPr>
            <sz val="14"/>
            <color rgb="FF000000"/>
            <rFont val="Calibri"/>
            <family val="2"/>
          </rPr>
          <t xml:space="preserve"> </t>
        </r>
      </text>
    </comment>
    <comment ref="BG172" authorId="0" shapeId="0" xr:uid="{FC479C3F-4701-DB4F-AC9E-2EA9F1BB8473}">
      <text>
        <r>
          <rPr>
            <sz val="14"/>
            <color rgb="FF000000"/>
            <rFont val="Times New Roman"/>
            <family val="18"/>
          </rPr>
          <t xml:space="preserve">ML 10.124 IR 23 (1802) – Haupt Eisenkolb Komp. Nr. 95 (Krems 09/09/1802)
</t>
        </r>
        <r>
          <rPr>
            <sz val="14"/>
            <color rgb="FF000000"/>
            <rFont val="Times New Roman"/>
            <family val="18"/>
          </rPr>
          <t xml:space="preserve">ML 10/125 IR 23 (1803) – Haupt Eisenkolb Komp. Nr. 86 (Execierlager bei St Pölten 07/09/1803)
</t>
        </r>
        <r>
          <rPr>
            <sz val="14"/>
            <color rgb="FF000000"/>
            <rFont val="Times New Roman"/>
            <family val="18"/>
          </rPr>
          <t xml:space="preserve">ML 10.126 IR 23 (1804) – Haupt Wetzelberg Komp. Nr. 94 (Krems 06/09/1803)
</t>
        </r>
      </text>
    </comment>
    <comment ref="BH172" authorId="0" shapeId="0" xr:uid="{9DF9F4EA-7EB5-9C48-9DA2-9A509BE69AA3}">
      <text>
        <r>
          <rPr>
            <sz val="14"/>
            <color rgb="FF000000"/>
            <rFont val="Calibri"/>
            <family val="34"/>
          </rPr>
          <t>IR 23 (1797-1804)</t>
        </r>
      </text>
    </comment>
    <comment ref="BF173" authorId="0" shapeId="0" xr:uid="{6F0967BB-D16B-ED4D-8BF8-605DC96016FC}">
      <text>
        <r>
          <rPr>
            <sz val="14"/>
            <color rgb="FF000000"/>
            <rFont val="Times New Roman"/>
            <family val="18"/>
          </rPr>
          <t xml:space="preserve">30/06/1797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173" authorId="0" shapeId="0" xr:uid="{4E301302-50D1-0E49-8C06-1EEAA282CE30}">
      <text>
        <r>
          <rPr>
            <sz val="14"/>
            <color rgb="FF000000"/>
            <rFont val="Times New Roman"/>
            <family val="18"/>
          </rPr>
          <t xml:space="preserve">ML 69/70 IR 1 (1797) – AL Unnumbered (Zamosc 13/07/1797); TL IR 1 -&gt; IR 26 Nr. 36 </t>
        </r>
        <r>
          <rPr>
            <sz val="14"/>
            <color rgb="FF000000"/>
            <rFont val="Times New Roman"/>
            <family val="18"/>
          </rPr>
          <t>(Olmütz 20/10/1797)</t>
        </r>
        <r>
          <rPr>
            <sz val="14"/>
            <color rgb="FF000000"/>
            <rFont val="Calibri"/>
            <family val="34"/>
          </rPr>
          <t xml:space="preserve">
</t>
        </r>
      </text>
    </comment>
    <comment ref="BH173" authorId="0" shapeId="0" xr:uid="{9B146249-31D0-B142-84DD-FB4897F179E2}">
      <text>
        <r>
          <rPr>
            <sz val="14"/>
            <color rgb="FF000000"/>
            <rFont val="Calibri"/>
            <family val="34"/>
          </rPr>
          <t xml:space="preserve">IR 1 (1797)
</t>
        </r>
        <r>
          <rPr>
            <sz val="14"/>
            <color rgb="FF000000"/>
            <rFont val="Calibri"/>
            <family val="34"/>
          </rPr>
          <t>IR 26 (1797)</t>
        </r>
      </text>
    </comment>
    <comment ref="BF174" authorId="0" shapeId="0" xr:uid="{16459518-3257-1245-90A3-E7403D631535}">
      <text>
        <r>
          <rPr>
            <sz val="14"/>
            <color rgb="FF000000"/>
            <rFont val="Times New Roman"/>
            <family val="18"/>
          </rPr>
          <t xml:space="preserve">30/06/1797 </t>
        </r>
        <r>
          <rPr>
            <i/>
            <sz val="14"/>
            <color rgb="FF000000"/>
            <rFont val="Times New Roman"/>
            <family val="18"/>
          </rPr>
          <t>Gegen 3Fl und Versicherungsschein auf Dauer des Krieges als landständische Rekrut gestellt und zum IR 1 4. Battalion assentiert</t>
        </r>
        <r>
          <rPr>
            <sz val="14"/>
            <color rgb="FF000000"/>
            <rFont val="Times New Roman"/>
            <family val="18"/>
          </rPr>
          <t xml:space="preserve"> [AL July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 xml:space="preserve">Von IR 1 4. Bat Haupt Dietlinger Komp. zum IR 26 transferiert </t>
        </r>
        <r>
          <rPr>
            <sz val="14"/>
            <color rgb="FF000000"/>
            <rFont val="Times New Roman"/>
            <family val="18"/>
          </rPr>
          <t>[TL Oct 1797]</t>
        </r>
      </text>
    </comment>
    <comment ref="BG174" authorId="0" shapeId="0" xr:uid="{712B464B-BF11-0D41-80A3-615335D8F2FC}">
      <text>
        <r>
          <rPr>
            <sz val="14"/>
            <color rgb="FF000000"/>
            <rFont val="Times New Roman"/>
            <family val="18"/>
          </rPr>
          <t xml:space="preserve">ML 69/70 IR 1 (1797) – AL Unnumbered (Zamosc 13/07/1797); TL IR 1 -&gt; IR 26 Nr. 66 </t>
        </r>
        <r>
          <rPr>
            <sz val="14"/>
            <color rgb="FF000000"/>
            <rFont val="Times New Roman"/>
            <family val="18"/>
          </rPr>
          <t>(Olmütz 20/10/1797)</t>
        </r>
        <r>
          <rPr>
            <sz val="14"/>
            <color rgb="FF000000"/>
            <rFont val="Calibri"/>
            <family val="34"/>
          </rPr>
          <t xml:space="preserve">
</t>
        </r>
      </text>
    </comment>
    <comment ref="BH174" authorId="0" shapeId="0" xr:uid="{2F32FA51-A10A-EE4A-A589-668CD46E1421}">
      <text>
        <r>
          <rPr>
            <sz val="14"/>
            <color rgb="FF000000"/>
            <rFont val="Calibri"/>
            <family val="34"/>
          </rPr>
          <t xml:space="preserve">IR 1 (1797)
</t>
        </r>
        <r>
          <rPr>
            <sz val="14"/>
            <color rgb="FF000000"/>
            <rFont val="Calibri"/>
            <family val="34"/>
          </rPr>
          <t>IR 26 (1797)</t>
        </r>
      </text>
    </comment>
    <comment ref="BF175" authorId="0" shapeId="0" xr:uid="{4C05EF49-E4CB-094B-B7B5-8FFC88CC0942}">
      <text>
        <r>
          <rPr>
            <sz val="14"/>
            <color rgb="FF000000"/>
            <rFont val="Times New Roman"/>
            <family val="18"/>
          </rPr>
          <t xml:space="preserve">03/07/1797 </t>
        </r>
        <r>
          <rPr>
            <i/>
            <sz val="14"/>
            <color rgb="FF000000"/>
            <rFont val="Times New Roman"/>
            <family val="18"/>
          </rPr>
          <t>Von Galizischen Standen gestellt und zu, Haupt Pasqually Comp assentiert; seitdem auf anhero Marsch mit Friedensgebühr</t>
        </r>
        <r>
          <rPr>
            <sz val="14"/>
            <color rgb="FF000000"/>
            <rFont val="Times New Roman"/>
            <family val="18"/>
          </rPr>
          <t xml:space="preserve"> [September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Haupt Pasqually Nr. 62]</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30/09/1799 [Mindestens bis]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01/12 1799 </t>
        </r>
        <r>
          <rPr>
            <i/>
            <sz val="14"/>
            <color rgb="FF000000"/>
            <rFont val="Times New Roman"/>
            <family val="18"/>
          </rPr>
          <t>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Reconvalesciert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16/03/1800 </t>
        </r>
        <r>
          <rPr>
            <i/>
            <sz val="14"/>
            <color rgb="FF000000"/>
            <rFont val="Times New Roman"/>
            <family val="18"/>
          </rPr>
          <t>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25/03/1800 </t>
        </r>
        <r>
          <rPr>
            <i/>
            <sz val="14"/>
            <color rgb="FF000000"/>
            <rFont val="Times New Roman"/>
            <family val="18"/>
          </rPr>
          <t>Reconvalesciert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31/07/1801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August 1801]</t>
        </r>
        <r>
          <rPr>
            <sz val="14"/>
            <color rgb="FF000000"/>
            <rFont val="Calibri"/>
            <family val="34"/>
          </rPr>
          <t xml:space="preserve">
</t>
        </r>
      </text>
    </comment>
    <comment ref="BG175" authorId="0" shapeId="0" xr:uid="{6DB26099-DA15-7E4F-A808-883734CDA2B1}">
      <text>
        <r>
          <rPr>
            <sz val="14"/>
            <color rgb="FF000000"/>
            <rFont val="Times New Roman"/>
            <family val="18"/>
          </rPr>
          <t>ML 10.271 IR 43 (1796-9) – RL Haupt Pasqually Nr. 62 (Udine 25/01/1799)</t>
        </r>
        <r>
          <rPr>
            <sz val="14"/>
            <color rgb="FF000000"/>
            <rFont val="Calibri"/>
            <family val="34"/>
          </rPr>
          <t xml:space="preserve">
</t>
        </r>
        <r>
          <rPr>
            <sz val="14"/>
            <color rgb="FF000000"/>
            <rFont val="Times New Roman"/>
            <family val="18"/>
          </rPr>
          <t>ML 10.305 IR 43 (1797) – ST Sept (02/09/1804) und Okt (31/05/1805)</t>
        </r>
        <r>
          <rPr>
            <sz val="14"/>
            <color rgb="FF000000"/>
            <rFont val="Calibri"/>
            <family val="34"/>
          </rPr>
          <t xml:space="preserve">
</t>
        </r>
        <r>
          <rPr>
            <sz val="14"/>
            <color rgb="FF000000"/>
            <rFont val="Times New Roman"/>
            <family val="18"/>
          </rPr>
          <t>ML 10.307 IR 43 (1799) – ST Aug (06/03/1800), Sept (21/07/1800), Dec (01/11/1800)</t>
        </r>
        <r>
          <rPr>
            <sz val="14"/>
            <color rgb="FF000000"/>
            <rFont val="Calibri"/>
            <family val="34"/>
          </rPr>
          <t xml:space="preserve">
</t>
        </r>
        <r>
          <rPr>
            <sz val="14"/>
            <color rgb="FF000000"/>
            <rFont val="Times New Roman"/>
            <family val="18"/>
          </rPr>
          <t>ML 10.309 IR 43 (1800) – ST Jan (26/02/1801), März (04/10/1801), April (24/01/1802), und Juni (27/08/1803)</t>
        </r>
        <r>
          <rPr>
            <sz val="14"/>
            <color rgb="FF000000"/>
            <rFont val="Calibri"/>
            <family val="34"/>
          </rPr>
          <t xml:space="preserve">
</t>
        </r>
        <r>
          <rPr>
            <sz val="14"/>
            <color rgb="FF000000"/>
            <rFont val="Times New Roman"/>
            <family val="18"/>
          </rPr>
          <t>ML 10.311 IR 43 (1801) – ST Aug (13/07/1805)</t>
        </r>
      </text>
    </comment>
    <comment ref="BH175" authorId="0" shapeId="0" xr:uid="{07DBA648-25DD-E443-8483-E31B7544DD5F}">
      <text>
        <r>
          <rPr>
            <sz val="14"/>
            <color rgb="FF000000"/>
            <rFont val="Calibri"/>
            <family val="34"/>
          </rPr>
          <t>IR 43 (1797-1801)</t>
        </r>
      </text>
    </comment>
    <comment ref="BF176" authorId="0" shapeId="0" xr:uid="{0DA11BDC-94DC-BE4A-AC4F-D72236A2C8CB}">
      <text>
        <r>
          <rPr>
            <sz val="14"/>
            <color rgb="FF000000"/>
            <rFont val="Times New Roman"/>
            <family val="18"/>
          </rPr>
          <t>04/07/1797 von Galizische Ständen gestellt und zu Tarnopol Assentiert ins 1. Major Comp. assentiert, seitdem auf anhero Marsch mit Friedensgebühr [ST Sept 1797]</t>
        </r>
        <r>
          <rPr>
            <sz val="14"/>
            <color rgb="FF000000"/>
            <rFont val="Calibri"/>
            <family val="34"/>
          </rPr>
          <t xml:space="preserve">
</t>
        </r>
        <r>
          <rPr>
            <sz val="14"/>
            <color rgb="FF000000"/>
            <rFont val="Times New Roman"/>
            <family val="18"/>
          </rPr>
          <t>30/09/1797 in Companie eingerückt [ST Okt 1797]</t>
        </r>
        <r>
          <rPr>
            <sz val="14"/>
            <color rgb="FF000000"/>
            <rFont val="Calibri"/>
            <family val="34"/>
          </rPr>
          <t xml:space="preserve">
</t>
        </r>
        <r>
          <rPr>
            <sz val="14"/>
            <color rgb="FF000000"/>
            <rFont val="Times New Roman"/>
            <family val="18"/>
          </rPr>
          <t>25/01/1799 Revision: IR 43 1. Major Comp. Nr. 85</t>
        </r>
        <r>
          <rPr>
            <sz val="14"/>
            <color rgb="FF000000"/>
            <rFont val="Calibri"/>
            <family val="34"/>
          </rPr>
          <t xml:space="preserve">
</t>
        </r>
        <r>
          <rPr>
            <sz val="14"/>
            <color rgb="FF000000"/>
            <rFont val="Times New Roman"/>
            <family val="18"/>
          </rPr>
          <t xml:space="preserve">16/04/1799 </t>
        </r>
        <r>
          <rPr>
            <i/>
            <sz val="14"/>
            <color rgb="FF000000"/>
            <rFont val="Times New Roman"/>
            <family val="18"/>
          </rPr>
          <t>Krank auswärts mit Kriegsgebühr</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04/08/1799 </t>
        </r>
        <r>
          <rPr>
            <i/>
            <sz val="14"/>
            <color rgb="FF000000"/>
            <rFont val="Times New Roman"/>
            <family val="18"/>
          </rPr>
          <t>zu Udine Gestorben</t>
        </r>
        <r>
          <rPr>
            <sz val="14"/>
            <color rgb="FF000000"/>
            <rFont val="Times New Roman"/>
            <family val="18"/>
          </rPr>
          <t xml:space="preserve"> [ST Sept 1799]</t>
        </r>
        <r>
          <rPr>
            <sz val="14"/>
            <color rgb="FF000000"/>
            <rFont val="Calibri"/>
            <family val="34"/>
          </rPr>
          <t xml:space="preserve">
</t>
        </r>
      </text>
    </comment>
    <comment ref="BG176" authorId="0" shapeId="0" xr:uid="{06F2D439-A4E1-5743-ABF9-4EC17961D1A7}">
      <text>
        <r>
          <rPr>
            <sz val="14"/>
            <color rgb="FF000000"/>
            <rFont val="Times New Roman"/>
            <family val="18"/>
          </rPr>
          <t xml:space="preserve">ML 10.271 IR 43 (1796-9) – RL 1. Major Comp. Nr. 85 (Udine 25/01/1799)
</t>
        </r>
        <r>
          <rPr>
            <sz val="14"/>
            <color rgb="FF000000"/>
            <rFont val="Times New Roman"/>
            <family val="18"/>
          </rPr>
          <t xml:space="preserve">ML 10.305 IR 43 (1797) – ST Sept (02/09/1804), Oct (31/05/1805)
</t>
        </r>
        <r>
          <rPr>
            <sz val="14"/>
            <color rgb="FF000000"/>
            <rFont val="Times New Roman"/>
            <family val="18"/>
          </rPr>
          <t>ML 10.307 IR 43 (1799) – ST April (19/08/1799) und Sept (21/07/1800)</t>
        </r>
      </text>
    </comment>
    <comment ref="BH176" authorId="0" shapeId="0" xr:uid="{D45C84A6-0518-C948-9B9D-C03412BFF236}">
      <text>
        <r>
          <rPr>
            <sz val="14"/>
            <color rgb="FF000000"/>
            <rFont val="Calibri"/>
            <family val="34"/>
          </rPr>
          <t>IR 43 (1797-1799)</t>
        </r>
      </text>
    </comment>
    <comment ref="I177" authorId="0" shapeId="0" xr:uid="{D4CBA473-EA3B-6A46-9D23-442944B383BC}">
      <text>
        <r>
          <rPr>
            <sz val="14"/>
            <color rgb="FF000000"/>
            <rFont val="Calibri"/>
            <family val="34"/>
          </rPr>
          <t xml:space="preserve">1777 [25 (1802)] 
</t>
        </r>
        <r>
          <rPr>
            <sz val="14"/>
            <color rgb="FF000000"/>
            <rFont val="Calibri"/>
            <family val="34"/>
          </rPr>
          <t xml:space="preserve">OR 
</t>
        </r>
        <r>
          <rPr>
            <sz val="14"/>
            <color rgb="FF000000"/>
            <rFont val="Calibri"/>
            <family val="34"/>
          </rPr>
          <t>1778 [19 (1797)]</t>
        </r>
      </text>
    </comment>
    <comment ref="T177" authorId="0" shapeId="0" xr:uid="{65B18386-3686-C14C-B85A-A67A0BB3A20B}">
      <text>
        <r>
          <rPr>
            <sz val="14"/>
            <color rgb="FF000000"/>
            <rFont val="Calibri"/>
            <family val="34"/>
          </rPr>
          <t xml:space="preserve">5.2.1 [163.5 cm] (1797)
</t>
        </r>
        <r>
          <rPr>
            <sz val="14"/>
            <color rgb="FF000000"/>
            <rFont val="Calibri"/>
            <family val="34"/>
          </rPr>
          <t xml:space="preserve">5.6 [173.8 cm] (1802)
</t>
        </r>
        <r>
          <rPr>
            <sz val="14"/>
            <color rgb="FF000000"/>
            <rFont val="Calibri"/>
            <family val="34"/>
          </rPr>
          <t>5.1.2 [161.1] (1803-5)</t>
        </r>
      </text>
    </comment>
    <comment ref="BF177" authorId="0" shapeId="0" xr:uid="{6ABA574A-8041-0F48-B264-BEE35066A15E}">
      <text>
        <r>
          <rPr>
            <sz val="14"/>
            <color rgb="FFFF0000"/>
            <rFont val="Times New Roman"/>
            <family val="18"/>
          </rPr>
          <t xml:space="preserve">01/03/1797 </t>
        </r>
        <r>
          <rPr>
            <i/>
            <sz val="14"/>
            <color rgb="FFFF0000"/>
            <rFont val="Times New Roman"/>
            <family val="18"/>
          </rPr>
          <t>Von Ständen a 3Fl auf die Dauer des Krieges gestellt</t>
        </r>
        <r>
          <rPr>
            <sz val="14"/>
            <color rgb="FFFF0000"/>
            <rFont val="Times New Roman"/>
            <family val="18"/>
          </rPr>
          <t xml:space="preserve"> [ML 1803-5]</t>
        </r>
        <r>
          <rPr>
            <sz val="14"/>
            <color rgb="FF000000"/>
            <rFont val="Times New Roman"/>
            <family val="18"/>
          </rPr>
          <t xml:space="preserve">
</t>
        </r>
        <r>
          <rPr>
            <sz val="14"/>
            <color rgb="FFFF0000"/>
            <rFont val="Times New Roman"/>
            <family val="18"/>
          </rPr>
          <t xml:space="preserve">01/07/1797 </t>
        </r>
        <r>
          <rPr>
            <i/>
            <sz val="14"/>
            <color rgb="FFFF0000"/>
            <rFont val="Times New Roman"/>
            <family val="18"/>
          </rPr>
          <t>Von Ständen a 3Fl auf die Dauer des Krieges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03/07/1797 </t>
        </r>
        <r>
          <rPr>
            <i/>
            <sz val="14"/>
            <color rgb="FF000000"/>
            <rFont val="Times New Roman"/>
            <family val="18"/>
          </rPr>
          <t>Als galizische landständische Recrout auf 3Fl und Versicherungsschein auf die Zeit des Krieges ins IR 54 ‚Callenberg‘ in Sanok assentiert, seitdem auf dem Aufmarsch von Galizien</t>
        </r>
        <r>
          <rPr>
            <sz val="14"/>
            <color rgb="FF000000"/>
            <rFont val="Times New Roman"/>
            <family val="18"/>
          </rPr>
          <t xml:space="preserve"> [IR 54 AL 1797]
</t>
        </r>
        <r>
          <rPr>
            <sz val="14"/>
            <color rgb="FF000000"/>
            <rFont val="Times New Roman"/>
            <family val="18"/>
          </rPr>
          <t xml:space="preserve">24/08/1797 </t>
        </r>
        <r>
          <rPr>
            <i/>
            <sz val="14"/>
            <color rgb="FF000000"/>
            <rFont val="Times New Roman"/>
            <family val="18"/>
          </rPr>
          <t>in IR 54 4. Bataillon in Prag eingerückt und zum 4. Companie zugeteilt</t>
        </r>
        <r>
          <rPr>
            <sz val="14"/>
            <color rgb="FF000000"/>
            <rFont val="Times New Roman"/>
            <family val="18"/>
          </rPr>
          <t xml:space="preserve"> [IR 54 ST Aug 1797]
</t>
        </r>
        <r>
          <rPr>
            <sz val="14"/>
            <color rgb="FF000000"/>
            <rFont val="Times New Roman"/>
            <family val="18"/>
          </rPr>
          <t xml:space="preserve">21/10/1797 </t>
        </r>
        <r>
          <rPr>
            <i/>
            <sz val="14"/>
            <color rgb="FF000000"/>
            <rFont val="Times New Roman"/>
            <family val="18"/>
          </rPr>
          <t>Von IR 54 4. Bataillon 4. Companie zum Thurn Infantrie Regiment IR 43 transferiert</t>
        </r>
        <r>
          <rPr>
            <sz val="14"/>
            <color rgb="FF000000"/>
            <rFont val="Times New Roman"/>
            <family val="18"/>
          </rPr>
          <t xml:space="preserve"> [IR 54 ST Okt 1797]
</t>
        </r>
        <r>
          <rPr>
            <sz val="14"/>
            <color rgb="FF000000"/>
            <rFont val="Times New Roman"/>
            <family val="18"/>
          </rPr>
          <t xml:space="preserve">26/01/1799 Revision: IR 43 Haupt Pasqually Nr. 111 
</t>
        </r>
        <r>
          <rPr>
            <sz val="14"/>
            <color rgb="FF000000"/>
            <rFont val="Times New Roman"/>
            <family val="18"/>
          </rPr>
          <t xml:space="preserve">28/08/1802 Muster: IR 43 Haupt Pasqually Nr. 48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 1803]
</t>
        </r>
        <r>
          <rPr>
            <sz val="14"/>
            <color rgb="FF000000"/>
            <rFont val="Times New Roman"/>
            <family val="18"/>
          </rPr>
          <t>03/11/1803 Muster: IR 43 Haupt Pasqually Nr. 46 [</t>
        </r>
        <r>
          <rPr>
            <i/>
            <sz val="14"/>
            <color rgb="FF000000"/>
            <rFont val="Times New Roman"/>
            <family val="18"/>
          </rPr>
          <t>Auf Urlaub bis zur Einberufung in seinem Geburtsort</t>
        </r>
        <r>
          <rPr>
            <sz val="14"/>
            <color rgb="FF000000"/>
            <rFont val="Times New Roman"/>
            <family val="18"/>
          </rPr>
          <t xml:space="preserve">]
</t>
        </r>
        <r>
          <rPr>
            <sz val="14"/>
            <color rgb="FF000000"/>
            <rFont val="Times New Roman"/>
            <family val="18"/>
          </rPr>
          <t>05/10/1804 Muster: IR 43 Haupt Pasqually Nr. 43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10/11/1805 Muster: IR 43 15. Fus. Komp. Nr. 43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[ST Okt 1806 &amp; ML 1806]
</t>
        </r>
      </text>
    </comment>
    <comment ref="BG177" authorId="0" shapeId="0" xr:uid="{58B5098B-E737-594D-998D-6F49FACCD3A2}">
      <text>
        <r>
          <rPr>
            <sz val="14"/>
            <color rgb="FF000000"/>
            <rFont val="Times New Roman"/>
            <family val="18"/>
          </rPr>
          <t xml:space="preserve">ML 4659 IR 54 (1797) – AL Nr. 77 (Sanok 07/08/1797), ST Juli – Zuwachs &amp; Eingerückt (Prag 01/10/1797), ST Oct – Abgang (Prag 10/12/1797)
</t>
        </r>
        <r>
          <rPr>
            <sz val="14"/>
            <color rgb="FF000000"/>
            <rFont val="Times New Roman"/>
            <family val="18"/>
          </rPr>
          <t xml:space="preserve">ML 10.271 IR 43 (1799) – Haupt Pasqually Nr. 111 (Cividale 26/01/1799)
</t>
        </r>
        <r>
          <rPr>
            <sz val="14"/>
            <color rgb="FF000000"/>
            <rFont val="Times New Roman"/>
            <family val="18"/>
          </rPr>
          <t xml:space="preserve">ML 10.272 IR 43 (1802) –Haupt Pasqually Nr. 48 (Cattaro 28/08/1802)
</t>
        </r>
        <r>
          <rPr>
            <sz val="14"/>
            <color rgb="FF000000"/>
            <rFont val="Times New Roman"/>
            <family val="18"/>
          </rPr>
          <t xml:space="preserve">ML 10.273 IR 43 (1803) –Haupt Pasqually Nr. 46 (Cattaro 02/11/1803)
</t>
        </r>
        <r>
          <rPr>
            <sz val="14"/>
            <color rgb="FF000000"/>
            <rFont val="Times New Roman"/>
            <family val="18"/>
          </rPr>
          <t xml:space="preserve">ML 10.274 IR 43 (1804) –Haupt Pasqually Comp. Nr. 43 (Theodo 05/10/1804)
</t>
        </r>
        <r>
          <rPr>
            <sz val="14"/>
            <color rgb="FF000000"/>
            <rFont val="Times New Roman"/>
            <family val="18"/>
          </rPr>
          <t xml:space="preserve">ML 10.275/6 IR 43 (1805) –15. Fus Komp. Nr. 43 (Macarsca (10/11/1805)
</t>
        </r>
        <r>
          <rPr>
            <sz val="14"/>
            <color rgb="FF000000"/>
            <rFont val="Times New Roman"/>
            <family val="18"/>
          </rPr>
          <t>ML 10/277/8 IR 43 (1806) –9. Fus Komp. – Abgang (Neustadt 05/12/1806)</t>
        </r>
      </text>
    </comment>
    <comment ref="BH177" authorId="0" shapeId="0" xr:uid="{3470E43E-442C-9043-9356-F8EE806B9F40}">
      <text>
        <r>
          <rPr>
            <sz val="14"/>
            <color rgb="FF000000"/>
            <rFont val="Calibri"/>
            <family val="34"/>
          </rPr>
          <t xml:space="preserve">IR 54 (1797)
</t>
        </r>
        <r>
          <rPr>
            <sz val="14"/>
            <color rgb="FF000000"/>
            <rFont val="Calibri"/>
            <family val="34"/>
          </rPr>
          <t>IR 43 (1797-1806)</t>
        </r>
      </text>
    </comment>
    <comment ref="BF178" authorId="0" shapeId="0" xr:uid="{BA0C7FA2-D734-9145-A791-5B8712B9F404}">
      <text>
        <r>
          <rPr>
            <sz val="14"/>
            <color rgb="FF000000"/>
            <rFont val="Times New Roman"/>
            <family val="18"/>
          </rPr>
          <t xml:space="preserve">04/07/1797 </t>
        </r>
        <r>
          <rPr>
            <i/>
            <sz val="14"/>
            <color rgb="FF000000"/>
            <rFont val="Times New Roman"/>
            <family val="18"/>
          </rPr>
          <t>von Galizische Standen gestellt und zu Tarnopol ins 1. Major Comp assentiert, seitdem auf anehero Marsch mit fiedens Gebuhr</t>
        </r>
        <r>
          <rPr>
            <sz val="14"/>
            <color rgb="FF000000"/>
            <rFont val="Times New Roman"/>
            <family val="18"/>
          </rPr>
          <t xml:space="preserve"> [ST Sept 1797] </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25/01/1799 Revision: 1. Major Comp Nr. 83 </t>
        </r>
        <r>
          <rPr>
            <sz val="14"/>
            <color rgb="FF000000"/>
            <rFont val="Calibri"/>
            <family val="34"/>
          </rPr>
          <t xml:space="preserve">
</t>
        </r>
        <r>
          <rPr>
            <sz val="14"/>
            <color rgb="FF000000"/>
            <rFont val="Times New Roman"/>
            <family val="18"/>
          </rPr>
          <t xml:space="preserve">05/04/1799 </t>
        </r>
        <r>
          <rPr>
            <i/>
            <sz val="14"/>
            <color rgb="FF000000"/>
            <rFont val="Times New Roman"/>
            <family val="18"/>
          </rPr>
          <t>bei der affaire zu Verona [Battle of Magnano] vorn Feind geblieben</t>
        </r>
        <r>
          <rPr>
            <sz val="14"/>
            <color rgb="FF000000"/>
            <rFont val="Times New Roman"/>
            <family val="18"/>
          </rPr>
          <t xml:space="preserve"> [ST April 1799]</t>
        </r>
        <r>
          <rPr>
            <sz val="14"/>
            <color rgb="FF000000"/>
            <rFont val="Calibri"/>
            <family val="34"/>
          </rPr>
          <t xml:space="preserve">
</t>
        </r>
      </text>
    </comment>
    <comment ref="BG178" authorId="0" shapeId="0" xr:uid="{01B7F9C6-4088-2348-AE57-196934A8B1F4}">
      <text>
        <r>
          <rPr>
            <sz val="14"/>
            <color rgb="FF000000"/>
            <rFont val="Times New Roman"/>
            <family val="18"/>
          </rPr>
          <t>ML 10.271 IR 43 (1796-9) – RL 1. Major Comp. Nr. 83 (Udine 25/01/1799)</t>
        </r>
        <r>
          <rPr>
            <sz val="14"/>
            <color rgb="FF000000"/>
            <rFont val="Calibri"/>
            <family val="34"/>
          </rPr>
          <t xml:space="preserve">
</t>
        </r>
        <r>
          <rPr>
            <sz val="14"/>
            <color rgb="FF000000"/>
            <rFont val="Times New Roman"/>
            <family val="18"/>
          </rPr>
          <t>ML 10.305 IR 43 (1797) – ST Sept (02/09/1804), Oct (31/05/1805)</t>
        </r>
        <r>
          <rPr>
            <sz val="14"/>
            <color rgb="FF000000"/>
            <rFont val="Calibri"/>
            <family val="34"/>
          </rPr>
          <t xml:space="preserve">
</t>
        </r>
        <r>
          <rPr>
            <sz val="14"/>
            <color rgb="FF000000"/>
            <rFont val="Times New Roman"/>
            <family val="18"/>
          </rPr>
          <t>ML 10.307 IR 43 (1799) – ST April (19/08/1799)</t>
        </r>
      </text>
    </comment>
    <comment ref="BH178" authorId="0" shapeId="0" xr:uid="{3F55A992-EB56-6641-A5F7-2FF77FF78FBE}">
      <text>
        <r>
          <rPr>
            <sz val="14"/>
            <color rgb="FF000000"/>
            <rFont val="Calibri"/>
            <family val="34"/>
          </rPr>
          <t>IR 43 (1797-1799)</t>
        </r>
      </text>
    </comment>
    <comment ref="BF179" authorId="0" shapeId="0" xr:uid="{B5CC3C81-10CE-3542-B058-C2CD4B2CEF01}">
      <text>
        <r>
          <rPr>
            <sz val="14"/>
            <color rgb="FF000000"/>
            <rFont val="Times New Roman"/>
            <family val="18"/>
          </rPr>
          <t xml:space="preserve">03/07/1797 </t>
        </r>
        <r>
          <rPr>
            <i/>
            <sz val="14"/>
            <color rgb="FF000000"/>
            <rFont val="Times New Roman"/>
            <family val="18"/>
          </rPr>
          <t>Von galizischen Ständen gestellt und zu, Haupt Pasqually Comp assentiert; seitdem auf anhero Marsch mit Friedensgebühr</t>
        </r>
        <r>
          <rPr>
            <sz val="14"/>
            <color rgb="FF000000"/>
            <rFont val="Times New Roman"/>
            <family val="18"/>
          </rPr>
          <t xml:space="preserve"> [September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Companie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17/10/1797 [Seit] </t>
        </r>
        <r>
          <rPr>
            <i/>
            <sz val="14"/>
            <color rgb="FF000000"/>
            <rFont val="Times New Roman"/>
            <family val="18"/>
          </rPr>
          <t>Krank in loco Spital</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26/01/1799 Revision: IR 43 Haupt Pasqually Nr. 61</t>
        </r>
        <r>
          <rPr>
            <sz val="14"/>
            <color rgb="FF000000"/>
            <rFont val="Calibri"/>
            <family val="34"/>
          </rPr>
          <t xml:space="preserve">
</t>
        </r>
        <r>
          <rPr>
            <sz val="14"/>
            <color rgb="FF000000"/>
            <rFont val="Times New Roman"/>
            <family val="18"/>
          </rPr>
          <t xml:space="preserve">01/06/1799 </t>
        </r>
        <r>
          <rPr>
            <i/>
            <sz val="14"/>
            <color rgb="FF000000"/>
            <rFont val="Times New Roman"/>
            <family val="18"/>
          </rPr>
          <t>Krank Auswärts mit Kriegsgebühr</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15/04/1800 </t>
        </r>
        <r>
          <rPr>
            <i/>
            <sz val="14"/>
            <color rgb="FF000000"/>
            <rFont val="Times New Roman"/>
            <family val="18"/>
          </rPr>
          <t>In Haupt Pasqually Komp.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01/03/1801 </t>
        </r>
        <r>
          <rPr>
            <i/>
            <sz val="14"/>
            <color rgb="FF000000"/>
            <rFont val="Times New Roman"/>
            <family val="18"/>
          </rPr>
          <t>In die Reserve Division mit Friedensgebühr und ½Xr Fleischbeitrag zugetheilt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15/05/1801 </t>
        </r>
        <r>
          <rPr>
            <i/>
            <sz val="14"/>
            <color rgb="FF000000"/>
            <rFont val="Times New Roman"/>
            <family val="18"/>
          </rPr>
          <t>In Haupt Pasqually Comp. Zurück</t>
        </r>
        <r>
          <rPr>
            <sz val="14"/>
            <color rgb="FF000000"/>
            <rFont val="Times New Roman"/>
            <family val="18"/>
          </rPr>
          <t xml:space="preserve"> [ST May 1801]</t>
        </r>
        <r>
          <rPr>
            <sz val="14"/>
            <color rgb="FF000000"/>
            <rFont val="Calibri"/>
            <family val="34"/>
          </rPr>
          <t xml:space="preserve">
</t>
        </r>
        <r>
          <rPr>
            <sz val="14"/>
            <color rgb="FF000000"/>
            <rFont val="Times New Roman"/>
            <family val="18"/>
          </rPr>
          <t>28/08/1802 Muster: IR 43 Haupt Pasqually Komp. Nr. 67 [</t>
        </r>
        <r>
          <rPr>
            <i/>
            <sz val="14"/>
            <color rgb="FF000000"/>
            <rFont val="Times New Roman"/>
            <family val="18"/>
          </rPr>
          <t>Auf 5-tägige Wacht zu St. Trinita</t>
        </r>
        <r>
          <rPr>
            <sz val="14"/>
            <color rgb="FF000000"/>
            <rFont val="Times New Roman"/>
            <family val="18"/>
          </rPr>
          <t>]</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Pasqually Komp. Nr. 60 [</t>
        </r>
        <r>
          <rPr>
            <i/>
            <sz val="14"/>
            <color rgb="FF000000"/>
            <rFont val="Times New Roman"/>
            <family val="18"/>
          </rPr>
          <t>Auf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 IR 43 Haupt Pasqually Komp. Nr. 56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At Muster 10/11/1805 15. Fus Comp Nr. 52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05/01/1806 </t>
        </r>
        <r>
          <rPr>
            <i/>
            <sz val="14"/>
            <color rgb="FF000000"/>
            <rFont val="Times New Roman"/>
            <family val="18"/>
          </rPr>
          <t>Auf Urlaub gestorben</t>
        </r>
        <r>
          <rPr>
            <sz val="14"/>
            <color rgb="FF000000"/>
            <rFont val="Times New Roman"/>
            <family val="18"/>
          </rPr>
          <t xml:space="preserve"> [ST July 1806 &amp; ML 1806]</t>
        </r>
        <r>
          <rPr>
            <sz val="14"/>
            <color rgb="FF000000"/>
            <rFont val="Calibri"/>
            <family val="34"/>
          </rPr>
          <t xml:space="preserve">
</t>
        </r>
      </text>
    </comment>
    <comment ref="BG179" authorId="0" shapeId="0" xr:uid="{D6615B1C-7864-854C-A527-F5C33ADD8D5D}">
      <text>
        <r>
          <rPr>
            <sz val="14"/>
            <color rgb="FF000000"/>
            <rFont val="Times New Roman"/>
            <family val="18"/>
          </rPr>
          <t>ML 10.271 IR 43 (1799) – RL Haupt Pasqually Nr. 61 (26/01/1799)</t>
        </r>
        <r>
          <rPr>
            <sz val="14"/>
            <color rgb="FF000000"/>
            <rFont val="Calibri"/>
            <family val="34"/>
          </rPr>
          <t xml:space="preserve">
</t>
        </r>
        <r>
          <rPr>
            <sz val="14"/>
            <color rgb="FF000000"/>
            <rFont val="Times New Roman"/>
            <family val="18"/>
          </rPr>
          <t>ML 10.272 IR 43 (1802) – Haupt Pasqually Nr. 67 (Cattaro 28/08/1802)</t>
        </r>
        <r>
          <rPr>
            <sz val="14"/>
            <color rgb="FF000000"/>
            <rFont val="Calibri"/>
            <family val="34"/>
          </rPr>
          <t xml:space="preserve">
</t>
        </r>
        <r>
          <rPr>
            <sz val="14"/>
            <color rgb="FF000000"/>
            <rFont val="Times New Roman"/>
            <family val="18"/>
          </rPr>
          <t>ML 10.273 IR 43 (1803) – Haupt Pasqually Nr. 60 (Cattaro 02/11/1803)</t>
        </r>
        <r>
          <rPr>
            <sz val="14"/>
            <color rgb="FF000000"/>
            <rFont val="Calibri"/>
            <family val="34"/>
          </rPr>
          <t xml:space="preserve">
</t>
        </r>
        <r>
          <rPr>
            <sz val="14"/>
            <color rgb="FF000000"/>
            <rFont val="Times New Roman"/>
            <family val="18"/>
          </rPr>
          <t>ML 10.274 IR 43 (1804) – Haupt Pasqually Comp. Nr. 56 (Theodo 05/10/1804)</t>
        </r>
        <r>
          <rPr>
            <sz val="14"/>
            <color rgb="FF000000"/>
            <rFont val="Calibri"/>
            <family val="34"/>
          </rPr>
          <t xml:space="preserve">
</t>
        </r>
        <r>
          <rPr>
            <sz val="14"/>
            <color rgb="FF000000"/>
            <rFont val="Times New Roman"/>
            <family val="18"/>
          </rPr>
          <t>ML 10.275/6 IR 43 (1805) – Heft von 15. Fus Comp. Nr. 52 (Macarsca (10/11/1805)</t>
        </r>
        <r>
          <rPr>
            <sz val="14"/>
            <color rgb="FF000000"/>
            <rFont val="Calibri"/>
            <family val="34"/>
          </rPr>
          <t xml:space="preserve">
</t>
        </r>
        <r>
          <rPr>
            <sz val="14"/>
            <color rgb="FF000000"/>
            <rFont val="Times New Roman"/>
            <family val="18"/>
          </rPr>
          <t>ML 10/277/8 (1806) – Heft von 9. Fus Comp. Abgang (Neustadt 05/12/1806)</t>
        </r>
        <r>
          <rPr>
            <sz val="14"/>
            <color rgb="FF000000"/>
            <rFont val="Calibri"/>
            <family val="34"/>
          </rPr>
          <t xml:space="preserve">
</t>
        </r>
        <r>
          <rPr>
            <sz val="14"/>
            <color rgb="FF000000"/>
            <rFont val="Times New Roman"/>
            <family val="18"/>
          </rPr>
          <t>ML 10.305 IR 43 (1797) – ST Sept (02/09/1804), Okt (21/05/1805)</t>
        </r>
        <r>
          <rPr>
            <sz val="14"/>
            <color rgb="FF000000"/>
            <rFont val="Calibri"/>
            <family val="34"/>
          </rPr>
          <t xml:space="preserve">
</t>
        </r>
        <r>
          <rPr>
            <sz val="14"/>
            <color rgb="FF000000"/>
            <rFont val="Times New Roman"/>
            <family val="18"/>
          </rPr>
          <t>ML 10.307 IR 43 (1799) – ST Juni (12/12/1799)</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März (10/10/1804), Mai (10/03/1805)</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10.317 IR 43 (1806) – ST Juli (15/11/1806)</t>
        </r>
      </text>
    </comment>
    <comment ref="BH179" authorId="0" shapeId="0" xr:uid="{6F018B7C-1378-2C4E-8CC1-60E49B47DE54}">
      <text>
        <r>
          <rPr>
            <sz val="14"/>
            <color rgb="FF000000"/>
            <rFont val="Calibri"/>
            <family val="34"/>
          </rPr>
          <t>IR 43 (1797-1806)</t>
        </r>
      </text>
    </comment>
    <comment ref="BF180" authorId="0" shapeId="0" xr:uid="{AE4EBCB1-1E66-3F4E-BA0D-274D2178AEC7}">
      <text>
        <r>
          <rPr>
            <sz val="14"/>
            <color rgb="FF000000"/>
            <rFont val="Times New Roman"/>
            <family val="18"/>
          </rPr>
          <t xml:space="preserve">11/07/1797 </t>
        </r>
        <r>
          <rPr>
            <i/>
            <sz val="14"/>
            <color rgb="FF000000"/>
            <rFont val="Times New Roman"/>
            <family val="18"/>
          </rPr>
          <t xml:space="preserve">Von galizischen Ständen gestellt und zu Tarnopol ins Haupt Selmbach Komp. assentiert worden </t>
        </r>
        <r>
          <rPr>
            <sz val="14"/>
            <color rgb="FF000000"/>
            <rFont val="Times New Roman"/>
            <family val="18"/>
          </rPr>
          <t>[ST Sept 1797]</t>
        </r>
        <r>
          <rPr>
            <sz val="14"/>
            <color rgb="FF000000"/>
            <rFont val="Calibri"/>
            <family val="34"/>
          </rPr>
          <t xml:space="preserve">
</t>
        </r>
        <r>
          <rPr>
            <sz val="14"/>
            <color rgb="FF000000"/>
            <rFont val="Times New Roman"/>
            <family val="18"/>
          </rPr>
          <t xml:space="preserve">30/09/1797 </t>
        </r>
        <r>
          <rPr>
            <i/>
            <sz val="14"/>
            <color rgb="FF000000"/>
            <rFont val="Times New Roman"/>
            <family val="18"/>
          </rPr>
          <t>In Kompanie eingerückt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25/01/1799 Revision: IR 43 Haupt Selmbach Nr. 85</t>
        </r>
        <r>
          <rPr>
            <sz val="14"/>
            <color rgb="FF000000"/>
            <rFont val="Calibri"/>
            <family val="34"/>
          </rPr>
          <t xml:space="preserve">
</t>
        </r>
        <r>
          <rPr>
            <sz val="14"/>
            <color rgb="FF000000"/>
            <rFont val="Times New Roman"/>
            <family val="18"/>
          </rPr>
          <t xml:space="preserve">31/07/1799 </t>
        </r>
        <r>
          <rPr>
            <i/>
            <sz val="14"/>
            <color rgb="FF000000"/>
            <rFont val="Times New Roman"/>
            <family val="18"/>
          </rPr>
          <t>Von Haupt Selmbach Komp. zum Artillerie Handlanger transferiert</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31/10/1799 [Bevor] </t>
        </r>
        <r>
          <rPr>
            <i/>
            <sz val="14"/>
            <color rgb="FF000000"/>
            <rFont val="Times New Roman"/>
            <family val="18"/>
          </rPr>
          <t xml:space="preserve">Unbekannt: Fehlt ab Dezember in die Standes- und Dienst-Tabellen </t>
        </r>
        <r>
          <rPr>
            <sz val="14"/>
            <color rgb="FF000000"/>
            <rFont val="Calibri"/>
            <family val="34"/>
          </rPr>
          <t xml:space="preserve">
</t>
        </r>
      </text>
    </comment>
    <comment ref="BG180" authorId="0" shapeId="0" xr:uid="{0BE69E2A-64FC-A446-9853-6B6A315CB798}">
      <text>
        <r>
          <rPr>
            <sz val="14"/>
            <color rgb="FF000000"/>
            <rFont val="Times New Roman"/>
            <family val="18"/>
          </rPr>
          <t>ML 10.271 IR 43 (1796-9) – RL Haupt Höffern Nr. 145 und Zuwachs (Udine 25/01/1799)</t>
        </r>
        <r>
          <rPr>
            <sz val="14"/>
            <color rgb="FF000000"/>
            <rFont val="Calibri"/>
            <family val="34"/>
          </rPr>
          <t xml:space="preserve">
</t>
        </r>
        <r>
          <rPr>
            <sz val="14"/>
            <color rgb="FF000000"/>
            <rFont val="Times New Roman"/>
            <family val="18"/>
          </rPr>
          <t>ML 10.305 IR 43 (1797) – ST Sept (02/09/1804), Okt (05/09/1804)</t>
        </r>
        <r>
          <rPr>
            <sz val="14"/>
            <color rgb="FF000000"/>
            <rFont val="Calibri"/>
            <family val="34"/>
          </rPr>
          <t xml:space="preserve">
</t>
        </r>
        <r>
          <rPr>
            <sz val="14"/>
            <color rgb="FF000000"/>
            <rFont val="Times New Roman"/>
            <family val="18"/>
          </rPr>
          <t>ML 10.307 IR 43 (1799) – ST Sept (21/07/1800)</t>
        </r>
      </text>
    </comment>
    <comment ref="BH180" authorId="0" shapeId="0" xr:uid="{0B8864DD-5B90-BB42-A315-FA33CA5FF1CC}">
      <text>
        <r>
          <rPr>
            <sz val="14"/>
            <color rgb="FF000000"/>
            <rFont val="Calibri"/>
            <family val="34"/>
          </rPr>
          <t>IR 43 (1797-1799)</t>
        </r>
      </text>
    </comment>
    <comment ref="BF181" authorId="0" shapeId="0" xr:uid="{F3D5A807-2F16-A54D-B6CC-D1603FBF94BB}">
      <text>
        <r>
          <rPr>
            <sz val="14"/>
            <color rgb="FF000000"/>
            <rFont val="Times New Roman"/>
            <family val="18"/>
          </rPr>
          <t xml:space="preserve">11/07/1797 </t>
        </r>
        <r>
          <rPr>
            <i/>
            <sz val="14"/>
            <color rgb="FF000000"/>
            <rFont val="Times New Roman"/>
            <family val="18"/>
          </rPr>
          <t>Von Ständen gestellt und a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Stark Komp Nr. 86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t>
        </r>
        <r>
          <rPr>
            <sz val="14"/>
            <color rgb="FF000000"/>
            <rFont val="Calibri"/>
            <family val="2"/>
            <scheme val="minor"/>
          </rPr>
          <t xml:space="preserve"> </t>
        </r>
      </text>
    </comment>
    <comment ref="BG181" authorId="0" shapeId="0" xr:uid="{2440927A-C239-5943-852B-0AB56806D769}">
      <text>
        <r>
          <rPr>
            <sz val="14"/>
            <color rgb="FF000000"/>
            <rFont val="Times New Roman"/>
            <family val="18"/>
          </rPr>
          <t>ML 10.124 IR 23 (1802) – Haupt Starck Komp. Nr. 86 (Krems 09/09/1802)</t>
        </r>
        <r>
          <rPr>
            <sz val="14"/>
            <color rgb="FF000000"/>
            <rFont val="Calibri"/>
            <family val="34"/>
          </rPr>
          <t xml:space="preserve">
</t>
        </r>
        <r>
          <rPr>
            <sz val="14"/>
            <color rgb="FF000000"/>
            <rFont val="Times New Roman"/>
            <family val="18"/>
          </rPr>
          <t>ML 10.125 IR 23 (1803) – Haupt Starck Komp. Abgang (Execierlager bei St Pölten 07/09/1803)</t>
        </r>
      </text>
    </comment>
    <comment ref="BH181" authorId="0" shapeId="0" xr:uid="{145ACE93-5F7D-CA4D-A056-7F452DB292E3}">
      <text>
        <r>
          <rPr>
            <sz val="14"/>
            <color rgb="FF000000"/>
            <rFont val="Calibri"/>
            <family val="34"/>
          </rPr>
          <t>IR 23 (1797-1803)</t>
        </r>
      </text>
    </comment>
    <comment ref="BF182" authorId="0" shapeId="0" xr:uid="{C64B5CCF-FFF4-444E-A966-11721815ECC8}">
      <text>
        <r>
          <rPr>
            <sz val="14"/>
            <color rgb="FF000000"/>
            <rFont val="Times New Roman"/>
            <family val="18"/>
          </rPr>
          <t xml:space="preserve">22/07/1797 </t>
        </r>
        <r>
          <rPr>
            <i/>
            <sz val="14"/>
            <color rgb="FF000000"/>
            <rFont val="Times New Roman"/>
            <family val="18"/>
          </rPr>
          <t>Von Galizischen Ständen gestellt mit Capitulation auf die Kriegsdauer assentiert, hat 3 Fl Handgeld empfangen</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Ebertin Nr. 77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 </t>
        </r>
      </text>
    </comment>
    <comment ref="BG182" authorId="0" shapeId="0" xr:uid="{A0900CB0-4BA0-C441-BF83-061F889B7035}">
      <text>
        <r>
          <rPr>
            <sz val="14"/>
            <color rgb="FF000000"/>
            <rFont val="Times New Roman"/>
            <family val="18"/>
          </rPr>
          <t>ML 10.124 IR 23 (1802) – Haupt Ebertin Komp. Nr. 77 (Krems 09/09/1802)</t>
        </r>
        <r>
          <rPr>
            <sz val="14"/>
            <color rgb="FF000000"/>
            <rFont val="Calibri"/>
            <family val="34"/>
          </rPr>
          <t xml:space="preserve">
</t>
        </r>
        <r>
          <rPr>
            <sz val="14"/>
            <color rgb="FF000000"/>
            <rFont val="Times New Roman"/>
            <family val="18"/>
          </rPr>
          <t>ML 10.125 IR 23 (1802) – Haupt Kleinschmidt Komp. Abgang (Execierlager bei St Pölten 07/09/1802)</t>
        </r>
      </text>
    </comment>
    <comment ref="BH182" authorId="0" shapeId="0" xr:uid="{21EFFB5C-F193-7E49-90E8-8B9436ED25A1}">
      <text>
        <r>
          <rPr>
            <sz val="14"/>
            <color rgb="FF000000"/>
            <rFont val="Calibri"/>
            <family val="34"/>
          </rPr>
          <t>IR 23 (1797-1803)</t>
        </r>
      </text>
    </comment>
    <comment ref="BF183" authorId="0" shapeId="0" xr:uid="{22910F85-C87D-C249-8DFD-E10D01C4DED5}">
      <text>
        <r>
          <rPr>
            <sz val="14"/>
            <color rgb="FF000000"/>
            <rFont val="Times New Roman"/>
            <family val="18"/>
          </rPr>
          <t xml:space="preserve">29/07/1797 </t>
        </r>
        <r>
          <rPr>
            <i/>
            <sz val="14"/>
            <color rgb="FF000000"/>
            <rFont val="Times New Roman"/>
            <family val="18"/>
          </rPr>
          <t>als Gallizische Landstandische Recrout a 3Fl Handgeld mit Capitulaiton zu Sanok auf Kriegseszeit assentiert</t>
        </r>
        <r>
          <rPr>
            <sz val="14"/>
            <color rgb="FF000000"/>
            <rFont val="Times New Roman"/>
            <family val="18"/>
          </rPr>
          <t xml:space="preserve"> [AL 1797 &amp; ST Oct 1797]</t>
        </r>
        <r>
          <rPr>
            <sz val="14"/>
            <color rgb="FF000000"/>
            <rFont val="Calibri"/>
            <family val="34"/>
          </rPr>
          <t xml:space="preserve">
</t>
        </r>
        <r>
          <rPr>
            <sz val="14"/>
            <color rgb="FF000000"/>
            <rFont val="Times New Roman"/>
            <family val="18"/>
          </rPr>
          <t xml:space="preserve">01/10/1797 </t>
        </r>
        <r>
          <rPr>
            <i/>
            <sz val="14"/>
            <color rgb="FF000000"/>
            <rFont val="Times New Roman"/>
            <family val="18"/>
          </rPr>
          <t>in Battalion zu Prag eingeruckt und zum 4. Companie zugeteilt</t>
        </r>
        <r>
          <rPr>
            <sz val="14"/>
            <color rgb="FF000000"/>
            <rFont val="Times New Roman"/>
            <family val="18"/>
          </rPr>
          <t xml:space="preserve"> [ST Oct 1797]</t>
        </r>
        <r>
          <rPr>
            <sz val="14"/>
            <color rgb="FF000000"/>
            <rFont val="Calibri"/>
            <family val="34"/>
          </rPr>
          <t xml:space="preserve">
</t>
        </r>
        <r>
          <rPr>
            <sz val="14"/>
            <color rgb="FF000000"/>
            <rFont val="Times New Roman"/>
            <family val="18"/>
          </rPr>
          <t xml:space="preserve">20/10/1797 </t>
        </r>
        <r>
          <rPr>
            <i/>
            <sz val="14"/>
            <color rgb="FF000000"/>
            <rFont val="Times New Roman"/>
            <family val="18"/>
          </rPr>
          <t>in Folge Superarbitrierung als untauglich mit Laufpaß entlassen</t>
        </r>
        <r>
          <rPr>
            <sz val="14"/>
            <color rgb="FF000000"/>
            <rFont val="Times New Roman"/>
            <family val="18"/>
          </rPr>
          <t xml:space="preserve"> [ST Oct 1797]</t>
        </r>
      </text>
    </comment>
    <comment ref="BG183" authorId="0" shapeId="0" xr:uid="{C36DE1B0-8A7D-1848-AD83-1AEDDB19A05B}">
      <text>
        <r>
          <rPr>
            <sz val="14"/>
            <color rgb="FF000000"/>
            <rFont val="Times New Roman"/>
            <family val="18"/>
          </rPr>
          <t xml:space="preserve">ML 4659 IR 54 (1797) – AL Nr. 23 (Sanok 07/08/1797), ST Oct – Zuwachs, eingerückt Abgang (Prag 10/12/1797) </t>
        </r>
        <r>
          <rPr>
            <sz val="14"/>
            <color rgb="FF000000"/>
            <rFont val="Calibri"/>
            <family val="34"/>
          </rPr>
          <t xml:space="preserve">
</t>
        </r>
      </text>
    </comment>
    <comment ref="BH183" authorId="0" shapeId="0" xr:uid="{537B28A7-B67E-AE45-A71A-90DFF2CED79E}">
      <text>
        <r>
          <rPr>
            <sz val="14"/>
            <color rgb="FF000000"/>
            <rFont val="Calibri"/>
            <family val="34"/>
          </rPr>
          <t>IR 54 (1797)</t>
        </r>
      </text>
    </comment>
    <comment ref="BF184" authorId="0" shapeId="0" xr:uid="{1B2EE181-F38F-5A4D-8058-C435EBB5D715}">
      <text>
        <r>
          <rPr>
            <sz val="14"/>
            <color rgb="FF000000"/>
            <rFont val="Times New Roman"/>
            <family val="18"/>
          </rPr>
          <t xml:space="preserve">19/08/1797 </t>
        </r>
        <r>
          <rPr>
            <i/>
            <sz val="14"/>
            <color rgb="FF000000"/>
            <rFont val="Times New Roman"/>
            <family val="18"/>
          </rPr>
          <t>Auf Dauer des Kriegs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22/10/1797 </t>
        </r>
        <r>
          <rPr>
            <i/>
            <sz val="14"/>
            <color rgb="FF000000"/>
            <rFont val="Times New Roman"/>
            <family val="18"/>
          </rPr>
          <t>Von</t>
        </r>
        <r>
          <rPr>
            <b/>
            <i/>
            <sz val="14"/>
            <color rgb="FF000000"/>
            <rFont val="Times New Roman"/>
            <family val="18"/>
          </rPr>
          <t xml:space="preserve"> </t>
        </r>
        <r>
          <rPr>
            <i/>
            <sz val="14"/>
            <color rgb="FF000000"/>
            <rFont val="Times New Roman"/>
            <family val="18"/>
          </rPr>
          <t>Michael Graf Wallis Infantrie Regiment</t>
        </r>
        <r>
          <rPr>
            <sz val="14"/>
            <color rgb="FF000000"/>
            <rFont val="Times New Roman"/>
            <family val="18"/>
          </rPr>
          <t xml:space="preserve"> </t>
        </r>
        <r>
          <rPr>
            <b/>
            <sz val="14"/>
            <color rgb="FF000000"/>
            <rFont val="Times New Roman"/>
            <family val="18"/>
          </rPr>
          <t>[IR 11]</t>
        </r>
        <r>
          <rPr>
            <i/>
            <sz val="14"/>
            <color rgb="FF000000"/>
            <rFont val="Times New Roman"/>
            <family val="18"/>
          </rPr>
          <t xml:space="preserve"> zum IR 43 ‚Thurn‘</t>
        </r>
        <r>
          <rPr>
            <sz val="14"/>
            <color rgb="FF000000"/>
            <rFont val="Calibri"/>
            <family val="34"/>
          </rPr>
          <t xml:space="preserve">
</t>
        </r>
        <r>
          <rPr>
            <i/>
            <sz val="14"/>
            <color rgb="FF000000"/>
            <rFont val="Times New Roman"/>
            <family val="18"/>
          </rPr>
          <t>Transferiert und zur Haupt Selmbach Kompanie eingetheilt; Seitdem auf anhero Marsch mit Friedensgebühr</t>
        </r>
        <r>
          <rPr>
            <sz val="14"/>
            <color rgb="FF000000"/>
            <rFont val="Times New Roman"/>
            <family val="18"/>
          </rPr>
          <t xml:space="preserve"> [ST Okt 1797]</t>
        </r>
        <r>
          <rPr>
            <sz val="14"/>
            <color rgb="FF000000"/>
            <rFont val="Calibri"/>
            <family val="34"/>
          </rPr>
          <t xml:space="preserve">
</t>
        </r>
        <r>
          <rPr>
            <sz val="14"/>
            <color rgb="FF000000"/>
            <rFont val="Times New Roman"/>
            <family val="18"/>
          </rPr>
          <t>25/01/1799 Muster: IR 43 Haupt Selmbach Nr. 103</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31/08/1799 Rekonvalesziert [ST Sept 1799]</t>
        </r>
        <r>
          <rPr>
            <sz val="14"/>
            <color rgb="FF000000"/>
            <rFont val="Calibri"/>
            <family val="34"/>
          </rPr>
          <t xml:space="preserve">
</t>
        </r>
        <r>
          <rPr>
            <sz val="14"/>
            <color rgb="FF000000"/>
            <rFont val="Times New Roman"/>
            <family val="18"/>
          </rPr>
          <t xml:space="preserve">04/09/1799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30/09/1799 [Bis Mindestens] </t>
        </r>
        <r>
          <rPr>
            <i/>
            <sz val="14"/>
            <color rgb="FF000000"/>
            <rFont val="Times New Roman"/>
            <family val="18"/>
          </rPr>
          <t>Krank auswärts mit Kriegsgebühr</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24/08/1802 Muster: IR 43 Haupt Selmbach Nr. 45</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Krain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Krain</t>
        </r>
        <r>
          <rPr>
            <sz val="14"/>
            <color rgb="FF000000"/>
            <rFont val="Times New Roman"/>
            <family val="18"/>
          </rPr>
          <t xml:space="preserve"> </t>
        </r>
        <r>
          <rPr>
            <b/>
            <sz val="14"/>
            <color rgb="FF000000"/>
            <rFont val="Times New Roman"/>
            <family val="18"/>
          </rPr>
          <t>[in Wirklichkeit Böhmen]</t>
        </r>
        <r>
          <rPr>
            <sz val="14"/>
            <color rgb="FF000000"/>
            <rFont val="Times New Roman"/>
            <family val="18"/>
          </rPr>
          <t xml:space="preserve"> </t>
        </r>
        <r>
          <rPr>
            <i/>
            <sz val="14"/>
            <color rgb="FF000000"/>
            <rFont val="Times New Roman"/>
            <family val="18"/>
          </rPr>
          <t>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42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12/09/1804 Muster: IR 43 Haupt Selmbach Komp. Nr. 45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Musterung: IR 43 13. Fus. Komp. Nr. 45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Komp. als unwissend verloren in Abgang</t>
        </r>
        <r>
          <rPr>
            <sz val="14"/>
            <color rgb="FF000000"/>
            <rFont val="Times New Roman"/>
            <family val="18"/>
          </rPr>
          <t xml:space="preserve"> [ST Oct 1806 &amp; ML 1806]</t>
        </r>
      </text>
    </comment>
    <comment ref="BG184" authorId="0" shapeId="0" xr:uid="{C070ADD9-22D4-E649-9A4E-B40FD8B032E8}">
      <text>
        <r>
          <rPr>
            <sz val="14"/>
            <color rgb="FF000000"/>
            <rFont val="Times New Roman"/>
            <family val="18"/>
          </rPr>
          <t>ML 10.271 IR 43 (1799) – RL Haupt Selmbach Nr. 103 (Udine 25/01/1799)</t>
        </r>
        <r>
          <rPr>
            <sz val="14"/>
            <color rgb="FF000000"/>
            <rFont val="Calibri"/>
            <family val="34"/>
          </rPr>
          <t xml:space="preserve">
</t>
        </r>
        <r>
          <rPr>
            <sz val="14"/>
            <color rgb="FF000000"/>
            <rFont val="Times New Roman"/>
            <family val="18"/>
          </rPr>
          <t>ML 10.272 IR 43 (1802) – Haupt Selmbach Komp. Nr. 45 (Budua 24/08/1802)</t>
        </r>
        <r>
          <rPr>
            <sz val="14"/>
            <color rgb="FF000000"/>
            <rFont val="Calibri"/>
            <family val="34"/>
          </rPr>
          <t xml:space="preserve">
</t>
        </r>
        <r>
          <rPr>
            <sz val="14"/>
            <color rgb="FF000000"/>
            <rFont val="Times New Roman"/>
            <family val="18"/>
          </rPr>
          <t>ML 10.273 IR 43 (1803) – Haupt Selmbach Komp. Nr. 42 (Knin 04/11/1803)</t>
        </r>
        <r>
          <rPr>
            <sz val="14"/>
            <color rgb="FF000000"/>
            <rFont val="Calibri"/>
            <family val="34"/>
          </rPr>
          <t xml:space="preserve">
</t>
        </r>
        <r>
          <rPr>
            <sz val="14"/>
            <color rgb="FF000000"/>
            <rFont val="Times New Roman"/>
            <family val="18"/>
          </rPr>
          <t>ML 10.274 IR 43 (1804) –Haupt Selmbach Komp. Nr. 45 (Zara 15/09/1804)</t>
        </r>
        <r>
          <rPr>
            <sz val="14"/>
            <color rgb="FF000000"/>
            <rFont val="Calibri"/>
            <family val="34"/>
          </rPr>
          <t xml:space="preserve">
</t>
        </r>
        <r>
          <rPr>
            <sz val="14"/>
            <color rgb="FF000000"/>
            <rFont val="Times New Roman"/>
            <family val="18"/>
          </rPr>
          <t>ML 10.275/6 IR 43 (1805) –13. Fus Comp. Nr. 45 (Zara 01/10/1805)</t>
        </r>
        <r>
          <rPr>
            <sz val="14"/>
            <color rgb="FF000000"/>
            <rFont val="Calibri"/>
            <family val="34"/>
          </rPr>
          <t xml:space="preserve">
</t>
        </r>
        <r>
          <rPr>
            <sz val="14"/>
            <color rgb="FF000000"/>
            <rFont val="Times New Roman"/>
            <family val="18"/>
          </rPr>
          <t>ML 10/277/8 (1806) –3. Fus Comp. Abgang (Laibach 01/12/1806)</t>
        </r>
        <r>
          <rPr>
            <sz val="14"/>
            <color rgb="FF000000"/>
            <rFont val="Calibri"/>
            <family val="34"/>
          </rPr>
          <t xml:space="preserve">
</t>
        </r>
        <r>
          <rPr>
            <sz val="14"/>
            <color rgb="FF000000"/>
            <rFont val="Times New Roman"/>
            <family val="18"/>
          </rPr>
          <t>ML 10.305 IR 43 (1797) – ST Okt. (31/05/1805)</t>
        </r>
        <r>
          <rPr>
            <sz val="14"/>
            <color rgb="FF000000"/>
            <rFont val="Calibri"/>
            <family val="34"/>
          </rPr>
          <t xml:space="preserve">
</t>
        </r>
        <r>
          <rPr>
            <sz val="14"/>
            <color rgb="FF000000"/>
            <rFont val="Times New Roman"/>
            <family val="18"/>
          </rPr>
          <t>ML 10.307 IR 43 (1799) – ST Aug. (06/03/1800), Sept (21/07/1800)</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10.319 IR 43 (1807) – ST Okt. (27/11/1806)</t>
        </r>
      </text>
    </comment>
    <comment ref="BH184" authorId="0" shapeId="0" xr:uid="{BE95ED9C-4C54-9544-BE80-5B128E40AEF9}">
      <text>
        <r>
          <rPr>
            <sz val="14"/>
            <color rgb="FF000000"/>
            <rFont val="Calibri"/>
            <family val="34"/>
          </rPr>
          <t xml:space="preserve">IR 11 (1797)
</t>
        </r>
        <r>
          <rPr>
            <sz val="14"/>
            <color rgb="FF000000"/>
            <rFont val="Calibri"/>
            <family val="34"/>
          </rPr>
          <t>IR 43 (1797-1806)</t>
        </r>
      </text>
    </comment>
    <comment ref="BF185" authorId="0" shapeId="0" xr:uid="{E18470FE-8C83-6747-9BAA-6E0FE84ED52D}">
      <text>
        <r>
          <rPr>
            <sz val="14"/>
            <color rgb="FF000000"/>
            <rFont val="Times New Roman"/>
            <family val="18"/>
          </rPr>
          <t xml:space="preserve">02/10/1797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23/09/1799 </t>
        </r>
        <r>
          <rPr>
            <i/>
            <sz val="14"/>
            <color rgb="FF000000"/>
            <rFont val="Times New Roman"/>
            <family val="18"/>
          </rPr>
          <t>krank in Armée Spital</t>
        </r>
        <r>
          <rPr>
            <sz val="14"/>
            <color rgb="FF000000"/>
            <rFont val="Times New Roman"/>
            <family val="18"/>
          </rPr>
          <t xml:space="preserve"> [ST Oct 1799]</t>
        </r>
        <r>
          <rPr>
            <sz val="14"/>
            <color rgb="FF000000"/>
            <rFont val="Calibri"/>
            <family val="34"/>
          </rPr>
          <t xml:space="preserve">
</t>
        </r>
        <r>
          <rPr>
            <sz val="14"/>
            <color rgb="FF000000"/>
            <rFont val="Times New Roman"/>
            <family val="18"/>
          </rPr>
          <t>16/09/1802 Muster: IR 23 Haupt Balbus Nr. 68</t>
        </r>
        <r>
          <rPr>
            <sz val="14"/>
            <color rgb="FF000000"/>
            <rFont val="Calibri"/>
            <family val="34"/>
          </rPr>
          <t xml:space="preserve">
</t>
        </r>
        <r>
          <rPr>
            <sz val="14"/>
            <color rgb="FF000000"/>
            <rFont val="Times New Roman"/>
            <family val="18"/>
          </rPr>
          <t>13/09/1803 Muster: IR 23 Haupt Balbus Nr. 58 [</t>
        </r>
        <r>
          <rPr>
            <i/>
            <sz val="14"/>
            <color rgb="FF000000"/>
            <rFont val="Times New Roman"/>
            <family val="18"/>
          </rPr>
          <t>Bestimmt beurlaubt in seinem Geburtsort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30/06/1804 </t>
        </r>
        <r>
          <rPr>
            <i/>
            <sz val="14"/>
            <color rgb="FF000000"/>
            <rFont val="Times New Roman"/>
            <family val="18"/>
          </rPr>
          <t>Von Urlaub in Polen desertiert</t>
        </r>
        <r>
          <rPr>
            <sz val="14"/>
            <color rgb="FF000000"/>
            <rFont val="Times New Roman"/>
            <family val="18"/>
          </rPr>
          <t xml:space="preserve"> [ML 1804] </t>
        </r>
      </text>
    </comment>
    <comment ref="BG185" authorId="0" shapeId="0" xr:uid="{CAED9226-3B2D-9D4E-9A0A-7EA811BAC68F}">
      <text>
        <r>
          <rPr>
            <sz val="14"/>
            <color rgb="FF000000"/>
            <rFont val="Times New Roman"/>
            <family val="18"/>
          </rPr>
          <t>ML 10.124 IR 23 (1802) – Haupt Balbus Komp. Nr. 68 (Vienna 16/09/1802)</t>
        </r>
        <r>
          <rPr>
            <sz val="14"/>
            <color rgb="FF000000"/>
            <rFont val="Calibri"/>
            <family val="34"/>
          </rPr>
          <t xml:space="preserve">
</t>
        </r>
        <r>
          <rPr>
            <sz val="14"/>
            <color rgb="FF000000"/>
            <rFont val="Times New Roman"/>
            <family val="18"/>
          </rPr>
          <t>ML 10.125 IR 23 (1803) – Haupt Balbus Komp. Nr. 58 (Vienna 13/09/1803)</t>
        </r>
        <r>
          <rPr>
            <sz val="14"/>
            <color rgb="FF000000"/>
            <rFont val="Calibri"/>
            <family val="34"/>
          </rPr>
          <t xml:space="preserve">
</t>
        </r>
        <r>
          <rPr>
            <sz val="14"/>
            <color rgb="FF000000"/>
            <rFont val="Times New Roman"/>
            <family val="18"/>
          </rPr>
          <t>ML 10.126 IR 23 (1804) – Haupt Balbus Komp. Abgang (Krems 06/09/1804)</t>
        </r>
        <r>
          <rPr>
            <sz val="14"/>
            <color rgb="FF000000"/>
            <rFont val="Calibri"/>
            <family val="34"/>
          </rPr>
          <t xml:space="preserve">
</t>
        </r>
        <r>
          <rPr>
            <sz val="14"/>
            <color rgb="FF000000"/>
            <rFont val="Times New Roman"/>
            <family val="18"/>
          </rPr>
          <t>ML 10.164 IR 23 (1800) – Oct (06/04/1801)</t>
        </r>
        <r>
          <rPr>
            <sz val="14"/>
            <color rgb="FF000000"/>
            <rFont val="Calibri"/>
            <family val="34"/>
          </rPr>
          <t xml:space="preserve">
</t>
        </r>
      </text>
    </comment>
    <comment ref="BH185" authorId="0" shapeId="0" xr:uid="{40241EC4-5886-2242-B677-F922F435AC37}">
      <text>
        <r>
          <rPr>
            <sz val="14"/>
            <color rgb="FF000000"/>
            <rFont val="Calibri"/>
            <family val="34"/>
          </rPr>
          <t>IR 23 (1797-1804)</t>
        </r>
      </text>
    </comment>
    <comment ref="BF186" authorId="0" shapeId="0" xr:uid="{671B3D69-CEB2-5747-B0B7-6AD59EE6DDB1}">
      <text>
        <r>
          <rPr>
            <sz val="14"/>
            <color rgb="FF000000"/>
            <rFont val="Times New Roman"/>
            <family val="18"/>
          </rPr>
          <t xml:space="preserve">01/11/1797 </t>
        </r>
        <r>
          <rPr>
            <i/>
            <sz val="14"/>
            <color rgb="FF000000"/>
            <rFont val="Times New Roman"/>
            <family val="18"/>
          </rPr>
          <t>Auf Kriegsdauer zu O’Donnell Freycorps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01/07/1798 </t>
        </r>
        <r>
          <rPr>
            <i/>
            <sz val="14"/>
            <color rgb="FF000000"/>
            <rFont val="Times New Roman"/>
            <family val="18"/>
          </rPr>
          <t xml:space="preserve">Von O’Donnell FK zum Strozzy </t>
        </r>
        <r>
          <rPr>
            <b/>
            <sz val="14"/>
            <color rgb="FF000000"/>
            <rFont val="Times New Roman"/>
            <family val="18"/>
          </rPr>
          <t>LB 1</t>
        </r>
        <r>
          <rPr>
            <i/>
            <sz val="14"/>
            <color rgb="FF000000"/>
            <rFont val="Times New Roman"/>
            <family val="18"/>
          </rPr>
          <t xml:space="preserve">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31/08/1801 </t>
        </r>
        <r>
          <rPr>
            <i/>
            <sz val="14"/>
            <color rgb="FF000000"/>
            <rFont val="Times New Roman"/>
            <family val="18"/>
          </rPr>
          <t>Von LB 1 zum GR 2 transferiert und zur Haupt Kienmayer Kompanie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1 Haupt Kienmayer Komp. Nr. 342</t>
        </r>
        <r>
          <rPr>
            <sz val="14"/>
            <color rgb="FF000000"/>
            <rFont val="Calibri"/>
            <family val="34"/>
          </rPr>
          <t xml:space="preserve">
</t>
        </r>
        <r>
          <rPr>
            <sz val="14"/>
            <color rgb="FF000000"/>
            <rFont val="Times New Roman"/>
            <family val="18"/>
          </rPr>
          <t>26/08/1803 Muster: GR 2 Haupt Branconot Komp. Nr. 299 [</t>
        </r>
        <r>
          <rPr>
            <i/>
            <sz val="14"/>
            <color rgb="FF000000"/>
            <rFont val="Times New Roman"/>
            <family val="18"/>
          </rPr>
          <t>In Regiment Stockhaus in Zamosc</t>
        </r>
        <r>
          <rPr>
            <sz val="14"/>
            <color rgb="FF000000"/>
            <rFont val="Times New Roman"/>
            <family val="18"/>
          </rPr>
          <t>]</t>
        </r>
        <r>
          <rPr>
            <sz val="14"/>
            <color rgb="FF000000"/>
            <rFont val="Calibri"/>
            <family val="34"/>
          </rPr>
          <t xml:space="preserve">
</t>
        </r>
        <r>
          <rPr>
            <sz val="14"/>
            <color rgb="FF000000"/>
            <rFont val="Times New Roman"/>
            <family val="18"/>
          </rPr>
          <t xml:space="preserve">26/05/1804 </t>
        </r>
        <r>
          <rPr>
            <i/>
            <sz val="14"/>
            <color rgb="FF000000"/>
            <rFont val="Times New Roman"/>
            <family val="18"/>
          </rPr>
          <t>Von Sonsten Desertiert</t>
        </r>
        <r>
          <rPr>
            <sz val="14"/>
            <color rgb="FF000000"/>
            <rFont val="Times New Roman"/>
            <family val="18"/>
          </rPr>
          <t xml:space="preserve"> [ML 1804]</t>
        </r>
      </text>
    </comment>
    <comment ref="BG186" authorId="0" shapeId="0" xr:uid="{5A4E8CC6-9E34-724E-A10C-B2B675A656F4}">
      <text>
        <r>
          <rPr>
            <sz val="14"/>
            <color rgb="FF000000"/>
            <rFont val="Times New Roman"/>
            <family val="18"/>
          </rPr>
          <t>ML 11.182 GR 2 (1802) – Haupt Keinmayer Komp. Nr. 342 (Zamosc 30/08/1802)</t>
        </r>
        <r>
          <rPr>
            <sz val="14"/>
            <color rgb="FF000000"/>
            <rFont val="Calibri"/>
            <family val="34"/>
          </rPr>
          <t xml:space="preserve">
</t>
        </r>
        <r>
          <rPr>
            <sz val="14"/>
            <color rgb="FF000000"/>
            <rFont val="Times New Roman"/>
            <family val="18"/>
          </rPr>
          <t>ML 11.184 GR 2 (1803) – Haupt Branconot Komp. Nr. 299 (Lemberg 26/08/1803)</t>
        </r>
        <r>
          <rPr>
            <sz val="14"/>
            <color rgb="FF000000"/>
            <rFont val="Calibri"/>
            <family val="34"/>
          </rPr>
          <t xml:space="preserve">
</t>
        </r>
        <r>
          <rPr>
            <sz val="14"/>
            <color rgb="FF000000"/>
            <rFont val="Times New Roman"/>
            <family val="18"/>
          </rPr>
          <t>ML 11.185 GR 2 (1804) – Haupt Branconot Komp. Abgang (??? 10/08/1804)</t>
        </r>
      </text>
    </comment>
    <comment ref="BH186" authorId="0" shapeId="0" xr:uid="{2A229F93-927A-1448-B608-E5ECA3545273}">
      <text>
        <r>
          <rPr>
            <sz val="14"/>
            <color rgb="FF000000"/>
            <rFont val="Calibri"/>
            <family val="34"/>
          </rPr>
          <t xml:space="preserve">FK O'Donnel  (1797-1798)
</t>
        </r>
        <r>
          <rPr>
            <sz val="14"/>
            <color rgb="FF000000"/>
            <rFont val="Calibri"/>
            <family val="34"/>
          </rPr>
          <t xml:space="preserve">LB 1 (1798-1801)
</t>
        </r>
        <r>
          <rPr>
            <sz val="14"/>
            <color rgb="FF000000"/>
            <rFont val="Calibri"/>
            <family val="34"/>
          </rPr>
          <t>GR 2 (1801-1804)</t>
        </r>
      </text>
    </comment>
    <comment ref="BF187" authorId="0" shapeId="0" xr:uid="{8836AE66-B9ED-AF40-BC84-86469E6148B7}">
      <text>
        <r>
          <rPr>
            <i/>
            <sz val="14"/>
            <color rgb="FF000000"/>
            <rFont val="Times New Roman"/>
            <family val="18"/>
          </rPr>
          <t>Soll bei O’Donnell Frey Corps gedient haben</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1798 </t>
        </r>
        <r>
          <rPr>
            <i/>
            <sz val="14"/>
            <color rgb="FF000000"/>
            <rFont val="Times New Roman"/>
            <family val="18"/>
          </rPr>
          <t>Als Landständischer Recrout gestellt worden</t>
        </r>
        <r>
          <rPr>
            <sz val="14"/>
            <color rgb="FF000000"/>
            <rFont val="Times New Roman"/>
            <family val="18"/>
          </rPr>
          <t xml:space="preserve"> [TL Nov 1801]</t>
        </r>
        <r>
          <rPr>
            <sz val="14"/>
            <color rgb="FF000000"/>
            <rFont val="Calibri"/>
            <family val="34"/>
          </rPr>
          <t xml:space="preserve">
</t>
        </r>
        <r>
          <rPr>
            <i/>
            <sz val="14"/>
            <color rgb="FF000000"/>
            <rFont val="Times New Roman"/>
            <family val="18"/>
          </rPr>
          <t>Halbe Jahr nach der Assentierung bey Schweinforth entwichen</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16/01/1801 </t>
        </r>
        <r>
          <rPr>
            <i/>
            <sz val="14"/>
            <color rgb="FF000000"/>
            <rFont val="Times New Roman"/>
            <family val="18"/>
          </rPr>
          <t>Als selbst gemeldeter Deserteur zu Höxter präsentiert</t>
        </r>
        <r>
          <rPr>
            <sz val="14"/>
            <color rgb="FF000000"/>
            <rFont val="Times New Roman"/>
            <family val="18"/>
          </rPr>
          <t xml:space="preserve"> [DL 1801]</t>
        </r>
        <r>
          <rPr>
            <sz val="14"/>
            <color rgb="FF000000"/>
            <rFont val="Calibri"/>
            <family val="34"/>
          </rPr>
          <t xml:space="preserve">
</t>
        </r>
        <r>
          <rPr>
            <sz val="14"/>
            <color rgb="FF000000"/>
            <rFont val="Times New Roman"/>
            <family val="18"/>
          </rPr>
          <t>31/10/1801 Dissolvierung: LBat 3 Major Wattlet Komp. Nr. 42 [</t>
        </r>
        <r>
          <rPr>
            <i/>
            <sz val="14"/>
            <color rgb="FF000000"/>
            <rFont val="Times New Roman"/>
            <family val="18"/>
          </rPr>
          <t>Zu Bellegarde Inf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01/11/1801 </t>
        </r>
        <r>
          <rPr>
            <i/>
            <sz val="14"/>
            <color rgb="FF000000"/>
            <rFont val="Times New Roman"/>
            <family val="18"/>
          </rPr>
          <t>Von LB 3 Major Wattlet Comp zum IR 44 Haupt Winarsch Comp transferiert und seitdem auf Anhero Marsch</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15/11/1801 </t>
        </r>
        <r>
          <rPr>
            <i/>
            <sz val="14"/>
            <color rgb="FF000000"/>
            <rFont val="Times New Roman"/>
            <family val="18"/>
          </rPr>
          <t>Ins Companie eingerückt</t>
        </r>
        <r>
          <rPr>
            <sz val="14"/>
            <color rgb="FF000000"/>
            <rFont val="Times New Roman"/>
            <family val="18"/>
          </rPr>
          <t xml:space="preserve"> [ST Nov 1801]</t>
        </r>
        <r>
          <rPr>
            <sz val="14"/>
            <color rgb="FF000000"/>
            <rFont val="Calibri"/>
            <family val="34"/>
          </rPr>
          <t xml:space="preserve">
</t>
        </r>
        <r>
          <rPr>
            <sz val="14"/>
            <color rgb="FF000000"/>
            <rFont val="Times New Roman"/>
            <family val="18"/>
          </rPr>
          <t xml:space="preserve">11/02/1802 </t>
        </r>
        <r>
          <rPr>
            <i/>
            <sz val="14"/>
            <color rgb="FF000000"/>
            <rFont val="Times New Roman"/>
            <family val="18"/>
          </rPr>
          <t xml:space="preserve">Auf Unbestimmte Zeit ins Galizien Beurlaubt </t>
        </r>
        <r>
          <rPr>
            <sz val="14"/>
            <color rgb="FF000000"/>
            <rFont val="Times New Roman"/>
            <family val="18"/>
          </rPr>
          <t>[ST Feb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zu Folge hoher General Commando Verordnung ddo Padua 10 Februar 802 mit Abschied entlassen und ist für selbe, der in der Monat Tabella pro Februario 1802 bei Lieb Companie in Zuwachs genommenen Recrout Matheo Bachich gestellt, wie auch das einfache Monturs-Geld zu 26Fl 11Xr an die Paduaner Kriegscassa abgefühlt worden</t>
        </r>
        <r>
          <rPr>
            <sz val="14"/>
            <color rgb="FF000000"/>
            <rFont val="Times New Roman"/>
            <family val="18"/>
          </rPr>
          <t xml:space="preserve"> [ST July 1802]</t>
        </r>
        <r>
          <rPr>
            <sz val="14"/>
            <color rgb="FF000000"/>
            <rFont val="Calibri"/>
            <family val="34"/>
          </rPr>
          <t xml:space="preserve">
</t>
        </r>
      </text>
    </comment>
    <comment ref="BG187" authorId="0" shapeId="0" xr:uid="{AA61EA3A-8E67-304D-91E5-093B25EB3A9C}">
      <text>
        <r>
          <rPr>
            <sz val="14"/>
            <color rgb="FF000000"/>
            <rFont val="Times New Roman"/>
            <family val="18"/>
          </rPr>
          <t>ML 10.624 LB 3 (1798-1801) – DL 1801 Major Komp. Nr. 42 (Cervignano 31/10/1801)</t>
        </r>
        <r>
          <rPr>
            <sz val="14"/>
            <color rgb="FF000000"/>
            <rFont val="Calibri"/>
            <family val="34"/>
          </rPr>
          <t xml:space="preserve">
</t>
        </r>
        <r>
          <rPr>
            <sz val="14"/>
            <color rgb="FF000000"/>
            <rFont val="Times New Roman"/>
            <family val="18"/>
          </rPr>
          <t>ML 10.629 LB 3 (1801-2) – TL LB 3-&gt;IR 44 Nr. 26 (Udine 25/11/1801)</t>
        </r>
        <r>
          <rPr>
            <sz val="14"/>
            <color rgb="FF000000"/>
            <rFont val="Calibri"/>
            <family val="34"/>
          </rPr>
          <t xml:space="preserve">
</t>
        </r>
        <r>
          <rPr>
            <sz val="14"/>
            <color rgb="FF000000"/>
            <rFont val="Times New Roman"/>
            <family val="18"/>
          </rPr>
          <t>ML 3943 IR 44 (1801) – ST November (Venice 15/12/1801)</t>
        </r>
        <r>
          <rPr>
            <sz val="14"/>
            <color rgb="FF000000"/>
            <rFont val="Calibri"/>
            <family val="34"/>
          </rPr>
          <t xml:space="preserve">
</t>
        </r>
        <r>
          <rPr>
            <sz val="14"/>
            <color rgb="FF000000"/>
            <rFont val="Times New Roman"/>
            <family val="18"/>
          </rPr>
          <t>ML 3945 IR 44 (1802) – ST February (Venice 15/03/1802), July (Venice ??/08/1802)</t>
        </r>
        <r>
          <rPr>
            <sz val="14"/>
            <color rgb="FF000000"/>
            <rFont val="Calibri"/>
            <family val="34"/>
          </rPr>
          <t xml:space="preserve">
</t>
        </r>
      </text>
    </comment>
    <comment ref="BH187" authorId="0" shapeId="0" xr:uid="{24970159-24DE-F048-A8DC-FDF8A395E837}">
      <text>
        <r>
          <rPr>
            <sz val="14"/>
            <color rgb="FF000000"/>
            <rFont val="Times New Roman"/>
            <family val="18"/>
          </rPr>
          <t xml:space="preserve">FK O'Donnell (1798)
</t>
        </r>
        <r>
          <rPr>
            <sz val="14"/>
            <color rgb="FF000000"/>
            <rFont val="Times New Roman"/>
            <family val="18"/>
          </rPr>
          <t xml:space="preserve">LB 3 (1801)
</t>
        </r>
        <r>
          <rPr>
            <sz val="14"/>
            <color rgb="FF000000"/>
            <rFont val="Times New Roman"/>
            <family val="18"/>
          </rPr>
          <t>IR 44 (1801-1802)</t>
        </r>
      </text>
    </comment>
    <comment ref="BI187" authorId="0" shapeId="0" xr:uid="{551437C2-C94F-2644-AE35-EDE8103FD598}">
      <text>
        <r>
          <rPr>
            <sz val="14"/>
            <color rgb="FF000000"/>
            <rFont val="Calibri"/>
            <family val="34"/>
          </rPr>
          <t>Gut (TL Nov 1801)</t>
        </r>
      </text>
    </comment>
    <comment ref="I188" authorId="0" shapeId="0" xr:uid="{5CBBE8BE-C449-A94C-8199-AF19EA525832}">
      <text>
        <r>
          <rPr>
            <sz val="14"/>
            <color rgb="FF000000"/>
            <rFont val="Times New Roman"/>
            <family val="18"/>
          </rPr>
          <t xml:space="preserve">31 (1799)
</t>
        </r>
        <r>
          <rPr>
            <sz val="14"/>
            <color rgb="FF000000"/>
            <rFont val="Times New Roman"/>
            <family val="18"/>
          </rPr>
          <t xml:space="preserve">31 (1801) </t>
        </r>
      </text>
    </comment>
    <comment ref="BF188" authorId="0" shapeId="0" xr:uid="{9CF943EF-9F92-2341-88B4-33B1409A84AB}">
      <text>
        <r>
          <rPr>
            <sz val="14"/>
            <color rgb="FF000000"/>
            <rFont val="+mn-lt"/>
            <charset val="1"/>
          </rPr>
          <t xml:space="preserve">Dient 3 Jahr [TL 1801]
</t>
        </r>
        <r>
          <rPr>
            <sz val="14"/>
            <color rgb="FF000000"/>
            <rFont val="+mn-lt"/>
            <charset val="1"/>
          </rPr>
          <t xml:space="preserve">30/04/1801 von Vacant Belgiojosischen Infanterie Regiment No 44 Provinat Fuhrwesen zum k.k. Italienischem Militair Fuhrwesens Reserve Depot transferiert [TL 1801 &amp; ST May 1801]
</t>
        </r>
      </text>
    </comment>
    <comment ref="BG188" authorId="0" shapeId="0" xr:uid="{359D6665-47BB-AE4A-B1F4-5160E023B321}">
      <text>
        <r>
          <rPr>
            <sz val="14"/>
            <color rgb="FF000000"/>
            <rFont val="Times New Roman"/>
            <family val="18"/>
          </rPr>
          <t>ML 5102-4 IR 60 (1802) – Proviant Fuhrwesen Zuwachs &amp; Abgang (Tamesvar 15/09/1802)</t>
        </r>
        <r>
          <rPr>
            <sz val="14"/>
            <color rgb="FF000000"/>
            <rFont val="Calibri"/>
            <family val="34"/>
          </rPr>
          <t xml:space="preserve">
</t>
        </r>
        <r>
          <rPr>
            <sz val="14"/>
            <color rgb="FF000000"/>
            <rFont val="Times New Roman"/>
            <family val="18"/>
          </rPr>
          <t>ML 5221 IR 60 (1799) AL/TL – TL MFWK-&gt;IR 60 Nr. 1 (Bregenz 28/04/1799)</t>
        </r>
        <r>
          <rPr>
            <sz val="14"/>
            <color rgb="FF000000"/>
            <rFont val="Calibri"/>
            <family val="34"/>
          </rPr>
          <t xml:space="preserve">
</t>
        </r>
        <r>
          <rPr>
            <sz val="14"/>
            <color rgb="FF000000"/>
            <rFont val="Times New Roman"/>
            <family val="18"/>
          </rPr>
          <t>ML 5125 IR 60 (1801) AL/TL – TL IR 60-&gt;MFWK Nr. 1 (Temesvar 31/05/1803)</t>
        </r>
      </text>
    </comment>
    <comment ref="BH188" authorId="0" shapeId="0" xr:uid="{5BC8EABC-7A03-384D-BCE8-19B174851712}">
      <text>
        <r>
          <rPr>
            <sz val="14"/>
            <color rgb="FF000000"/>
            <rFont val="Calibri"/>
            <family val="34"/>
          </rPr>
          <t>MFWK (1798-1801)</t>
        </r>
      </text>
    </comment>
    <comment ref="BF189" authorId="0" shapeId="0" xr:uid="{A654754B-393F-8148-82B7-4274F163C95C}">
      <text>
        <r>
          <rPr>
            <sz val="14"/>
            <color rgb="FF000000"/>
            <rFont val="Times New Roman"/>
            <family val="18"/>
          </rPr>
          <t xml:space="preserve">18/03/1798 </t>
        </r>
        <r>
          <rPr>
            <i/>
            <sz val="14"/>
            <color rgb="FF000000"/>
            <rFont val="Times New Roman"/>
            <family val="18"/>
          </rPr>
          <t>Dient seit mit 6. Jahriger Capitulation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De Vaux Inf</t>
        </r>
        <r>
          <rPr>
            <sz val="14"/>
            <color rgb="FF000000"/>
            <rFont val="Times New Roman"/>
            <family val="18"/>
          </rPr>
          <t xml:space="preserve"> </t>
        </r>
        <r>
          <rPr>
            <b/>
            <sz val="14"/>
            <color rgb="FF000000"/>
            <rFont val="Times New Roman"/>
            <family val="18"/>
          </rPr>
          <t>[IR 45]</t>
        </r>
        <r>
          <rPr>
            <sz val="14"/>
            <color rgb="FF000000"/>
            <rFont val="Times New Roman"/>
            <family val="18"/>
          </rPr>
          <t xml:space="preserve"> </t>
        </r>
        <r>
          <rPr>
            <i/>
            <sz val="14"/>
            <color rgb="FF000000"/>
            <rFont val="Times New Roman"/>
            <family val="18"/>
          </rPr>
          <t>zum IR 44 transferiert und zur 4. Fus. Komp. eingeteilt</t>
        </r>
        <r>
          <rPr>
            <sz val="14"/>
            <color rgb="FF000000"/>
            <rFont val="Times New Roman"/>
            <family val="18"/>
          </rPr>
          <t xml:space="preserve"> [ML 1811] </t>
        </r>
        <r>
          <rPr>
            <sz val="14"/>
            <color rgb="FF000000"/>
            <rFont val="Calibri"/>
            <family val="34"/>
          </rPr>
          <t xml:space="preserve">
</t>
        </r>
        <r>
          <rPr>
            <sz val="14"/>
            <color rgb="FF000000"/>
            <rFont val="Times New Roman"/>
            <family val="18"/>
          </rPr>
          <t>25/09/1810 Revision: IR 44 4. Fus. Komp. Nr. 184</t>
        </r>
        <r>
          <rPr>
            <sz val="14"/>
            <color rgb="FF000000"/>
            <rFont val="Calibri"/>
            <family val="34"/>
          </rPr>
          <t xml:space="preserve">
</t>
        </r>
        <r>
          <rPr>
            <sz val="14"/>
            <color rgb="FF000000"/>
            <rFont val="Times New Roman"/>
            <family val="18"/>
          </rPr>
          <t>18/09/1811 Muster: IR 44 4. Fus. Komp. Nr. 117</t>
        </r>
        <r>
          <rPr>
            <sz val="14"/>
            <color rgb="FF000000"/>
            <rFont val="Calibri"/>
            <family val="34"/>
          </rPr>
          <t xml:space="preserve">
</t>
        </r>
        <r>
          <rPr>
            <sz val="14"/>
            <color rgb="FF000000"/>
            <rFont val="Times New Roman"/>
            <family val="18"/>
          </rPr>
          <t xml:space="preserve">05/02/1812 </t>
        </r>
        <r>
          <rPr>
            <i/>
            <sz val="14"/>
            <color rgb="FF000000"/>
            <rFont val="Times New Roman"/>
            <family val="18"/>
          </rPr>
          <t xml:space="preserve">Gegen Stellung zwey Andere und Erlaag doppolte Montur Geld mit Abschied entlassen </t>
        </r>
        <r>
          <rPr>
            <sz val="14"/>
            <color rgb="FF000000"/>
            <rFont val="Times New Roman"/>
            <family val="18"/>
          </rPr>
          <t>[RL 1812]</t>
        </r>
        <r>
          <rPr>
            <sz val="14"/>
            <color rgb="FF000000"/>
            <rFont val="Calibri"/>
            <family val="34"/>
          </rPr>
          <t xml:space="preserve">
</t>
        </r>
      </text>
    </comment>
    <comment ref="BG189" authorId="0" shapeId="0" xr:uid="{08B64319-E280-2B44-8431-39060A2C1585}">
      <text>
        <r>
          <rPr>
            <sz val="14"/>
            <color rgb="FF000000"/>
            <rFont val="Times New Roman"/>
            <family val="18"/>
          </rPr>
          <t>ML 3911 IR 44 (1808-10) – RL 4. Fus. Komp. Nr. 15 (Sthulweissenburg 25/09/1810)</t>
        </r>
        <r>
          <rPr>
            <sz val="14"/>
            <color rgb="FF000000"/>
            <rFont val="Calibri"/>
            <family val="34"/>
          </rPr>
          <t xml:space="preserve">
</t>
        </r>
        <r>
          <rPr>
            <sz val="14"/>
            <color rgb="FF000000"/>
            <rFont val="Times New Roman"/>
            <family val="18"/>
          </rPr>
          <t>ML 3912-3 IR 44 (1811) – 4. Fus. Komp. Nr. 117 (Pappa 18/09/1811)</t>
        </r>
        <r>
          <rPr>
            <sz val="14"/>
            <color rgb="FF000000"/>
            <rFont val="Calibri"/>
            <family val="34"/>
          </rPr>
          <t xml:space="preserve">
</t>
        </r>
        <r>
          <rPr>
            <sz val="14"/>
            <color rgb="FF000000"/>
            <rFont val="Times New Roman"/>
            <family val="18"/>
          </rPr>
          <t>ML 3914 IR 44 (1812/6) – 3. Fus. Komp. Abgang (Pest 19/09/1812)</t>
        </r>
        <r>
          <rPr>
            <sz val="14"/>
            <color rgb="FF000000"/>
            <rFont val="Calibri"/>
            <family val="34"/>
          </rPr>
          <t xml:space="preserve">
</t>
        </r>
      </text>
    </comment>
    <comment ref="BH189" authorId="0" shapeId="0" xr:uid="{9122CFCA-C965-7849-801C-0280701C7096}">
      <text>
        <r>
          <rPr>
            <sz val="14"/>
            <color rgb="FF000000"/>
            <rFont val="Calibri"/>
            <family val="34"/>
          </rPr>
          <t xml:space="preserve">IR 45 (1798-1810)
</t>
        </r>
        <r>
          <rPr>
            <sz val="14"/>
            <color rgb="FF000000"/>
            <rFont val="Calibri"/>
            <family val="34"/>
          </rPr>
          <t>IR 44 (1810-1812)</t>
        </r>
      </text>
    </comment>
    <comment ref="BF190" authorId="0" shapeId="0" xr:uid="{E66DDD1A-029F-A644-AD5A-84D2C558BE81}">
      <text>
        <r>
          <rPr>
            <sz val="14"/>
            <color rgb="FF000000"/>
            <rFont val="+mn-lt"/>
            <charset val="1"/>
          </rPr>
          <t xml:space="preserve">Dient 3 Jahr [TL 1801]
</t>
        </r>
        <r>
          <rPr>
            <sz val="14"/>
            <color rgb="FF000000"/>
            <rFont val="+mn-lt"/>
            <charset val="1"/>
          </rPr>
          <t xml:space="preserve">30/04/1801 von Vacant Belgiojosischen Infanterie Regiment No 44 Provinat Fuhrwesen zum k.k. Italienischem Militair Fuhrwesens Reserve Depot transferiert [TL 1801 &amp; ST May 1801]
</t>
        </r>
      </text>
    </comment>
    <comment ref="BG190" authorId="0" shapeId="0" xr:uid="{8954BEEC-8A38-2A4C-A515-6E48CC497356}">
      <text>
        <r>
          <rPr>
            <sz val="14"/>
            <color rgb="FF000000"/>
            <rFont val="Calibri"/>
            <family val="34"/>
          </rPr>
          <t xml:space="preserve">ML 3943 IR 44 (1801) ST May Proviant Fuhrwesen - Abgang (St Gotthard 30/10/1803)
</t>
        </r>
        <r>
          <rPr>
            <sz val="14"/>
            <color rgb="FF000000"/>
            <rFont val="Calibri"/>
            <family val="34"/>
          </rPr>
          <t>ML 3943 IR 44 (1801) AL/TL TL IR 43-&gt;MFWK Nr. 3 (St Gotthard 30/04/1801)</t>
        </r>
      </text>
    </comment>
    <comment ref="BH190" authorId="0" shapeId="0" xr:uid="{64324262-20C7-544C-88A5-01FF2FAF9F84}">
      <text>
        <r>
          <rPr>
            <sz val="14"/>
            <color rgb="FF000000"/>
            <rFont val="Calibri"/>
            <family val="34"/>
          </rPr>
          <t>MFWK (1798-1801)</t>
        </r>
      </text>
    </comment>
    <comment ref="BF191" authorId="0" shapeId="0" xr:uid="{84CC29E3-530F-0E41-B7EF-AA83F6E21ED0}">
      <text>
        <r>
          <rPr>
            <sz val="14"/>
            <color rgb="FF000000"/>
            <rFont val="Times New Roman"/>
            <family val="18"/>
          </rPr>
          <t xml:space="preserve">Jan. 1798 </t>
        </r>
        <r>
          <rPr>
            <i/>
            <sz val="14"/>
            <color rgb="FF000000"/>
            <rFont val="Times New Roman"/>
            <family val="18"/>
          </rPr>
          <t>A 3Fl Handgeld landständisch assentiert worden</t>
        </r>
        <r>
          <rPr>
            <sz val="14"/>
            <color rgb="FF000000"/>
            <rFont val="Times New Roman"/>
            <family val="18"/>
          </rPr>
          <t xml:space="preserve"> [TL April 1799]</t>
        </r>
        <r>
          <rPr>
            <sz val="14"/>
            <color rgb="FF000000"/>
            <rFont val="Calibri"/>
            <family val="34"/>
          </rPr>
          <t xml:space="preserve">
</t>
        </r>
        <r>
          <rPr>
            <sz val="14"/>
            <color rgb="FF000000"/>
            <rFont val="Times New Roman"/>
            <family val="18"/>
          </rPr>
          <t xml:space="preserve">28/04/1799 </t>
        </r>
        <r>
          <rPr>
            <i/>
            <sz val="14"/>
            <color rgb="FF000000"/>
            <rFont val="Times New Roman"/>
            <family val="18"/>
          </rPr>
          <t>von K.K. Militar Fuhrwesens Corps Reserve Division zur ungarische Inf. Regt. Nr. 60. 2 Feld Bataillons eingeteilt</t>
        </r>
        <r>
          <rPr>
            <sz val="14"/>
            <color rgb="FF000000"/>
            <rFont val="Times New Roman"/>
            <family val="18"/>
          </rPr>
          <t xml:space="preserve"> [TL April 1799]</t>
        </r>
        <r>
          <rPr>
            <sz val="14"/>
            <color rgb="FF000000"/>
            <rFont val="Calibri"/>
            <family val="34"/>
          </rPr>
          <t xml:space="preserve">
</t>
        </r>
        <r>
          <rPr>
            <sz val="14"/>
            <color rgb="FF000000"/>
            <rFont val="Times New Roman"/>
            <family val="18"/>
          </rPr>
          <t xml:space="preserve">20/02/1801 </t>
        </r>
        <r>
          <rPr>
            <i/>
            <sz val="14"/>
            <color rgb="FF000000"/>
            <rFont val="Times New Roman"/>
            <family val="18"/>
          </rPr>
          <t>Von IR 60 Proviant Fuhrwesen zum MFWK 91. Pro Cento Division transferiert</t>
        </r>
        <r>
          <rPr>
            <sz val="14"/>
            <color rgb="FF000000"/>
            <rFont val="Times New Roman"/>
            <family val="18"/>
          </rPr>
          <t xml:space="preserve"> [TL May 1803]</t>
        </r>
        <r>
          <rPr>
            <sz val="14"/>
            <color rgb="FF000000"/>
            <rFont val="Calibri"/>
            <family val="34"/>
          </rPr>
          <t xml:space="preserve">
</t>
        </r>
      </text>
    </comment>
    <comment ref="BG191" authorId="0" shapeId="0" xr:uid="{B666AE2D-8CD5-DC40-8C5D-04F8B2275BC2}">
      <text>
        <r>
          <rPr>
            <sz val="14"/>
            <color rgb="FF000000"/>
            <rFont val="Calibri"/>
            <family val="34"/>
          </rPr>
          <t xml:space="preserve">ML 3943 IR 44 (1801) ST May Proviant Fuhrwesen - Abgang (St Gotthard 30/10/1803)
</t>
        </r>
        <r>
          <rPr>
            <sz val="14"/>
            <color rgb="FF000000"/>
            <rFont val="Calibri"/>
            <family val="34"/>
          </rPr>
          <t>ML 3943 IR 44 (1801) AL/TL TL IR 43-&gt;MFWK Nr. 3 (St Gotthard 30/04/1801)</t>
        </r>
      </text>
    </comment>
    <comment ref="BH191" authorId="0" shapeId="0" xr:uid="{B7A74AF6-3222-844F-8783-39DAD0A9B576}">
      <text>
        <r>
          <rPr>
            <sz val="14"/>
            <color rgb="FF000000"/>
            <rFont val="Calibri"/>
            <family val="34"/>
          </rPr>
          <t>MFWK (1798-1801)</t>
        </r>
      </text>
    </comment>
    <comment ref="BF192" authorId="0" shapeId="0" xr:uid="{E7522E84-8B20-DD44-9CF0-80C4D20398AB}">
      <text>
        <r>
          <rPr>
            <sz val="14"/>
            <color rgb="FF000000"/>
            <rFont val="Times New Roman"/>
            <family val="18"/>
          </rPr>
          <t xml:space="preserve">04/05/1798 </t>
        </r>
        <r>
          <rPr>
            <i/>
            <sz val="14"/>
            <color rgb="FF000000"/>
            <rFont val="Times New Roman"/>
            <family val="18"/>
          </rPr>
          <t>Zu Konsky a 3Fl Handgeld als ländstandischer Recrout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01/04/1802 </t>
        </r>
        <r>
          <rPr>
            <i/>
            <sz val="14"/>
            <color rgb="FF000000"/>
            <rFont val="Times New Roman"/>
            <family val="18"/>
          </rPr>
          <t xml:space="preserve">Beurlaubt in seinem Geburtsort </t>
        </r>
        <r>
          <rPr>
            <sz val="14"/>
            <color rgb="FF000000"/>
            <rFont val="Times New Roman"/>
            <family val="18"/>
          </rPr>
          <t xml:space="preserve">[ML 1806] </t>
        </r>
        <r>
          <rPr>
            <sz val="14"/>
            <color rgb="FF000000"/>
            <rFont val="Calibri"/>
            <family val="34"/>
          </rPr>
          <t xml:space="preserve">
</t>
        </r>
        <r>
          <rPr>
            <sz val="14"/>
            <color rgb="FF000000"/>
            <rFont val="Times New Roman"/>
            <family val="18"/>
          </rPr>
          <t>30/08/1803 Muster: IR 59 Haupt. Revelard Komp. Nr. 104 [</t>
        </r>
        <r>
          <rPr>
            <i/>
            <sz val="14"/>
            <color rgb="FF000000"/>
            <rFont val="Times New Roman"/>
            <family val="18"/>
          </rPr>
          <t>Unbestimmt beurlaubt in seinem geburtsort Opotzna</t>
        </r>
        <r>
          <rPr>
            <sz val="14"/>
            <color rgb="FF000000"/>
            <rFont val="Times New Roman"/>
            <family val="18"/>
          </rPr>
          <t>]</t>
        </r>
        <r>
          <rPr>
            <sz val="14"/>
            <color rgb="FF000000"/>
            <rFont val="Calibri"/>
            <family val="34"/>
          </rPr>
          <t xml:space="preserve">
</t>
        </r>
        <r>
          <rPr>
            <sz val="14"/>
            <color rgb="FF000000"/>
            <rFont val="Times New Roman"/>
            <family val="18"/>
          </rPr>
          <t>05/09/1804 Muster: IR 59 Haupt. Revelard Komp. Nr. 99 [</t>
        </r>
        <r>
          <rPr>
            <i/>
            <sz val="14"/>
            <color rgb="FF000000"/>
            <rFont val="Times New Roman"/>
            <family val="18"/>
          </rPr>
          <t>Beurlaubt in Ort und Herrschaft Stadt Opotzna, West Gallizein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192" authorId="0" shapeId="0" xr:uid="{1E3271C7-56CF-F94B-9665-E135835AFD01}">
      <text>
        <r>
          <rPr>
            <sz val="14"/>
            <color rgb="FF000000"/>
            <rFont val="Times New Roman"/>
            <family val="18"/>
          </rPr>
          <t>ML 5015 IR 59 (1803) – Haupt Revelard Nr. 104 (Wells 30/08/1803)</t>
        </r>
        <r>
          <rPr>
            <sz val="14"/>
            <color rgb="FF000000"/>
            <rFont val="Calibri"/>
            <family val="34"/>
          </rPr>
          <t xml:space="preserve">
</t>
        </r>
        <r>
          <rPr>
            <sz val="14"/>
            <color rgb="FF000000"/>
            <rFont val="Times New Roman"/>
            <family val="18"/>
          </rPr>
          <t>ML 5016 IR 59 (1804) –Haupt. Revelard Komp Nr. 99 (Mils bei Hall 05/09/1804)</t>
        </r>
        <r>
          <rPr>
            <sz val="14"/>
            <color rgb="FF000000"/>
            <rFont val="Calibri"/>
            <family val="34"/>
          </rPr>
          <t xml:space="preserve">
</t>
        </r>
        <r>
          <rPr>
            <sz val="14"/>
            <color rgb="FF000000"/>
            <rFont val="Times New Roman"/>
            <family val="18"/>
          </rPr>
          <t>ML 5017/8 IR 59 (1806) – Cons. ‚Unwissend verlohren‘ Nr. 171 (Linz 10/07/1807)</t>
        </r>
        <r>
          <rPr>
            <sz val="14"/>
            <color rgb="FF000000"/>
            <rFont val="Calibri"/>
            <family val="34"/>
          </rPr>
          <t xml:space="preserve">
</t>
        </r>
      </text>
    </comment>
    <comment ref="BH192" authorId="0" shapeId="0" xr:uid="{0FD2B1F5-1A4D-7344-8D00-FA2DCB6B06E6}">
      <text>
        <r>
          <rPr>
            <sz val="14"/>
            <color rgb="FF000000"/>
            <rFont val="Calibri"/>
            <family val="34"/>
          </rPr>
          <t>IR 59 (1798-1806)</t>
        </r>
      </text>
    </comment>
    <comment ref="BF193" authorId="0" shapeId="0" xr:uid="{60A5A342-68E4-A54E-81A5-01E0B9BC6C0E}">
      <text>
        <r>
          <rPr>
            <sz val="14"/>
            <color rgb="FF000000"/>
            <rFont val="Times New Roman"/>
            <family val="18"/>
          </rPr>
          <t xml:space="preserve">c. 07/1798 </t>
        </r>
        <r>
          <rPr>
            <i/>
            <sz val="14"/>
            <color rgb="FF000000"/>
            <rFont val="Times New Roman"/>
            <family val="18"/>
          </rPr>
          <t>dient 1 Jahr</t>
        </r>
        <r>
          <rPr>
            <sz val="14"/>
            <color rgb="FF000000"/>
            <rFont val="Times New Roman"/>
            <family val="18"/>
          </rPr>
          <t xml:space="preserve"> [TL July 1799]</t>
        </r>
        <r>
          <rPr>
            <sz val="14"/>
            <color rgb="FF000000"/>
            <rFont val="Calibri"/>
            <family val="34"/>
          </rPr>
          <t xml:space="preserve">
</t>
        </r>
        <r>
          <rPr>
            <sz val="14"/>
            <color rgb="FF000000"/>
            <rFont val="Times New Roman"/>
            <family val="18"/>
          </rPr>
          <t xml:space="preserve">26/07/1799 </t>
        </r>
        <r>
          <rPr>
            <i/>
            <sz val="14"/>
            <color rgb="FF000000"/>
            <rFont val="Times New Roman"/>
            <family val="18"/>
          </rPr>
          <t>Von dem Fuhrwesens Reserve Italischen Armee Feld Depot zum IR 43 Artillerie Bespannung transferiert</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IR 43 regiment Artillerie Bespannung zum Italienischen Fuhrwesen Reserve transferiert</t>
        </r>
        <r>
          <rPr>
            <sz val="14"/>
            <color rgb="FF000000"/>
            <rFont val="Times New Roman"/>
            <family val="18"/>
          </rPr>
          <t xml:space="preserve"> [ST Aug 1799]</t>
        </r>
        <r>
          <rPr>
            <sz val="14"/>
            <color rgb="FF000000"/>
            <rFont val="Calibri"/>
            <family val="34"/>
          </rPr>
          <t xml:space="preserve">
</t>
        </r>
      </text>
    </comment>
    <comment ref="BG193" authorId="0" shapeId="0" xr:uid="{9E5AAD43-8DA0-4E4A-B8E5-1DE4EA367BE6}">
      <text>
        <r>
          <rPr>
            <sz val="14"/>
            <color rgb="FF000000"/>
            <rFont val="Times New Roman"/>
            <family val="18"/>
          </rPr>
          <t xml:space="preserve">c. 07/1798 </t>
        </r>
        <r>
          <rPr>
            <i/>
            <sz val="14"/>
            <color rgb="FF000000"/>
            <rFont val="Times New Roman"/>
            <family val="18"/>
          </rPr>
          <t>dient 1 Jahr</t>
        </r>
        <r>
          <rPr>
            <sz val="14"/>
            <color rgb="FF000000"/>
            <rFont val="Times New Roman"/>
            <family val="18"/>
          </rPr>
          <t xml:space="preserve"> [TL July 1799]</t>
        </r>
        <r>
          <rPr>
            <sz val="14"/>
            <color rgb="FF000000"/>
            <rFont val="Calibri"/>
            <family val="34"/>
          </rPr>
          <t xml:space="preserve">
</t>
        </r>
        <r>
          <rPr>
            <sz val="14"/>
            <color rgb="FF000000"/>
            <rFont val="Times New Roman"/>
            <family val="18"/>
          </rPr>
          <t xml:space="preserve">26/07/1799 </t>
        </r>
        <r>
          <rPr>
            <i/>
            <sz val="14"/>
            <color rgb="FF000000"/>
            <rFont val="Times New Roman"/>
            <family val="18"/>
          </rPr>
          <t>Von dem Fuhrwesens Reserve Italischen Armee Feld Depot zum IR 43 Artillerie Bespannung transferiert</t>
        </r>
        <r>
          <rPr>
            <sz val="14"/>
            <color rgb="FF000000"/>
            <rFont val="Times New Roman"/>
            <family val="18"/>
          </rPr>
          <t xml:space="preserve"> [ST July 1799]</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IR 43 regiment Artillerie Bespannung zum Italienischen Fuhrwesen Reserve transferiert</t>
        </r>
        <r>
          <rPr>
            <sz val="14"/>
            <color rgb="FF000000"/>
            <rFont val="Times New Roman"/>
            <family val="18"/>
          </rPr>
          <t xml:space="preserve"> [ST Aug 1799]</t>
        </r>
        <r>
          <rPr>
            <sz val="14"/>
            <color rgb="FF000000"/>
            <rFont val="Calibri"/>
            <family val="34"/>
          </rPr>
          <t xml:space="preserve">
</t>
        </r>
      </text>
    </comment>
    <comment ref="BH193" authorId="0" shapeId="0" xr:uid="{290531FD-A8EF-C947-88B8-4554A0458810}">
      <text>
        <r>
          <rPr>
            <sz val="14"/>
            <color rgb="FF000000"/>
            <rFont val="Calibri"/>
            <family val="34"/>
          </rPr>
          <t>MFWK (1798-1799))</t>
        </r>
      </text>
    </comment>
    <comment ref="B194" authorId="0" shapeId="0" xr:uid="{AC459D9C-DDA2-444C-B20A-59330BBB35C8}">
      <text>
        <r>
          <rPr>
            <sz val="14"/>
            <color rgb="FF000000"/>
            <rFont val="Calibri"/>
            <family val="34"/>
          </rPr>
          <t xml:space="preserve">LEBOWIZ/ LEBOVIZ/ LEBOWITSCH/ LEWOWITZ/ LUBISO/ LEVOVITH; Nosen/Nathan/ Natan/ Natal/ Mathias/ Jakob/ Anton/ Andre </t>
        </r>
      </text>
    </comment>
    <comment ref="BF194" authorId="0" shapeId="0" xr:uid="{0D924B2D-C887-504E-9C83-1BDEB122A22E}">
      <text>
        <r>
          <rPr>
            <sz val="14"/>
            <color rgb="FF000000"/>
            <rFont val="+mn-lt"/>
            <charset val="1"/>
          </rPr>
          <t xml:space="preserve">07/08/1798 in Galizien a 15fl mit Sechs Jähriger Capitulation assentiert und zum Haupt Höffern Comp zugeteilt, Seitdem auf anhero Marsch mit Friedensgebühr [ST Nov 1798 &amp; ML Jan 1799 &amp; ML 1802]
</t>
        </r>
        <r>
          <rPr>
            <sz val="14"/>
            <color rgb="FF000000"/>
            <rFont val="+mn-lt"/>
            <charset val="1"/>
          </rPr>
          <t xml:space="preserve">26/01/1799 Revision: IR 43 Haupt Höffern Nr. 145] [Aussen Anhero Marsch]
</t>
        </r>
        <r>
          <rPr>
            <sz val="14"/>
            <color rgb="FF000000"/>
            <rFont val="+mn-lt"/>
            <charset val="1"/>
          </rPr>
          <t xml:space="preserve">26/02/1799 Einkunft in Companie und Zuteilung ins Reserve Division in Laibach mit Friedens Gebühr [ST Feb 1799]
</t>
        </r>
        <r>
          <rPr>
            <sz val="14"/>
            <color rgb="FF000000"/>
            <rFont val="+mn-lt"/>
            <charset val="1"/>
          </rPr>
          <t xml:space="preserve">21/04/1799 Auf Anhero Marsch von Reserve Division mit Friedensgebühr [ST April 1799] 
</t>
        </r>
        <r>
          <rPr>
            <sz val="14"/>
            <color rgb="FF000000"/>
            <rFont val="+mn-lt"/>
            <charset val="1"/>
          </rPr>
          <t xml:space="preserve">17/05/1799 In Höffern Comp. eingerückt und dann zum ObristLt Comp Transferiert [ST May 1799]
</t>
        </r>
        <r>
          <rPr>
            <sz val="14"/>
            <color rgb="FF000000"/>
            <rFont val="+mn-lt"/>
            <charset val="1"/>
          </rPr>
          <t xml:space="preserve">15/08/1799 Krank auswärts mit Kriegsgebühr [Verletzt an der Schlacht von Novi?] [ST Aug 1799]
</t>
        </r>
        <r>
          <rPr>
            <sz val="14"/>
            <color rgb="FF000000"/>
            <rFont val="+mn-lt"/>
            <charset val="1"/>
          </rPr>
          <t xml:space="preserve">25/09/1799 Reconvalesciert
</t>
        </r>
        <r>
          <rPr>
            <sz val="14"/>
            <color rgb="FF000000"/>
            <rFont val="+mn-lt"/>
            <charset val="1"/>
          </rPr>
          <t xml:space="preserve">28/05/1800 in Arrest [ST May 1800]
</t>
        </r>
        <r>
          <rPr>
            <sz val="14"/>
            <color rgb="FF000000"/>
            <rFont val="+mn-lt"/>
            <charset val="1"/>
          </rPr>
          <t xml:space="preserve">29/05/1800 Befreit [ST May 1800]
</t>
        </r>
        <r>
          <rPr>
            <sz val="14"/>
            <color rgb="FF000000"/>
            <rFont val="+mn-lt"/>
            <charset val="1"/>
          </rPr>
          <t xml:space="preserve">17/08/1801 Für 20Fl Handgeld auf Beständig reengagiert [ST Aug 1801]
</t>
        </r>
        <r>
          <rPr>
            <sz val="14"/>
            <color rgb="FF000000"/>
            <rFont val="+mn-lt"/>
            <charset val="1"/>
          </rPr>
          <t xml:space="preserve">28/08/1802 Musterung: IR 43 ObristLt Comp Nr. 72
</t>
        </r>
        <r>
          <rPr>
            <sz val="14"/>
            <color rgb="FF000000"/>
            <rFont val="+mn-lt"/>
            <charset val="1"/>
          </rPr>
          <t xml:space="preserve">18/06/1803 In Arrest a 4Xr [ST Juli 1803]
</t>
        </r>
        <r>
          <rPr>
            <sz val="14"/>
            <color rgb="FF000000"/>
            <rFont val="+mn-lt"/>
            <charset val="1"/>
          </rPr>
          <t xml:space="preserve">28/07/1803 Befreit [ST Aug 1803]
</t>
        </r>
        <r>
          <rPr>
            <sz val="14"/>
            <color rgb="FF000000"/>
            <rFont val="+mn-lt"/>
            <charset val="1"/>
          </rPr>
          <t xml:space="preserve">02/11/1803 Musterung: IR 43 ObrestLt Comp. Nr. 63
</t>
        </r>
        <r>
          <rPr>
            <sz val="14"/>
            <color rgb="FF000000"/>
            <rFont val="+mn-lt"/>
            <charset val="1"/>
          </rPr>
          <t xml:space="preserve">13/11/1803 In Arrest a 4xr [ST Dec 1803] 
</t>
        </r>
        <r>
          <rPr>
            <sz val="14"/>
            <color rgb="FF000000"/>
            <rFont val="+mn-lt"/>
            <charset val="1"/>
          </rPr>
          <t xml:space="preserve">31/05/1804 Befreit [ [ST June 1804]
</t>
        </r>
        <r>
          <rPr>
            <sz val="14"/>
            <color rgb="FF000000"/>
            <rFont val="+mn-lt"/>
            <charset val="1"/>
          </rPr>
          <t xml:space="preserve">02/09/1804 In Arrest a 4Xr [ST Sept 1804]
</t>
        </r>
        <r>
          <rPr>
            <sz val="14"/>
            <color rgb="FF000000"/>
            <rFont val="+mn-lt"/>
            <charset val="1"/>
          </rPr>
          <t xml:space="preserve">05/10/1804 Musterung: IR 43 ObristLt Comp. Nr. 61 [als Arrestant zu Cattaro passiert]
</t>
        </r>
        <r>
          <rPr>
            <sz val="14"/>
            <color rgb="FF000000"/>
            <rFont val="+mn-lt"/>
            <charset val="1"/>
          </rPr>
          <t xml:space="preserve">07/01/1805 Befreit [ST Jan 1805]
</t>
        </r>
        <r>
          <rPr>
            <sz val="14"/>
            <color rgb="FF000000"/>
            <rFont val="+mn-lt"/>
            <charset val="1"/>
          </rPr>
          <t xml:space="preserve">31/10/1805 Musterung: 9. Fus Comp Nr. 53 [Krank in Loco Spital]
</t>
        </r>
        <r>
          <rPr>
            <sz val="14"/>
            <color rgb="FF000000"/>
            <rFont val="+mn-lt"/>
            <charset val="1"/>
          </rPr>
          <t xml:space="preserve">11/10/1806 In Arrest a 4Xr [ST Oct 1806] 
</t>
        </r>
        <r>
          <rPr>
            <sz val="14"/>
            <color rgb="FF000000"/>
            <rFont val="+mn-lt"/>
            <charset val="1"/>
          </rPr>
          <t xml:space="preserve">23/11/1806 Befreit [ST Nov 1806] 
</t>
        </r>
        <r>
          <rPr>
            <sz val="14"/>
            <color rgb="FF000000"/>
            <rFont val="+mn-lt"/>
            <charset val="1"/>
          </rPr>
          <t xml:space="preserve">01/12/1806 Musterung: 13. Fus Comp Nr. 71 [Krank in Loco Spital]
</t>
        </r>
        <r>
          <rPr>
            <sz val="14"/>
            <color rgb="FF000000"/>
            <rFont val="+mn-lt"/>
            <charset val="1"/>
          </rPr>
          <t xml:space="preserve">01/01/1807 In Arrest a 4Fl [ST Jan 1807]
</t>
        </r>
        <r>
          <rPr>
            <sz val="14"/>
            <color rgb="FF000000"/>
            <rFont val="+mn-lt"/>
            <charset val="1"/>
          </rPr>
          <t xml:space="preserve">16/01/1807 Befreit und zum 5. Fus Comp Transferiert [ST Jan 1807 &amp; ML 1807]
</t>
        </r>
        <r>
          <rPr>
            <sz val="14"/>
            <color rgb="FF000000"/>
            <rFont val="+mn-lt"/>
            <charset val="1"/>
          </rPr>
          <t xml:space="preserve">21/04/1807 In Arrest a 4Fl [ST April 1807]
</t>
        </r>
        <r>
          <rPr>
            <sz val="14"/>
            <color rgb="FF000000"/>
            <rFont val="+mn-lt"/>
            <charset val="1"/>
          </rPr>
          <t xml:space="preserve">25/06/1807 Vermog Kriegsrechtlichen Sentenz von 12. Juni zu Schatz Arbeit Condemniert Von Arrest übergaben [ST June 1807 &amp; ML 1807]
</t>
        </r>
        <r>
          <rPr>
            <sz val="14"/>
            <color rgb="FF000000"/>
            <rFont val="+mn-lt"/>
            <charset val="1"/>
          </rPr>
          <t xml:space="preserve">26/06/1807 als auf Schatz Arbeit condemniert unrecht in Abgang gebracht da vermog Hofkriegsratlichen Rescript det. Wien am 27. Juni 807 Nr. 2531 dessen Sentenz in Weg der Gabe abgeändert wurde kommet dannach von 26. Juni wieder in stand und Gebühr [ML 1807]
</t>
        </r>
        <r>
          <rPr>
            <sz val="14"/>
            <color rgb="FF000000"/>
            <rFont val="+mn-lt"/>
            <charset val="1"/>
          </rPr>
          <t xml:space="preserve">15/07/1807 zu 9. Fus Comp transferiert [ST Juli ML 1807]
</t>
        </r>
        <r>
          <rPr>
            <sz val="14"/>
            <color rgb="FF000000"/>
            <rFont val="+mn-lt"/>
            <charset val="1"/>
          </rPr>
          <t xml:space="preserve">15/08/1807 von 5. zu 9. Fusilier comp Transferiert [ST Sept ML 1807]
</t>
        </r>
        <r>
          <rPr>
            <sz val="14"/>
            <color rgb="FF000000"/>
            <rFont val="+mn-lt"/>
            <charset val="1"/>
          </rPr>
          <t xml:space="preserve">18/04/1808 In Arrest a 4xr [ST April 1808] 
</t>
        </r>
        <r>
          <rPr>
            <sz val="14"/>
            <color rgb="FF000000"/>
            <rFont val="+mn-lt"/>
            <charset val="1"/>
          </rPr>
          <t xml:space="preserve">30/04/1808 Befreit [ST May 1808] 
</t>
        </r>
        <r>
          <rPr>
            <sz val="14"/>
            <color rgb="FF000000"/>
            <rFont val="+mn-lt"/>
            <charset val="1"/>
          </rPr>
          <t xml:space="preserve">11/08/1808 In Arrest a 4xr [ST Aug 1808] 
</t>
        </r>
        <r>
          <rPr>
            <sz val="14"/>
            <color rgb="FF000000"/>
            <rFont val="+mn-lt"/>
            <charset val="1"/>
          </rPr>
          <t xml:space="preserve">22/08/1808 Befreit [ST Aug 1808]
</t>
        </r>
        <r>
          <rPr>
            <sz val="14"/>
            <color rgb="FF000000"/>
            <rFont val="+mn-lt"/>
            <charset val="1"/>
          </rPr>
          <t xml:space="preserve">06/09/1808 Musterung: IR 43 9. Fus Comp Nr. 148
</t>
        </r>
        <r>
          <rPr>
            <sz val="14"/>
            <color rgb="FF000000"/>
            <rFont val="+mn-lt"/>
            <charset val="1"/>
          </rPr>
          <t xml:space="preserve">21/04/1809 Krank auswärts [ST April 1809] [Verletzt?]
</t>
        </r>
        <r>
          <rPr>
            <sz val="14"/>
            <color rgb="FF000000"/>
            <rFont val="+mn-lt"/>
            <charset val="1"/>
          </rPr>
          <t xml:space="preserve">25/02/1810 Dissolvierung: IR 43 9. Fus  Comp Nr. 119: [Krank in Ungarn]
</t>
        </r>
        <r>
          <rPr>
            <sz val="14"/>
            <color rgb="FF000000"/>
            <rFont val="+mn-lt"/>
            <charset val="1"/>
          </rPr>
          <t xml:space="preserve">31/10/1810 als deren Existenz über 1 Jahr unbekannt als unwissend verloren
</t>
        </r>
      </text>
    </comment>
    <comment ref="BG194" authorId="0" shapeId="0" xr:uid="{614B95C4-FE3C-0B40-A895-C2CBB1BAE776}">
      <text>
        <r>
          <rPr>
            <sz val="14"/>
            <color rgb="FF000000"/>
            <rFont val="Calibri"/>
            <family val="34"/>
          </rPr>
          <t xml:space="preserve">ML 10.271 IR 43 (1799) – RL Haupt Höffern Nr. 145 und Zuwachs (Cividalle 26/01/1799)
</t>
        </r>
        <r>
          <rPr>
            <sz val="14"/>
            <color rgb="FF000000"/>
            <rFont val="Calibri"/>
            <family val="34"/>
          </rPr>
          <t xml:space="preserve">ML 10.272 IR 43 (1802) – ObristLt Comp Nr. 72 (Cattaro 28/08/1802)
</t>
        </r>
        <r>
          <rPr>
            <sz val="14"/>
            <color rgb="FF000000"/>
            <rFont val="Calibri"/>
            <family val="34"/>
          </rPr>
          <t xml:space="preserve">ML 10.273 IR 43 (1803) – ObristLt Comp Nr. 63 (Cattaro 02/11/1803)
</t>
        </r>
        <r>
          <rPr>
            <sz val="14"/>
            <color rgb="FF000000"/>
            <rFont val="Calibri"/>
            <family val="34"/>
          </rPr>
          <t xml:space="preserve">ML 10.274 IR 43 (1804) – ObristLt Comp Nr. 61 (Theodo 04/10/1804)
</t>
        </r>
        <r>
          <rPr>
            <sz val="14"/>
            <color rgb="FF000000"/>
            <rFont val="Calibri"/>
            <family val="34"/>
          </rPr>
          <t xml:space="preserve">ML 10.275/6 IR 43 (1805) – 9. Fus Comp Nr. 53 (Sebenico 31/10/1805)
</t>
        </r>
        <r>
          <rPr>
            <sz val="14"/>
            <color rgb="FF000000"/>
            <rFont val="Calibri"/>
            <family val="34"/>
          </rPr>
          <t xml:space="preserve">ML 10.277/8 IR 43 (1806) – 13. Fus Comp Nr. 71 (Laibach 01/12/1806)
</t>
        </r>
        <r>
          <rPr>
            <sz val="14"/>
            <color rgb="FF000000"/>
            <rFont val="Calibri"/>
            <family val="34"/>
          </rPr>
          <t xml:space="preserve">ML 10.279 IR 43 (1808-10) – RL 9. Fus Nr. 148 (Laibach 06/09/1808) &amp; DL 9. Fus Comp (Vordenberg 25/10/1810)
</t>
        </r>
        <r>
          <rPr>
            <sz val="14"/>
            <color rgb="FF000000"/>
            <rFont val="Calibri"/>
            <family val="34"/>
          </rPr>
          <t xml:space="preserve">ML 10.307 IR 43 (1799) – ST Feb (29/04/1799), April (18/08/1799), May (22/09/1799), August (06/03/1800), und Sept (21/07/1800)
</t>
        </r>
        <r>
          <rPr>
            <sz val="14"/>
            <color rgb="FF000000"/>
            <rFont val="Calibri"/>
            <family val="34"/>
          </rPr>
          <t xml:space="preserve">ML 10.309 IR 43 (1800) – ST May (??/??/180?)
</t>
        </r>
        <r>
          <rPr>
            <sz val="14"/>
            <color rgb="FF000000"/>
            <rFont val="Calibri"/>
            <family val="34"/>
          </rPr>
          <t xml:space="preserve">ML 10.311 IR 43 (1801) – ST Aug (13/07/1805)
</t>
        </r>
        <r>
          <rPr>
            <sz val="14"/>
            <color rgb="FF000000"/>
            <rFont val="Calibri"/>
            <family val="34"/>
          </rPr>
          <t xml:space="preserve">ML 10.313 IR 43 (1803) – ST July (15/08/1803), August (15/09/1803), und Nov (15/12/1803)
</t>
        </r>
        <r>
          <rPr>
            <sz val="14"/>
            <color rgb="FF000000"/>
            <rFont val="Calibri"/>
            <family val="34"/>
          </rPr>
          <t xml:space="preserve">ML 10.314 IR 43 (1804) – ST June (15/07/1804) and Sept (15/10/1804)
</t>
        </r>
        <r>
          <rPr>
            <sz val="14"/>
            <color rgb="FF000000"/>
            <rFont val="Calibri"/>
            <family val="34"/>
          </rPr>
          <t xml:space="preserve">ML 10.315 IR 43 (1805) – ST Januar (15/02/1805)
</t>
        </r>
        <r>
          <rPr>
            <sz val="14"/>
            <color rgb="FF000000"/>
            <rFont val="Calibri"/>
            <family val="34"/>
          </rPr>
          <t xml:space="preserve">ML 10.317 IR 43 (1806) – ST Oktober (17/11/1806) und November (15/12/1806)
</t>
        </r>
        <r>
          <rPr>
            <sz val="14"/>
            <color rgb="FF000000"/>
            <rFont val="Calibri"/>
            <family val="34"/>
          </rPr>
          <t xml:space="preserve">ML 10.319 IR 43 (1807) – ST Januar (15/02/1807), April (15/05/1807), June (15/07/1807), July (15/08/1807)
</t>
        </r>
        <r>
          <rPr>
            <sz val="14"/>
            <color rgb="FF000000"/>
            <rFont val="Calibri"/>
            <family val="34"/>
          </rPr>
          <t xml:space="preserve">ML 10.321 IR 43 (1808) – ST April (14/05/1808), Mai (11/06/1808)
</t>
        </r>
        <r>
          <rPr>
            <sz val="14"/>
            <color rgb="FF000000"/>
            <rFont val="Calibri"/>
            <family val="34"/>
          </rPr>
          <t xml:space="preserve">ML 10.323 IR 43 (1809) – ST April (11/10/1810) bis Dezember (23/01/1811)
</t>
        </r>
        <r>
          <rPr>
            <sz val="14"/>
            <color rgb="FF000000"/>
            <rFont val="Calibri"/>
            <family val="34"/>
          </rPr>
          <t>ML 10.325 IR 43 (1810) – ST Januar (01/03/1811) bis Oktober (22/03/1811)</t>
        </r>
      </text>
    </comment>
    <comment ref="BH194" authorId="0" shapeId="0" xr:uid="{9CC118C1-2B4C-B04B-9E54-82A9118B0EEF}">
      <text>
        <r>
          <rPr>
            <sz val="14"/>
            <color rgb="FF000000"/>
            <rFont val="Calibri"/>
            <family val="34"/>
          </rPr>
          <t>IR 43 (1798-1810)</t>
        </r>
      </text>
    </comment>
    <comment ref="I195" authorId="0" shapeId="0" xr:uid="{E83AEA94-EE4D-D64E-9469-9913E6A03A60}">
      <text>
        <r>
          <rPr>
            <sz val="14"/>
            <color rgb="FF000000"/>
            <rFont val="Calibri"/>
            <family val="34"/>
          </rPr>
          <t xml:space="preserve">1772 [28 (1800)] 
</t>
        </r>
        <r>
          <rPr>
            <sz val="14"/>
            <color rgb="FF000000"/>
            <rFont val="Calibri"/>
            <family val="34"/>
          </rPr>
          <t xml:space="preserve">OR 
</t>
        </r>
        <r>
          <rPr>
            <sz val="14"/>
            <color rgb="FF000000"/>
            <rFont val="Calibri"/>
            <family val="34"/>
          </rPr>
          <t xml:space="preserve">1770 [32 (1802)]
</t>
        </r>
        <r>
          <rPr>
            <sz val="14"/>
            <color rgb="FF000000"/>
            <rFont val="Calibri"/>
            <family val="34"/>
          </rPr>
          <t xml:space="preserve">OR 
</t>
        </r>
        <r>
          <rPr>
            <sz val="14"/>
            <color rgb="FF000000"/>
            <rFont val="Calibri"/>
            <family val="34"/>
          </rPr>
          <t>1771 [32 (1803)]</t>
        </r>
      </text>
    </comment>
    <comment ref="BF195" authorId="0" shapeId="0" xr:uid="{3D35B998-1075-1E4D-867E-B2CB7A8BE204}">
      <text>
        <r>
          <rPr>
            <sz val="14"/>
            <color rgb="FF000000"/>
            <rFont val="Times New Roman"/>
            <family val="18"/>
          </rPr>
          <t xml:space="preserve">24/09/1798 </t>
        </r>
        <r>
          <rPr>
            <i/>
            <sz val="14"/>
            <color rgb="FF000000"/>
            <rFont val="Times New Roman"/>
            <family val="18"/>
          </rPr>
          <t>Gegen 3Fl Handgeld als Vagabund auf Beständig assentiert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16/03/1800 </t>
        </r>
        <r>
          <rPr>
            <i/>
            <sz val="14"/>
            <color rgb="FF000000"/>
            <rFont val="Times New Roman"/>
            <family val="18"/>
          </rPr>
          <t>Zum Gefreyter avanciert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26/07/1802 </t>
        </r>
        <r>
          <rPr>
            <i/>
            <sz val="14"/>
            <color rgb="FF000000"/>
            <rFont val="Times New Roman"/>
            <family val="18"/>
          </rPr>
          <t>Von Murray Regiment Wautier Komp.</t>
        </r>
        <r>
          <rPr>
            <sz val="14"/>
            <color rgb="FF000000"/>
            <rFont val="Times New Roman"/>
            <family val="18"/>
          </rPr>
          <t xml:space="preserve"> </t>
        </r>
        <r>
          <rPr>
            <b/>
            <sz val="14"/>
            <color rgb="FF000000"/>
            <rFont val="Times New Roman"/>
            <family val="18"/>
          </rPr>
          <t>[IR 55]</t>
        </r>
        <r>
          <rPr>
            <sz val="14"/>
            <color rgb="FF000000"/>
            <rFont val="Times New Roman"/>
            <family val="18"/>
          </rPr>
          <t xml:space="preserve"> </t>
        </r>
        <r>
          <rPr>
            <i/>
            <sz val="14"/>
            <color rgb="FF000000"/>
            <rFont val="Times New Roman"/>
            <family val="18"/>
          </rPr>
          <t>zum IR 44 transferiert und zur Obrist Komp. eingeheilt</t>
        </r>
        <r>
          <rPr>
            <sz val="14"/>
            <color rgb="FF000000"/>
            <rFont val="Times New Roman"/>
            <family val="18"/>
          </rPr>
          <t xml:space="preserve"> [TL July 1802]</t>
        </r>
        <r>
          <rPr>
            <sz val="14"/>
            <color rgb="FF000000"/>
            <rFont val="Calibri"/>
            <family val="34"/>
          </rPr>
          <t xml:space="preserve">
</t>
        </r>
        <r>
          <rPr>
            <sz val="14"/>
            <color rgb="FF000000"/>
            <rFont val="Times New Roman"/>
            <family val="18"/>
          </rPr>
          <t xml:space="preserve">20/06/1803 </t>
        </r>
        <r>
          <rPr>
            <i/>
            <sz val="14"/>
            <color rgb="FF000000"/>
            <rFont val="Times New Roman"/>
            <family val="18"/>
          </rPr>
          <t>Von Obrist zu Haupt Manzoni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19/09/1803 Muster: IR 44 Haupt Manzoni Komp. Nr. 23</t>
        </r>
        <r>
          <rPr>
            <sz val="14"/>
            <color rgb="FF000000"/>
            <rFont val="Calibri"/>
            <family val="34"/>
          </rPr>
          <t xml:space="preserve">
</t>
        </r>
        <r>
          <rPr>
            <sz val="14"/>
            <color rgb="FF000000"/>
            <rFont val="Times New Roman"/>
            <family val="18"/>
          </rPr>
          <t>12/05/1804 Muster: IR 44 Haupt Manzoni Komp. Nr. 20</t>
        </r>
        <r>
          <rPr>
            <sz val="14"/>
            <color rgb="FF000000"/>
            <rFont val="Calibri"/>
            <family val="34"/>
          </rPr>
          <t xml:space="preserve">
</t>
        </r>
        <r>
          <rPr>
            <sz val="14"/>
            <color rgb="FF000000"/>
            <rFont val="Times New Roman"/>
            <family val="18"/>
          </rPr>
          <t xml:space="preserve">20/04/1805 </t>
        </r>
        <r>
          <rPr>
            <i/>
            <sz val="14"/>
            <color rgb="FF000000"/>
            <rFont val="Times New Roman"/>
            <family val="18"/>
          </rPr>
          <t>Gegen Renuncierung alle Militar Beneficien Vermog besondere Verordnung mit Abschied entlassen</t>
        </r>
        <r>
          <rPr>
            <sz val="14"/>
            <color rgb="FF000000"/>
            <rFont val="Times New Roman"/>
            <family val="18"/>
          </rPr>
          <t xml:space="preserve"> [ML 1806]</t>
        </r>
        <r>
          <rPr>
            <sz val="14"/>
            <color rgb="FF000000"/>
            <rFont val="Calibri"/>
            <family val="34"/>
          </rPr>
          <t xml:space="preserve">
</t>
        </r>
      </text>
    </comment>
    <comment ref="BG195" authorId="0" shapeId="0" xr:uid="{639AA3C1-8834-DC4B-97C0-568D45965521}">
      <text>
        <r>
          <rPr>
            <sz val="14"/>
            <color rgb="FF000000"/>
            <rFont val="Times New Roman"/>
            <family val="18"/>
          </rPr>
          <t>ML 3908 IR 44 (1803) – Haupt Manzoni Komp. Nr. 23 (Venice 19/09/1803)</t>
        </r>
        <r>
          <rPr>
            <sz val="14"/>
            <color rgb="FF000000"/>
            <rFont val="Calibri"/>
            <family val="34"/>
          </rPr>
          <t xml:space="preserve">
</t>
        </r>
        <r>
          <rPr>
            <sz val="14"/>
            <color rgb="FF000000"/>
            <rFont val="Times New Roman"/>
            <family val="18"/>
          </rPr>
          <t>ML 3909 IR 44 (1804) – Haupt Manzoni Komp. Nr. 23 (Vicenza 12/05/1805)</t>
        </r>
        <r>
          <rPr>
            <sz val="14"/>
            <color rgb="FF000000"/>
            <rFont val="Calibri"/>
            <family val="34"/>
          </rPr>
          <t xml:space="preserve">
</t>
        </r>
        <r>
          <rPr>
            <sz val="14"/>
            <color rgb="FF000000"/>
            <rFont val="Times New Roman"/>
            <family val="18"/>
          </rPr>
          <t>ML 3910 IR 44 (1806) – CaptLt. Czwich Abgang (Fiume 10/12/1806)</t>
        </r>
        <r>
          <rPr>
            <sz val="14"/>
            <color rgb="FF000000"/>
            <rFont val="Calibri"/>
            <family val="34"/>
          </rPr>
          <t xml:space="preserve">
</t>
        </r>
        <r>
          <rPr>
            <sz val="14"/>
            <color rgb="FF000000"/>
            <rFont val="Times New Roman"/>
            <family val="18"/>
          </rPr>
          <t>ML 3946 IR 44 (1802) – AL IR 55-&gt; IR 44 Nr. 5 (Lublin 24/07/1802)</t>
        </r>
        <r>
          <rPr>
            <sz val="14"/>
            <color rgb="FF000000"/>
            <rFont val="Calibri"/>
            <family val="34"/>
          </rPr>
          <t xml:space="preserve">
</t>
        </r>
      </text>
    </comment>
    <comment ref="BH195" authorId="0" shapeId="0" xr:uid="{26DE27E4-1C6E-3E4B-A463-78EB27632436}">
      <text>
        <r>
          <rPr>
            <sz val="14"/>
            <color rgb="FF000000"/>
            <rFont val="Calibri"/>
            <family val="34"/>
          </rPr>
          <t xml:space="preserve">IR 43 (1798-1802)
</t>
        </r>
        <r>
          <rPr>
            <sz val="14"/>
            <color rgb="FF000000"/>
            <rFont val="Calibri"/>
            <family val="34"/>
          </rPr>
          <t>IR 44 (1802-1805)</t>
        </r>
      </text>
    </comment>
    <comment ref="BI195" authorId="0" shapeId="0" xr:uid="{FE4E366A-7DE4-504D-8457-3CC8A4ED5B3A}">
      <text>
        <r>
          <rPr>
            <sz val="14"/>
            <color rgb="FF000000"/>
            <rFont val="Calibri"/>
            <family val="34"/>
          </rPr>
          <t>Gut (TL July 1802)</t>
        </r>
      </text>
    </comment>
    <comment ref="C196" authorId="0" shapeId="0" xr:uid="{95BEBA0E-421B-6943-A6F9-93B6ADB21EFD}">
      <text>
        <r>
          <rPr>
            <b/>
            <u/>
            <sz val="12"/>
            <color rgb="FF0563C1"/>
            <rFont val="Times New Roman"/>
            <family val="18"/>
          </rPr>
          <t>Janów Lubelski, Poland</t>
        </r>
        <r>
          <rPr>
            <sz val="12"/>
            <color rgb="FF000000"/>
            <rFont val="Times New Roman"/>
            <family val="18"/>
          </rPr>
          <t xml:space="preserve">
</t>
        </r>
        <r>
          <rPr>
            <sz val="12"/>
            <color rgb="FF000000"/>
            <rFont val="Times New Roman"/>
            <family val="18"/>
          </rPr>
          <t xml:space="preserve">OR
</t>
        </r>
        <r>
          <rPr>
            <b/>
            <u/>
            <sz val="12"/>
            <color rgb="FF0563C1"/>
            <rFont val="Times New Roman"/>
            <family val="18"/>
          </rPr>
          <t>Janów Podlaski, Poland</t>
        </r>
        <r>
          <rPr>
            <sz val="12"/>
            <color rgb="FF000000"/>
            <rFont val="Calibri"/>
            <family val="2"/>
            <scheme val="minor"/>
          </rPr>
          <t xml:space="preserve"> </t>
        </r>
        <r>
          <rPr>
            <sz val="12"/>
            <color rgb="FF000000"/>
            <rFont val="Times New Roman"/>
            <family val="18"/>
          </rPr>
          <t xml:space="preserve">
</t>
        </r>
      </text>
    </comment>
    <comment ref="T196" authorId="0" shapeId="0" xr:uid="{5CB2B9AD-07FB-E246-9EAC-612EEBA93049}">
      <text>
        <r>
          <rPr>
            <sz val="14"/>
            <color rgb="FF000000"/>
            <rFont val="Calibri"/>
            <family val="34"/>
          </rPr>
          <t xml:space="preserve">5.3.3  [166.55 cm] (1803/4)
</t>
        </r>
        <r>
          <rPr>
            <sz val="14"/>
            <color rgb="FF000000"/>
            <rFont val="Calibri"/>
            <family val="34"/>
          </rPr>
          <t>5.3.1 [169.18 cm] (1802)</t>
        </r>
      </text>
    </comment>
    <comment ref="BF196" authorId="0" shapeId="0" xr:uid="{224FC74C-D0AB-BF4B-B4E7-13BF5E20E807}">
      <text>
        <r>
          <rPr>
            <sz val="14"/>
            <color rgb="FFFF0000"/>
            <rFont val="Times New Roman"/>
            <family val="18"/>
          </rPr>
          <t xml:space="preserve">20/08/1796 </t>
        </r>
        <r>
          <rPr>
            <i/>
            <sz val="14"/>
            <color rgb="FFFF0000"/>
            <rFont val="Times New Roman"/>
            <family val="18"/>
          </rPr>
          <t>Von Ständen a 3Fl gestellt worden</t>
        </r>
        <r>
          <rPr>
            <sz val="14"/>
            <color rgb="FFFF0000"/>
            <rFont val="Times New Roman"/>
            <family val="18"/>
          </rPr>
          <t xml:space="preserve"> [ML 1802]</t>
        </r>
        <r>
          <rPr>
            <sz val="14"/>
            <color rgb="FF000000"/>
            <rFont val="Calibri"/>
            <family val="34"/>
          </rPr>
          <t xml:space="preserve">
</t>
        </r>
        <r>
          <rPr>
            <sz val="14"/>
            <color rgb="FFFF0000"/>
            <rFont val="Times New Roman"/>
            <family val="18"/>
          </rPr>
          <t xml:space="preserve">20/08/1796 </t>
        </r>
        <r>
          <rPr>
            <i/>
            <sz val="14"/>
            <color rgb="FFFF0000"/>
            <rFont val="Times New Roman"/>
            <family val="18"/>
          </rPr>
          <t>A 3Fl Handgeld assentiert</t>
        </r>
        <r>
          <rPr>
            <sz val="14"/>
            <color rgb="FFFF0000"/>
            <rFont val="Times New Roman"/>
            <family val="18"/>
          </rPr>
          <t xml:space="preserve"> [ML 1803/4]</t>
        </r>
        <r>
          <rPr>
            <sz val="14"/>
            <color rgb="FF000000"/>
            <rFont val="Calibri"/>
            <family val="34"/>
          </rPr>
          <t xml:space="preserve">
</t>
        </r>
        <r>
          <rPr>
            <sz val="14"/>
            <color rgb="FF000000"/>
            <rFont val="Times New Roman"/>
            <family val="18"/>
          </rPr>
          <t xml:space="preserve">24/09/1798 </t>
        </r>
        <r>
          <rPr>
            <i/>
            <sz val="14"/>
            <color rgb="FF000000"/>
            <rFont val="Times New Roman"/>
            <family val="18"/>
          </rPr>
          <t>Von Ständen a 3Fl Handgeld als galizische Recrout gestellt und assentiert und seitdem mit Friedensgebühr</t>
        </r>
        <r>
          <rPr>
            <sz val="14"/>
            <color rgb="FF000000"/>
            <rFont val="Times New Roman"/>
            <family val="18"/>
          </rPr>
          <t xml:space="preserve"> [ST Jan 1799]</t>
        </r>
        <r>
          <rPr>
            <sz val="14"/>
            <color rgb="FF000000"/>
            <rFont val="Calibri"/>
            <family val="34"/>
          </rPr>
          <t xml:space="preserve">
</t>
        </r>
        <r>
          <rPr>
            <sz val="14"/>
            <color rgb="FF000000"/>
            <rFont val="Times New Roman"/>
            <family val="18"/>
          </rPr>
          <t xml:space="preserve">09/01/1799 </t>
        </r>
        <r>
          <rPr>
            <i/>
            <sz val="14"/>
            <color rgb="FF000000"/>
            <rFont val="Times New Roman"/>
            <family val="18"/>
          </rPr>
          <t>In Haupt Schoer Comp eingeruckt</t>
        </r>
        <r>
          <rPr>
            <sz val="14"/>
            <color rgb="FF000000"/>
            <rFont val="Times New Roman"/>
            <family val="18"/>
          </rPr>
          <t xml:space="preserve"> [ST Jan 1799]</t>
        </r>
        <r>
          <rPr>
            <sz val="14"/>
            <color rgb="FF000000"/>
            <rFont val="Calibri"/>
            <family val="34"/>
          </rPr>
          <t xml:space="preserve">
</t>
        </r>
        <r>
          <rPr>
            <sz val="14"/>
            <color rgb="FF000000"/>
            <rFont val="Times New Roman"/>
            <family val="18"/>
          </rPr>
          <t xml:space="preserve">03/08/1799 </t>
        </r>
        <r>
          <rPr>
            <i/>
            <sz val="14"/>
            <color rgb="FF000000"/>
            <rFont val="Times New Roman"/>
            <family val="18"/>
          </rPr>
          <t>Krank auswärts mit Kriegs gebühr</t>
        </r>
        <r>
          <rPr>
            <sz val="14"/>
            <color rgb="FF000000"/>
            <rFont val="Times New Roman"/>
            <family val="18"/>
          </rPr>
          <t xml:space="preserve"> [ST Aug 1799] [Als Martin Wolf]</t>
        </r>
        <r>
          <rPr>
            <sz val="14"/>
            <color rgb="FF000000"/>
            <rFont val="Calibri"/>
            <family val="34"/>
          </rPr>
          <t xml:space="preserve">
</t>
        </r>
        <r>
          <rPr>
            <sz val="14"/>
            <color rgb="FF000000"/>
            <rFont val="Times New Roman"/>
            <family val="18"/>
          </rPr>
          <t xml:space="preserve">30/04/1800 </t>
        </r>
        <r>
          <rPr>
            <i/>
            <sz val="14"/>
            <color rgb="FF000000"/>
            <rFont val="Times New Roman"/>
            <family val="18"/>
          </rPr>
          <t>Rekonvalesziert und ins Haupt Schoerr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Krank auswärts mit Kriegs Gebühr</t>
        </r>
        <r>
          <rPr>
            <sz val="14"/>
            <color rgb="FF000000"/>
            <rFont val="Times New Roman"/>
            <family val="18"/>
          </rPr>
          <t xml:space="preserve"> </t>
        </r>
        <r>
          <rPr>
            <b/>
            <sz val="14"/>
            <color rgb="FFFF0000"/>
            <rFont val="Times New Roman"/>
            <family val="18"/>
          </rPr>
          <t>[Wounded at Montalto]</t>
        </r>
        <r>
          <rPr>
            <sz val="14"/>
            <color rgb="FF000000"/>
            <rFont val="Times New Roman"/>
            <family val="18"/>
          </rPr>
          <t xml:space="preserve"> [ST June 1800] </t>
        </r>
        <r>
          <rPr>
            <sz val="14"/>
            <color rgb="FF000000"/>
            <rFont val="Calibri"/>
            <family val="34"/>
          </rPr>
          <t xml:space="preserve">
</t>
        </r>
        <r>
          <rPr>
            <sz val="14"/>
            <color rgb="FF000000"/>
            <rFont val="Times New Roman"/>
            <family val="18"/>
          </rPr>
          <t xml:space="preserve">15/07/1800 </t>
        </r>
        <r>
          <rPr>
            <i/>
            <sz val="14"/>
            <color rgb="FF000000"/>
            <rFont val="Times New Roman"/>
            <family val="18"/>
          </rPr>
          <t>Rekonvalesziert</t>
        </r>
        <r>
          <rPr>
            <sz val="14"/>
            <color rgb="FF000000"/>
            <rFont val="Times New Roman"/>
            <family val="18"/>
          </rPr>
          <t xml:space="preserve"> [ST July/Aug 1800] </t>
        </r>
        <r>
          <rPr>
            <sz val="14"/>
            <color rgb="FFFF0000"/>
            <rFont val="Times New Roman"/>
            <family val="18"/>
          </rPr>
          <t>[Appears in two tables]</t>
        </r>
        <r>
          <rPr>
            <sz val="14"/>
            <color rgb="FF000000"/>
            <rFont val="Calibri"/>
            <family val="34"/>
          </rPr>
          <t xml:space="preserve">
</t>
        </r>
        <r>
          <rPr>
            <sz val="14"/>
            <color rgb="FF000000"/>
            <rFont val="Times New Roman"/>
            <family val="18"/>
          </rPr>
          <t>11/09/1802 Muster: IR 43 Haupt. Schoer Komp Nr. 61</t>
        </r>
        <r>
          <rPr>
            <sz val="14"/>
            <color rgb="FF000000"/>
            <rFont val="Calibri"/>
            <family val="34"/>
          </rPr>
          <t xml:space="preserve">
</t>
        </r>
        <r>
          <rPr>
            <sz val="14"/>
            <color rgb="FF000000"/>
            <rFont val="Times New Roman"/>
            <family val="18"/>
          </rPr>
          <t>28/09/1803 Muster: IR 43 Haupt Schoer Komp Nr. 90</t>
        </r>
        <r>
          <rPr>
            <sz val="14"/>
            <color rgb="FF000000"/>
            <rFont val="Calibri"/>
            <family val="34"/>
          </rPr>
          <t xml:space="preserve">
</t>
        </r>
        <r>
          <rPr>
            <sz val="14"/>
            <color rgb="FF000000"/>
            <rFont val="Times New Roman"/>
            <family val="18"/>
          </rPr>
          <t xml:space="preserve">07/10/1804 Muster: IR 43 Haupt Schoer Komp Nr. 86 </t>
        </r>
        <r>
          <rPr>
            <sz val="14"/>
            <color rgb="FF000000"/>
            <rFont val="Calibri"/>
            <family val="34"/>
          </rPr>
          <t xml:space="preserve">
</t>
        </r>
        <r>
          <rPr>
            <sz val="14"/>
            <color rgb="FF000000"/>
            <rFont val="Times New Roman"/>
            <family val="18"/>
          </rPr>
          <t xml:space="preserve">25/03/1805 </t>
        </r>
        <r>
          <rPr>
            <i/>
            <sz val="14"/>
            <color rgb="FF000000"/>
            <rFont val="Times New Roman"/>
            <family val="18"/>
          </rPr>
          <t>Zu loco Castelnovo gestorben</t>
        </r>
        <r>
          <rPr>
            <sz val="14"/>
            <color rgb="FF000000"/>
            <rFont val="Times New Roman"/>
            <family val="18"/>
          </rPr>
          <t xml:space="preserve"> [ST March 1805 &amp; ML 1805]</t>
        </r>
        <r>
          <rPr>
            <sz val="14"/>
            <color rgb="FF000000"/>
            <rFont val="Calibri"/>
            <family val="34"/>
          </rPr>
          <t xml:space="preserve">
</t>
        </r>
      </text>
    </comment>
    <comment ref="BG196" authorId="0" shapeId="0" xr:uid="{06CFA495-A154-224B-92B3-FB46A166088A}">
      <text>
        <r>
          <rPr>
            <sz val="14"/>
            <color rgb="FF000000"/>
            <rFont val="Times New Roman"/>
            <family val="18"/>
          </rPr>
          <t>ML 10.272 IR 43 (1802) – Heft von Haupt Schoer Comp. Nr 61 (Zara 11/09/1802)</t>
        </r>
        <r>
          <rPr>
            <sz val="14"/>
            <color rgb="FF000000"/>
            <rFont val="Calibri"/>
            <family val="34"/>
          </rPr>
          <t xml:space="preserve">
</t>
        </r>
        <r>
          <rPr>
            <sz val="14"/>
            <color rgb="FF000000"/>
            <rFont val="Times New Roman"/>
            <family val="18"/>
          </rPr>
          <t>ML 10.273 IR 43 (1803) – Heft von Haupt Schoer Comp. Nr 90 (Zara 28/09/1803)</t>
        </r>
        <r>
          <rPr>
            <sz val="14"/>
            <color rgb="FF000000"/>
            <rFont val="Calibri"/>
            <family val="34"/>
          </rPr>
          <t xml:space="preserve">
</t>
        </r>
        <r>
          <rPr>
            <sz val="14"/>
            <color rgb="FF000000"/>
            <rFont val="Times New Roman"/>
            <family val="18"/>
          </rPr>
          <t>ML 10.274 IR 43 (1804) – Heft von Haupt Schoer Comp. Nr 86 (Cattaro 07/10/1804)</t>
        </r>
        <r>
          <rPr>
            <sz val="14"/>
            <color rgb="FF000000"/>
            <rFont val="Calibri"/>
            <family val="34"/>
          </rPr>
          <t xml:space="preserve">
</t>
        </r>
        <r>
          <rPr>
            <sz val="14"/>
            <color rgb="FF000000"/>
            <rFont val="Times New Roman"/>
            <family val="18"/>
          </rPr>
          <t>ML 10.275/6 IR 43 (1805) – Heft von 6. Fus Comp. Abgang (Zara 01/10/1805)</t>
        </r>
        <r>
          <rPr>
            <sz val="14"/>
            <color rgb="FF000000"/>
            <rFont val="Calibri"/>
            <family val="34"/>
          </rPr>
          <t xml:space="preserve">
</t>
        </r>
        <r>
          <rPr>
            <sz val="14"/>
            <color rgb="FF000000"/>
            <rFont val="Times New Roman"/>
            <family val="18"/>
          </rPr>
          <t>ML 10.307 IR 43 (1799) – ST Jan (21/02/1799), Aug (06/03/1800)</t>
        </r>
        <r>
          <rPr>
            <sz val="14"/>
            <color rgb="FF000000"/>
            <rFont val="Calibri"/>
            <family val="34"/>
          </rPr>
          <t xml:space="preserve">
</t>
        </r>
        <r>
          <rPr>
            <sz val="14"/>
            <color rgb="FF000000"/>
            <rFont val="Times New Roman"/>
            <family val="18"/>
          </rPr>
          <t>ML 10.309 IR 43 (1800) – ST Juni (27/08/1803), Juli (24/10/1803), Aug (31/01/1804)</t>
        </r>
        <r>
          <rPr>
            <sz val="14"/>
            <color rgb="FF000000"/>
            <rFont val="Calibri"/>
            <family val="34"/>
          </rPr>
          <t xml:space="preserve">
</t>
        </r>
        <r>
          <rPr>
            <sz val="14"/>
            <color rgb="FF000000"/>
            <rFont val="Times New Roman"/>
            <family val="18"/>
          </rPr>
          <t>ML 10.315 IR 43 (1805) – ST März (15/04/1804)</t>
        </r>
        <r>
          <rPr>
            <sz val="14"/>
            <color rgb="FF000000"/>
            <rFont val="Calibri"/>
            <family val="34"/>
          </rPr>
          <t xml:space="preserve">
</t>
        </r>
      </text>
    </comment>
    <comment ref="BH196" authorId="0" shapeId="0" xr:uid="{4A20EE27-827C-B34F-999B-8E3A34109BD5}">
      <text>
        <r>
          <rPr>
            <sz val="14"/>
            <color rgb="FF000000"/>
            <rFont val="Calibri"/>
            <family val="34"/>
          </rPr>
          <t>IR 43 (1798-1805)</t>
        </r>
      </text>
    </comment>
    <comment ref="BF197" authorId="0" shapeId="0" xr:uid="{E2FF1C36-E97D-8744-8655-DF44990C8309}">
      <text>
        <r>
          <rPr>
            <sz val="14"/>
            <color rgb="FF000000"/>
            <rFont val="Times New Roman"/>
            <family val="18"/>
          </rPr>
          <t xml:space="preserve">12/10/1798 </t>
        </r>
        <r>
          <rPr>
            <i/>
            <sz val="14"/>
            <color rgb="FF000000"/>
            <rFont val="Times New Roman"/>
            <family val="18"/>
          </rPr>
          <t xml:space="preserve">Auf Beständig zu Murray Inft: Regt </t>
        </r>
        <r>
          <rPr>
            <b/>
            <i/>
            <sz val="14"/>
            <color rgb="FF000000"/>
            <rFont val="Times New Roman"/>
            <family val="18"/>
          </rPr>
          <t>Nr. 55</t>
        </r>
        <r>
          <rPr>
            <i/>
            <sz val="14"/>
            <color rgb="FF000000"/>
            <rFont val="Times New Roman"/>
            <family val="18"/>
          </rPr>
          <t xml:space="preserve">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21/06/1802 </t>
        </r>
        <r>
          <rPr>
            <i/>
            <sz val="14"/>
            <color rgb="FF000000"/>
            <rFont val="Times New Roman"/>
            <family val="18"/>
          </rPr>
          <t>Von IR 55 zum GR 2 transferiert und zur Fleischer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2 Haupt Fleischer Komp. Nr. 138</t>
        </r>
        <r>
          <rPr>
            <sz val="14"/>
            <color rgb="FF000000"/>
            <rFont val="Calibri"/>
            <family val="34"/>
          </rPr>
          <t xml:space="preserve">
</t>
        </r>
        <r>
          <rPr>
            <sz val="14"/>
            <color rgb="FF000000"/>
            <rFont val="Times New Roman"/>
            <family val="18"/>
          </rPr>
          <t xml:space="preserve">06/03/1803 </t>
        </r>
        <r>
          <rPr>
            <i/>
            <sz val="14"/>
            <color rgb="FF000000"/>
            <rFont val="Times New Roman"/>
            <family val="18"/>
          </rPr>
          <t xml:space="preserve">Aus der Station Hrubitzow </t>
        </r>
        <r>
          <rPr>
            <b/>
            <sz val="14"/>
            <color rgb="FF000000"/>
            <rFont val="Times New Roman"/>
            <family val="18"/>
          </rPr>
          <t>[</t>
        </r>
        <r>
          <rPr>
            <b/>
            <u/>
            <sz val="14"/>
            <color rgb="FF0563C1"/>
            <rFont val="Times New Roman"/>
            <family val="18"/>
          </rPr>
          <t>Hrubieszów, Poland</t>
        </r>
        <r>
          <rPr>
            <b/>
            <sz val="14"/>
            <color rgb="FF000000"/>
            <rFont val="Times New Roman"/>
            <family val="18"/>
          </rPr>
          <t>]</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197" authorId="0" shapeId="0" xr:uid="{B2331361-1C24-2E43-B696-36BE5A9110C2}">
      <text>
        <r>
          <rPr>
            <sz val="14"/>
            <color rgb="FF000000"/>
            <rFont val="Times New Roman"/>
            <family val="18"/>
          </rPr>
          <t>ML 11.183 GR 2 (1802) – Haupt Fleischer Komp. Nr. 138 (Zamosc 01/09/1802)</t>
        </r>
        <r>
          <rPr>
            <sz val="14"/>
            <color rgb="FF000000"/>
            <rFont val="Calibri"/>
            <family val="34"/>
          </rPr>
          <t xml:space="preserve">
</t>
        </r>
        <r>
          <rPr>
            <sz val="14"/>
            <color rgb="FF000000"/>
            <rFont val="Times New Roman"/>
            <family val="18"/>
          </rPr>
          <t>ML 11.184 GR 2 (1803) – Haupt Fleischer Komp. Abgang (Hrubieszów 03/09/1803)</t>
        </r>
        <r>
          <rPr>
            <sz val="14"/>
            <color rgb="FF000000"/>
            <rFont val="Calibri"/>
            <family val="34"/>
          </rPr>
          <t xml:space="preserve">
</t>
        </r>
      </text>
    </comment>
    <comment ref="BH197" authorId="0" shapeId="0" xr:uid="{2CDC3278-B682-0645-8D23-3ED78F750CF2}">
      <text>
        <r>
          <rPr>
            <sz val="14"/>
            <color rgb="FF000000"/>
            <rFont val="Times New Roman"/>
            <family val="18"/>
          </rPr>
          <t xml:space="preserve">IR 55 (1798-1802)
</t>
        </r>
        <r>
          <rPr>
            <sz val="14"/>
            <color rgb="FF000000"/>
            <rFont val="Times New Roman"/>
            <family val="18"/>
          </rPr>
          <t>GR 2 (1802-1803)</t>
        </r>
      </text>
    </comment>
    <comment ref="BF198" authorId="0" shapeId="0" xr:uid="{08BA81E8-8B8B-B54E-8380-976FD5A0D30D}">
      <text>
        <r>
          <rPr>
            <sz val="14"/>
            <color rgb="FF000000"/>
            <rFont val="Times New Roman"/>
            <family val="18"/>
          </rPr>
          <t xml:space="preserve">05/11/1797 </t>
        </r>
        <r>
          <rPr>
            <i/>
            <sz val="14"/>
            <color rgb="FF000000"/>
            <rFont val="Times New Roman"/>
            <family val="18"/>
          </rPr>
          <t>In IR 11 zum IR 11 4. Bataillon Haupt Esparts Kompanie assentiert</t>
        </r>
        <r>
          <rPr>
            <sz val="14"/>
            <color rgb="FF000000"/>
            <rFont val="Times New Roman"/>
            <family val="18"/>
          </rPr>
          <t xml:space="preserve"> [SUP Nov 1797]</t>
        </r>
        <r>
          <rPr>
            <sz val="14"/>
            <color rgb="FF000000"/>
            <rFont val="Calibri"/>
            <family val="34"/>
          </rPr>
          <t xml:space="preserve">
</t>
        </r>
        <r>
          <rPr>
            <sz val="14"/>
            <color rgb="FF000000"/>
            <rFont val="Times New Roman"/>
            <family val="18"/>
          </rPr>
          <t xml:space="preserve">19/11/1797 </t>
        </r>
        <r>
          <rPr>
            <i/>
            <sz val="14"/>
            <color rgb="FF000000"/>
            <rFont val="Times New Roman"/>
            <family val="18"/>
          </rPr>
          <t>Ist nach 14 Tagen seiner Assentierung in eine Lungenentzündung befallen und in das Prager Garnisons Spital gebracht worden, nach ehrlicher Krankheit derselben mit einer inkurablen asthmatischen Brust defekt von Blut auf verbracht asthmatischen Kurzer Atmen behalten</t>
        </r>
        <r>
          <rPr>
            <sz val="14"/>
            <color rgb="FF000000"/>
            <rFont val="Times New Roman"/>
            <family val="18"/>
          </rPr>
          <t xml:space="preserve"> [SUP Nov 1797]</t>
        </r>
        <r>
          <rPr>
            <sz val="14"/>
            <color rgb="FF000000"/>
            <rFont val="Calibri"/>
            <family val="34"/>
          </rPr>
          <t xml:space="preserve">
</t>
        </r>
        <r>
          <rPr>
            <sz val="14"/>
            <color rgb="FF000000"/>
            <rFont val="Times New Roman"/>
            <family val="18"/>
          </rPr>
          <t>26/11/1797</t>
        </r>
        <r>
          <rPr>
            <i/>
            <sz val="14"/>
            <color rgb="FF000000"/>
            <rFont val="Times New Roman"/>
            <family val="18"/>
          </rPr>
          <t xml:space="preserve"> In Prager Garnisonspital Superarbietriert</t>
        </r>
        <r>
          <rPr>
            <sz val="14"/>
            <color rgb="FF000000"/>
            <rFont val="Calibri"/>
            <family val="34"/>
          </rPr>
          <t xml:space="preserve">
</t>
        </r>
        <r>
          <rPr>
            <sz val="14"/>
            <color rgb="FF000000"/>
            <rFont val="Times New Roman"/>
            <family val="18"/>
          </rPr>
          <t xml:space="preserve">05/12/1797 </t>
        </r>
        <r>
          <rPr>
            <i/>
            <sz val="14"/>
            <color rgb="FF000000"/>
            <rFont val="Times New Roman"/>
            <family val="18"/>
          </rPr>
          <t>Kommt wegen kurzer Dienstzeit mit 5. Dezember a,c, mit Laufpass zu entlassen</t>
        </r>
        <r>
          <rPr>
            <sz val="14"/>
            <color rgb="FF000000"/>
            <rFont val="Times New Roman"/>
            <family val="18"/>
          </rPr>
          <t xml:space="preserve"> [SUP Nov 1797]</t>
        </r>
        <r>
          <rPr>
            <sz val="14"/>
            <color rgb="FF000000"/>
            <rFont val="Calibri"/>
            <family val="34"/>
          </rPr>
          <t xml:space="preserve">
</t>
        </r>
      </text>
    </comment>
    <comment ref="BG198" authorId="0" shapeId="0" xr:uid="{FDC6A4E3-950F-9B48-8120-17CE15B2D938}">
      <text>
        <r>
          <rPr>
            <sz val="14"/>
            <color rgb="FF000000"/>
            <rFont val="Times New Roman"/>
            <family val="18"/>
          </rPr>
          <t>ML 835 IR 11 (1797) – SUP Nr. 1 (Prague 26/11/1798)</t>
        </r>
      </text>
    </comment>
    <comment ref="BH198" authorId="0" shapeId="0" xr:uid="{B6D431EE-4C45-7541-A142-0337E2A4A33B}">
      <text>
        <r>
          <rPr>
            <sz val="14"/>
            <color rgb="FF000000"/>
            <rFont val="Calibri"/>
            <family val="34"/>
          </rPr>
          <t>IR 11 (1798)</t>
        </r>
      </text>
    </comment>
    <comment ref="BJ198" authorId="0" shapeId="0" xr:uid="{617463D8-06C9-9740-85C7-3F74422D5859}">
      <text>
        <r>
          <rPr>
            <i/>
            <sz val="14"/>
            <color rgb="FF000000"/>
            <rFont val="Times New Roman"/>
            <family val="18"/>
          </rPr>
          <t>Ist nach 14 Tagen seiner Assentierung in eine Lungenentzündung befallen und in das Prager Garnisons Spital gebracht worden, nach ehrlicher Krankheit derselben mit einer inkurablen asthmatischen Brust defekt von Blut auf verbracht asthmatischen Kurzer Atmen behalten</t>
        </r>
        <r>
          <rPr>
            <sz val="14"/>
            <color rgb="FF000000"/>
            <rFont val="Times New Roman"/>
            <family val="18"/>
          </rPr>
          <t xml:space="preserve"> ;  </t>
        </r>
        <r>
          <rPr>
            <i/>
            <sz val="14"/>
            <color rgb="FF000000"/>
            <rFont val="Times New Roman"/>
            <family val="18"/>
          </rPr>
          <t>Haben die defect nach dem assentierung ohne seine Verschuld bekommen</t>
        </r>
        <r>
          <rPr>
            <sz val="14"/>
            <color rgb="FF000000"/>
            <rFont val="Calibri"/>
            <family val="34"/>
          </rPr>
          <t xml:space="preserve"> ; </t>
        </r>
        <r>
          <rPr>
            <i/>
            <sz val="14"/>
            <color rgb="FF000000"/>
            <rFont val="Times New Roman"/>
            <family val="18"/>
          </rPr>
          <t>Hat diese Defecten nach der Assentierung nach einer überkommenden Lungenentzündung verhalten und zu derren Herstellung all Mittel benutzt</t>
        </r>
        <r>
          <rPr>
            <sz val="14"/>
            <color rgb="FF000000"/>
            <rFont val="Calibri"/>
            <family val="34"/>
          </rPr>
          <t xml:space="preserve">
</t>
        </r>
      </text>
    </comment>
    <comment ref="BF199" authorId="0" shapeId="0" xr:uid="{75CF94F6-C6E3-4F41-9345-D3A80DEAABC9}">
      <text>
        <r>
          <rPr>
            <sz val="14"/>
            <color rgb="FF000000"/>
            <rFont val="Times New Roman"/>
            <family val="18"/>
          </rPr>
          <t xml:space="preserve">20/11/1798 </t>
        </r>
        <r>
          <rPr>
            <i/>
            <sz val="14"/>
            <color rgb="FF000000"/>
            <rFont val="Times New Roman"/>
            <family val="18"/>
          </rPr>
          <t>Von Ständen a 3Fl Handgeld in Gallizien gestellt in reserve Division zugeteilt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11/06/1799 </t>
        </r>
        <r>
          <rPr>
            <i/>
            <sz val="14"/>
            <color rgb="FF000000"/>
            <rFont val="Times New Roman"/>
            <family val="18"/>
          </rPr>
          <t>Von anhero Marsch nach Regiment in Italien</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01/08/1799 </t>
        </r>
        <r>
          <rPr>
            <i/>
            <sz val="14"/>
            <color rgb="FF000000"/>
            <rFont val="Times New Roman"/>
            <family val="18"/>
          </rPr>
          <t>In Haupt Passqually companie engeruckt</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18/08/1799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Reconvalesziert und in Kompanie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UNBEKANNT: </t>
        </r>
        <r>
          <rPr>
            <i/>
            <sz val="14"/>
            <color rgb="FF000000"/>
            <rFont val="Times New Roman"/>
            <family val="18"/>
          </rPr>
          <t>Erscheint nach der Lücke im Oktober 1799 nicht mehr in den Stades-Tabellen</t>
        </r>
        <r>
          <rPr>
            <sz val="14"/>
            <color rgb="FF000000"/>
            <rFont val="Calibri"/>
            <family val="34"/>
          </rPr>
          <t xml:space="preserve">
</t>
        </r>
      </text>
    </comment>
    <comment ref="BG199" authorId="0" shapeId="0" xr:uid="{A9A68346-F8AF-034A-978B-22D1EF9EC12A}">
      <text>
        <r>
          <rPr>
            <sz val="14"/>
            <color rgb="FF000000"/>
            <rFont val="Times New Roman"/>
            <family val="18"/>
          </rPr>
          <t>ML 10.307 IR 43 (1799) – ST Feb (29/04/1799), Juni (12/12/1799), Aug (06/03/1799), Sept (21/07/1800)</t>
        </r>
        <r>
          <rPr>
            <sz val="14"/>
            <color rgb="FF000000"/>
            <rFont val="Calibri"/>
            <family val="34"/>
          </rPr>
          <t xml:space="preserve">
</t>
        </r>
      </text>
    </comment>
    <comment ref="BH199" authorId="0" shapeId="0" xr:uid="{7E56D77B-9441-0746-A7C6-B99247573F01}">
      <text>
        <r>
          <rPr>
            <sz val="14"/>
            <color rgb="FF000000"/>
            <rFont val="Calibri"/>
            <family val="34"/>
          </rPr>
          <t>IR 43 (1798-1799)</t>
        </r>
      </text>
    </comment>
    <comment ref="BF200" authorId="0" shapeId="0" xr:uid="{4245CF3F-67A9-6C4D-BB2D-211118D47EFD}">
      <text>
        <r>
          <rPr>
            <sz val="14"/>
            <color rgb="FF000000"/>
            <rFont val="Times New Roman"/>
            <family val="18"/>
          </rPr>
          <t xml:space="preserve">20/1120/11/1798 </t>
        </r>
        <r>
          <rPr>
            <i/>
            <sz val="14"/>
            <color rgb="FF000000"/>
            <rFont val="Times New Roman"/>
            <family val="18"/>
          </rPr>
          <t>Von Ständen a 3Fl Handgeld in Gallizien gestellt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21/03/1799 </t>
        </r>
        <r>
          <rPr>
            <i/>
            <sz val="14"/>
            <color rgb="FF000000"/>
            <rFont val="Times New Roman"/>
            <family val="18"/>
          </rPr>
          <t>Krank Auswärts</t>
        </r>
        <r>
          <rPr>
            <sz val="14"/>
            <color rgb="FF000000"/>
            <rFont val="Times New Roman"/>
            <family val="18"/>
          </rPr>
          <t xml:space="preserve"> [ST March 1799] </t>
        </r>
        <r>
          <rPr>
            <sz val="14"/>
            <color rgb="FF000000"/>
            <rFont val="Calibri"/>
            <family val="34"/>
          </rPr>
          <t xml:space="preserve">
</t>
        </r>
        <r>
          <rPr>
            <sz val="14"/>
            <color rgb="FF000000"/>
            <rFont val="Times New Roman"/>
            <family val="18"/>
          </rPr>
          <t xml:space="preserve">15/04/1799 </t>
        </r>
        <r>
          <rPr>
            <i/>
            <sz val="14"/>
            <color rgb="FF000000"/>
            <rFont val="Times New Roman"/>
            <family val="18"/>
          </rPr>
          <t>Reconvalesziert</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11/05/1799 </t>
        </r>
        <r>
          <rPr>
            <i/>
            <sz val="14"/>
            <color rgb="FF000000"/>
            <rFont val="Times New Roman"/>
            <family val="18"/>
          </rPr>
          <t>Auf marsch zum Regiment in Italien</t>
        </r>
        <r>
          <rPr>
            <sz val="14"/>
            <color rgb="FF000000"/>
            <rFont val="Times New Roman"/>
            <family val="18"/>
          </rPr>
          <t xml:space="preserve"> [ST May 1799]</t>
        </r>
        <r>
          <rPr>
            <sz val="14"/>
            <color rgb="FF000000"/>
            <rFont val="Calibri"/>
            <family val="34"/>
          </rPr>
          <t xml:space="preserve">
</t>
        </r>
        <r>
          <rPr>
            <sz val="14"/>
            <color rgb="FF000000"/>
            <rFont val="Times New Roman"/>
            <family val="18"/>
          </rPr>
          <t xml:space="preserve">06/06/1799 </t>
        </r>
        <r>
          <rPr>
            <i/>
            <sz val="14"/>
            <color rgb="FF000000"/>
            <rFont val="Times New Roman"/>
            <family val="18"/>
          </rPr>
          <t>Von Reserve Division in 2. Major Comp. Transferiert</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24/08/1799 </t>
        </r>
        <r>
          <rPr>
            <i/>
            <sz val="14"/>
            <color rgb="FF000000"/>
            <rFont val="Times New Roman"/>
            <family val="18"/>
          </rPr>
          <t>Krank auswärts mit Kriegsgebühr</t>
        </r>
        <r>
          <rPr>
            <sz val="14"/>
            <color rgb="FF000000"/>
            <rFont val="Times New Roman"/>
            <family val="18"/>
          </rPr>
          <t xml:space="preserve"> </t>
        </r>
        <r>
          <rPr>
            <b/>
            <sz val="14"/>
            <color rgb="FFFF0000"/>
            <rFont val="Times New Roman"/>
            <family val="18"/>
          </rPr>
          <t>[Wounded at Novi?]</t>
        </r>
        <r>
          <rPr>
            <b/>
            <sz val="14"/>
            <color rgb="FF000000"/>
            <rFont val="Times New Roman"/>
            <family val="18"/>
          </rPr>
          <t xml:space="preserve"> </t>
        </r>
        <r>
          <rPr>
            <sz val="14"/>
            <color rgb="FF000000"/>
            <rFont val="Times New Roman"/>
            <family val="18"/>
          </rPr>
          <t>[ST Aug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Zu Perugia Gestorben</t>
        </r>
        <r>
          <rPr>
            <sz val="14"/>
            <color rgb="FF000000"/>
            <rFont val="Times New Roman"/>
            <family val="18"/>
          </rPr>
          <t xml:space="preserve"> [ST Dec 1799]</t>
        </r>
        <r>
          <rPr>
            <sz val="14"/>
            <color rgb="FF000000"/>
            <rFont val="Calibri"/>
            <family val="34"/>
          </rPr>
          <t xml:space="preserve">
</t>
        </r>
      </text>
    </comment>
    <comment ref="BG200" authorId="0" shapeId="0" xr:uid="{05ACC77B-38E8-3C44-B272-5A4118637D23}">
      <text>
        <r>
          <rPr>
            <sz val="14"/>
            <color rgb="FF000000"/>
            <rFont val="Times New Roman"/>
            <family val="18"/>
          </rPr>
          <t>ML 10.307 IR 43 (1799) – ST Feb (29/04/1799), März (30/05/1799), April (19/08/1799), Mai (22/09/1799), Juni (12/12/1799), Aug (06/03/1800), Dez (01/11/1800)</t>
        </r>
        <r>
          <rPr>
            <sz val="14"/>
            <color rgb="FF000000"/>
            <rFont val="Calibri"/>
            <family val="34"/>
          </rPr>
          <t xml:space="preserve">
</t>
        </r>
      </text>
    </comment>
    <comment ref="BH200" authorId="0" shapeId="0" xr:uid="{E3EB3752-6AF0-FC4F-B63C-D5FB9B9C8758}">
      <text>
        <r>
          <rPr>
            <sz val="14"/>
            <color rgb="FF000000"/>
            <rFont val="Calibri"/>
            <family val="34"/>
          </rPr>
          <t>IR 43 (1798-1799)</t>
        </r>
      </text>
    </comment>
    <comment ref="BF201" authorId="0" shapeId="0" xr:uid="{B7B4FB31-7F58-A748-8E64-C9DD62460634}">
      <text>
        <r>
          <rPr>
            <sz val="14"/>
            <color rgb="FFFF0000"/>
            <rFont val="Times New Roman"/>
            <family val="18"/>
          </rPr>
          <t xml:space="preserve">20/09/1796 </t>
        </r>
        <r>
          <rPr>
            <i/>
            <sz val="14"/>
            <color rgb="FFFF0000"/>
            <rFont val="Times New Roman"/>
            <family val="18"/>
          </rPr>
          <t>Zu Tarnopol a 3Fl gestellt worden</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21/11/1798 </t>
        </r>
        <r>
          <rPr>
            <i/>
            <sz val="14"/>
            <color rgb="FF000000"/>
            <rFont val="Times New Roman"/>
            <family val="18"/>
          </rPr>
          <t>von standen a 3Fl Handgeld in Galizien gestellt, seitdem auf anhero Marsch mit Friedensgebühr</t>
        </r>
        <r>
          <rPr>
            <sz val="14"/>
            <color rgb="FF000000"/>
            <rFont val="Times New Roman"/>
            <family val="18"/>
          </rPr>
          <t xml:space="preserve"> [ST March 1799]</t>
        </r>
        <r>
          <rPr>
            <sz val="14"/>
            <color rgb="FF000000"/>
            <rFont val="Calibri"/>
            <family val="34"/>
          </rPr>
          <t xml:space="preserve">
</t>
        </r>
        <r>
          <rPr>
            <sz val="14"/>
            <color rgb="FF000000"/>
            <rFont val="Times New Roman"/>
            <family val="18"/>
          </rPr>
          <t xml:space="preserve">10/07/1799 </t>
        </r>
        <r>
          <rPr>
            <i/>
            <sz val="14"/>
            <color rgb="FF000000"/>
            <rFont val="Times New Roman"/>
            <family val="18"/>
          </rPr>
          <t xml:space="preserve">In Reserve Division eingerückt </t>
        </r>
        <r>
          <rPr>
            <sz val="14"/>
            <color rgb="FF000000"/>
            <rFont val="Times New Roman"/>
            <family val="18"/>
          </rPr>
          <t>[ST July 1799]</t>
        </r>
        <r>
          <rPr>
            <sz val="14"/>
            <color rgb="FF000000"/>
            <rFont val="Calibri"/>
            <family val="34"/>
          </rPr>
          <t xml:space="preserve">
</t>
        </r>
        <r>
          <rPr>
            <sz val="14"/>
            <color rgb="FF000000"/>
            <rFont val="Times New Roman"/>
            <family val="18"/>
          </rPr>
          <t xml:space="preserve">10/01/1800 </t>
        </r>
        <r>
          <rPr>
            <i/>
            <sz val="14"/>
            <color rgb="FF000000"/>
            <rFont val="Times New Roman"/>
            <family val="18"/>
          </rPr>
          <t>Auf dem Marche von IR 43 Reserve Division in Feld Bataillons</t>
        </r>
        <r>
          <rPr>
            <sz val="14"/>
            <color rgb="FF000000"/>
            <rFont val="Times New Roman"/>
            <family val="18"/>
          </rPr>
          <t xml:space="preserve"> [TL Jan 1800]</t>
        </r>
        <r>
          <rPr>
            <sz val="14"/>
            <color rgb="FF000000"/>
            <rFont val="Calibri"/>
            <family val="34"/>
          </rPr>
          <t xml:space="preserve">
</t>
        </r>
        <r>
          <rPr>
            <sz val="14"/>
            <color rgb="FF000000"/>
            <rFont val="Times New Roman"/>
            <family val="18"/>
          </rPr>
          <t xml:space="preserve">15/03/1800 </t>
        </r>
        <r>
          <rPr>
            <i/>
            <sz val="14"/>
            <color rgb="FF000000"/>
            <rFont val="Times New Roman"/>
            <family val="18"/>
          </rPr>
          <t>Von Reserve Division in Haupt Schoer Komp. transferiert</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In die Kriegsgefangenschaft gefallen</t>
        </r>
        <r>
          <rPr>
            <sz val="14"/>
            <color rgb="FF000000"/>
            <rFont val="Times New Roman"/>
            <family val="18"/>
          </rPr>
          <t xml:space="preserve"> </t>
        </r>
        <r>
          <rPr>
            <b/>
            <sz val="14"/>
            <color rgb="FFFF0000"/>
            <rFont val="Times New Roman"/>
            <family val="18"/>
          </rPr>
          <t>[Action of Montalto]</t>
        </r>
        <r>
          <rPr>
            <sz val="14"/>
            <color rgb="FFFF0000"/>
            <rFont val="Times New Roman"/>
            <family val="18"/>
          </rPr>
          <t xml:space="preserve"> </t>
        </r>
        <r>
          <rPr>
            <sz val="14"/>
            <color rgb="FF000000"/>
            <rFont val="Times New Roman"/>
            <family val="18"/>
          </rPr>
          <t>[ST June 1800]</t>
        </r>
        <r>
          <rPr>
            <sz val="14"/>
            <color rgb="FF000000"/>
            <rFont val="Calibri"/>
            <family val="34"/>
          </rPr>
          <t xml:space="preserve">
</t>
        </r>
        <r>
          <rPr>
            <sz val="14"/>
            <color rgb="FF000000"/>
            <rFont val="Times New Roman"/>
            <family val="18"/>
          </rPr>
          <t xml:space="preserve">07/06/1800 </t>
        </r>
        <r>
          <rPr>
            <i/>
            <sz val="14"/>
            <color rgb="FF000000"/>
            <rFont val="Times New Roman"/>
            <family val="18"/>
          </rPr>
          <t>Von Kriegsgefangenschaft sich selbst ranzioniert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11/09/1802 Muster: IR 43 Nr. 65</t>
        </r>
        <r>
          <rPr>
            <sz val="14"/>
            <color rgb="FF000000"/>
            <rFont val="Calibri"/>
            <family val="34"/>
          </rPr>
          <t xml:space="preserve">
</t>
        </r>
        <r>
          <rPr>
            <sz val="14"/>
            <color rgb="FF000000"/>
            <rFont val="Times New Roman"/>
            <family val="18"/>
          </rPr>
          <t xml:space="preserve">08/11/1802 [seit] </t>
        </r>
        <r>
          <rPr>
            <i/>
            <sz val="14"/>
            <color rgb="FF000000"/>
            <rFont val="Times New Roman"/>
            <family val="18"/>
          </rPr>
          <t>Auf dem Marsch mit unbestimmtem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31/07/1803 </t>
        </r>
        <r>
          <rPr>
            <i/>
            <sz val="14"/>
            <color rgb="FF000000"/>
            <rFont val="Times New Roman"/>
            <family val="18"/>
          </rPr>
          <t>Auf seinem Urlaub Ort Stry in Galizien desertiert</t>
        </r>
        <r>
          <rPr>
            <sz val="14"/>
            <color rgb="FF000000"/>
            <rFont val="Times New Roman"/>
            <family val="18"/>
          </rPr>
          <t xml:space="preserve"> [ST Aug 1803 &amp; ML 1803]</t>
        </r>
        <r>
          <rPr>
            <sz val="14"/>
            <color rgb="FF000000"/>
            <rFont val="Calibri"/>
            <family val="34"/>
          </rPr>
          <t xml:space="preserve">
</t>
        </r>
      </text>
    </comment>
    <comment ref="BG201" authorId="0" shapeId="0" xr:uid="{62433004-1092-8B46-922A-11DA7D76E377}">
      <text>
        <r>
          <rPr>
            <sz val="14"/>
            <color rgb="FF000000"/>
            <rFont val="Times New Roman"/>
            <family val="18"/>
          </rPr>
          <t>ML 10.272 IR 43 (1802) – Haupt Schoer Komp. Nr. 65 (Zara 11/09/1802)</t>
        </r>
        <r>
          <rPr>
            <sz val="14"/>
            <color rgb="FF000000"/>
            <rFont val="Calibri"/>
            <family val="34"/>
          </rPr>
          <t xml:space="preserve">
</t>
        </r>
        <r>
          <rPr>
            <sz val="14"/>
            <color rgb="FF000000"/>
            <rFont val="Times New Roman"/>
            <family val="18"/>
          </rPr>
          <t>ML 10.273 IR 43 (1803) – Haupt Schoer Abgang (Zara 28/09/1803)</t>
        </r>
        <r>
          <rPr>
            <sz val="14"/>
            <color rgb="FF000000"/>
            <rFont val="Calibri"/>
            <family val="34"/>
          </rPr>
          <t xml:space="preserve">
</t>
        </r>
        <r>
          <rPr>
            <sz val="14"/>
            <color rgb="FF000000"/>
            <rFont val="Times New Roman"/>
            <family val="18"/>
          </rPr>
          <t>ML 10.307 IR 43 (1799) – ST March (30/05/1799), July (01/01/1800)</t>
        </r>
        <r>
          <rPr>
            <sz val="14"/>
            <color rgb="FF000000"/>
            <rFont val="Calibri"/>
            <family val="34"/>
          </rPr>
          <t xml:space="preserve">
</t>
        </r>
        <r>
          <rPr>
            <sz val="14"/>
            <color rgb="FF000000"/>
            <rFont val="Times New Roman"/>
            <family val="18"/>
          </rPr>
          <t>ML 10.309 IR 43 (1800) – ST Jan (26/02/1801), March (04/101801), June (27/08/1803)</t>
        </r>
        <r>
          <rPr>
            <sz val="14"/>
            <color rgb="FF000000"/>
            <rFont val="Calibri"/>
            <family val="34"/>
          </rPr>
          <t xml:space="preserve">
</t>
        </r>
        <r>
          <rPr>
            <sz val="14"/>
            <color rgb="FF000000"/>
            <rFont val="Times New Roman"/>
            <family val="18"/>
          </rPr>
          <t>ML 10.312 IR 43 (1802) – ST Nov (15/11/1802)</t>
        </r>
        <r>
          <rPr>
            <sz val="14"/>
            <color rgb="FF000000"/>
            <rFont val="Calibri"/>
            <family val="34"/>
          </rPr>
          <t xml:space="preserve">
</t>
        </r>
        <r>
          <rPr>
            <sz val="14"/>
            <color rgb="FF000000"/>
            <rFont val="Times New Roman"/>
            <family val="18"/>
          </rPr>
          <t>ML 10.313 IR 43 (1803) – ST Aug (15/09/1803)</t>
        </r>
        <r>
          <rPr>
            <sz val="14"/>
            <color rgb="FF000000"/>
            <rFont val="Calibri"/>
            <family val="34"/>
          </rPr>
          <t xml:space="preserve">
</t>
        </r>
      </text>
    </comment>
    <comment ref="BH201" authorId="0" shapeId="0" xr:uid="{88A357FD-75AC-A048-9E78-D9DDF73C30A4}">
      <text>
        <r>
          <rPr>
            <sz val="14"/>
            <color rgb="FF000000"/>
            <rFont val="Calibri"/>
            <family val="34"/>
          </rPr>
          <t>IR 43 (1798-1803)</t>
        </r>
      </text>
    </comment>
    <comment ref="BF202" authorId="0" shapeId="0" xr:uid="{76415355-23AC-2B4C-B7A2-648250E71DD2}">
      <text>
        <r>
          <rPr>
            <sz val="14"/>
            <color rgb="FF000000"/>
            <rFont val="Times New Roman"/>
            <family val="18"/>
          </rPr>
          <t xml:space="preserve">21/11/1798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26/02/1799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202" authorId="0" shapeId="0" xr:uid="{33A0B838-47A9-C94C-BB54-82EBBBD9EE92}">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202" authorId="0" shapeId="0" xr:uid="{41746C1D-2979-AF43-AD8A-EC5C1DC4ADE3}">
      <text>
        <r>
          <rPr>
            <sz val="14"/>
            <color rgb="FF000000"/>
            <rFont val="Calibri"/>
            <family val="34"/>
          </rPr>
          <t>IR 43 (1798-1801)</t>
        </r>
      </text>
    </comment>
    <comment ref="BF203" authorId="0" shapeId="0" xr:uid="{67E1C20A-84DE-C845-9614-D6FE19DD7B24}">
      <text>
        <r>
          <rPr>
            <sz val="14"/>
            <color rgb="FF000000"/>
            <rFont val="Times New Roman"/>
            <family val="18"/>
          </rPr>
          <t xml:space="preserve">21/11/1798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06/03/1799 </t>
        </r>
        <r>
          <rPr>
            <i/>
            <sz val="14"/>
            <color rgb="FF000000"/>
            <rFont val="Times New Roman"/>
            <family val="18"/>
          </rPr>
          <t>In die Reserve Division eingeruckt</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203" authorId="0" shapeId="0" xr:uid="{A9D2BA95-2AE8-8E46-B799-C75D5B428F69}">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203" authorId="0" shapeId="0" xr:uid="{F4A9F469-21CA-9745-BD5D-EF3E8672143E}">
      <text>
        <r>
          <rPr>
            <sz val="14"/>
            <color rgb="FF000000"/>
            <rFont val="Calibri"/>
            <family val="34"/>
          </rPr>
          <t>IR 43 (1798-1801)</t>
        </r>
      </text>
    </comment>
    <comment ref="O204" authorId="0" shapeId="0" xr:uid="{066F083B-F830-2F4E-9DCC-77B97F07A2A1}">
      <text>
        <r>
          <rPr>
            <sz val="14"/>
            <color rgb="FF000000"/>
            <rFont val="Times New Roman"/>
            <family val="18"/>
          </rPr>
          <t>Josel (1810)</t>
        </r>
      </text>
    </comment>
    <comment ref="BF204" authorId="0" shapeId="0" xr:uid="{3421DFBB-64B9-4441-8BB9-20978B3C32AD}">
      <text>
        <r>
          <rPr>
            <sz val="14"/>
            <color rgb="FF000000"/>
            <rFont val="Times New Roman"/>
            <family val="18"/>
          </rPr>
          <t xml:space="preserve">22/11/1798 </t>
        </r>
        <r>
          <rPr>
            <i/>
            <sz val="14"/>
            <color rgb="FF000000"/>
            <rFont val="Times New Roman"/>
            <family val="18"/>
          </rPr>
          <t>Als Landständischen Rekrut gestellt und a 3Fl</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03/05/1809 </t>
        </r>
        <r>
          <rPr>
            <i/>
            <sz val="14"/>
            <color rgb="FF000000"/>
            <rFont val="Times New Roman"/>
            <family val="18"/>
          </rPr>
          <t xml:space="preserve">Kriegsgefangen </t>
        </r>
        <r>
          <rPr>
            <b/>
            <sz val="14"/>
            <color rgb="FF000000"/>
            <rFont val="Times New Roman"/>
            <family val="18"/>
          </rPr>
          <t>[Battle of Ebelsberg]</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17/05/1812 </t>
        </r>
        <r>
          <rPr>
            <i/>
            <sz val="14"/>
            <color rgb="FF000000"/>
            <rFont val="Times New Roman"/>
            <family val="18"/>
          </rPr>
          <t>Zu Leitmeritz als rancionirt praesentiert und seitdem ins Arrest</t>
        </r>
        <r>
          <rPr>
            <sz val="14"/>
            <color rgb="FF000000"/>
            <rFont val="Times New Roman"/>
            <family val="18"/>
          </rPr>
          <t xml:space="preserve"> [ST July 1812]</t>
        </r>
        <r>
          <rPr>
            <sz val="14"/>
            <color rgb="FF000000"/>
            <rFont val="Calibri"/>
            <family val="34"/>
          </rPr>
          <t xml:space="preserve">
</t>
        </r>
        <r>
          <rPr>
            <sz val="14"/>
            <color rgb="FF000000"/>
            <rFont val="Times New Roman"/>
            <family val="18"/>
          </rPr>
          <t>20/07/1812 Vo</t>
        </r>
        <r>
          <rPr>
            <i/>
            <sz val="14"/>
            <color rgb="FF000000"/>
            <rFont val="Times New Roman"/>
            <family val="18"/>
          </rPr>
          <t xml:space="preserve">n arrest entlassen </t>
        </r>
        <r>
          <rPr>
            <sz val="14"/>
            <color rgb="FF000000"/>
            <rFont val="Times New Roman"/>
            <family val="18"/>
          </rPr>
          <t>[ST July 1812]</t>
        </r>
        <r>
          <rPr>
            <sz val="14"/>
            <color rgb="FF000000"/>
            <rFont val="Calibri"/>
            <family val="34"/>
          </rPr>
          <t xml:space="preserve">
</t>
        </r>
        <r>
          <rPr>
            <sz val="14"/>
            <color rgb="FF000000"/>
            <rFont val="Times New Roman"/>
            <family val="18"/>
          </rPr>
          <t xml:space="preserve">23/07/1812 </t>
        </r>
        <r>
          <rPr>
            <i/>
            <sz val="14"/>
            <color rgb="FF000000"/>
            <rFont val="Times New Roman"/>
            <family val="18"/>
          </rPr>
          <t>In Loco eingeruckt und zum 3. Fus. Komp. eingeteilt</t>
        </r>
        <r>
          <rPr>
            <sz val="14"/>
            <color rgb="FF000000"/>
            <rFont val="Times New Roman"/>
            <family val="18"/>
          </rPr>
          <t xml:space="preserve"> [ST July 1812]</t>
        </r>
        <r>
          <rPr>
            <sz val="14"/>
            <color rgb="FF000000"/>
            <rFont val="Calibri"/>
            <family val="34"/>
          </rPr>
          <t xml:space="preserve">
</t>
        </r>
        <r>
          <rPr>
            <sz val="14"/>
            <color rgb="FF000000"/>
            <rFont val="Times New Roman"/>
            <family val="18"/>
          </rPr>
          <t xml:space="preserve">01/03/1817 </t>
        </r>
        <r>
          <rPr>
            <i/>
            <sz val="14"/>
            <color rgb="FF000000"/>
            <rFont val="Times New Roman"/>
            <family val="18"/>
          </rPr>
          <t>von Kerpen Infanterie anhero</t>
        </r>
        <r>
          <rPr>
            <sz val="14"/>
            <color rgb="FF000000"/>
            <rFont val="Times New Roman"/>
            <family val="18"/>
          </rPr>
          <t xml:space="preserve"> </t>
        </r>
        <r>
          <rPr>
            <b/>
            <sz val="14"/>
            <color rgb="FF000000"/>
            <rFont val="Times New Roman"/>
            <family val="18"/>
          </rPr>
          <t>[GK NÖ]</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25/09/1817 Muster: GK NÖ 2. Komp [Haupt Grosser) Nr. 59 [ML 1817]</t>
        </r>
        <r>
          <rPr>
            <sz val="14"/>
            <color rgb="FF000000"/>
            <rFont val="Calibri"/>
            <family val="34"/>
          </rPr>
          <t xml:space="preserve">
</t>
        </r>
        <r>
          <rPr>
            <sz val="14"/>
            <color rgb="FF000000"/>
            <rFont val="Times New Roman"/>
            <family val="18"/>
          </rPr>
          <t xml:space="preserve">25/09/1817 </t>
        </r>
        <r>
          <rPr>
            <i/>
            <sz val="14"/>
            <color rgb="FF000000"/>
            <rFont val="Times New Roman"/>
            <family val="18"/>
          </rPr>
          <t>In die Versorgung als Real Invalid in Pester InvalidenHaus</t>
        </r>
        <r>
          <rPr>
            <sz val="14"/>
            <color rgb="FF000000"/>
            <rFont val="Times New Roman"/>
            <family val="18"/>
          </rPr>
          <t xml:space="preserve"> [ML 1818]</t>
        </r>
        <r>
          <rPr>
            <sz val="14"/>
            <color rgb="FF000000"/>
            <rFont val="Calibri"/>
            <family val="34"/>
          </rPr>
          <t xml:space="preserve">
</t>
        </r>
      </text>
    </comment>
    <comment ref="BG204" authorId="0" shapeId="0" xr:uid="{9BAC616E-9A1E-3545-822A-925156E04F38}">
      <text>
        <r>
          <rPr>
            <sz val="14"/>
            <color rgb="FF000000"/>
            <rFont val="Times New Roman"/>
            <family val="18"/>
          </rPr>
          <t>ML 4247 IR 49 (1812) – ST Juli (St. Pölten 20/08/1812)</t>
        </r>
        <r>
          <rPr>
            <sz val="14"/>
            <color rgb="FF000000"/>
            <rFont val="Calibri"/>
            <family val="34"/>
          </rPr>
          <t xml:space="preserve">
</t>
        </r>
        <r>
          <rPr>
            <sz val="14"/>
            <color rgb="FF000000"/>
            <rFont val="Times New Roman"/>
            <family val="18"/>
          </rPr>
          <t>ML 8750 GK NÖ (1811-20) – Haupt. Grosser 2. Komp. Nr. 59 (Marchegg 25/09/1817); Haupt. Grosser 2. Komp. Abgang (Marchegg 28/09/1818)</t>
        </r>
      </text>
    </comment>
    <comment ref="BH204" authorId="0" shapeId="0" xr:uid="{84CA1DEB-F000-2647-BB33-064061E93422}">
      <text>
        <r>
          <rPr>
            <sz val="14"/>
            <color rgb="FF000000"/>
            <rFont val="Calibri"/>
            <family val="34"/>
          </rPr>
          <t xml:space="preserve">IR 49 (1798-1817)
</t>
        </r>
        <r>
          <rPr>
            <sz val="14"/>
            <color rgb="FF000000"/>
            <rFont val="Calibri"/>
            <family val="34"/>
          </rPr>
          <t xml:space="preserve">GK NÖ (1817)
</t>
        </r>
        <r>
          <rPr>
            <sz val="14"/>
            <color rgb="FF000000"/>
            <rFont val="Calibri"/>
            <family val="34"/>
          </rPr>
          <t>InvH Pest  (1817)</t>
        </r>
      </text>
    </comment>
    <comment ref="BF205" authorId="0" shapeId="0" xr:uid="{2815FF85-D1D7-E146-AA99-AC5A5DF1887A}">
      <text>
        <r>
          <rPr>
            <sz val="14"/>
            <color rgb="FF000000"/>
            <rFont val="Times New Roman"/>
            <family val="18"/>
          </rPr>
          <t xml:space="preserve">24/11/1798 </t>
        </r>
        <r>
          <rPr>
            <i/>
            <sz val="14"/>
            <color rgb="FF000000"/>
            <rFont val="Times New Roman"/>
            <family val="18"/>
          </rPr>
          <t>Zum</t>
        </r>
        <r>
          <rPr>
            <sz val="14"/>
            <color rgb="FF000000"/>
            <rFont val="Times New Roman"/>
            <family val="18"/>
          </rPr>
          <t xml:space="preserve"> </t>
        </r>
        <r>
          <rPr>
            <i/>
            <sz val="14"/>
            <color rgb="FF000000"/>
            <rFont val="Times New Roman"/>
            <family val="18"/>
          </rPr>
          <t>3 Fl Handgeld als Inländische Rekrut zum Reserve Division gestellt</t>
        </r>
        <r>
          <rPr>
            <sz val="14"/>
            <color rgb="FF000000"/>
            <rFont val="Times New Roman"/>
            <family val="18"/>
          </rPr>
          <t xml:space="preserve"> [AL Dec 1798]
</t>
        </r>
        <r>
          <rPr>
            <sz val="14"/>
            <color rgb="FF000000"/>
            <rFont val="Times New Roman"/>
            <family val="18"/>
          </rPr>
          <t xml:space="preserve">15/02/1799 </t>
        </r>
        <r>
          <rPr>
            <i/>
            <sz val="14"/>
            <color rgb="FF000000"/>
            <rFont val="Times New Roman"/>
            <family val="18"/>
          </rPr>
          <t>In Folge hohe General Kommando Verordnung detto Wien der 27 Aprili 1799 wegen Dienstuntauglichkeit mit Laufpaß entlassen: statt dero 21 Juni 1800 von den Stadt Zolkiew gestellten und assentierten Rekruten Wolf Stock</t>
        </r>
        <r>
          <rPr>
            <sz val="14"/>
            <color rgb="FF000000"/>
            <rFont val="Times New Roman"/>
            <family val="18"/>
          </rPr>
          <t xml:space="preserve"> [ST Aug 1799 &amp; AL Juni 1800]
</t>
        </r>
      </text>
    </comment>
    <comment ref="BG205" authorId="0" shapeId="0" xr:uid="{D244CF6E-688E-E94C-B966-B1FE1AE9934B}">
      <text>
        <r>
          <rPr>
            <sz val="14"/>
            <color rgb="FF000000"/>
            <rFont val="Times New Roman"/>
            <family val="18"/>
          </rPr>
          <t>ML 10.164 IR 23 (1799) – ST von Reserve Division von Marz bis Aug 1799</t>
        </r>
        <r>
          <rPr>
            <sz val="14"/>
            <color rgb="FF000000"/>
            <rFont val="Times New Roman"/>
            <family val="18"/>
          </rPr>
          <t xml:space="preserve">
</t>
        </r>
        <r>
          <rPr>
            <sz val="14"/>
            <color rgb="FF000000"/>
            <rFont val="Times New Roman"/>
            <family val="18"/>
          </rPr>
          <t>ML 10.165 IR 23 (1799) – AL pro Marz 1799 Nr. 124 (Zolkiew 19/12/1798)</t>
        </r>
        <r>
          <rPr>
            <sz val="14"/>
            <color rgb="FF000000"/>
            <rFont val="Times New Roman"/>
            <family val="18"/>
          </rPr>
          <t xml:space="preserve">
</t>
        </r>
        <r>
          <rPr>
            <sz val="14"/>
            <color rgb="FF000000"/>
            <rFont val="Times New Roman"/>
            <family val="18"/>
          </rPr>
          <t>ML 10.167 IR 23 (1800) – AL pro Sept 1800 Nr. 2 (Zolkiew 21/06/1800)</t>
        </r>
        <r>
          <rPr>
            <sz val="14"/>
            <color rgb="FF000000"/>
            <rFont val="Times New Roman"/>
            <family val="18"/>
          </rPr>
          <t xml:space="preserve">
</t>
        </r>
      </text>
    </comment>
    <comment ref="BH205" authorId="0" shapeId="0" xr:uid="{E136D9E3-3DEF-CD4B-8068-E85761C2D2B1}">
      <text>
        <r>
          <rPr>
            <sz val="14"/>
            <color rgb="FF000000"/>
            <rFont val="Calibri"/>
            <family val="34"/>
          </rPr>
          <t>IR 43 (1798-1799)</t>
        </r>
      </text>
    </comment>
    <comment ref="BF206" authorId="0" shapeId="0" xr:uid="{AB0C98AB-F58A-7C43-8E2B-0DFBD9B1DB59}">
      <text>
        <r>
          <rPr>
            <sz val="14"/>
            <color rgb="FF000000"/>
            <rFont val="Times New Roman"/>
            <family val="18"/>
          </rPr>
          <t xml:space="preserve">ML 10.164 IR 23 (1799) – ST von Reserve Division von Marz bis Aug 1799 (22/10/1800)
</t>
        </r>
        <r>
          <rPr>
            <sz val="14"/>
            <color rgb="FF000000"/>
            <rFont val="Times New Roman"/>
            <family val="18"/>
          </rPr>
          <t xml:space="preserve">ML 10.165 IR 23 (1799) – AL von Reserve Division pro Marz 1799, Nr. 121 (Zolkiew 19/12/1798)
</t>
        </r>
      </text>
    </comment>
    <comment ref="BG206" authorId="0" shapeId="0" xr:uid="{C2478F51-5323-1B46-A775-C0161E77BC5C}">
      <text>
        <r>
          <rPr>
            <sz val="14"/>
            <color rgb="FF000000"/>
            <rFont val="Times New Roman"/>
            <family val="18"/>
          </rPr>
          <t xml:space="preserve">ML 10.164 IR 23 (1799) – ST von Reserve Division von Marz bis Aug 1799 (22/10/1800)
</t>
        </r>
        <r>
          <rPr>
            <sz val="14"/>
            <color rgb="FF000000"/>
            <rFont val="Times New Roman"/>
            <family val="18"/>
          </rPr>
          <t>ML 10.165 IR 23 (1799) – AL von Reserve Division pro Marz 1799, Nr. 121 (Zolkiew 19/12/1798)</t>
        </r>
      </text>
    </comment>
    <comment ref="BH206" authorId="0" shapeId="0" xr:uid="{89CF2501-4CE4-0D4C-8B93-D8BD2361729A}">
      <text>
        <r>
          <rPr>
            <sz val="14"/>
            <color rgb="FF000000"/>
            <rFont val="Calibri"/>
            <family val="34"/>
          </rPr>
          <t>IR 23 (1798)</t>
        </r>
      </text>
    </comment>
    <comment ref="BF207" authorId="0" shapeId="0" xr:uid="{4AB6DB04-650B-DB45-A6D3-A3FE4299280F}">
      <text>
        <r>
          <rPr>
            <sz val="14"/>
            <color rgb="FF000000"/>
            <rFont val="Times New Roman"/>
            <family val="18"/>
          </rPr>
          <t xml:space="preserve">24/11/1798 </t>
        </r>
        <r>
          <rPr>
            <i/>
            <sz val="14"/>
            <color rgb="FF000000"/>
            <rFont val="Times New Roman"/>
            <family val="18"/>
          </rPr>
          <t>Zum 3 Fl Handgeld als Inländische Rekrut zum Reserve Division gestellt</t>
        </r>
        <r>
          <rPr>
            <sz val="14"/>
            <color rgb="FF000000"/>
            <rFont val="Times New Roman"/>
            <family val="18"/>
          </rPr>
          <t xml:space="preserve"> [AL Dec 1798]
</t>
        </r>
        <r>
          <rPr>
            <sz val="14"/>
            <color rgb="FF000000"/>
            <rFont val="Times New Roman"/>
            <family val="18"/>
          </rPr>
          <t xml:space="preserve">29/12/1798 </t>
        </r>
        <r>
          <rPr>
            <i/>
            <sz val="14"/>
            <color rgb="FF000000"/>
            <rFont val="Times New Roman"/>
            <family val="18"/>
          </rPr>
          <t>In Folge hohe General Kommando Verordnung detto Wien der 19 January 1799 wegen Dienstuntauglichkeit mit Laufpaß entlassen: statt dero 18 Juni 1800 von den Stadt Zolkiew gestellten und assentierten Rekruten Hirschel Model</t>
        </r>
        <r>
          <rPr>
            <sz val="14"/>
            <color rgb="FF000000"/>
            <rFont val="Times New Roman"/>
            <family val="18"/>
          </rPr>
          <t xml:space="preserve"> [St March 1799 &amp; AL June 1800]
</t>
        </r>
      </text>
    </comment>
    <comment ref="BG207" authorId="0" shapeId="0" xr:uid="{8E5EFC3C-C508-6E4E-9762-7F0CA1BA0614}">
      <text>
        <r>
          <rPr>
            <sz val="14"/>
            <color rgb="FF000000"/>
            <rFont val="Times New Roman"/>
            <family val="18"/>
          </rPr>
          <t>ML 10.164 IR 23 (1799) – ST von Reserve Division von Marz bis April 1799</t>
        </r>
        <r>
          <rPr>
            <sz val="14"/>
            <color rgb="FF000000"/>
            <rFont val="Times New Roman"/>
            <family val="18"/>
          </rPr>
          <t xml:space="preserve">
</t>
        </r>
        <r>
          <rPr>
            <sz val="14"/>
            <color rgb="FF000000"/>
            <rFont val="Times New Roman"/>
            <family val="18"/>
          </rPr>
          <t>ML 10.165 IR 23 (1799) – AL von Reserve Division pro Marz 1799, Nr. 122 (Zolkiew 19/12/1798)</t>
        </r>
        <r>
          <rPr>
            <sz val="14"/>
            <color rgb="FF000000"/>
            <rFont val="Times New Roman"/>
            <family val="18"/>
          </rPr>
          <t xml:space="preserve">
</t>
        </r>
        <r>
          <rPr>
            <sz val="14"/>
            <color rgb="FF000000"/>
            <rFont val="Times New Roman"/>
            <family val="18"/>
          </rPr>
          <t>ML 10.167 IR 23 (1800) – AL von Reserve Division pro Sept 1800 Nr. 1 (Zolkiew 21/06/1800)</t>
        </r>
      </text>
    </comment>
    <comment ref="BH207" authorId="0" shapeId="0" xr:uid="{0F6BEAFE-9A17-CF4C-9118-816018146E03}">
      <text>
        <r>
          <rPr>
            <sz val="14"/>
            <color rgb="FF000000"/>
            <rFont val="Calibri"/>
            <family val="34"/>
          </rPr>
          <t>IR 23 (1798)</t>
        </r>
      </text>
    </comment>
    <comment ref="I208" authorId="0" shapeId="0" xr:uid="{5A1877CF-8BA8-DD48-ADD5-8EB5DDE75067}">
      <text>
        <r>
          <rPr>
            <sz val="14"/>
            <color rgb="FF000000"/>
            <rFont val="Calibri"/>
            <family val="34"/>
          </rPr>
          <t xml:space="preserve">1769 [33 (1802)] 
</t>
        </r>
        <r>
          <rPr>
            <sz val="14"/>
            <color rgb="FF000000"/>
            <rFont val="Calibri"/>
            <family val="34"/>
          </rPr>
          <t xml:space="preserve">OR 
</t>
        </r>
        <r>
          <rPr>
            <sz val="14"/>
            <color rgb="FF000000"/>
            <rFont val="Calibri"/>
            <family val="34"/>
          </rPr>
          <t>1776 [22 (1798)]</t>
        </r>
      </text>
    </comment>
    <comment ref="BF208" authorId="0" shapeId="0" xr:uid="{0E7512C9-70DA-DB4E-AF1B-646D5355A247}">
      <text>
        <r>
          <rPr>
            <sz val="14"/>
            <color rgb="FF000000"/>
            <rFont val="Times New Roman"/>
            <family val="18"/>
          </rPr>
          <t xml:space="preserve">25/11/1798 </t>
        </r>
        <r>
          <rPr>
            <i/>
            <sz val="14"/>
            <color rgb="FF000000"/>
            <rFont val="Times New Roman"/>
            <family val="18"/>
          </rPr>
          <t>Von galizischen Ständen Gestellt a 3Fl Handgeld auf Beständig gestellt und zum IR 23 Reserve Division assentiert, und seitdem mit Auswärtiger Verpflegung auf Anmarsch von Galizien</t>
        </r>
        <r>
          <rPr>
            <sz val="14"/>
            <color rgb="FF000000"/>
            <rFont val="Times New Roman"/>
            <family val="18"/>
          </rPr>
          <t xml:space="preserve"> [AL Dec 1799 &amp; ML 1802]</t>
        </r>
        <r>
          <rPr>
            <sz val="14"/>
            <color rgb="FF000000"/>
            <rFont val="Calibri"/>
            <family val="34"/>
          </rPr>
          <t xml:space="preserve">
</t>
        </r>
        <r>
          <rPr>
            <sz val="14"/>
            <color rgb="FF000000"/>
            <rFont val="Times New Roman"/>
            <family val="18"/>
          </rPr>
          <t xml:space="preserve">06/05/1799 </t>
        </r>
        <r>
          <rPr>
            <i/>
            <sz val="14"/>
            <color rgb="FF000000"/>
            <rFont val="Times New Roman"/>
            <family val="18"/>
          </rPr>
          <t>Ankunft in Reserve Division</t>
        </r>
        <r>
          <rPr>
            <sz val="14"/>
            <color rgb="FF000000"/>
            <rFont val="Times New Roman"/>
            <family val="18"/>
          </rPr>
          <t xml:space="preserve"> [ST May 1799]</t>
        </r>
        <r>
          <rPr>
            <sz val="14"/>
            <color rgb="FF000000"/>
            <rFont val="Calibri"/>
            <family val="34"/>
          </rPr>
          <t xml:space="preserve">
</t>
        </r>
        <r>
          <rPr>
            <sz val="14"/>
            <color rgb="FF000000"/>
            <rFont val="Times New Roman"/>
            <family val="18"/>
          </rPr>
          <t xml:space="preserve">01/10/1799 </t>
        </r>
        <r>
          <rPr>
            <i/>
            <sz val="14"/>
            <color rgb="FF000000"/>
            <rFont val="Times New Roman"/>
            <family val="18"/>
          </rPr>
          <t>von dem Reserve Division Anhero, und dato mit Local Verpflegung in Anmarsch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30/10/1799 </t>
        </r>
        <r>
          <rPr>
            <i/>
            <sz val="14"/>
            <color rgb="FF000000"/>
            <rFont val="Times New Roman"/>
            <family val="18"/>
          </rPr>
          <t>Ankunft in Companie</t>
        </r>
        <r>
          <rPr>
            <sz val="14"/>
            <color rgb="FF000000"/>
            <rFont val="Times New Roman"/>
            <family val="18"/>
          </rPr>
          <t xml:space="preserve"> [ST Oct 1799]</t>
        </r>
        <r>
          <rPr>
            <sz val="14"/>
            <color rgb="FF000000"/>
            <rFont val="Calibri"/>
            <family val="34"/>
          </rPr>
          <t xml:space="preserve">
</t>
        </r>
        <r>
          <rPr>
            <sz val="14"/>
            <color rgb="FF000000"/>
            <rFont val="Times New Roman"/>
            <family val="18"/>
          </rPr>
          <t>09/09/1802 Muster: IR 23 Haupt August Komp Nr. 89 [</t>
        </r>
        <r>
          <rPr>
            <i/>
            <sz val="14"/>
            <color rgb="FF000000"/>
            <rFont val="Times New Roman"/>
            <family val="18"/>
          </rPr>
          <t>Beurlaubt in Pohlen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Urlaub in Polen desertiert</t>
        </r>
        <r>
          <rPr>
            <sz val="14"/>
            <color rgb="FF000000"/>
            <rFont val="Times New Roman"/>
            <family val="18"/>
          </rPr>
          <t xml:space="preserve"> [ML 1803]</t>
        </r>
        <r>
          <rPr>
            <sz val="14"/>
            <color rgb="FF000000"/>
            <rFont val="Calibri"/>
            <family val="2"/>
          </rPr>
          <t xml:space="preserve"> </t>
        </r>
      </text>
    </comment>
    <comment ref="BG208" authorId="0" shapeId="0" xr:uid="{3CD8F179-9DAC-BB40-9DE2-058656C1B31F}">
      <text>
        <r>
          <rPr>
            <sz val="14"/>
            <color rgb="FF000000"/>
            <rFont val="Times New Roman"/>
            <family val="18"/>
          </rPr>
          <t>ML 10.124 IR 23 (1802) – Haupt August Komp. Nr. 89 (Krems 09/09/1802)</t>
        </r>
        <r>
          <rPr>
            <sz val="14"/>
            <color rgb="FF000000"/>
            <rFont val="Calibri"/>
            <family val="34"/>
          </rPr>
          <t xml:space="preserve">
</t>
        </r>
        <r>
          <rPr>
            <sz val="14"/>
            <color rgb="FF000000"/>
            <rFont val="Times New Roman"/>
            <family val="18"/>
          </rPr>
          <t>ML 10.125 IR 23 (1803) – Haupt Strack Komp. Abgang (Execierlager bei St Pölten 07/09/1803)</t>
        </r>
        <r>
          <rPr>
            <sz val="14"/>
            <color rgb="FF000000"/>
            <rFont val="Calibri"/>
            <family val="34"/>
          </rPr>
          <t xml:space="preserve">
</t>
        </r>
        <r>
          <rPr>
            <sz val="14"/>
            <color rgb="FF000000"/>
            <rFont val="Times New Roman"/>
            <family val="18"/>
          </rPr>
          <t>ML 10.164 IR 23 (1799) – ST May (20/06/1800), October (06/04/1802)</t>
        </r>
        <r>
          <rPr>
            <sz val="14"/>
            <color rgb="FF000000"/>
            <rFont val="Calibri"/>
            <family val="34"/>
          </rPr>
          <t xml:space="preserve">
</t>
        </r>
        <r>
          <rPr>
            <sz val="14"/>
            <color rgb="FF000000"/>
            <rFont val="Times New Roman"/>
            <family val="18"/>
          </rPr>
          <t>ML 10.165 IR 23 (1799) – AL. Nr. 129 (Zolkiew 17/12/1798)</t>
        </r>
        <r>
          <rPr>
            <sz val="14"/>
            <color rgb="FF000000"/>
            <rFont val="Calibri"/>
            <family val="34"/>
          </rPr>
          <t xml:space="preserve">
</t>
        </r>
      </text>
    </comment>
    <comment ref="BH208" authorId="0" shapeId="0" xr:uid="{B57B80EE-D82A-BF4B-BD14-D52F647E60DF}">
      <text>
        <r>
          <rPr>
            <sz val="14"/>
            <color rgb="FF000000"/>
            <rFont val="Calibri"/>
            <family val="34"/>
          </rPr>
          <t>IR 23 (1798-1803)</t>
        </r>
      </text>
    </comment>
    <comment ref="I209" authorId="0" shapeId="0" xr:uid="{26C614D5-CBF1-6D46-8EA2-392C968DE7DA}">
      <text>
        <r>
          <rPr>
            <sz val="14"/>
            <color rgb="FF000000"/>
            <rFont val="Calibri"/>
            <family val="34"/>
          </rPr>
          <t xml:space="preserve">1769 [35 (1804)] 
</t>
        </r>
        <r>
          <rPr>
            <sz val="14"/>
            <color rgb="FF000000"/>
            <rFont val="Calibri"/>
            <family val="34"/>
          </rPr>
          <t xml:space="preserve">OR 
</t>
        </r>
        <r>
          <rPr>
            <sz val="14"/>
            <color rgb="FF000000"/>
            <rFont val="Calibri"/>
            <family val="34"/>
          </rPr>
          <t>1763 [36 (1799)]</t>
        </r>
      </text>
    </comment>
    <comment ref="T209" authorId="0" shapeId="0" xr:uid="{2E33968C-1CA1-BB4C-8AE4-8E68E95BA58A}">
      <text>
        <r>
          <rPr>
            <sz val="14"/>
            <color rgb="FF000000"/>
            <rFont val="Calibri"/>
            <family val="34"/>
          </rPr>
          <t xml:space="preserve">5.6  [173.78 cm] (1799)
</t>
        </r>
        <r>
          <rPr>
            <sz val="14"/>
            <color rgb="FF000000"/>
            <rFont val="Calibri"/>
            <family val="34"/>
          </rPr>
          <t>5.6.2 [174.22 cm] (1802)</t>
        </r>
      </text>
    </comment>
    <comment ref="BF209" authorId="0" shapeId="0" xr:uid="{DD17C90F-EC2A-B942-8FD0-AF60D8041948}">
      <text>
        <r>
          <rPr>
            <sz val="14"/>
            <color rgb="FF000000"/>
            <rFont val="Times New Roman"/>
            <family val="18"/>
          </rPr>
          <t xml:space="preserve">25/11/1798 </t>
        </r>
        <r>
          <rPr>
            <i/>
            <sz val="14"/>
            <color rgb="FF000000"/>
            <rFont val="Times New Roman"/>
            <family val="18"/>
          </rPr>
          <t xml:space="preserve">Zu Zolkiew als Landständischer Recrout auf Beständig gestellt und a 3Fl Handgeld zum IR 23 Reserve Division assentiert; und seitdem mit Auswärtiger Verpflegung auf Anmarsch von Galizien </t>
        </r>
        <r>
          <rPr>
            <sz val="14"/>
            <color rgb="FF000000"/>
            <rFont val="Times New Roman"/>
            <family val="18"/>
          </rPr>
          <t xml:space="preserve"> [AL Dec 1799 &amp; ST April 1799 &amp;ML 1802]</t>
        </r>
        <r>
          <rPr>
            <sz val="14"/>
            <color rgb="FF000000"/>
            <rFont val="Calibri"/>
            <family val="34"/>
          </rPr>
          <t xml:space="preserve">
</t>
        </r>
        <r>
          <rPr>
            <sz val="14"/>
            <color rgb="FF000000"/>
            <rFont val="Times New Roman"/>
            <family val="18"/>
          </rPr>
          <t xml:space="preserve">21/04/1799 </t>
        </r>
        <r>
          <rPr>
            <i/>
            <sz val="14"/>
            <color rgb="FF000000"/>
            <rFont val="Times New Roman"/>
            <family val="18"/>
          </rPr>
          <t>Ankunft in loco in der Reserve Division</t>
        </r>
        <r>
          <rPr>
            <sz val="14"/>
            <color rgb="FF000000"/>
            <rFont val="Times New Roman"/>
            <family val="18"/>
          </rPr>
          <t xml:space="preserve"> [ST April 1799]</t>
        </r>
        <r>
          <rPr>
            <sz val="14"/>
            <color rgb="FF000000"/>
            <rFont val="Calibri"/>
            <family val="34"/>
          </rPr>
          <t xml:space="preserve">
</t>
        </r>
        <r>
          <rPr>
            <sz val="14"/>
            <color rgb="FF000000"/>
            <rFont val="Times New Roman"/>
            <family val="18"/>
          </rPr>
          <t xml:space="preserve">21/06/1799 </t>
        </r>
        <r>
          <rPr>
            <i/>
            <sz val="14"/>
            <color rgb="FF000000"/>
            <rFont val="Times New Roman"/>
            <family val="18"/>
          </rPr>
          <t>Von Reserve Division zum Haupt Sallberg Comp transferiert und seitdem auf Anmarsch ohne Feld und Fleisch Beitrag mit Schlafsgeld</t>
        </r>
        <r>
          <rPr>
            <sz val="14"/>
            <color rgb="FF000000"/>
            <rFont val="Times New Roman"/>
            <family val="18"/>
          </rPr>
          <t xml:space="preserve"> [ST June 1799]</t>
        </r>
        <r>
          <rPr>
            <sz val="14"/>
            <color rgb="FF000000"/>
            <rFont val="Calibri"/>
            <family val="34"/>
          </rPr>
          <t xml:space="preserve">
</t>
        </r>
        <r>
          <rPr>
            <sz val="14"/>
            <color rgb="FF000000"/>
            <rFont val="Times New Roman"/>
            <family val="18"/>
          </rPr>
          <t xml:space="preserve">01/07/1799 </t>
        </r>
        <r>
          <rPr>
            <i/>
            <sz val="14"/>
            <color rgb="FF000000"/>
            <rFont val="Times New Roman"/>
            <family val="18"/>
          </rPr>
          <t>Seitdem ganz ohne Gebühr, welche in die Künftige Monat nachgetragen wird</t>
        </r>
        <r>
          <rPr>
            <sz val="14"/>
            <color rgb="FF000000"/>
            <rFont val="Times New Roman"/>
            <family val="18"/>
          </rPr>
          <t xml:space="preserve"> [ST July 1799]</t>
        </r>
        <r>
          <rPr>
            <sz val="14"/>
            <color rgb="FF000000"/>
            <rFont val="Calibri"/>
            <family val="34"/>
          </rPr>
          <t xml:space="preserve">
</t>
        </r>
        <r>
          <rPr>
            <i/>
            <sz val="14"/>
            <color rgb="FF000000"/>
            <rFont val="Times New Roman"/>
            <family val="18"/>
          </rPr>
          <t>Worden seit 1. Juli ohne Gebuht Gefordert, welche dermale und zwar von 16. bis 25. Juli mit Täglichen ½ Xr. und von, 26. Juli und Dato mit tägl. 2xr Fleischbeitrag, ohne Feldbeitrag, deto von. 1 Juli bis 12 August mit Schlafgeld nachgetragen worden</t>
        </r>
        <r>
          <rPr>
            <sz val="14"/>
            <color rgb="FF000000"/>
            <rFont val="Times New Roman"/>
            <family val="18"/>
          </rPr>
          <t xml:space="preserve"> [ST August 1799]</t>
        </r>
        <r>
          <rPr>
            <sz val="14"/>
            <color rgb="FF000000"/>
            <rFont val="Calibri"/>
            <family val="34"/>
          </rPr>
          <t xml:space="preserve">
</t>
        </r>
        <r>
          <rPr>
            <sz val="14"/>
            <color rgb="FF000000"/>
            <rFont val="Times New Roman"/>
            <family val="18"/>
          </rPr>
          <t xml:space="preserve">03/09/1799 </t>
        </r>
        <r>
          <rPr>
            <i/>
            <sz val="14"/>
            <color rgb="FF000000"/>
            <rFont val="Times New Roman"/>
            <family val="18"/>
          </rPr>
          <t xml:space="preserve">Ankunft in Komp. </t>
        </r>
        <r>
          <rPr>
            <sz val="14"/>
            <color rgb="FF000000"/>
            <rFont val="Times New Roman"/>
            <family val="18"/>
          </rPr>
          <t>[</t>
        </r>
        <r>
          <rPr>
            <i/>
            <sz val="14"/>
            <color rgb="FF000000"/>
            <rFont val="Times New Roman"/>
            <family val="18"/>
          </rPr>
          <t>von vorhin bis 2. mit Fleischbeitrag ohne Feldbeitrag und ohne Schlafbeitrag bis 4. mit Brot, ist eingerückt und seit 3. mit Geld und seit 5. mit Brot in loco</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09/09/1802 Muster: IR 23 Haupt Böhm Nr. 78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Böhm Nr. 70 [</t>
        </r>
        <r>
          <rPr>
            <i/>
            <sz val="14"/>
            <color rgb="FF000000"/>
            <rFont val="Times New Roman"/>
            <family val="18"/>
          </rPr>
          <t>In seinem Geburtsort bis zur Einberufung beurlaubt in Gallizien</t>
        </r>
        <r>
          <rPr>
            <sz val="14"/>
            <color rgb="FF000000"/>
            <rFont val="Times New Roman"/>
            <family val="18"/>
          </rPr>
          <t>]</t>
        </r>
        <r>
          <rPr>
            <sz val="14"/>
            <color rgb="FF000000"/>
            <rFont val="Calibri"/>
            <family val="34"/>
          </rPr>
          <t xml:space="preserve">
</t>
        </r>
        <r>
          <rPr>
            <sz val="14"/>
            <color rgb="FF000000"/>
            <rFont val="Times New Roman"/>
            <family val="18"/>
          </rPr>
          <t>13/09/1804 Muster: IR 23 Haupt Böhm Nr. 62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[ST May 1806 &amp; ML 1807] </t>
        </r>
      </text>
    </comment>
    <comment ref="BG209" authorId="0" shapeId="0" xr:uid="{87EFF08D-96B8-FE4F-B3DC-F6B42039B64F}">
      <text>
        <r>
          <rPr>
            <sz val="14"/>
            <color rgb="FF000000"/>
            <rFont val="Times New Roman"/>
            <family val="18"/>
          </rPr>
          <t>ML 10.124 IR 23 (1802) – Haupt Böhm Komp. Nr. 78 (Krems 09/09/1802)</t>
        </r>
        <r>
          <rPr>
            <sz val="14"/>
            <color rgb="FF000000"/>
            <rFont val="Calibri"/>
            <family val="34"/>
          </rPr>
          <t xml:space="preserve">
</t>
        </r>
        <r>
          <rPr>
            <sz val="14"/>
            <color rgb="FF000000"/>
            <rFont val="Times New Roman"/>
            <family val="18"/>
          </rPr>
          <t>ML 10.125 IR 23 (1803) – Haupt Böhm Komp. Nr. 78 (Execierlager bei St Pölten 07/09/1803)</t>
        </r>
        <r>
          <rPr>
            <sz val="14"/>
            <color rgb="FF000000"/>
            <rFont val="Calibri"/>
            <family val="34"/>
          </rPr>
          <t xml:space="preserve">
</t>
        </r>
        <r>
          <rPr>
            <sz val="14"/>
            <color rgb="FF000000"/>
            <rFont val="Times New Roman"/>
            <family val="18"/>
          </rPr>
          <t>ML 10.126 IR 23 (1804) – Haupt Böhm Komp. Nr. 78 (Vienna 13/09/1804)</t>
        </r>
        <r>
          <rPr>
            <sz val="14"/>
            <color rgb="FF000000"/>
            <rFont val="Calibri"/>
            <family val="34"/>
          </rPr>
          <t xml:space="preserve">
</t>
        </r>
        <r>
          <rPr>
            <sz val="14"/>
            <color rgb="FF000000"/>
            <rFont val="Times New Roman"/>
            <family val="18"/>
          </rPr>
          <t>ML 10.164 IR 23 (1799) – ST April (??), June (21/07/1800), July (12/10/1800), ST Aug (22/10/1800), Sept (01/04/1801)</t>
        </r>
        <r>
          <rPr>
            <sz val="14"/>
            <color rgb="FF000000"/>
            <rFont val="Calibri"/>
            <family val="34"/>
          </rPr>
          <t xml:space="preserve">
</t>
        </r>
        <r>
          <rPr>
            <sz val="14"/>
            <color rgb="FF000000"/>
            <rFont val="Times New Roman"/>
            <family val="18"/>
          </rPr>
          <t>ML 10.165 IR 23 (1799) – AL Nr. 130 (Zolkiew 19/12/1799)</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209" authorId="0" shapeId="0" xr:uid="{A41E8527-8276-C345-8DE5-2723ADD7CB62}">
      <text>
        <r>
          <rPr>
            <sz val="14"/>
            <color rgb="FF000000"/>
            <rFont val="Calibri"/>
            <family val="34"/>
          </rPr>
          <t>IR 23 (1798-1806)</t>
        </r>
      </text>
    </comment>
    <comment ref="BF210" authorId="0" shapeId="0" xr:uid="{16FF651D-29A1-2644-974C-E04C50063B49}">
      <text>
        <r>
          <rPr>
            <sz val="14"/>
            <color rgb="FF000000"/>
            <rFont val="Times New Roman"/>
            <family val="18"/>
          </rPr>
          <t xml:space="preserve">28/11/1798 </t>
        </r>
        <r>
          <rPr>
            <i/>
            <sz val="14"/>
            <color rgb="FF000000"/>
            <rFont val="Times New Roman"/>
            <family val="18"/>
          </rPr>
          <t>Von standen a 3Fl Handgeld in Gallizien gestellt [</t>
        </r>
        <r>
          <rPr>
            <sz val="14"/>
            <color rgb="FF000000"/>
            <rFont val="Times New Roman"/>
            <family val="18"/>
          </rPr>
          <t>ST Feb 1799]</t>
        </r>
        <r>
          <rPr>
            <sz val="14"/>
            <color rgb="FF000000"/>
            <rFont val="Calibri"/>
            <family val="34"/>
          </rPr>
          <t xml:space="preserve">
</t>
        </r>
        <r>
          <rPr>
            <sz val="14"/>
            <color rgb="FF000000"/>
            <rFont val="Times New Roman"/>
            <family val="18"/>
          </rPr>
          <t xml:space="preserve">01/03/1801 </t>
        </r>
        <r>
          <rPr>
            <i/>
            <sz val="14"/>
            <color rgb="FF000000"/>
            <rFont val="Times New Roman"/>
            <family val="18"/>
          </rPr>
          <t>Als angehöriger von Reserve Division auf Konskription in Galizien Kommandiert</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Geistler Comp Transferiert und wie Früher auf Conscription in Galizien Commandiert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Vermog Hofkriegsratlichen Reskripts von 23. Sept 1801 gegen Stellung andere Leute und erlag einfaches Monturgeldes mit Abschied entlassen</t>
        </r>
        <r>
          <rPr>
            <sz val="14"/>
            <color rgb="FF000000"/>
            <rFont val="Times New Roman"/>
            <family val="18"/>
          </rPr>
          <t xml:space="preserve"> [ML 1802 &amp; ST Feb 1802]</t>
        </r>
        <r>
          <rPr>
            <sz val="14"/>
            <color rgb="FF000000"/>
            <rFont val="Calibri"/>
            <family val="34"/>
          </rPr>
          <t xml:space="preserve">
</t>
        </r>
      </text>
    </comment>
    <comment ref="BG210" authorId="0" shapeId="0" xr:uid="{875DC654-D0C2-FF47-8CA7-B53679BFF4B9}">
      <text>
        <r>
          <rPr>
            <sz val="14"/>
            <color rgb="FF000000"/>
            <rFont val="Times New Roman"/>
            <family val="18"/>
          </rPr>
          <t>ML 10.272 IR 43 (1802) – Geistler Comp. Abgang (Cattaro 28/08/1802)</t>
        </r>
        <r>
          <rPr>
            <sz val="14"/>
            <color rgb="FF000000"/>
            <rFont val="Calibri"/>
            <family val="34"/>
          </rPr>
          <t xml:space="preserve">
</t>
        </r>
        <r>
          <rPr>
            <sz val="14"/>
            <color rgb="FF000000"/>
            <rFont val="Times New Roman"/>
            <family val="18"/>
          </rPr>
          <t>ML 10.307 IR 43 (1799) – ST März (30/05/1799)</t>
        </r>
        <r>
          <rPr>
            <sz val="14"/>
            <color rgb="FF000000"/>
            <rFont val="Calibri"/>
            <family val="34"/>
          </rPr>
          <t xml:space="preserve">
</t>
        </r>
        <r>
          <rPr>
            <sz val="14"/>
            <color rgb="FF000000"/>
            <rFont val="Times New Roman"/>
            <family val="18"/>
          </rPr>
          <t>ML 10.311 IR 43 (1801) – ST März (10/10/1804), Juni (20/06/1805)</t>
        </r>
        <r>
          <rPr>
            <sz val="14"/>
            <color rgb="FF000000"/>
            <rFont val="Calibri"/>
            <family val="34"/>
          </rPr>
          <t xml:space="preserve">
</t>
        </r>
        <r>
          <rPr>
            <sz val="14"/>
            <color rgb="FF000000"/>
            <rFont val="Times New Roman"/>
            <family val="18"/>
          </rPr>
          <t>ML 10.312 IR 43 (1802) – ST Feb (15/03/1802)</t>
        </r>
        <r>
          <rPr>
            <sz val="14"/>
            <color rgb="FF000000"/>
            <rFont val="Calibri"/>
            <family val="34"/>
          </rPr>
          <t xml:space="preserve">
</t>
        </r>
      </text>
    </comment>
    <comment ref="BH210" authorId="0" shapeId="0" xr:uid="{60B6B796-C815-2841-A192-65D3BBFBBF15}">
      <text>
        <r>
          <rPr>
            <sz val="14"/>
            <color rgb="FF000000"/>
            <rFont val="Calibri"/>
            <family val="34"/>
          </rPr>
          <t>IR 43 (1798-1801)</t>
        </r>
      </text>
    </comment>
    <comment ref="BF211" authorId="0" shapeId="0" xr:uid="{A3013736-27D3-3D44-A45B-59B5348A044A}">
      <text>
        <r>
          <rPr>
            <sz val="14"/>
            <color rgb="FF000000"/>
            <rFont val="Times New Roman"/>
            <family val="18"/>
          </rPr>
          <t xml:space="preserve">28/11/1798 </t>
        </r>
        <r>
          <rPr>
            <i/>
            <sz val="14"/>
            <color rgb="FF000000"/>
            <rFont val="Times New Roman"/>
            <family val="18"/>
          </rPr>
          <t>von Ständen a 3Fl Handgeld in Galizien gestellt und seitdem auf den Marsch mit Friedensgebühr</t>
        </r>
        <r>
          <rPr>
            <sz val="14"/>
            <color rgb="FF000000"/>
            <rFont val="Times New Roman"/>
            <family val="18"/>
          </rPr>
          <t xml:space="preserve"> [ST Feb 1799]</t>
        </r>
        <r>
          <rPr>
            <sz val="14"/>
            <color rgb="FF000000"/>
            <rFont val="Calibri"/>
            <family val="34"/>
          </rPr>
          <t xml:space="preserve">
</t>
        </r>
        <r>
          <rPr>
            <sz val="14"/>
            <color rgb="FF000000"/>
            <rFont val="Times New Roman"/>
            <family val="18"/>
          </rPr>
          <t xml:space="preserve">In 02/1798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FF0000"/>
            <rFont val="Times New Roman"/>
            <family val="18"/>
          </rPr>
          <t xml:space="preserve">14/07/1799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zum Haupt Geistler Komp. transferiert und seitdem ins Regiments Erziehungshaus mit Tagl. 4/8 Xr Fleischgeld kommandiert</t>
        </r>
        <r>
          <rPr>
            <sz val="14"/>
            <color rgb="FF000000"/>
            <rFont val="Times New Roman"/>
            <family val="18"/>
          </rPr>
          <t xml:space="preserve"> [spater respt 1Xr Fleischgeld] </t>
        </r>
        <r>
          <rPr>
            <sz val="14"/>
            <color rgb="FF000000"/>
            <rFont val="Calibri"/>
            <family val="34"/>
          </rPr>
          <t xml:space="preserve">
</t>
        </r>
        <r>
          <rPr>
            <sz val="14"/>
            <color rgb="FF000000"/>
            <rFont val="Times New Roman"/>
            <family val="18"/>
          </rPr>
          <t xml:space="preserve">11/04/1802 </t>
        </r>
        <r>
          <rPr>
            <i/>
            <sz val="14"/>
            <color rgb="FF000000"/>
            <rFont val="Times New Roman"/>
            <family val="18"/>
          </rPr>
          <t>Krank in Laibach</t>
        </r>
        <r>
          <rPr>
            <sz val="14"/>
            <color rgb="FF000000"/>
            <rFont val="Times New Roman"/>
            <family val="18"/>
          </rPr>
          <t xml:space="preserve"> [ST April 1802]</t>
        </r>
        <r>
          <rPr>
            <sz val="14"/>
            <color rgb="FF000000"/>
            <rFont val="Calibri"/>
            <family val="34"/>
          </rPr>
          <t xml:space="preserve">
</t>
        </r>
        <r>
          <rPr>
            <sz val="14"/>
            <color rgb="FF000000"/>
            <rFont val="Times New Roman"/>
            <family val="18"/>
          </rPr>
          <t xml:space="preserve">20/05/1802 </t>
        </r>
        <r>
          <rPr>
            <i/>
            <sz val="14"/>
            <color rgb="FF000000"/>
            <rFont val="Times New Roman"/>
            <family val="18"/>
          </rPr>
          <t>Rekonvalesziert</t>
        </r>
        <r>
          <rPr>
            <sz val="14"/>
            <color rgb="FF000000"/>
            <rFont val="Times New Roman"/>
            <family val="18"/>
          </rPr>
          <t xml:space="preserve"> [ST Juni 1802]</t>
        </r>
        <r>
          <rPr>
            <sz val="14"/>
            <color rgb="FF000000"/>
            <rFont val="Calibri"/>
            <family val="34"/>
          </rPr>
          <t xml:space="preserve">
</t>
        </r>
        <r>
          <rPr>
            <sz val="14"/>
            <color rgb="FF000000"/>
            <rFont val="Times New Roman"/>
            <family val="18"/>
          </rPr>
          <t xml:space="preserve">06/06/1802 </t>
        </r>
        <r>
          <rPr>
            <i/>
            <sz val="14"/>
            <color rgb="FF000000"/>
            <rFont val="Times New Roman"/>
            <family val="18"/>
          </rPr>
          <t>Auf Bestimmte Zeit beurlaubt</t>
        </r>
        <r>
          <rPr>
            <sz val="14"/>
            <color rgb="FF000000"/>
            <rFont val="Times New Roman"/>
            <family val="18"/>
          </rPr>
          <t xml:space="preserve"> [ST Juni 1802]</t>
        </r>
        <r>
          <rPr>
            <sz val="14"/>
            <color rgb="FF000000"/>
            <rFont val="Calibri"/>
            <family val="34"/>
          </rPr>
          <t xml:space="preserve">
</t>
        </r>
        <r>
          <rPr>
            <sz val="14"/>
            <color rgb="FF000000"/>
            <rFont val="Times New Roman"/>
            <family val="18"/>
          </rPr>
          <t>28/08/1802 Muster: IR 43 Haupt Geistler Komp. Nr. 86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20/08/1803 </t>
        </r>
        <r>
          <rPr>
            <i/>
            <sz val="14"/>
            <color rgb="FF000000"/>
            <rFont val="Times New Roman"/>
            <family val="18"/>
          </rPr>
          <t>Vermog abgehaltenen Superarbietrierung als Real Invalid, gegen Renuncierung auf alle Militair Beneficien Mit Abschied entlassen</t>
        </r>
        <r>
          <rPr>
            <sz val="14"/>
            <color rgb="FF000000"/>
            <rFont val="Times New Roman"/>
            <family val="18"/>
          </rPr>
          <t xml:space="preserve"> [ST Aug 1803 &amp; ML 1803] </t>
        </r>
        <r>
          <rPr>
            <sz val="14"/>
            <color rgb="FF000000"/>
            <rFont val="Calibri"/>
            <family val="34"/>
          </rPr>
          <t xml:space="preserve">
</t>
        </r>
      </text>
    </comment>
    <comment ref="BG211" authorId="0" shapeId="0" xr:uid="{CF17D4EB-BE10-AD43-87FC-F8C9E74D66C0}">
      <text>
        <r>
          <rPr>
            <sz val="14"/>
            <color rgb="FF000000"/>
            <rFont val="Times New Roman"/>
            <family val="18"/>
          </rPr>
          <t>ML 10.272 IR 43 (1802) – Haupt Geistler Komp. Nr. 86 (Cattaro 28/08/1802)</t>
        </r>
        <r>
          <rPr>
            <sz val="14"/>
            <color rgb="FF000000"/>
            <rFont val="Calibri"/>
            <family val="34"/>
          </rPr>
          <t xml:space="preserve">
</t>
        </r>
        <r>
          <rPr>
            <sz val="14"/>
            <color rgb="FF000000"/>
            <rFont val="Times New Roman"/>
            <family val="18"/>
          </rPr>
          <t>ML 10.273 IR 43 (1803) – Haupt Geistler Abgang (Zara 02/11/1803)</t>
        </r>
        <r>
          <rPr>
            <sz val="14"/>
            <color rgb="FF000000"/>
            <rFont val="Calibri"/>
            <family val="34"/>
          </rPr>
          <t xml:space="preserve">
</t>
        </r>
        <r>
          <rPr>
            <sz val="14"/>
            <color rgb="FF000000"/>
            <rFont val="Times New Roman"/>
            <family val="18"/>
          </rPr>
          <t>ML 10.307 IR 43 (1799) – ST Feb (29/04/1799)</t>
        </r>
        <r>
          <rPr>
            <sz val="14"/>
            <color rgb="FF000000"/>
            <rFont val="Calibri"/>
            <family val="34"/>
          </rPr>
          <t xml:space="preserve">
</t>
        </r>
        <r>
          <rPr>
            <sz val="14"/>
            <color rgb="FF000000"/>
            <rFont val="Times New Roman"/>
            <family val="18"/>
          </rPr>
          <t>ML 10.311 IR 43 (1801) – ST June (20/06/1805)</t>
        </r>
        <r>
          <rPr>
            <sz val="14"/>
            <color rgb="FF000000"/>
            <rFont val="Calibri"/>
            <family val="34"/>
          </rPr>
          <t xml:space="preserve">
</t>
        </r>
        <r>
          <rPr>
            <sz val="14"/>
            <color rgb="FF000000"/>
            <rFont val="Times New Roman"/>
            <family val="18"/>
          </rPr>
          <t>ML 10.312 IR 43 (1802) – ST April (15/05/1802), Juni (15/07/1802)</t>
        </r>
        <r>
          <rPr>
            <sz val="14"/>
            <color rgb="FF000000"/>
            <rFont val="Calibri"/>
            <family val="34"/>
          </rPr>
          <t xml:space="preserve">
</t>
        </r>
        <r>
          <rPr>
            <sz val="14"/>
            <color rgb="FF000000"/>
            <rFont val="Times New Roman"/>
            <family val="18"/>
          </rPr>
          <t>ML 10.313 IR 43 (1803) – ST Aug (15/09/1803)</t>
        </r>
        <r>
          <rPr>
            <sz val="14"/>
            <color rgb="FF000000"/>
            <rFont val="Calibri"/>
            <family val="34"/>
          </rPr>
          <t xml:space="preserve">
</t>
        </r>
      </text>
    </comment>
    <comment ref="BH211" authorId="0" shapeId="0" xr:uid="{2F3CDA4E-02AC-A24E-97E8-C7E202E1C2F4}">
      <text>
        <r>
          <rPr>
            <sz val="14"/>
            <color rgb="FF000000"/>
            <rFont val="Calibri"/>
            <family val="34"/>
          </rPr>
          <t>IR 43 (1798-1803)</t>
        </r>
      </text>
    </comment>
    <comment ref="T212" authorId="0" shapeId="0" xr:uid="{F28F14F9-689E-0E4F-BA89-458B21CDD648}">
      <text>
        <r>
          <rPr>
            <sz val="14"/>
            <color rgb="FF000000"/>
            <rFont val="Calibri"/>
            <family val="34"/>
          </rPr>
          <t xml:space="preserve">5.2  [13.26 cm] (1798)
</t>
        </r>
        <r>
          <rPr>
            <sz val="14"/>
            <color rgb="FF000000"/>
            <rFont val="Calibri"/>
            <family val="34"/>
          </rPr>
          <t>5.3 [169.89 cm] (1802)</t>
        </r>
      </text>
    </comment>
    <comment ref="BF212" authorId="0" shapeId="0" xr:uid="{885F7C31-6A6A-5D4D-B18F-6C8F672E422B}">
      <text>
        <r>
          <rPr>
            <sz val="14"/>
            <color rgb="FF000000"/>
            <rFont val="Times New Roman"/>
            <family val="18"/>
          </rPr>
          <t xml:space="preserve">30/11/1798 </t>
        </r>
        <r>
          <rPr>
            <i/>
            <sz val="14"/>
            <color rgb="FF000000"/>
            <rFont val="Times New Roman"/>
            <family val="18"/>
          </rPr>
          <t>Von Galicischen Ständen auf Beständig assentiert</t>
        </r>
        <r>
          <rPr>
            <sz val="14"/>
            <color rgb="FF000000"/>
            <rFont val="Times New Roman"/>
            <family val="18"/>
          </rPr>
          <t xml:space="preserve"> </t>
        </r>
        <r>
          <rPr>
            <i/>
            <sz val="14"/>
            <color rgb="FF000000"/>
            <rFont val="Times New Roman"/>
            <family val="18"/>
          </rPr>
          <t xml:space="preserve">gestellt und a 3Fl Handgeld zum IR 23 Reserve Division assentiert und seitdem auf anhero Marsch mit auswärtiger Verpflegung </t>
        </r>
        <r>
          <rPr>
            <sz val="14"/>
            <color rgb="FF000000"/>
            <rFont val="Times New Roman"/>
            <family val="18"/>
          </rPr>
          <t>[AL Dec 1799 &amp; ST 1799 &amp; ST March 1799 &amp; ML 1802 ]</t>
        </r>
        <r>
          <rPr>
            <sz val="14"/>
            <color rgb="FF000000"/>
            <rFont val="Calibri"/>
            <family val="34"/>
          </rPr>
          <t xml:space="preserve">
</t>
        </r>
        <r>
          <rPr>
            <sz val="14"/>
            <color rgb="FF000000"/>
            <rFont val="Times New Roman"/>
            <family val="18"/>
          </rPr>
          <t>09/09/1802 Muster: IR 23 Haupt Ebertin Nr. 70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	</t>
        </r>
      </text>
    </comment>
    <comment ref="BG212" authorId="0" shapeId="0" xr:uid="{D57B6671-9BAE-BC4E-A9B5-B22AED619785}">
      <text>
        <r>
          <rPr>
            <sz val="14"/>
            <color rgb="FF000000"/>
            <rFont val="Times New Roman"/>
            <family val="18"/>
          </rPr>
          <t>ML 10.124 IR 23 (1802) – Haupt Ebertin Komp. Nr. 70 (Krems 09/09/1802)</t>
        </r>
        <r>
          <rPr>
            <sz val="14"/>
            <color rgb="FF000000"/>
            <rFont val="Calibri"/>
            <family val="34"/>
          </rPr>
          <t xml:space="preserve">
</t>
        </r>
        <r>
          <rPr>
            <sz val="14"/>
            <color rgb="FF000000"/>
            <rFont val="Times New Roman"/>
            <family val="18"/>
          </rPr>
          <t>ML 10.125 IR 23 (1802) – Haupt Kleinschmidt Komp. Abgang (Execierlager bei St Pölten 07/09/1802)</t>
        </r>
        <r>
          <rPr>
            <sz val="14"/>
            <color rgb="FF000000"/>
            <rFont val="Calibri"/>
            <family val="34"/>
          </rPr>
          <t xml:space="preserve">
</t>
        </r>
        <r>
          <rPr>
            <sz val="14"/>
            <color rgb="FF000000"/>
            <rFont val="Times New Roman"/>
            <family val="18"/>
          </rPr>
          <t>ML 10.164 IR 23 (1799) – ST March (??)</t>
        </r>
        <r>
          <rPr>
            <sz val="14"/>
            <color rgb="FF000000"/>
            <rFont val="Calibri"/>
            <family val="34"/>
          </rPr>
          <t xml:space="preserve">
</t>
        </r>
        <r>
          <rPr>
            <sz val="14"/>
            <color rgb="FF000000"/>
            <rFont val="Times New Roman"/>
            <family val="18"/>
          </rPr>
          <t>ML 10.165 IR 23 (1799) AL/TL – AL Nr. 160 (Zolkiew 19/12/1798)</t>
        </r>
      </text>
    </comment>
    <comment ref="BH212" authorId="0" shapeId="0" xr:uid="{EE9A01C6-0E1C-0541-99A9-05EB1B1FF9B1}">
      <text>
        <r>
          <rPr>
            <sz val="14"/>
            <color rgb="FF000000"/>
            <rFont val="Calibri"/>
            <family val="34"/>
          </rPr>
          <t>IR 23 (1798-1803)</t>
        </r>
      </text>
    </comment>
    <comment ref="BF213" authorId="0" shapeId="0" xr:uid="{5C5D0F20-1EAD-B74B-A36C-25C1D9D6342C}">
      <text>
        <r>
          <rPr>
            <sz val="14"/>
            <color rgb="FF000000"/>
            <rFont val="Times New Roman"/>
            <family val="18"/>
          </rPr>
          <t xml:space="preserve">07/12/1798 </t>
        </r>
        <r>
          <rPr>
            <i/>
            <sz val="14"/>
            <color rgb="FF000000"/>
            <rFont val="Times New Roman"/>
            <family val="18"/>
          </rPr>
          <t>Von den Galizischen Stände a 3Fl gestellt und zu Olkusz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In seinem Geburtsort Beurlaubt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Petrick Nr. 69 [</t>
        </r>
        <r>
          <rPr>
            <i/>
            <sz val="14"/>
            <color rgb="FF000000"/>
            <rFont val="Times New Roman"/>
            <family val="18"/>
          </rPr>
          <t>Beurlaubt bis zur Einberufung in Galizien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Petrick Nr. 67</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als unwissend verloren in Abgang</t>
        </r>
        <r>
          <rPr>
            <sz val="14"/>
            <color rgb="FF000000"/>
            <rFont val="Times New Roman"/>
            <family val="18"/>
          </rPr>
          <t xml:space="preserve"> [ML 1806]</t>
        </r>
        <r>
          <rPr>
            <sz val="14"/>
            <color rgb="FF000000"/>
            <rFont val="Calibri"/>
            <family val="34"/>
          </rPr>
          <t xml:space="preserve">
</t>
        </r>
      </text>
    </comment>
    <comment ref="BG213" authorId="0" shapeId="0" xr:uid="{087B6C16-5A20-4540-A7EB-7FAF9E134AB4}">
      <text>
        <r>
          <rPr>
            <sz val="14"/>
            <color rgb="FF000000"/>
            <rFont val="Times New Roman"/>
            <family val="18"/>
          </rPr>
          <t>ML 5015 IR 59 (1803) –Haupt. Petrick Komp. Nr. 69 (Enns 29/08/1803)</t>
        </r>
        <r>
          <rPr>
            <sz val="14"/>
            <color rgb="FF000000"/>
            <rFont val="Calibri"/>
            <family val="34"/>
          </rPr>
          <t xml:space="preserve">
</t>
        </r>
        <r>
          <rPr>
            <sz val="14"/>
            <color rgb="FF000000"/>
            <rFont val="Times New Roman"/>
            <family val="18"/>
          </rPr>
          <t>ML 5015 IR 59 (1804) –Haupt. Petrick Komp Nr. 67 (Innsbruck 03/09/1804)</t>
        </r>
        <r>
          <rPr>
            <sz val="14"/>
            <color rgb="FF000000"/>
            <rFont val="Calibri"/>
            <family val="34"/>
          </rPr>
          <t xml:space="preserve">
</t>
        </r>
        <r>
          <rPr>
            <sz val="14"/>
            <color rgb="FF000000"/>
            <rFont val="Times New Roman"/>
            <family val="18"/>
          </rPr>
          <t>ML 5017/8 IR 59 (1806) – 4. Fus. Komp. Aagang &amp; Cons. Unwissend verlohren‘ Nr. 83 (Linz 10/07/1807)</t>
        </r>
        <r>
          <rPr>
            <sz val="14"/>
            <color rgb="FF000000"/>
            <rFont val="Calibri"/>
            <family val="34"/>
          </rPr>
          <t xml:space="preserve">
</t>
        </r>
      </text>
    </comment>
    <comment ref="BH213" authorId="0" shapeId="0" xr:uid="{EE581DDC-00F4-4E46-A436-BBEF4FED9B55}">
      <text>
        <r>
          <rPr>
            <sz val="14"/>
            <color rgb="FF000000"/>
            <rFont val="Calibri"/>
            <family val="34"/>
          </rPr>
          <t>IR 43 (1798-1806)</t>
        </r>
      </text>
    </comment>
    <comment ref="I214" authorId="0" shapeId="0" xr:uid="{5D09C8D7-6B41-504F-8B9F-397633B730C5}">
      <text>
        <r>
          <rPr>
            <sz val="14"/>
            <color rgb="FF000000"/>
            <rFont val="Calibri"/>
            <family val="34"/>
          </rPr>
          <t xml:space="preserve">1780 [23 (1803)] 
</t>
        </r>
        <r>
          <rPr>
            <sz val="14"/>
            <color rgb="FF000000"/>
            <rFont val="Calibri"/>
            <family val="34"/>
          </rPr>
          <t xml:space="preserve">OR 
</t>
        </r>
        <r>
          <rPr>
            <sz val="14"/>
            <color rgb="FF000000"/>
            <rFont val="Calibri"/>
            <family val="34"/>
          </rPr>
          <t>1775 [30 (1805)]</t>
        </r>
      </text>
    </comment>
    <comment ref="BF214" authorId="0" shapeId="0" xr:uid="{B833213C-EEF3-D944-97C3-EF5F25647267}">
      <text>
        <r>
          <rPr>
            <sz val="14"/>
            <color rgb="FFFF0000"/>
            <rFont val="Times New Roman"/>
            <family val="18"/>
          </rPr>
          <t xml:space="preserve">c. 1795 </t>
        </r>
        <r>
          <rPr>
            <i/>
            <sz val="14"/>
            <color rgb="FFFF0000"/>
            <rFont val="Times New Roman"/>
            <family val="18"/>
          </rPr>
          <t>10 Dienst Jahren in 1805</t>
        </r>
        <r>
          <rPr>
            <sz val="14"/>
            <color rgb="FFFF0000"/>
            <rFont val="Times New Roman"/>
            <family val="18"/>
          </rPr>
          <t xml:space="preserve"> [SUP June 1805)</t>
        </r>
        <r>
          <rPr>
            <sz val="14"/>
            <color rgb="FF000000"/>
            <rFont val="Times New Roman"/>
            <family val="18"/>
          </rPr>
          <t xml:space="preserve">
</t>
        </r>
        <r>
          <rPr>
            <sz val="14"/>
            <color rgb="FF000000"/>
            <rFont val="Times New Roman"/>
            <family val="18"/>
          </rPr>
          <t xml:space="preserve">07/12/1798 </t>
        </r>
        <r>
          <rPr>
            <i/>
            <sz val="14"/>
            <color rgb="FF000000"/>
            <rFont val="Times New Roman"/>
            <family val="18"/>
          </rPr>
          <t>Von galizischen Ständen a 3Fl gestellt</t>
        </r>
        <r>
          <rPr>
            <sz val="14"/>
            <color rgb="FF000000"/>
            <rFont val="Times New Roman"/>
            <family val="18"/>
          </rPr>
          <t xml:space="preserve"> [ML 1804]
</t>
        </r>
        <r>
          <rPr>
            <sz val="14"/>
            <color rgb="FF000000"/>
            <rFont val="Times New Roman"/>
            <family val="18"/>
          </rPr>
          <t>29/08/1803 Muster: IR 59 Haupt Petrick Nr. 67 [</t>
        </r>
        <r>
          <rPr>
            <i/>
            <sz val="14"/>
            <color rgb="FF000000"/>
            <rFont val="Times New Roman"/>
            <family val="18"/>
          </rPr>
          <t>Beurlaubt in Galizien in seinem Geburtsort</t>
        </r>
        <r>
          <rPr>
            <sz val="14"/>
            <color rgb="FF000000"/>
            <rFont val="Times New Roman"/>
            <family val="18"/>
          </rPr>
          <t xml:space="preserve">] 
</t>
        </r>
        <r>
          <rPr>
            <sz val="14"/>
            <color rgb="FF000000"/>
            <rFont val="Times New Roman"/>
            <family val="18"/>
          </rPr>
          <t>03/09/1804 Muster: IR 59 Haupt Petrick Nr. 65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14/06/1805 Als von unbestimmtem Urlaub eingerückte in Krakow Superarbitriert: </t>
        </r>
        <r>
          <rPr>
            <i/>
            <sz val="14"/>
            <color rgb="FF000000"/>
            <rFont val="Times New Roman"/>
            <family val="18"/>
          </rPr>
          <t>Real Invalid und in folge Hofkriegsratlicher Verordnung von 10/05/1805 zu entlassen</t>
        </r>
        <r>
          <rPr>
            <sz val="14"/>
            <color rgb="FF000000"/>
            <rFont val="Times New Roman"/>
            <family val="18"/>
          </rPr>
          <t xml:space="preserve"> [SUP June 1806]
</t>
        </r>
        <r>
          <rPr>
            <sz val="14"/>
            <color rgb="FF000000"/>
            <rFont val="Times New Roman"/>
            <family val="18"/>
          </rPr>
          <t xml:space="preserve">14/06/1805 </t>
        </r>
        <r>
          <rPr>
            <i/>
            <sz val="14"/>
            <color rgb="FF000000"/>
            <rFont val="Times New Roman"/>
            <family val="18"/>
          </rPr>
          <t>Gegen Renuncierung als Reale Invalid mit Abschied entlassen</t>
        </r>
        <r>
          <rPr>
            <sz val="14"/>
            <color rgb="FF000000"/>
            <rFont val="Times New Roman"/>
            <family val="18"/>
          </rPr>
          <t xml:space="preserve"> [ML 1806]
</t>
        </r>
      </text>
    </comment>
    <comment ref="BG214" authorId="0" shapeId="0" xr:uid="{CD4498CA-07CE-F54B-B980-3F084819593D}">
      <text>
        <r>
          <rPr>
            <sz val="14"/>
            <color rgb="FF000000"/>
            <rFont val="Times New Roman"/>
            <family val="18"/>
          </rPr>
          <t xml:space="preserve">ML 5015 IR 59 (1803) – Haupt Petrick Comp. Nr. 67 (Enns, 29/08/1803)
</t>
        </r>
        <r>
          <rPr>
            <sz val="14"/>
            <color rgb="FF000000"/>
            <rFont val="Times New Roman"/>
            <family val="18"/>
          </rPr>
          <t xml:space="preserve">ML 5016 IR 59 (1804) – Haupt Petrick Comp. Nr. 65 (Innsbruck 03/09/1804)
</t>
        </r>
        <r>
          <rPr>
            <sz val="14"/>
            <color rgb="FF000000"/>
            <rFont val="Times New Roman"/>
            <family val="18"/>
          </rPr>
          <t xml:space="preserve">ML 5017/8 IR 59 (1806) – 4. Fus. Abgang (Florian 27/12/1806)
</t>
        </r>
        <r>
          <rPr>
            <sz val="14"/>
            <color rgb="FF000000"/>
            <rFont val="Times New Roman"/>
            <family val="18"/>
          </rPr>
          <t xml:space="preserve">ML 5067 IR 59 (1805) – AL/TL SUP pro Junio Nr. 1 (Kraków 14/06/1805)
</t>
        </r>
      </text>
    </comment>
    <comment ref="BH214" authorId="0" shapeId="0" xr:uid="{BF25F696-9D82-3245-AEBD-A37EDE2672A8}">
      <text>
        <r>
          <rPr>
            <sz val="14"/>
            <color rgb="FF000000"/>
            <rFont val="Calibri"/>
            <family val="34"/>
          </rPr>
          <t>IR 43 (1798-1805)</t>
        </r>
      </text>
    </comment>
    <comment ref="BJ214" authorId="0" shapeId="0" xr:uid="{F09EC410-65CD-EE4D-A82F-FD6C815ADC1F}">
      <text>
        <r>
          <rPr>
            <i/>
            <sz val="14"/>
            <color rgb="FF000000"/>
            <rFont val="Times New Roman"/>
            <family val="18"/>
          </rPr>
          <t xml:space="preserve">Mit Blut Spucken starke Balsthals, ist ankönnend ein Hals Bindel zu tragen, auch Anlage zur Lungenschandsucht </t>
        </r>
        <r>
          <rPr>
            <sz val="14"/>
            <color rgb="FF000000"/>
            <rFont val="Times New Roman"/>
            <family val="18"/>
          </rPr>
          <t>[SUP June 1815]</t>
        </r>
      </text>
    </comment>
    <comment ref="BF215" authorId="0" shapeId="0" xr:uid="{3C9A45DC-BBB1-AE4B-A60C-D090E96ADB15}">
      <text>
        <r>
          <rPr>
            <sz val="14"/>
            <color rgb="FF000000"/>
            <rFont val="Times New Roman"/>
            <family val="18"/>
          </rPr>
          <t xml:space="preserve">01/01/1799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06/11/1799 </t>
        </r>
        <r>
          <rPr>
            <i/>
            <sz val="14"/>
            <color rgb="FF000000"/>
            <rFont val="Times New Roman"/>
            <family val="18"/>
          </rPr>
          <t>Bei affair zu Novi blessiert, seitdem Krank in Armee Spital</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 in Abgang</t>
        </r>
        <r>
          <rPr>
            <sz val="14"/>
            <color rgb="FF000000"/>
            <rFont val="Times New Roman"/>
            <family val="18"/>
          </rPr>
          <t xml:space="preserve"> [ML 1802]</t>
        </r>
        <r>
          <rPr>
            <sz val="14"/>
            <color rgb="FF000000"/>
            <rFont val="Calibri"/>
            <family val="34"/>
          </rPr>
          <t xml:space="preserve">
</t>
        </r>
      </text>
    </comment>
    <comment ref="BG215" authorId="0" shapeId="0" xr:uid="{3BB886A2-6048-C240-869E-2421015F87EC}">
      <text>
        <r>
          <rPr>
            <sz val="14"/>
            <color rgb="FF000000"/>
            <rFont val="Times New Roman"/>
            <family val="18"/>
          </rPr>
          <t>ML 10.124 IR 23 (1802) – Haupt Rauch Komp. Abgang (Vienna 16/09/1802)</t>
        </r>
        <r>
          <rPr>
            <sz val="14"/>
            <color rgb="FF000000"/>
            <rFont val="Calibri"/>
            <family val="34"/>
          </rPr>
          <t xml:space="preserve">
</t>
        </r>
        <r>
          <rPr>
            <sz val="14"/>
            <color rgb="FF000000"/>
            <rFont val="Times New Roman"/>
            <family val="18"/>
          </rPr>
          <t>ML 10.164 IR 23 (1799) – Nov (??)</t>
        </r>
      </text>
    </comment>
    <comment ref="BH215" authorId="0" shapeId="0" xr:uid="{565904F5-C73C-034D-AE60-351AD0555B4D}">
      <text>
        <r>
          <rPr>
            <sz val="14"/>
            <color rgb="FF000000"/>
            <rFont val="Calibri"/>
            <family val="34"/>
          </rPr>
          <t>IR 23 (1799-1801)</t>
        </r>
      </text>
    </comment>
    <comment ref="BF216" authorId="0" shapeId="0" xr:uid="{00F89434-85CA-C341-80E5-5E7DAC32893A}">
      <text>
        <r>
          <rPr>
            <sz val="14"/>
            <color rgb="FF000000"/>
            <rFont val="Times New Roman"/>
            <family val="18"/>
          </rPr>
          <t xml:space="preserve">c. 04/1799 </t>
        </r>
        <r>
          <rPr>
            <i/>
            <sz val="14"/>
            <color rgb="FF000000"/>
            <rFont val="Times New Roman"/>
            <family val="18"/>
          </rPr>
          <t>Dient Seit</t>
        </r>
        <r>
          <rPr>
            <sz val="14"/>
            <color rgb="FF000000"/>
            <rFont val="Times New Roman"/>
            <family val="18"/>
          </rPr>
          <t xml:space="preserve"> [TL April 1801]</t>
        </r>
        <r>
          <rPr>
            <sz val="14"/>
            <color rgb="FF000000"/>
            <rFont val="Calibri"/>
            <family val="34"/>
          </rPr>
          <t xml:space="preserve">
</t>
        </r>
        <r>
          <rPr>
            <sz val="14"/>
            <color rgb="FF000000"/>
            <rFont val="Times New Roman"/>
            <family val="18"/>
          </rPr>
          <t xml:space="preserve">01/01/1800 </t>
        </r>
        <r>
          <rPr>
            <i/>
            <sz val="14"/>
            <color rgb="FF000000"/>
            <rFont val="Times New Roman"/>
            <family val="18"/>
          </rPr>
          <t xml:space="preserve">Von der MFWK Artillerie Haupt Reserve zu, IR 60 Regiment Artillerie Bespannung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08/04/1801 </t>
        </r>
        <r>
          <rPr>
            <i/>
            <sz val="14"/>
            <color rgb="FF000000"/>
            <rFont val="Times New Roman"/>
            <family val="18"/>
          </rPr>
          <t xml:space="preserve">Von IR 60 Regiments Fuhrwesen ins MFWK Artillerie Haupt Reserve in Simmering Division Nr. 47. </t>
        </r>
        <r>
          <rPr>
            <sz val="14"/>
            <color rgb="FF000000"/>
            <rFont val="Times New Roman"/>
            <family val="18"/>
          </rPr>
          <t>[TL 1801 &amp; ML 1802]</t>
        </r>
        <r>
          <rPr>
            <sz val="14"/>
            <color rgb="FF000000"/>
            <rFont val="Calibri"/>
            <family val="34"/>
          </rPr>
          <t xml:space="preserve">
</t>
        </r>
      </text>
    </comment>
    <comment ref="BG216" authorId="0" shapeId="0" xr:uid="{A55F1CE4-5D54-0D43-961F-4D980A6A70E0}">
      <text>
        <r>
          <rPr>
            <sz val="14"/>
            <color rgb="FF000000"/>
            <rFont val="Calibri"/>
            <family val="34"/>
          </rPr>
          <t xml:space="preserve">ML 5102-4 IR 60 (1802) – Artillerie Bespannung Zuwachs &amp; Abgang (Tamesvar 15/09/1802)
</t>
        </r>
        <r>
          <rPr>
            <sz val="14"/>
            <color rgb="FF000000"/>
            <rFont val="Calibri"/>
            <family val="34"/>
          </rPr>
          <t>ML 5125 IR 60 (1801) AL/TL – TL IR 60-&gt;MFWK Nr. 3 (Ebersdorf 08/04/1801)</t>
        </r>
      </text>
    </comment>
    <comment ref="BH216" authorId="0" shapeId="0" xr:uid="{66F25E36-EB56-AA45-B3AD-DA62472194E6}">
      <text>
        <r>
          <rPr>
            <sz val="14"/>
            <color rgb="FF000000"/>
            <rFont val="Calibri"/>
            <family val="34"/>
          </rPr>
          <t>MFWK (1799-1801)</t>
        </r>
      </text>
    </comment>
    <comment ref="BF217" authorId="0" shapeId="0" xr:uid="{55309246-8B30-4D4F-AB84-51ADAEBA5078}">
      <text>
        <r>
          <rPr>
            <sz val="14"/>
            <color rgb="FF000000"/>
            <rFont val="Times New Roman"/>
            <family val="18"/>
          </rPr>
          <t xml:space="preserve">06/04/1799 </t>
        </r>
        <r>
          <rPr>
            <i/>
            <sz val="14"/>
            <color rgb="FF000000"/>
            <rFont val="Times New Roman"/>
            <family val="18"/>
          </rPr>
          <t>Unwissend Verloren</t>
        </r>
        <r>
          <rPr>
            <sz val="14"/>
            <color rgb="FF000000"/>
            <rFont val="Times New Roman"/>
            <family val="18"/>
          </rPr>
          <t xml:space="preserve"> [ML 1802]</t>
        </r>
        <r>
          <rPr>
            <sz val="14"/>
            <color rgb="FF000000"/>
            <rFont val="Calibri"/>
            <family val="34"/>
          </rPr>
          <t xml:space="preserve">
</t>
        </r>
      </text>
    </comment>
    <comment ref="BG217" authorId="0" shapeId="0" xr:uid="{98EA56B8-0787-D546-B68E-DCA50C197CE7}">
      <text>
        <r>
          <rPr>
            <sz val="14"/>
            <color rgb="FF000000"/>
            <rFont val="Times New Roman"/>
            <family val="18"/>
          </rPr>
          <t>ML 1937 IR 24 (1802) – Haupt Fraaz Abgang (Vienna 16/09/1802)</t>
        </r>
        <r>
          <rPr>
            <sz val="14"/>
            <color rgb="FF000000"/>
            <rFont val="Calibri"/>
            <family val="2"/>
          </rPr>
          <t xml:space="preserve"> </t>
        </r>
      </text>
    </comment>
    <comment ref="BH217" authorId="0" shapeId="0" xr:uid="{5D40619A-7A25-E443-A11A-05D51B56B359}">
      <text>
        <r>
          <rPr>
            <sz val="14"/>
            <color rgb="FF000000"/>
            <rFont val="Calibri"/>
            <family val="34"/>
          </rPr>
          <t>IR 24 (1799)</t>
        </r>
      </text>
    </comment>
    <comment ref="BF218" authorId="0" shapeId="0" xr:uid="{D2954C36-3651-A24F-92ED-0CE2D0C4D164}">
      <text>
        <r>
          <rPr>
            <sz val="14"/>
            <color rgb="FF000000"/>
            <rFont val="Times New Roman"/>
            <family val="18"/>
          </rPr>
          <t xml:space="preserve">05/1799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11/01/1800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218" authorId="0" shapeId="0" xr:uid="{F41E7C56-7109-4941-899D-E7EF99089D22}">
      <text>
        <r>
          <rPr>
            <sz val="14"/>
            <color rgb="FF000000"/>
            <rFont val="Times New Roman"/>
            <family val="18"/>
          </rPr>
          <t>ML 3543 IR 39 (1800) – TL IR 39-&gt;MFWK Nr. 6 (Eperies 30/08/1800); ST Jan 1800 (01/01/1801)</t>
        </r>
      </text>
    </comment>
    <comment ref="BH218" authorId="0" shapeId="0" xr:uid="{A113A9BD-0FC9-E347-B877-BE5F98EFB28B}">
      <text>
        <r>
          <rPr>
            <sz val="14"/>
            <color rgb="FF000000"/>
            <rFont val="Calibri"/>
            <family val="34"/>
          </rPr>
          <t>MFWK (1799-1800)</t>
        </r>
      </text>
    </comment>
    <comment ref="BF219" authorId="0" shapeId="0" xr:uid="{CED4752A-730A-6B43-BED6-4D26EAD69CBC}">
      <text>
        <r>
          <rPr>
            <sz val="14"/>
            <color rgb="FF000000"/>
            <rFont val="Times New Roman"/>
            <family val="18"/>
          </rPr>
          <t>30/05/1799 In dienst seit [ML 1802]</t>
        </r>
        <r>
          <rPr>
            <sz val="14"/>
            <color rgb="FF000000"/>
            <rFont val="Calibri"/>
            <family val="34"/>
          </rPr>
          <t xml:space="preserve">
</t>
        </r>
        <r>
          <rPr>
            <i/>
            <sz val="14"/>
            <color rgb="FFFF0000"/>
            <rFont val="Times New Roman"/>
            <family val="18"/>
          </rPr>
          <t>Diente in ‘Frehlich’ Infanterie 11 Jahr und 2 Monat</t>
        </r>
        <r>
          <rPr>
            <sz val="14"/>
            <color rgb="FFFF0000"/>
            <rFont val="Times New Roman"/>
            <family val="18"/>
          </rPr>
          <t xml:space="preserve"> [ML 1811]</t>
        </r>
        <r>
          <rPr>
            <sz val="14"/>
            <color rgb="FF000000"/>
            <rFont val="Calibri"/>
            <family val="34"/>
          </rPr>
          <t xml:space="preserve">
</t>
        </r>
        <r>
          <rPr>
            <sz val="14"/>
            <color rgb="FF000000"/>
            <rFont val="Times New Roman"/>
            <family val="18"/>
          </rPr>
          <t>18/09/1802 Muster: IR 28 Obrist Komp. Nr. 61</t>
        </r>
        <r>
          <rPr>
            <sz val="14"/>
            <color rgb="FF000000"/>
            <rFont val="Calibri"/>
            <family val="34"/>
          </rPr>
          <t xml:space="preserve">
</t>
        </r>
        <r>
          <rPr>
            <sz val="14"/>
            <color rgb="FF000000"/>
            <rFont val="Times New Roman"/>
            <family val="18"/>
          </rPr>
          <t xml:space="preserve">15/10/1810 </t>
        </r>
        <r>
          <rPr>
            <i/>
            <sz val="14"/>
            <color rgb="FF000000"/>
            <rFont val="Times New Roman"/>
            <family val="18"/>
          </rPr>
          <t>Mit Rang von Gefreiter von Regiment entlassen und zur Versorgung in Prager Invalidenhaus übersetzt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16/10/1810 </t>
        </r>
        <r>
          <rPr>
            <i/>
            <sz val="14"/>
            <color rgb="FF000000"/>
            <rFont val="Times New Roman"/>
            <family val="18"/>
          </rPr>
          <t>An der Prager Invalidenhaus zugekommen</t>
        </r>
        <r>
          <rPr>
            <sz val="14"/>
            <color rgb="FF000000"/>
            <rFont val="Calibri"/>
            <family val="34"/>
          </rPr>
          <t xml:space="preserve">
</t>
        </r>
        <r>
          <rPr>
            <sz val="14"/>
            <color rgb="FF000000"/>
            <rFont val="Times New Roman"/>
            <family val="18"/>
          </rPr>
          <t>24/06/1811 Muster: InvH Prag 13. &amp; 14 Chambre Nr. 77 [</t>
        </r>
        <r>
          <rPr>
            <i/>
            <sz val="14"/>
            <color rgb="FF000000"/>
            <rFont val="Times New Roman"/>
            <family val="18"/>
          </rPr>
          <t>Beurlaubt &amp; Für Haus Dienst untauglich</t>
        </r>
        <r>
          <rPr>
            <sz val="14"/>
            <color rgb="FF000000"/>
            <rFont val="Times New Roman"/>
            <family val="18"/>
          </rPr>
          <t>]</t>
        </r>
        <r>
          <rPr>
            <sz val="14"/>
            <color rgb="FF000000"/>
            <rFont val="Calibri"/>
            <family val="34"/>
          </rPr>
          <t xml:space="preserve">
</t>
        </r>
        <r>
          <rPr>
            <sz val="14"/>
            <color rgb="FF000000"/>
            <rFont val="Times New Roman"/>
            <family val="18"/>
          </rPr>
          <t xml:space="preserve">
</t>
        </r>
      </text>
    </comment>
    <comment ref="BG219" authorId="0" shapeId="0" xr:uid="{488C3F28-580D-DC4A-B77A-7FB4A9C884BD}">
      <text>
        <r>
          <rPr>
            <sz val="14"/>
            <color rgb="FF000000"/>
            <rFont val="Times New Roman"/>
            <family val="18"/>
          </rPr>
          <t>ML 2402 ML IR 28 (1802) – Obrist Komp. Nr. 61 (Hloupetin 18/09/1802)</t>
        </r>
        <r>
          <rPr>
            <sz val="14"/>
            <color rgb="FF000000"/>
            <rFont val="Calibri"/>
            <family val="34"/>
          </rPr>
          <t xml:space="preserve">
</t>
        </r>
        <r>
          <rPr>
            <sz val="14"/>
            <color rgb="FF000000"/>
            <rFont val="Times New Roman"/>
            <family val="18"/>
          </rPr>
          <t>ML 9664 InvH Prag (1811) –13. &amp; 14. Chambre Nr. 77 &amp; Zuwachs (Prag 24/06/1811)</t>
        </r>
      </text>
    </comment>
    <comment ref="BH219" authorId="0" shapeId="0" xr:uid="{7E8B2F05-CD44-6646-AF89-90A22FBA10EF}">
      <text>
        <r>
          <rPr>
            <sz val="14"/>
            <color rgb="FF000000"/>
            <rFont val="Calibri"/>
            <family val="34"/>
          </rPr>
          <t xml:space="preserve">IR 28 (1799-1810)
</t>
        </r>
        <r>
          <rPr>
            <sz val="14"/>
            <color rgb="FF000000"/>
            <rFont val="Calibri"/>
            <family val="34"/>
          </rPr>
          <t>InvH Prag  (1810-1811)</t>
        </r>
      </text>
    </comment>
    <comment ref="BJ219" authorId="0" shapeId="0" xr:uid="{3980CA69-644F-9C4C-9572-408CA4664D1E}">
      <text>
        <r>
          <rPr>
            <i/>
            <sz val="14"/>
            <color rgb="FF000000"/>
            <rFont val="Times New Roman"/>
            <family val="18"/>
          </rPr>
          <t xml:space="preserve">Mit sichbarem Blindsucht </t>
        </r>
        <r>
          <rPr>
            <sz val="14"/>
            <color rgb="FF000000"/>
            <rFont val="Times New Roman"/>
            <family val="18"/>
          </rPr>
          <t>[ML June 1811]</t>
        </r>
      </text>
    </comment>
    <comment ref="BF220" authorId="0" shapeId="0" xr:uid="{98BE681A-FE2D-054D-A57D-07CAA8F6554A}">
      <text>
        <r>
          <rPr>
            <sz val="14"/>
            <color rgb="FF000000"/>
            <rFont val="Times New Roman"/>
            <family val="18"/>
          </rPr>
          <t xml:space="preserve">06/1799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14/01/1800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220" authorId="0" shapeId="0" xr:uid="{EEACB648-8340-3346-9AC2-C10734F879E2}">
      <text>
        <r>
          <rPr>
            <sz val="14"/>
            <color rgb="FF000000"/>
            <rFont val="Times New Roman"/>
            <family val="18"/>
          </rPr>
          <t>ML 3543 IR 39 (1800) – TL IR 39-&gt;MFWK Nr. 10 (Eperies 30/08/1800); ST Jan 1800 (01/01/1801)</t>
        </r>
      </text>
    </comment>
    <comment ref="BH220" authorId="0" shapeId="0" xr:uid="{53F9147D-4ECB-EA49-A0C7-5B1B6496921D}">
      <text>
        <r>
          <rPr>
            <sz val="14"/>
            <color rgb="FF000000"/>
            <rFont val="Calibri"/>
            <family val="34"/>
          </rPr>
          <t>MFWK (1799-1800)</t>
        </r>
      </text>
    </comment>
    <comment ref="BF221" authorId="0" shapeId="0" xr:uid="{93F1C61F-9703-3545-9309-A037D56C4449}">
      <text>
        <r>
          <rPr>
            <sz val="14"/>
            <color rgb="FF000000"/>
            <rFont val="+mn-lt"/>
            <charset val="1"/>
          </rPr>
          <t>??</t>
        </r>
        <r>
          <rPr>
            <sz val="14"/>
            <color rgb="FF000000"/>
            <rFont val="Times New Roman"/>
            <family val="18"/>
          </rPr>
          <t xml:space="preserve">06/1799 </t>
        </r>
        <r>
          <rPr>
            <i/>
            <sz val="14"/>
            <color rgb="FF000000"/>
            <rFont val="Times New Roman"/>
            <family val="18"/>
          </rPr>
          <t>Von Ständen gestellt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18/11/1799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31/12/1799 </t>
        </r>
        <r>
          <rPr>
            <i/>
            <sz val="14"/>
            <color rgb="FF000000"/>
            <rFont val="Times New Roman"/>
            <family val="18"/>
          </rPr>
          <t>Krank auswärts mit Friedensgebühr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15/01/1800 </t>
        </r>
        <r>
          <rPr>
            <i/>
            <sz val="14"/>
            <color rgb="FF000000"/>
            <rFont val="Times New Roman"/>
            <family val="18"/>
          </rPr>
          <t>Rekonvalesziert</t>
        </r>
        <r>
          <rPr>
            <sz val="14"/>
            <color rgb="FF000000"/>
            <rFont val="Times New Roman"/>
            <family val="18"/>
          </rPr>
          <t xml:space="preserve"> [ST Jan 1800]</t>
        </r>
        <r>
          <rPr>
            <sz val="14"/>
            <color rgb="FF000000"/>
            <rFont val="Calibri"/>
            <family val="34"/>
          </rPr>
          <t xml:space="preserve">
</t>
        </r>
        <r>
          <rPr>
            <sz val="14"/>
            <color rgb="FFFF0000"/>
            <rFont val="Times New Roman"/>
            <family val="18"/>
          </rPr>
          <t xml:space="preserve">14/06/1800 </t>
        </r>
        <r>
          <rPr>
            <i/>
            <sz val="14"/>
            <color rgb="FFFF0000"/>
            <rFont val="Times New Roman"/>
            <family val="18"/>
          </rPr>
          <t>Von Ständen a 3Fl gestellt und zum IR 43 eingeteilt</t>
        </r>
        <r>
          <rPr>
            <sz val="14"/>
            <color rgb="FFFF0000"/>
            <rFont val="Times New Roman"/>
            <family val="18"/>
          </rPr>
          <t xml:space="preserve"> [ML 1806 &amp; ML 1811]</t>
        </r>
        <r>
          <rPr>
            <sz val="14"/>
            <color rgb="FF000000"/>
            <rFont val="Calibri"/>
            <family val="34"/>
          </rPr>
          <t xml:space="preserve">
</t>
        </r>
        <r>
          <rPr>
            <sz val="14"/>
            <color rgb="FF000000"/>
            <rFont val="Times New Roman"/>
            <family val="18"/>
          </rPr>
          <t xml:space="preserve">05/06/1800 </t>
        </r>
        <r>
          <rPr>
            <i/>
            <sz val="14"/>
            <color rgb="FF000000"/>
            <rFont val="Times New Roman"/>
            <family val="18"/>
          </rPr>
          <t>Auf die Marsch von Reserve Division zum IR Feld Bataillons</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01/07/1800 </t>
        </r>
        <r>
          <rPr>
            <i/>
            <sz val="14"/>
            <color rgb="FF000000"/>
            <rFont val="Times New Roman"/>
            <family val="18"/>
          </rPr>
          <t xml:space="preserve">Ins Regiment eingerückt und zum ObristLt Comp. eingeteilt </t>
        </r>
        <r>
          <rPr>
            <sz val="14"/>
            <color rgb="FF000000"/>
            <rFont val="Times New Roman"/>
            <family val="18"/>
          </rPr>
          <t>[ST July 1800]</t>
        </r>
        <r>
          <rPr>
            <sz val="14"/>
            <color rgb="FF000000"/>
            <rFont val="Calibri"/>
            <family val="34"/>
          </rPr>
          <t xml:space="preserve">
</t>
        </r>
        <r>
          <rPr>
            <sz val="14"/>
            <color rgb="FF000000"/>
            <rFont val="Times New Roman"/>
            <family val="18"/>
          </rPr>
          <t>28/08/1802 Muster: IR 43 ObristLt Komp: Nr. 120</t>
        </r>
        <r>
          <rPr>
            <sz val="14"/>
            <color rgb="FF000000"/>
            <rFont val="Calibri"/>
            <family val="34"/>
          </rPr>
          <t xml:space="preserve">
</t>
        </r>
        <r>
          <rPr>
            <sz val="14"/>
            <color rgb="FF000000"/>
            <rFont val="Times New Roman"/>
            <family val="18"/>
          </rPr>
          <t>02/11/1803 Muster: IR 43 ObristLt Komp. Nr. 106</t>
        </r>
        <r>
          <rPr>
            <sz val="14"/>
            <color rgb="FF000000"/>
            <rFont val="Calibri"/>
            <family val="34"/>
          </rPr>
          <t xml:space="preserve">
</t>
        </r>
        <r>
          <rPr>
            <sz val="14"/>
            <color rgb="FF000000"/>
            <rFont val="Times New Roman"/>
            <family val="18"/>
          </rPr>
          <t xml:space="preserve">18/06/1804 </t>
        </r>
        <r>
          <rPr>
            <i/>
            <sz val="14"/>
            <color rgb="FF000000"/>
            <rFont val="Times New Roman"/>
            <family val="18"/>
          </rPr>
          <t>Auf Fortifikations Arbeit mit Loco Service Gebühr</t>
        </r>
        <r>
          <rPr>
            <sz val="14"/>
            <color rgb="FF000000"/>
            <rFont val="Times New Roman"/>
            <family val="18"/>
          </rPr>
          <t xml:space="preserve"> [ST Juni 1804] </t>
        </r>
        <r>
          <rPr>
            <sz val="14"/>
            <color rgb="FF000000"/>
            <rFont val="Calibri"/>
            <family val="34"/>
          </rPr>
          <t xml:space="preserve">
</t>
        </r>
        <r>
          <rPr>
            <sz val="14"/>
            <color rgb="FF000000"/>
            <rFont val="Times New Roman"/>
            <family val="18"/>
          </rPr>
          <t xml:space="preserve">11/09/1804 </t>
        </r>
        <r>
          <rPr>
            <i/>
            <sz val="14"/>
            <color rgb="FF000000"/>
            <rFont val="Times New Roman"/>
            <family val="18"/>
          </rPr>
          <t>Zurück ins Kompanie</t>
        </r>
        <r>
          <rPr>
            <sz val="14"/>
            <color rgb="FF000000"/>
            <rFont val="Times New Roman"/>
            <family val="18"/>
          </rPr>
          <t xml:space="preserve"> [ST Oct 1804] </t>
        </r>
        <r>
          <rPr>
            <sz val="14"/>
            <color rgb="FF000000"/>
            <rFont val="Calibri"/>
            <family val="34"/>
          </rPr>
          <t xml:space="preserve">
</t>
        </r>
        <r>
          <rPr>
            <sz val="14"/>
            <color rgb="FF000000"/>
            <rFont val="Times New Roman"/>
            <family val="18"/>
          </rPr>
          <t>05/10/1804 Muster: IR 43 ObristLt. Komp. Nr. 99</t>
        </r>
        <r>
          <rPr>
            <sz val="14"/>
            <color rgb="FF000000"/>
            <rFont val="Calibri"/>
            <family val="34"/>
          </rPr>
          <t xml:space="preserve">
</t>
        </r>
        <r>
          <rPr>
            <sz val="14"/>
            <color rgb="FF000000"/>
            <rFont val="Times New Roman"/>
            <family val="18"/>
          </rPr>
          <t>31/10/1805 Muster: IR 43 9. Fus Komp. Nr. 83</t>
        </r>
        <r>
          <rPr>
            <sz val="14"/>
            <color rgb="FF000000"/>
            <rFont val="Calibri"/>
            <family val="34"/>
          </rPr>
          <t xml:space="preserve">
</t>
        </r>
        <r>
          <rPr>
            <sz val="14"/>
            <color rgb="FF000000"/>
            <rFont val="Times New Roman"/>
            <family val="18"/>
          </rPr>
          <t xml:space="preserve">01/10/1805 </t>
        </r>
        <r>
          <rPr>
            <i/>
            <sz val="14"/>
            <color rgb="FF000000"/>
            <rFont val="Times New Roman"/>
            <family val="18"/>
          </rPr>
          <t xml:space="preserve">Von 9. Fus Comp. in die Artillerie Handleger transferiert </t>
        </r>
        <r>
          <rPr>
            <sz val="14"/>
            <color rgb="FF000000"/>
            <rFont val="Times New Roman"/>
            <family val="18"/>
          </rPr>
          <t>[ST Oct 1805 &amp;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Artillerie Handleger zurück in [Jetzt 13. Fus] Companie transferiert</t>
        </r>
        <r>
          <rPr>
            <sz val="14"/>
            <color rgb="FF000000"/>
            <rFont val="Times New Roman"/>
            <family val="18"/>
          </rPr>
          <t xml:space="preserve"> [ST April 1806 &amp; ML 1806]</t>
        </r>
        <r>
          <rPr>
            <sz val="14"/>
            <color rgb="FF000000"/>
            <rFont val="Calibri"/>
            <family val="34"/>
          </rPr>
          <t xml:space="preserve">
</t>
        </r>
        <r>
          <rPr>
            <sz val="14"/>
            <color rgb="FF000000"/>
            <rFont val="Times New Roman"/>
            <family val="18"/>
          </rPr>
          <t>01/12/1806 Muster: IR 43 13. Fus Komp. Nr. 80</t>
        </r>
        <r>
          <rPr>
            <sz val="14"/>
            <color rgb="FF000000"/>
            <rFont val="Calibri"/>
            <family val="34"/>
          </rPr>
          <t xml:space="preserve">
</t>
        </r>
        <r>
          <rPr>
            <sz val="14"/>
            <color rgb="FF000000"/>
            <rFont val="Times New Roman"/>
            <family val="18"/>
          </rPr>
          <t>02/09/1808 Revision: IR 43 13. Fus Komp. Nr. 72</t>
        </r>
        <r>
          <rPr>
            <sz val="14"/>
            <color rgb="FF000000"/>
            <rFont val="Calibri"/>
            <family val="34"/>
          </rPr>
          <t xml:space="preserve">
</t>
        </r>
        <r>
          <rPr>
            <sz val="14"/>
            <color rgb="FF000000"/>
            <rFont val="Times New Roman"/>
            <family val="18"/>
          </rPr>
          <t>15/02/1810 Dissolvierung: IR 43 13. Fus Komp. Nr. 76 [</t>
        </r>
        <r>
          <rPr>
            <i/>
            <sz val="14"/>
            <color rgb="FF000000"/>
            <rFont val="Times New Roman"/>
            <family val="18"/>
          </rPr>
          <t>Zu IR 30 De Ligne einzuteilen</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13. Fus Comp des Dissolvierte IR 43 zum IR 30 De Ligne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24/09/1811 Muster: IR 30 5. Fus Komp. Nr. 250 [</t>
        </r>
        <r>
          <rPr>
            <i/>
            <sz val="14"/>
            <color rgb="FF000000"/>
            <rFont val="Times New Roman"/>
            <family val="18"/>
          </rPr>
          <t>Zum Superarbietrierung beim Staab &amp; hat vermög Patent bis 04/05/1812 zu dienen</t>
        </r>
        <r>
          <rPr>
            <sz val="14"/>
            <color rgb="FF000000"/>
            <rFont val="Times New Roman"/>
            <family val="18"/>
          </rPr>
          <t>]</t>
        </r>
        <r>
          <rPr>
            <sz val="14"/>
            <color rgb="FF000000"/>
            <rFont val="Calibri"/>
            <family val="34"/>
          </rPr>
          <t xml:space="preserve">
</t>
        </r>
        <r>
          <rPr>
            <sz val="14"/>
            <color rgb="FF000000"/>
            <rFont val="Times New Roman"/>
            <family val="18"/>
          </rPr>
          <t xml:space="preserve">05/10/1811 </t>
        </r>
        <r>
          <rPr>
            <i/>
            <sz val="14"/>
            <color rgb="FF000000"/>
            <rFont val="Times New Roman"/>
            <family val="18"/>
          </rPr>
          <t>Zu Folge hohen SUPERARBITIO vom 31. August und General COMMANDO verordnung ddt. Lemberg am 15. Sept. 1811 als Real Invalid Gegen Renuncierung aller Militar Beneficien mit Abschied entlassen</t>
        </r>
        <r>
          <rPr>
            <sz val="14"/>
            <color rgb="FF000000"/>
            <rFont val="Times New Roman"/>
            <family val="18"/>
          </rPr>
          <t xml:space="preserve"> </t>
        </r>
        <r>
          <rPr>
            <sz val="14"/>
            <color rgb="FF000000"/>
            <rFont val="Times New Roman"/>
            <family val="18"/>
          </rPr>
          <t xml:space="preserve">[ST Oct 1811] </t>
        </r>
      </text>
    </comment>
    <comment ref="BG221" authorId="0" shapeId="0" xr:uid="{22DB9EEB-AB32-684A-B1D1-B3261E8FF914}">
      <text>
        <r>
          <rPr>
            <sz val="14"/>
            <color rgb="FF000000"/>
            <rFont val="Times New Roman"/>
            <family val="18"/>
          </rPr>
          <t>ML 10.272 IR 43 (1802) – ObristLt Komp. Nr. 120 (28/08/1802)</t>
        </r>
        <r>
          <rPr>
            <sz val="14"/>
            <color rgb="FF000000"/>
            <rFont val="Calibri"/>
            <family val="34"/>
          </rPr>
          <t xml:space="preserve">
</t>
        </r>
        <r>
          <rPr>
            <sz val="14"/>
            <color rgb="FF000000"/>
            <rFont val="Times New Roman"/>
            <family val="18"/>
          </rPr>
          <t>ML 10.273 IR 43 (1803) – ObristLt Komp. Nr. 106 (02/11/1803)</t>
        </r>
        <r>
          <rPr>
            <sz val="14"/>
            <color rgb="FF000000"/>
            <rFont val="Calibri"/>
            <family val="34"/>
          </rPr>
          <t xml:space="preserve">
</t>
        </r>
        <r>
          <rPr>
            <sz val="14"/>
            <color rgb="FF000000"/>
            <rFont val="Times New Roman"/>
            <family val="18"/>
          </rPr>
          <t xml:space="preserve">ML 10.274 IR 43 (1804) – ObristLt Komp. Nr. 99 </t>
        </r>
        <r>
          <rPr>
            <sz val="14"/>
            <color rgb="FF000000"/>
            <rFont val="Calibri"/>
            <family val="34"/>
          </rPr>
          <t xml:space="preserve">
</t>
        </r>
        <r>
          <rPr>
            <sz val="14"/>
            <color rgb="FF000000"/>
            <rFont val="Times New Roman"/>
            <family val="18"/>
          </rPr>
          <t>ML 10.275/6 IR 43 (1805) –9. Fus Komp. Nr. 83</t>
        </r>
        <r>
          <rPr>
            <sz val="14"/>
            <color rgb="FF000000"/>
            <rFont val="Calibri"/>
            <family val="34"/>
          </rPr>
          <t xml:space="preserve">
</t>
        </r>
        <r>
          <rPr>
            <sz val="14"/>
            <color rgb="FF000000"/>
            <rFont val="Times New Roman"/>
            <family val="18"/>
          </rPr>
          <t>ML 10.277/8 IR 43 (1806) – 13. Fus Komp. Nr. 80 (Laibach 01/12/1806)</t>
        </r>
        <r>
          <rPr>
            <sz val="14"/>
            <color rgb="FF000000"/>
            <rFont val="Calibri"/>
            <family val="34"/>
          </rPr>
          <t xml:space="preserve">
</t>
        </r>
        <r>
          <rPr>
            <sz val="14"/>
            <color rgb="FF000000"/>
            <rFont val="Times New Roman"/>
            <family val="18"/>
          </rPr>
          <t>ML 10.279 IR 43 (1808-10) – RL 13. Fus Nr. 72 (Neustadt 02/09/1808) &amp; DL 13. Fus Nr. 76 (Vordenbrg 15/02/1810)</t>
        </r>
        <r>
          <rPr>
            <sz val="14"/>
            <color rgb="FF000000"/>
            <rFont val="Calibri"/>
            <family val="34"/>
          </rPr>
          <t xml:space="preserve">
</t>
        </r>
        <r>
          <rPr>
            <sz val="14"/>
            <color rgb="FF000000"/>
            <rFont val="Times New Roman"/>
            <family val="18"/>
          </rPr>
          <t>ML 10.307 IR 43 (1799) – ST November (12/10/1800) und Dezember (01/11/1800)</t>
        </r>
        <r>
          <rPr>
            <sz val="14"/>
            <color rgb="FF000000"/>
            <rFont val="Calibri"/>
            <family val="34"/>
          </rPr>
          <t xml:space="preserve">
</t>
        </r>
        <r>
          <rPr>
            <sz val="14"/>
            <color rgb="FF000000"/>
            <rFont val="Times New Roman"/>
            <family val="18"/>
          </rPr>
          <t>ML 10.309 IR 43 (1800) – ST Januar (26/02/1801) und Juli (24/10/1803)</t>
        </r>
        <r>
          <rPr>
            <sz val="14"/>
            <color rgb="FF000000"/>
            <rFont val="Calibri"/>
            <family val="34"/>
          </rPr>
          <t xml:space="preserve">
</t>
        </r>
        <r>
          <rPr>
            <sz val="14"/>
            <color rgb="FF000000"/>
            <rFont val="Times New Roman"/>
            <family val="18"/>
          </rPr>
          <t>ML 10.310 IR 43 (1800) – TL IR 43 Res Div-&gt; Feld Bat Nr. 8 (Laibach 05/06/1800)</t>
        </r>
        <r>
          <rPr>
            <sz val="14"/>
            <color rgb="FF000000"/>
            <rFont val="Calibri"/>
            <family val="34"/>
          </rPr>
          <t xml:space="preserve">
</t>
        </r>
        <r>
          <rPr>
            <sz val="14"/>
            <color rgb="FF000000"/>
            <rFont val="Times New Roman"/>
            <family val="18"/>
          </rPr>
          <t>ML 10.314 IR 43 (1804) – ST Juni (15/07/1804) und Oktober (08/12/1804)</t>
        </r>
        <r>
          <rPr>
            <sz val="14"/>
            <color rgb="FF000000"/>
            <rFont val="Calibri"/>
            <family val="34"/>
          </rPr>
          <t xml:space="preserve">
</t>
        </r>
        <r>
          <rPr>
            <sz val="14"/>
            <color rgb="FF000000"/>
            <rFont val="Times New Roman"/>
            <family val="18"/>
          </rPr>
          <t>ML 10.315 IR 43 (1805) – ST Oktober (22/05/1806)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10.326 IR 43 (1810) – TL IR 43-&gt; IR 30 Nr. 76 (Klagenfurt 31/05/1810)</t>
        </r>
        <r>
          <rPr>
            <sz val="14"/>
            <color rgb="FF000000"/>
            <rFont val="Calibri"/>
            <family val="34"/>
          </rPr>
          <t xml:space="preserve">
</t>
        </r>
        <r>
          <rPr>
            <sz val="14"/>
            <color rgb="FF000000"/>
            <rFont val="Times New Roman"/>
            <family val="18"/>
          </rPr>
          <t>ML 2633 IR 30 (1811) – 5. Fus Nr. 250 (Kutty 24/09/1811)</t>
        </r>
        <r>
          <rPr>
            <sz val="14"/>
            <color rgb="FF000000"/>
            <rFont val="Calibri"/>
            <family val="34"/>
          </rPr>
          <t xml:space="preserve">
</t>
        </r>
        <r>
          <rPr>
            <sz val="14"/>
            <color rgb="FF000000"/>
            <rFont val="Times New Roman"/>
            <family val="18"/>
          </rPr>
          <t>ML 2686 IR 30 (1811) – ST Oct (Czernowitz 30/11/1811)</t>
        </r>
      </text>
    </comment>
    <comment ref="BH221" authorId="0" shapeId="0" xr:uid="{0BB5E1E4-463A-BD45-8CEB-BC3F1A2383D2}">
      <text>
        <r>
          <rPr>
            <sz val="14"/>
            <color rgb="FF000000"/>
            <rFont val="Calibri"/>
            <family val="34"/>
          </rPr>
          <t xml:space="preserve">IR 43 (1799-1810)
</t>
        </r>
        <r>
          <rPr>
            <sz val="14"/>
            <color rgb="FF000000"/>
            <rFont val="Calibri"/>
            <family val="34"/>
          </rPr>
          <t>IR 30 (1810-1811)</t>
        </r>
      </text>
    </comment>
    <comment ref="BI221" authorId="0" shapeId="0" xr:uid="{DC5F8849-C2E1-7F43-A5A6-0CF85E25FEFE}">
      <text>
        <r>
          <rPr>
            <sz val="14"/>
            <color rgb="FF000000"/>
            <rFont val="Calibri"/>
            <family val="34"/>
          </rPr>
          <t>1810: Gut</t>
        </r>
      </text>
    </comment>
    <comment ref="BF222" authorId="0" shapeId="0" xr:uid="{54B16F75-E703-5940-A3F5-9BC5A7AA9EE5}">
      <text>
        <r>
          <rPr>
            <sz val="14"/>
            <color rgb="FF000000"/>
            <rFont val="Times New Roman"/>
            <family val="18"/>
          </rPr>
          <t xml:space="preserve">In 06/1799 </t>
        </r>
        <r>
          <rPr>
            <i/>
            <sz val="14"/>
            <color rgb="FF000000"/>
            <rFont val="Times New Roman"/>
            <family val="18"/>
          </rPr>
          <t xml:space="preserve">Assentiert </t>
        </r>
        <r>
          <rPr>
            <sz val="14"/>
            <color rgb="FF000000"/>
            <rFont val="Times New Roman"/>
            <family val="18"/>
          </rPr>
          <t>[TL Juni 1800]</t>
        </r>
        <r>
          <rPr>
            <sz val="14"/>
            <color rgb="FF000000"/>
            <rFont val="Calibri"/>
            <family val="34"/>
          </rPr>
          <t xml:space="preserve">
</t>
        </r>
        <r>
          <rPr>
            <sz val="14"/>
            <color rgb="FF000000"/>
            <rFont val="Times New Roman"/>
            <family val="18"/>
          </rPr>
          <t xml:space="preserve">22/06/1800 </t>
        </r>
        <r>
          <rPr>
            <i/>
            <sz val="14"/>
            <color rgb="FF000000"/>
            <rFont val="Times New Roman"/>
            <family val="18"/>
          </rPr>
          <t>Von MFWK Italienischen Feld Armee depot in IR 43 Regiments Proviant Bespannung Transferiert</t>
        </r>
        <r>
          <rPr>
            <sz val="14"/>
            <color rgb="FF000000"/>
            <rFont val="Times New Roman"/>
            <family val="18"/>
          </rPr>
          <t xml:space="preserve"> [TL Juni 1800]</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text>
    </comment>
    <comment ref="BG222" authorId="0" shapeId="0" xr:uid="{9C043399-8212-D146-9E83-F0A3A7B824D8}">
      <text>
        <r>
          <rPr>
            <sz val="14"/>
            <color rgb="FF000000"/>
            <rFont val="Times New Roman"/>
            <family val="18"/>
          </rPr>
          <t>ML 10.310 IR 43 (1800) – TL MFWK-&gt;IR 43 Nr. 1 (Vicenza 22/06/1800)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222" authorId="0" shapeId="0" xr:uid="{11A9E177-4EC4-4644-9914-64F37BD6007C}">
      <text>
        <r>
          <rPr>
            <sz val="14"/>
            <color rgb="FF000000"/>
            <rFont val="Calibri"/>
            <family val="34"/>
          </rPr>
          <t>MFWK (1799-1801)</t>
        </r>
      </text>
    </comment>
    <comment ref="BF223" authorId="0" shapeId="0" xr:uid="{C9EC5D98-FE4A-414C-A859-B818DA747964}">
      <text>
        <r>
          <rPr>
            <sz val="14"/>
            <color rgb="FF000000"/>
            <rFont val="Times New Roman"/>
            <family val="18"/>
          </rPr>
          <t xml:space="preserve">In 06/1799 </t>
        </r>
        <r>
          <rPr>
            <i/>
            <sz val="14"/>
            <color rgb="FF000000"/>
            <rFont val="Times New Roman"/>
            <family val="18"/>
          </rPr>
          <t xml:space="preserve">Assentiert </t>
        </r>
        <r>
          <rPr>
            <sz val="14"/>
            <color rgb="FF000000"/>
            <rFont val="Times New Roman"/>
            <family val="18"/>
          </rPr>
          <t>[TL Juni 1800]</t>
        </r>
        <r>
          <rPr>
            <sz val="14"/>
            <color rgb="FF000000"/>
            <rFont val="Calibri"/>
            <family val="34"/>
          </rPr>
          <t xml:space="preserve">
</t>
        </r>
        <r>
          <rPr>
            <sz val="14"/>
            <color rgb="FF000000"/>
            <rFont val="Times New Roman"/>
            <family val="18"/>
          </rPr>
          <t xml:space="preserve">22/06/1800 </t>
        </r>
        <r>
          <rPr>
            <i/>
            <sz val="14"/>
            <color rgb="FF000000"/>
            <rFont val="Times New Roman"/>
            <family val="18"/>
          </rPr>
          <t>Von MFWK Italienischen Feld Armee depot in IR 43 Regiments Proviant Bespannung Transferiert</t>
        </r>
        <r>
          <rPr>
            <sz val="14"/>
            <color rgb="FF000000"/>
            <rFont val="Times New Roman"/>
            <family val="18"/>
          </rPr>
          <t xml:space="preserve"> [TL Juni 1800]</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text>
    </comment>
    <comment ref="BG223" authorId="0" shapeId="0" xr:uid="{B075CA1A-CE90-3248-A7B4-8F4B73FF0F04}">
      <text>
        <r>
          <rPr>
            <sz val="14"/>
            <color rgb="FF000000"/>
            <rFont val="Times New Roman"/>
            <family val="18"/>
          </rPr>
          <t>ML 10.310 IR 43 (1800) – TL MFWK-&gt;IR 43 Nr. 2 (Vicenza 22/06/1800)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223" authorId="0" shapeId="0" xr:uid="{E4B5977D-5624-084D-917A-C0AF7F6D9C42}">
      <text>
        <r>
          <rPr>
            <sz val="14"/>
            <color rgb="FF000000"/>
            <rFont val="Calibri"/>
            <family val="34"/>
          </rPr>
          <t>MFWK (1799-1801)</t>
        </r>
      </text>
    </comment>
    <comment ref="T224" authorId="0" shapeId="0" xr:uid="{3F1B0D79-F1F7-254F-B134-E016884D4BC6}">
      <text>
        <r>
          <rPr>
            <sz val="14"/>
            <color rgb="FF000000"/>
            <rFont val="Calibri"/>
            <family val="34"/>
          </rPr>
          <t xml:space="preserve">5.1.2  [161.07 cm] (1802-4)
</t>
        </r>
        <r>
          <rPr>
            <sz val="14"/>
            <color rgb="FF000000"/>
            <rFont val="Calibri"/>
            <family val="34"/>
          </rPr>
          <t>5.2 [163.26 cm] (1800)</t>
        </r>
      </text>
    </comment>
    <comment ref="BF224" authorId="0" shapeId="0" xr:uid="{211264F7-EBC6-E44D-943E-F4EF08641B32}">
      <text>
        <r>
          <rPr>
            <sz val="14"/>
            <color rgb="FFFF0000"/>
            <rFont val="Times New Roman"/>
            <family val="18"/>
          </rPr>
          <t xml:space="preserve">01/04/1799 </t>
        </r>
        <r>
          <rPr>
            <i/>
            <sz val="14"/>
            <color rgb="FFFF0000"/>
            <rFont val="Times New Roman"/>
            <family val="18"/>
          </rPr>
          <t xml:space="preserve">A 3Fl Von Ständen gestellt </t>
        </r>
        <r>
          <rPr>
            <sz val="14"/>
            <color rgb="FFFF0000"/>
            <rFont val="Times New Roman"/>
            <family val="18"/>
          </rPr>
          <t>[TL Feb 1800]</t>
        </r>
        <r>
          <rPr>
            <sz val="14"/>
            <color rgb="FF000000"/>
            <rFont val="Calibri"/>
            <family val="34"/>
          </rPr>
          <t xml:space="preserve">
</t>
        </r>
        <r>
          <rPr>
            <sz val="14"/>
            <color rgb="FFFF0000"/>
            <rFont val="Times New Roman"/>
            <family val="18"/>
          </rPr>
          <t xml:space="preserve">??/06/1799 </t>
        </r>
        <r>
          <rPr>
            <i/>
            <sz val="14"/>
            <color rgb="FFFF0000"/>
            <rFont val="Times New Roman"/>
            <family val="18"/>
          </rPr>
          <t xml:space="preserve">A 3Fl auf Beständig assentiert </t>
        </r>
        <r>
          <rPr>
            <sz val="14"/>
            <color rgb="FFFF0000"/>
            <rFont val="Times New Roman"/>
            <family val="18"/>
          </rPr>
          <t>[TL Aug 1802]</t>
        </r>
        <r>
          <rPr>
            <sz val="14"/>
            <color rgb="FF000000"/>
            <rFont val="Calibri"/>
            <family val="34"/>
          </rPr>
          <t xml:space="preserve">
</t>
        </r>
        <r>
          <rPr>
            <sz val="14"/>
            <color rgb="FF000000"/>
            <rFont val="Times New Roman"/>
            <family val="18"/>
          </rPr>
          <t xml:space="preserve">06/06/1799 </t>
        </r>
        <r>
          <rPr>
            <i/>
            <sz val="14"/>
            <color rgb="FF000000"/>
            <rFont val="Times New Roman"/>
            <family val="18"/>
          </rPr>
          <t>A 3Fl auf Beständig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??/10/1799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06/02/1800 </t>
        </r>
        <r>
          <rPr>
            <i/>
            <sz val="14"/>
            <color rgb="FF000000"/>
            <rFont val="Times New Roman"/>
            <family val="18"/>
          </rPr>
          <t>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07/07/1800 </t>
        </r>
        <r>
          <rPr>
            <i/>
            <sz val="14"/>
            <color rgb="FF000000"/>
            <rFont val="Times New Roman"/>
            <family val="18"/>
          </rPr>
          <t>Zu Treviso Gestorben</t>
        </r>
        <r>
          <rPr>
            <sz val="14"/>
            <color rgb="FF000000"/>
            <rFont val="Times New Roman"/>
            <family val="18"/>
          </rPr>
          <t xml:space="preserve"> [ST July 1800] [SIC!]</t>
        </r>
        <r>
          <rPr>
            <sz val="14"/>
            <color rgb="FF000000"/>
            <rFont val="Calibri"/>
            <family val="34"/>
          </rPr>
          <t xml:space="preserve">
</t>
        </r>
        <r>
          <rPr>
            <sz val="14"/>
            <color rgb="FF000000"/>
            <rFont val="Times New Roman"/>
            <family val="18"/>
          </rPr>
          <t xml:space="preserve">20/12/1800 </t>
        </r>
        <r>
          <rPr>
            <i/>
            <sz val="14"/>
            <color rgb="FF000000"/>
            <rFont val="Times New Roman"/>
            <family val="18"/>
          </rPr>
          <t>Bis dahin ohne Verpflegung und Zuwachs Dokument eingerückt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20/02/1801 </t>
        </r>
        <r>
          <rPr>
            <i/>
            <sz val="14"/>
            <color rgb="FF000000"/>
            <rFont val="Times New Roman"/>
            <family val="18"/>
          </rPr>
          <t>Krank Auswärts</t>
        </r>
        <r>
          <rPr>
            <sz val="14"/>
            <color rgb="FF000000"/>
            <rFont val="Times New Roman"/>
            <family val="18"/>
          </rPr>
          <t xml:space="preserve"> [ST Feb 1801] </t>
        </r>
        <r>
          <rPr>
            <sz val="14"/>
            <color rgb="FF000000"/>
            <rFont val="Calibri"/>
            <family val="34"/>
          </rPr>
          <t xml:space="preserve">
</t>
        </r>
        <r>
          <rPr>
            <sz val="14"/>
            <color rgb="FF000000"/>
            <rFont val="Times New Roman"/>
            <family val="18"/>
          </rPr>
          <t xml:space="preserve">31/05/1801 </t>
        </r>
        <r>
          <rPr>
            <i/>
            <sz val="14"/>
            <color rgb="FF000000"/>
            <rFont val="Times New Roman"/>
            <family val="18"/>
          </rPr>
          <t>Rekonvalesziert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Assandri Nr. 93 [</t>
        </r>
        <r>
          <rPr>
            <i/>
            <sz val="14"/>
            <color rgb="FF000000"/>
            <rFont val="Times New Roman"/>
            <family val="18"/>
          </rPr>
          <t>Auf unbestimmte Zeit beurlaubt in Modlibiszinska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89 [</t>
        </r>
        <r>
          <rPr>
            <i/>
            <sz val="14"/>
            <color rgb="FF000000"/>
            <rFont val="Times New Roman"/>
            <family val="18"/>
          </rPr>
          <t>Beurlaubt zu Modliposicz Josephower Kreis, in West Gallizien but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224" authorId="0" shapeId="0" xr:uid="{39E8749C-79E9-E645-87B3-AE32D0DE2C5D}">
      <text>
        <r>
          <rPr>
            <sz val="14"/>
            <color rgb="FF000000"/>
            <rFont val="Times New Roman"/>
            <family val="18"/>
          </rPr>
          <t>ML 10.309 IR 43 (1800) – ST Feb (06/04/1801), Juni (27/08/1803), Dez (18/08/1804)</t>
        </r>
        <r>
          <rPr>
            <sz val="14"/>
            <color rgb="FF000000"/>
            <rFont val="Calibri"/>
            <family val="34"/>
          </rPr>
          <t xml:space="preserve">
</t>
        </r>
        <r>
          <rPr>
            <sz val="14"/>
            <color rgb="FF000000"/>
            <rFont val="Times New Roman"/>
            <family val="18"/>
          </rPr>
          <t>ML 10.310 IR 43 (1800) – TL Res. Div.-&gt; Feld Bats. Nr. 62 (Laibach 05/02/1800)</t>
        </r>
        <r>
          <rPr>
            <sz val="14"/>
            <color rgb="FF000000"/>
            <rFont val="Calibri"/>
            <family val="34"/>
          </rPr>
          <t xml:space="preserve">
</t>
        </r>
        <r>
          <rPr>
            <sz val="14"/>
            <color rgb="FF000000"/>
            <rFont val="Times New Roman"/>
            <family val="18"/>
          </rPr>
          <t>ML 10.311 IR 43 (1801) – ST Feb (28/09/1804), April (13/10/1804)</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93 (Venice 19/09/1803)</t>
        </r>
        <r>
          <rPr>
            <sz val="14"/>
            <color rgb="FF000000"/>
            <rFont val="Calibri"/>
            <family val="34"/>
          </rPr>
          <t xml:space="preserve">
</t>
        </r>
        <r>
          <rPr>
            <sz val="14"/>
            <color rgb="FF000000"/>
            <rFont val="Times New Roman"/>
            <family val="18"/>
          </rPr>
          <t>ML 3909 IR 44 (1804) – Haupt Assandri Komp. Nr. 89 (Vicenza 12/05/1804)</t>
        </r>
        <r>
          <rPr>
            <sz val="14"/>
            <color rgb="FF000000"/>
            <rFont val="Calibri"/>
            <family val="34"/>
          </rPr>
          <t xml:space="preserve">
</t>
        </r>
        <r>
          <rPr>
            <sz val="14"/>
            <color rgb="FF000000"/>
            <rFont val="Times New Roman"/>
            <family val="18"/>
          </rPr>
          <t>ML 3946 IR 44 (1802) – AL IR 43-&gt; IR 43 Nr. 17 (Zara 14/08/1802)</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text>
    </comment>
    <comment ref="BH224" authorId="0" shapeId="0" xr:uid="{1D743445-DE51-9643-A6B0-ECE7A3C87BCB}">
      <text>
        <r>
          <rPr>
            <sz val="14"/>
            <color rgb="FF000000"/>
            <rFont val="Calibri"/>
            <family val="34"/>
          </rPr>
          <t xml:space="preserve">IR 43 (1799-1802)
</t>
        </r>
        <r>
          <rPr>
            <sz val="14"/>
            <color rgb="FF000000"/>
            <rFont val="Calibri"/>
            <family val="34"/>
          </rPr>
          <t>IR 44 (1802-1806)</t>
        </r>
      </text>
    </comment>
    <comment ref="BI224" authorId="0" shapeId="0" xr:uid="{4170600C-A813-B941-947F-5AEE6B7780DA}">
      <text>
        <r>
          <rPr>
            <sz val="14"/>
            <color rgb="FF000000"/>
            <rFont val="Calibri"/>
            <family val="34"/>
          </rPr>
          <t>Gut [TL Aug 1802]</t>
        </r>
      </text>
    </comment>
    <comment ref="I225" authorId="0" shapeId="0" xr:uid="{9348DD4E-8DBA-9D4F-A68E-759896B2ABFB}">
      <text>
        <r>
          <rPr>
            <sz val="14"/>
            <color rgb="FF000000"/>
            <rFont val="Calibri"/>
            <family val="34"/>
          </rPr>
          <t xml:space="preserve">1772 [31 (1803)] 
</t>
        </r>
        <r>
          <rPr>
            <sz val="14"/>
            <color rgb="FF000000"/>
            <rFont val="Calibri"/>
            <family val="34"/>
          </rPr>
          <t xml:space="preserve">OR 
</t>
        </r>
        <r>
          <rPr>
            <sz val="14"/>
            <color rgb="FF000000"/>
            <rFont val="Calibri"/>
            <family val="34"/>
          </rPr>
          <t>1776 [24 (1800)]</t>
        </r>
      </text>
    </comment>
    <comment ref="BF225" authorId="0" shapeId="0" xr:uid="{30CEC452-9174-8D4A-9363-CE664458EEF2}">
      <text>
        <r>
          <rPr>
            <sz val="14"/>
            <color rgb="FFFF0000"/>
            <rFont val="Times New Roman"/>
            <family val="18"/>
          </rPr>
          <t xml:space="preserve">??/06/1799 </t>
        </r>
        <r>
          <rPr>
            <i/>
            <sz val="14"/>
            <color rgb="FFFF0000"/>
            <rFont val="Times New Roman"/>
            <family val="18"/>
          </rPr>
          <t>In Juny 1799 a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06/06/1799 </t>
        </r>
        <r>
          <rPr>
            <i/>
            <sz val="14"/>
            <color rgb="FF000000"/>
            <rFont val="Times New Roman"/>
            <family val="18"/>
          </rPr>
          <t>von Ständen gestellt und zum IR 43 assentiert, sietdem Anhero Marsch mit Friedensgebühr</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In 07/1799 </t>
        </r>
        <r>
          <rPr>
            <i/>
            <sz val="14"/>
            <color rgb="FFFF0000"/>
            <rFont val="Times New Roman"/>
            <family val="18"/>
          </rPr>
          <t xml:space="preserve">von Ständen gestellt und zum Ir 43 assentiert, sietdem Anhero Marsch mit Friedensgebühr </t>
        </r>
        <r>
          <rPr>
            <sz val="14"/>
            <color rgb="FFFF0000"/>
            <rFont val="Times New Roman"/>
            <family val="18"/>
          </rPr>
          <t>[TL Feb 1800 &amp;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28/12/1799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10/01/1800 </t>
        </r>
        <r>
          <rPr>
            <i/>
            <sz val="14"/>
            <color rgb="FF000000"/>
            <rFont val="Times New Roman"/>
            <family val="18"/>
          </rPr>
          <t>Rekonvalesziert</t>
        </r>
        <r>
          <rPr>
            <sz val="14"/>
            <color rgb="FF000000"/>
            <rFont val="Times New Roman"/>
            <family val="18"/>
          </rPr>
          <t xml:space="preserve"> [ST Jan 1800] </t>
        </r>
        <r>
          <rPr>
            <sz val="14"/>
            <color rgb="FF000000"/>
            <rFont val="Calibri"/>
            <family val="34"/>
          </rPr>
          <t xml:space="preserve">
</t>
        </r>
        <r>
          <rPr>
            <sz val="14"/>
            <color rgb="FF000000"/>
            <rFont val="Times New Roman"/>
            <family val="18"/>
          </rPr>
          <t xml:space="preserve">06/02/1800 </t>
        </r>
        <r>
          <rPr>
            <i/>
            <sz val="14"/>
            <color rgb="FF000000"/>
            <rFont val="Times New Roman"/>
            <family val="18"/>
          </rPr>
          <t>Ferners Aufmarsch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Geistler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[ST Aug 1802 &amp; TL Aug 1802]</t>
        </r>
        <r>
          <rPr>
            <sz val="14"/>
            <color rgb="FF000000"/>
            <rFont val="Calibri"/>
            <family val="34"/>
          </rPr>
          <t xml:space="preserve">
</t>
        </r>
        <r>
          <rPr>
            <sz val="14"/>
            <color rgb="FF000000"/>
            <rFont val="Times New Roman"/>
            <family val="18"/>
          </rPr>
          <t>19/09/1803 IR 44: Haupt Assandri Nr. 92 [</t>
        </r>
        <r>
          <rPr>
            <i/>
            <sz val="14"/>
            <color rgb="FF000000"/>
            <rFont val="Times New Roman"/>
            <family val="18"/>
          </rPr>
          <t>Auf unbestimmte zeit beuralubt in Rachow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88 [</t>
        </r>
        <r>
          <rPr>
            <i/>
            <sz val="14"/>
            <color rgb="FF000000"/>
            <rFont val="Times New Roman"/>
            <family val="18"/>
          </rPr>
          <t>Beuralubt zu Rachow in Zlocower Kreis in West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56</t>
        </r>
        <r>
          <rPr>
            <sz val="14"/>
            <color rgb="FF000000"/>
            <rFont val="Calibri"/>
            <family val="34"/>
          </rPr>
          <t xml:space="preserve">
</t>
        </r>
        <r>
          <rPr>
            <sz val="14"/>
            <color rgb="FF000000"/>
            <rFont val="Times New Roman"/>
            <family val="18"/>
          </rPr>
          <t>19/09/1808 Revision: IR 44 Haupt Liebler Nr. 41</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4. zum 15.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15. zum neue 17.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20/04/1810 </t>
        </r>
        <r>
          <rPr>
            <i/>
            <sz val="14"/>
            <color rgb="FF000000"/>
            <rFont val="Times New Roman"/>
            <family val="18"/>
          </rPr>
          <t>Von. 6. Zum 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219</t>
        </r>
        <r>
          <rPr>
            <sz val="14"/>
            <color rgb="FF000000"/>
            <rFont val="Calibri"/>
            <family val="34"/>
          </rPr>
          <t xml:space="preserve">
</t>
        </r>
        <r>
          <rPr>
            <sz val="14"/>
            <color rgb="FF000000"/>
            <rFont val="Times New Roman"/>
            <family val="18"/>
          </rPr>
          <t xml:space="preserve">30/09/1810 </t>
        </r>
        <r>
          <rPr>
            <i/>
            <sz val="14"/>
            <color rgb="FF000000"/>
            <rFont val="Times New Roman"/>
            <family val="18"/>
          </rPr>
          <t>Als ausgedienter Capitulant mit Abschied entlassen</t>
        </r>
        <r>
          <rPr>
            <sz val="14"/>
            <color rgb="FF000000"/>
            <rFont val="Times New Roman"/>
            <family val="18"/>
          </rPr>
          <t xml:space="preserve"> [ML 1811]</t>
        </r>
        <r>
          <rPr>
            <sz val="14"/>
            <color rgb="FF000000"/>
            <rFont val="Calibri"/>
            <family val="34"/>
          </rPr>
          <t xml:space="preserve">
</t>
        </r>
      </text>
    </comment>
    <comment ref="BG225" authorId="0" shapeId="0" xr:uid="{B23B51B2-2798-104C-97C6-F99691AABC2E}">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Jän (26/02/1801), Feb (06/04/1801), April (24/01/1802)</t>
        </r>
        <r>
          <rPr>
            <sz val="14"/>
            <color rgb="FF000000"/>
            <rFont val="Calibri"/>
            <family val="34"/>
          </rPr>
          <t xml:space="preserve">
</t>
        </r>
        <r>
          <rPr>
            <sz val="14"/>
            <color rgb="FF000000"/>
            <rFont val="Times New Roman"/>
            <family val="18"/>
          </rPr>
          <t>ML 10.310 IR 43 (1800) – TL Res. Div.-&gt; Feld Bats. Nr. 50 (Laibach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Assandri Komp. Nr. 92 (Venice 19/09/1803)</t>
        </r>
        <r>
          <rPr>
            <sz val="14"/>
            <color rgb="FF000000"/>
            <rFont val="Calibri"/>
            <family val="34"/>
          </rPr>
          <t xml:space="preserve">
</t>
        </r>
        <r>
          <rPr>
            <sz val="14"/>
            <color rgb="FF000000"/>
            <rFont val="Times New Roman"/>
            <family val="18"/>
          </rPr>
          <t>ML 3909 IR 44 (1804) – Haupt Assandri Komp. Nr. 88 (Vicenza 12/05/1804)</t>
        </r>
        <r>
          <rPr>
            <sz val="14"/>
            <color rgb="FF000000"/>
            <rFont val="Calibri"/>
            <family val="34"/>
          </rPr>
          <t xml:space="preserve">
</t>
        </r>
        <r>
          <rPr>
            <sz val="14"/>
            <color rgb="FF000000"/>
            <rFont val="Times New Roman"/>
            <family val="18"/>
          </rPr>
          <t>ML 3910 IR 44 (1806) – Haupt. Liebler Nr. 56 (Fiume 10/12/1806)</t>
        </r>
        <r>
          <rPr>
            <sz val="14"/>
            <color rgb="FF000000"/>
            <rFont val="Calibri"/>
            <family val="34"/>
          </rPr>
          <t xml:space="preserve">
</t>
        </r>
        <r>
          <rPr>
            <sz val="14"/>
            <color rgb="FF000000"/>
            <rFont val="Times New Roman"/>
            <family val="18"/>
          </rPr>
          <t>ML 3911 IR 44 (1808-10) – RL Haupt Liebler [4. Fus.] Komp. Nr. 41 (Comorn 19/09/1808); 8. Fus. Komp. Nr. 196 (Pappa 27/09/1810)</t>
        </r>
        <r>
          <rPr>
            <sz val="14"/>
            <color rgb="FF000000"/>
            <rFont val="Calibri"/>
            <family val="34"/>
          </rPr>
          <t xml:space="preserve">
</t>
        </r>
        <r>
          <rPr>
            <sz val="14"/>
            <color rgb="FF000000"/>
            <rFont val="Times New Roman"/>
            <family val="18"/>
          </rPr>
          <t>ML 391/3 IR 44 (1811) – 8. Fus. Komp. – Abgang (Sthulweissenburg 20/09/1811)</t>
        </r>
        <r>
          <rPr>
            <sz val="14"/>
            <color rgb="FF000000"/>
            <rFont val="Calibri"/>
            <family val="34"/>
          </rPr>
          <t xml:space="preserve">
</t>
        </r>
        <r>
          <rPr>
            <sz val="14"/>
            <color rgb="FF000000"/>
            <rFont val="Times New Roman"/>
            <family val="18"/>
          </rPr>
          <t>ML 3946 IR 44 (1802) – AL IR 43-&gt; IR 43 Nr. 84 (Zara 14/08/1802)</t>
        </r>
        <r>
          <rPr>
            <sz val="14"/>
            <color rgb="FF000000"/>
            <rFont val="Calibri"/>
            <family val="34"/>
          </rPr>
          <t xml:space="preserve">
</t>
        </r>
      </text>
    </comment>
    <comment ref="BH225" authorId="0" shapeId="0" xr:uid="{E04BFF26-C5A5-294F-A0A4-22D6EEB43109}">
      <text>
        <r>
          <rPr>
            <sz val="14"/>
            <color rgb="FF000000"/>
            <rFont val="Calibri"/>
            <family val="34"/>
          </rPr>
          <t xml:space="preserve">IR 43 (1799-1802)
</t>
        </r>
        <r>
          <rPr>
            <sz val="14"/>
            <color rgb="FF000000"/>
            <rFont val="Calibri"/>
            <family val="34"/>
          </rPr>
          <t>IR 44 (1802-1810)</t>
        </r>
      </text>
    </comment>
    <comment ref="BI225" authorId="0" shapeId="0" xr:uid="{2141A8DB-B3DA-014C-9769-C6643F6E73D0}">
      <text>
        <r>
          <rPr>
            <sz val="14"/>
            <color rgb="FF000000"/>
            <rFont val="Calibri"/>
            <family val="34"/>
          </rPr>
          <t>Gut [TL Aug 1802]</t>
        </r>
      </text>
    </comment>
    <comment ref="BF226" authorId="0" shapeId="0" xr:uid="{FE0C6DB0-4A1E-E847-80C7-DF4954D1F18F}">
      <text>
        <r>
          <rPr>
            <sz val="14"/>
            <color rgb="FF000000"/>
            <rFont val="Times New Roman"/>
            <family val="18"/>
          </rPr>
          <t xml:space="preserve">29/06/1799 </t>
        </r>
        <r>
          <rPr>
            <i/>
            <sz val="14"/>
            <color rgb="FF000000"/>
            <rFont val="Times New Roman"/>
            <family val="18"/>
          </rPr>
          <t xml:space="preserve">a 3Fl zu Callenberg Infanterie </t>
        </r>
        <r>
          <rPr>
            <b/>
            <sz val="14"/>
            <color rgb="FF000000"/>
            <rFont val="Times New Roman"/>
            <family val="18"/>
          </rPr>
          <t>IR 54</t>
        </r>
        <r>
          <rPr>
            <i/>
            <sz val="14"/>
            <color rgb="FF000000"/>
            <rFont val="Times New Roman"/>
            <family val="18"/>
          </rPr>
          <t xml:space="preserve"> assentiert</t>
        </r>
        <r>
          <rPr>
            <sz val="14"/>
            <color rgb="FF000000"/>
            <rFont val="Calibri"/>
            <family val="34"/>
          </rPr>
          <t xml:space="preserve">
</t>
        </r>
        <r>
          <rPr>
            <sz val="14"/>
            <color rgb="FF000000"/>
            <rFont val="Times New Roman"/>
            <family val="18"/>
          </rPr>
          <t xml:space="preserve">06/10/1799 </t>
        </r>
        <r>
          <rPr>
            <i/>
            <sz val="14"/>
            <color rgb="FF000000"/>
            <rFont val="Times New Roman"/>
            <family val="18"/>
          </rPr>
          <t>Zum Stein Infanterie</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transferiert</t>
        </r>
        <r>
          <rPr>
            <sz val="14"/>
            <color rgb="FF000000"/>
            <rFont val="Calibri"/>
            <family val="34"/>
          </rPr>
          <t xml:space="preserve">
</t>
        </r>
        <r>
          <rPr>
            <sz val="14"/>
            <color rgb="FF000000"/>
            <rFont val="Times New Roman"/>
            <family val="18"/>
          </rPr>
          <t xml:space="preserve">21/11/1800 </t>
        </r>
        <r>
          <rPr>
            <i/>
            <sz val="14"/>
            <color rgb="FF000000"/>
            <rFont val="Times New Roman"/>
            <family val="18"/>
          </rPr>
          <t>Von Stein</t>
        </r>
        <r>
          <rPr>
            <sz val="14"/>
            <color rgb="FF000000"/>
            <rFont val="Times New Roman"/>
            <family val="18"/>
          </rPr>
          <t xml:space="preserve"> </t>
        </r>
        <r>
          <rPr>
            <b/>
            <sz val="14"/>
            <color rgb="FF000000"/>
            <rFont val="Times New Roman"/>
            <family val="18"/>
          </rPr>
          <t xml:space="preserve">IR 50 </t>
        </r>
        <r>
          <rPr>
            <i/>
            <sz val="14"/>
            <color rgb="FF000000"/>
            <rFont val="Times New Roman"/>
            <family val="18"/>
          </rPr>
          <t>zum</t>
        </r>
        <r>
          <rPr>
            <sz val="14"/>
            <color rgb="FF000000"/>
            <rFont val="Times New Roman"/>
            <family val="18"/>
          </rPr>
          <t xml:space="preserve"> </t>
        </r>
        <r>
          <rPr>
            <b/>
            <sz val="14"/>
            <color rgb="FF000000"/>
            <rFont val="Times New Roman"/>
            <family val="18"/>
          </rPr>
          <t>FAR 2</t>
        </r>
        <r>
          <rPr>
            <sz val="14"/>
            <color rgb="FF000000"/>
            <rFont val="Times New Roman"/>
            <family val="18"/>
          </rPr>
          <t xml:space="preserve"> </t>
        </r>
        <r>
          <rPr>
            <i/>
            <sz val="14"/>
            <color rgb="FF000000"/>
            <rFont val="Times New Roman"/>
            <family val="18"/>
          </rPr>
          <t>transferiert</t>
        </r>
        <r>
          <rPr>
            <sz val="14"/>
            <color rgb="FF000000"/>
            <rFont val="Calibri"/>
            <family val="34"/>
          </rPr>
          <t xml:space="preserve">
</t>
        </r>
        <r>
          <rPr>
            <sz val="14"/>
            <color rgb="FF000000"/>
            <rFont val="Times New Roman"/>
            <family val="18"/>
          </rPr>
          <t xml:space="preserve">06/03/1804 </t>
        </r>
        <r>
          <rPr>
            <i/>
            <sz val="14"/>
            <color rgb="FF000000"/>
            <rFont val="Times New Roman"/>
            <family val="18"/>
          </rPr>
          <t>Von 2. Major Comp. zum 4. Ordinaire transferiert und zum Cannonier avanciert</t>
        </r>
        <r>
          <rPr>
            <sz val="14"/>
            <color rgb="FF000000"/>
            <rFont val="Calibri"/>
            <family val="34"/>
          </rPr>
          <t xml:space="preserve">
</t>
        </r>
        <r>
          <rPr>
            <sz val="14"/>
            <color rgb="FF000000"/>
            <rFont val="Times New Roman"/>
            <family val="18"/>
          </rPr>
          <t>06/08/1804 Musterung: FAR 2 4. Ordinaire Comp Nr. 109 [</t>
        </r>
        <r>
          <rPr>
            <i/>
            <sz val="14"/>
            <color rgb="FF000000"/>
            <rFont val="Times New Roman"/>
            <family val="18"/>
          </rPr>
          <t>Commandiert zu Palma Nova in Italien</t>
        </r>
        <r>
          <rPr>
            <sz val="14"/>
            <color rgb="FF000000"/>
            <rFont val="Times New Roman"/>
            <family val="18"/>
          </rPr>
          <t>]</t>
        </r>
        <r>
          <rPr>
            <sz val="14"/>
            <color rgb="FF000000"/>
            <rFont val="Calibri"/>
            <family val="34"/>
          </rPr>
          <t xml:space="preserve">
</t>
        </r>
        <r>
          <rPr>
            <sz val="14"/>
            <color rgb="FF000000"/>
            <rFont val="Times New Roman"/>
            <family val="18"/>
          </rPr>
          <t>12/12/1806 Musterung: FAR 2 4. Ordinaire Comp Nr. 82 [</t>
        </r>
        <r>
          <rPr>
            <i/>
            <sz val="14"/>
            <color rgb="FF000000"/>
            <rFont val="Times New Roman"/>
            <family val="18"/>
          </rPr>
          <t>Commandiert zu Triest</t>
        </r>
        <r>
          <rPr>
            <sz val="14"/>
            <color rgb="FF000000"/>
            <rFont val="Times New Roman"/>
            <family val="18"/>
          </rPr>
          <t>]</t>
        </r>
        <r>
          <rPr>
            <sz val="14"/>
            <color rgb="FF000000"/>
            <rFont val="Calibri"/>
            <family val="34"/>
          </rPr>
          <t xml:space="preserve">
</t>
        </r>
      </text>
    </comment>
    <comment ref="BG226" authorId="0" shapeId="0" xr:uid="{C8311866-A80E-D047-B073-F0C974E05760}">
      <text>
        <r>
          <rPr>
            <sz val="14"/>
            <color rgb="FF000000"/>
            <rFont val="Times New Roman"/>
            <family val="18"/>
          </rPr>
          <t>ML 8056 FAR 2 – 2. Major Comp – Abgang (Palma Nova 02/08/1804) und 4. Ord. Comp. Nr. 109 (Wien Rennweg 06/08/1804)</t>
        </r>
        <r>
          <rPr>
            <sz val="14"/>
            <color rgb="FF000000"/>
            <rFont val="Calibri"/>
            <family val="34"/>
          </rPr>
          <t xml:space="preserve">
</t>
        </r>
        <r>
          <rPr>
            <sz val="14"/>
            <color rgb="FF000000"/>
            <rFont val="Times New Roman"/>
            <family val="18"/>
          </rPr>
          <t>ML 8057 FAR 2 – 4. Ord. Comp. Nr. 82 (Graz 12/12/1806)</t>
        </r>
      </text>
    </comment>
    <comment ref="BH226" authorId="0" shapeId="0" xr:uid="{B648C97B-B812-6E4B-B8DD-4A047F9FF983}">
      <text>
        <r>
          <rPr>
            <sz val="14"/>
            <color rgb="FF000000"/>
            <rFont val="Calibri"/>
            <family val="34"/>
          </rPr>
          <t xml:space="preserve">IR 54 (1799)
</t>
        </r>
        <r>
          <rPr>
            <sz val="14"/>
            <color rgb="FF000000"/>
            <rFont val="Calibri"/>
            <family val="34"/>
          </rPr>
          <t xml:space="preserve">IR 30 (1799-1800)
</t>
        </r>
        <r>
          <rPr>
            <sz val="14"/>
            <color rgb="FF000000"/>
            <rFont val="Calibri"/>
            <family val="34"/>
          </rPr>
          <t>FAR 2 (1800-1806)</t>
        </r>
      </text>
    </comment>
    <comment ref="BF227" authorId="0" shapeId="0" xr:uid="{2CDEEE60-8B7F-2144-B266-EB74AFA925FC}">
      <text>
        <r>
          <rPr>
            <sz val="14"/>
            <color rgb="FF000000"/>
            <rFont val="Times New Roman"/>
            <family val="18"/>
          </rPr>
          <t xml:space="preserve">In 07/1799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Ins Reserve Division eingeruckt</t>
        </r>
        <r>
          <rPr>
            <sz val="14"/>
            <color rgb="FF000000"/>
            <rFont val="Calibri"/>
            <family val="34"/>
          </rPr>
          <t xml:space="preserve">
</t>
        </r>
        <r>
          <rPr>
            <sz val="14"/>
            <color rgb="FF000000"/>
            <rFont val="Times New Roman"/>
            <family val="18"/>
          </rPr>
          <t xml:space="preserve">20/10/1799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07/01/1800 </t>
        </r>
        <r>
          <rPr>
            <i/>
            <sz val="14"/>
            <color rgb="FF000000"/>
            <rFont val="Times New Roman"/>
            <family val="18"/>
          </rPr>
          <t>Zu Laibach in loco gestorben</t>
        </r>
        <r>
          <rPr>
            <sz val="14"/>
            <color rgb="FF000000"/>
            <rFont val="Times New Roman"/>
            <family val="18"/>
          </rPr>
          <t xml:space="preserve"> [ST Jan 1800]</t>
        </r>
        <r>
          <rPr>
            <sz val="14"/>
            <color rgb="FF000000"/>
            <rFont val="Calibri"/>
            <family val="34"/>
          </rPr>
          <t xml:space="preserve">
</t>
        </r>
      </text>
    </comment>
    <comment ref="BG227" authorId="0" shapeId="0" xr:uid="{5E2B60C9-E898-2043-B1C0-22F5C906A5C9}">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text>
    </comment>
    <comment ref="BH227" authorId="0" shapeId="0" xr:uid="{6BA354B3-F663-AE4D-B48F-1A561C5B50AC}">
      <text>
        <r>
          <rPr>
            <sz val="14"/>
            <color rgb="FF000000"/>
            <rFont val="Calibri"/>
            <family val="34"/>
          </rPr>
          <t>IR 43 (1799-1800)</t>
        </r>
      </text>
    </comment>
    <comment ref="I228" authorId="0" shapeId="0" xr:uid="{A71D4181-0E68-EB42-9719-59547E12D5F5}">
      <text>
        <r>
          <rPr>
            <sz val="14"/>
            <color rgb="FF000000"/>
            <rFont val="Calibri"/>
            <family val="34"/>
          </rPr>
          <t xml:space="preserve">1772 [28 (1800)] 
</t>
        </r>
        <r>
          <rPr>
            <sz val="14"/>
            <color rgb="FF000000"/>
            <rFont val="Calibri"/>
            <family val="34"/>
          </rPr>
          <t xml:space="preserve">OR 
</t>
        </r>
        <r>
          <rPr>
            <sz val="14"/>
            <color rgb="FF000000"/>
            <rFont val="Calibri"/>
            <family val="34"/>
          </rPr>
          <t xml:space="preserve">1770 [32 (1802)]
</t>
        </r>
        <r>
          <rPr>
            <sz val="14"/>
            <color rgb="FF000000"/>
            <rFont val="Calibri"/>
            <family val="34"/>
          </rPr>
          <t xml:space="preserve">OR 
</t>
        </r>
        <r>
          <rPr>
            <sz val="14"/>
            <color rgb="FF000000"/>
            <rFont val="Calibri"/>
            <family val="34"/>
          </rPr>
          <t>1771 [32 (1803)]</t>
        </r>
      </text>
    </comment>
    <comment ref="T228" authorId="0" shapeId="0" xr:uid="{9C815D9A-FD0F-FC47-9858-8B235EBE7A42}">
      <text>
        <r>
          <rPr>
            <sz val="14"/>
            <color rgb="FF000000"/>
            <rFont val="Calibri"/>
            <family val="34"/>
          </rPr>
          <t xml:space="preserve">5.5.3  [171.81 cm] (1800)
</t>
        </r>
        <r>
          <rPr>
            <sz val="14"/>
            <color rgb="FF000000"/>
            <rFont val="Calibri"/>
            <family val="34"/>
          </rPr>
          <t>5.3.1 [176.85 cm] (1802/3)</t>
        </r>
      </text>
    </comment>
    <comment ref="BF228" authorId="0" shapeId="0" xr:uid="{4A6E4C46-96C5-664B-B1E4-A032608D7603}">
      <text>
        <r>
          <rPr>
            <sz val="14"/>
            <color rgb="FF000000"/>
            <rFont val="Times New Roman"/>
            <family val="18"/>
          </rPr>
          <t xml:space="preserve">??/07/1799 </t>
        </r>
        <r>
          <rPr>
            <i/>
            <sz val="14"/>
            <color rgb="FF000000"/>
            <rFont val="Times New Roman"/>
            <family val="18"/>
          </rPr>
          <t>Assentiert</t>
        </r>
        <r>
          <rPr>
            <sz val="14"/>
            <color rgb="FF000000"/>
            <rFont val="Times New Roman"/>
            <family val="18"/>
          </rPr>
          <t xml:space="preserve"> [TL 1800]</t>
        </r>
        <r>
          <rPr>
            <sz val="14"/>
            <color rgb="FF000000"/>
            <rFont val="Calibri"/>
            <family val="34"/>
          </rPr>
          <t xml:space="preserve">
</t>
        </r>
        <r>
          <rPr>
            <sz val="14"/>
            <color rgb="FF000000"/>
            <rFont val="Times New Roman"/>
            <family val="18"/>
          </rPr>
          <t xml:space="preserve">31/10/1799 [Bevor] </t>
        </r>
        <r>
          <rPr>
            <i/>
            <sz val="14"/>
            <color rgb="FF000000"/>
            <rFont val="Times New Roman"/>
            <family val="18"/>
          </rPr>
          <t>In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31/10/1799 </t>
        </r>
        <r>
          <rPr>
            <i/>
            <sz val="14"/>
            <color rgb="FF000000"/>
            <rFont val="Times New Roman"/>
            <family val="18"/>
          </rPr>
          <t>Krank auswärts mit Kriegsgebühr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06/06/1800 </t>
        </r>
        <r>
          <rPr>
            <i/>
            <sz val="14"/>
            <color rgb="FF000000"/>
            <rFont val="Times New Roman"/>
            <family val="18"/>
          </rPr>
          <t>Auf dem Marsch ins Regiment</t>
        </r>
        <r>
          <rPr>
            <sz val="14"/>
            <color rgb="FF000000"/>
            <rFont val="Times New Roman"/>
            <family val="18"/>
          </rPr>
          <t xml:space="preserve"> </t>
        </r>
        <r>
          <rPr>
            <sz val="14"/>
            <color rgb="FF000000"/>
            <rFont val="Times New Roman"/>
            <family val="18"/>
          </rPr>
          <t>[ST Juni 1800]</t>
        </r>
        <r>
          <rPr>
            <sz val="14"/>
            <color rgb="FF000000"/>
            <rFont val="Calibri"/>
            <family val="34"/>
          </rPr>
          <t xml:space="preserve">
</t>
        </r>
        <r>
          <rPr>
            <sz val="14"/>
            <color rgb="FFFF0000"/>
            <rFont val="Times New Roman"/>
            <family val="18"/>
          </rPr>
          <t xml:space="preserve">14/06/1800 </t>
        </r>
        <r>
          <rPr>
            <i/>
            <sz val="14"/>
            <color rgb="FFFF0000"/>
            <rFont val="Times New Roman"/>
            <family val="18"/>
          </rPr>
          <t>Von Ständen gestellt</t>
        </r>
        <r>
          <rPr>
            <sz val="14"/>
            <color rgb="FFFF0000"/>
            <rFont val="Times New Roman"/>
            <family val="18"/>
          </rPr>
          <t xml:space="preserve"> [ML 1802] </t>
        </r>
        <r>
          <rPr>
            <sz val="14"/>
            <color rgb="FF000000"/>
            <rFont val="Calibri"/>
            <family val="34"/>
          </rPr>
          <t xml:space="preserve">
</t>
        </r>
        <r>
          <rPr>
            <sz val="14"/>
            <color rgb="FF000000"/>
            <rFont val="Times New Roman"/>
            <family val="18"/>
          </rPr>
          <t xml:space="preserve">01/07/1800 </t>
        </r>
        <r>
          <rPr>
            <i/>
            <sz val="14"/>
            <color rgb="FF000000"/>
            <rFont val="Times New Roman"/>
            <family val="18"/>
          </rPr>
          <t xml:space="preserve">Von der Reserve Division in ObristLt Comp. transferiert </t>
        </r>
        <r>
          <rPr>
            <sz val="14"/>
            <color rgb="FF000000"/>
            <rFont val="Times New Roman"/>
            <family val="18"/>
          </rPr>
          <t>[ST July 1800]</t>
        </r>
        <r>
          <rPr>
            <sz val="14"/>
            <color rgb="FF000000"/>
            <rFont val="Calibri"/>
            <family val="34"/>
          </rPr>
          <t xml:space="preserve">
</t>
        </r>
        <r>
          <rPr>
            <sz val="14"/>
            <color rgb="FF000000"/>
            <rFont val="Times New Roman"/>
            <family val="18"/>
          </rPr>
          <t>28/08/1802 Muster: IR 43 ObristLt. Komp. Nr. 118</t>
        </r>
        <r>
          <rPr>
            <sz val="14"/>
            <color rgb="FF000000"/>
            <rFont val="Calibri"/>
            <family val="34"/>
          </rPr>
          <t xml:space="preserve">
</t>
        </r>
        <r>
          <rPr>
            <sz val="14"/>
            <color rgb="FF000000"/>
            <rFont val="Times New Roman"/>
            <family val="18"/>
          </rPr>
          <t xml:space="preserve">01/10/1802 </t>
        </r>
        <r>
          <rPr>
            <i/>
            <sz val="14"/>
            <color rgb="FF000000"/>
            <rFont val="Times New Roman"/>
            <family val="18"/>
          </rPr>
          <t xml:space="preserve">Auf bestimmte Zeit beurlaubt; mit Deutschen Gebühr und Teuerungsbeitrag, bis 3 mit ungarische Gebühr Ohne Teuerungsbeitrag, bis 05 huj: Verpflegt </t>
        </r>
        <r>
          <rPr>
            <sz val="14"/>
            <color rgb="FF000000"/>
            <rFont val="Times New Roman"/>
            <family val="18"/>
          </rPr>
          <t>[ST Oct 1802]</t>
        </r>
        <r>
          <rPr>
            <sz val="14"/>
            <color rgb="FF000000"/>
            <rFont val="Calibri"/>
            <family val="34"/>
          </rPr>
          <t xml:space="preserve">
</t>
        </r>
        <r>
          <rPr>
            <sz val="14"/>
            <color rgb="FF000000"/>
            <rFont val="Times New Roman"/>
            <family val="18"/>
          </rPr>
          <t xml:space="preserve">01/11/1802 bis 05/11/1802 und 16/11/1802 bis 30/11/1802 </t>
        </r>
        <r>
          <rPr>
            <i/>
            <sz val="14"/>
            <color rgb="FF000000"/>
            <rFont val="Times New Roman"/>
            <family val="18"/>
          </rPr>
          <t>Auf Marsch nach Galizien</t>
        </r>
        <r>
          <rPr>
            <sz val="14"/>
            <color rgb="FF000000"/>
            <rFont val="Times New Roman"/>
            <family val="18"/>
          </rPr>
          <t xml:space="preserve"> [ST Sept 1803] [SIC!]</t>
        </r>
        <r>
          <rPr>
            <sz val="14"/>
            <color rgb="FF000000"/>
            <rFont val="Calibri"/>
            <family val="34"/>
          </rPr>
          <t xml:space="preserve">
</t>
        </r>
        <r>
          <rPr>
            <sz val="14"/>
            <color rgb="FF000000"/>
            <rFont val="Times New Roman"/>
            <family val="18"/>
          </rPr>
          <t xml:space="preserve">??/01/1803 </t>
        </r>
        <r>
          <rPr>
            <i/>
            <sz val="14"/>
            <color rgb="FF000000"/>
            <rFont val="Times New Roman"/>
            <family val="18"/>
          </rPr>
          <t>Wurde von Bestimmt zu unbestimmt Urlaub übersetzt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At Muster 02/11/1803 Muster: IR 43 ObristLt. Komp. Nr. 105 [</t>
        </r>
        <r>
          <rPr>
            <i/>
            <sz val="14"/>
            <color rgb="FF000000"/>
            <rFont val="Times New Roman"/>
            <family val="18"/>
          </rPr>
          <t>Aus unbestimmte Urlaub zu Krasnick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29/02/1804 </t>
        </r>
        <r>
          <rPr>
            <i/>
            <sz val="14"/>
            <color rgb="FF000000"/>
            <rFont val="Times New Roman"/>
            <family val="18"/>
          </rPr>
          <t>In Folge hoher Militar Commando Bewilligung dtto. Zara am 16. Marz 803 gegen Stellung 2er Capitula: Ausländer Recouten Iwan Wasiliew zu Fürst Reis Inf. Nr. 55 und Joseph Dabrowsky zu Lindenau Inft. Nro 29. Und Erlag des doppelten Montur Geldes mit Abschied entlassen</t>
        </r>
        <r>
          <rPr>
            <sz val="14"/>
            <color rgb="FF000000"/>
            <rFont val="Times New Roman"/>
            <family val="18"/>
          </rPr>
          <t xml:space="preserve"> [ST March 1804 &amp; ML 1804]</t>
        </r>
        <r>
          <rPr>
            <sz val="14"/>
            <color rgb="FF000000"/>
            <rFont val="Calibri"/>
            <family val="34"/>
          </rPr>
          <t xml:space="preserve">
</t>
        </r>
      </text>
    </comment>
    <comment ref="BG228" authorId="0" shapeId="0" xr:uid="{1FFE5C17-154B-5246-9829-7F642A3CD3CC}">
      <text>
        <r>
          <rPr>
            <sz val="14"/>
            <color rgb="FF000000"/>
            <rFont val="Times New Roman"/>
            <family val="18"/>
          </rPr>
          <t>ML 10.272 IR 43 (1802) – ObristLt Komp. Nr. 118 (Cattaro 28/08/1802)</t>
        </r>
        <r>
          <rPr>
            <sz val="14"/>
            <color rgb="FF000000"/>
            <rFont val="Calibri"/>
            <family val="34"/>
          </rPr>
          <t xml:space="preserve">
</t>
        </r>
        <r>
          <rPr>
            <sz val="14"/>
            <color rgb="FF000000"/>
            <rFont val="Times New Roman"/>
            <family val="18"/>
          </rPr>
          <t>ML 10.273 IR 43 (1803) – ObristLt Komp. Nr. 105 (Cattaro 02/11/1803)</t>
        </r>
        <r>
          <rPr>
            <sz val="14"/>
            <color rgb="FF000000"/>
            <rFont val="Calibri"/>
            <family val="34"/>
          </rPr>
          <t xml:space="preserve">
</t>
        </r>
        <r>
          <rPr>
            <sz val="14"/>
            <color rgb="FF000000"/>
            <rFont val="Times New Roman"/>
            <family val="18"/>
          </rPr>
          <t>ML 10.274 IR 43 (1804) – ObristLt Comp. Abgang (Theodo 05/10/1804)</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Juni (27/08/1803), Juli (24/10/1803)</t>
        </r>
        <r>
          <rPr>
            <sz val="14"/>
            <color rgb="FF000000"/>
            <rFont val="Calibri"/>
            <family val="34"/>
          </rPr>
          <t xml:space="preserve">
</t>
        </r>
        <r>
          <rPr>
            <sz val="14"/>
            <color rgb="FF000000"/>
            <rFont val="Times New Roman"/>
            <family val="18"/>
          </rPr>
          <t>ML 10.310 IR 43 (1800) – TL IR 43 Res Div -&gt; FELD Bats Nr. 9 (Laibach 05/06/1800)</t>
        </r>
        <r>
          <rPr>
            <sz val="14"/>
            <color rgb="FF000000"/>
            <rFont val="Calibri"/>
            <family val="34"/>
          </rPr>
          <t xml:space="preserve">
</t>
        </r>
        <r>
          <rPr>
            <sz val="14"/>
            <color rgb="FF000000"/>
            <rFont val="Times New Roman"/>
            <family val="18"/>
          </rPr>
          <t>ML 10.312 IR 43 (1802) – ST Oct (15/10/1802)</t>
        </r>
        <r>
          <rPr>
            <sz val="14"/>
            <color rgb="FF000000"/>
            <rFont val="Calibri"/>
            <family val="34"/>
          </rPr>
          <t xml:space="preserve">
</t>
        </r>
        <r>
          <rPr>
            <sz val="14"/>
            <color rgb="FF000000"/>
            <rFont val="Times New Roman"/>
            <family val="18"/>
          </rPr>
          <t>ML 10.313 IR 43 (1803) – ST Jan (15/02/1803), Sept (15/10/1803)</t>
        </r>
        <r>
          <rPr>
            <sz val="14"/>
            <color rgb="FF000000"/>
            <rFont val="Calibri"/>
            <family val="34"/>
          </rPr>
          <t xml:space="preserve">
</t>
        </r>
        <r>
          <rPr>
            <sz val="14"/>
            <color rgb="FF000000"/>
            <rFont val="Times New Roman"/>
            <family val="18"/>
          </rPr>
          <t>ML 10.314 IR 43 (1804) – ST März (15/04/1804)</t>
        </r>
        <r>
          <rPr>
            <sz val="14"/>
            <color rgb="FF000000"/>
            <rFont val="Calibri"/>
            <family val="34"/>
          </rPr>
          <t xml:space="preserve">
</t>
        </r>
      </text>
    </comment>
    <comment ref="BH228" authorId="0" shapeId="0" xr:uid="{85AAC861-ED0F-9F4B-BA18-93E28E7EC34E}">
      <text>
        <r>
          <rPr>
            <sz val="14"/>
            <color rgb="FF000000"/>
            <rFont val="Calibri"/>
            <family val="34"/>
          </rPr>
          <t>IR 43 (1799-1804)</t>
        </r>
      </text>
    </comment>
    <comment ref="BF229" authorId="0" shapeId="0" xr:uid="{72CDCC4F-1D16-A943-9BF8-6256B536F968}">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25/05/1800 </t>
        </r>
        <r>
          <rPr>
            <i/>
            <sz val="14"/>
            <color rgb="FF000000"/>
            <rFont val="Times New Roman"/>
            <family val="18"/>
          </rPr>
          <t>In Folge hohe Verordnung als untauglich mit Laufpass entlassen</t>
        </r>
        <r>
          <rPr>
            <sz val="14"/>
            <color rgb="FF000000"/>
            <rFont val="Times New Roman"/>
            <family val="18"/>
          </rPr>
          <t xml:space="preserve"> </t>
        </r>
        <r>
          <rPr>
            <i/>
            <sz val="14"/>
            <color rgb="FF000000"/>
            <rFont val="Times New Roman"/>
            <family val="18"/>
          </rPr>
          <t>und</t>
        </r>
        <r>
          <rPr>
            <sz val="14"/>
            <color rgb="FF000000"/>
            <rFont val="Times New Roman"/>
            <family val="18"/>
          </rPr>
          <t xml:space="preserve"> </t>
        </r>
        <r>
          <rPr>
            <i/>
            <sz val="14"/>
            <color rgb="FF000000"/>
            <rFont val="Times New Roman"/>
            <family val="18"/>
          </rPr>
          <t>wurde durch den Rekruten Eli BORUCH ersetzt</t>
        </r>
        <r>
          <rPr>
            <sz val="14"/>
            <color rgb="FF000000"/>
            <rFont val="Times New Roman"/>
            <family val="18"/>
          </rPr>
          <t>. [ST Aug 1800]</t>
        </r>
        <r>
          <rPr>
            <sz val="14"/>
            <color rgb="FF000000"/>
            <rFont val="Calibri"/>
            <family val="34"/>
          </rPr>
          <t xml:space="preserve">
</t>
        </r>
      </text>
    </comment>
    <comment ref="BG229" authorId="0" shapeId="0" xr:uid="{02BF435C-AF20-454D-A812-5014DD5CC6EF}">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text>
    </comment>
    <comment ref="BH229" authorId="0" shapeId="0" xr:uid="{22F1CD9C-4338-FB42-BD83-49A9B0A271D8}">
      <text>
        <r>
          <rPr>
            <sz val="14"/>
            <color rgb="FF000000"/>
            <rFont val="Calibri"/>
            <family val="34"/>
          </rPr>
          <t>IR 43 (1799-1800)</t>
        </r>
      </text>
    </comment>
    <comment ref="BF230" authorId="0" shapeId="0" xr:uid="{6D574703-6884-8A48-9F8E-EA26D2F64EB8}">
      <text>
        <r>
          <rPr>
            <sz val="14"/>
            <color rgb="FF000000"/>
            <rFont val="Times New Roman"/>
            <family val="18"/>
          </rPr>
          <t xml:space="preserve">??/07/1799 </t>
        </r>
        <r>
          <rPr>
            <i/>
            <sz val="14"/>
            <color rgb="FF000000"/>
            <rFont val="Times New Roman"/>
            <family val="18"/>
          </rPr>
          <t>Von Ständen gestellt und seitdem auf Anhero Marsch mit Friedensgebuhr</t>
        </r>
        <r>
          <rPr>
            <sz val="14"/>
            <color rgb="FF000000"/>
            <rFont val="Times New Roman"/>
            <family val="18"/>
          </rPr>
          <t xml:space="preserve"> [TL May 1800 &amp; ST Nov 1799]</t>
        </r>
        <r>
          <rPr>
            <sz val="14"/>
            <color rgb="FF000000"/>
            <rFont val="Calibri"/>
            <family val="34"/>
          </rPr>
          <t xml:space="preserve">
</t>
        </r>
        <r>
          <rPr>
            <sz val="14"/>
            <color rgb="FF000000"/>
            <rFont val="Times New Roman"/>
            <family val="18"/>
          </rPr>
          <t xml:space="preserve">12/11/1799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05/06/1800 </t>
        </r>
        <r>
          <rPr>
            <i/>
            <sz val="14"/>
            <color rgb="FF000000"/>
            <rFont val="Times New Roman"/>
            <family val="18"/>
          </rPr>
          <t>Auf Anhero Marsch in Regiment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26/09/1800 </t>
        </r>
        <r>
          <rPr>
            <i/>
            <sz val="14"/>
            <color rgb="FF000000"/>
            <rFont val="Times New Roman"/>
            <family val="18"/>
          </rPr>
          <t>Zugeheilt zu Regiment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15/10/1800 </t>
        </r>
        <r>
          <rPr>
            <i/>
            <sz val="14"/>
            <color rgb="FF000000"/>
            <rFont val="Times New Roman"/>
            <family val="18"/>
          </rPr>
          <t>Wieder am Marsch zum Regiment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 nicht mehr in die Quellen</t>
        </r>
        <r>
          <rPr>
            <sz val="14"/>
            <color rgb="FF000000"/>
            <rFont val="Calibri"/>
            <family val="34"/>
          </rPr>
          <t xml:space="preserve">
</t>
        </r>
      </text>
    </comment>
    <comment ref="BG230" authorId="0" shapeId="0" xr:uid="{9B3963DE-8002-7C41-A86C-1478804552EA}">
      <text>
        <r>
          <rPr>
            <sz val="14"/>
            <color rgb="FF000000"/>
            <rFont val="Times New Roman"/>
            <family val="18"/>
          </rPr>
          <t>ML 10.308 IR 43 (1799) – Nov (12/10/1800), Dez (01/11/1800)</t>
        </r>
        <r>
          <rPr>
            <sz val="14"/>
            <color rgb="FF000000"/>
            <rFont val="Calibri"/>
            <family val="34"/>
          </rPr>
          <t xml:space="preserve">
</t>
        </r>
        <r>
          <rPr>
            <sz val="14"/>
            <color rgb="FF000000"/>
            <rFont val="Times New Roman"/>
            <family val="18"/>
          </rPr>
          <t>ML 10.309 IR 43 (1800) – ST Juni (27/08/1803), Sept (31/01/1804), Oct (22/03/1804)</t>
        </r>
        <r>
          <rPr>
            <sz val="14"/>
            <color rgb="FF000000"/>
            <rFont val="Calibri"/>
            <family val="34"/>
          </rPr>
          <t xml:space="preserve">
</t>
        </r>
        <r>
          <rPr>
            <sz val="14"/>
            <color rgb="FF000000"/>
            <rFont val="Times New Roman"/>
            <family val="18"/>
          </rPr>
          <t>ML 10.310 IR 43 (1800) – TL IR 43 Res. Div-&gt; Feld Bats Nr. 16 (Laibach 05/06/1800)</t>
        </r>
        <r>
          <rPr>
            <sz val="14"/>
            <color rgb="FF000000"/>
            <rFont val="Calibri"/>
            <family val="34"/>
          </rPr>
          <t xml:space="preserve">
</t>
        </r>
      </text>
    </comment>
    <comment ref="BH230" authorId="0" shapeId="0" xr:uid="{1D6556EB-03C0-E948-B4EA-1F4CD87B9010}">
      <text>
        <r>
          <rPr>
            <sz val="14"/>
            <color rgb="FF000000"/>
            <rFont val="Calibri"/>
            <family val="34"/>
          </rPr>
          <t>IR 43 (1799-1800)</t>
        </r>
      </text>
    </comment>
    <comment ref="I231" authorId="0" shapeId="0" xr:uid="{B4163633-8C29-A147-99DB-63F7B20D6F77}">
      <text>
        <r>
          <rPr>
            <sz val="14"/>
            <color rgb="FF000000"/>
            <rFont val="Calibri"/>
            <family val="34"/>
          </rPr>
          <t xml:space="preserve">1777 [29 (1806)] 
</t>
        </r>
        <r>
          <rPr>
            <sz val="14"/>
            <color rgb="FF000000"/>
            <rFont val="Calibri"/>
            <family val="34"/>
          </rPr>
          <t xml:space="preserve">OR 
</t>
        </r>
        <r>
          <rPr>
            <sz val="14"/>
            <color rgb="FF000000"/>
            <rFont val="Calibri"/>
            <family val="34"/>
          </rPr>
          <t>1780 [22 (1802)</t>
        </r>
      </text>
    </comment>
    <comment ref="P231" authorId="0" shapeId="0" xr:uid="{9A11462A-1BFA-3949-BCC6-331955F681C4}">
      <text>
        <r>
          <rPr>
            <sz val="14"/>
            <color rgb="FF000000"/>
            <rFont val="Times New Roman"/>
            <family val="18"/>
          </rPr>
          <t>Maiana (1796)</t>
        </r>
      </text>
    </comment>
    <comment ref="BF231" authorId="0" shapeId="0" xr:uid="{E1B8804A-F314-1242-B36C-BAA7CB1D57F4}">
      <text>
        <r>
          <rPr>
            <sz val="14"/>
            <color rgb="FFFF0000"/>
            <rFont val="Times New Roman"/>
            <family val="18"/>
          </rPr>
          <t xml:space="preserve">05/12/1798 </t>
        </r>
        <r>
          <rPr>
            <i/>
            <sz val="14"/>
            <color rgb="FFFF0000"/>
            <rFont val="Times New Roman"/>
            <family val="18"/>
          </rPr>
          <t>Gegen 3Fl auf Beständig assentiert</t>
        </r>
        <r>
          <rPr>
            <sz val="14"/>
            <color rgb="FFFF0000"/>
            <rFont val="Times New Roman"/>
            <family val="18"/>
          </rPr>
          <t xml:space="preserve"> [TL Aug 1802 &amp; ML 1803]</t>
        </r>
        <r>
          <rPr>
            <sz val="14"/>
            <color rgb="FF000000"/>
            <rFont val="Calibri"/>
            <family val="34"/>
          </rPr>
          <t xml:space="preserve">
</t>
        </r>
        <r>
          <rPr>
            <sz val="14"/>
            <color rgb="FF000000"/>
            <rFont val="Times New Roman"/>
            <family val="18"/>
          </rPr>
          <t xml:space="preserve">In 07/1799 </t>
        </r>
        <r>
          <rPr>
            <i/>
            <sz val="14"/>
            <color rgb="FF000000"/>
            <rFont val="Times New Roman"/>
            <family val="18"/>
          </rPr>
          <t>Assentiert und seitdem auf Anhero Marsch mit Friedensgebühr</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die Reserve Division eingerückt</t>
        </r>
        <r>
          <rPr>
            <sz val="14"/>
            <color rgb="FF000000"/>
            <rFont val="Calibri"/>
            <family val="34"/>
          </rPr>
          <t xml:space="preserve">
</t>
        </r>
        <r>
          <rPr>
            <sz val="14"/>
            <color rgb="FF000000"/>
            <rFont val="Times New Roman"/>
            <family val="18"/>
          </rPr>
          <t xml:space="preserve">31/10/1799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die Leib Companie eingerückt</t>
        </r>
        <r>
          <rPr>
            <sz val="14"/>
            <color rgb="FF000000"/>
            <rFont val="Times New Roman"/>
            <family val="18"/>
          </rPr>
          <t xml:space="preserve"> [ST Feb 1800] </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30/06/1801 </t>
        </r>
        <r>
          <rPr>
            <i/>
            <sz val="14"/>
            <color rgb="FF000000"/>
            <rFont val="Times New Roman"/>
            <family val="18"/>
          </rPr>
          <t>Rekonvalesziert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Lieb Komp. zum IR 44 transferiert und zur Haupt Wicka Komp. eingeheilt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Haupt Wicka Komp. Nr. 94</t>
        </r>
        <r>
          <rPr>
            <sz val="14"/>
            <color rgb="FF000000"/>
            <rFont val="Calibri"/>
            <family val="34"/>
          </rPr>
          <t xml:space="preserve">
</t>
        </r>
        <r>
          <rPr>
            <sz val="14"/>
            <color rgb="FF000000"/>
            <rFont val="Times New Roman"/>
            <family val="18"/>
          </rPr>
          <t>12/05/1804 Muster: IR 44 Haupt Eckhardt Nr. 85 [</t>
        </r>
        <r>
          <rPr>
            <i/>
            <sz val="14"/>
            <color rgb="FF000000"/>
            <rFont val="Times New Roman"/>
            <family val="18"/>
          </rPr>
          <t>Beurlaubt zu Oppole in Pohlen bis zur Ezercierzeit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Eckhard Komp. Nr. 125</t>
        </r>
        <r>
          <rPr>
            <sz val="14"/>
            <color rgb="FF000000"/>
            <rFont val="Calibri"/>
            <family val="34"/>
          </rPr>
          <t xml:space="preserve">
</t>
        </r>
        <r>
          <rPr>
            <sz val="14"/>
            <color rgb="FF000000"/>
            <rFont val="Times New Roman"/>
            <family val="18"/>
          </rPr>
          <t>19/09/1808 Revision: IR 44 Haupt Eckhard Komp. Nr. 88 [</t>
        </r>
        <r>
          <rPr>
            <i/>
            <sz val="14"/>
            <color rgb="FF000000"/>
            <rFont val="Times New Roman"/>
            <family val="18"/>
          </rPr>
          <t>Auf Conscription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3.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16/02/1810 </t>
        </r>
        <r>
          <rPr>
            <i/>
            <sz val="14"/>
            <color rgb="FF000000"/>
            <rFont val="Times New Roman"/>
            <family val="18"/>
          </rPr>
          <t>Von 2. Res.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148 [</t>
        </r>
        <r>
          <rPr>
            <i/>
            <sz val="14"/>
            <color rgb="FF000000"/>
            <rFont val="Times New Roman"/>
            <family val="18"/>
          </rPr>
          <t>Commandiert auf conscription in Galizien</t>
        </r>
        <r>
          <rPr>
            <sz val="14"/>
            <color rgb="FF000000"/>
            <rFont val="Times New Roman"/>
            <family val="18"/>
          </rPr>
          <t>]</t>
        </r>
        <r>
          <rPr>
            <sz val="14"/>
            <color rgb="FF000000"/>
            <rFont val="Calibri"/>
            <family val="34"/>
          </rPr>
          <t xml:space="preserve">
</t>
        </r>
        <r>
          <rPr>
            <sz val="14"/>
            <color rgb="FF000000"/>
            <rFont val="Times New Roman"/>
            <family val="18"/>
          </rPr>
          <t>20/09/1811 Muster: IR 44 7. Fus. Komp. Nr. 85 [</t>
        </r>
        <r>
          <rPr>
            <i/>
            <sz val="14"/>
            <color rgb="FF000000"/>
            <rFont val="Times New Roman"/>
            <family val="18"/>
          </rPr>
          <t xml:space="preserve">Beim Hauptwerbbezierk zu Sambor in Gallizien </t>
        </r>
        <r>
          <rPr>
            <sz val="14"/>
            <color rgb="FF000000"/>
            <rFont val="Calibri"/>
            <family val="34"/>
          </rPr>
          <t xml:space="preserve">
</t>
        </r>
        <r>
          <rPr>
            <sz val="14"/>
            <color rgb="FF000000"/>
            <rFont val="Times New Roman"/>
            <family val="18"/>
          </rPr>
          <t xml:space="preserve">31/08/1812 </t>
        </r>
        <r>
          <rPr>
            <i/>
            <sz val="14"/>
            <color rgb="FF000000"/>
            <rFont val="Times New Roman"/>
            <family val="18"/>
          </rPr>
          <t>Beim 3. Battalion Kommandiert</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19/09/1812 Revision: IR 44 7. Fus. Komp. Nr. 57 [</t>
        </r>
        <r>
          <rPr>
            <i/>
            <sz val="14"/>
            <color rgb="FF000000"/>
            <rFont val="Times New Roman"/>
            <family val="18"/>
          </rPr>
          <t>Auf conscription zu Sambor Commandiert</t>
        </r>
        <r>
          <rPr>
            <sz val="14"/>
            <color rgb="FF000000"/>
            <rFont val="Times New Roman"/>
            <family val="18"/>
          </rPr>
          <t>]</t>
        </r>
        <r>
          <rPr>
            <sz val="14"/>
            <color rgb="FF000000"/>
            <rFont val="Calibri"/>
            <family val="34"/>
          </rPr>
          <t xml:space="preserve">
</t>
        </r>
        <r>
          <rPr>
            <sz val="14"/>
            <color rgb="FF000000"/>
            <rFont val="Times New Roman"/>
            <family val="18"/>
          </rPr>
          <t xml:space="preserve">01/10/1812 </t>
        </r>
        <r>
          <rPr>
            <i/>
            <sz val="14"/>
            <color rgb="FF000000"/>
            <rFont val="Times New Roman"/>
            <family val="18"/>
          </rPr>
          <t>Von. 7. zum 15. Fus Komp. transferiert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15. zum 7. Fus. Komp. transferiert und beim 3. Bat. Kommandiert</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26/01/1813 </t>
        </r>
        <r>
          <rPr>
            <i/>
            <sz val="14"/>
            <color rgb="FF000000"/>
            <rFont val="Times New Roman"/>
            <family val="18"/>
          </rPr>
          <t xml:space="preserve">Von. 7. Zum 15. Komp. transferiert </t>
        </r>
        <r>
          <rPr>
            <sz val="14"/>
            <color rgb="FF000000"/>
            <rFont val="Times New Roman"/>
            <family val="18"/>
          </rPr>
          <t>[ST Jan 1813]</t>
        </r>
        <r>
          <rPr>
            <sz val="14"/>
            <color rgb="FF000000"/>
            <rFont val="Calibri"/>
            <family val="34"/>
          </rPr>
          <t xml:space="preserve">
</t>
        </r>
        <r>
          <rPr>
            <sz val="14"/>
            <color rgb="FF000000"/>
            <rFont val="Times New Roman"/>
            <family val="18"/>
          </rPr>
          <t xml:space="preserve">26/01/1814 </t>
        </r>
        <r>
          <rPr>
            <i/>
            <sz val="14"/>
            <color rgb="FF000000"/>
            <rFont val="Times New Roman"/>
            <family val="18"/>
          </rPr>
          <t>Krank in auswärtigen Spitälern</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10/02/1814 </t>
        </r>
        <r>
          <rPr>
            <i/>
            <sz val="14"/>
            <color rgb="FF000000"/>
            <rFont val="Times New Roman"/>
            <family val="18"/>
          </rPr>
          <t>Rekonvalesziert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11/02/1814 </t>
        </r>
        <r>
          <rPr>
            <i/>
            <sz val="14"/>
            <color rgb="FF000000"/>
            <rFont val="Times New Roman"/>
            <family val="18"/>
          </rPr>
          <t>Auf Marsch zum Regiment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10/05/1814 </t>
        </r>
        <r>
          <rPr>
            <i/>
            <sz val="14"/>
            <color rgb="FF000000"/>
            <rFont val="Times New Roman"/>
            <family val="18"/>
          </rPr>
          <t>Ins Regiment eingerückt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31/01/1815 Von IR 44 </t>
        </r>
        <r>
          <rPr>
            <i/>
            <sz val="14"/>
            <color rgb="FF000000"/>
            <rFont val="Times New Roman"/>
            <family val="18"/>
          </rPr>
          <t>15. Fus. Komp zum GB 9 transferiert und zur 5. Komp. zugeteilt</t>
        </r>
        <r>
          <rPr>
            <sz val="14"/>
            <color rgb="FF000000"/>
            <rFont val="Times New Roman"/>
            <family val="18"/>
          </rPr>
          <t xml:space="preserve"> [ST Feb 1815 &amp; TL April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Vermog hoher Superarbitratio gegen Renuncierung aos Real Invalid Mit Abschied entlassen</t>
        </r>
        <r>
          <rPr>
            <sz val="14"/>
            <color rgb="FF000000"/>
            <rFont val="Times New Roman"/>
            <family val="18"/>
          </rPr>
          <t xml:space="preserve"> [ST Jan 1816]</t>
        </r>
        <r>
          <rPr>
            <sz val="14"/>
            <color rgb="FF000000"/>
            <rFont val="Calibri"/>
            <family val="34"/>
          </rPr>
          <t xml:space="preserve">
</t>
        </r>
      </text>
    </comment>
    <comment ref="BG231" authorId="0" shapeId="0" xr:uid="{558BB4C5-8EF6-374A-BB05-AC695C4C3282}">
      <text>
        <r>
          <rPr>
            <sz val="14"/>
            <color rgb="FF000000"/>
            <rFont val="Times New Roman"/>
            <family val="18"/>
          </rPr>
          <t>ML 10.307 IR 43 (1799) – ST Dez (01/11/1800)</t>
        </r>
        <r>
          <rPr>
            <sz val="14"/>
            <color rgb="FF000000"/>
            <rFont val="Calibri"/>
            <family val="34"/>
          </rPr>
          <t xml:space="preserve">
</t>
        </r>
        <r>
          <rPr>
            <sz val="14"/>
            <color rgb="FF000000"/>
            <rFont val="Times New Roman"/>
            <family val="18"/>
          </rPr>
          <t>ML 10.309 IR 43 (1800) – ST Feb (06/04/1801), Juni (27/08/1803)</t>
        </r>
        <r>
          <rPr>
            <sz val="14"/>
            <color rgb="FF000000"/>
            <rFont val="Calibri"/>
            <family val="34"/>
          </rPr>
          <t xml:space="preserve">
</t>
        </r>
        <r>
          <rPr>
            <sz val="14"/>
            <color rgb="FF000000"/>
            <rFont val="Times New Roman"/>
            <family val="18"/>
          </rPr>
          <t>ML 10.310 IR 43 (1800) – TL IR Res. Div-&gt; Feld Bat. Nr. 61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ObristLt. Komp. Nr. 138 (Venice 19/09/1803)</t>
        </r>
        <r>
          <rPr>
            <sz val="14"/>
            <color rgb="FF000000"/>
            <rFont val="Calibri"/>
            <family val="34"/>
          </rPr>
          <t xml:space="preserve">
</t>
        </r>
        <r>
          <rPr>
            <sz val="14"/>
            <color rgb="FF000000"/>
            <rFont val="Times New Roman"/>
            <family val="18"/>
          </rPr>
          <t>ML 3909 IR 44 (1804) – ObristLt. Komp. Nr. 138 (Vicenza 12/05/1804)</t>
        </r>
        <r>
          <rPr>
            <sz val="14"/>
            <color rgb="FF000000"/>
            <rFont val="Calibri"/>
            <family val="34"/>
          </rPr>
          <t xml:space="preserve">
</t>
        </r>
        <r>
          <rPr>
            <sz val="14"/>
            <color rgb="FF000000"/>
            <rFont val="Times New Roman"/>
            <family val="18"/>
          </rPr>
          <t>ML 3910 IR 44 (1806) – CaptLt Hermann Komp. Nr. 40 (Fiume 10/12/1806)</t>
        </r>
        <r>
          <rPr>
            <sz val="14"/>
            <color rgb="FF000000"/>
            <rFont val="Calibri"/>
            <family val="34"/>
          </rPr>
          <t xml:space="preserve">
</t>
        </r>
        <r>
          <rPr>
            <sz val="14"/>
            <color rgb="FF000000"/>
            <rFont val="Times New Roman"/>
            <family val="18"/>
          </rPr>
          <t>ML 3911 IR 44 (1808-10) – RL CaptLt. Herrmann [13. Fus.] Komp. Nr, 34 (Drohobyz 17/09/1808); 9. Fus. Komp. Nr. 47 (Pappa, 27/09/1810)</t>
        </r>
        <r>
          <rPr>
            <sz val="14"/>
            <color rgb="FF000000"/>
            <rFont val="Calibri"/>
            <family val="34"/>
          </rPr>
          <t xml:space="preserve">
</t>
        </r>
        <r>
          <rPr>
            <sz val="14"/>
            <color rgb="FF000000"/>
            <rFont val="Times New Roman"/>
            <family val="18"/>
          </rPr>
          <t>ML 3912-3 (IR 44) (1811) – 10. Fus. Komp. Nr. 21(Stuhlweißenburg 20/09/1811)</t>
        </r>
        <r>
          <rPr>
            <sz val="14"/>
            <color rgb="FF000000"/>
            <rFont val="Calibri"/>
            <family val="34"/>
          </rPr>
          <t xml:space="preserve">
</t>
        </r>
        <r>
          <rPr>
            <sz val="14"/>
            <color rgb="FF000000"/>
            <rFont val="Times New Roman"/>
            <family val="18"/>
          </rPr>
          <t>19/09/1812)</t>
        </r>
        <r>
          <rPr>
            <sz val="14"/>
            <color rgb="FF000000"/>
            <rFont val="Calibri"/>
            <family val="34"/>
          </rPr>
          <t xml:space="preserve">
</t>
        </r>
        <r>
          <rPr>
            <sz val="14"/>
            <color rgb="FF000000"/>
            <rFont val="Times New Roman"/>
            <family val="18"/>
          </rPr>
          <t>ML 3914 IR 44 (1812/6) – 10. Fus. Komp. Nr. 16 (Pest)</t>
        </r>
        <r>
          <rPr>
            <sz val="14"/>
            <color rgb="FF000000"/>
            <rFont val="Calibri"/>
            <family val="34"/>
          </rPr>
          <t xml:space="preserve">
</t>
        </r>
        <r>
          <rPr>
            <sz val="14"/>
            <color rgb="FF000000"/>
            <rFont val="Times New Roman"/>
            <family val="18"/>
          </rPr>
          <t>ML 3946 IR 44 (1802) – AL IR 43-&gt; IR 44 Nr. 4 (Zara 04/08/1802)</t>
        </r>
        <r>
          <rPr>
            <sz val="14"/>
            <color rgb="FF000000"/>
            <rFont val="Calibri"/>
            <family val="34"/>
          </rPr>
          <t xml:space="preserve">
</t>
        </r>
        <r>
          <rPr>
            <sz val="14"/>
            <color rgb="FF000000"/>
            <rFont val="Times New Roman"/>
            <family val="18"/>
          </rPr>
          <t>ML 3960 IR 44 (1809) –Sept (Ofen 20/05/1811)</t>
        </r>
        <r>
          <rPr>
            <sz val="14"/>
            <color rgb="FF000000"/>
            <rFont val="Calibri"/>
            <family val="34"/>
          </rPr>
          <t xml:space="preserve">
</t>
        </r>
        <r>
          <rPr>
            <sz val="14"/>
            <color rgb="FF000000"/>
            <rFont val="Times New Roman"/>
            <family val="18"/>
          </rPr>
          <t>ML 3962 IR 44 (1810) – Sept (Pest 13/12/1811)</t>
        </r>
        <r>
          <rPr>
            <sz val="14"/>
            <color rgb="FF000000"/>
            <rFont val="Calibri"/>
            <family val="34"/>
          </rPr>
          <t xml:space="preserve">
</t>
        </r>
        <r>
          <rPr>
            <sz val="14"/>
            <color rgb="FF000000"/>
            <rFont val="Times New Roman"/>
            <family val="18"/>
          </rPr>
          <t>ML 3972 IR 44 (1815) – ST Juli (20/07/1816)</t>
        </r>
        <r>
          <rPr>
            <sz val="14"/>
            <color rgb="FF000000"/>
            <rFont val="Calibri"/>
            <family val="34"/>
          </rPr>
          <t xml:space="preserve">
</t>
        </r>
        <r>
          <rPr>
            <sz val="14"/>
            <color rgb="FF000000"/>
            <rFont val="Times New Roman"/>
            <family val="18"/>
          </rPr>
          <t>ML 12.018 HFS 48 (1816) – VerpfL Jan 1816 (Prague 20/01/1816)</t>
        </r>
        <r>
          <rPr>
            <sz val="14"/>
            <color rgb="FF000000"/>
            <rFont val="Calibri"/>
            <family val="34"/>
          </rPr>
          <t xml:space="preserve">
</t>
        </r>
      </text>
    </comment>
    <comment ref="BH231" authorId="0" shapeId="0" xr:uid="{53FEE26D-A83C-5443-B2E9-D7C86E62C62F}">
      <text>
        <r>
          <rPr>
            <sz val="14"/>
            <color rgb="FF000000"/>
            <rFont val="Calibri"/>
            <family val="34"/>
          </rPr>
          <t xml:space="preserve">IR 43 (1799-1802)
</t>
        </r>
        <r>
          <rPr>
            <sz val="14"/>
            <color rgb="FF000000"/>
            <rFont val="Calibri"/>
            <family val="34"/>
          </rPr>
          <t xml:space="preserve">IR 44 (1802-1815)
</t>
        </r>
        <r>
          <rPr>
            <sz val="14"/>
            <color rgb="FF000000"/>
            <rFont val="Calibri"/>
            <family val="34"/>
          </rPr>
          <t>HFS 48 (1815-? 1816)</t>
        </r>
      </text>
    </comment>
    <comment ref="BI231" authorId="0" shapeId="0" xr:uid="{D19FE78A-014E-6E49-A70B-A47E890AE18E}">
      <text>
        <r>
          <rPr>
            <sz val="14"/>
            <color rgb="FF000000"/>
            <rFont val="Calibri"/>
            <family val="34"/>
          </rPr>
          <t>Gut [TL Aug 1802]</t>
        </r>
      </text>
    </comment>
    <comment ref="BF232" authorId="0" shapeId="0" xr:uid="{BBE0158E-1B34-9647-98AA-1523DE6EF5B1}">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01/11/1799 [Mindestens seit]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26/12/1799 </t>
        </r>
        <r>
          <rPr>
            <i/>
            <sz val="14"/>
            <color rgb="FF000000"/>
            <rFont val="Times New Roman"/>
            <family val="18"/>
          </rPr>
          <t>In Laibach Gestorben</t>
        </r>
        <r>
          <rPr>
            <sz val="14"/>
            <color rgb="FF000000"/>
            <rFont val="Times New Roman"/>
            <family val="18"/>
          </rPr>
          <t xml:space="preserve"> [ST Dec 1799]</t>
        </r>
        <r>
          <rPr>
            <sz val="14"/>
            <color rgb="FF000000"/>
            <rFont val="Calibri"/>
            <family val="34"/>
          </rPr>
          <t xml:space="preserve">
</t>
        </r>
      </text>
    </comment>
    <comment ref="BG232" authorId="0" shapeId="0" xr:uid="{57FCD328-9B95-C54F-9144-FEE530E6EC73}">
      <text>
        <r>
          <rPr>
            <sz val="14"/>
            <color rgb="FF000000"/>
            <rFont val="Times New Roman"/>
            <family val="18"/>
          </rPr>
          <t>ML 10.307 IR 43 (1799) – ST Nov (12/10/1800), Dez (01/11/1800)</t>
        </r>
      </text>
    </comment>
    <comment ref="BH232" authorId="0" shapeId="0" xr:uid="{D40837F2-2714-BD49-B425-F508B4A45711}">
      <text>
        <r>
          <rPr>
            <sz val="14"/>
            <color rgb="FF000000"/>
            <rFont val="Calibri"/>
            <family val="34"/>
          </rPr>
          <t>IR 43 (1799)</t>
        </r>
      </text>
    </comment>
    <comment ref="BF233" authorId="0" shapeId="0" xr:uid="{F4AB5F42-475B-534D-AE09-9F6C00BA76D2}">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23/11/1799 </t>
        </r>
        <r>
          <rPr>
            <i/>
            <sz val="14"/>
            <color rgb="FF000000"/>
            <rFont val="Times New Roman"/>
            <family val="18"/>
          </rPr>
          <t>Ins Laibach gestorben</t>
        </r>
        <r>
          <rPr>
            <sz val="14"/>
            <color rgb="FF000000"/>
            <rFont val="Times New Roman"/>
            <family val="18"/>
          </rPr>
          <t xml:space="preserve"> [ST Nov 1799] </t>
        </r>
        <r>
          <rPr>
            <sz val="14"/>
            <color rgb="FF000000"/>
            <rFont val="Calibri"/>
            <family val="34"/>
          </rPr>
          <t xml:space="preserve">
</t>
        </r>
      </text>
    </comment>
    <comment ref="BG233" authorId="0" shapeId="0" xr:uid="{A0EDE397-9C31-124B-BA5A-215C804FAA6E}">
      <text>
        <r>
          <rPr>
            <sz val="14"/>
            <color rgb="FF000000"/>
            <rFont val="Times New Roman"/>
            <family val="18"/>
          </rPr>
          <t>ML 10.307 IR 43 (1799) – ST Nov (12/10/1800)</t>
        </r>
      </text>
    </comment>
    <comment ref="BH233" authorId="0" shapeId="0" xr:uid="{FAAC0364-6152-9844-9372-5900F5946E7D}">
      <text>
        <r>
          <rPr>
            <sz val="14"/>
            <color rgb="FF000000"/>
            <rFont val="Calibri"/>
            <family val="34"/>
          </rPr>
          <t>IR 43 (1799)</t>
        </r>
      </text>
    </comment>
    <comment ref="I234" authorId="0" shapeId="0" xr:uid="{6A3B874E-723B-B549-BBF5-5E42A7354779}">
      <text>
        <r>
          <rPr>
            <sz val="14"/>
            <color rgb="FF000000"/>
            <rFont val="Calibri"/>
            <family val="34"/>
          </rPr>
          <t xml:space="preserve">1775 [28 (1803)] 
</t>
        </r>
        <r>
          <rPr>
            <sz val="14"/>
            <color rgb="FF000000"/>
            <rFont val="Calibri"/>
            <family val="34"/>
          </rPr>
          <t xml:space="preserve">OR 
</t>
        </r>
        <r>
          <rPr>
            <sz val="14"/>
            <color rgb="FF000000"/>
            <rFont val="Calibri"/>
            <family val="34"/>
          </rPr>
          <t>1777 [38 (1815)]</t>
        </r>
      </text>
    </comment>
    <comment ref="J234" authorId="0" shapeId="0" xr:uid="{5C39F3FF-8A1E-4940-93A7-FCCE831C09D1}">
      <text>
        <r>
          <rPr>
            <sz val="14"/>
            <color rgb="FF000000"/>
            <rFont val="Calibri"/>
            <family val="34"/>
          </rPr>
          <t xml:space="preserve">Verheiratet (1802-1811)
</t>
        </r>
        <r>
          <rPr>
            <sz val="14"/>
            <color rgb="FF000000"/>
            <rFont val="Calibri"/>
            <family val="34"/>
          </rPr>
          <t>Ledig (1815)</t>
        </r>
      </text>
    </comment>
    <comment ref="K234" authorId="0" shapeId="0" xr:uid="{A667A75D-3C49-9145-93FC-DEECF8D2BAA8}">
      <text>
        <r>
          <rPr>
            <sz val="14"/>
            <color rgb="FF000000"/>
            <rFont val="Calibri"/>
            <family val="34"/>
          </rPr>
          <t xml:space="preserve">Schneider  (1802-1811)
</t>
        </r>
        <r>
          <rPr>
            <sz val="14"/>
            <color rgb="FF000000"/>
            <rFont val="Calibri"/>
            <family val="34"/>
          </rPr>
          <t>Schmidt (1815)</t>
        </r>
      </text>
    </comment>
    <comment ref="BF234" authorId="0" shapeId="0" xr:uid="{95BDB7D8-BD06-2B42-822D-F46C0CDD0FB9}">
      <text>
        <r>
          <rPr>
            <sz val="14"/>
            <color rgb="FFFF0000"/>
            <rFont val="Times New Roman"/>
            <family val="18"/>
          </rPr>
          <t xml:space="preserve">05/12/1798 </t>
        </r>
        <r>
          <rPr>
            <i/>
            <sz val="14"/>
            <color rgb="FFFF0000"/>
            <rFont val="Times New Roman"/>
            <family val="18"/>
          </rPr>
          <t>Gegen 3Fl auf Beständig assentiert</t>
        </r>
        <r>
          <rPr>
            <sz val="14"/>
            <color rgb="FFFF0000"/>
            <rFont val="Times New Roman"/>
            <family val="18"/>
          </rPr>
          <t xml:space="preserve"> [TL Aug 1802 &amp; ML 1803]</t>
        </r>
        <r>
          <rPr>
            <sz val="14"/>
            <color rgb="FF000000"/>
            <rFont val="Calibri"/>
            <family val="34"/>
          </rPr>
          <t xml:space="preserve">
</t>
        </r>
        <r>
          <rPr>
            <sz val="14"/>
            <color rgb="FF000000"/>
            <rFont val="Times New Roman"/>
            <family val="18"/>
          </rPr>
          <t xml:space="preserve">In 07/1799 </t>
        </r>
        <r>
          <rPr>
            <i/>
            <sz val="14"/>
            <color rgb="FF000000"/>
            <rFont val="Times New Roman"/>
            <family val="18"/>
          </rPr>
          <t>Assentiert und seitdem auf Anhero Marsch mit Friedensgebühr</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die Reserve Division eingerückt</t>
        </r>
        <r>
          <rPr>
            <sz val="14"/>
            <color rgb="FF000000"/>
            <rFont val="Calibri"/>
            <family val="34"/>
          </rPr>
          <t xml:space="preserve">
</t>
        </r>
        <r>
          <rPr>
            <sz val="14"/>
            <color rgb="FF000000"/>
            <rFont val="Times New Roman"/>
            <family val="18"/>
          </rPr>
          <t xml:space="preserve">31/10/1799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die Leib Companie eingerückt</t>
        </r>
        <r>
          <rPr>
            <sz val="14"/>
            <color rgb="FF000000"/>
            <rFont val="Times New Roman"/>
            <family val="18"/>
          </rPr>
          <t xml:space="preserve"> [ST Feb 1800] </t>
        </r>
        <r>
          <rPr>
            <sz val="14"/>
            <color rgb="FF000000"/>
            <rFont val="Calibri"/>
            <family val="34"/>
          </rPr>
          <t xml:space="preserve">
</t>
        </r>
        <r>
          <rPr>
            <sz val="14"/>
            <color rgb="FF000000"/>
            <rFont val="Times New Roman"/>
            <family val="18"/>
          </rPr>
          <t xml:space="preserve">01/06/1800 </t>
        </r>
        <r>
          <rPr>
            <i/>
            <sz val="14"/>
            <color rgb="FF000000"/>
            <rFont val="Times New Roman"/>
            <family val="18"/>
          </rPr>
          <t>Krank auswärts mit Kriegsgebühr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30/06/1801 </t>
        </r>
        <r>
          <rPr>
            <i/>
            <sz val="14"/>
            <color rgb="FF000000"/>
            <rFont val="Times New Roman"/>
            <family val="18"/>
          </rPr>
          <t>Rekonvalesziert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Lieb Komp. zum IR 44 transferiert und zur Haupt Wicka Komp. eingeheilt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Haupt Wicka Komp. Nr. 94</t>
        </r>
        <r>
          <rPr>
            <sz val="14"/>
            <color rgb="FF000000"/>
            <rFont val="Calibri"/>
            <family val="34"/>
          </rPr>
          <t xml:space="preserve">
</t>
        </r>
        <r>
          <rPr>
            <sz val="14"/>
            <color rgb="FF000000"/>
            <rFont val="Times New Roman"/>
            <family val="18"/>
          </rPr>
          <t>12/05/1804 Muster: IR 44 Haupt Eckhardt Nr. 85 [</t>
        </r>
        <r>
          <rPr>
            <i/>
            <sz val="14"/>
            <color rgb="FF000000"/>
            <rFont val="Times New Roman"/>
            <family val="18"/>
          </rPr>
          <t>Beurlaubt zu Oppole in Pohlen bis zur Ezercierzeit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Eckhard Komp. Nr. 125</t>
        </r>
        <r>
          <rPr>
            <sz val="14"/>
            <color rgb="FF000000"/>
            <rFont val="Calibri"/>
            <family val="34"/>
          </rPr>
          <t xml:space="preserve">
</t>
        </r>
        <r>
          <rPr>
            <sz val="14"/>
            <color rgb="FF000000"/>
            <rFont val="Times New Roman"/>
            <family val="18"/>
          </rPr>
          <t>19/09/1808 Revision: IR 44 Haupt Eckhard Komp. Nr. 88 [</t>
        </r>
        <r>
          <rPr>
            <i/>
            <sz val="14"/>
            <color rgb="FF000000"/>
            <rFont val="Times New Roman"/>
            <family val="18"/>
          </rPr>
          <t>Auf Conscription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Von 3.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16/02/1810 </t>
        </r>
        <r>
          <rPr>
            <i/>
            <sz val="14"/>
            <color rgb="FF000000"/>
            <rFont val="Times New Roman"/>
            <family val="18"/>
          </rPr>
          <t>Von 2. Res.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148 [</t>
        </r>
        <r>
          <rPr>
            <i/>
            <sz val="14"/>
            <color rgb="FF000000"/>
            <rFont val="Times New Roman"/>
            <family val="18"/>
          </rPr>
          <t>Commandiert auf conscription in Galizien</t>
        </r>
        <r>
          <rPr>
            <sz val="14"/>
            <color rgb="FF000000"/>
            <rFont val="Times New Roman"/>
            <family val="18"/>
          </rPr>
          <t>]</t>
        </r>
        <r>
          <rPr>
            <sz val="14"/>
            <color rgb="FF000000"/>
            <rFont val="Calibri"/>
            <family val="34"/>
          </rPr>
          <t xml:space="preserve">
</t>
        </r>
        <r>
          <rPr>
            <sz val="14"/>
            <color rgb="FF000000"/>
            <rFont val="Times New Roman"/>
            <family val="18"/>
          </rPr>
          <t>20/09/1811 Muster: IR 44 7. Fus. Komp. Nr. 85 [</t>
        </r>
        <r>
          <rPr>
            <i/>
            <sz val="14"/>
            <color rgb="FF000000"/>
            <rFont val="Times New Roman"/>
            <family val="18"/>
          </rPr>
          <t xml:space="preserve">Beim Hauptwerbbezierk zu Sambor in Gallizien </t>
        </r>
        <r>
          <rPr>
            <sz val="14"/>
            <color rgb="FF000000"/>
            <rFont val="Calibri"/>
            <family val="34"/>
          </rPr>
          <t xml:space="preserve">
</t>
        </r>
        <r>
          <rPr>
            <sz val="14"/>
            <color rgb="FF000000"/>
            <rFont val="Times New Roman"/>
            <family val="18"/>
          </rPr>
          <t xml:space="preserve">31/08/1812 </t>
        </r>
        <r>
          <rPr>
            <i/>
            <sz val="14"/>
            <color rgb="FF000000"/>
            <rFont val="Times New Roman"/>
            <family val="18"/>
          </rPr>
          <t>Beim 3. Battalion Kommandiert</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19/09/1812 Revision: IR 44 7. Fus. Komp. Nr. 57 [</t>
        </r>
        <r>
          <rPr>
            <i/>
            <sz val="14"/>
            <color rgb="FF000000"/>
            <rFont val="Times New Roman"/>
            <family val="18"/>
          </rPr>
          <t>Auf conscription zu Sambor Commandiert</t>
        </r>
        <r>
          <rPr>
            <sz val="14"/>
            <color rgb="FF000000"/>
            <rFont val="Times New Roman"/>
            <family val="18"/>
          </rPr>
          <t>]</t>
        </r>
        <r>
          <rPr>
            <sz val="14"/>
            <color rgb="FF000000"/>
            <rFont val="Calibri"/>
            <family val="34"/>
          </rPr>
          <t xml:space="preserve">
</t>
        </r>
        <r>
          <rPr>
            <sz val="14"/>
            <color rgb="FF000000"/>
            <rFont val="Times New Roman"/>
            <family val="18"/>
          </rPr>
          <t xml:space="preserve">01/10/1812 </t>
        </r>
        <r>
          <rPr>
            <i/>
            <sz val="14"/>
            <color rgb="FF000000"/>
            <rFont val="Times New Roman"/>
            <family val="18"/>
          </rPr>
          <t>Von. 7. zum 15. Fus Komp. transferiert</t>
        </r>
        <r>
          <rPr>
            <sz val="14"/>
            <color rgb="FF000000"/>
            <rFont val="Times New Roman"/>
            <family val="18"/>
          </rPr>
          <t xml:space="preserve"> [ST Oct 1812]</t>
        </r>
        <r>
          <rPr>
            <sz val="14"/>
            <color rgb="FF000000"/>
            <rFont val="Calibri"/>
            <family val="34"/>
          </rPr>
          <t xml:space="preserve">
</t>
        </r>
        <r>
          <rPr>
            <sz val="14"/>
            <color rgb="FF000000"/>
            <rFont val="Times New Roman"/>
            <family val="18"/>
          </rPr>
          <t xml:space="preserve">01/12/1812 </t>
        </r>
        <r>
          <rPr>
            <i/>
            <sz val="14"/>
            <color rgb="FF000000"/>
            <rFont val="Times New Roman"/>
            <family val="18"/>
          </rPr>
          <t>Von 15. zum 7. Fus. Komp. transferiert und beim 3. Bat. Kommandiert</t>
        </r>
        <r>
          <rPr>
            <sz val="14"/>
            <color rgb="FF000000"/>
            <rFont val="Times New Roman"/>
            <family val="18"/>
          </rPr>
          <t xml:space="preserve"> [ST Dec 1812]</t>
        </r>
        <r>
          <rPr>
            <sz val="14"/>
            <color rgb="FF000000"/>
            <rFont val="Calibri"/>
            <family val="34"/>
          </rPr>
          <t xml:space="preserve">
</t>
        </r>
        <r>
          <rPr>
            <sz val="14"/>
            <color rgb="FF000000"/>
            <rFont val="Times New Roman"/>
            <family val="18"/>
          </rPr>
          <t xml:space="preserve">26/01/1813 </t>
        </r>
        <r>
          <rPr>
            <i/>
            <sz val="14"/>
            <color rgb="FF000000"/>
            <rFont val="Times New Roman"/>
            <family val="18"/>
          </rPr>
          <t xml:space="preserve">Von. 7. Zum 15. Komp. transferiert </t>
        </r>
        <r>
          <rPr>
            <sz val="14"/>
            <color rgb="FF000000"/>
            <rFont val="Times New Roman"/>
            <family val="18"/>
          </rPr>
          <t>[ST Jan 1813]</t>
        </r>
        <r>
          <rPr>
            <sz val="14"/>
            <color rgb="FF000000"/>
            <rFont val="Calibri"/>
            <family val="34"/>
          </rPr>
          <t xml:space="preserve">
</t>
        </r>
        <r>
          <rPr>
            <sz val="14"/>
            <color rgb="FF000000"/>
            <rFont val="Times New Roman"/>
            <family val="18"/>
          </rPr>
          <t xml:space="preserve">26/01/1814 </t>
        </r>
        <r>
          <rPr>
            <i/>
            <sz val="14"/>
            <color rgb="FF000000"/>
            <rFont val="Times New Roman"/>
            <family val="18"/>
          </rPr>
          <t>Krank in auswärtigen Spitälern</t>
        </r>
        <r>
          <rPr>
            <sz val="14"/>
            <color rgb="FF000000"/>
            <rFont val="Times New Roman"/>
            <family val="18"/>
          </rPr>
          <t xml:space="preserve"> [ST Jan 1814]</t>
        </r>
        <r>
          <rPr>
            <sz val="14"/>
            <color rgb="FF000000"/>
            <rFont val="Calibri"/>
            <family val="34"/>
          </rPr>
          <t xml:space="preserve">
</t>
        </r>
        <r>
          <rPr>
            <sz val="14"/>
            <color rgb="FF000000"/>
            <rFont val="Times New Roman"/>
            <family val="18"/>
          </rPr>
          <t xml:space="preserve">10/02/1814 </t>
        </r>
        <r>
          <rPr>
            <i/>
            <sz val="14"/>
            <color rgb="FF000000"/>
            <rFont val="Times New Roman"/>
            <family val="18"/>
          </rPr>
          <t>Rekonvalesziert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11/02/1814 </t>
        </r>
        <r>
          <rPr>
            <i/>
            <sz val="14"/>
            <color rgb="FF000000"/>
            <rFont val="Times New Roman"/>
            <family val="18"/>
          </rPr>
          <t>Auf Marsch zum Regiment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10/05/1814 </t>
        </r>
        <r>
          <rPr>
            <i/>
            <sz val="14"/>
            <color rgb="FF000000"/>
            <rFont val="Times New Roman"/>
            <family val="18"/>
          </rPr>
          <t>Ins Regiment eingerückt</t>
        </r>
        <r>
          <rPr>
            <sz val="14"/>
            <color rgb="FF000000"/>
            <rFont val="Times New Roman"/>
            <family val="18"/>
          </rPr>
          <t xml:space="preserve"> [ST May 1814]</t>
        </r>
        <r>
          <rPr>
            <sz val="14"/>
            <color rgb="FF000000"/>
            <rFont val="Calibri"/>
            <family val="34"/>
          </rPr>
          <t xml:space="preserve">
</t>
        </r>
        <r>
          <rPr>
            <sz val="14"/>
            <color rgb="FF000000"/>
            <rFont val="Times New Roman"/>
            <family val="18"/>
          </rPr>
          <t xml:space="preserve">31/01/1815 Von IR 44 </t>
        </r>
        <r>
          <rPr>
            <i/>
            <sz val="14"/>
            <color rgb="FF000000"/>
            <rFont val="Times New Roman"/>
            <family val="18"/>
          </rPr>
          <t>15. Fus. Komp zum GB 9 transferiert und zur 5. Komp. zugeteilt</t>
        </r>
        <r>
          <rPr>
            <sz val="14"/>
            <color rgb="FF000000"/>
            <rFont val="Times New Roman"/>
            <family val="18"/>
          </rPr>
          <t xml:space="preserve"> [ST Feb 1815 &amp; TL April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Vermog hoher Superarbitratio gegen Renuncierung aos Real Invalid Mit Abschied entlassen</t>
        </r>
        <r>
          <rPr>
            <sz val="14"/>
            <color rgb="FF000000"/>
            <rFont val="Times New Roman"/>
            <family val="18"/>
          </rPr>
          <t xml:space="preserve"> [ST Jan 1816]</t>
        </r>
        <r>
          <rPr>
            <sz val="14"/>
            <color rgb="FF000000"/>
            <rFont val="Calibri"/>
            <family val="34"/>
          </rPr>
          <t xml:space="preserve">
</t>
        </r>
      </text>
    </comment>
    <comment ref="BG234" authorId="0" shapeId="0" xr:uid="{800F6C72-EDE7-684C-B455-300486D042D1}">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Feb (06/04/1801), Juni (27/08/1802)</t>
        </r>
        <r>
          <rPr>
            <sz val="14"/>
            <color rgb="FF000000"/>
            <rFont val="Calibri"/>
            <family val="34"/>
          </rPr>
          <t xml:space="preserve">
</t>
        </r>
        <r>
          <rPr>
            <sz val="14"/>
            <color rgb="FF000000"/>
            <rFont val="Times New Roman"/>
            <family val="18"/>
          </rPr>
          <t>ML 10.311 IR 43 (1801) – ST Mai (10/03/1805), Juli (08/07/1805)</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Wicka Komp. Nr. 94 (Venice 19/09/1803)</t>
        </r>
        <r>
          <rPr>
            <sz val="14"/>
            <color rgb="FF000000"/>
            <rFont val="Calibri"/>
            <family val="34"/>
          </rPr>
          <t xml:space="preserve">
</t>
        </r>
        <r>
          <rPr>
            <sz val="14"/>
            <color rgb="FF000000"/>
            <rFont val="Times New Roman"/>
            <family val="18"/>
          </rPr>
          <t>ML 3909 IR 44 (1804) – Haupt Eckhard Komp. Nr. 85 (Vicenza 12/05/1804)</t>
        </r>
        <r>
          <rPr>
            <sz val="14"/>
            <color rgb="FF000000"/>
            <rFont val="Calibri"/>
            <family val="34"/>
          </rPr>
          <t xml:space="preserve">
</t>
        </r>
        <r>
          <rPr>
            <sz val="14"/>
            <color rgb="FF000000"/>
            <rFont val="Times New Roman"/>
            <family val="18"/>
          </rPr>
          <t>ML 3910 IR 44 (1806) – Haupt. Stanislaus Eckhard Nr. 125 (Fiume 10/12/1806)</t>
        </r>
        <r>
          <rPr>
            <sz val="14"/>
            <color rgb="FF000000"/>
            <rFont val="Calibri"/>
            <family val="34"/>
          </rPr>
          <t xml:space="preserve">
</t>
        </r>
        <r>
          <rPr>
            <sz val="14"/>
            <color rgb="FF000000"/>
            <rFont val="Times New Roman"/>
            <family val="18"/>
          </rPr>
          <t>ML 3911 IR 44 (1808-10) – RL Haupt Ekhard Komp [3. Fus.] (Comorn 19/09/1808), 7. Fus. Komp. Nr. 148 (Papa 27/09/1810)</t>
        </r>
        <r>
          <rPr>
            <sz val="14"/>
            <color rgb="FF000000"/>
            <rFont val="Calibri"/>
            <family val="34"/>
          </rPr>
          <t xml:space="preserve">
</t>
        </r>
        <r>
          <rPr>
            <sz val="14"/>
            <color rgb="FF000000"/>
            <rFont val="Times New Roman"/>
            <family val="18"/>
          </rPr>
          <t>ML 3912-3 IR 44 (1811) – 7. Fus. Komp. Nr. 85 (Sthulweissenburg 20/09/1811)</t>
        </r>
        <r>
          <rPr>
            <sz val="14"/>
            <color rgb="FF000000"/>
            <rFont val="Calibri"/>
            <family val="34"/>
          </rPr>
          <t xml:space="preserve">
</t>
        </r>
        <r>
          <rPr>
            <sz val="14"/>
            <color rgb="FF000000"/>
            <rFont val="Times New Roman"/>
            <family val="18"/>
          </rPr>
          <t>ML 3914 IR 44 (1812/6) – 7. Fus. Komp. Nr. 57 (Pest 19/09/1812)</t>
        </r>
        <r>
          <rPr>
            <sz val="14"/>
            <color rgb="FF000000"/>
            <rFont val="Calibri"/>
            <family val="34"/>
          </rPr>
          <t xml:space="preserve">
</t>
        </r>
        <r>
          <rPr>
            <sz val="14"/>
            <color rgb="FF000000"/>
            <rFont val="Times New Roman"/>
            <family val="18"/>
          </rPr>
          <t>ML 3946 IR 44 (1802) – AL IR 43-&gt; IR 44 Nr. 9 (Zara 04/08/1802)</t>
        </r>
        <r>
          <rPr>
            <sz val="14"/>
            <color rgb="FF000000"/>
            <rFont val="Calibri"/>
            <family val="34"/>
          </rPr>
          <t xml:space="preserve">
</t>
        </r>
        <r>
          <rPr>
            <sz val="14"/>
            <color rgb="FF000000"/>
            <rFont val="Times New Roman"/>
            <family val="18"/>
          </rPr>
          <t>ML 3960 IR 44 (1809) – ST Feb (Ofen 31/10/1810)</t>
        </r>
        <r>
          <rPr>
            <sz val="14"/>
            <color rgb="FF000000"/>
            <rFont val="Calibri"/>
            <family val="34"/>
          </rPr>
          <t xml:space="preserve">
</t>
        </r>
        <r>
          <rPr>
            <sz val="14"/>
            <color rgb="FF000000"/>
            <rFont val="Times New Roman"/>
            <family val="18"/>
          </rPr>
          <t>ML 3965 IR 44 (1812) – ST Sept (Lemberg 10/05/1813), Oct (Lemberg 10/07/1813), Dez (??)</t>
        </r>
        <r>
          <rPr>
            <sz val="14"/>
            <color rgb="FF000000"/>
            <rFont val="Calibri"/>
            <family val="34"/>
          </rPr>
          <t xml:space="preserve">
</t>
        </r>
        <r>
          <rPr>
            <sz val="14"/>
            <color rgb="FF000000"/>
            <rFont val="Times New Roman"/>
            <family val="18"/>
          </rPr>
          <t>ML 3967 IR 44 (1813) – ST Jän (25/09/1813)</t>
        </r>
        <r>
          <rPr>
            <sz val="14"/>
            <color rgb="FF000000"/>
            <rFont val="Calibri"/>
            <family val="34"/>
          </rPr>
          <t xml:space="preserve">
</t>
        </r>
        <r>
          <rPr>
            <sz val="14"/>
            <color rgb="FF000000"/>
            <rFont val="Times New Roman"/>
            <family val="18"/>
          </rPr>
          <t>ML 3970 IR 44 (1814) – ST Jän (25/01/1815), Feb (20/02/1815), Mai (25/04/1815)</t>
        </r>
        <r>
          <rPr>
            <sz val="14"/>
            <color rgb="FF000000"/>
            <rFont val="Calibri"/>
            <family val="34"/>
          </rPr>
          <t xml:space="preserve">
</t>
        </r>
        <r>
          <rPr>
            <sz val="14"/>
            <color rgb="FF000000"/>
            <rFont val="Times New Roman"/>
            <family val="18"/>
          </rPr>
          <t>ML 3972 IR 44 (1815) – ST Feb (20/07/1816)</t>
        </r>
        <r>
          <rPr>
            <sz val="14"/>
            <color rgb="FF000000"/>
            <rFont val="Calibri"/>
            <family val="34"/>
          </rPr>
          <t xml:space="preserve">
</t>
        </r>
        <r>
          <rPr>
            <sz val="14"/>
            <color rgb="FF000000"/>
            <rFont val="Times New Roman"/>
            <family val="18"/>
          </rPr>
          <t>ML 11.261 GB 9 (1815-6) – TL IR 44-&gt;GB 9 Nr. 54 (Krasono 26/04/1815); ST Feb 1815 (Lancut 14/03/1815); ST Jän (06/03/1816)</t>
        </r>
        <r>
          <rPr>
            <sz val="14"/>
            <color rgb="FF000000"/>
            <rFont val="Calibri"/>
            <family val="34"/>
          </rPr>
          <t xml:space="preserve">
</t>
        </r>
      </text>
    </comment>
    <comment ref="BH234" authorId="0" shapeId="0" xr:uid="{0088E420-BB61-574A-B6D4-C0EDBFCC0E8E}">
      <text>
        <r>
          <rPr>
            <sz val="14"/>
            <color rgb="FF000000"/>
            <rFont val="Calibri"/>
            <family val="34"/>
          </rPr>
          <t xml:space="preserve">IR 43 (1799-1802)
</t>
        </r>
        <r>
          <rPr>
            <sz val="14"/>
            <color rgb="FF000000"/>
            <rFont val="Calibri"/>
            <family val="34"/>
          </rPr>
          <t xml:space="preserve">IR 44 (1802-1815)
</t>
        </r>
        <r>
          <rPr>
            <sz val="14"/>
            <color rgb="FF000000"/>
            <rFont val="Calibri"/>
            <family val="34"/>
          </rPr>
          <t>GB 9 (1815-1816)</t>
        </r>
      </text>
    </comment>
    <comment ref="BJ234" authorId="0" shapeId="0" xr:uid="{EE3A3373-222C-8B48-B90E-4C79C75A6996}">
      <text>
        <r>
          <rPr>
            <i/>
            <sz val="14"/>
            <color rgb="FF000000"/>
            <rFont val="Times New Roman"/>
            <family val="18"/>
          </rPr>
          <t>Brust Defekt</t>
        </r>
        <r>
          <rPr>
            <sz val="14"/>
            <color rgb="FF000000"/>
            <rFont val="Times New Roman"/>
            <family val="18"/>
          </rPr>
          <t xml:space="preserve"> [TL April 1815]</t>
        </r>
      </text>
    </comment>
    <comment ref="I235" authorId="0" shapeId="0" xr:uid="{575337F3-000A-A144-8CC1-10C4E790B3E1}">
      <text>
        <r>
          <rPr>
            <sz val="14"/>
            <color rgb="FF000000"/>
            <rFont val="Calibri"/>
            <family val="34"/>
          </rPr>
          <t xml:space="preserve">1776 [24 (1800)] 
</t>
        </r>
        <r>
          <rPr>
            <sz val="14"/>
            <color rgb="FF000000"/>
            <rFont val="Calibri"/>
            <family val="34"/>
          </rPr>
          <t xml:space="preserve">OR 
</t>
        </r>
        <r>
          <rPr>
            <sz val="14"/>
            <color rgb="FF000000"/>
            <rFont val="Calibri"/>
            <family val="34"/>
          </rPr>
          <t>1774 [28 (1802)]</t>
        </r>
      </text>
    </comment>
    <comment ref="BF235" authorId="0" shapeId="0" xr:uid="{FDFABFF9-8FC2-8747-B288-44E291FCFA66}">
      <text>
        <r>
          <rPr>
            <sz val="14"/>
            <color rgb="FF000000"/>
            <rFont val="Times New Roman"/>
            <family val="18"/>
          </rPr>
          <t xml:space="preserve">02/04/1799 </t>
        </r>
        <r>
          <rPr>
            <i/>
            <sz val="14"/>
            <color rgb="FF000000"/>
            <rFont val="Times New Roman"/>
            <family val="18"/>
          </rPr>
          <t xml:space="preserve">von Ständen gestellt </t>
        </r>
        <r>
          <rPr>
            <sz val="14"/>
            <color rgb="FF000000"/>
            <rFont val="Times New Roman"/>
            <family val="18"/>
          </rPr>
          <t xml:space="preserve">[ML 1802]
</t>
        </r>
        <r>
          <rPr>
            <sz val="14"/>
            <color rgb="FFFF0000"/>
            <rFont val="Times New Roman"/>
            <family val="18"/>
          </rPr>
          <t xml:space="preserve">01/06/1799 </t>
        </r>
        <r>
          <rPr>
            <i/>
            <sz val="14"/>
            <color rgb="FFFF0000"/>
            <rFont val="Times New Roman"/>
            <family val="18"/>
          </rPr>
          <t>zum IR 43 Reserve Division a 3Fl Assentiert</t>
        </r>
        <r>
          <rPr>
            <sz val="14"/>
            <color rgb="FFFF0000"/>
            <rFont val="Times New Roman"/>
            <family val="18"/>
          </rPr>
          <t xml:space="preserve"> [TL 1800]</t>
        </r>
        <r>
          <rPr>
            <sz val="14"/>
            <color rgb="FF000000"/>
            <rFont val="Times New Roman"/>
            <family val="18"/>
          </rPr>
          <t xml:space="preserve">
</t>
        </r>
        <r>
          <rPr>
            <sz val="14"/>
            <color rgb="FF000000"/>
            <rFont val="Times New Roman"/>
            <family val="18"/>
          </rPr>
          <t xml:space="preserve">In October 1797 </t>
        </r>
        <r>
          <rPr>
            <i/>
            <sz val="14"/>
            <color rgb="FF000000"/>
            <rFont val="Times New Roman"/>
            <family val="18"/>
          </rPr>
          <t xml:space="preserve">Ins Reserve Division eingerückt </t>
        </r>
        <r>
          <rPr>
            <sz val="14"/>
            <color rgb="FF000000"/>
            <rFont val="Times New Roman"/>
            <family val="18"/>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Pasqually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Pasqually Comp. eingerückt</t>
        </r>
        <r>
          <rPr>
            <sz val="14"/>
            <color rgb="FF000000"/>
            <rFont val="Times New Roman"/>
            <family val="18"/>
          </rPr>
          <t xml:space="preserve"> [ST April 1800]
</t>
        </r>
        <r>
          <rPr>
            <sz val="14"/>
            <color rgb="FF000000"/>
            <rFont val="Times New Roman"/>
            <family val="18"/>
          </rPr>
          <t xml:space="preserve">28/08/1802 Musterung: IR 43 Haupt Pasqually Comp. Nr. 100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Verpflegt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02/11/1803 Musterung: IR 43 Haupt Pasqually Comp. Nr. 89 [</t>
        </r>
        <r>
          <rPr>
            <i/>
            <sz val="14"/>
            <color rgb="FF000000"/>
            <rFont val="Times New Roman"/>
            <family val="18"/>
          </rPr>
          <t>Auf Urlaub bis zur Einberufung in seinem Geburtsort</t>
        </r>
        <r>
          <rPr>
            <sz val="14"/>
            <color rgb="FF000000"/>
            <rFont val="Times New Roman"/>
            <family val="18"/>
          </rPr>
          <t xml:space="preserve">]
</t>
        </r>
        <r>
          <rPr>
            <sz val="14"/>
            <color rgb="FF000000"/>
            <rFont val="Times New Roman"/>
            <family val="18"/>
          </rPr>
          <t>At Muster 05/10/1804 Haupt Pasqually Comp. Nr. 85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01/04/1805 </t>
        </r>
        <r>
          <rPr>
            <i/>
            <sz val="14"/>
            <color rgb="FF000000"/>
            <rFont val="Times New Roman"/>
            <family val="18"/>
          </rPr>
          <t>Regiment Bewilligung bezüglich Entlassung im Austausch gegen ausländischen Kapitulanten und doppeltes Monturgeld Erlag von 52Fl 22 xr</t>
        </r>
        <r>
          <rPr>
            <sz val="14"/>
            <color rgb="FF000000"/>
            <rFont val="Times New Roman"/>
            <family val="18"/>
          </rPr>
          <t xml:space="preserve"> [AL 1805]
</t>
        </r>
        <r>
          <rPr>
            <sz val="14"/>
            <color rgb="FF000000"/>
            <rFont val="Times New Roman"/>
            <family val="18"/>
          </rPr>
          <t xml:space="preserve">26/07/1805 </t>
        </r>
        <r>
          <rPr>
            <i/>
            <sz val="14"/>
            <color rgb="FF000000"/>
            <rFont val="Times New Roman"/>
            <family val="18"/>
          </rPr>
          <t>Mathias Woiczikowsky ist als Ersatz Man in Lublin assentiert [</t>
        </r>
        <r>
          <rPr>
            <sz val="14"/>
            <color rgb="FF000000"/>
            <rFont val="Times New Roman"/>
            <family val="18"/>
          </rPr>
          <t xml:space="preserve">AL 1805]
</t>
        </r>
        <r>
          <rPr>
            <sz val="14"/>
            <color rgb="FF000000"/>
            <rFont val="Times New Roman"/>
            <family val="18"/>
          </rPr>
          <t>10/11/1805 Musterung: IR 43 15. Fus Comp Nr. 77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Gegen Stellung von Ausländer und Erlag des doppelten Monturgeld von Unbestimmte Urlaub mit Abschied entlassen</t>
        </r>
        <r>
          <rPr>
            <sz val="14"/>
            <color rgb="FF000000"/>
            <rFont val="Times New Roman"/>
            <family val="18"/>
          </rPr>
          <t xml:space="preserve"> [ST Oct 1806 &amp; ML 1806]
</t>
        </r>
      </text>
    </comment>
    <comment ref="BG235" authorId="0" shapeId="0" xr:uid="{0612AE50-29C3-CB4F-9A3F-138A6FE5BF12}">
      <text>
        <r>
          <rPr>
            <sz val="14"/>
            <color rgb="FF000000"/>
            <rFont val="Times New Roman"/>
            <family val="18"/>
          </rPr>
          <t xml:space="preserve">ML 10.272 IR 43 (1802) – Heft von Haupt Pasqually Nr. 100 (Cattaro 28/08/1802)
</t>
        </r>
        <r>
          <rPr>
            <sz val="14"/>
            <color rgb="FF000000"/>
            <rFont val="Times New Roman"/>
            <family val="18"/>
          </rPr>
          <t xml:space="preserve">ML 10.273 IR 43 (1803) – Heft von Haupt Pasqually Nr. 89 (Cattaro 02/11/1803)
</t>
        </r>
        <r>
          <rPr>
            <sz val="14"/>
            <color rgb="FF000000"/>
            <rFont val="Times New Roman"/>
            <family val="18"/>
          </rPr>
          <t xml:space="preserve">ML 10.274 IR 43 (1804) – Heft von Haupt Pasqually Comp. Nr. 85 (Theodo 05/10/1804)
</t>
        </r>
        <r>
          <rPr>
            <sz val="14"/>
            <color rgb="FF000000"/>
            <rFont val="Times New Roman"/>
            <family val="18"/>
          </rPr>
          <t xml:space="preserve">ML 10.275/6 IR 43 (1805) – Heft von 14. Fus Comp. Nr, 142 &amp; Zuwachs (Zara 01/10/1805) and 15. Fus Comp. Nr. 77 (Macarsca (10/11/1805)
</t>
        </r>
        <r>
          <rPr>
            <sz val="14"/>
            <color rgb="FF000000"/>
            <rFont val="Times New Roman"/>
            <family val="18"/>
          </rPr>
          <t xml:space="preserve">ML 10.277/8 IR 43 (1806) – Heft von 9. Fus Comp. Abgang (Neustadt 05/12/1806)
</t>
        </r>
        <r>
          <rPr>
            <sz val="14"/>
            <color rgb="FF000000"/>
            <rFont val="Times New Roman"/>
            <family val="18"/>
          </rPr>
          <t xml:space="preserve">ML 10.309 IR 43 (1800) – ST Feb (06/04/1801) und April (24/01/1802)
</t>
        </r>
        <r>
          <rPr>
            <sz val="14"/>
            <color rgb="FF000000"/>
            <rFont val="Times New Roman"/>
            <family val="18"/>
          </rPr>
          <t xml:space="preserve">ML 10.310 IR 43 (1800) – TL Nr. 101 (Laibach 05/02/1800)
</t>
        </r>
        <r>
          <rPr>
            <sz val="14"/>
            <color rgb="FF000000"/>
            <rFont val="Times New Roman"/>
            <family val="18"/>
          </rPr>
          <t xml:space="preserve">ML 10.313 IR 43 (1803) – ST Jan (15/02/1803) und März (15/04/1803)
</t>
        </r>
        <r>
          <rPr>
            <sz val="14"/>
            <color rgb="FF000000"/>
            <rFont val="Times New Roman"/>
            <family val="18"/>
          </rPr>
          <t xml:space="preserve">ML 10.316 IR 43 (1805) AL von Mathis Woiczikowsky (Lublin 26/07/1805)
</t>
        </r>
        <r>
          <rPr>
            <sz val="14"/>
            <color rgb="FF000000"/>
            <rFont val="Times New Roman"/>
            <family val="18"/>
          </rPr>
          <t>ML 10.317 IR 43 (1806) – ST Okt (27/11/1806)</t>
        </r>
      </text>
    </comment>
    <comment ref="BH235" authorId="0" shapeId="0" xr:uid="{1F82ACA6-B081-8842-A835-E832E9813837}">
      <text>
        <r>
          <rPr>
            <sz val="14"/>
            <color rgb="FF000000"/>
            <rFont val="Calibri"/>
            <family val="34"/>
          </rPr>
          <t>IR 43 (1799-1806)</t>
        </r>
      </text>
    </comment>
    <comment ref="BF236" authorId="0" shapeId="0" xr:uid="{7D046FE9-EE5F-FD4C-806F-93721AE1A372}">
      <text>
        <r>
          <rPr>
            <sz val="14"/>
            <color rgb="FFFF0000"/>
            <rFont val="Times New Roman"/>
            <family val="18"/>
          </rPr>
          <t xml:space="preserve">05/03/1799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In 07/1799 </t>
        </r>
        <r>
          <rPr>
            <i/>
            <sz val="14"/>
            <color rgb="FF000000"/>
            <rFont val="Times New Roman"/>
            <family val="18"/>
          </rPr>
          <t>Von Ständen gestellt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10/12/1799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10/05/1800 </t>
        </r>
        <r>
          <rPr>
            <i/>
            <sz val="14"/>
            <color rgb="FF000000"/>
            <rFont val="Times New Roman"/>
            <family val="18"/>
          </rPr>
          <t>In Reserve Division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25/06/1800 </t>
        </r>
        <r>
          <rPr>
            <i/>
            <sz val="14"/>
            <color rgb="FF000000"/>
            <rFont val="Times New Roman"/>
            <family val="18"/>
          </rPr>
          <t>Von Reserve Division in Leib Comp. Transferiert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28/08/1802 Muster: IR 43 Leib Komp. Nr. 93</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desertiert</t>
        </r>
        <r>
          <rPr>
            <sz val="14"/>
            <color rgb="FF000000"/>
            <rFont val="Times New Roman"/>
            <family val="18"/>
          </rPr>
          <t xml:space="preserve"> [ML 1803]</t>
        </r>
        <r>
          <rPr>
            <sz val="14"/>
            <color rgb="FF000000"/>
            <rFont val="Calibri"/>
            <family val="34"/>
          </rPr>
          <t xml:space="preserve">
</t>
        </r>
      </text>
    </comment>
    <comment ref="BG236" authorId="0" shapeId="0" xr:uid="{D23DE76D-F4B9-AC42-B0B1-ED8251C745EB}">
      <text>
        <r>
          <rPr>
            <sz val="14"/>
            <color rgb="FF000000"/>
            <rFont val="Times New Roman"/>
            <family val="18"/>
          </rPr>
          <t>ML 10.272 IR 43 (1802) – Leib Komp. Nr. 93 (Cattaro 28/08/1802)</t>
        </r>
        <r>
          <rPr>
            <sz val="14"/>
            <color rgb="FF000000"/>
            <rFont val="Calibri"/>
            <family val="34"/>
          </rPr>
          <t xml:space="preserve">
</t>
        </r>
        <r>
          <rPr>
            <sz val="14"/>
            <color rgb="FF000000"/>
            <rFont val="Times New Roman"/>
            <family val="18"/>
          </rPr>
          <t>ML 10.273 IR 43 (1803) – Lieb Komp. Abgang (Scardona 30/09/1803)</t>
        </r>
        <r>
          <rPr>
            <sz val="14"/>
            <color rgb="FF000000"/>
            <rFont val="Calibri"/>
            <family val="34"/>
          </rPr>
          <t xml:space="preserve">
</t>
        </r>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text>
    </comment>
    <comment ref="BH236" authorId="0" shapeId="0" xr:uid="{69D477D6-AF04-2C4C-8E20-745369997B4B}">
      <text>
        <r>
          <rPr>
            <sz val="14"/>
            <color rgb="FF000000"/>
            <rFont val="Calibri"/>
            <family val="34"/>
          </rPr>
          <t>IR 43 (1799-1802)</t>
        </r>
      </text>
    </comment>
    <comment ref="BF237" authorId="0" shapeId="0" xr:uid="{0E74900D-B4EE-F341-B8FF-DEB8FFE570A6}">
      <text>
        <r>
          <rPr>
            <sz val="14"/>
            <color rgb="FF000000"/>
            <rFont val="Times New Roman"/>
            <family val="18"/>
          </rPr>
          <t xml:space="preserve">In 07/1799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16/11/1799 </t>
        </r>
        <r>
          <rPr>
            <i/>
            <sz val="14"/>
            <color rgb="FF000000"/>
            <rFont val="Times New Roman"/>
            <family val="18"/>
          </rPr>
          <t>Ins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11/01/1800 </t>
        </r>
        <r>
          <rPr>
            <i/>
            <sz val="14"/>
            <color rgb="FF000000"/>
            <rFont val="Times New Roman"/>
            <family val="18"/>
          </rPr>
          <t>Auf Marsch zum Regiment Mit Kriegsgebühr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24/01/1800 </t>
        </r>
        <r>
          <rPr>
            <i/>
            <sz val="14"/>
            <color rgb="FF000000"/>
            <rFont val="Times New Roman"/>
            <family val="18"/>
          </rPr>
          <t>Als Angehörige der Haupt Köpf Comp. zu Verona gestorben</t>
        </r>
        <r>
          <rPr>
            <sz val="14"/>
            <color rgb="FF000000"/>
            <rFont val="Times New Roman"/>
            <family val="18"/>
          </rPr>
          <t xml:space="preserve"> [ST Feb 1800]</t>
        </r>
        <r>
          <rPr>
            <sz val="14"/>
            <color rgb="FF000000"/>
            <rFont val="Calibri"/>
            <family val="34"/>
          </rPr>
          <t xml:space="preserve">
</t>
        </r>
      </text>
    </comment>
    <comment ref="BG237" authorId="0" shapeId="0" xr:uid="{E4A1D83F-D3AE-A34C-BE21-823952857457}">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 Feb (06/04/1801)</t>
        </r>
        <r>
          <rPr>
            <sz val="14"/>
            <color rgb="FF000000"/>
            <rFont val="Calibri"/>
            <family val="34"/>
          </rPr>
          <t xml:space="preserve">
</t>
        </r>
      </text>
    </comment>
    <comment ref="BH237" authorId="0" shapeId="0" xr:uid="{F745948E-A606-E943-8CCD-4DE441BC6486}">
      <text>
        <r>
          <rPr>
            <sz val="14"/>
            <color rgb="FF000000"/>
            <rFont val="Calibri"/>
            <family val="34"/>
          </rPr>
          <t>IR 43 (1799-1800)</t>
        </r>
      </text>
    </comment>
    <comment ref="I238" authorId="0" shapeId="0" xr:uid="{0E942728-C3D0-9141-BD1A-368ABF72BFE8}">
      <text>
        <r>
          <rPr>
            <sz val="14"/>
            <color rgb="FF000000"/>
            <rFont val="Calibri"/>
            <family val="34"/>
          </rPr>
          <t xml:space="preserve">1770 [34 (1804)] 
</t>
        </r>
        <r>
          <rPr>
            <sz val="14"/>
            <color rgb="FF000000"/>
            <rFont val="Calibri"/>
            <family val="34"/>
          </rPr>
          <t xml:space="preserve">OR 
</t>
        </r>
        <r>
          <rPr>
            <sz val="14"/>
            <color rgb="FF000000"/>
            <rFont val="Calibri"/>
            <family val="34"/>
          </rPr>
          <t>1776 [24 (1800)]</t>
        </r>
      </text>
    </comment>
    <comment ref="T238" authorId="0" shapeId="0" xr:uid="{85F2979F-C1D3-9049-B04A-5497D2F2804F}">
      <text>
        <r>
          <rPr>
            <sz val="14"/>
            <color rgb="FF000000"/>
            <rFont val="Calibri"/>
            <family val="34"/>
          </rPr>
          <t xml:space="preserve">5.1.2 [161.07 cm] (1802-4)
</t>
        </r>
        <r>
          <rPr>
            <sz val="14"/>
            <color rgb="FF000000"/>
            <rFont val="Calibri"/>
            <family val="34"/>
          </rPr>
          <t>5.4.2 [168.96 cm] (1800)</t>
        </r>
      </text>
    </comment>
    <comment ref="BF238" authorId="0" shapeId="0" xr:uid="{5A241349-21FD-FB42-8E27-F2FD1B77669F}">
      <text>
        <r>
          <rPr>
            <sz val="14"/>
            <color rgb="FFFF0000"/>
            <rFont val="Times New Roman"/>
            <family val="18"/>
          </rPr>
          <t xml:space="preserve">20/05/1799 </t>
        </r>
        <r>
          <rPr>
            <i/>
            <sz val="14"/>
            <color rgb="FFFF0000"/>
            <rFont val="Times New Roman"/>
            <family val="18"/>
          </rPr>
          <t>Von Ständen in Sandomierz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In 07/1799 </t>
        </r>
        <r>
          <rPr>
            <i/>
            <sz val="14"/>
            <color rgb="FF000000"/>
            <rFont val="Times New Roman"/>
            <family val="18"/>
          </rPr>
          <t xml:space="preserve">Von Ständen gestellt und seitdem auf Anhero Marsch mit </t>
        </r>
        <r>
          <rPr>
            <sz val="14"/>
            <color rgb="FF000000"/>
            <rFont val="Times New Roman"/>
            <family val="18"/>
          </rPr>
          <t>Friedensgebühr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eingeruckt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27/11/1799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20/12/1799 </t>
        </r>
        <r>
          <rPr>
            <i/>
            <sz val="14"/>
            <color rgb="FF000000"/>
            <rFont val="Times New Roman"/>
            <family val="18"/>
          </rPr>
          <t>Rekonvalesziert</t>
        </r>
        <r>
          <rPr>
            <sz val="14"/>
            <color rgb="FF000000"/>
            <rFont val="Times New Roman"/>
            <family val="18"/>
          </rPr>
          <t xml:space="preserve"> [SR Dec 1799]</t>
        </r>
        <r>
          <rPr>
            <sz val="14"/>
            <color rgb="FF000000"/>
            <rFont val="Calibri"/>
            <family val="34"/>
          </rPr>
          <t xml:space="preserve">
</t>
        </r>
        <r>
          <rPr>
            <sz val="14"/>
            <color rgb="FF000000"/>
            <rFont val="Times New Roman"/>
            <family val="18"/>
          </rPr>
          <t xml:space="preserve">05/02/1800 </t>
        </r>
        <r>
          <rPr>
            <i/>
            <sz val="14"/>
            <color rgb="FF000000"/>
            <rFont val="Times New Roman"/>
            <family val="18"/>
          </rPr>
          <t>Auf Marsch mit Regiment mit Kriegsgebühr</t>
        </r>
        <r>
          <rPr>
            <sz val="14"/>
            <color rgb="FF000000"/>
            <rFont val="Times New Roman"/>
            <family val="18"/>
          </rPr>
          <t xml:space="preserve"> [TL June 1800]</t>
        </r>
        <r>
          <rPr>
            <sz val="14"/>
            <color rgb="FF000000"/>
            <rFont val="Calibri"/>
            <family val="34"/>
          </rPr>
          <t xml:space="preserve">
</t>
        </r>
        <r>
          <rPr>
            <sz val="14"/>
            <color rgb="FF000000"/>
            <rFont val="Times New Roman"/>
            <family val="18"/>
          </rPr>
          <t xml:space="preserve">01/07/1800 </t>
        </r>
        <r>
          <rPr>
            <i/>
            <sz val="14"/>
            <color rgb="FF000000"/>
            <rFont val="Times New Roman"/>
            <family val="18"/>
          </rPr>
          <t>Von der Reserve Division in ObrestLt Comp. transferiert</t>
        </r>
        <r>
          <rPr>
            <sz val="14"/>
            <color rgb="FF000000"/>
            <rFont val="Times New Roman"/>
            <family val="18"/>
          </rPr>
          <t xml:space="preserve"> [ST July 1800]</t>
        </r>
        <r>
          <rPr>
            <sz val="14"/>
            <color rgb="FF000000"/>
            <rFont val="Calibri"/>
            <family val="34"/>
          </rPr>
          <t xml:space="preserve">
</t>
        </r>
        <r>
          <rPr>
            <sz val="14"/>
            <color rgb="FFFF0000"/>
            <rFont val="Times New Roman"/>
            <family val="18"/>
          </rPr>
          <t xml:space="preserve">14/07/1800 </t>
        </r>
        <r>
          <rPr>
            <i/>
            <sz val="14"/>
            <color rgb="FFFF0000"/>
            <rFont val="Times New Roman"/>
            <family val="18"/>
          </rPr>
          <t xml:space="preserve">Von Stände gestellt gegen 3Fl gestellt </t>
        </r>
        <r>
          <rPr>
            <sz val="14"/>
            <color rgb="FFFF0000"/>
            <rFont val="Times New Roman"/>
            <family val="18"/>
          </rPr>
          <t>[TL Aug 1802]</t>
        </r>
        <r>
          <rPr>
            <sz val="14"/>
            <color rgb="FF000000"/>
            <rFont val="Calibri"/>
            <family val="34"/>
          </rPr>
          <t xml:space="preserve">
</t>
        </r>
        <r>
          <rPr>
            <sz val="14"/>
            <color rgb="FF000000"/>
            <rFont val="Times New Roman"/>
            <family val="18"/>
          </rPr>
          <t xml:space="preserve">01/04/1801 </t>
        </r>
        <r>
          <rPr>
            <i/>
            <sz val="14"/>
            <color rgb="FF000000"/>
            <rFont val="Times New Roman"/>
            <family val="18"/>
          </rPr>
          <t>krank auswärts</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 xml:space="preserve">Rekonvalesziert </t>
        </r>
        <r>
          <rPr>
            <sz val="14"/>
            <color rgb="FF000000"/>
            <rFont val="Times New Roman"/>
            <family val="18"/>
          </rPr>
          <t>[ST Juni 1801]</t>
        </r>
        <r>
          <rPr>
            <sz val="14"/>
            <color rgb="FF000000"/>
            <rFont val="Calibri"/>
            <family val="34"/>
          </rPr>
          <t xml:space="preserve">
</t>
        </r>
        <r>
          <rPr>
            <sz val="14"/>
            <color rgb="FF000000"/>
            <rFont val="Times New Roman"/>
            <family val="18"/>
          </rPr>
          <t>06/04/1800 Von Reserve Division ins ObristLt Companie transferiert [ST April 1800]</t>
        </r>
        <r>
          <rPr>
            <sz val="14"/>
            <color rgb="FF000000"/>
            <rFont val="Calibri"/>
            <family val="34"/>
          </rPr>
          <t xml:space="preserve">
</t>
        </r>
        <r>
          <rPr>
            <sz val="14"/>
            <color rgb="FF000000"/>
            <rFont val="Times New Roman"/>
            <family val="18"/>
          </rPr>
          <t xml:space="preserve">13/08/1802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Muster: IR 44 Haupt Assandri Nr. 90 [</t>
        </r>
        <r>
          <rPr>
            <i/>
            <sz val="14"/>
            <color rgb="FF000000"/>
            <rFont val="Times New Roman"/>
            <family val="18"/>
          </rPr>
          <t>Auf unbestimmte Zeit beurlaubt zu Konskavalla in Neu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Nr. 86 [</t>
        </r>
        <r>
          <rPr>
            <i/>
            <sz val="14"/>
            <color rgb="FF000000"/>
            <rFont val="Times New Roman"/>
            <family val="18"/>
          </rPr>
          <t>Beurlaubt Konskawolla Josephower Kreis in West Galizien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238" authorId="0" shapeId="0" xr:uid="{2C9CC296-B77A-4A47-A93C-A5341AA9D0C7}">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10.309 IR 43 (1800) – ST  Juli (24/10/1803)</t>
        </r>
        <r>
          <rPr>
            <sz val="14"/>
            <color rgb="FF000000"/>
            <rFont val="Calibri"/>
            <family val="34"/>
          </rPr>
          <t xml:space="preserve">
</t>
        </r>
        <r>
          <rPr>
            <sz val="14"/>
            <color rgb="FF000000"/>
            <rFont val="Times New Roman"/>
            <family val="18"/>
          </rPr>
          <t>ML 10.310 IR 43 (1800) – TL Res. Div.-&gt; Feld Bat. Nr. 111 (Laibach 05/06/1800)</t>
        </r>
        <r>
          <rPr>
            <sz val="14"/>
            <color rgb="FF000000"/>
            <rFont val="Calibri"/>
            <family val="34"/>
          </rPr>
          <t xml:space="preserve">
</t>
        </r>
        <r>
          <rPr>
            <sz val="14"/>
            <color rgb="FF000000"/>
            <rFont val="Times New Roman"/>
            <family val="18"/>
          </rPr>
          <t>ML 10.311 IR 43 (1801) – ST April (13/10/1804), Juni (20/06/1805)</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90 (Venice 19/09/1803)</t>
        </r>
        <r>
          <rPr>
            <sz val="14"/>
            <color rgb="FF000000"/>
            <rFont val="Calibri"/>
            <family val="34"/>
          </rPr>
          <t xml:space="preserve">
</t>
        </r>
        <r>
          <rPr>
            <sz val="14"/>
            <color rgb="FF000000"/>
            <rFont val="Times New Roman"/>
            <family val="18"/>
          </rPr>
          <t>ML 3909 IR 44 (1804) – Haupt Assandri Komp. Nr. 86 (Venice 19/09/1803)</t>
        </r>
        <r>
          <rPr>
            <sz val="14"/>
            <color rgb="FF000000"/>
            <rFont val="Calibri"/>
            <family val="34"/>
          </rPr>
          <t xml:space="preserve">
</t>
        </r>
        <r>
          <rPr>
            <sz val="14"/>
            <color rgb="FF000000"/>
            <rFont val="Times New Roman"/>
            <family val="18"/>
          </rPr>
          <t>ML 3946 IR 44 (1802) – AL IR 43-&gt; IR 43 Nr. 16 (Zara 14/08/1802)</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text>
    </comment>
    <comment ref="BH238" authorId="0" shapeId="0" xr:uid="{46C96F7C-86D0-0C44-AAB8-68122C0EC6ED}">
      <text>
        <r>
          <rPr>
            <sz val="14"/>
            <color rgb="FF000000"/>
            <rFont val="Calibri"/>
            <family val="34"/>
          </rPr>
          <t xml:space="preserve">IR 43 (1799-1802)
</t>
        </r>
        <r>
          <rPr>
            <sz val="14"/>
            <color rgb="FF000000"/>
            <rFont val="Calibri"/>
            <family val="34"/>
          </rPr>
          <t>IR 44 (1802-1806)</t>
        </r>
      </text>
    </comment>
    <comment ref="BI238" authorId="0" shapeId="0" xr:uid="{D63D16A6-7F74-3A4B-8783-95E17500C7B5}">
      <text>
        <r>
          <rPr>
            <sz val="14"/>
            <color rgb="FF000000"/>
            <rFont val="Calibri"/>
            <family val="34"/>
          </rPr>
          <t>Gut [TL Aug 1802]</t>
        </r>
      </text>
    </comment>
    <comment ref="BF239" authorId="0" shapeId="0" xr:uid="{4965C4E8-C815-2044-973F-456057011F3F}">
      <text>
        <r>
          <rPr>
            <sz val="14"/>
            <color rgb="FF000000"/>
            <rFont val="Times New Roman"/>
            <family val="18"/>
          </rPr>
          <t xml:space="preserve">In 07/1799 </t>
        </r>
        <r>
          <rPr>
            <i/>
            <sz val="14"/>
            <color rgb="FF000000"/>
            <rFont val="Times New Roman"/>
            <family val="18"/>
          </rPr>
          <t>Assentiert</t>
        </r>
        <r>
          <rPr>
            <sz val="14"/>
            <color rgb="FF000000"/>
            <rFont val="Calibri"/>
            <family val="34"/>
          </rPr>
          <t xml:space="preserve">
</t>
        </r>
        <r>
          <rPr>
            <sz val="14"/>
            <color rgb="FF000000"/>
            <rFont val="Times New Roman"/>
            <family val="18"/>
          </rPr>
          <t>In 10/1799 I</t>
        </r>
        <r>
          <rPr>
            <i/>
            <sz val="14"/>
            <color rgb="FF000000"/>
            <rFont val="Times New Roman"/>
            <family val="18"/>
          </rPr>
          <t>n die Reserve Division eingerückt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 xml:space="preserve">von die Reserve Division ins Haupt Fischer Comp. Transferiert </t>
        </r>
        <r>
          <rPr>
            <sz val="14"/>
            <color rgb="FF000000"/>
            <rFont val="Times New Roman"/>
            <family val="18"/>
          </rPr>
          <t>[ST Jan 1800]</t>
        </r>
        <r>
          <rPr>
            <sz val="14"/>
            <color rgb="FF000000"/>
            <rFont val="Calibri"/>
            <family val="34"/>
          </rPr>
          <t xml:space="preserve">
</t>
        </r>
        <r>
          <rPr>
            <sz val="14"/>
            <color rgb="FF000000"/>
            <rFont val="Times New Roman"/>
            <family val="18"/>
          </rPr>
          <t xml:space="preserve">19/08/1801 </t>
        </r>
        <r>
          <rPr>
            <i/>
            <sz val="14"/>
            <color rgb="FF000000"/>
            <rFont val="Times New Roman"/>
            <family val="18"/>
          </rPr>
          <t>Aus der Station Sign desertiert</t>
        </r>
        <r>
          <rPr>
            <sz val="14"/>
            <color rgb="FF000000"/>
            <rFont val="Times New Roman"/>
            <family val="18"/>
          </rPr>
          <t xml:space="preserve"> [ST August 1801]</t>
        </r>
        <r>
          <rPr>
            <sz val="14"/>
            <color rgb="FF000000"/>
            <rFont val="Calibri"/>
            <family val="34"/>
          </rPr>
          <t xml:space="preserve">
</t>
        </r>
      </text>
    </comment>
    <comment ref="BG239" authorId="0" shapeId="0" xr:uid="{84BA89F6-8249-5F47-9F58-55DB0351FF37}">
      <text>
        <r>
          <rPr>
            <sz val="14"/>
            <color rgb="FF000000"/>
            <rFont val="Times New Roman"/>
            <family val="18"/>
          </rPr>
          <t>ML 10.307 IR 43 (1799) – ST Nov (12/09/1800)</t>
        </r>
        <r>
          <rPr>
            <sz val="14"/>
            <color rgb="FF000000"/>
            <rFont val="Calibri"/>
            <family val="34"/>
          </rPr>
          <t xml:space="preserve">
</t>
        </r>
        <r>
          <rPr>
            <sz val="14"/>
            <color rgb="FF000000"/>
            <rFont val="Times New Roman"/>
            <family val="18"/>
          </rPr>
          <t>ML 10.309 IR 43 (1800) – ST Jan (26/02/1801)</t>
        </r>
        <r>
          <rPr>
            <sz val="14"/>
            <color rgb="FF000000"/>
            <rFont val="Calibri"/>
            <family val="34"/>
          </rPr>
          <t xml:space="preserve">
</t>
        </r>
        <r>
          <rPr>
            <sz val="14"/>
            <color rgb="FF000000"/>
            <rFont val="Times New Roman"/>
            <family val="18"/>
          </rPr>
          <t xml:space="preserve">ML 10.311 IR 43 (1801) – ST Aug (13/08/1805) </t>
        </r>
      </text>
    </comment>
    <comment ref="BH239" authorId="0" shapeId="0" xr:uid="{C9913A2E-21A6-F744-997E-C0A2340C7F33}">
      <text>
        <r>
          <rPr>
            <sz val="14"/>
            <color rgb="FF000000"/>
            <rFont val="Calibri"/>
            <family val="34"/>
          </rPr>
          <t>IR 43 (1799-1801)</t>
        </r>
      </text>
    </comment>
    <comment ref="BF240" authorId="0" shapeId="0" xr:uid="{DD28C433-300E-714A-B8C0-DB630A9B3833}">
      <text>
        <r>
          <rPr>
            <sz val="14"/>
            <color rgb="FF000000"/>
            <rFont val="Times New Roman"/>
            <family val="18"/>
          </rPr>
          <t xml:space="preserve">In 07/1799 </t>
        </r>
        <r>
          <rPr>
            <i/>
            <sz val="14"/>
            <color rgb="FF000000"/>
            <rFont val="Times New Roman"/>
            <family val="18"/>
          </rPr>
          <t>In IR 43 assentiert, seitdem auf Anhero Marsch mit Friedensgebühr</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ins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In Haupt Mellanz Comp. transferiert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04/12/1801 </t>
        </r>
        <r>
          <rPr>
            <i/>
            <sz val="14"/>
            <color rgb="FF000000"/>
            <rFont val="Times New Roman"/>
            <family val="18"/>
          </rPr>
          <t>Als angehorige von Haupt Kocken Companie in loco Spotalto Gestorben</t>
        </r>
        <r>
          <rPr>
            <sz val="14"/>
            <color rgb="FF000000"/>
            <rFont val="Times New Roman"/>
            <family val="18"/>
          </rPr>
          <t xml:space="preserve"> [ST Dec 1801]</t>
        </r>
        <r>
          <rPr>
            <sz val="14"/>
            <color rgb="FF000000"/>
            <rFont val="Calibri"/>
            <family val="34"/>
          </rPr>
          <t xml:space="preserve">
</t>
        </r>
      </text>
    </comment>
    <comment ref="BG240" authorId="0" shapeId="0" xr:uid="{A51FE62D-7029-464E-886F-600991A3F941}">
      <text>
        <r>
          <rPr>
            <sz val="14"/>
            <color rgb="FF000000"/>
            <rFont val="Times New Roman"/>
            <family val="18"/>
          </rPr>
          <t>ML 10.307 IR 43 (1799) – ST Nov (12/09/1800)</t>
        </r>
        <r>
          <rPr>
            <sz val="14"/>
            <color rgb="FF000000"/>
            <rFont val="Calibri"/>
            <family val="34"/>
          </rPr>
          <t xml:space="preserve">
</t>
        </r>
        <r>
          <rPr>
            <sz val="14"/>
            <color rgb="FF000000"/>
            <rFont val="Times New Roman"/>
            <family val="18"/>
          </rPr>
          <t>ML 10.309 IR 43 (1800) – ST Jan (26/02/1801)</t>
        </r>
        <r>
          <rPr>
            <sz val="14"/>
            <color rgb="FF000000"/>
            <rFont val="Calibri"/>
            <family val="34"/>
          </rPr>
          <t xml:space="preserve">
</t>
        </r>
        <r>
          <rPr>
            <sz val="14"/>
            <color rgb="FF000000"/>
            <rFont val="Times New Roman"/>
            <family val="18"/>
          </rPr>
          <t xml:space="preserve">ML 10.311 IR 43 (1801) – ST Aug (13/08/1805) </t>
        </r>
      </text>
    </comment>
    <comment ref="BH240" authorId="0" shapeId="0" xr:uid="{9D9A763D-45EE-9F4F-8EC9-BAECB0F7E314}">
      <text>
        <r>
          <rPr>
            <sz val="14"/>
            <color rgb="FF000000"/>
            <rFont val="Calibri"/>
            <family val="34"/>
          </rPr>
          <t>IR 43 (1799-1801)</t>
        </r>
      </text>
    </comment>
    <comment ref="BF241" authorId="0" shapeId="0" xr:uid="{B4D27E4F-0B47-8340-88B6-B1A460FC1C02}">
      <text>
        <r>
          <rPr>
            <sz val="14"/>
            <color rgb="FF000000"/>
            <rFont val="Times New Roman"/>
            <family val="18"/>
          </rPr>
          <t xml:space="preserve">07/1799 </t>
        </r>
        <r>
          <rPr>
            <i/>
            <sz val="14"/>
            <color rgb="FF000000"/>
            <rFont val="Times New Roman"/>
            <family val="18"/>
          </rPr>
          <t>Dient seit</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Vor 31/12/1799 </t>
        </r>
        <r>
          <rPr>
            <i/>
            <sz val="14"/>
            <color rgb="FF000000"/>
            <rFont val="Times New Roman"/>
            <family val="18"/>
          </rPr>
          <t>Krank in Feld Spital zu Castelo Nuevo</t>
        </r>
        <r>
          <rPr>
            <sz val="14"/>
            <color rgb="FF000000"/>
            <rFont val="Times New Roman"/>
            <family val="18"/>
          </rPr>
          <t xml:space="preserve"> [TL Aug 1800]</t>
        </r>
        <r>
          <rPr>
            <sz val="14"/>
            <color rgb="FF000000"/>
            <rFont val="Calibri"/>
            <family val="34"/>
          </rPr>
          <t xml:space="preserve">
</t>
        </r>
        <r>
          <rPr>
            <sz val="14"/>
            <color rgb="FF000000"/>
            <rFont val="Times New Roman"/>
            <family val="18"/>
          </rPr>
          <t xml:space="preserve">14/01/1800 </t>
        </r>
        <r>
          <rPr>
            <i/>
            <sz val="14"/>
            <color rgb="FF000000"/>
            <rFont val="Times New Roman"/>
            <family val="18"/>
          </rPr>
          <t xml:space="preserve">Von IR 39 Proviant Fuhrwesen zum MFWK italienische Armee Feld Depot transferiert </t>
        </r>
        <r>
          <rPr>
            <sz val="14"/>
            <color rgb="FF000000"/>
            <rFont val="Times New Roman"/>
            <family val="18"/>
          </rPr>
          <t>[TL Aug 1800]</t>
        </r>
        <r>
          <rPr>
            <sz val="14"/>
            <color rgb="FF000000"/>
            <rFont val="Calibri"/>
            <family val="34"/>
          </rPr>
          <t xml:space="preserve">
</t>
        </r>
      </text>
    </comment>
    <comment ref="BG241" authorId="0" shapeId="0" xr:uid="{A833905F-7ECC-BA42-B5B4-529519CF64A3}">
      <text>
        <r>
          <rPr>
            <sz val="14"/>
            <color rgb="FF000000"/>
            <rFont val="Times New Roman"/>
            <family val="18"/>
          </rPr>
          <t>ML 3543 IR 39 (1800) – TL IR 39-&gt;MFWK Nr. 3 (Eperies 30/08/1800); ST Jan 1800 (01/01/1801)</t>
        </r>
      </text>
    </comment>
    <comment ref="BH241" authorId="0" shapeId="0" xr:uid="{5085904D-5DB6-1443-91FC-FAC6BE47D617}">
      <text>
        <r>
          <rPr>
            <sz val="14"/>
            <color rgb="FF000000"/>
            <rFont val="Calibri"/>
            <family val="34"/>
          </rPr>
          <t>MFWK (1799-1800)</t>
        </r>
      </text>
    </comment>
    <comment ref="BF242" authorId="0" shapeId="0" xr:uid="{03EE400E-4B09-1D41-A77D-81D8C0EE98C2}">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G242" authorId="0" shapeId="0" xr:uid="{7DC5A473-43A0-AA41-AE56-F1187F24CC7E}">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r>
          <rPr>
            <sz val="14"/>
            <color rgb="FF000000"/>
            <rFont val="Calibri"/>
            <family val="34"/>
          </rPr>
          <t xml:space="preserve">
</t>
        </r>
      </text>
    </comment>
    <comment ref="BH242" authorId="0" shapeId="0" xr:uid="{AD8E1851-5162-B445-8257-3963C81A17F5}">
      <text>
        <r>
          <rPr>
            <sz val="14"/>
            <color rgb="FF000000"/>
            <rFont val="Calibri"/>
            <family val="34"/>
          </rPr>
          <t>IR 43 (1799-1800)</t>
        </r>
      </text>
    </comment>
    <comment ref="BF243" authorId="0" shapeId="0" xr:uid="{2A316831-E491-224D-89C3-129D4853880E}">
      <text>
        <r>
          <rPr>
            <sz val="14"/>
            <color rgb="FF000000"/>
            <rFont val="Times New Roman"/>
            <family val="18"/>
          </rPr>
          <t xml:space="preserve">In 07/1799 </t>
        </r>
        <r>
          <rPr>
            <i/>
            <sz val="14"/>
            <color rgb="FF000000"/>
            <rFont val="Times New Roman"/>
            <family val="18"/>
          </rPr>
          <t>In IR 43 assentiert und seitdem auf Anhero Marsch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25/05/1800 </t>
        </r>
        <r>
          <rPr>
            <i/>
            <sz val="14"/>
            <color rgb="FF000000"/>
            <rFont val="Times New Roman"/>
            <family val="18"/>
          </rPr>
          <t>in Folge hohe Verordnung als untauglich mit Laufpass entlassen</t>
        </r>
        <r>
          <rPr>
            <sz val="14"/>
            <color rgb="FF000000"/>
            <rFont val="Times New Roman"/>
            <family val="18"/>
          </rPr>
          <t xml:space="preserve"> [ST Aug 1800]</t>
        </r>
        <r>
          <rPr>
            <sz val="14"/>
            <color rgb="FF000000"/>
            <rFont val="Calibri"/>
            <family val="34"/>
          </rPr>
          <t xml:space="preserve">
</t>
        </r>
      </text>
    </comment>
    <comment ref="BG243" authorId="0" shapeId="0" xr:uid="{A298C522-8E43-6742-A129-0D98E10C78C0}">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Aug (27/12/1803)</t>
        </r>
      </text>
    </comment>
    <comment ref="BH243" authorId="0" shapeId="0" xr:uid="{7402609C-9D83-E543-A7F3-609B7B65FB2A}">
      <text>
        <r>
          <rPr>
            <sz val="14"/>
            <color rgb="FF000000"/>
            <rFont val="Calibri"/>
            <family val="34"/>
          </rPr>
          <t>IR 43 (1799-1800)</t>
        </r>
      </text>
    </comment>
    <comment ref="BF244" authorId="0" shapeId="0" xr:uid="{4CB548A9-1411-1841-A32D-278A2D40775A}">
      <text>
        <r>
          <rPr>
            <sz val="14"/>
            <color rgb="FF000000"/>
            <rFont val="Times New Roman"/>
            <family val="18"/>
          </rPr>
          <t xml:space="preserve">01/07/1799 </t>
        </r>
        <r>
          <rPr>
            <i/>
            <sz val="14"/>
            <color rgb="FF000000"/>
            <rFont val="Times New Roman"/>
            <family val="18"/>
          </rPr>
          <t>Zu Kaunitz Inf.</t>
        </r>
        <r>
          <rPr>
            <sz val="14"/>
            <color rgb="FF000000"/>
            <rFont val="Times New Roman"/>
            <family val="18"/>
          </rPr>
          <t xml:space="preserve"> </t>
        </r>
        <r>
          <rPr>
            <b/>
            <sz val="14"/>
            <color rgb="FF000000"/>
            <rFont val="Times New Roman"/>
            <family val="18"/>
          </rPr>
          <t>[IR 20]</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08/02/1801 </t>
        </r>
        <r>
          <rPr>
            <i/>
            <sz val="14"/>
            <color rgb="FF000000"/>
            <rFont val="Times New Roman"/>
            <family val="18"/>
          </rPr>
          <t>Von IR 20 zur Staabs Inf.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Staab Inf. zum GR 2 transferiert und zur Fliescher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30/08/1802 Muster: GR 2 Haupt Fleischer Komp. Nr. 105</t>
        </r>
        <r>
          <rPr>
            <sz val="14"/>
            <color rgb="FF000000"/>
            <rFont val="Calibri"/>
            <family val="34"/>
          </rPr>
          <t xml:space="preserve">
</t>
        </r>
        <r>
          <rPr>
            <sz val="14"/>
            <color rgb="FF000000"/>
            <rFont val="Times New Roman"/>
            <family val="18"/>
          </rPr>
          <t xml:space="preserve">10/12/1802 </t>
        </r>
        <r>
          <rPr>
            <i/>
            <sz val="14"/>
            <color rgb="FF000000"/>
            <rFont val="Times New Roman"/>
            <family val="18"/>
          </rPr>
          <t>Am Sonsten desertiert</t>
        </r>
        <r>
          <rPr>
            <sz val="14"/>
            <color rgb="FF000000"/>
            <rFont val="Times New Roman"/>
            <family val="18"/>
          </rPr>
          <t xml:space="preserve"> [ML 1803] </t>
        </r>
        <r>
          <rPr>
            <sz val="14"/>
            <color rgb="FF000000"/>
            <rFont val="Calibri"/>
            <family val="34"/>
          </rPr>
          <t xml:space="preserve">
</t>
        </r>
      </text>
    </comment>
    <comment ref="BG244" authorId="0" shapeId="0" xr:uid="{4530B1BB-2AE7-DF43-82CC-D3C02F2D420D}">
      <text>
        <r>
          <rPr>
            <sz val="14"/>
            <color rgb="FF000000"/>
            <rFont val="Times New Roman"/>
            <family val="18"/>
          </rPr>
          <t>ML 11.183 GR 2 (1802) – Haupt Fleischer Komp. Nr. 105 (Zamosc 01/09/1802)</t>
        </r>
        <r>
          <rPr>
            <sz val="14"/>
            <color rgb="FF000000"/>
            <rFont val="Calibri"/>
            <family val="34"/>
          </rPr>
          <t xml:space="preserve">
</t>
        </r>
        <r>
          <rPr>
            <sz val="14"/>
            <color rgb="FF000000"/>
            <rFont val="Times New Roman"/>
            <family val="18"/>
          </rPr>
          <t>ML 11.184 GR 2 (1803) – Haupt Fleischer Komp. Abgang (Hrubieszów 03/09/1803)</t>
        </r>
      </text>
    </comment>
    <comment ref="BH244" authorId="0" shapeId="0" xr:uid="{3DAC1877-716A-5744-9A74-9C06149C33FB}">
      <text>
        <r>
          <rPr>
            <sz val="14"/>
            <color rgb="FF000000"/>
            <rFont val="Times New Roman"/>
            <family val="18"/>
          </rPr>
          <t xml:space="preserve">IR 20 (1799-1801)
</t>
        </r>
        <r>
          <rPr>
            <sz val="14"/>
            <color rgb="FF000000"/>
            <rFont val="Times New Roman"/>
            <family val="18"/>
          </rPr>
          <t xml:space="preserve">Staab Inf (1801)
</t>
        </r>
        <r>
          <rPr>
            <sz val="14"/>
            <color rgb="FF000000"/>
            <rFont val="Times New Roman"/>
            <family val="18"/>
          </rPr>
          <t>GR 2 (1801-1802)</t>
        </r>
      </text>
    </comment>
    <comment ref="O245" authorId="0" shapeId="0" xr:uid="{AEFDA7BA-8F07-634A-B6D7-5FFE42E54830}">
      <text>
        <r>
          <rPr>
            <sz val="14"/>
            <color rgb="FF000000"/>
            <rFont val="Times New Roman"/>
            <family val="18"/>
          </rPr>
          <t xml:space="preserve">Hershel (1794)
</t>
        </r>
        <r>
          <rPr>
            <sz val="14"/>
            <color rgb="FF000000"/>
            <rFont val="Times New Roman"/>
            <family val="18"/>
          </rPr>
          <t>Chaim (1797)</t>
        </r>
      </text>
    </comment>
    <comment ref="BF245" authorId="0" shapeId="0" xr:uid="{D325ABCE-0D61-B64D-B9DE-423E6DCB42D5}">
      <text>
        <r>
          <rPr>
            <sz val="14"/>
            <color rgb="FF000000"/>
            <rFont val="Times New Roman"/>
            <family val="18"/>
          </rPr>
          <t xml:space="preserve">03/07/1799 </t>
        </r>
        <r>
          <rPr>
            <i/>
            <sz val="14"/>
            <color rgb="FF000000"/>
            <rFont val="Times New Roman"/>
            <family val="18"/>
          </rPr>
          <t>Gegen 3 Fl Handgeld als landständischer Recrout um auf Beständig in Lublin assentiert</t>
        </r>
        <r>
          <rPr>
            <sz val="14"/>
            <color rgb="FF000000"/>
            <rFont val="Times New Roman"/>
            <family val="18"/>
          </rPr>
          <t xml:space="preserve"> [TL Dec 1810]</t>
        </r>
        <r>
          <rPr>
            <sz val="14"/>
            <color rgb="FF000000"/>
            <rFont val="Calibri"/>
            <family val="34"/>
          </rPr>
          <t xml:space="preserve">
</t>
        </r>
        <r>
          <rPr>
            <sz val="14"/>
            <color rgb="FF000000"/>
            <rFont val="Times New Roman"/>
            <family val="18"/>
          </rPr>
          <t>16/09/1802 Muster: IR 13 Haupt Schärfenberg Komp Nr. 55</t>
        </r>
        <r>
          <rPr>
            <sz val="14"/>
            <color rgb="FF000000"/>
            <rFont val="Calibri"/>
            <family val="34"/>
          </rPr>
          <t xml:space="preserve">
</t>
        </r>
        <r>
          <rPr>
            <sz val="14"/>
            <color rgb="FF000000"/>
            <rFont val="Times New Roman"/>
            <family val="18"/>
          </rPr>
          <t xml:space="preserve">10/03/1810 </t>
        </r>
        <r>
          <rPr>
            <i/>
            <sz val="14"/>
            <color rgb="FF000000"/>
            <rFont val="Times New Roman"/>
            <family val="18"/>
          </rPr>
          <t>Von dissolvierte IR 13 5. Fus. Komp Zum IR 63 transferiert und zur 10. Fus. Komp. eingeteilt</t>
        </r>
        <r>
          <rPr>
            <sz val="14"/>
            <color rgb="FF000000"/>
            <rFont val="Times New Roman"/>
            <family val="18"/>
          </rPr>
          <t xml:space="preserve"> [TL Dec 1810]</t>
        </r>
        <r>
          <rPr>
            <sz val="14"/>
            <color rgb="FF000000"/>
            <rFont val="Calibri"/>
            <family val="34"/>
          </rPr>
          <t xml:space="preserve">
</t>
        </r>
      </text>
    </comment>
    <comment ref="BG245" authorId="0" shapeId="0" xr:uid="{D7A7C87A-9CC2-D44A-A230-C2E6C2266E10}">
      <text>
        <r>
          <rPr>
            <sz val="14"/>
            <color rgb="FF000000"/>
            <rFont val="Times New Roman"/>
            <family val="18"/>
          </rPr>
          <t>ML 10.045/6 IR 13 (1802) – Haupt Schärfenberg Komp Nr. 55 (Triest 16/09/1802)</t>
        </r>
        <r>
          <rPr>
            <sz val="14"/>
            <color rgb="FF000000"/>
            <rFont val="Calibri"/>
            <family val="34"/>
          </rPr>
          <t xml:space="preserve">
</t>
        </r>
        <r>
          <rPr>
            <sz val="14"/>
            <color rgb="FF000000"/>
            <rFont val="Times New Roman"/>
            <family val="18"/>
          </rPr>
          <t>ML 5293 IR 63 (1810) AL/TL – TL IR 13-&gt; IR 63 Nr. 4 (Graz 30/12/1810)</t>
        </r>
      </text>
    </comment>
    <comment ref="BH245" authorId="0" shapeId="0" xr:uid="{27877790-5AD4-1C46-A6E4-E5C4CF28E0A4}">
      <text>
        <r>
          <rPr>
            <sz val="14"/>
            <color rgb="FF000000"/>
            <rFont val="Calibri"/>
            <family val="34"/>
          </rPr>
          <t xml:space="preserve">IR 13 (1799-1810)
</t>
        </r>
        <r>
          <rPr>
            <sz val="14"/>
            <color rgb="FF000000"/>
            <rFont val="Calibri"/>
            <family val="34"/>
          </rPr>
          <t>IR 63 (1810)</t>
        </r>
      </text>
    </comment>
    <comment ref="I246" authorId="0" shapeId="0" xr:uid="{130480D6-A91D-FF4F-A29B-55FB6438CC46}">
      <text>
        <r>
          <rPr>
            <sz val="14"/>
            <color rgb="FF000000"/>
            <rFont val="Calibri"/>
            <family val="34"/>
          </rPr>
          <t xml:space="preserve">1770 [41 (1811)] 
</t>
        </r>
        <r>
          <rPr>
            <sz val="14"/>
            <color rgb="FF000000"/>
            <rFont val="Calibri"/>
            <family val="34"/>
          </rPr>
          <t xml:space="preserve">OR 
</t>
        </r>
        <r>
          <rPr>
            <sz val="14"/>
            <color rgb="FF000000"/>
            <rFont val="Calibri"/>
            <family val="34"/>
          </rPr>
          <t>1777 [25 (1802)]</t>
        </r>
      </text>
    </comment>
    <comment ref="K246" authorId="0" shapeId="0" xr:uid="{629B83F4-969F-5241-A58A-9E4D57D1D7D3}">
      <text>
        <r>
          <rPr>
            <sz val="14"/>
            <color rgb="FF000000"/>
            <rFont val="Calibri"/>
            <family val="34"/>
          </rPr>
          <t xml:space="preserve">Ohne (1802-1809)
</t>
        </r>
        <r>
          <rPr>
            <i/>
            <sz val="14"/>
            <color rgb="FF000000"/>
            <rFont val="Times New Roman"/>
            <family val="18"/>
          </rPr>
          <t>Strumpfstricker</t>
        </r>
        <r>
          <rPr>
            <sz val="14"/>
            <color rgb="FF000000"/>
            <rFont val="Calibri"/>
            <family val="2"/>
            <scheme val="minor"/>
          </rPr>
          <t xml:space="preserve"> </t>
        </r>
        <r>
          <rPr>
            <sz val="14"/>
            <color rgb="FF000000"/>
            <rFont val="Calibri"/>
            <family val="34"/>
          </rPr>
          <t xml:space="preserve"> (1811)</t>
        </r>
      </text>
    </comment>
    <comment ref="T246" authorId="0" shapeId="0" xr:uid="{00354B68-5A7A-3546-94CB-2F87607F8EB6}">
      <text>
        <r>
          <rPr>
            <sz val="14"/>
            <color rgb="FF000000"/>
            <rFont val="+mn-lt"/>
            <charset val="1"/>
          </rPr>
          <t xml:space="preserve">166.55 (1809)
</t>
        </r>
        <r>
          <rPr>
            <sz val="14"/>
            <color rgb="FF000000"/>
            <rFont val="+mn-lt"/>
            <charset val="1"/>
          </rPr>
          <t>173.78 (1802-6)</t>
        </r>
      </text>
    </comment>
    <comment ref="BF246" authorId="0" shapeId="0" xr:uid="{E35BC4D8-6E5C-C440-9A92-6B4BCE946DB0}">
      <text>
        <r>
          <rPr>
            <sz val="14"/>
            <color rgb="FFFF0000"/>
            <rFont val="Times New Roman"/>
            <family val="18"/>
          </rPr>
          <t xml:space="preserve">11/05/1799 </t>
        </r>
        <r>
          <rPr>
            <i/>
            <sz val="14"/>
            <color rgb="FFFF0000"/>
            <rFont val="Times New Roman"/>
            <family val="18"/>
          </rPr>
          <t>Von Ständen a 3Fl Handgeld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03/07/1799 </t>
        </r>
        <r>
          <rPr>
            <i/>
            <sz val="14"/>
            <color rgb="FF000000"/>
            <rFont val="Times New Roman"/>
            <family val="18"/>
          </rPr>
          <t>Von Ständen a 3Fl Handgeld gestellt und seitdem auf Anhero Marsch mit Friedensgebühr</t>
        </r>
        <r>
          <rPr>
            <sz val="14"/>
            <color rgb="FF000000"/>
            <rFont val="Times New Roman"/>
            <family val="18"/>
          </rPr>
          <t xml:space="preserve"> [ML 1806 ST Nov 1799]</t>
        </r>
        <r>
          <rPr>
            <sz val="14"/>
            <color rgb="FF000000"/>
            <rFont val="Calibri"/>
            <family val="34"/>
          </rPr>
          <t xml:space="preserve">
</t>
        </r>
        <r>
          <rPr>
            <sz val="14"/>
            <color rgb="FF000000"/>
            <rFont val="Times New Roman"/>
            <family val="18"/>
          </rPr>
          <t xml:space="preserve">31/10/1799 [Bevor] in die Reserve Division eingerückt </t>
        </r>
        <r>
          <rPr>
            <sz val="14"/>
            <color rgb="FF000000"/>
            <rFont val="Calibri"/>
            <family val="34"/>
          </rPr>
          <t xml:space="preserve">
</t>
        </r>
        <r>
          <rPr>
            <sz val="14"/>
            <color rgb="FF000000"/>
            <rFont val="Times New Roman"/>
            <family val="18"/>
          </rPr>
          <t xml:space="preserve">16/11/1799 </t>
        </r>
        <r>
          <rPr>
            <i/>
            <sz val="14"/>
            <color rgb="FF000000"/>
            <rFont val="Times New Roman"/>
            <family val="18"/>
          </rPr>
          <t>Auf Marsch in Regiment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31/01/1800 </t>
        </r>
        <r>
          <rPr>
            <i/>
            <sz val="14"/>
            <color rgb="FF000000"/>
            <rFont val="Times New Roman"/>
            <family val="18"/>
          </rPr>
          <t>Von die Reserve Division ins Haupt Fischer Comp. Transferiert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21/08/1802 Muster: IR 43 Haupt Basta Komp. Nr. 44 [</t>
        </r>
        <r>
          <rPr>
            <i/>
            <sz val="14"/>
            <color rgb="FF000000"/>
            <rFont val="Times New Roman"/>
            <family val="18"/>
          </rPr>
          <t>Zu Zara Postiert</t>
        </r>
        <r>
          <rPr>
            <sz val="14"/>
            <color rgb="FF000000"/>
            <rFont val="Times New Roman"/>
            <family val="18"/>
          </rPr>
          <t>]</t>
        </r>
        <r>
          <rPr>
            <sz val="14"/>
            <color rgb="FF000000"/>
            <rFont val="Calibri"/>
            <family val="34"/>
          </rPr>
          <t xml:space="preserve">
</t>
        </r>
        <r>
          <rPr>
            <sz val="14"/>
            <color rgb="FF000000"/>
            <rFont val="Times New Roman"/>
            <family val="18"/>
          </rPr>
          <t xml:space="preserve">13/11/1802 </t>
        </r>
        <r>
          <rPr>
            <i/>
            <sz val="14"/>
            <color rgb="FF000000"/>
            <rFont val="Times New Roman"/>
            <family val="18"/>
          </rPr>
          <t>Desertiert</t>
        </r>
        <r>
          <rPr>
            <sz val="14"/>
            <color rgb="FF000000"/>
            <rFont val="Times New Roman"/>
            <family val="18"/>
          </rPr>
          <t xml:space="preserve"> [ST Dez 1802]</t>
        </r>
        <r>
          <rPr>
            <sz val="14"/>
            <color rgb="FF000000"/>
            <rFont val="Calibri"/>
            <family val="34"/>
          </rPr>
          <t xml:space="preserve">
</t>
        </r>
        <r>
          <rPr>
            <sz val="14"/>
            <color rgb="FF000000"/>
            <rFont val="Times New Roman"/>
            <family val="18"/>
          </rPr>
          <t xml:space="preserve">13/11/1802 </t>
        </r>
        <r>
          <rPr>
            <i/>
            <sz val="14"/>
            <color rgb="FF000000"/>
            <rFont val="Times New Roman"/>
            <family val="18"/>
          </rPr>
          <t>Von Landmann attrappiert und gegen 24Fl Taglia zu Zara Präsentiert; seitdem in Arrest</t>
        </r>
        <r>
          <rPr>
            <sz val="14"/>
            <color rgb="FF000000"/>
            <rFont val="Times New Roman"/>
            <family val="18"/>
          </rPr>
          <t xml:space="preserve"> [ST Dez 1802]</t>
        </r>
        <r>
          <rPr>
            <sz val="14"/>
            <color rgb="FF000000"/>
            <rFont val="Calibri"/>
            <family val="34"/>
          </rPr>
          <t xml:space="preserve">
</t>
        </r>
        <r>
          <rPr>
            <sz val="14"/>
            <color rgb="FF000000"/>
            <rFont val="Times New Roman"/>
            <family val="18"/>
          </rPr>
          <t xml:space="preserve">30/11/1802 </t>
        </r>
        <r>
          <rPr>
            <i/>
            <sz val="14"/>
            <color rgb="FF000000"/>
            <rFont val="Times New Roman"/>
            <family val="18"/>
          </rPr>
          <t xml:space="preserve">Befreit </t>
        </r>
        <r>
          <rPr>
            <sz val="14"/>
            <color rgb="FF000000"/>
            <rFont val="Times New Roman"/>
            <family val="18"/>
          </rPr>
          <t>[ST Dez 1802]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08/11/1803 Muster: IR 43 Haupt Ellison Komp. Nr. 151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Lichtenberg Komp. Nr. 129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11/06/1805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26/08/1805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30/09/1805 Muster: 2. Fus. Komp Nr. 98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01/12/1806 Muster: 2. Fus. Komp. Nr. 43</t>
        </r>
        <r>
          <rPr>
            <sz val="14"/>
            <color rgb="FF000000"/>
            <rFont val="Calibri"/>
            <family val="34"/>
          </rPr>
          <t xml:space="preserve">
</t>
        </r>
        <r>
          <rPr>
            <sz val="14"/>
            <color rgb="FF000000"/>
            <rFont val="Times New Roman"/>
            <family val="18"/>
          </rPr>
          <t>06/09/1808 Revision: 2. Fus. Komp Nr. 29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43 2. Fus zum 9. Corps Staabs Inf. Komp transferiert</t>
        </r>
        <r>
          <rPr>
            <sz val="14"/>
            <color rgb="FF000000"/>
            <rFont val="Times New Roman"/>
            <family val="18"/>
          </rPr>
          <t xml:space="preserve"> [TL April 1809 &amp; ST March 1809]</t>
        </r>
        <r>
          <rPr>
            <sz val="14"/>
            <color rgb="FF000000"/>
            <rFont val="Calibri"/>
            <family val="34"/>
          </rPr>
          <t xml:space="preserve">
</t>
        </r>
        <r>
          <rPr>
            <sz val="14"/>
            <color rgb="FF000000"/>
            <rFont val="Times New Roman"/>
            <family val="18"/>
          </rPr>
          <t>01/01/1810 Dissolvierung: 9. Staab Inf. Komp. Nr. 139 [</t>
        </r>
        <r>
          <rPr>
            <i/>
            <sz val="14"/>
            <color rgb="FF000000"/>
            <rFont val="Times New Roman"/>
            <family val="18"/>
          </rPr>
          <t>Zu Strassoldo Inf. zu transferieren</t>
        </r>
        <r>
          <rPr>
            <sz val="14"/>
            <color rgb="FF000000"/>
            <rFont val="Times New Roman"/>
            <family val="18"/>
          </rPr>
          <t>]</t>
        </r>
        <r>
          <rPr>
            <sz val="14"/>
            <color rgb="FF000000"/>
            <rFont val="Calibri"/>
            <family val="34"/>
          </rPr>
          <t xml:space="preserve">
</t>
        </r>
        <r>
          <rPr>
            <sz val="14"/>
            <color rgb="FF000000"/>
            <rFont val="Times New Roman"/>
            <family val="18"/>
          </rPr>
          <t xml:space="preserve">06/01/1810 </t>
        </r>
        <r>
          <rPr>
            <i/>
            <sz val="14"/>
            <color rgb="FF000000"/>
            <rFont val="Times New Roman"/>
            <family val="18"/>
          </rPr>
          <t>Von Dissolvierte 7. SInf. Komp. zum IR 27 transferiert und zum 3. Fus. Komp. eingeteilt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Reducierte 3. Fus. zum neue 7. Fus. Komp. transferiert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31/08/1811 </t>
        </r>
        <r>
          <rPr>
            <i/>
            <sz val="14"/>
            <color rgb="FF000000"/>
            <rFont val="Times New Roman"/>
            <family val="18"/>
          </rPr>
          <t>Von IR 23 7. Fus. Komp. zur GK Styermark transferiert und zum 2. Komp. zugeteilt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23/09/1811 Muster: GK Styer 2. Komp. Nr. 130</t>
        </r>
        <r>
          <rPr>
            <sz val="14"/>
            <color rgb="FF000000"/>
            <rFont val="Calibri"/>
            <family val="34"/>
          </rPr>
          <t xml:space="preserve">
</t>
        </r>
        <r>
          <rPr>
            <sz val="14"/>
            <color rgb="FF000000"/>
            <rFont val="Times New Roman"/>
            <family val="18"/>
          </rPr>
          <t xml:space="preserve">01/09/1814 </t>
        </r>
        <r>
          <rPr>
            <i/>
            <sz val="14"/>
            <color rgb="FF000000"/>
            <rFont val="Times New Roman"/>
            <family val="18"/>
          </rPr>
          <t>Auf bestimmte Zeit Beurlaubt</t>
        </r>
        <r>
          <rPr>
            <sz val="14"/>
            <color rgb="FF000000"/>
            <rFont val="Times New Roman"/>
            <family val="18"/>
          </rPr>
          <t xml:space="preserve"> [ST Sept 1814]</t>
        </r>
        <r>
          <rPr>
            <sz val="14"/>
            <color rgb="FF000000"/>
            <rFont val="Calibri"/>
            <family val="34"/>
          </rPr>
          <t xml:space="preserve">
</t>
        </r>
        <r>
          <rPr>
            <sz val="14"/>
            <color rgb="FF000000"/>
            <rFont val="Times New Roman"/>
            <family val="18"/>
          </rPr>
          <t xml:space="preserve">15/09/1814 </t>
        </r>
        <r>
          <rPr>
            <i/>
            <sz val="14"/>
            <color rgb="FF000000"/>
            <rFont val="Times New Roman"/>
            <family val="18"/>
          </rPr>
          <t>Vermög Abgehaltenen hohen SUPERARBITRIO ddt. Graz 31. August 814 und hohen I.Ö. GENERAL COMANO Verordnung Graz den 8. 7br ac R 6523 auf beigehaltene Verordnungs Attestat des H. Grafen Franz von Wurmbrand gegen Renuncierung auf alle Militar Beneficien mit Abschied entlassen</t>
        </r>
        <r>
          <rPr>
            <sz val="14"/>
            <color rgb="FF000000"/>
            <rFont val="Times New Roman"/>
            <family val="18"/>
          </rPr>
          <t xml:space="preserve"> [ST Sept 1814]  </t>
        </r>
        <r>
          <rPr>
            <sz val="14"/>
            <color rgb="FF000000"/>
            <rFont val="Calibri"/>
            <family val="34"/>
          </rPr>
          <t xml:space="preserve">
</t>
        </r>
      </text>
    </comment>
    <comment ref="BG246" authorId="0" shapeId="0" xr:uid="{92BA440F-39B4-6A44-8556-BF4E9F788A59}">
      <text>
        <r>
          <rPr>
            <sz val="14"/>
            <color rgb="FF000000"/>
            <rFont val="Times New Roman"/>
            <family val="18"/>
          </rPr>
          <t>ML 10.272 IR 43 (1802) – Haupt Basta Komp. Nr. 44</t>
        </r>
        <r>
          <rPr>
            <sz val="14"/>
            <color rgb="FF000000"/>
            <rFont val="Calibri"/>
            <family val="34"/>
          </rPr>
          <t xml:space="preserve"> (</t>
        </r>
        <r>
          <rPr>
            <sz val="14"/>
            <color rgb="FF000000"/>
            <rFont val="Times New Roman"/>
            <family val="18"/>
          </rPr>
          <t>Risano 21/08/1802)</t>
        </r>
        <r>
          <rPr>
            <sz val="14"/>
            <color rgb="FF000000"/>
            <rFont val="Calibri"/>
            <family val="34"/>
          </rPr>
          <t xml:space="preserve">
</t>
        </r>
        <r>
          <rPr>
            <sz val="14"/>
            <color rgb="FF000000"/>
            <rFont val="Times New Roman"/>
            <family val="18"/>
          </rPr>
          <t>ML 10.273 IR 43 (1803) – Haupt Ellison Komp. Nr. 151 (Sign 08/11/1803)</t>
        </r>
        <r>
          <rPr>
            <sz val="14"/>
            <color rgb="FF000000"/>
            <rFont val="Calibri"/>
            <family val="34"/>
          </rPr>
          <t xml:space="preserve">
</t>
        </r>
        <r>
          <rPr>
            <sz val="14"/>
            <color rgb="FF000000"/>
            <rFont val="Times New Roman"/>
            <family val="18"/>
          </rPr>
          <t>ML 10.274 IR 43 (1804) – Haupt Lichtenberg Komp. Nr. 129</t>
        </r>
        <r>
          <rPr>
            <sz val="14"/>
            <color rgb="FF000000"/>
            <rFont val="Calibri"/>
            <family val="34"/>
          </rPr>
          <t xml:space="preserve"> (</t>
        </r>
        <r>
          <rPr>
            <sz val="14"/>
            <color rgb="FF000000"/>
            <rFont val="Times New Roman"/>
            <family val="18"/>
          </rPr>
          <t>Zara 15/09/1804)</t>
        </r>
        <r>
          <rPr>
            <sz val="14"/>
            <color rgb="FF000000"/>
            <rFont val="Calibri"/>
            <family val="34"/>
          </rPr>
          <t xml:space="preserve">
</t>
        </r>
        <r>
          <rPr>
            <sz val="14"/>
            <color rgb="FF000000"/>
            <rFont val="Times New Roman"/>
            <family val="18"/>
          </rPr>
          <t>ML 10.275/6 IR 43 (1805) – 2. Fus. Komp. Nr. 98</t>
        </r>
        <r>
          <rPr>
            <sz val="14"/>
            <color rgb="FF000000"/>
            <rFont val="Calibri"/>
            <family val="34"/>
          </rPr>
          <t xml:space="preserve"> (</t>
        </r>
        <r>
          <rPr>
            <sz val="14"/>
            <color rgb="FF000000"/>
            <rFont val="Times New Roman"/>
            <family val="18"/>
          </rPr>
          <t>Cattaro 30/09/1805)</t>
        </r>
        <r>
          <rPr>
            <sz val="14"/>
            <color rgb="FF000000"/>
            <rFont val="Calibri"/>
            <family val="34"/>
          </rPr>
          <t xml:space="preserve">
</t>
        </r>
        <r>
          <rPr>
            <sz val="14"/>
            <color rgb="FF000000"/>
            <rFont val="Times New Roman"/>
            <family val="18"/>
          </rPr>
          <t>ML 10.277/8 IR 43 (1806) – 2. Fus. Komp. Nr. 43</t>
        </r>
        <r>
          <rPr>
            <sz val="14"/>
            <color rgb="FF000000"/>
            <rFont val="Calibri"/>
            <family val="34"/>
          </rPr>
          <t xml:space="preserve"> (</t>
        </r>
        <r>
          <rPr>
            <sz val="14"/>
            <color rgb="FF000000"/>
            <rFont val="Times New Roman"/>
            <family val="18"/>
          </rPr>
          <t>Laibach 01/12/1806)</t>
        </r>
        <r>
          <rPr>
            <sz val="14"/>
            <color rgb="FF000000"/>
            <rFont val="Calibri"/>
            <family val="34"/>
          </rPr>
          <t xml:space="preserve">
</t>
        </r>
        <r>
          <rPr>
            <sz val="14"/>
            <color rgb="FF000000"/>
            <rFont val="Times New Roman"/>
            <family val="18"/>
          </rPr>
          <t>ML 10.279 IR 43 (1808-10) – RL 2. Fus. Komp Nr. 29 (Laibach, 06/09/1808)</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ML 10.313 IR 43 (1803) – ST Feb (15/03/1803), April (15/05/1803)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10.323 IR 43 (1809) – ST März (Klagenfurt 30/12/1810)</t>
        </r>
        <r>
          <rPr>
            <sz val="14"/>
            <color rgb="FF000000"/>
            <rFont val="Calibri"/>
            <family val="34"/>
          </rPr>
          <t xml:space="preserve">
</t>
        </r>
        <r>
          <rPr>
            <sz val="14"/>
            <color rgb="FF000000"/>
            <rFont val="Times New Roman"/>
            <family val="18"/>
          </rPr>
          <t>ML 10.324 IR 43 (1809) – TL IR IR 43-&gt;SInf 9. Corps. Nr. 10 (Laibach 20/04/1809)</t>
        </r>
        <r>
          <rPr>
            <sz val="14"/>
            <color rgb="FF000000"/>
            <rFont val="Calibri"/>
            <family val="34"/>
          </rPr>
          <t xml:space="preserve">
</t>
        </r>
        <r>
          <rPr>
            <sz val="14"/>
            <color rgb="FF000000"/>
            <rFont val="Times New Roman"/>
            <family val="18"/>
          </rPr>
          <t>ML 11.310 SInf 6.-10. (1809-10) – DL 9. SInf Komp. Nr. 139 (Agram 05/01/1810)</t>
        </r>
        <r>
          <rPr>
            <sz val="14"/>
            <color rgb="FF000000"/>
            <rFont val="Calibri"/>
            <family val="34"/>
          </rPr>
          <t xml:space="preserve">
</t>
        </r>
        <r>
          <rPr>
            <sz val="14"/>
            <color rgb="FF000000"/>
            <rFont val="Times New Roman"/>
            <family val="18"/>
          </rPr>
          <t>ML 2265 IR 27 (1811) – 7. Fus. Komp. Abgang (Graz 19/09/1811)</t>
        </r>
        <r>
          <rPr>
            <sz val="14"/>
            <color rgb="FF000000"/>
            <rFont val="Calibri"/>
            <family val="34"/>
          </rPr>
          <t xml:space="preserve">
</t>
        </r>
        <r>
          <rPr>
            <sz val="14"/>
            <color rgb="FF000000"/>
            <rFont val="Times New Roman"/>
            <family val="18"/>
          </rPr>
          <t>ML 2336/7 IR 27 (1810) – Jän (Graz 26/02/1811), Feb (Graz 27/03/1811)</t>
        </r>
        <r>
          <rPr>
            <sz val="14"/>
            <color rgb="FF000000"/>
            <rFont val="Calibri"/>
            <family val="34"/>
          </rPr>
          <t xml:space="preserve">
</t>
        </r>
        <r>
          <rPr>
            <sz val="14"/>
            <color rgb="FF000000"/>
            <rFont val="Times New Roman"/>
            <family val="18"/>
          </rPr>
          <t xml:space="preserve">ML 8796 GK Styer (1808-12) – 2. Komp. Nr. 103 (Graz 23/09/1811); </t>
        </r>
        <r>
          <rPr>
            <sz val="14"/>
            <color rgb="FF000000"/>
            <rFont val="Calibri"/>
            <family val="34"/>
          </rPr>
          <t xml:space="preserve">
</t>
        </r>
        <r>
          <rPr>
            <sz val="14"/>
            <color rgb="FF000000"/>
            <rFont val="Times New Roman"/>
            <family val="18"/>
          </rPr>
          <t>ML 8805 GK Styer. (1812-15) – ST Sept (Graz 23/10/1814)</t>
        </r>
      </text>
    </comment>
    <comment ref="BH246" authorId="0" shapeId="0" xr:uid="{00FC198F-98AA-E147-A58D-7AFF808F4FE3}">
      <text>
        <r>
          <rPr>
            <sz val="14"/>
            <color rgb="FF000000"/>
            <rFont val="Calibri"/>
            <family val="34"/>
          </rPr>
          <t xml:space="preserve">IR 43 (1799-1809)
</t>
        </r>
        <r>
          <rPr>
            <sz val="14"/>
            <color rgb="FF000000"/>
            <rFont val="Calibri"/>
            <family val="34"/>
          </rPr>
          <t xml:space="preserve">9. Staabs Inf Comp (1809)
</t>
        </r>
        <r>
          <rPr>
            <sz val="14"/>
            <color rgb="FF000000"/>
            <rFont val="Calibri"/>
            <family val="34"/>
          </rPr>
          <t xml:space="preserve">IR 27 (1810-1811)
</t>
        </r>
        <r>
          <rPr>
            <sz val="14"/>
            <color rgb="FF000000"/>
            <rFont val="Calibri"/>
            <family val="34"/>
          </rPr>
          <t>GK Styermark (1811-1814)</t>
        </r>
      </text>
    </comment>
    <comment ref="BF247" authorId="0" shapeId="0" xr:uid="{1E242EA2-45C8-7448-A57F-A056B023BFE4}">
      <text>
        <r>
          <rPr>
            <sz val="14"/>
            <color rgb="FF000000"/>
            <rFont val="Times New Roman"/>
            <family val="18"/>
          </rPr>
          <t xml:space="preserve">03/07/1799 </t>
        </r>
        <r>
          <rPr>
            <i/>
            <sz val="14"/>
            <color rgb="FF000000"/>
            <rFont val="Times New Roman"/>
            <family val="18"/>
          </rPr>
          <t>Zu Chelm in West Galizien assentiert a 3Fl Handgeld ab oedem bis 24. Sept in auswärtiger Verpflegung auf Anmarsch ist Eingerückt</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25/09/1799 </t>
        </r>
        <r>
          <rPr>
            <i/>
            <sz val="14"/>
            <color rgb="FF000000"/>
            <rFont val="Times New Roman"/>
            <family val="18"/>
          </rPr>
          <t>Ist in die Reserve Division eingerückt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Lieb Comp. und ab eodem dato mit auswärtiger Verpflegung in Anmarsch</t>
        </r>
        <r>
          <rPr>
            <sz val="14"/>
            <color rgb="FF000000"/>
            <rFont val="Times New Roman"/>
            <family val="18"/>
          </rPr>
          <t xml:space="preserve"> [ST October 1799]</t>
        </r>
        <r>
          <rPr>
            <sz val="14"/>
            <color rgb="FF000000"/>
            <rFont val="Calibri"/>
            <family val="34"/>
          </rPr>
          <t xml:space="preserve">
</t>
        </r>
        <r>
          <rPr>
            <sz val="14"/>
            <color rgb="FF000000"/>
            <rFont val="Times New Roman"/>
            <family val="18"/>
          </rPr>
          <t xml:space="preserve">13/03/1801 </t>
        </r>
        <r>
          <rPr>
            <i/>
            <sz val="14"/>
            <color rgb="FF000000"/>
            <rFont val="Times New Roman"/>
            <family val="18"/>
          </rPr>
          <t>Zu Feldspital in Laibach gestorben</t>
        </r>
        <r>
          <rPr>
            <sz val="14"/>
            <color rgb="FF000000"/>
            <rFont val="Times New Roman"/>
            <family val="18"/>
          </rPr>
          <t xml:space="preserve"> [ML 1802]</t>
        </r>
        <r>
          <rPr>
            <sz val="14"/>
            <color rgb="FF000000"/>
            <rFont val="Calibri"/>
            <family val="34"/>
          </rPr>
          <t xml:space="preserve">
</t>
        </r>
      </text>
    </comment>
    <comment ref="BG247" authorId="0" shapeId="0" xr:uid="{B2DDFDD2-7A38-D047-90EE-0C6A402F6F16}">
      <text>
        <r>
          <rPr>
            <sz val="14"/>
            <color rgb="FF000000"/>
            <rFont val="Times New Roman"/>
            <family val="18"/>
          </rPr>
          <t>ML 10.124 IR 23 (1802) – Haupt Pappius Komp. Abgang (Vienna 16/09/1802)</t>
        </r>
        <r>
          <rPr>
            <sz val="14"/>
            <color rgb="FF000000"/>
            <rFont val="Calibri"/>
            <family val="34"/>
          </rPr>
          <t xml:space="preserve">
</t>
        </r>
        <r>
          <rPr>
            <sz val="14"/>
            <color rgb="FF000000"/>
            <rFont val="Times New Roman"/>
            <family val="18"/>
          </rPr>
          <t>ML 10.164 IR 23 (1799) – Sept (01/04/1801), Oct (06/04/1801)</t>
        </r>
      </text>
    </comment>
    <comment ref="BH247" authorId="0" shapeId="0" xr:uid="{C1148F85-4570-874D-8989-AC0294A881AD}">
      <text>
        <r>
          <rPr>
            <sz val="14"/>
            <color rgb="FF000000"/>
            <rFont val="Calibri"/>
            <family val="34"/>
          </rPr>
          <t>IR 23 (1799-1801)</t>
        </r>
      </text>
    </comment>
    <comment ref="BF248" authorId="0" shapeId="0" xr:uid="{8D734C9E-C740-C041-99BF-C4D2263B9257}">
      <text>
        <r>
          <rPr>
            <sz val="14"/>
            <color rgb="FF000000"/>
            <rFont val="Times New Roman"/>
            <family val="18"/>
          </rPr>
          <t xml:space="preserve">04/07/1799 </t>
        </r>
        <r>
          <rPr>
            <i/>
            <sz val="14"/>
            <color rgb="FF000000"/>
            <rFont val="Times New Roman"/>
            <family val="18"/>
          </rPr>
          <t>Zu Chelm a 3Fl Handgeld auf Beständig assentiert</t>
        </r>
        <r>
          <rPr>
            <sz val="14"/>
            <color rgb="FF000000"/>
            <rFont val="Times New Roman"/>
            <family val="18"/>
          </rPr>
          <t xml:space="preserve"> [TL Dez 1801]</t>
        </r>
        <r>
          <rPr>
            <sz val="14"/>
            <color rgb="FF000000"/>
            <rFont val="Calibri"/>
            <family val="34"/>
          </rPr>
          <t xml:space="preserve">
</t>
        </r>
        <r>
          <rPr>
            <sz val="14"/>
            <color rgb="FF000000"/>
            <rFont val="Times New Roman"/>
            <family val="18"/>
          </rPr>
          <t xml:space="preserve">30/11/1801 </t>
        </r>
        <r>
          <rPr>
            <i/>
            <sz val="14"/>
            <color rgb="FF000000"/>
            <rFont val="Times New Roman"/>
            <family val="18"/>
          </rPr>
          <t>Von</t>
        </r>
        <r>
          <rPr>
            <sz val="14"/>
            <color rgb="FF000000"/>
            <rFont val="Times New Roman"/>
            <family val="18"/>
          </rPr>
          <t xml:space="preserve"> </t>
        </r>
        <r>
          <rPr>
            <b/>
            <sz val="14"/>
            <color rgb="FF000000"/>
            <rFont val="Times New Roman"/>
            <family val="18"/>
          </rPr>
          <t>IR 13</t>
        </r>
        <r>
          <rPr>
            <sz val="14"/>
            <color rgb="FF000000"/>
            <rFont val="Times New Roman"/>
            <family val="18"/>
          </rPr>
          <t xml:space="preserve"> </t>
        </r>
        <r>
          <rPr>
            <i/>
            <sz val="14"/>
            <color rgb="FF000000"/>
            <rFont val="Times New Roman"/>
            <family val="18"/>
          </rPr>
          <t>Haupt Ghiss Komp. zum</t>
        </r>
        <r>
          <rPr>
            <sz val="14"/>
            <color rgb="FF000000"/>
            <rFont val="Times New Roman"/>
            <family val="18"/>
          </rPr>
          <t xml:space="preserve"> </t>
        </r>
        <r>
          <rPr>
            <b/>
            <sz val="14"/>
            <color rgb="FF000000"/>
            <rFont val="Times New Roman"/>
            <family val="18"/>
          </rPr>
          <t>InvH Pettau</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[TL Dez 1801]</t>
        </r>
        <r>
          <rPr>
            <sz val="14"/>
            <color rgb="FF000000"/>
            <rFont val="Calibri"/>
            <family val="34"/>
          </rPr>
          <t xml:space="preserve">
</t>
        </r>
      </text>
    </comment>
    <comment ref="BG248" authorId="0" shapeId="0" xr:uid="{2882567D-0AF1-3A46-B2E7-14E95F353924}">
      <text>
        <r>
          <rPr>
            <sz val="14"/>
            <color rgb="FF000000"/>
            <rFont val="Times New Roman"/>
            <family val="18"/>
          </rPr>
          <t>ML 10.082 IR 13 (1801) – TL IR 13-&gt;InvH Pettau Nr. 3 (Görz 02/12/1801)</t>
        </r>
        <r>
          <rPr>
            <sz val="14"/>
            <color rgb="FF000000"/>
            <rFont val="Calibri"/>
            <family val="34"/>
          </rPr>
          <t xml:space="preserve">
</t>
        </r>
        <r>
          <rPr>
            <sz val="14"/>
            <color rgb="FF000000"/>
            <rFont val="Times New Roman"/>
            <family val="18"/>
          </rPr>
          <t>ML 10.045/6 IR 13 (1802): ML Haupt Ghiss Komp. Abgang (Capo D’Istria 18/09/1802)</t>
        </r>
      </text>
    </comment>
    <comment ref="BH248" authorId="0" shapeId="0" xr:uid="{6CEB76AE-E385-6845-BDAE-7B7CA2368B2B}">
      <text>
        <r>
          <rPr>
            <sz val="14"/>
            <color rgb="FF000000"/>
            <rFont val="Times New Roman"/>
            <family val="18"/>
          </rPr>
          <t xml:space="preserve">IR 13 (1799-1801)
</t>
        </r>
        <r>
          <rPr>
            <sz val="14"/>
            <color rgb="FF000000"/>
            <rFont val="Times New Roman"/>
            <family val="18"/>
          </rPr>
          <t>InvH Pettau (1801)</t>
        </r>
      </text>
    </comment>
    <comment ref="BJ248" authorId="0" shapeId="0" xr:uid="{AB4EAB33-752A-6941-8F10-59B7692C9A35}">
      <text>
        <r>
          <rPr>
            <i/>
            <sz val="14"/>
            <color rgb="FF000000"/>
            <rFont val="Times New Roman"/>
            <family val="18"/>
          </rPr>
          <t>Gänzlich Körper schwache auf beide Knie gelenke und dem Unvermögen zu Marschen</t>
        </r>
        <r>
          <rPr>
            <sz val="14"/>
            <color rgb="FF000000"/>
            <rFont val="Times New Roman"/>
            <family val="18"/>
          </rPr>
          <t xml:space="preserve"> [TL Dez 1801]</t>
        </r>
        <r>
          <rPr>
            <sz val="14"/>
            <color rgb="FF000000"/>
            <rFont val="Calibri"/>
            <family val="2"/>
          </rPr>
          <t xml:space="preserve"> </t>
        </r>
      </text>
    </comment>
    <comment ref="BF249" authorId="0" shapeId="0" xr:uid="{8047FAE0-10FF-B045-85F5-2127CDA21B10}">
      <text>
        <r>
          <rPr>
            <sz val="14"/>
            <color rgb="FFFF0000"/>
            <rFont val="Times New Roman"/>
            <family val="18"/>
          </rPr>
          <t xml:space="preserve">01/05/1799 </t>
        </r>
        <r>
          <rPr>
            <i/>
            <sz val="14"/>
            <color rgb="FFFF0000"/>
            <rFont val="Times New Roman"/>
            <family val="18"/>
          </rPr>
          <t xml:space="preserve">Von Ständen a 3Fl Handgeld gestellt </t>
        </r>
        <r>
          <rPr>
            <sz val="14"/>
            <color rgb="FFFF0000"/>
            <rFont val="Times New Roman"/>
            <family val="18"/>
          </rPr>
          <t>[TL 1800]</t>
        </r>
        <r>
          <rPr>
            <sz val="14"/>
            <color rgb="FF000000"/>
            <rFont val="Times New Roman"/>
            <family val="18"/>
          </rPr>
          <t xml:space="preserve">
</t>
        </r>
        <r>
          <rPr>
            <sz val="14"/>
            <color rgb="FF000000"/>
            <rFont val="Times New Roman"/>
            <family val="18"/>
          </rPr>
          <t xml:space="preserve">05/07/1799 </t>
        </r>
        <r>
          <rPr>
            <i/>
            <sz val="14"/>
            <color rgb="FF000000"/>
            <rFont val="Times New Roman"/>
            <family val="18"/>
          </rPr>
          <t>Von Standen a 3Fl Handgeld gestellt und zum IR 43 assentiert, seitdem auf Anhero Marsch mit Friedensgebühr</t>
        </r>
        <r>
          <rPr>
            <sz val="14"/>
            <color rgb="FF000000"/>
            <rFont val="Times New Roman"/>
            <family val="18"/>
          </rPr>
          <t xml:space="preserve"> [TL 1800 &amp; ML 1802]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
</t>
        </r>
        <r>
          <rPr>
            <sz val="14"/>
            <color rgb="FF000000"/>
            <rFont val="Times New Roman"/>
            <family val="18"/>
          </rPr>
          <t xml:space="preserve">18/12/1799 </t>
        </r>
        <r>
          <rPr>
            <i/>
            <sz val="14"/>
            <color rgb="FF000000"/>
            <rFont val="Times New Roman"/>
            <family val="18"/>
          </rPr>
          <t>Ferner Krank auswärts mit Kriegsgebühr</t>
        </r>
        <r>
          <rPr>
            <sz val="14"/>
            <color rgb="FF000000"/>
            <rFont val="Times New Roman"/>
            <family val="18"/>
          </rPr>
          <t xml:space="preserve"> [ST Dec 1799]
</t>
        </r>
        <r>
          <rPr>
            <sz val="14"/>
            <color rgb="FF000000"/>
            <rFont val="Times New Roman"/>
            <family val="18"/>
          </rPr>
          <t xml:space="preserve">10/01/1800 </t>
        </r>
        <r>
          <rPr>
            <i/>
            <sz val="14"/>
            <color rgb="FF000000"/>
            <rFont val="Times New Roman"/>
            <family val="18"/>
          </rPr>
          <t xml:space="preserve">Reconvalesciert </t>
        </r>
        <r>
          <rPr>
            <sz val="14"/>
            <color rgb="FF000000"/>
            <rFont val="Times New Roman"/>
            <family val="18"/>
          </rPr>
          <t xml:space="preserve">[ST Jan 1800]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
</t>
        </r>
        <r>
          <rPr>
            <sz val="14"/>
            <color rgb="FF000000"/>
            <rFont val="Times New Roman"/>
            <family val="18"/>
          </rPr>
          <t xml:space="preserve">28/08/1802 Musterung: Haupt Frinstlos Comp. Nr. 65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02/11/1803 Musterung: IR 43 Haupt Frintlos Comp. Nr. 63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153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23/10/1805 15. Fus Comp Nr. 125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10. Fus Comp als unwissend verloren in Abgang</t>
        </r>
        <r>
          <rPr>
            <sz val="14"/>
            <color rgb="FF000000"/>
            <rFont val="Times New Roman"/>
            <family val="18"/>
          </rPr>
          <t xml:space="preserve"> [ST Oct 1806 &amp; ML 1806]
</t>
        </r>
      </text>
    </comment>
    <comment ref="BG249" authorId="0" shapeId="0" xr:uid="{A7FCC832-5DED-0749-8E57-81BED2F92D98}">
      <text>
        <r>
          <rPr>
            <sz val="14"/>
            <color rgb="FF000000"/>
            <rFont val="Times New Roman"/>
            <family val="18"/>
          </rPr>
          <t xml:space="preserve">ML 10.272 IR 43 (1802) – Heft von Haupt Frintos Hazza Comp. Nr. 65 (Cattaro 28/08/1802)
</t>
        </r>
        <r>
          <rPr>
            <sz val="14"/>
            <color rgb="FF000000"/>
            <rFont val="Times New Roman"/>
            <family val="18"/>
          </rPr>
          <t xml:space="preserve">ML 10.273 IR 43 (1803) – Heft von Haupt Frintos Hazza Comp. Nr. 63 (Cattaro 02/11/1803)
</t>
        </r>
        <r>
          <rPr>
            <sz val="14"/>
            <color rgb="FF000000"/>
            <rFont val="Times New Roman"/>
            <family val="18"/>
          </rPr>
          <t xml:space="preserve">ML 10.274 IR 43 (1804) – Heft von Haupt Frintos Hazza Comp. Nr. 153 (Theodo 05/10/1804)
</t>
        </r>
        <r>
          <rPr>
            <sz val="14"/>
            <color rgb="FF000000"/>
            <rFont val="Times New Roman"/>
            <family val="18"/>
          </rPr>
          <t xml:space="preserve">ML 10.275/6 IR 43 (1805) – Heft von 15. Fus Comp. Nr. 125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10.307 IR 43 (1799) – ST Nov (12/10/1800) und Dec (01/11/1800)
</t>
        </r>
        <r>
          <rPr>
            <sz val="14"/>
            <color rgb="FF000000"/>
            <rFont val="Times New Roman"/>
            <family val="18"/>
          </rPr>
          <t xml:space="preserve">ML 10.310 IR 43 (1800) AL/TL – TL IR 43 Res. Div. -&gt; Feld Bat. Nr. 20 (Laibach 05/02/1800)
</t>
        </r>
        <r>
          <rPr>
            <sz val="14"/>
            <color rgb="FF000000"/>
            <rFont val="Times New Roman"/>
            <family val="18"/>
          </rPr>
          <t xml:space="preserve">ML 10.309 IR 43 (1800) – ST Jan (26/02/1801), Feb (06/04/1801) und April (24/01/1803)
</t>
        </r>
        <r>
          <rPr>
            <sz val="14"/>
            <color rgb="FF000000"/>
            <rFont val="Times New Roman"/>
            <family val="18"/>
          </rPr>
          <t xml:space="preserve">ML 10.313 IR 43 (1803) – ST Jan (15/02/1803) und März (15/04/1803) 
</t>
        </r>
        <r>
          <rPr>
            <sz val="14"/>
            <color rgb="FF000000"/>
            <rFont val="Times New Roman"/>
            <family val="18"/>
          </rPr>
          <t xml:space="preserve">ML 10.317 IR 43 (1806) – ST Oktober (27/11/1806) 
</t>
        </r>
      </text>
    </comment>
    <comment ref="BH249" authorId="0" shapeId="0" xr:uid="{58E803E0-94A7-8840-9EE3-D2DCC0267D18}">
      <text>
        <r>
          <rPr>
            <sz val="14"/>
            <color rgb="FF000000"/>
            <rFont val="Calibri"/>
            <family val="34"/>
          </rPr>
          <t>IR 43 (1799-1806)</t>
        </r>
      </text>
    </comment>
    <comment ref="B250" authorId="0" shapeId="0" xr:uid="{2B560750-FF33-804B-943A-10AEBFF7EDDA}">
      <text>
        <r>
          <rPr>
            <sz val="14"/>
            <color rgb="FF000000"/>
            <rFont val="Calibri"/>
            <family val="34"/>
          </rPr>
          <t xml:space="preserve">Salom BERLL/ 
</t>
        </r>
        <r>
          <rPr>
            <sz val="14"/>
            <color rgb="FF000000"/>
            <rFont val="Calibri"/>
            <family val="34"/>
          </rPr>
          <t xml:space="preserve">Solomon BERL
</t>
        </r>
        <r>
          <rPr>
            <sz val="14"/>
            <color rgb="FF000000"/>
            <rFont val="Calibri"/>
            <family val="34"/>
          </rPr>
          <t xml:space="preserve">Salim PERC 
</t>
        </r>
        <r>
          <rPr>
            <sz val="14"/>
            <color rgb="FF000000"/>
            <rFont val="Calibri"/>
            <family val="34"/>
          </rPr>
          <t xml:space="preserve">Pell IZKOWIZ
</t>
        </r>
        <r>
          <rPr>
            <sz val="14"/>
            <color rgb="FF000000"/>
            <rFont val="Calibri"/>
            <family val="34"/>
          </rPr>
          <t xml:space="preserve">Salomon PERTH </t>
        </r>
      </text>
    </comment>
    <comment ref="T250" authorId="0" shapeId="0" xr:uid="{2EF4AB46-DB28-5C4F-B961-F360D90FE5A6}">
      <text>
        <r>
          <rPr>
            <sz val="14"/>
            <color rgb="FF000000"/>
            <rFont val="Calibri"/>
            <family val="34"/>
          </rPr>
          <t xml:space="preserve">168.96 (1802-6)
</t>
        </r>
        <r>
          <rPr>
            <sz val="14"/>
            <color rgb="FF000000"/>
            <rFont val="Calibri"/>
            <family val="34"/>
          </rPr>
          <t>166.55 (1800)</t>
        </r>
      </text>
    </comment>
    <comment ref="BF250" authorId="0" shapeId="0" xr:uid="{C8F384C0-34A1-EB40-9F6D-D40DF8CC9EAC}">
      <text>
        <r>
          <rPr>
            <sz val="14"/>
            <color rgb="FFFF0000"/>
            <rFont val="+mn-lt"/>
            <charset val="1"/>
          </rPr>
          <t xml:space="preserve">01/07/1799 Von Ständen gestellt [TL 1800]
</t>
        </r>
        <r>
          <rPr>
            <sz val="14"/>
            <color rgb="FF000000"/>
            <rFont val="+mn-lt"/>
            <charset val="1"/>
          </rPr>
          <t xml:space="preserve">05/07/1799 Von Ständen gestellt [ML 1802]
</t>
        </r>
        <r>
          <rPr>
            <sz val="14"/>
            <color rgb="FF000000"/>
            <rFont val="+mn-lt"/>
            <charset val="1"/>
          </rPr>
          <t xml:space="preserve">05/11/1799 Krank auswärts mit Friedensgebühr [ST Nov 1799]
</t>
        </r>
        <r>
          <rPr>
            <sz val="14"/>
            <color rgb="FF000000"/>
            <rFont val="+mn-lt"/>
            <charset val="1"/>
          </rPr>
          <t xml:space="preserve">20/11/1799 Reconvalesciert [ST Nov 1799]
</t>
        </r>
        <r>
          <rPr>
            <sz val="14"/>
            <color rgb="FF000000"/>
            <rFont val="+mn-lt"/>
            <charset val="1"/>
          </rPr>
          <t xml:space="preserve">05/02/1800 Auf Marsch zum Regiment [TL 1800]
</t>
        </r>
        <r>
          <rPr>
            <sz val="14"/>
            <color rgb="FF000000"/>
            <rFont val="+mn-lt"/>
            <charset val="1"/>
          </rPr>
          <t xml:space="preserve">06/04/1800 Von Reserve Division ins Haupt Dostal Companie transferiert [ST April 1800]
</t>
        </r>
        <r>
          <rPr>
            <sz val="14"/>
            <color rgb="FF000000"/>
            <rFont val="+mn-lt"/>
            <charset val="1"/>
          </rPr>
          <t xml:space="preserve">16/04/1800 In die Haupt Dostal Companie eingerückt [ST April 1800]
</t>
        </r>
        <r>
          <rPr>
            <sz val="14"/>
            <color rgb="FF000000"/>
            <rFont val="+mn-lt"/>
            <charset val="1"/>
          </rPr>
          <t xml:space="preserve">28/08/1802 Musterung: IR 43 Haupt Frinstlos Comp. Nr. 64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Haupt IR 43 Frintlos Comp. Nr. 62 [Mit Urlaub bus zur Einberufung in seinem Geburtsort]
</t>
        </r>
        <r>
          <rPr>
            <sz val="14"/>
            <color rgb="FF000000"/>
            <rFont val="+mn-lt"/>
            <charset val="1"/>
          </rPr>
          <t xml:space="preserve">05/10/1804 Musterung: IR 43 Haupt Frintlos Comp Nr. 59 [Beurlaubt bis zur Einberufung in seinem Geburtsort]
</t>
        </r>
        <r>
          <rPr>
            <sz val="14"/>
            <color rgb="FF000000"/>
            <rFont val="+mn-lt"/>
            <charset val="1"/>
          </rPr>
          <t xml:space="preserve">09/06/1805 von unbestimmte Urlaub Zurück und seitdem auf Anhero Marsch [ST Sept 1805]
</t>
        </r>
        <r>
          <rPr>
            <sz val="14"/>
            <color rgb="FF000000"/>
            <rFont val="+mn-lt"/>
            <charset val="1"/>
          </rPr>
          <t xml:space="preserve">26/08/1805 Eingerückt und zu Laibach Depot mit Tägl. ½ Teuerung und 1Xr Fleischbeitrag Commandiert [ST Sept 1805]
</t>
        </r>
        <r>
          <rPr>
            <sz val="14"/>
            <color rgb="FF000000"/>
            <rFont val="+mn-lt"/>
            <charset val="1"/>
          </rPr>
          <t xml:space="preserve">23/10/1805 Musterung: IR 43 15. Fus Comp Nr. 55 [Beim Depot zu Laibach Passiert]
</t>
        </r>
        <r>
          <rPr>
            <sz val="14"/>
            <color rgb="FF000000"/>
            <rFont val="+mn-lt"/>
            <charset val="1"/>
          </rPr>
          <t xml:space="preserve">05/12/1806 Musterung: IR 43 10. Fus Comp Nr. 44
</t>
        </r>
        <r>
          <rPr>
            <sz val="14"/>
            <color rgb="FF000000"/>
            <rFont val="+mn-lt"/>
            <charset val="1"/>
          </rPr>
          <t xml:space="preserve">10/04/1808 in Spital zu Laibach Gestorben [ST April 1808 &amp; ML 1808]
</t>
        </r>
      </text>
    </comment>
    <comment ref="BG250" authorId="0" shapeId="0" xr:uid="{E17A7AD3-5487-044B-83DC-5BBA1D8B8262}">
      <text>
        <r>
          <rPr>
            <sz val="14"/>
            <color rgb="FF000000"/>
            <rFont val="Calibri"/>
            <family val="34"/>
          </rPr>
          <t xml:space="preserve">ML 10.272 IR 43 (1802) – Haupt Frintlos Nr. 64 (Cattaro 28/08/1802)
</t>
        </r>
        <r>
          <rPr>
            <sz val="14"/>
            <color rgb="FF000000"/>
            <rFont val="Calibri"/>
            <family val="34"/>
          </rPr>
          <t xml:space="preserve">ML 10.273 IR 43 (1803) – Haupt Frintlos Nr. 62 (Cattaro 02/11/1803)
</t>
        </r>
        <r>
          <rPr>
            <sz val="14"/>
            <color rgb="FF000000"/>
            <rFont val="Calibri"/>
            <family val="34"/>
          </rPr>
          <t xml:space="preserve">ML 10.274 IR 43 (1804) – Haupt Frintlos Nr. 59 (Theodo 05/10/1804)
</t>
        </r>
        <r>
          <rPr>
            <sz val="14"/>
            <color rgb="FF000000"/>
            <rFont val="Calibri"/>
            <family val="34"/>
          </rPr>
          <t xml:space="preserve">ML 10.275/6 IR 43 (1805) – 15. Fus Comp Nr. 55 (Spalato 23/10/1805)
</t>
        </r>
        <r>
          <rPr>
            <sz val="14"/>
            <color rgb="FF000000"/>
            <rFont val="Calibri"/>
            <family val="34"/>
          </rPr>
          <t xml:space="preserve">ML 10.277/8 IR 43 (1806) – 10. Fus Comp Nr. 44 (Neustadt, 05/12/1806)
</t>
        </r>
        <r>
          <rPr>
            <sz val="14"/>
            <color rgb="FF000000"/>
            <rFont val="Calibri"/>
            <family val="34"/>
          </rPr>
          <t xml:space="preserve">ML 10.279 IR 43 (1808-10) – RL 10. Fus Comp – Abgang (Laibach 06/09/1808)
</t>
        </r>
        <r>
          <rPr>
            <sz val="14"/>
            <color rgb="FF000000"/>
            <rFont val="Calibri"/>
            <family val="34"/>
          </rPr>
          <t xml:space="preserve">ML 10.307 IR 43 (1799) – ST November (12/10/1800)
</t>
        </r>
        <r>
          <rPr>
            <sz val="14"/>
            <color rgb="FF000000"/>
            <rFont val="Calibri"/>
            <family val="34"/>
          </rPr>
          <t xml:space="preserve">ML 10.309 IR 43 (1800) – ST April (24/01/1801)
</t>
        </r>
        <r>
          <rPr>
            <sz val="14"/>
            <color rgb="FF000000"/>
            <rFont val="Calibri"/>
            <family val="34"/>
          </rPr>
          <t xml:space="preserve">ML 10.310 IR 43 (1800) – AL/TL IR 43 Res Div -&gt; Feld Nr. 127 (Laibach 06/02/1802)
</t>
        </r>
        <r>
          <rPr>
            <sz val="14"/>
            <color rgb="FF000000"/>
            <rFont val="Calibri"/>
            <family val="34"/>
          </rPr>
          <t xml:space="preserve">ML 10.313 IR 43 (1803) – ST Jänner (15/02/1803)
</t>
        </r>
        <r>
          <rPr>
            <sz val="14"/>
            <color rgb="FF000000"/>
            <rFont val="Calibri"/>
            <family val="34"/>
          </rPr>
          <t xml:space="preserve">ML 10.315 IR 43 (1805) – ST September (15/11/1805)
</t>
        </r>
        <r>
          <rPr>
            <sz val="14"/>
            <color rgb="FF000000"/>
            <rFont val="Calibri"/>
            <family val="34"/>
          </rPr>
          <t xml:space="preserve">ML 10.321 IR 43 (1808) – ST April (14/05/1808)
</t>
        </r>
      </text>
    </comment>
    <comment ref="BH250" authorId="0" shapeId="0" xr:uid="{F8E66CF3-34CB-0A41-A2B0-EFA5BA9F22DF}">
      <text>
        <r>
          <rPr>
            <sz val="14"/>
            <color rgb="FF000000"/>
            <rFont val="Calibri"/>
            <family val="34"/>
          </rPr>
          <t>IR 43 (1799-1808)</t>
        </r>
      </text>
    </comment>
    <comment ref="I251" authorId="0" shapeId="0" xr:uid="{2106B1F6-452A-8041-9306-27CA3624F0CB}">
      <text>
        <r>
          <rPr>
            <sz val="14"/>
            <color rgb="FF000000"/>
            <rFont val="Calibri"/>
            <family val="34"/>
          </rPr>
          <t xml:space="preserve">1764 [38 (1802)] 
</t>
        </r>
        <r>
          <rPr>
            <sz val="14"/>
            <color rgb="FF000000"/>
            <rFont val="Calibri"/>
            <family val="34"/>
          </rPr>
          <t xml:space="preserve">OR 
</t>
        </r>
        <r>
          <rPr>
            <sz val="14"/>
            <color rgb="FF000000"/>
            <rFont val="Calibri"/>
            <family val="34"/>
          </rPr>
          <t>1770 [30 (1800)]</t>
        </r>
      </text>
    </comment>
    <comment ref="BF251" authorId="0" shapeId="0" xr:uid="{9320EA31-25EB-E745-9C98-04392A441D65}">
      <text>
        <r>
          <rPr>
            <sz val="14"/>
            <color rgb="FFFF0000"/>
            <rFont val="Times New Roman"/>
            <family val="18"/>
          </rPr>
          <t xml:space="preserve">01/07/1799 </t>
        </r>
        <r>
          <rPr>
            <i/>
            <sz val="14"/>
            <color rgb="FFFF0000"/>
            <rFont val="Times New Roman"/>
            <family val="18"/>
          </rPr>
          <t>von Ständen a 3Fl Handgeld gestellt</t>
        </r>
        <r>
          <rPr>
            <sz val="14"/>
            <color rgb="FFFF0000"/>
            <rFont val="Times New Roman"/>
            <family val="18"/>
          </rPr>
          <t xml:space="preserve"> [TL 1800]</t>
        </r>
        <r>
          <rPr>
            <sz val="14"/>
            <color rgb="FF000000"/>
            <rFont val="Times New Roman"/>
            <family val="18"/>
          </rPr>
          <t xml:space="preserve">
</t>
        </r>
        <r>
          <rPr>
            <sz val="14"/>
            <color rgb="FF000000"/>
            <rFont val="Times New Roman"/>
            <family val="18"/>
          </rPr>
          <t xml:space="preserve">05/07/1799 </t>
        </r>
        <r>
          <rPr>
            <i/>
            <sz val="14"/>
            <color rgb="FF000000"/>
            <rFont val="Times New Roman"/>
            <family val="18"/>
          </rPr>
          <t>von Ständen a 3Fl Handgeld gestellt</t>
        </r>
        <r>
          <rPr>
            <sz val="14"/>
            <color rgb="FF000000"/>
            <rFont val="Times New Roman"/>
            <family val="18"/>
          </rPr>
          <t xml:space="preserve"> [ML 1802]
</t>
        </r>
        <r>
          <rPr>
            <sz val="14"/>
            <color rgb="FF000000"/>
            <rFont val="Times New Roman"/>
            <family val="18"/>
          </rPr>
          <t xml:space="preserve">??/10/1799 In die Reserve Division eingerückt [ST Oct 1799]
</t>
        </r>
        <r>
          <rPr>
            <sz val="14"/>
            <color rgb="FF000000"/>
            <rFont val="Times New Roman"/>
            <family val="18"/>
          </rPr>
          <t xml:space="preserve">23/11/1799 </t>
        </r>
        <r>
          <rPr>
            <i/>
            <sz val="14"/>
            <color rgb="FF000000"/>
            <rFont val="Times New Roman"/>
            <family val="18"/>
          </rPr>
          <t>Krank auswärts mit Friedensgebühr</t>
        </r>
        <r>
          <rPr>
            <sz val="14"/>
            <color rgb="FF000000"/>
            <rFont val="Times New Roman"/>
            <family val="18"/>
          </rPr>
          <t xml:space="preserve"> [ST Nov 1799]
</t>
        </r>
        <r>
          <rPr>
            <sz val="14"/>
            <color rgb="FF000000"/>
            <rFont val="Times New Roman"/>
            <family val="18"/>
          </rPr>
          <t xml:space="preserve">15/12/1799 </t>
        </r>
        <r>
          <rPr>
            <i/>
            <sz val="14"/>
            <color rgb="FF000000"/>
            <rFont val="Times New Roman"/>
            <family val="18"/>
          </rPr>
          <t xml:space="preserve">Reconvalesciert </t>
        </r>
        <r>
          <rPr>
            <sz val="14"/>
            <color rgb="FF000000"/>
            <rFont val="Times New Roman"/>
            <family val="18"/>
          </rPr>
          <t xml:space="preserve">[St Dec 1799]
</t>
        </r>
        <r>
          <rPr>
            <sz val="14"/>
            <color rgb="FF000000"/>
            <rFont val="Times New Roman"/>
            <family val="18"/>
          </rPr>
          <t xml:space="preserve">06/02/1800 </t>
        </r>
        <r>
          <rPr>
            <i/>
            <sz val="14"/>
            <color rgb="FF000000"/>
            <rFont val="Times New Roman"/>
            <family val="18"/>
          </rPr>
          <t>Als angehöriger von Reserve Division Ferners Aufmarsch zum Regiment</t>
        </r>
        <r>
          <rPr>
            <sz val="14"/>
            <color rgb="FF000000"/>
            <rFont val="Times New Roman"/>
            <family val="18"/>
          </rPr>
          <t xml:space="preserve"> [ST Feb 1800]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
</t>
        </r>
        <r>
          <rPr>
            <sz val="14"/>
            <color rgb="FF000000"/>
            <rFont val="Times New Roman"/>
            <family val="18"/>
          </rPr>
          <t xml:space="preserve">28/08/1802 Musterung: IR 43 Haupt Frinstlos Comp. Nr. 67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At Muster 02/11/1803 Musterung: IR 43 Haupt Frintlos Comp. Nr. 65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61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
</t>
        </r>
        <r>
          <rPr>
            <sz val="14"/>
            <color rgb="FF000000"/>
            <rFont val="Times New Roman"/>
            <family val="18"/>
          </rPr>
          <t xml:space="preserve">23/10/1805 Musterung: IR 43 15. Fus Comp Nr. 56
</t>
        </r>
        <r>
          <rPr>
            <sz val="14"/>
            <color rgb="FF000000"/>
            <rFont val="Times New Roman"/>
            <family val="18"/>
          </rPr>
          <t xml:space="preserve">30/09/1806 </t>
        </r>
        <r>
          <rPr>
            <i/>
            <sz val="14"/>
            <color rgb="FF000000"/>
            <rFont val="Times New Roman"/>
            <family val="18"/>
          </rPr>
          <t>Auf Anhero Marsch von Staszow</t>
        </r>
        <r>
          <rPr>
            <sz val="14"/>
            <color rgb="FF000000"/>
            <rFont val="Times New Roman"/>
            <family val="18"/>
          </rPr>
          <t xml:space="preserve"> [ST Sept 1806]
</t>
        </r>
        <r>
          <rPr>
            <sz val="14"/>
            <color rgb="FF000000"/>
            <rFont val="Times New Roman"/>
            <family val="18"/>
          </rPr>
          <t xml:space="preserve">31/10/1806 </t>
        </r>
        <r>
          <rPr>
            <i/>
            <sz val="14"/>
            <color rgb="FF000000"/>
            <rFont val="Times New Roman"/>
            <family val="18"/>
          </rPr>
          <t xml:space="preserve">Als auf Urlaub verbliebene von 10. Fus Comp als unwissend verloren in Abgang </t>
        </r>
        <r>
          <rPr>
            <sz val="14"/>
            <color rgb="FF000000"/>
            <rFont val="Times New Roman"/>
            <family val="18"/>
          </rPr>
          <t xml:space="preserve">[ST Oct 1806 &amp; ML 1806]
</t>
        </r>
      </text>
    </comment>
    <comment ref="BG251" authorId="0" shapeId="0" xr:uid="{5C06A32E-413B-8C4C-8C4F-D02692DAE9E6}">
      <text>
        <r>
          <rPr>
            <sz val="14"/>
            <color rgb="FF000000"/>
            <rFont val="Times New Roman"/>
            <family val="18"/>
          </rPr>
          <t xml:space="preserve">ML 10.272 IR 43 (1802) – Heft von Haupt Frintos Hazza Comp. Nr. 67 (Cattaro 28/08/1802)
</t>
        </r>
        <r>
          <rPr>
            <sz val="14"/>
            <color rgb="FF000000"/>
            <rFont val="Times New Roman"/>
            <family val="18"/>
          </rPr>
          <t xml:space="preserve">ML 10.273 IR 43 (1803) – Heft von Haupt Frintos Hazza Comp. Nr. 65 (Cattaro 02/11/1803)
</t>
        </r>
        <r>
          <rPr>
            <sz val="14"/>
            <color rgb="FF000000"/>
            <rFont val="Times New Roman"/>
            <family val="18"/>
          </rPr>
          <t xml:space="preserve">ML 10.274 IR 43 (1804) – Heft von Haupt Frintos Hazza Comp. Nr. 61 (Theodo 05/10/1804)
</t>
        </r>
        <r>
          <rPr>
            <sz val="14"/>
            <color rgb="FF000000"/>
            <rFont val="Times New Roman"/>
            <family val="18"/>
          </rPr>
          <t xml:space="preserve">ML 10.275/6 IR 43 (1805) – Heft von 15. Fus Comp. Nr. 56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10.307 IR 43 (1799) – ST Nov (12/10/1800) und Dec (01/11/1800)
</t>
        </r>
        <r>
          <rPr>
            <sz val="14"/>
            <color rgb="FF000000"/>
            <rFont val="Times New Roman"/>
            <family val="18"/>
          </rPr>
          <t xml:space="preserve">ML 10.309 IR 43 (1800) – ST Feb (06/04/1801) und April (24/01/1803)
</t>
        </r>
        <r>
          <rPr>
            <sz val="14"/>
            <color rgb="FF000000"/>
            <rFont val="Times New Roman"/>
            <family val="18"/>
          </rPr>
          <t xml:space="preserve">ML 10.310 IR 43 (1800) AL/TL – TL IR 43 Res. Div. -&gt; Feld Bat. Nr. 69 (Laibach 05/02/1800)
</t>
        </r>
        <r>
          <rPr>
            <sz val="14"/>
            <color rgb="FF000000"/>
            <rFont val="Times New Roman"/>
            <family val="18"/>
          </rPr>
          <t xml:space="preserve">ML 10.313 IR 43 (1803) – ST Jan (15/02/1803) und März (15/04/1803) 
</t>
        </r>
        <r>
          <rPr>
            <sz val="14"/>
            <color rgb="FF000000"/>
            <rFont val="Times New Roman"/>
            <family val="18"/>
          </rPr>
          <t xml:space="preserve">ML 10.315 IR 43 (1805) – ST Sept (15/11/1805)
</t>
        </r>
        <r>
          <rPr>
            <sz val="14"/>
            <color rgb="FF000000"/>
            <rFont val="Times New Roman"/>
            <family val="18"/>
          </rPr>
          <t xml:space="preserve">ML 10.317 IR 43 (1806) – ST Oktober (27/11/1806) 
</t>
        </r>
      </text>
    </comment>
    <comment ref="BH251" authorId="0" shapeId="0" xr:uid="{7627B229-0B99-B741-9286-252C1FE8D51E}">
      <text>
        <r>
          <rPr>
            <sz val="14"/>
            <color rgb="FF000000"/>
            <rFont val="Calibri"/>
            <family val="34"/>
          </rPr>
          <t>IR 43 (1799-1806)</t>
        </r>
      </text>
    </comment>
    <comment ref="BF252" authorId="0" shapeId="0" xr:uid="{990CB2B0-549E-E945-8BFA-A373578CFDDA}">
      <text>
        <r>
          <rPr>
            <sz val="14"/>
            <color rgb="FF000000"/>
            <rFont val="Times New Roman"/>
            <family val="18"/>
          </rPr>
          <t xml:space="preserve">05/07/1799 </t>
        </r>
        <r>
          <rPr>
            <i/>
            <sz val="14"/>
            <color rgb="FF000000"/>
            <rFont val="Times New Roman"/>
            <family val="18"/>
          </rPr>
          <t xml:space="preserve">Zu Keilce in West Galizien a 3Fl Handgeld assentiert ad ind bis dem dato auf </t>
        </r>
        <r>
          <rPr>
            <sz val="14"/>
            <color rgb="FF000000"/>
            <rFont val="Calibri"/>
            <family val="34"/>
          </rPr>
          <t xml:space="preserve">
</t>
        </r>
        <r>
          <rPr>
            <i/>
            <sz val="14"/>
            <color rgb="FF000000"/>
            <rFont val="Times New Roman"/>
            <family val="18"/>
          </rPr>
          <t>Anmarsch, vide absente</t>
        </r>
        <r>
          <rPr>
            <sz val="14"/>
            <color rgb="FF000000"/>
            <rFont val="Times New Roman"/>
            <family val="18"/>
          </rPr>
          <t xml:space="preserve"> [ST Aug 1799]</t>
        </r>
        <r>
          <rPr>
            <sz val="14"/>
            <color rgb="FF000000"/>
            <rFont val="Calibri"/>
            <family val="34"/>
          </rPr>
          <t xml:space="preserve">
</t>
        </r>
        <r>
          <rPr>
            <sz val="14"/>
            <color rgb="FF000000"/>
            <rFont val="Times New Roman"/>
            <family val="18"/>
          </rPr>
          <t xml:space="preserve">10/09/1799 </t>
        </r>
        <r>
          <rPr>
            <i/>
            <sz val="14"/>
            <color rgb="FF000000"/>
            <rFont val="Times New Roman"/>
            <family val="18"/>
          </rPr>
          <t>Ankunft in Division</t>
        </r>
        <r>
          <rPr>
            <sz val="14"/>
            <color rgb="FF000000"/>
            <rFont val="Times New Roman"/>
            <family val="18"/>
          </rPr>
          <t xml:space="preserve"> [</t>
        </r>
        <r>
          <rPr>
            <i/>
            <sz val="14"/>
            <color rgb="FF000000"/>
            <rFont val="Times New Roman"/>
            <family val="18"/>
          </rPr>
          <t>von vorhin bis 10. Sept. ist eingerückt und seit 11. mit Geld und brot und seit 9. Sept mit Service in loco</t>
        </r>
        <r>
          <rPr>
            <sz val="14"/>
            <color rgb="FF000000"/>
            <rFont val="Times New Roman"/>
            <family val="18"/>
          </rPr>
          <t>]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Comp. und ab eodem dato mit auswärtiger Verpflegung</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05/05/1801 </t>
        </r>
        <r>
          <rPr>
            <i/>
            <sz val="14"/>
            <color rgb="FF000000"/>
            <rFont val="Times New Roman"/>
            <family val="18"/>
          </rPr>
          <t>Gegen Renuncierung als Real Invalid mit Abschied entlassen</t>
        </r>
        <r>
          <rPr>
            <sz val="14"/>
            <color rgb="FF000000"/>
            <rFont val="Times New Roman"/>
            <family val="18"/>
          </rPr>
          <t xml:space="preserve"> [ML 1802]</t>
        </r>
        <r>
          <rPr>
            <sz val="14"/>
            <color rgb="FF000000"/>
            <rFont val="Calibri"/>
            <family val="2"/>
            <scheme val="minor"/>
          </rPr>
          <t xml:space="preserve"> </t>
        </r>
      </text>
    </comment>
    <comment ref="BG252" authorId="0" shapeId="0" xr:uid="{05B82915-EFE4-F94A-AF31-67DFC39A8B04}">
      <text>
        <r>
          <rPr>
            <sz val="14"/>
            <color rgb="FF000000"/>
            <rFont val="Times New Roman"/>
            <family val="18"/>
          </rPr>
          <t>ML 10.124 IR 23 (1802) – Reserve Division Abgang (Krems 09/09/1802)</t>
        </r>
        <r>
          <rPr>
            <sz val="14"/>
            <color rgb="FF000000"/>
            <rFont val="Calibri"/>
            <family val="34"/>
          </rPr>
          <t xml:space="preserve">
</t>
        </r>
        <r>
          <rPr>
            <sz val="14"/>
            <color rgb="FF000000"/>
            <rFont val="Times New Roman"/>
            <family val="18"/>
          </rPr>
          <t>ML 10.125 IR 23 (1799) – ST Aug (22/10/1800), Sept (01/04/1801), Oct (06/04/1801)</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H252" authorId="0" shapeId="0" xr:uid="{89964C40-FD7E-2244-AAF5-7DE971D20241}">
      <text>
        <r>
          <rPr>
            <sz val="14"/>
            <color rgb="FF000000"/>
            <rFont val="Calibri"/>
            <family val="34"/>
          </rPr>
          <t>IR 23 (1799-1801)</t>
        </r>
      </text>
    </comment>
    <comment ref="I253" authorId="0" shapeId="0" xr:uid="{267DF065-10A3-9341-8A46-700668D37832}">
      <text>
        <r>
          <rPr>
            <sz val="14"/>
            <color rgb="FF000000"/>
            <rFont val="Calibri"/>
            <family val="34"/>
          </rPr>
          <t xml:space="preserve">1745 [54 (1799)] 
</t>
        </r>
        <r>
          <rPr>
            <sz val="14"/>
            <color rgb="FF000000"/>
            <rFont val="Calibri"/>
            <family val="34"/>
          </rPr>
          <t xml:space="preserve">OR 
</t>
        </r>
        <r>
          <rPr>
            <sz val="14"/>
            <color rgb="FF000000"/>
            <rFont val="Calibri"/>
            <family val="34"/>
          </rPr>
          <t>1769 [30 (1799)]</t>
        </r>
      </text>
    </comment>
    <comment ref="BF253" authorId="0" shapeId="0" xr:uid="{AA334E91-9A9D-D742-A6BD-4EB4C43B494B}">
      <text>
        <r>
          <rPr>
            <sz val="14"/>
            <color rgb="FF000000"/>
            <rFont val="Times New Roman"/>
            <family val="18"/>
          </rPr>
          <t xml:space="preserve">06/07/1799 </t>
        </r>
        <r>
          <rPr>
            <i/>
            <sz val="14"/>
            <color rgb="FF000000"/>
            <rFont val="Times New Roman"/>
            <family val="18"/>
          </rPr>
          <t>Zu Jozefov a 3Fl Handgeld gestellt</t>
        </r>
        <r>
          <rPr>
            <sz val="14"/>
            <color rgb="FF000000"/>
            <rFont val="Times New Roman"/>
            <family val="18"/>
          </rPr>
          <t xml:space="preserve"> [TL Sept 1799]</t>
        </r>
        <r>
          <rPr>
            <sz val="14"/>
            <color rgb="FF000000"/>
            <rFont val="Calibri"/>
            <family val="34"/>
          </rPr>
          <t xml:space="preserve">
</t>
        </r>
        <r>
          <rPr>
            <sz val="14"/>
            <color rgb="FF000000"/>
            <rFont val="Times New Roman"/>
            <family val="18"/>
          </rPr>
          <t xml:space="preserve">07/08/1799 </t>
        </r>
        <r>
          <rPr>
            <i/>
            <sz val="14"/>
            <color rgb="FF000000"/>
            <rFont val="Times New Roman"/>
            <family val="18"/>
          </rPr>
          <t>Superarbietriert</t>
        </r>
        <r>
          <rPr>
            <sz val="14"/>
            <color rgb="FF000000"/>
            <rFont val="Calibri"/>
            <family val="34"/>
          </rPr>
          <t xml:space="preserve">
</t>
        </r>
        <r>
          <rPr>
            <sz val="14"/>
            <color rgb="FF000000"/>
            <rFont val="Times New Roman"/>
            <family val="18"/>
          </rPr>
          <t xml:space="preserve">10/08/1799 </t>
        </r>
        <r>
          <rPr>
            <i/>
            <sz val="14"/>
            <color rgb="FF000000"/>
            <rFont val="Times New Roman"/>
            <family val="18"/>
          </rPr>
          <t>Zu MFWK trasnferiert</t>
        </r>
        <r>
          <rPr>
            <sz val="14"/>
            <color rgb="FF000000"/>
            <rFont val="Times New Roman"/>
            <family val="18"/>
          </rPr>
          <t xml:space="preserve"> [TL Sept 1799]</t>
        </r>
        <r>
          <rPr>
            <sz val="14"/>
            <color rgb="FF000000"/>
            <rFont val="Calibri"/>
            <family val="34"/>
          </rPr>
          <t xml:space="preserve">
</t>
        </r>
      </text>
    </comment>
    <comment ref="BG253" authorId="0" shapeId="0" xr:uid="{5F2D5950-D46C-1642-B614-E4826BE46BFE}">
      <text>
        <r>
          <rPr>
            <sz val="14"/>
            <color rgb="FF000000"/>
            <rFont val="Times New Roman"/>
            <family val="18"/>
          </rPr>
          <t>ML 10.308 IR 43 (1799) – SUP Nr. 2 (Krakow 07/08/1799), TL IR 43-&gt; MFWK Nr. 3 (Laibach 01/09/1799)</t>
        </r>
      </text>
    </comment>
    <comment ref="BH253" authorId="0" shapeId="0" xr:uid="{4A7721A6-E6CD-6647-B12D-E1D95629A247}">
      <text>
        <r>
          <rPr>
            <sz val="14"/>
            <color rgb="FF000000"/>
            <rFont val="Calibri"/>
            <family val="34"/>
          </rPr>
          <t xml:space="preserve">IR 43 (1799)
</t>
        </r>
        <r>
          <rPr>
            <sz val="14"/>
            <color rgb="FF000000"/>
            <rFont val="Calibri"/>
            <family val="34"/>
          </rPr>
          <t>MFWK (1799)</t>
        </r>
      </text>
    </comment>
    <comment ref="BJ253" authorId="0" shapeId="0" xr:uid="{C41A7910-D2BC-5243-A9A1-6A6B00FD11A4}">
      <text>
        <r>
          <rPr>
            <i/>
            <sz val="14"/>
            <color rgb="FF000000"/>
            <rFont val="Times New Roman"/>
            <family val="18"/>
          </rPr>
          <t xml:space="preserve">Der Zeugefinger der Linken ganz estropiert </t>
        </r>
        <r>
          <rPr>
            <sz val="14"/>
            <color rgb="FF000000"/>
            <rFont val="Times New Roman"/>
            <family val="18"/>
          </rPr>
          <t>[SUP Aug 1799]</t>
        </r>
      </text>
    </comment>
    <comment ref="K254" authorId="0" shapeId="0" xr:uid="{47521F0E-2C14-0A42-8A77-E5C4B3BCD56C}">
      <text>
        <r>
          <rPr>
            <sz val="14"/>
            <color rgb="FF000000"/>
            <rFont val="Calibri"/>
            <family val="34"/>
          </rPr>
          <t xml:space="preserve">Ohne (1802)
</t>
        </r>
        <r>
          <rPr>
            <sz val="14"/>
            <color rgb="FF000000"/>
            <rFont val="Calibri"/>
            <family val="34"/>
          </rPr>
          <t>Schneider  (1818-1820)</t>
        </r>
      </text>
    </comment>
    <comment ref="BF254" authorId="0" shapeId="0" xr:uid="{891434C6-2135-864B-9BB8-F976DFA67985}">
      <text>
        <r>
          <rPr>
            <sz val="14"/>
            <color rgb="FF000000"/>
            <rFont val="Times New Roman"/>
            <family val="18"/>
          </rPr>
          <t xml:space="preserve">07/07/1799 </t>
        </r>
        <r>
          <rPr>
            <i/>
            <sz val="14"/>
            <color rgb="FF000000"/>
            <rFont val="Times New Roman"/>
            <family val="18"/>
          </rPr>
          <t>Zu Kielce von galizischen Ständen gestellt und a 3Fl für Beständig zum IR 23 Reserve Division assentiert; seitdem auf anhero Marsch</t>
        </r>
        <r>
          <rPr>
            <sz val="14"/>
            <color rgb="FF000000"/>
            <rFont val="Times New Roman"/>
            <family val="18"/>
          </rPr>
          <t xml:space="preserve"> [ML 1802 &amp; ST Aug 1799]</t>
        </r>
        <r>
          <rPr>
            <sz val="14"/>
            <color rgb="FF000000"/>
            <rFont val="Calibri"/>
            <family val="34"/>
          </rPr>
          <t xml:space="preserve">
</t>
        </r>
        <r>
          <rPr>
            <sz val="14"/>
            <color rgb="FF000000"/>
            <rFont val="Times New Roman"/>
            <family val="18"/>
          </rPr>
          <t xml:space="preserve">10/09/1799 </t>
        </r>
        <r>
          <rPr>
            <i/>
            <sz val="14"/>
            <color rgb="FF000000"/>
            <rFont val="Times New Roman"/>
            <family val="18"/>
          </rPr>
          <t>In die Reserve Division eingerückt</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Haupt Barbarawa Komp. und ab eodem dato mit auswärtiger Verpflegung in Marsch von der Reserve Division</t>
        </r>
        <r>
          <rPr>
            <sz val="14"/>
            <color rgb="FF000000"/>
            <rFont val="Times New Roman"/>
            <family val="18"/>
          </rPr>
          <t xml:space="preserve"> [ST October 1799]</t>
        </r>
        <r>
          <rPr>
            <sz val="14"/>
            <color rgb="FF000000"/>
            <rFont val="Calibri"/>
            <family val="34"/>
          </rPr>
          <t xml:space="preserve">
</t>
        </r>
        <r>
          <rPr>
            <sz val="14"/>
            <color rgb="FF000000"/>
            <rFont val="Times New Roman"/>
            <family val="18"/>
          </rPr>
          <t>09/09/1802 Muster: IR 23 Haupt Hochegg Komp. Nr. 84</t>
        </r>
        <r>
          <rPr>
            <sz val="14"/>
            <color rgb="FF000000"/>
            <rFont val="Calibri"/>
            <family val="34"/>
          </rPr>
          <t xml:space="preserve">
</t>
        </r>
        <r>
          <rPr>
            <sz val="14"/>
            <color rgb="FF000000"/>
            <rFont val="Times New Roman"/>
            <family val="18"/>
          </rPr>
          <t xml:space="preserve">19/04/1808 </t>
        </r>
        <r>
          <rPr>
            <i/>
            <sz val="14"/>
            <color rgb="FF000000"/>
            <rFont val="Times New Roman"/>
            <family val="18"/>
          </rPr>
          <t>Gegen 20Fl Auf fernere 10 Jahren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Würzburg Inf Regiment Nr. 23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10. Fus. Komp. Nr. 29 [</t>
        </r>
        <r>
          <rPr>
            <i/>
            <sz val="14"/>
            <color rgb="FF000000"/>
            <rFont val="Times New Roman"/>
            <family val="18"/>
          </rPr>
          <t>Wache</t>
        </r>
        <r>
          <rPr>
            <sz val="14"/>
            <color rgb="FF000000"/>
            <rFont val="Times New Roman"/>
            <family val="18"/>
          </rPr>
          <t>]</t>
        </r>
        <r>
          <rPr>
            <sz val="14"/>
            <color rgb="FF000000"/>
            <rFont val="Calibri"/>
            <family val="34"/>
          </rPr>
          <t xml:space="preserve">
</t>
        </r>
        <r>
          <rPr>
            <sz val="14"/>
            <color rgb="FF000000"/>
            <rFont val="Times New Roman"/>
            <family val="18"/>
          </rPr>
          <t>24/10/1818 Muster: IR 44 10. Fus. Komp. Nr. 30</t>
        </r>
        <r>
          <rPr>
            <sz val="14"/>
            <color rgb="FF000000"/>
            <rFont val="Calibri"/>
            <family val="34"/>
          </rPr>
          <t xml:space="preserve">
</t>
        </r>
        <r>
          <rPr>
            <sz val="14"/>
            <color rgb="FF000000"/>
            <rFont val="Times New Roman"/>
            <family val="18"/>
          </rPr>
          <t xml:space="preserve">02/11/1818 </t>
        </r>
        <r>
          <rPr>
            <i/>
            <sz val="14"/>
            <color rgb="FF000000"/>
            <rFont val="Times New Roman"/>
            <family val="18"/>
          </rPr>
          <t>Gegen 28Fl auf ferner 6 Jahr reengagiert</t>
        </r>
        <r>
          <rPr>
            <sz val="14"/>
            <color rgb="FF000000"/>
            <rFont val="Times New Roman"/>
            <family val="18"/>
          </rPr>
          <t xml:space="preserve"> [ML 1819]</t>
        </r>
        <r>
          <rPr>
            <sz val="14"/>
            <color rgb="FF000000"/>
            <rFont val="Calibri"/>
            <family val="34"/>
          </rPr>
          <t xml:space="preserve">
</t>
        </r>
        <r>
          <rPr>
            <sz val="14"/>
            <color rgb="FF000000"/>
            <rFont val="Times New Roman"/>
            <family val="18"/>
          </rPr>
          <t>18/10/1819 Muster: IR 44 10. Fus. Komp. Nr. 25</t>
        </r>
        <r>
          <rPr>
            <sz val="14"/>
            <color rgb="FF000000"/>
            <rFont val="Calibri"/>
            <family val="34"/>
          </rPr>
          <t xml:space="preserve">
</t>
        </r>
        <r>
          <rPr>
            <sz val="14"/>
            <color rgb="FF000000"/>
            <rFont val="Times New Roman"/>
            <family val="18"/>
          </rPr>
          <t>25/09/1820 Muster: IR 44 10. Fus. Komp. Nr. 24</t>
        </r>
        <r>
          <rPr>
            <sz val="14"/>
            <color rgb="FF000000"/>
            <rFont val="Calibri"/>
            <family val="34"/>
          </rPr>
          <t xml:space="preserve">
</t>
        </r>
      </text>
    </comment>
    <comment ref="BG254" authorId="0" shapeId="0" xr:uid="{E80FF2D5-0BEB-DD42-A0BB-862C87A2DDD2}">
      <text>
        <r>
          <rPr>
            <sz val="14"/>
            <color rgb="FF000000"/>
            <rFont val="Times New Roman"/>
            <family val="18"/>
          </rPr>
          <t>ML 10.124 IR 23 (1802) – Haupt Hochegg Komp Nr. 84 (Krems 09/09/1802)</t>
        </r>
        <r>
          <rPr>
            <sz val="14"/>
            <color rgb="FF000000"/>
            <rFont val="Calibri"/>
            <family val="34"/>
          </rPr>
          <t xml:space="preserve">
</t>
        </r>
        <r>
          <rPr>
            <sz val="14"/>
            <color rgb="FF000000"/>
            <rFont val="Times New Roman"/>
            <family val="18"/>
          </rPr>
          <t>ML 10.165 IR 23 (1799) – ST Aug (30/10/1800), Sept (05/04/1801), Oct (10/04/1801)</t>
        </r>
        <r>
          <rPr>
            <sz val="14"/>
            <color rgb="FF000000"/>
            <rFont val="Calibri"/>
            <family val="34"/>
          </rPr>
          <t xml:space="preserve">
</t>
        </r>
        <r>
          <rPr>
            <sz val="14"/>
            <color rgb="FF000000"/>
            <rFont val="Times New Roman"/>
            <family val="18"/>
          </rPr>
          <t>ML 3915/6 IR 44 (1818) – 10. Fus. Komp. Nr. 29 (Pavia 05/01/1818); 10. Fus. Komp. Nr. 30 (Pavia 24/10/1818)</t>
        </r>
        <r>
          <rPr>
            <sz val="14"/>
            <color rgb="FF000000"/>
            <rFont val="Calibri"/>
            <family val="34"/>
          </rPr>
          <t xml:space="preserve">
</t>
        </r>
        <r>
          <rPr>
            <sz val="14"/>
            <color rgb="FF000000"/>
            <rFont val="Times New Roman"/>
            <family val="18"/>
          </rPr>
          <t>ML 3918/9 IR 44 (1819) – 10. Fus. Komp. Nr. 25 (Pavia 18/10/1819)</t>
        </r>
        <r>
          <rPr>
            <sz val="14"/>
            <color rgb="FF000000"/>
            <rFont val="Calibri"/>
            <family val="34"/>
          </rPr>
          <t xml:space="preserve">
</t>
        </r>
        <r>
          <rPr>
            <sz val="14"/>
            <color rgb="FF000000"/>
            <rFont val="Times New Roman"/>
            <family val="18"/>
          </rPr>
          <t>ML 3920 IR 44 (1820) – 10. Fus. Komp. Nr. 24 (Milan 25/09/1820)</t>
        </r>
        <r>
          <rPr>
            <sz val="14"/>
            <color rgb="FF000000"/>
            <rFont val="Calibri"/>
            <family val="34"/>
          </rPr>
          <t xml:space="preserve">
</t>
        </r>
      </text>
    </comment>
    <comment ref="BH254" authorId="0" shapeId="0" xr:uid="{3D54E6FD-85D2-994F-9855-15E317F942F4}">
      <text>
        <r>
          <rPr>
            <sz val="14"/>
            <color rgb="FF000000"/>
            <rFont val="Calibri"/>
            <family val="34"/>
          </rPr>
          <t xml:space="preserve">IR 23 (1799-1810)
</t>
        </r>
        <r>
          <rPr>
            <sz val="14"/>
            <color rgb="FF000000"/>
            <rFont val="Calibri"/>
            <family val="34"/>
          </rPr>
          <t>IR 44 (1810-1820)</t>
        </r>
      </text>
    </comment>
    <comment ref="BF255" authorId="0" shapeId="0" xr:uid="{06F5A628-E8AE-4E41-857D-33C12E0EDE77}">
      <text>
        <r>
          <rPr>
            <sz val="14"/>
            <color rgb="FF000000"/>
            <rFont val="Times New Roman"/>
            <family val="18"/>
          </rPr>
          <t xml:space="preserve">08/07/1799 </t>
        </r>
        <r>
          <rPr>
            <i/>
            <sz val="14"/>
            <color rgb="FF000000"/>
            <rFont val="Times New Roman"/>
            <family val="18"/>
          </rPr>
          <t>Von Ständen gestellt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05/11/1799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 xml:space="preserve">Rekonvalesziert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01/06/1801 </t>
        </r>
        <r>
          <rPr>
            <i/>
            <sz val="14"/>
            <color rgb="FF000000"/>
            <rFont val="Times New Roman"/>
            <family val="18"/>
          </rPr>
          <t xml:space="preserve">Von Reserve Division zum Obrist Comp transferiert </t>
        </r>
        <r>
          <rPr>
            <sz val="14"/>
            <color rgb="FF000000"/>
            <rFont val="Times New Roman"/>
            <family val="18"/>
          </rPr>
          <t>[ST Juni 1801]</t>
        </r>
        <r>
          <rPr>
            <sz val="14"/>
            <color rgb="FF000000"/>
            <rFont val="Calibri"/>
            <family val="34"/>
          </rPr>
          <t xml:space="preserve">
</t>
        </r>
        <r>
          <rPr>
            <sz val="14"/>
            <color rgb="FF000000"/>
            <rFont val="Times New Roman"/>
            <family val="18"/>
          </rPr>
          <t xml:space="preserve">21/01/1802 </t>
        </r>
        <r>
          <rPr>
            <i/>
            <sz val="14"/>
            <color rgb="FF000000"/>
            <rFont val="Times New Roman"/>
            <family val="18"/>
          </rPr>
          <t>Beurlaubt auf bestimmte Zeit</t>
        </r>
        <r>
          <rPr>
            <sz val="14"/>
            <color rgb="FF000000"/>
            <rFont val="Times New Roman"/>
            <family val="18"/>
          </rPr>
          <t xml:space="preserve"> [ST Jan 1802]</t>
        </r>
        <r>
          <rPr>
            <sz val="14"/>
            <color rgb="FF000000"/>
            <rFont val="Calibri"/>
            <family val="34"/>
          </rPr>
          <t xml:space="preserve">
</t>
        </r>
        <r>
          <rPr>
            <sz val="14"/>
            <color rgb="FF000000"/>
            <rFont val="Times New Roman"/>
            <family val="18"/>
          </rPr>
          <t xml:space="preserve">20/02/1802 </t>
        </r>
        <r>
          <rPr>
            <i/>
            <sz val="14"/>
            <color rgb="FF000000"/>
            <rFont val="Times New Roman"/>
            <family val="18"/>
          </rPr>
          <t>Vermög ein Schreibens des Pester Militär Transport Commnado in Auswärtiger Verpflegung gestanden wurde dahero von Seite das Regiments unrecht von 21. Janner a:c: als Beurlaubt geführt, sondern halber ist erst seit 21 Febr. 1802 Wirklich Beurlaubt</t>
        </r>
        <r>
          <rPr>
            <sz val="14"/>
            <color rgb="FF000000"/>
            <rFont val="Times New Roman"/>
            <family val="18"/>
          </rPr>
          <t xml:space="preserve"> [ST March 1802]</t>
        </r>
        <r>
          <rPr>
            <sz val="14"/>
            <color rgb="FF000000"/>
            <rFont val="Calibri"/>
            <family val="34"/>
          </rPr>
          <t xml:space="preserve">
</t>
        </r>
        <r>
          <rPr>
            <sz val="14"/>
            <color rgb="FF000000"/>
            <rFont val="Times New Roman"/>
            <family val="18"/>
          </rPr>
          <t xml:space="preserve">21/02/1802 </t>
        </r>
        <r>
          <rPr>
            <i/>
            <sz val="14"/>
            <color rgb="FF000000"/>
            <rFont val="Times New Roman"/>
            <family val="18"/>
          </rPr>
          <t>Wirklich Beurlaubt</t>
        </r>
        <r>
          <rPr>
            <sz val="14"/>
            <color rgb="FF000000"/>
            <rFont val="Times New Roman"/>
            <family val="18"/>
          </rPr>
          <t xml:space="preserve"> [ST March 1802]</t>
        </r>
        <r>
          <rPr>
            <sz val="14"/>
            <color rgb="FF000000"/>
            <rFont val="Calibri"/>
            <family val="34"/>
          </rPr>
          <t xml:space="preserve">
</t>
        </r>
        <r>
          <rPr>
            <sz val="14"/>
            <color rgb="FF000000"/>
            <rFont val="Times New Roman"/>
            <family val="18"/>
          </rPr>
          <t xml:space="preserve">30/04/1802 </t>
        </r>
        <r>
          <rPr>
            <i/>
            <sz val="14"/>
            <color rgb="FF000000"/>
            <rFont val="Times New Roman"/>
            <family val="18"/>
          </rPr>
          <t>Beurlaubt aus Bestimmte Zeit</t>
        </r>
        <r>
          <rPr>
            <sz val="14"/>
            <color rgb="FF000000"/>
            <rFont val="Times New Roman"/>
            <family val="18"/>
          </rPr>
          <t xml:space="preserve"> [ST April1802]</t>
        </r>
        <r>
          <rPr>
            <sz val="14"/>
            <color rgb="FF000000"/>
            <rFont val="Calibri"/>
            <family val="34"/>
          </rPr>
          <t xml:space="preserve">
</t>
        </r>
        <r>
          <rPr>
            <sz val="14"/>
            <color rgb="FF000000"/>
            <rFont val="Times New Roman"/>
            <family val="18"/>
          </rPr>
          <t>11/09/1802 Musterung: IR 43 Obrist Komp. Nr. 106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unbestimmten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28/09/1803 Muster: IR 43 Obrist Comp. Nr. 88 [</t>
        </r>
        <r>
          <rPr>
            <i/>
            <sz val="14"/>
            <color rgb="FF000000"/>
            <rFont val="Times New Roman"/>
            <family val="18"/>
          </rPr>
          <t>Bis zur Einberufung beurlaubt in Oppal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20/07/1804 </t>
        </r>
        <r>
          <rPr>
            <i/>
            <sz val="14"/>
            <color rgb="FF000000"/>
            <rFont val="Times New Roman"/>
            <family val="18"/>
          </rPr>
          <t>Gegen Stellung 2er Capitulanten Ausländer als Anton Sadovsky undet 13. Mai und Ferdinand Dant imter 11 Juni zu Neugebauer Inf. assentierte Recrouten und Erlag des doppelten Montur Geldes von unbestimmtem Urlaub mit Abschied entlassen</t>
        </r>
        <r>
          <rPr>
            <sz val="14"/>
            <color rgb="FF000000"/>
            <rFont val="Times New Roman"/>
            <family val="18"/>
          </rPr>
          <t xml:space="preserve"> [ST Juli 1804 &amp; ML 1804]</t>
        </r>
        <r>
          <rPr>
            <sz val="14"/>
            <color rgb="FF000000"/>
            <rFont val="Calibri"/>
            <family val="34"/>
          </rPr>
          <t xml:space="preserve">
</t>
        </r>
      </text>
    </comment>
    <comment ref="BG255" authorId="0" shapeId="0" xr:uid="{4822CFCC-2AAD-2642-B8BE-842ABA4BBAAD}">
      <text>
        <r>
          <rPr>
            <sz val="14"/>
            <color rgb="FF000000"/>
            <rFont val="Times New Roman"/>
            <family val="18"/>
          </rPr>
          <t>ML 10.272 IR 43 (1802) –Obrist Comp. Nr. 106 (Zara 11/09/1802)</t>
        </r>
        <r>
          <rPr>
            <sz val="14"/>
            <color rgb="FF000000"/>
            <rFont val="Calibri"/>
            <family val="34"/>
          </rPr>
          <t xml:space="preserve">
</t>
        </r>
        <r>
          <rPr>
            <sz val="14"/>
            <color rgb="FF000000"/>
            <rFont val="Times New Roman"/>
            <family val="18"/>
          </rPr>
          <t>ML 10.273 IR 43 (1803) –Obrist Comp. Nr. 88 (Zara 28/09/1803)</t>
        </r>
        <r>
          <rPr>
            <sz val="14"/>
            <color rgb="FF000000"/>
            <rFont val="Calibri"/>
            <family val="34"/>
          </rPr>
          <t xml:space="preserve">
</t>
        </r>
        <r>
          <rPr>
            <sz val="14"/>
            <color rgb="FF000000"/>
            <rFont val="Times New Roman"/>
            <family val="18"/>
          </rPr>
          <t>ML 10.274 IR 43 (1804) –Obrist Comp. Abgang (Cattaro 07/10/1804)</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ST Juni (20/06/1805)</t>
        </r>
        <r>
          <rPr>
            <sz val="14"/>
            <color rgb="FF000000"/>
            <rFont val="Calibri"/>
            <family val="34"/>
          </rPr>
          <t xml:space="preserve">
</t>
        </r>
        <r>
          <rPr>
            <sz val="14"/>
            <color rgb="FF000000"/>
            <rFont val="Times New Roman"/>
            <family val="18"/>
          </rPr>
          <t>ML 10.312 IR 43 (1802) – ST Jan (14/02/1802), März (15/04/1802), April (15/11/1802), Nov (15/12/1802)</t>
        </r>
        <r>
          <rPr>
            <sz val="14"/>
            <color rgb="FF000000"/>
            <rFont val="Calibri"/>
            <family val="34"/>
          </rPr>
          <t xml:space="preserve">
</t>
        </r>
        <r>
          <rPr>
            <sz val="14"/>
            <color rgb="FF000000"/>
            <rFont val="Times New Roman"/>
            <family val="18"/>
          </rPr>
          <t>ML 10.314 IR 43 (1804) – ST Juli (15/08/1804)</t>
        </r>
        <r>
          <rPr>
            <sz val="14"/>
            <color rgb="FF000000"/>
            <rFont val="Calibri"/>
            <family val="34"/>
          </rPr>
          <t xml:space="preserve">
</t>
        </r>
      </text>
    </comment>
    <comment ref="BH255" authorId="0" shapeId="0" xr:uid="{1D9D27CA-89FD-E04E-A5CB-B99BB01E1DF2}">
      <text>
        <r>
          <rPr>
            <sz val="14"/>
            <color rgb="FF000000"/>
            <rFont val="Calibri"/>
            <family val="34"/>
          </rPr>
          <t>IR 43 (1799-1804)</t>
        </r>
      </text>
    </comment>
    <comment ref="I256" authorId="0" shapeId="0" xr:uid="{D5F75D51-C5B5-4544-9879-00B3C8ACB5DF}">
      <text>
        <r>
          <rPr>
            <sz val="14"/>
            <color rgb="FF000000"/>
            <rFont val="Calibri"/>
            <family val="34"/>
          </rPr>
          <t xml:space="preserve">1780 [20 (1800)] 
</t>
        </r>
        <r>
          <rPr>
            <sz val="14"/>
            <color rgb="FF000000"/>
            <rFont val="Calibri"/>
            <family val="34"/>
          </rPr>
          <t xml:space="preserve">OR 
</t>
        </r>
        <r>
          <rPr>
            <sz val="14"/>
            <color rgb="FF000000"/>
            <rFont val="Calibri"/>
            <family val="34"/>
          </rPr>
          <t>1783 [20 (1803)]</t>
        </r>
      </text>
    </comment>
    <comment ref="J256" authorId="0" shapeId="0" xr:uid="{2D0EBA9A-5BC9-124C-87C3-BDE366C56C88}">
      <text>
        <r>
          <rPr>
            <sz val="14"/>
            <color rgb="FF000000"/>
            <rFont val="Calibri"/>
            <family val="34"/>
          </rPr>
          <t xml:space="preserve">Ledig (1799-1806)
</t>
        </r>
        <r>
          <rPr>
            <sz val="14"/>
            <color rgb="FF000000"/>
            <rFont val="Calibri"/>
            <family val="34"/>
          </rPr>
          <t>Verheiratet (1806)</t>
        </r>
      </text>
    </comment>
    <comment ref="T256" authorId="0" shapeId="0" xr:uid="{A8DA5830-A872-7B43-A04E-B7850F429F51}">
      <text>
        <r>
          <rPr>
            <sz val="14"/>
            <color rgb="FF000000"/>
            <rFont val="Calibri"/>
            <family val="34"/>
          </rPr>
          <t xml:space="preserve">5.1.3 (161.29 cm) [TL Feb 1000]
</t>
        </r>
        <r>
          <rPr>
            <sz val="14"/>
            <color rgb="FF000000"/>
            <rFont val="Calibri"/>
            <family val="34"/>
          </rPr>
          <t>5.3 (165.89 cm) [ML 1803]</t>
        </r>
      </text>
    </comment>
    <comment ref="BF256" authorId="0" shapeId="0" xr:uid="{6C741941-6F87-2345-9215-9F29890584E3}">
      <text>
        <r>
          <rPr>
            <sz val="14"/>
            <color rgb="FFFF0000"/>
            <rFont val="Times New Roman"/>
            <family val="18"/>
          </rPr>
          <t xml:space="preserve">01/0??/07/1799 </t>
        </r>
        <r>
          <rPr>
            <i/>
            <sz val="14"/>
            <color rgb="FFFF0000"/>
            <rFont val="Times New Roman"/>
            <family val="18"/>
          </rPr>
          <t>In July 1799 auf Beständig gegen 3Fl assentiert</t>
        </r>
        <r>
          <rPr>
            <sz val="14"/>
            <color rgb="FFFF0000"/>
            <rFont val="Times New Roman"/>
            <family val="18"/>
          </rPr>
          <t xml:space="preserve"> [TL Aug 1802]</t>
        </r>
        <r>
          <rPr>
            <sz val="14"/>
            <color rgb="FF000000"/>
            <rFont val="Calibri"/>
            <family val="34"/>
          </rPr>
          <t xml:space="preserve">
</t>
        </r>
        <r>
          <rPr>
            <sz val="14"/>
            <color rgb="FFFF0000"/>
            <rFont val="Times New Roman"/>
            <family val="18"/>
          </rPr>
          <t>01/07/1799</t>
        </r>
        <r>
          <rPr>
            <i/>
            <sz val="14"/>
            <color rgb="FFFF0000"/>
            <rFont val="Times New Roman"/>
            <family val="18"/>
          </rPr>
          <t xml:space="preserve"> Als ständische Recrout a 3Fl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08/07/1799 </t>
        </r>
        <r>
          <rPr>
            <i/>
            <sz val="14"/>
            <color rgb="FF000000"/>
            <rFont val="Times New Roman"/>
            <family val="18"/>
          </rPr>
          <t>Gegen 3Fl Handgeld auf Beständig assentiert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Geistler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18/05/1800 </t>
        </r>
        <r>
          <rPr>
            <i/>
            <sz val="14"/>
            <color rgb="FF000000"/>
            <rFont val="Times New Roman"/>
            <family val="18"/>
          </rPr>
          <t>Krank auswärts mit Kriegsgebühr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30/06/1800 </t>
        </r>
        <r>
          <rPr>
            <i/>
            <sz val="14"/>
            <color rgb="FF000000"/>
            <rFont val="Times New Roman"/>
            <family val="18"/>
          </rPr>
          <t>Rekonvalesziert</t>
        </r>
        <r>
          <rPr>
            <sz val="14"/>
            <color rgb="FF000000"/>
            <rFont val="Times New Roman"/>
            <family val="18"/>
          </rPr>
          <t xml:space="preserve"> [ST july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[ST Aug 1802 &amp; TL Aug 1802]</t>
        </r>
        <r>
          <rPr>
            <sz val="14"/>
            <color rgb="FF000000"/>
            <rFont val="Calibri"/>
            <family val="34"/>
          </rPr>
          <t xml:space="preserve">
</t>
        </r>
        <r>
          <rPr>
            <sz val="14"/>
            <color rgb="FF000000"/>
            <rFont val="Times New Roman"/>
            <family val="18"/>
          </rPr>
          <t>19/09/1803 Muster: IR 44 Haupt Assandri Nr. 92 [</t>
        </r>
        <r>
          <rPr>
            <i/>
            <sz val="14"/>
            <color rgb="FF000000"/>
            <rFont val="Times New Roman"/>
            <family val="18"/>
          </rPr>
          <t>Auf unbestimmte Zeit beurlaubt zu Josephov in Neu Gallizien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Nr. 87 [</t>
        </r>
        <r>
          <rPr>
            <i/>
            <sz val="14"/>
            <color rgb="FF000000"/>
            <rFont val="Times New Roman"/>
            <family val="18"/>
          </rPr>
          <t>Beurlaubt in Josephow Josephower Kreis in West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57</t>
        </r>
        <r>
          <rPr>
            <sz val="14"/>
            <color rgb="FF000000"/>
            <rFont val="Calibri"/>
            <family val="34"/>
          </rPr>
          <t xml:space="preserve">
</t>
        </r>
        <r>
          <rPr>
            <sz val="14"/>
            <color rgb="FF000000"/>
            <rFont val="Times New Roman"/>
            <family val="18"/>
          </rPr>
          <t>19/09/1808 Muster: IR 44 Haupt Liebler Nr. 42 [</t>
        </r>
        <r>
          <rPr>
            <i/>
            <sz val="14"/>
            <color rgb="FF000000"/>
            <rFont val="Times New Roman"/>
            <family val="18"/>
          </rPr>
          <t>Auf Conscription in Sambor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01/12/1808 </t>
        </r>
        <r>
          <rPr>
            <i/>
            <sz val="14"/>
            <color rgb="FF000000"/>
            <rFont val="Times New Roman"/>
            <family val="18"/>
          </rPr>
          <t xml:space="preserve">Von 4. zum 15.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17. Fus. zum. 18.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01/05/1809 </t>
        </r>
        <r>
          <rPr>
            <i/>
            <sz val="14"/>
            <color rgb="FF000000"/>
            <rFont val="Times New Roman"/>
            <family val="18"/>
          </rPr>
          <t xml:space="preserve">Krank in Aufnahme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Rekonvalesziert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06/07/1809 </t>
        </r>
        <r>
          <rPr>
            <i/>
            <sz val="14"/>
            <color rgb="FF000000"/>
            <rFont val="Times New Roman"/>
            <family val="18"/>
          </rPr>
          <t xml:space="preserve">bey der zu Enzersdorf vorgefallene feindliche AFFAIRE in die französier Kriegsgefangenschaft gefallen </t>
        </r>
        <r>
          <rPr>
            <sz val="14"/>
            <color rgb="FF000000"/>
            <rFont val="Times New Roman"/>
            <family val="18"/>
          </rPr>
          <t>[ST July 1809]</t>
        </r>
        <r>
          <rPr>
            <sz val="14"/>
            <color rgb="FF000000"/>
            <rFont val="Calibri"/>
            <family val="34"/>
          </rPr>
          <t xml:space="preserve">
</t>
        </r>
      </text>
    </comment>
    <comment ref="BG256" authorId="0" shapeId="0" xr:uid="{E9D385E8-B29D-6747-BA27-AB7F1024C592}">
      <text>
        <r>
          <rPr>
            <sz val="14"/>
            <color rgb="FF000000"/>
            <rFont val="Times New Roman"/>
            <family val="18"/>
          </rPr>
          <t>ML 10.309 IR 43 (1800) – ST Feb (06/04/1801), April (24/01/1802), Mai (?), Juli (24/10/1803)</t>
        </r>
        <r>
          <rPr>
            <sz val="14"/>
            <color rgb="FF000000"/>
            <rFont val="Calibri"/>
            <family val="34"/>
          </rPr>
          <t xml:space="preserve">
</t>
        </r>
        <r>
          <rPr>
            <sz val="14"/>
            <color rgb="FF000000"/>
            <rFont val="Times New Roman"/>
            <family val="18"/>
          </rPr>
          <t>ML 10.310 IR 43 (1800) – TL IR 43 Res. Div.-&gt; Feld Bats. Nr. 24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91 (Venice 19/09/1803)</t>
        </r>
        <r>
          <rPr>
            <sz val="14"/>
            <color rgb="FF000000"/>
            <rFont val="Calibri"/>
            <family val="34"/>
          </rPr>
          <t xml:space="preserve">
</t>
        </r>
        <r>
          <rPr>
            <sz val="14"/>
            <color rgb="FF000000"/>
            <rFont val="Times New Roman"/>
            <family val="18"/>
          </rPr>
          <t>ML 3909 IR 44 (1804) – Haupt Assandri Komp. Nr. 87 (Vicenza 12/05/1804)</t>
        </r>
        <r>
          <rPr>
            <sz val="14"/>
            <color rgb="FF000000"/>
            <rFont val="Calibri"/>
            <family val="34"/>
          </rPr>
          <t xml:space="preserve">
</t>
        </r>
        <r>
          <rPr>
            <sz val="14"/>
            <color rgb="FF000000"/>
            <rFont val="Times New Roman"/>
            <family val="18"/>
          </rPr>
          <t>ML 3910 IR 44 (1806) – Haupt. Liebler Nr. 57 (Fiume 10/12/1806)</t>
        </r>
        <r>
          <rPr>
            <sz val="14"/>
            <color rgb="FF000000"/>
            <rFont val="Calibri"/>
            <family val="34"/>
          </rPr>
          <t xml:space="preserve">
</t>
        </r>
        <r>
          <rPr>
            <sz val="14"/>
            <color rgb="FF000000"/>
            <rFont val="Times New Roman"/>
            <family val="18"/>
          </rPr>
          <t>ML 3911 IR 44 (1808-10) – RL Haupt Liebler [4. Fus.] Komp. Nr. 42 (Comorn 19/09/1808)</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3946 IR 44 (1802) – AL IR 43-&gt; IR 43 Nr. 85 (Zara 14/08/1802)</t>
        </r>
        <r>
          <rPr>
            <sz val="14"/>
            <color rgb="FF000000"/>
            <rFont val="Calibri"/>
            <family val="34"/>
          </rPr>
          <t xml:space="preserve">
</t>
        </r>
        <r>
          <rPr>
            <sz val="14"/>
            <color rgb="FF000000"/>
            <rFont val="Times New Roman"/>
            <family val="18"/>
          </rPr>
          <t>ML 3960 IR 44 (1809) –May (Ofen 08/04/1811), Juli (Ofen 08/04/1811)</t>
        </r>
        <r>
          <rPr>
            <sz val="14"/>
            <color rgb="FF000000"/>
            <rFont val="Calibri"/>
            <family val="34"/>
          </rPr>
          <t xml:space="preserve">
</t>
        </r>
      </text>
    </comment>
    <comment ref="BH256" authorId="0" shapeId="0" xr:uid="{31555870-D1A7-A141-9883-DA2F163825BB}">
      <text>
        <r>
          <rPr>
            <sz val="14"/>
            <color rgb="FF000000"/>
            <rFont val="Calibri"/>
            <family val="34"/>
          </rPr>
          <t xml:space="preserve">IR 43 (1799-1802)
</t>
        </r>
        <r>
          <rPr>
            <sz val="14"/>
            <color rgb="FF000000"/>
            <rFont val="Calibri"/>
            <family val="34"/>
          </rPr>
          <t>IR 44 (1802-1809)</t>
        </r>
      </text>
    </comment>
    <comment ref="BI256" authorId="0" shapeId="0" xr:uid="{21E61900-9C58-F942-863C-AB54FD8786C1}">
      <text>
        <r>
          <rPr>
            <sz val="14"/>
            <color rgb="FF000000"/>
            <rFont val="Calibri"/>
            <family val="34"/>
          </rPr>
          <t>Gut [TL Aug 1802]</t>
        </r>
      </text>
    </comment>
    <comment ref="BF257" authorId="0" shapeId="0" xr:uid="{1F264588-41A6-B642-82BC-32FD579F2FEF}">
      <text>
        <r>
          <rPr>
            <sz val="14"/>
            <color rgb="FF000000"/>
            <rFont val="Times New Roman"/>
            <family val="18"/>
          </rPr>
          <t xml:space="preserve">12/07/1799 </t>
        </r>
        <r>
          <rPr>
            <i/>
            <sz val="14"/>
            <color rgb="FF000000"/>
            <rFont val="Times New Roman"/>
            <family val="18"/>
          </rPr>
          <t>A 3Fl Handgeld für Beständig zu Kielce in West Galizien gestellt und zum Ir 23 Reserve Division assentiert, seitdem auf anhero Marsch</t>
        </r>
        <r>
          <rPr>
            <sz val="14"/>
            <color rgb="FF000000"/>
            <rFont val="Times New Roman"/>
            <family val="18"/>
          </rPr>
          <t xml:space="preserve"> [ST Aug 1799 &amp; ML 1802]</t>
        </r>
        <r>
          <rPr>
            <sz val="14"/>
            <color rgb="FF000000"/>
            <rFont val="Calibri"/>
            <family val="34"/>
          </rPr>
          <t xml:space="preserve">
</t>
        </r>
        <r>
          <rPr>
            <sz val="14"/>
            <color rgb="FF000000"/>
            <rFont val="Times New Roman"/>
            <family val="18"/>
          </rPr>
          <t xml:space="preserve">10/09/1799 </t>
        </r>
        <r>
          <rPr>
            <i/>
            <sz val="14"/>
            <color rgb="FF000000"/>
            <rFont val="Times New Roman"/>
            <family val="18"/>
          </rPr>
          <t>Ankunft in der Reserve Division</t>
        </r>
        <r>
          <rPr>
            <sz val="14"/>
            <color rgb="FF000000"/>
            <rFont val="Times New Roman"/>
            <family val="18"/>
          </rPr>
          <t xml:space="preserve"> [</t>
        </r>
        <r>
          <rPr>
            <i/>
            <sz val="14"/>
            <color rgb="FF000000"/>
            <rFont val="Times New Roman"/>
            <family val="18"/>
          </rPr>
          <t>von vorhin bis 10. Sept. ist eingeruckt und seit 11. mit Geld und brot und seit 9. Sept mit Service in loco</t>
        </r>
        <r>
          <rPr>
            <sz val="14"/>
            <color rgb="FF000000"/>
            <rFont val="Times New Roman"/>
            <family val="18"/>
          </rPr>
          <t>] [ST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Haupt Balbus Komp. transferiert und ab eodem dato mit auswärtiger Verpflegung auf 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 xml:space="preserve">14/06/1800 </t>
        </r>
        <r>
          <rPr>
            <i/>
            <sz val="14"/>
            <color rgb="FF000000"/>
            <rFont val="Times New Roman"/>
            <family val="18"/>
          </rPr>
          <t>Gefangen</t>
        </r>
        <r>
          <rPr>
            <sz val="14"/>
            <color rgb="FF000000"/>
            <rFont val="Times New Roman"/>
            <family val="18"/>
          </rPr>
          <t xml:space="preserve"> </t>
        </r>
        <r>
          <rPr>
            <b/>
            <sz val="14"/>
            <color rgb="FF000000"/>
            <rFont val="Times New Roman"/>
            <family val="18"/>
          </rPr>
          <t xml:space="preserve">[Battle of Marengo] </t>
        </r>
        <r>
          <rPr>
            <sz val="14"/>
            <color rgb="FF000000"/>
            <rFont val="Times New Roman"/>
            <family val="18"/>
          </rPr>
          <t>[ML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Gegen Austausch ranzioniert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Wagner Nr. 117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Wagner Nr. 102</t>
        </r>
        <r>
          <rPr>
            <sz val="14"/>
            <color rgb="FF000000"/>
            <rFont val="Calibri"/>
            <family val="34"/>
          </rPr>
          <t xml:space="preserve">
</t>
        </r>
        <r>
          <rPr>
            <sz val="14"/>
            <color rgb="FF000000"/>
            <rFont val="Times New Roman"/>
            <family val="18"/>
          </rPr>
          <t>13/09/1804 Muster: IR 23 Haupt Wagner Nr. 97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[ML 1807]</t>
        </r>
        <r>
          <rPr>
            <sz val="14"/>
            <color rgb="FF000000"/>
            <rFont val="Calibri"/>
            <family val="34"/>
          </rPr>
          <t xml:space="preserve">
</t>
        </r>
      </text>
    </comment>
    <comment ref="BG257" authorId="0" shapeId="0" xr:uid="{7A27E84B-FCB1-4C45-8B2A-A4D761A2E70B}">
      <text>
        <r>
          <rPr>
            <sz val="14"/>
            <color rgb="FF000000"/>
            <rFont val="Times New Roman"/>
            <family val="18"/>
          </rPr>
          <t>ML 10.124 IR 23 (1802) – Haupt Böhm Komp. Nr. 85 (Krems 09/09/1802)</t>
        </r>
        <r>
          <rPr>
            <sz val="14"/>
            <color rgb="FF000000"/>
            <rFont val="Calibri"/>
            <family val="34"/>
          </rPr>
          <t xml:space="preserve">
</t>
        </r>
        <r>
          <rPr>
            <sz val="14"/>
            <color rgb="FF000000"/>
            <rFont val="Times New Roman"/>
            <family val="18"/>
          </rPr>
          <t>ML 10.125 IR 23 (1803) – Haupt Böhm Komp. Nr. 77 (Execierlager bei St Pölten 07/09/1803)</t>
        </r>
        <r>
          <rPr>
            <sz val="14"/>
            <color rgb="FF000000"/>
            <rFont val="Calibri"/>
            <family val="34"/>
          </rPr>
          <t xml:space="preserve">
</t>
        </r>
        <r>
          <rPr>
            <sz val="14"/>
            <color rgb="FF000000"/>
            <rFont val="Times New Roman"/>
            <family val="18"/>
          </rPr>
          <t>ML 10.126 IR 23 (1804) – Haupt Böhm Komp. Nr. 69 (Vienna 13/09/1804)</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r>
          <rPr>
            <sz val="14"/>
            <color rgb="FF000000"/>
            <rFont val="Times New Roman"/>
            <family val="18"/>
          </rPr>
          <t>ML 10.175 IR 23 (1806) – ST June (15/05/1807)</t>
        </r>
        <r>
          <rPr>
            <sz val="14"/>
            <color rgb="FF000000"/>
            <rFont val="Calibri"/>
            <family val="34"/>
          </rPr>
          <t xml:space="preserve">
</t>
        </r>
      </text>
    </comment>
    <comment ref="BH257" authorId="0" shapeId="0" xr:uid="{12850912-8C08-0640-998A-88FD38660D36}">
      <text>
        <r>
          <rPr>
            <sz val="14"/>
            <color rgb="FF000000"/>
            <rFont val="Calibri"/>
            <family val="34"/>
          </rPr>
          <t>IR 23 (1799-1806)</t>
        </r>
      </text>
    </comment>
    <comment ref="B258" authorId="0" shapeId="0" xr:uid="{52C60757-8F31-014D-858A-15477C033944}">
      <text>
        <r>
          <rPr>
            <sz val="14"/>
            <color rgb="FF000000"/>
            <rFont val="Calibri"/>
            <family val="34"/>
          </rPr>
          <t xml:space="preserve">ARON/KARON/CARRON/HRON
</t>
        </r>
        <r>
          <rPr>
            <sz val="14"/>
            <color rgb="FF000000"/>
            <rFont val="Calibri"/>
            <family val="34"/>
          </rPr>
          <t>Barcuh/Aron</t>
        </r>
      </text>
    </comment>
    <comment ref="T258" authorId="0" shapeId="0" xr:uid="{228FFF1C-ACEC-874B-B6EF-9739340972E8}">
      <text>
        <r>
          <rPr>
            <sz val="14"/>
            <color rgb="FF000000"/>
            <rFont val="Calibri"/>
            <family val="34"/>
          </rPr>
          <t xml:space="preserve">165.89 (1802)
</t>
        </r>
        <r>
          <rPr>
            <sz val="14"/>
            <color rgb="FF000000"/>
            <rFont val="Calibri"/>
            <family val="34"/>
          </rPr>
          <t xml:space="preserve">171.15 (1802-10)
</t>
        </r>
        <r>
          <rPr>
            <sz val="14"/>
            <color rgb="FF000000"/>
            <rFont val="Calibri"/>
            <family val="34"/>
          </rPr>
          <t xml:space="preserve">169.18 (1811)
</t>
        </r>
        <r>
          <rPr>
            <sz val="14"/>
            <color rgb="FF000000"/>
            <rFont val="Calibri"/>
            <family val="34"/>
          </rPr>
          <t>168.74 (1817)</t>
        </r>
      </text>
    </comment>
    <comment ref="BF258" authorId="0" shapeId="0" xr:uid="{B89288B7-1839-9740-8790-F41567332178}">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 xml:space="preserve">12/07/1799 </t>
        </r>
        <r>
          <rPr>
            <i/>
            <sz val="14"/>
            <color rgb="FF000000"/>
            <rFont val="Times New Roman"/>
            <family val="18"/>
          </rPr>
          <t>Von Ständen a 3Fl Handgeld gestellt und zum IR 43 Reserve Division assentiert</t>
        </r>
        <r>
          <rPr>
            <b/>
            <sz val="14"/>
            <color rgb="FF000000"/>
            <rFont val="Times New Roman"/>
            <family val="18"/>
          </rPr>
          <t xml:space="preserve"> </t>
        </r>
        <r>
          <rPr>
            <sz val="14"/>
            <color rgb="FF000000"/>
            <rFont val="Times New Roman"/>
            <family val="18"/>
          </rPr>
          <t>[ML 1817 &amp; TL 1800]</t>
        </r>
        <r>
          <rPr>
            <sz val="14"/>
            <color rgb="FF000000"/>
            <rFont val="Calibri"/>
            <family val="34"/>
          </rPr>
          <t xml:space="preserve">
</t>
        </r>
        <r>
          <rPr>
            <sz val="14"/>
            <color rgb="FFFF0000"/>
            <rFont val="Times New Roman"/>
            <family val="18"/>
          </rPr>
          <t xml:space="preserve">14/01/1800 </t>
        </r>
        <r>
          <rPr>
            <i/>
            <sz val="14"/>
            <color rgb="FFFF0000"/>
            <rFont val="Times New Roman"/>
            <family val="18"/>
          </rPr>
          <t>Von Ständen gestellt</t>
        </r>
        <r>
          <rPr>
            <sz val="14"/>
            <color rgb="FFFF0000"/>
            <rFont val="Times New Roman"/>
            <family val="18"/>
          </rPr>
          <t xml:space="preserve"> [ML 1802 bis ML 1806]</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ObristLt Companie transferiert</t>
        </r>
        <r>
          <rPr>
            <sz val="14"/>
            <color rgb="FF000000"/>
            <rFont val="Times New Roman"/>
            <family val="18"/>
          </rPr>
          <t xml:space="preserve"> [ST April1800]</t>
        </r>
        <r>
          <rPr>
            <sz val="14"/>
            <color rgb="FF000000"/>
            <rFont val="Calibri"/>
            <family val="34"/>
          </rPr>
          <t xml:space="preserve">
</t>
        </r>
        <r>
          <rPr>
            <sz val="14"/>
            <color rgb="FF000000"/>
            <rFont val="Times New Roman"/>
            <family val="18"/>
          </rPr>
          <t xml:space="preserve">1800 </t>
        </r>
        <r>
          <rPr>
            <i/>
            <sz val="14"/>
            <color rgb="FF000000"/>
            <rFont val="Times New Roman"/>
            <family val="18"/>
          </rPr>
          <t xml:space="preserve">in Italien an der Piave gefangen und wieder selbst Ranzioniert </t>
        </r>
        <r>
          <rPr>
            <sz val="14"/>
            <color rgb="FF000000"/>
            <rFont val="Times New Roman"/>
            <family val="18"/>
          </rPr>
          <t>[ML 1817]</t>
        </r>
        <r>
          <rPr>
            <sz val="14"/>
            <color rgb="FF000000"/>
            <rFont val="Calibri"/>
            <family val="34"/>
          </rPr>
          <t xml:space="preserve">
</t>
        </r>
        <r>
          <rPr>
            <sz val="14"/>
            <color rgb="FF000000"/>
            <rFont val="Times New Roman"/>
            <family val="18"/>
          </rPr>
          <t>28/08/1802 Muster: IR 43 ObristLt Komp. Nr. 101</t>
        </r>
        <r>
          <rPr>
            <sz val="14"/>
            <color rgb="FF000000"/>
            <rFont val="Calibri"/>
            <family val="34"/>
          </rPr>
          <t xml:space="preserve">
</t>
        </r>
        <r>
          <rPr>
            <sz val="14"/>
            <color rgb="FF000000"/>
            <rFont val="Times New Roman"/>
            <family val="18"/>
          </rPr>
          <t>02/11/1803 Muster: IR 43 ObristLt Komp. Nr. 89 [</t>
        </r>
        <r>
          <rPr>
            <i/>
            <sz val="14"/>
            <color rgb="FF000000"/>
            <rFont val="Times New Roman"/>
            <family val="18"/>
          </rPr>
          <t>Auf commando in Risano</t>
        </r>
        <r>
          <rPr>
            <sz val="14"/>
            <color rgb="FF000000"/>
            <rFont val="Times New Roman"/>
            <family val="18"/>
          </rPr>
          <t>]</t>
        </r>
        <r>
          <rPr>
            <sz val="14"/>
            <color rgb="FF000000"/>
            <rFont val="Calibri"/>
            <family val="34"/>
          </rPr>
          <t xml:space="preserve">
</t>
        </r>
        <r>
          <rPr>
            <sz val="14"/>
            <color rgb="FF000000"/>
            <rFont val="Times New Roman"/>
            <family val="18"/>
          </rPr>
          <t>05/10/1804 Muster: IR 43 ObristLt Komp. Nr. 83</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[ST Sept 1805 &amp; ML 1805]</t>
        </r>
        <r>
          <rPr>
            <sz val="14"/>
            <color rgb="FF000000"/>
            <rFont val="Calibri"/>
            <family val="34"/>
          </rPr>
          <t xml:space="preserve">
</t>
        </r>
        <r>
          <rPr>
            <sz val="14"/>
            <color rgb="FF000000"/>
            <rFont val="Times New Roman"/>
            <family val="18"/>
          </rPr>
          <t>31/10/1805 Muster: IR 43 9. Fus Komp. Nr. 15</t>
        </r>
        <r>
          <rPr>
            <sz val="14"/>
            <color rgb="FF000000"/>
            <rFont val="Calibri"/>
            <family val="34"/>
          </rPr>
          <t xml:space="preserve">
</t>
        </r>
        <r>
          <rPr>
            <sz val="14"/>
            <color rgb="FF000000"/>
            <rFont val="Times New Roman"/>
            <family val="18"/>
          </rPr>
          <t>01/12/1806 Muster: IR 43 Supernumeraries Nr. 120</t>
        </r>
        <r>
          <rPr>
            <sz val="14"/>
            <color rgb="FF000000"/>
            <rFont val="Calibri"/>
            <family val="34"/>
          </rPr>
          <t xml:space="preserve">
</t>
        </r>
        <r>
          <rPr>
            <sz val="14"/>
            <color rgb="FF000000"/>
            <rFont val="Times New Roman"/>
            <family val="18"/>
          </rPr>
          <t xml:space="preserve">19/05/1807 </t>
        </r>
        <r>
          <rPr>
            <i/>
            <sz val="14"/>
            <color rgb="FF000000"/>
            <rFont val="Times New Roman"/>
            <family val="18"/>
          </rPr>
          <t>Gegen 20Fl Handgeld auf fernere 10 Jahren reengagiert</t>
        </r>
        <r>
          <rPr>
            <sz val="14"/>
            <color rgb="FF000000"/>
            <rFont val="Times New Roman"/>
            <family val="18"/>
          </rPr>
          <t xml:space="preserve"> [ST May 1807]</t>
        </r>
        <r>
          <rPr>
            <sz val="14"/>
            <color rgb="FF000000"/>
            <rFont val="Calibri"/>
            <family val="34"/>
          </rPr>
          <t xml:space="preserve">
</t>
        </r>
        <r>
          <rPr>
            <sz val="14"/>
            <color rgb="FF000000"/>
            <rFont val="Times New Roman"/>
            <family val="18"/>
          </rPr>
          <t xml:space="preserve">15/06/1807 </t>
        </r>
        <r>
          <rPr>
            <i/>
            <sz val="14"/>
            <color rgb="FF000000"/>
            <rFont val="Times New Roman"/>
            <family val="18"/>
          </rPr>
          <t>Auf Ritt nach Fiume</t>
        </r>
        <r>
          <rPr>
            <sz val="14"/>
            <color rgb="FF000000"/>
            <rFont val="Times New Roman"/>
            <family val="18"/>
          </rPr>
          <t xml:space="preserve"> [ST June 1807]</t>
        </r>
        <r>
          <rPr>
            <sz val="14"/>
            <color rgb="FF000000"/>
            <rFont val="Calibri"/>
            <family val="34"/>
          </rPr>
          <t xml:space="preserve">
</t>
        </r>
        <r>
          <rPr>
            <sz val="14"/>
            <color rgb="FF000000"/>
            <rFont val="Times New Roman"/>
            <family val="18"/>
          </rPr>
          <t xml:space="preserve">23/06/1806 </t>
        </r>
        <r>
          <rPr>
            <i/>
            <sz val="14"/>
            <color rgb="FF000000"/>
            <rFont val="Times New Roman"/>
            <family val="18"/>
          </rPr>
          <t>Wieder zurück</t>
        </r>
        <r>
          <rPr>
            <sz val="14"/>
            <color rgb="FF000000"/>
            <rFont val="Times New Roman"/>
            <family val="18"/>
          </rPr>
          <t xml:space="preserve"> [ST June 1807]</t>
        </r>
        <r>
          <rPr>
            <sz val="14"/>
            <color rgb="FF000000"/>
            <rFont val="Calibri"/>
            <family val="34"/>
          </rPr>
          <t xml:space="preserve">
</t>
        </r>
        <r>
          <rPr>
            <sz val="14"/>
            <color rgb="FF000000"/>
            <rFont val="Times New Roman"/>
            <family val="18"/>
          </rPr>
          <t xml:space="preserve">31/05/1808 </t>
        </r>
        <r>
          <rPr>
            <i/>
            <sz val="14"/>
            <color rgb="FF000000"/>
            <rFont val="Times New Roman"/>
            <family val="18"/>
          </rPr>
          <t>Von Supernumeraries zum 13. Fus Comp. transferiert</t>
        </r>
        <r>
          <rPr>
            <sz val="14"/>
            <color rgb="FF000000"/>
            <rFont val="Times New Roman"/>
            <family val="18"/>
          </rPr>
          <t xml:space="preserve"> [ST June 1808]</t>
        </r>
        <r>
          <rPr>
            <sz val="14"/>
            <color rgb="FF000000"/>
            <rFont val="Calibri"/>
            <family val="34"/>
          </rPr>
          <t xml:space="preserve">
</t>
        </r>
        <r>
          <rPr>
            <sz val="14"/>
            <color rgb="FF000000"/>
            <rFont val="Times New Roman"/>
            <family val="18"/>
          </rPr>
          <t>06/09/1808 Musterung: 13. Fus. Komp. Nr. 9</t>
        </r>
        <r>
          <rPr>
            <sz val="14"/>
            <color rgb="FF000000"/>
            <rFont val="Calibri"/>
            <family val="34"/>
          </rPr>
          <t xml:space="preserve">
</t>
        </r>
        <r>
          <rPr>
            <sz val="14"/>
            <color rgb="FF000000"/>
            <rFont val="Times New Roman"/>
            <family val="18"/>
          </rPr>
          <t xml:space="preserve">30/10/1808 </t>
        </r>
        <r>
          <rPr>
            <i/>
            <sz val="14"/>
            <color rgb="FF000000"/>
            <rFont val="Times New Roman"/>
            <family val="18"/>
          </rPr>
          <t>Von 13. zum 16. Fus. Komp. transferiert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21/09/1809 </t>
        </r>
        <r>
          <rPr>
            <i/>
            <sz val="14"/>
            <color rgb="FF000000"/>
            <rFont val="Times New Roman"/>
            <family val="18"/>
          </rPr>
          <t>Krank auswärts in Armee Spitälern</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25/02/1810 Dissolvierung: IR 43 18. Fus. Komp. Nr. 9 [</t>
        </r>
        <r>
          <rPr>
            <i/>
            <sz val="14"/>
            <color rgb="FF000000"/>
            <rFont val="Times New Roman"/>
            <family val="18"/>
          </rPr>
          <t>Zu Prinz De Ligne IR 30 einzuteilen</t>
        </r>
        <r>
          <rPr>
            <sz val="14"/>
            <color rgb="FF000000"/>
            <rFont val="Times New Roman"/>
            <family val="18"/>
          </rPr>
          <t>]</t>
        </r>
        <r>
          <rPr>
            <sz val="14"/>
            <color rgb="FF000000"/>
            <rFont val="Calibri"/>
            <family val="34"/>
          </rPr>
          <t xml:space="preserve">
</t>
        </r>
        <r>
          <rPr>
            <sz val="14"/>
            <color rgb="FF000000"/>
            <rFont val="Times New Roman"/>
            <family val="18"/>
          </rPr>
          <t xml:space="preserve">22/03/1810 </t>
        </r>
        <r>
          <rPr>
            <i/>
            <sz val="14"/>
            <color rgb="FF000000"/>
            <rFont val="Times New Roman"/>
            <family val="18"/>
          </rPr>
          <t>Von 18. Fus Comp des Dissolvierte IR 43 zum IR 30 De Ligne transferiert</t>
        </r>
        <r>
          <rPr>
            <sz val="14"/>
            <color rgb="FF000000"/>
            <rFont val="Times New Roman"/>
            <family val="18"/>
          </rPr>
          <t xml:space="preserve"> [TL 1810]</t>
        </r>
        <r>
          <rPr>
            <sz val="14"/>
            <color rgb="FF000000"/>
            <rFont val="Calibri"/>
            <family val="34"/>
          </rPr>
          <t xml:space="preserve">
</t>
        </r>
        <r>
          <rPr>
            <sz val="14"/>
            <color rgb="FF000000"/>
            <rFont val="Times New Roman"/>
            <family val="18"/>
          </rPr>
          <t>24/09/1811 Muster: IR 30 6. Fus Komp. Nr. 30</t>
        </r>
        <r>
          <rPr>
            <sz val="14"/>
            <color rgb="FF000000"/>
            <rFont val="Calibri"/>
            <family val="34"/>
          </rPr>
          <t xml:space="preserve">
</t>
        </r>
        <r>
          <rPr>
            <sz val="14"/>
            <color rgb="FF000000"/>
            <rFont val="Times New Roman"/>
            <family val="18"/>
          </rPr>
          <t xml:space="preserve">20/01/1814 </t>
        </r>
        <r>
          <rPr>
            <i/>
            <sz val="14"/>
            <color rgb="FF000000"/>
            <rFont val="Times New Roman"/>
            <family val="18"/>
          </rPr>
          <t>die Silberne Medaille erhalten</t>
        </r>
        <r>
          <rPr>
            <sz val="14"/>
            <color rgb="FF000000"/>
            <rFont val="Times New Roman"/>
            <family val="18"/>
          </rPr>
          <t xml:space="preserve"> [ML 1817]</t>
        </r>
        <r>
          <rPr>
            <sz val="14"/>
            <color rgb="FF000000"/>
            <rFont val="Calibri"/>
            <family val="34"/>
          </rPr>
          <t xml:space="preserve">
</t>
        </r>
        <r>
          <rPr>
            <sz val="14"/>
            <color rgb="FF000000"/>
            <rFont val="Times New Roman"/>
            <family val="18"/>
          </rPr>
          <t>15/10/1817 Muster: IR 30 14. Fus. Komp. Nr. 6</t>
        </r>
        <r>
          <rPr>
            <sz val="14"/>
            <color rgb="FF000000"/>
            <rFont val="Calibri"/>
            <family val="34"/>
          </rPr>
          <t xml:space="preserve">
</t>
        </r>
        <r>
          <rPr>
            <sz val="14"/>
            <color rgb="FF000000"/>
            <rFont val="Times New Roman"/>
            <family val="18"/>
          </rPr>
          <t xml:space="preserve">16/04/1818 </t>
        </r>
        <r>
          <rPr>
            <i/>
            <sz val="14"/>
            <color rgb="FF000000"/>
            <rFont val="Times New Roman"/>
            <family val="18"/>
          </rPr>
          <t xml:space="preserve">Auf Fernere 6 Jahren a 3Fl als Außländer reengaiert </t>
        </r>
        <r>
          <rPr>
            <sz val="14"/>
            <color rgb="FF000000"/>
            <rFont val="Times New Roman"/>
            <family val="18"/>
          </rPr>
          <t>[ML 1818]</t>
        </r>
        <r>
          <rPr>
            <sz val="14"/>
            <color rgb="FF000000"/>
            <rFont val="Calibri"/>
            <family val="34"/>
          </rPr>
          <t xml:space="preserve">
</t>
        </r>
        <r>
          <rPr>
            <sz val="14"/>
            <color rgb="FF000000"/>
            <rFont val="Times New Roman"/>
            <family val="18"/>
          </rPr>
          <t>01/10/1818 Muster: IR 30 14. Fus. Komp. Nr. 6</t>
        </r>
        <r>
          <rPr>
            <sz val="14"/>
            <color rgb="FF000000"/>
            <rFont val="Calibri"/>
            <family val="34"/>
          </rPr>
          <t xml:space="preserve">
</t>
        </r>
        <r>
          <rPr>
            <sz val="14"/>
            <color rgb="FF000000"/>
            <rFont val="Times New Roman"/>
            <family val="18"/>
          </rPr>
          <t>30/09/1819 Muster: IR 30 14. Fus. Komp. Nr. 7</t>
        </r>
        <r>
          <rPr>
            <sz val="14"/>
            <color rgb="FF000000"/>
            <rFont val="Calibri"/>
            <family val="34"/>
          </rPr>
          <t xml:space="preserve">
</t>
        </r>
        <r>
          <rPr>
            <sz val="14"/>
            <color rgb="FF000000"/>
            <rFont val="Times New Roman"/>
            <family val="18"/>
          </rPr>
          <t>03/10/1820 Muster: IR 30 14. Fus. Komp. Nr. 6</t>
        </r>
        <r>
          <rPr>
            <sz val="14"/>
            <color rgb="FF000000"/>
            <rFont val="Calibri"/>
            <family val="34"/>
          </rPr>
          <t xml:space="preserve">
</t>
        </r>
      </text>
    </comment>
    <comment ref="BG258" authorId="0" shapeId="0" xr:uid="{C5D3963B-D328-E841-9590-9EFB7A7B9A7A}">
      <text>
        <r>
          <rPr>
            <sz val="14"/>
            <color rgb="FF000000"/>
            <rFont val="Times New Roman"/>
            <family val="18"/>
          </rPr>
          <t>ML 10.272 IR 43 (1802) – ObristLt Comp Nr. 101 (Cattaro 28/08/1802)</t>
        </r>
        <r>
          <rPr>
            <sz val="14"/>
            <color rgb="FF000000"/>
            <rFont val="Calibri"/>
            <family val="34"/>
          </rPr>
          <t xml:space="preserve">
</t>
        </r>
        <r>
          <rPr>
            <sz val="14"/>
            <color rgb="FF000000"/>
            <rFont val="Times New Roman"/>
            <family val="18"/>
          </rPr>
          <t xml:space="preserve">ML 10.273 IR 43 (1803) – Obrist Lt Comp Nr. 89 (Cattaro 02/11/1803) </t>
        </r>
        <r>
          <rPr>
            <sz val="14"/>
            <color rgb="FF000000"/>
            <rFont val="Calibri"/>
            <family val="34"/>
          </rPr>
          <t xml:space="preserve">
</t>
        </r>
        <r>
          <rPr>
            <sz val="14"/>
            <color rgb="FF000000"/>
            <rFont val="Times New Roman"/>
            <family val="18"/>
          </rPr>
          <t>ML 10.274 IR 43 (1804) – ObrestLt Comp. Nr. 83 (Theodo 05/10/1804)</t>
        </r>
        <r>
          <rPr>
            <sz val="14"/>
            <color rgb="FF000000"/>
            <rFont val="Calibri"/>
            <family val="34"/>
          </rPr>
          <t xml:space="preserve">
</t>
        </r>
        <r>
          <rPr>
            <sz val="14"/>
            <color rgb="FF000000"/>
            <rFont val="Times New Roman"/>
            <family val="18"/>
          </rPr>
          <t>ML 10.275/6 IR 43 (1805) – 9. Fus Comp Nr. (Sebenico 31/10/1805)</t>
        </r>
        <r>
          <rPr>
            <sz val="14"/>
            <color rgb="FF000000"/>
            <rFont val="Calibri"/>
            <family val="34"/>
          </rPr>
          <t xml:space="preserve">
</t>
        </r>
        <r>
          <rPr>
            <sz val="14"/>
            <color rgb="FF000000"/>
            <rFont val="Times New Roman"/>
            <family val="18"/>
          </rPr>
          <t>ML 10.277/8 IR 43 (1806) – Supernumeraries Nr. 120 (Laibach 01/12/1806)</t>
        </r>
        <r>
          <rPr>
            <sz val="14"/>
            <color rgb="FF000000"/>
            <rFont val="Calibri"/>
            <family val="34"/>
          </rPr>
          <t xml:space="preserve">
</t>
        </r>
        <r>
          <rPr>
            <sz val="14"/>
            <color rgb="FF000000"/>
            <rFont val="Times New Roman"/>
            <family val="18"/>
          </rPr>
          <t>ML 10.279 IR 43 (1808-10) – RL 13. Fus Nr. 9 (Laibach 06/09/1808) &amp; DL 18. Fus Nr. 12 (Vodernberg 25/10/1810)</t>
        </r>
        <r>
          <rPr>
            <sz val="14"/>
            <color rgb="FF000000"/>
            <rFont val="Calibri"/>
            <family val="34"/>
          </rPr>
          <t xml:space="preserve">
</t>
        </r>
        <r>
          <rPr>
            <sz val="14"/>
            <color rgb="FF000000"/>
            <rFont val="Times New Roman"/>
            <family val="18"/>
          </rPr>
          <t>ML 10.309 IR 43 (1800) – ST Februar (06/04/1801) und April (24/01/1802)</t>
        </r>
        <r>
          <rPr>
            <sz val="14"/>
            <color rgb="FF000000"/>
            <rFont val="Calibri"/>
            <family val="34"/>
          </rPr>
          <t xml:space="preserve">
</t>
        </r>
        <r>
          <rPr>
            <sz val="14"/>
            <color rgb="FF000000"/>
            <rFont val="Times New Roman"/>
            <family val="18"/>
          </rPr>
          <t>ML 10.310 IR 43 (1800) – AL/TL TL IR 43 Res Div-&gt; Feld Nr. 145 (Laibach 05/02/1800)</t>
        </r>
        <r>
          <rPr>
            <sz val="14"/>
            <color rgb="FF000000"/>
            <rFont val="Calibri"/>
            <family val="34"/>
          </rPr>
          <t xml:space="preserve">
</t>
        </r>
        <r>
          <rPr>
            <sz val="14"/>
            <color rgb="FF000000"/>
            <rFont val="Times New Roman"/>
            <family val="18"/>
          </rPr>
          <t>ML 10.315 IR 43 (1805) – ST September (15/11/1805)</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10.319 IR 43 (1807) – ST Mai (14/06/1807) und Juni (15/07/1807)</t>
        </r>
        <r>
          <rPr>
            <sz val="14"/>
            <color rgb="FF000000"/>
            <rFont val="Calibri"/>
            <family val="34"/>
          </rPr>
          <t xml:space="preserve">
</t>
        </r>
        <r>
          <rPr>
            <sz val="14"/>
            <color rgb="FF000000"/>
            <rFont val="Times New Roman"/>
            <family val="18"/>
          </rPr>
          <t>ML 10.321 IR 43 (1808) – ST June (14/07/1808) und November (15/12/1808)</t>
        </r>
        <r>
          <rPr>
            <sz val="14"/>
            <color rgb="FF000000"/>
            <rFont val="Calibri"/>
            <family val="34"/>
          </rPr>
          <t xml:space="preserve">
</t>
        </r>
        <r>
          <rPr>
            <sz val="14"/>
            <color rgb="FF000000"/>
            <rFont val="Times New Roman"/>
            <family val="18"/>
          </rPr>
          <t>ML 10.323 IR 43 (1809) – ST September (25/12/1810)</t>
        </r>
        <r>
          <rPr>
            <sz val="14"/>
            <color rgb="FF000000"/>
            <rFont val="Calibri"/>
            <family val="34"/>
          </rPr>
          <t xml:space="preserve">
</t>
        </r>
        <r>
          <rPr>
            <sz val="14"/>
            <color rgb="FF000000"/>
            <rFont val="Times New Roman"/>
            <family val="18"/>
          </rPr>
          <t>ML 10.325 IR 43 (1810) – ST March (11/03/1811)</t>
        </r>
        <r>
          <rPr>
            <sz val="14"/>
            <color rgb="FF000000"/>
            <rFont val="Calibri"/>
            <family val="34"/>
          </rPr>
          <t xml:space="preserve">
</t>
        </r>
        <r>
          <rPr>
            <sz val="14"/>
            <color rgb="FF000000"/>
            <rFont val="Times New Roman"/>
            <family val="18"/>
          </rPr>
          <t>ML 10.326 IR 43 (1810) – AL/TL IR 43 -&gt; IR 30 Nr. 7 (Klagenfurt 31/05/1810)</t>
        </r>
        <r>
          <rPr>
            <sz val="14"/>
            <color rgb="FF000000"/>
            <rFont val="Calibri"/>
            <family val="34"/>
          </rPr>
          <t xml:space="preserve">
</t>
        </r>
        <r>
          <rPr>
            <sz val="14"/>
            <color rgb="FF000000"/>
            <rFont val="Times New Roman"/>
            <family val="18"/>
          </rPr>
          <t>ML 2633 IR 30 (1811) – 6. Fus Comp Nr. 30 (Kutty 24/09/1811)</t>
        </r>
        <r>
          <rPr>
            <sz val="14"/>
            <color rgb="FF000000"/>
            <rFont val="Calibri"/>
            <family val="34"/>
          </rPr>
          <t xml:space="preserve">
</t>
        </r>
        <r>
          <rPr>
            <sz val="14"/>
            <color rgb="FF000000"/>
            <rFont val="Times New Roman"/>
            <family val="18"/>
          </rPr>
          <t>ML 2635 IR 30 (1817) – 14. Fus Comp Nr. 6 (Stry 15/10/1817)</t>
        </r>
        <r>
          <rPr>
            <sz val="14"/>
            <color rgb="FF000000"/>
            <rFont val="Calibri"/>
            <family val="34"/>
          </rPr>
          <t xml:space="preserve">
</t>
        </r>
        <r>
          <rPr>
            <sz val="14"/>
            <color rgb="FF000000"/>
            <rFont val="Times New Roman"/>
            <family val="18"/>
          </rPr>
          <t>ML 2637/8 IR 30 (1818) – 14. Fus Comp Nr. 6 (Szozerzec 01/10/1818)</t>
        </r>
        <r>
          <rPr>
            <sz val="14"/>
            <color rgb="FF000000"/>
            <rFont val="Calibri"/>
            <family val="34"/>
          </rPr>
          <t xml:space="preserve">
</t>
        </r>
        <r>
          <rPr>
            <sz val="14"/>
            <color rgb="FF000000"/>
            <rFont val="Times New Roman"/>
            <family val="18"/>
          </rPr>
          <t>ML 2639/40 IR 30 (1819) – 14. Fus Comp Nr. 7 (Tysmenice 30/19/1819)</t>
        </r>
        <r>
          <rPr>
            <sz val="14"/>
            <color rgb="FF000000"/>
            <rFont val="Calibri"/>
            <family val="34"/>
          </rPr>
          <t xml:space="preserve">
</t>
        </r>
        <r>
          <rPr>
            <sz val="14"/>
            <color rgb="FF000000"/>
            <rFont val="Times New Roman"/>
            <family val="18"/>
          </rPr>
          <t>ML 2641/2 IR 30 (1820) – 14. Fus Comp Nr. 6 (Lisitz 03/10/1820)</t>
        </r>
      </text>
    </comment>
    <comment ref="BH258" authorId="0" shapeId="0" xr:uid="{01B8C8AD-0DD1-924F-BDA4-D78A9A5D9336}">
      <text>
        <r>
          <rPr>
            <sz val="14"/>
            <color rgb="FF000000"/>
            <rFont val="Calibri"/>
            <family val="34"/>
          </rPr>
          <t xml:space="preserve">IR 43 (1799-1810)
</t>
        </r>
        <r>
          <rPr>
            <sz val="14"/>
            <color rgb="FF000000"/>
            <rFont val="Calibri"/>
            <family val="34"/>
          </rPr>
          <t>IR 30 (1810-1820)</t>
        </r>
      </text>
    </comment>
    <comment ref="BI258" authorId="0" shapeId="0" xr:uid="{8045236E-8D89-F247-BBC3-9509BA4761B7}">
      <text>
        <r>
          <rPr>
            <sz val="14"/>
            <color rgb="FF000000"/>
            <rFont val="Calibri"/>
            <family val="34"/>
          </rPr>
          <t>1810: Gut</t>
        </r>
      </text>
    </comment>
    <comment ref="BF259" authorId="0" shapeId="0" xr:uid="{D5FDE517-7634-B74E-BEF3-B21210EF0F2A}">
      <text>
        <r>
          <rPr>
            <sz val="14"/>
            <color rgb="FF000000"/>
            <rFont val="Times New Roman"/>
            <family val="18"/>
          </rPr>
          <t xml:space="preserve">09/07/1799 </t>
        </r>
        <r>
          <rPr>
            <i/>
            <sz val="14"/>
            <color rgb="FF000000"/>
            <rFont val="Times New Roman"/>
            <family val="18"/>
          </rPr>
          <t>Als Landständischer Recrout Zu Krakau auf Beständig assentiert und seitdem auf Marsch</t>
        </r>
        <r>
          <rPr>
            <sz val="14"/>
            <color rgb="FF000000"/>
            <rFont val="Times New Roman"/>
            <family val="18"/>
          </rPr>
          <t xml:space="preserve">  [ST Aug 1799 &amp; ML 1802]</t>
        </r>
        <r>
          <rPr>
            <sz val="14"/>
            <color rgb="FF000000"/>
            <rFont val="Calibri"/>
            <family val="34"/>
          </rPr>
          <t xml:space="preserve">
</t>
        </r>
        <r>
          <rPr>
            <sz val="14"/>
            <color rgb="FF000000"/>
            <rFont val="Times New Roman"/>
            <family val="18"/>
          </rPr>
          <t xml:space="preserve">10/09/1799 </t>
        </r>
        <r>
          <rPr>
            <i/>
            <sz val="14"/>
            <color rgb="FF000000"/>
            <rFont val="Times New Roman"/>
            <family val="18"/>
          </rPr>
          <t xml:space="preserve">Ankunft in Division [von vorhin bis 10. Sept. ist eingeruckt und seit 11. mit Geld und brot und seit 9. Sept mit Service in loco </t>
        </r>
        <r>
          <rPr>
            <sz val="14"/>
            <color rgb="FF000000"/>
            <rFont val="Times New Roman"/>
            <family val="18"/>
          </rPr>
          <t>[ST Sept 1799]</t>
        </r>
        <r>
          <rPr>
            <sz val="14"/>
            <color rgb="FF000000"/>
            <rFont val="Calibri"/>
            <family val="34"/>
          </rPr>
          <t xml:space="preserve">
</t>
        </r>
        <r>
          <rPr>
            <sz val="14"/>
            <color rgb="FF000000"/>
            <rFont val="Times New Roman"/>
            <family val="18"/>
          </rPr>
          <t xml:space="preserve">21/10 1799 </t>
        </r>
        <r>
          <rPr>
            <i/>
            <sz val="14"/>
            <color rgb="FF000000"/>
            <rFont val="Times New Roman"/>
            <family val="18"/>
          </rPr>
          <t>Von die Reserve Division zum Comp. transferiert und ab eodem dato mit auswärtiger Verpflegung auf Marsch</t>
        </r>
        <r>
          <rPr>
            <sz val="14"/>
            <color rgb="FF000000"/>
            <rFont val="Times New Roman"/>
            <family val="18"/>
          </rPr>
          <t xml:space="preserve"> [ST Oct 1799]</t>
        </r>
        <r>
          <rPr>
            <sz val="14"/>
            <color rgb="FF000000"/>
            <rFont val="Calibri"/>
            <family val="34"/>
          </rPr>
          <t xml:space="preserve">
</t>
        </r>
        <r>
          <rPr>
            <sz val="14"/>
            <color rgb="FF000000"/>
            <rFont val="Times New Roman"/>
            <family val="18"/>
          </rPr>
          <t>09/09/1802 Muster: IR 23 Haupt Böhm Nr. 85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Böhm Nr. 77 [</t>
        </r>
        <r>
          <rPr>
            <i/>
            <sz val="14"/>
            <color rgb="FF000000"/>
            <rFont val="Times New Roman"/>
            <family val="18"/>
          </rPr>
          <t>In seinem Geburtsort bis zur Einberufung beurlaubt in Gallizien</t>
        </r>
        <r>
          <rPr>
            <sz val="14"/>
            <color rgb="FF000000"/>
            <rFont val="Times New Roman"/>
            <family val="18"/>
          </rPr>
          <t>]</t>
        </r>
        <r>
          <rPr>
            <sz val="14"/>
            <color rgb="FF000000"/>
            <rFont val="Calibri"/>
            <family val="34"/>
          </rPr>
          <t xml:space="preserve">
</t>
        </r>
        <r>
          <rPr>
            <sz val="14"/>
            <color rgb="FF000000"/>
            <rFont val="Times New Roman"/>
            <family val="18"/>
          </rPr>
          <t>13/09/1804 Muster: IR 23 Haupt Böhm Nr. 69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unwissend verloren in Abgang</t>
        </r>
        <r>
          <rPr>
            <sz val="14"/>
            <color rgb="FF000000"/>
            <rFont val="Times New Roman"/>
            <family val="18"/>
          </rPr>
          <t xml:space="preserve"> [ST May 1806 &amp; ML 1807] </t>
        </r>
      </text>
    </comment>
    <comment ref="BG259" authorId="0" shapeId="0" xr:uid="{51F261CF-A999-0E4B-B194-8A2768EF009D}">
      <text>
        <r>
          <rPr>
            <sz val="14"/>
            <color rgb="FF000000"/>
            <rFont val="Times New Roman"/>
            <family val="18"/>
          </rPr>
          <t>ML 10.124 IR 23 (1802) – Haupt Wagner Komp. Nr.117 (Krems 09/09/1802)</t>
        </r>
        <r>
          <rPr>
            <sz val="14"/>
            <color rgb="FF000000"/>
            <rFont val="Calibri"/>
            <family val="34"/>
          </rPr>
          <t xml:space="preserve">
</t>
        </r>
        <r>
          <rPr>
            <sz val="14"/>
            <color rgb="FF000000"/>
            <rFont val="Times New Roman"/>
            <family val="18"/>
          </rPr>
          <t>ML 10.125 IR 23 (1803) – Haupt Wagner Komp. Nr.102 (Execierlager bei St Pölten 07/09/1802)</t>
        </r>
        <r>
          <rPr>
            <sz val="14"/>
            <color rgb="FF000000"/>
            <rFont val="Calibri"/>
            <family val="34"/>
          </rPr>
          <t xml:space="preserve">
</t>
        </r>
        <r>
          <rPr>
            <sz val="14"/>
            <color rgb="FF000000"/>
            <rFont val="Times New Roman"/>
            <family val="18"/>
          </rPr>
          <t>ML 10.126 IR 23 (1804) – Haupt Wagner Komp. Nr. 97 (Krems 13/09/1802)</t>
        </r>
        <r>
          <rPr>
            <sz val="14"/>
            <color rgb="FF000000"/>
            <rFont val="Calibri"/>
            <family val="34"/>
          </rPr>
          <t xml:space="preserve">
</t>
        </r>
        <r>
          <rPr>
            <sz val="14"/>
            <color rgb="FF000000"/>
            <rFont val="Times New Roman"/>
            <family val="18"/>
          </rPr>
          <t>ML 10.127/8 IR 23 (1807) – Haupt Böhm Abgang (Korneuburg 24/01/1807)</t>
        </r>
        <r>
          <rPr>
            <sz val="14"/>
            <color rgb="FF000000"/>
            <rFont val="Calibri"/>
            <family val="34"/>
          </rPr>
          <t xml:space="preserve">
</t>
        </r>
        <r>
          <rPr>
            <sz val="14"/>
            <color rgb="FF000000"/>
            <rFont val="Times New Roman"/>
            <family val="18"/>
          </rPr>
          <t>ML 10.164 IR 23 (1799) – ST Aug (22/10/1800), Sept (01/04/1801), Oct (06/04/1801)</t>
        </r>
        <r>
          <rPr>
            <sz val="14"/>
            <color rgb="FF000000"/>
            <rFont val="Calibri"/>
            <family val="34"/>
          </rPr>
          <t xml:space="preserve">
</t>
        </r>
      </text>
    </comment>
    <comment ref="BH259" authorId="0" shapeId="0" xr:uid="{BA89439D-D87B-2842-AD3B-BDCD360CFC82}">
      <text>
        <r>
          <rPr>
            <sz val="14"/>
            <color rgb="FF000000"/>
            <rFont val="Calibri"/>
            <family val="34"/>
          </rPr>
          <t>IR 43 (1799-1806)</t>
        </r>
      </text>
    </comment>
    <comment ref="J260" authorId="0" shapeId="0" xr:uid="{DB288DFC-6924-4743-8457-26B435C0DFB8}">
      <text>
        <r>
          <rPr>
            <sz val="14"/>
            <color rgb="FF000000"/>
            <rFont val="Calibri"/>
            <family val="34"/>
          </rPr>
          <t xml:space="preserve">Ledig (1802-1804)
</t>
        </r>
        <r>
          <rPr>
            <sz val="14"/>
            <color rgb="FF000000"/>
            <rFont val="Calibri"/>
            <family val="34"/>
          </rPr>
          <t>Verheiratet (1806)</t>
        </r>
      </text>
    </comment>
    <comment ref="BF260" authorId="0" shapeId="0" xr:uid="{0B38F4A8-BC45-E644-BFFF-FEA3C39E210F}">
      <text>
        <r>
          <rPr>
            <sz val="14"/>
            <color rgb="FFFF0000"/>
            <rFont val="Times New Roman"/>
            <family val="18"/>
          </rPr>
          <t xml:space="preserve">??/06/1799 </t>
        </r>
        <r>
          <rPr>
            <i/>
            <sz val="14"/>
            <color rgb="FFFF0000"/>
            <rFont val="Times New Roman"/>
            <family val="18"/>
          </rPr>
          <t>In Juny a 3Fl auf Beständig assentiert</t>
        </r>
        <r>
          <rPr>
            <sz val="14"/>
            <color rgb="FFFF0000"/>
            <rFont val="Times New Roman"/>
            <family val="18"/>
          </rPr>
          <t xml:space="preserve"> [TL Juli 1802 &amp; ML 1803]</t>
        </r>
        <r>
          <rPr>
            <sz val="14"/>
            <color rgb="FF000000"/>
            <rFont val="Calibri"/>
            <family val="34"/>
          </rPr>
          <t xml:space="preserve">
</t>
        </r>
        <r>
          <rPr>
            <sz val="14"/>
            <color rgb="FF000000"/>
            <rFont val="Times New Roman"/>
            <family val="18"/>
          </rPr>
          <t xml:space="preserve">13/07/1799 </t>
        </r>
        <r>
          <rPr>
            <i/>
            <sz val="14"/>
            <color rgb="FF000000"/>
            <rFont val="Times New Roman"/>
            <family val="18"/>
          </rPr>
          <t>A 3Fl Auf Beständig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Dietrich Comp zum IR 44 transferiert und zur Avignonesi Komp. eingeheilt </t>
        </r>
        <r>
          <rPr>
            <sz val="14"/>
            <color rgb="FF000000"/>
            <rFont val="Times New Roman"/>
            <family val="18"/>
          </rPr>
          <t>[TL Juli 1802]</t>
        </r>
        <r>
          <rPr>
            <sz val="14"/>
            <color rgb="FF000000"/>
            <rFont val="Calibri"/>
            <family val="34"/>
          </rPr>
          <t xml:space="preserve">
</t>
        </r>
        <r>
          <rPr>
            <sz val="14"/>
            <color rgb="FF000000"/>
            <rFont val="Times New Roman"/>
            <family val="18"/>
          </rPr>
          <t>19/09/1803 Muster: IR 44 Haupt Avignonesi Nr. 92</t>
        </r>
        <r>
          <rPr>
            <sz val="14"/>
            <color rgb="FF000000"/>
            <rFont val="Calibri"/>
            <family val="34"/>
          </rPr>
          <t xml:space="preserve">
</t>
        </r>
        <r>
          <rPr>
            <sz val="14"/>
            <color rgb="FF000000"/>
            <rFont val="Times New Roman"/>
            <family val="18"/>
          </rPr>
          <t>12/05/1804 Muster: IR 44 Haupt Avignonesi Nr. 87 [</t>
        </r>
        <r>
          <rPr>
            <i/>
            <sz val="14"/>
            <color rgb="FF000000"/>
            <rFont val="Times New Roman"/>
            <family val="18"/>
          </rPr>
          <t>Beurlaubt zu Slonie, in Galizien auf bestimmte Zeit</t>
        </r>
        <r>
          <rPr>
            <sz val="14"/>
            <color rgb="FF000000"/>
            <rFont val="Times New Roman"/>
            <family val="18"/>
          </rPr>
          <t>]</t>
        </r>
        <r>
          <rPr>
            <sz val="14"/>
            <color rgb="FF000000"/>
            <rFont val="Calibri"/>
            <family val="34"/>
          </rPr>
          <t xml:space="preserve">
</t>
        </r>
        <r>
          <rPr>
            <sz val="14"/>
            <color rgb="FF000000"/>
            <rFont val="Times New Roman"/>
            <family val="18"/>
          </rPr>
          <t>10/12/1806 Muster: IR 44 Haupt Menze Komp. Nr. 48</t>
        </r>
        <r>
          <rPr>
            <sz val="14"/>
            <color rgb="FF000000"/>
            <rFont val="Calibri"/>
            <family val="34"/>
          </rPr>
          <t xml:space="preserve">
</t>
        </r>
        <r>
          <rPr>
            <sz val="14"/>
            <color rgb="FF000000"/>
            <rFont val="Times New Roman"/>
            <family val="18"/>
          </rPr>
          <t>19/09/1808 Muster: IR 44 Haupt Menze Komp. Nr. 40 [</t>
        </r>
        <r>
          <rPr>
            <i/>
            <sz val="14"/>
            <color rgb="FF000000"/>
            <rFont val="Times New Roman"/>
            <family val="18"/>
          </rPr>
          <t>Commandiert auf Conscription</t>
        </r>
        <r>
          <rPr>
            <sz val="14"/>
            <color rgb="FF000000"/>
            <rFont val="Times New Roman"/>
            <family val="18"/>
          </rPr>
          <t>]</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17. Fus. zum. 18. Fus Komp. transferiert und seitdem Krank in Anwald dann seit Juni in Aufname Spital des 4. Armee Corps</t>
        </r>
        <r>
          <rPr>
            <sz val="14"/>
            <color rgb="FF000000"/>
            <rFont val="Times New Roman"/>
            <family val="18"/>
          </rPr>
          <t xml:space="preserve"> [ML 1811 &amp; ST April &amp; June 1809]</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angehöriger von 4. Komp. als in Spital verbliebene als unwissend verloren in Abgang gebracht</t>
        </r>
        <r>
          <rPr>
            <sz val="14"/>
            <color rgb="FF000000"/>
            <rFont val="Times New Roman"/>
            <family val="18"/>
          </rPr>
          <t xml:space="preserve"> [ML 1811]</t>
        </r>
        <r>
          <rPr>
            <sz val="14"/>
            <color rgb="FF000000"/>
            <rFont val="Calibri"/>
            <family val="34"/>
          </rPr>
          <t xml:space="preserve">
</t>
        </r>
      </text>
    </comment>
    <comment ref="BG260" authorId="0" shapeId="0" xr:uid="{E5250ACD-0AF3-4D4F-8EEB-DE7639B2CB16}">
      <text>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Nr 92 (Venice 19/09/1803)</t>
        </r>
        <r>
          <rPr>
            <sz val="14"/>
            <color rgb="FF000000"/>
            <rFont val="Calibri"/>
            <family val="34"/>
          </rPr>
          <t xml:space="preserve">
</t>
        </r>
        <r>
          <rPr>
            <sz val="14"/>
            <color rgb="FF000000"/>
            <rFont val="Times New Roman"/>
            <family val="18"/>
          </rPr>
          <t>ML 3909 IR 44 (1804) – Haupt Avignonesi Komp. Nr 87 (Vicenza 12/05/1804)</t>
        </r>
        <r>
          <rPr>
            <sz val="14"/>
            <color rgb="FF000000"/>
            <rFont val="Calibri"/>
            <family val="34"/>
          </rPr>
          <t xml:space="preserve">
</t>
        </r>
        <r>
          <rPr>
            <sz val="14"/>
            <color rgb="FF000000"/>
            <rFont val="Times New Roman"/>
            <family val="18"/>
          </rPr>
          <t>ML 3910 IR 44 (1806) – Haupt Menze Komp. Nr. 48 (Fiume 10/12/1806)</t>
        </r>
        <r>
          <rPr>
            <sz val="14"/>
            <color rgb="FF000000"/>
            <rFont val="Calibri"/>
            <family val="34"/>
          </rPr>
          <t xml:space="preserve">
</t>
        </r>
        <r>
          <rPr>
            <sz val="14"/>
            <color rgb="FF000000"/>
            <rFont val="Times New Roman"/>
            <family val="18"/>
          </rPr>
          <t>ML 3911 IR 44 (1808) – RL CaptLt. Menze [15. Fus.] Nr. 40 (Sambor 19/09/1808)</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3946 IR 44 (1802) – AL IR 43-&gt; IR 43 Nr. 87 (Zara 27/07/1802)</t>
        </r>
        <r>
          <rPr>
            <sz val="14"/>
            <color rgb="FF000000"/>
            <rFont val="Calibri"/>
            <family val="34"/>
          </rPr>
          <t xml:space="preserve">
</t>
        </r>
        <r>
          <rPr>
            <sz val="14"/>
            <color rgb="FF000000"/>
            <rFont val="Times New Roman"/>
            <family val="18"/>
          </rPr>
          <t>ML 3960 IR 44 (1809) – April (Ofen 06/02/1811) Juni (Ofen 08/04/1809)</t>
        </r>
        <r>
          <rPr>
            <sz val="14"/>
            <color rgb="FF000000"/>
            <rFont val="Calibri"/>
            <family val="34"/>
          </rPr>
          <t xml:space="preserve">
</t>
        </r>
      </text>
    </comment>
    <comment ref="BH260" authorId="0" shapeId="0" xr:uid="{ED35A084-8658-0646-B1C2-2191D9687CED}">
      <text>
        <r>
          <rPr>
            <sz val="14"/>
            <color rgb="FF000000"/>
            <rFont val="Calibri"/>
            <family val="34"/>
          </rPr>
          <t xml:space="preserve">IR 43 (1799-1802)
</t>
        </r>
        <r>
          <rPr>
            <sz val="14"/>
            <color rgb="FF000000"/>
            <rFont val="Calibri"/>
            <family val="34"/>
          </rPr>
          <t>IR 44 (1802-1810)</t>
        </r>
      </text>
    </comment>
    <comment ref="BI260" authorId="0" shapeId="0" xr:uid="{F515C838-8E54-424D-B50C-F10649C68C7F}">
      <text>
        <r>
          <rPr>
            <sz val="14"/>
            <color rgb="FF000000"/>
            <rFont val="Calibri"/>
            <family val="34"/>
          </rPr>
          <t>Gut [TL July 1802]</t>
        </r>
      </text>
    </comment>
    <comment ref="I261" authorId="0" shapeId="0" xr:uid="{8FECB2A4-4B66-5847-9B02-BAACFCFD24EF}">
      <text>
        <r>
          <rPr>
            <sz val="14"/>
            <color rgb="FF000000"/>
            <rFont val="Calibri"/>
            <family val="34"/>
          </rPr>
          <t xml:space="preserve">1775 [31 (1806)] 
</t>
        </r>
        <r>
          <rPr>
            <sz val="14"/>
            <color rgb="FF000000"/>
            <rFont val="Calibri"/>
            <family val="34"/>
          </rPr>
          <t xml:space="preserve">OR 
</t>
        </r>
        <r>
          <rPr>
            <sz val="14"/>
            <color rgb="FF000000"/>
            <rFont val="Calibri"/>
            <family val="34"/>
          </rPr>
          <t>1781 [21 (1802-5)]</t>
        </r>
      </text>
    </comment>
    <comment ref="T261" authorId="0" shapeId="0" xr:uid="{99790EB4-AA8E-9F45-922F-28B78EF15819}">
      <text>
        <r>
          <rPr>
            <sz val="14"/>
            <color rgb="FF000000"/>
            <rFont val="Calibri"/>
            <family val="34"/>
          </rPr>
          <t xml:space="preserve">166.11 (1806)
</t>
        </r>
        <r>
          <rPr>
            <sz val="14"/>
            <color rgb="FF000000"/>
            <rFont val="Calibri"/>
            <family val="34"/>
          </rPr>
          <t>163.48 (1802-5)</t>
        </r>
      </text>
    </comment>
    <comment ref="BF261" authorId="0" shapeId="0" xr:uid="{5E011D0E-2AE4-E54D-867C-83EFC6CAED54}">
      <text>
        <r>
          <rPr>
            <sz val="14"/>
            <color rgb="FF000000"/>
            <rFont val="Times New Roman"/>
            <family val="18"/>
          </rPr>
          <t xml:space="preserve">14/07/1799 </t>
        </r>
        <r>
          <rPr>
            <i/>
            <sz val="14"/>
            <color rgb="FF000000"/>
            <rFont val="Times New Roman"/>
            <family val="18"/>
          </rPr>
          <t>von Ständen gestellt</t>
        </r>
        <r>
          <rPr>
            <sz val="14"/>
            <color rgb="FF000000"/>
            <rFont val="Times New Roman"/>
            <family val="18"/>
          </rPr>
          <t xml:space="preserve"> [ML 1802-5]</t>
        </r>
        <r>
          <rPr>
            <sz val="14"/>
            <color rgb="FF000000"/>
            <rFont val="Calibri"/>
            <family val="34"/>
          </rPr>
          <t xml:space="preserve">
</t>
        </r>
        <r>
          <rPr>
            <sz val="14"/>
            <color rgb="FF000000"/>
            <rFont val="Times New Roman"/>
            <family val="18"/>
          </rPr>
          <t xml:space="preserve">11/01/1800 </t>
        </r>
        <r>
          <rPr>
            <i/>
            <sz val="14"/>
            <color rgb="FF000000"/>
            <rFont val="Times New Roman"/>
            <family val="18"/>
          </rPr>
          <t>Von Reserve Division zum Haupt Geistler Komp. transferiert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28/08/1802 Musterung: IR 43 Haupt Geisler Nr. 93]</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Musterung: Haupt Geistler Comp. Nr. 83 [</t>
        </r>
        <r>
          <rPr>
            <i/>
            <sz val="14"/>
            <color rgb="FF000000"/>
            <rFont val="Times New Roman"/>
            <family val="18"/>
          </rPr>
          <t>Auf Unbestimmte Urlaub zu Bichau</t>
        </r>
        <r>
          <rPr>
            <sz val="14"/>
            <color rgb="FF000000"/>
            <rFont val="Times New Roman"/>
            <family val="18"/>
          </rPr>
          <t>]</t>
        </r>
        <r>
          <rPr>
            <sz val="14"/>
            <color rgb="FF000000"/>
            <rFont val="Calibri"/>
            <family val="34"/>
          </rPr>
          <t xml:space="preserve">
</t>
        </r>
        <r>
          <rPr>
            <sz val="14"/>
            <color rgb="FF000000"/>
            <rFont val="Times New Roman"/>
            <family val="18"/>
          </rPr>
          <t>05/10/1804 Musterung: Haupt Geistler Comp Nr. 80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11/06/1805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26/08/1805 </t>
        </r>
        <r>
          <rPr>
            <i/>
            <sz val="14"/>
            <color rgb="FF000000"/>
            <rFont val="Times New Roman"/>
            <family val="18"/>
          </rPr>
          <t xml:space="preserve">Eingerückt und zu Laibach mit Tägl. ½ Teuerung und 1Xr Fleischbeitrag Beim Reserve Bataillon zugeheilt </t>
        </r>
        <r>
          <rPr>
            <sz val="14"/>
            <color rgb="FF000000"/>
            <rFont val="Times New Roman"/>
            <family val="18"/>
          </rPr>
          <t>[ST Sept 1805]</t>
        </r>
        <r>
          <rPr>
            <sz val="14"/>
            <color rgb="FF000000"/>
            <rFont val="Calibri"/>
            <family val="34"/>
          </rPr>
          <t xml:space="preserve">
</t>
        </r>
        <r>
          <rPr>
            <sz val="14"/>
            <color rgb="FF000000"/>
            <rFont val="Times New Roman"/>
            <family val="18"/>
          </rPr>
          <t>At Muster 23/10/1805 10. Fus Comp Nr. 71 [</t>
        </r>
        <r>
          <rPr>
            <i/>
            <sz val="14"/>
            <color rgb="FF000000"/>
            <rFont val="Times New Roman"/>
            <family val="18"/>
          </rPr>
          <t>Zu Laibach Passiert</t>
        </r>
        <r>
          <rPr>
            <sz val="14"/>
            <color rgb="FF000000"/>
            <rFont val="Times New Roman"/>
            <family val="18"/>
          </rPr>
          <t>]</t>
        </r>
        <r>
          <rPr>
            <sz val="14"/>
            <color rgb="FF000000"/>
            <rFont val="Calibri"/>
            <family val="34"/>
          </rPr>
          <t xml:space="preserve">
</t>
        </r>
        <r>
          <rPr>
            <sz val="14"/>
            <color rgb="FF000000"/>
            <rFont val="Times New Roman"/>
            <family val="18"/>
          </rPr>
          <t>At Muster 01/12/1806 14. Fus Comp Nr. 63</t>
        </r>
        <r>
          <rPr>
            <sz val="14"/>
            <color rgb="FF000000"/>
            <rFont val="Calibri"/>
            <family val="34"/>
          </rPr>
          <t xml:space="preserve">
</t>
        </r>
        <r>
          <rPr>
            <sz val="14"/>
            <color rgb="FF000000"/>
            <rFont val="Times New Roman"/>
            <family val="18"/>
          </rPr>
          <t>At Muster 02/09/1808 14. Fus Comp Nr. 37</t>
        </r>
        <r>
          <rPr>
            <sz val="14"/>
            <color rgb="FF000000"/>
            <rFont val="Calibri"/>
            <family val="34"/>
          </rPr>
          <t xml:space="preserve">
</t>
        </r>
        <r>
          <rPr>
            <sz val="14"/>
            <color rgb="FF000000"/>
            <rFont val="Times New Roman"/>
            <family val="18"/>
          </rPr>
          <t xml:space="preserve">15/02/1809 </t>
        </r>
        <r>
          <rPr>
            <i/>
            <sz val="14"/>
            <color rgb="FF000000"/>
            <rFont val="Times New Roman"/>
            <family val="18"/>
          </rPr>
          <t>von 14. Fus zum 15 Fus Comp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gemeiner zum Corporal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17/05/1809 </t>
        </r>
        <r>
          <rPr>
            <i/>
            <sz val="14"/>
            <color rgb="FF000000"/>
            <rFont val="Times New Roman"/>
            <family val="18"/>
          </rPr>
          <t>bei der Affaire von Podgary vermisst</t>
        </r>
        <r>
          <rPr>
            <sz val="14"/>
            <color rgb="FF000000"/>
            <rFont val="Times New Roman"/>
            <family val="18"/>
          </rPr>
          <t xml:space="preserve"> [ST Mai 1809]</t>
        </r>
        <r>
          <rPr>
            <sz val="14"/>
            <color rgb="FF000000"/>
            <rFont val="Calibri"/>
            <family val="34"/>
          </rPr>
          <t xml:space="preserve">
</t>
        </r>
      </text>
    </comment>
    <comment ref="BG261" authorId="0" shapeId="0" xr:uid="{7984884D-3C0D-024F-9FBC-A35E349F845B}">
      <text>
        <r>
          <rPr>
            <sz val="14"/>
            <color rgb="FF000000"/>
            <rFont val="Times New Roman"/>
            <family val="18"/>
          </rPr>
          <t>ML 10.272 IR 43 (1802) – IR 43 Haupt Geisler Nr. 93 (Cattaro 28/08/1802)</t>
        </r>
        <r>
          <rPr>
            <sz val="14"/>
            <color rgb="FF000000"/>
            <rFont val="Calibri"/>
            <family val="34"/>
          </rPr>
          <t xml:space="preserve">
</t>
        </r>
        <r>
          <rPr>
            <sz val="14"/>
            <color rgb="FF000000"/>
            <rFont val="Times New Roman"/>
            <family val="18"/>
          </rPr>
          <t>ML 10.273 IR 43 (1803) – IR 43 Haupt Geisler Nr. 83 (Cattaro 02/11/1803)</t>
        </r>
        <r>
          <rPr>
            <sz val="14"/>
            <color rgb="FF000000"/>
            <rFont val="Calibri"/>
            <family val="34"/>
          </rPr>
          <t xml:space="preserve">
</t>
        </r>
        <r>
          <rPr>
            <sz val="14"/>
            <color rgb="FF000000"/>
            <rFont val="Times New Roman"/>
            <family val="18"/>
          </rPr>
          <t>ML 10.274 IR 43 (1804) – IR 43 Haupt Geisler Nr. 80 (Theodo 05/10/1804)</t>
        </r>
        <r>
          <rPr>
            <sz val="14"/>
            <color rgb="FF000000"/>
            <rFont val="Calibri"/>
            <family val="34"/>
          </rPr>
          <t xml:space="preserve">
</t>
        </r>
        <r>
          <rPr>
            <sz val="14"/>
            <color rgb="FF000000"/>
            <rFont val="Times New Roman"/>
            <family val="18"/>
          </rPr>
          <t>ML 10.275/6 IR 43 (1805) – IR 43 10. Fus Comp Nr. 71 (Spalato 23/10/1805)</t>
        </r>
        <r>
          <rPr>
            <sz val="14"/>
            <color rgb="FF000000"/>
            <rFont val="Calibri"/>
            <family val="34"/>
          </rPr>
          <t xml:space="preserve">
</t>
        </r>
        <r>
          <rPr>
            <sz val="14"/>
            <color rgb="FF000000"/>
            <rFont val="Times New Roman"/>
            <family val="18"/>
          </rPr>
          <t>ML 10.277/8 IR 43 (1806) – IR 43 14. Fus Comp Nr. 63(Laibach 02/12/1806)</t>
        </r>
        <r>
          <rPr>
            <sz val="14"/>
            <color rgb="FF000000"/>
            <rFont val="Calibri"/>
            <family val="34"/>
          </rPr>
          <t xml:space="preserve">
</t>
        </r>
        <r>
          <rPr>
            <sz val="14"/>
            <color rgb="FF000000"/>
            <rFont val="Times New Roman"/>
            <family val="18"/>
          </rPr>
          <t>ML 10.279 IR 43 (1808-10) – RL 14. Fus Nr. 37 (Neustadt 02/09/1808)</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r>
          <rPr>
            <sz val="14"/>
            <color rgb="FF000000"/>
            <rFont val="Times New Roman"/>
            <family val="18"/>
          </rPr>
          <t>ML 10.313 IR 43 (1803) – ST Jänner (15/02/1803) und März (15/04/1803)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10.323 IR 43 (1809) – ST Feb (25/08/1810) und Mai (02/11/1810)</t>
        </r>
      </text>
    </comment>
    <comment ref="BH261" authorId="0" shapeId="0" xr:uid="{F0321C8F-1B84-C34D-BC78-EFE0118B3C40}">
      <text>
        <r>
          <rPr>
            <sz val="14"/>
            <color rgb="FF000000"/>
            <rFont val="Calibri"/>
            <family val="34"/>
          </rPr>
          <t>IR 43 (1799-1809)</t>
        </r>
      </text>
    </comment>
    <comment ref="B262" authorId="0" shapeId="0" xr:uid="{3074E35F-D674-104F-B04D-9BCFCF29C344}">
      <text>
        <r>
          <rPr>
            <sz val="14"/>
            <color rgb="FF000000"/>
            <rFont val="Calibri"/>
            <family val="34"/>
          </rPr>
          <t xml:space="preserve">ABRAHAM, Leib
</t>
        </r>
        <r>
          <rPr>
            <sz val="14"/>
            <color rgb="FF000000"/>
            <rFont val="Calibri"/>
            <family val="34"/>
          </rPr>
          <t>ABRAHAM, Hersch</t>
        </r>
      </text>
    </comment>
    <comment ref="I262" authorId="0" shapeId="0" xr:uid="{636CED5C-EC73-5748-96F7-F974040D869C}">
      <text>
        <r>
          <rPr>
            <sz val="14"/>
            <color rgb="FF000000"/>
            <rFont val="Calibri"/>
            <family val="34"/>
          </rPr>
          <t xml:space="preserve">1767 [35 (1802)] 
</t>
        </r>
        <r>
          <rPr>
            <sz val="14"/>
            <color rgb="FF000000"/>
            <rFont val="Calibri"/>
            <family val="34"/>
          </rPr>
          <t xml:space="preserve">OR 
</t>
        </r>
        <r>
          <rPr>
            <sz val="14"/>
            <color rgb="FF000000"/>
            <rFont val="Calibri"/>
            <family val="34"/>
          </rPr>
          <t>1780 [20 (1800)]</t>
        </r>
      </text>
    </comment>
    <comment ref="K262" authorId="0" shapeId="0" xr:uid="{3665B945-DE19-0C4F-B9AB-46F70E267415}">
      <text>
        <r>
          <rPr>
            <sz val="14"/>
            <color rgb="FF000000"/>
            <rFont val="Calibri"/>
            <family val="34"/>
          </rPr>
          <t xml:space="preserve">Schneider  (1803)
</t>
        </r>
        <r>
          <rPr>
            <sz val="14"/>
            <color rgb="FF000000"/>
            <rFont val="Calibri"/>
            <family val="34"/>
          </rPr>
          <t>Kirschner (1803-6)</t>
        </r>
      </text>
    </comment>
    <comment ref="BF262" authorId="0" shapeId="0" xr:uid="{AF0ACA53-F4E5-DD46-8BAA-E60225D5667E}">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15/07/1799 von Ständen gestellt [ML 1799]</t>
        </r>
        <r>
          <rPr>
            <sz val="14"/>
            <color rgb="FF000000"/>
            <rFont val="Calibri"/>
            <family val="34"/>
          </rPr>
          <t xml:space="preserve">
</t>
        </r>
        <r>
          <rPr>
            <sz val="14"/>
            <color rgb="FF000000"/>
            <rFont val="Times New Roman"/>
            <family val="18"/>
          </rPr>
          <t xml:space="preserve">03/11/1799 </t>
        </r>
        <r>
          <rPr>
            <i/>
            <sz val="14"/>
            <color rgb="FF000000"/>
            <rFont val="Times New Roman"/>
            <family val="18"/>
          </rPr>
          <t xml:space="preserve">Nach anhero Marsch mit Friedensgebühr in der Reserve Division eingerückt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13/11/1799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Aufmarsch zum Regiment mit Kriegsgebühr</t>
        </r>
        <r>
          <rPr>
            <sz val="14"/>
            <color rgb="FF000000"/>
            <rFont val="Times New Roman"/>
            <family val="18"/>
          </rPr>
          <t xml:space="preserve"> [TL 1800 &amp; ST Feb 1800]</t>
        </r>
        <r>
          <rPr>
            <sz val="14"/>
            <color rgb="FF000000"/>
            <rFont val="Calibri"/>
            <family val="34"/>
          </rPr>
          <t xml:space="preserve">
</t>
        </r>
        <r>
          <rPr>
            <sz val="14"/>
            <color rgb="FF000000"/>
            <rFont val="Times New Roman"/>
            <family val="18"/>
          </rPr>
          <t xml:space="preserve">03/04/1800 </t>
        </r>
        <r>
          <rPr>
            <i/>
            <sz val="14"/>
            <color rgb="FF000000"/>
            <rFont val="Times New Roman"/>
            <family val="18"/>
          </rPr>
          <t>Von Reserve Division in Haupt Baumann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Haupt Baumann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07/07/1802 </t>
        </r>
        <r>
          <rPr>
            <i/>
            <sz val="14"/>
            <color rgb="FF000000"/>
            <rFont val="Times New Roman"/>
            <family val="18"/>
          </rPr>
          <t>Bestimmt beurlaubt 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28/08/1802 Muster: IR 43 Haupt Baumann Nr. 56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bestimmte zum unbestimmte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01/11/1803 Muster: IR 43 Haupt Baumann Comp Nr. 52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05/10/1804 Muster: IR 43 Haupt Baumann Komp. Nr. 49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17/06/1805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Depot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23/10/1805 Muster: IR 43 12. Fus Comp Nr. 54 [</t>
        </r>
        <r>
          <rPr>
            <i/>
            <sz val="14"/>
            <color rgb="FF000000"/>
            <rFont val="Times New Roman"/>
            <family val="18"/>
          </rPr>
          <t>Bei Abrichtungsdepot zugeheilt</t>
        </r>
        <r>
          <rPr>
            <sz val="14"/>
            <color rgb="FF000000"/>
            <rFont val="Times New Roman"/>
            <family val="18"/>
          </rPr>
          <t>]</t>
        </r>
        <r>
          <rPr>
            <sz val="14"/>
            <color rgb="FF000000"/>
            <rFont val="Calibri"/>
            <family val="34"/>
          </rPr>
          <t xml:space="preserve">
</t>
        </r>
        <r>
          <rPr>
            <sz val="14"/>
            <color rgb="FF000000"/>
            <rFont val="Times New Roman"/>
            <family val="18"/>
          </rPr>
          <t>01/12/1806 Muster: IR 43 16. Fus Comp Nr. 34</t>
        </r>
        <r>
          <rPr>
            <sz val="14"/>
            <color rgb="FF000000"/>
            <rFont val="Calibri"/>
            <family val="34"/>
          </rPr>
          <t xml:space="preserve">
</t>
        </r>
        <r>
          <rPr>
            <sz val="14"/>
            <color rgb="FF000000"/>
            <rFont val="Times New Roman"/>
            <family val="18"/>
          </rPr>
          <t xml:space="preserve">06/08/1807 </t>
        </r>
        <r>
          <rPr>
            <i/>
            <sz val="14"/>
            <color rgb="FF000000"/>
            <rFont val="Times New Roman"/>
            <family val="18"/>
          </rPr>
          <t>Auf Ritt Nach Gratz</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15/08/1807 </t>
        </r>
        <r>
          <rPr>
            <i/>
            <sz val="14"/>
            <color rgb="FF000000"/>
            <rFont val="Times New Roman"/>
            <family val="18"/>
          </rPr>
          <t>Wieder Zurück</t>
        </r>
        <r>
          <rPr>
            <sz val="14"/>
            <color rgb="FF000000"/>
            <rFont val="Times New Roman"/>
            <family val="18"/>
          </rPr>
          <t xml:space="preserve"> [ST Aug 1807]</t>
        </r>
        <r>
          <rPr>
            <sz val="14"/>
            <color rgb="FF000000"/>
            <rFont val="Calibri"/>
            <family val="34"/>
          </rPr>
          <t xml:space="preserve">
</t>
        </r>
        <r>
          <rPr>
            <sz val="14"/>
            <color rgb="FF000000"/>
            <rFont val="Times New Roman"/>
            <family val="18"/>
          </rPr>
          <t>06/09/1808 Revision: IR 43 16. Fus Komp Nr. 29</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18.</t>
        </r>
        <r>
          <rPr>
            <sz val="14"/>
            <color rgb="FF000000"/>
            <rFont val="Times New Roman"/>
            <family val="18"/>
          </rPr>
          <t xml:space="preserve"> [früher 16. Fus]</t>
        </r>
        <r>
          <rPr>
            <i/>
            <sz val="14"/>
            <color rgb="FF000000"/>
            <rFont val="Times New Roman"/>
            <family val="18"/>
          </rPr>
          <t xml:space="preserve"> zum 2. Depot Komp. transferiert </t>
        </r>
        <r>
          <rPr>
            <sz val="14"/>
            <color rgb="FF000000"/>
            <rFont val="Times New Roman"/>
            <family val="18"/>
          </rPr>
          <t>[ST Feb 1809]</t>
        </r>
        <r>
          <rPr>
            <sz val="14"/>
            <color rgb="FF000000"/>
            <rFont val="Calibri"/>
            <family val="34"/>
          </rPr>
          <t xml:space="preserve">
</t>
        </r>
        <r>
          <rPr>
            <sz val="14"/>
            <color rgb="FF000000"/>
            <rFont val="Times New Roman"/>
            <family val="18"/>
          </rPr>
          <t xml:space="preserve">31/08/1809 </t>
        </r>
        <r>
          <rPr>
            <i/>
            <sz val="14"/>
            <color rgb="FF000000"/>
            <rFont val="Times New Roman"/>
            <family val="18"/>
          </rPr>
          <t>Von 2. Depot Komp. zum 10. Fus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25/02/1810 Dissolvierung: IR 43 18 Fus. Komp Nr. 87 [Sic!] [zu IR 24 Strauch einzuteilen]</t>
        </r>
        <r>
          <rPr>
            <sz val="14"/>
            <color rgb="FF000000"/>
            <rFont val="Calibri"/>
            <family val="34"/>
          </rPr>
          <t xml:space="preserve">
</t>
        </r>
        <r>
          <rPr>
            <sz val="14"/>
            <color rgb="FF000000"/>
            <rFont val="Times New Roman"/>
            <family val="18"/>
          </rPr>
          <t xml:space="preserve">06/03/1810 </t>
        </r>
        <r>
          <rPr>
            <i/>
            <sz val="14"/>
            <color rgb="FF000000"/>
            <rFont val="Times New Roman"/>
            <family val="18"/>
          </rPr>
          <t xml:space="preserve">Von dissolvierte IR 43 10. Fus Comp. zum IR 24 ‚Strauch transferiert, seitdem auf Anhero Marsch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10/04/1810 </t>
        </r>
        <r>
          <rPr>
            <i/>
            <sz val="14"/>
            <color rgb="FF000000"/>
            <rFont val="Times New Roman"/>
            <family val="18"/>
          </rPr>
          <t>Ins Regiment eingerückt und zur 4. Fus. Komp. eingeteilt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15/11/1810 </t>
        </r>
        <r>
          <rPr>
            <i/>
            <sz val="14"/>
            <color rgb="FF000000"/>
            <rFont val="Times New Roman"/>
            <family val="18"/>
          </rPr>
          <t>Als Ausgedienter Veteran Mit Abschied entlassen</t>
        </r>
        <r>
          <rPr>
            <sz val="14"/>
            <color rgb="FF000000"/>
            <rFont val="Times New Roman"/>
            <family val="18"/>
          </rPr>
          <t xml:space="preserve"> [ML 1811]</t>
        </r>
        <r>
          <rPr>
            <sz val="14"/>
            <color rgb="FF000000"/>
            <rFont val="Calibri"/>
            <family val="34"/>
          </rPr>
          <t xml:space="preserve">
</t>
        </r>
      </text>
    </comment>
    <comment ref="BG262" authorId="0" shapeId="0" xr:uid="{5F3AFAFB-21A9-5C4A-927C-431277943AEF}">
      <text>
        <r>
          <rPr>
            <sz val="14"/>
            <color rgb="FF000000"/>
            <rFont val="Times New Roman"/>
            <family val="18"/>
          </rPr>
          <t>ML 10.272 IR 43 (1802) – Haupt Baumann Nr. 56 (Cattaro 28/08/1802)</t>
        </r>
        <r>
          <rPr>
            <sz val="14"/>
            <color rgb="FF000000"/>
            <rFont val="Calibri"/>
            <family val="34"/>
          </rPr>
          <t xml:space="preserve">
</t>
        </r>
        <r>
          <rPr>
            <sz val="14"/>
            <color rgb="FF000000"/>
            <rFont val="Times New Roman"/>
            <family val="18"/>
          </rPr>
          <t>ML 10.273 IR 43 (1803) – Haupt Baumann Nr. 52 (Cattaro 01/11/1803)</t>
        </r>
        <r>
          <rPr>
            <sz val="14"/>
            <color rgb="FF000000"/>
            <rFont val="Calibri"/>
            <family val="34"/>
          </rPr>
          <t xml:space="preserve">
</t>
        </r>
        <r>
          <rPr>
            <sz val="14"/>
            <color rgb="FF000000"/>
            <rFont val="Times New Roman"/>
            <family val="18"/>
          </rPr>
          <t>ML 10.274 IR 43 (1804) – Haupt Baumann Nr. 49 (Theodo 05/10/1804)</t>
        </r>
        <r>
          <rPr>
            <sz val="14"/>
            <color rgb="FF000000"/>
            <rFont val="Calibri"/>
            <family val="34"/>
          </rPr>
          <t xml:space="preserve">
</t>
        </r>
        <r>
          <rPr>
            <sz val="14"/>
            <color rgb="FF000000"/>
            <rFont val="Times New Roman"/>
            <family val="18"/>
          </rPr>
          <t>ML 10.275/6 IR 43 (1805) – 12. Fus Comp Nr. 53 (Spalato 23/10/1805)</t>
        </r>
        <r>
          <rPr>
            <sz val="14"/>
            <color rgb="FF000000"/>
            <rFont val="Calibri"/>
            <family val="34"/>
          </rPr>
          <t xml:space="preserve">
</t>
        </r>
        <r>
          <rPr>
            <sz val="14"/>
            <color rgb="FF000000"/>
            <rFont val="Times New Roman"/>
            <family val="18"/>
          </rPr>
          <t>ML 10.277/8 IR 43 (1806) – 16. Fus Comp Nr. 34 (Laibach 01/12/1806)</t>
        </r>
        <r>
          <rPr>
            <sz val="14"/>
            <color rgb="FF000000"/>
            <rFont val="Calibri"/>
            <family val="34"/>
          </rPr>
          <t xml:space="preserve">
</t>
        </r>
        <r>
          <rPr>
            <sz val="14"/>
            <color rgb="FF000000"/>
            <rFont val="Times New Roman"/>
            <family val="18"/>
          </rPr>
          <t>ML 10.279 IR 43 (1808-10) – RL 16. Fus Comp Nr. 29 (Laibach 06/09/1808) &amp; DL 18. Fus Comp Nr. 87 (Vordenberg 25/02/1810)</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10.309 IR 43 (1800) – ST Feb (06/04/1801) und April (24/01/1802)</t>
        </r>
        <r>
          <rPr>
            <sz val="14"/>
            <color rgb="FF000000"/>
            <rFont val="Calibri"/>
            <family val="34"/>
          </rPr>
          <t xml:space="preserve">
</t>
        </r>
        <r>
          <rPr>
            <sz val="14"/>
            <color rgb="FF000000"/>
            <rFont val="Times New Roman"/>
            <family val="18"/>
          </rPr>
          <t>ML 10.310 IR 43 (1800) – TL IR 43 Res Div-&gt;Feld Nr. 140 (Laibach, 05/02/1800)</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10.313 IR 43 (1803) – ST March (15/04/1803)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ML 10.319 IR 43 (1807) – ST Aug (12/09/1807)</t>
        </r>
        <r>
          <rPr>
            <sz val="14"/>
            <color rgb="FF000000"/>
            <rFont val="Calibri"/>
            <family val="34"/>
          </rPr>
          <t xml:space="preserve">
</t>
        </r>
        <r>
          <rPr>
            <sz val="14"/>
            <color rgb="FF000000"/>
            <rFont val="Times New Roman"/>
            <family val="18"/>
          </rPr>
          <t>ML 10.323 IR 43 (1809) – ST Feb (25/08/1810) und Sept (25/12/1810)</t>
        </r>
        <r>
          <rPr>
            <sz val="14"/>
            <color rgb="FF000000"/>
            <rFont val="Calibri"/>
            <family val="34"/>
          </rPr>
          <t xml:space="preserve">
</t>
        </r>
        <r>
          <rPr>
            <sz val="14"/>
            <color rgb="FF000000"/>
            <rFont val="Times New Roman"/>
            <family val="18"/>
          </rPr>
          <t>ML 10.325 IR 43 (1810) – ST März (11/02/1811)</t>
        </r>
        <r>
          <rPr>
            <sz val="14"/>
            <color rgb="FF000000"/>
            <rFont val="Calibri"/>
            <family val="34"/>
          </rPr>
          <t xml:space="preserve">
</t>
        </r>
        <r>
          <rPr>
            <sz val="14"/>
            <color rgb="FF000000"/>
            <rFont val="Times New Roman"/>
            <family val="18"/>
          </rPr>
          <t>ML 1942 IR 24 (1811) – 4. Fus. Komp. Abgang (Mostan, 23/09/1811)</t>
        </r>
        <r>
          <rPr>
            <sz val="14"/>
            <color rgb="FF000000"/>
            <rFont val="Calibri"/>
            <family val="34"/>
          </rPr>
          <t xml:space="preserve">
</t>
        </r>
        <r>
          <rPr>
            <sz val="14"/>
            <color rgb="FF000000"/>
            <rFont val="Times New Roman"/>
            <family val="18"/>
          </rPr>
          <t>ML 2000 IR 24 (1810) – April (Raab 10/06/1812)</t>
        </r>
        <r>
          <rPr>
            <sz val="14"/>
            <color rgb="FF000000"/>
            <rFont val="Calibri"/>
            <family val="34"/>
          </rPr>
          <t xml:space="preserve">
</t>
        </r>
      </text>
    </comment>
    <comment ref="BH262" authorId="0" shapeId="0" xr:uid="{8C34E684-65CC-BD42-BA3E-0AA719FC2B76}">
      <text>
        <r>
          <rPr>
            <sz val="14"/>
            <color rgb="FF000000"/>
            <rFont val="Calibri"/>
            <family val="34"/>
          </rPr>
          <t xml:space="preserve">IR 43 (1799-1810)
</t>
        </r>
        <r>
          <rPr>
            <sz val="14"/>
            <color rgb="FF000000"/>
            <rFont val="Calibri"/>
            <family val="34"/>
          </rPr>
          <t>IR 24 (1810)</t>
        </r>
      </text>
    </comment>
    <comment ref="BF263" authorId="0" shapeId="0" xr:uid="{92469368-D16D-E941-829E-467930D380F6}">
      <text>
        <r>
          <rPr>
            <sz val="14"/>
            <color rgb="FF000000"/>
            <rFont val="Times New Roman"/>
            <family val="18"/>
          </rPr>
          <t xml:space="preserve">22/07/1799 </t>
        </r>
        <r>
          <rPr>
            <i/>
            <sz val="14"/>
            <color rgb="FF000000"/>
            <rFont val="Times New Roman"/>
            <family val="18"/>
          </rPr>
          <t>Von Ständen gestellt und auf 3Fl zum Sandmierz assentiert, seitdem aud anhero Marsch mit Friedensgebuhr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10/1799 </t>
        </r>
        <r>
          <rPr>
            <i/>
            <sz val="14"/>
            <color rgb="FF000000"/>
            <rFont val="Times New Roman"/>
            <family val="18"/>
          </rPr>
          <t>Ins Reserve Division eingerückt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07/01/1800 </t>
        </r>
        <r>
          <rPr>
            <i/>
            <sz val="14"/>
            <color rgb="FF000000"/>
            <rFont val="Times New Roman"/>
            <family val="18"/>
          </rPr>
          <t>Zu Laibach in loco gestorben</t>
        </r>
        <r>
          <rPr>
            <sz val="14"/>
            <color rgb="FF000000"/>
            <rFont val="Times New Roman"/>
            <family val="18"/>
          </rPr>
          <t xml:space="preserve"> [ST Jan 1800]</t>
        </r>
        <r>
          <rPr>
            <sz val="14"/>
            <color rgb="FF000000"/>
            <rFont val="Calibri"/>
            <family val="34"/>
          </rPr>
          <t xml:space="preserve">
</t>
        </r>
      </text>
    </comment>
    <comment ref="BG263" authorId="0" shapeId="0" xr:uid="{733D3BA6-19CA-3947-8EA2-3521F0604129}">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r>
          <rPr>
            <sz val="14"/>
            <color rgb="FF000000"/>
            <rFont val="Times New Roman"/>
            <family val="18"/>
          </rPr>
          <t>ML 10.309 IR 43 (1800) – ST Jän (26/02/1801)</t>
        </r>
        <r>
          <rPr>
            <sz val="14"/>
            <color rgb="FF000000"/>
            <rFont val="Calibri"/>
            <family val="34"/>
          </rPr>
          <t xml:space="preserve">
</t>
        </r>
      </text>
    </comment>
    <comment ref="BH263" authorId="0" shapeId="0" xr:uid="{A2DD0514-F97C-7F40-AADC-10F9692E88A8}">
      <text>
        <r>
          <rPr>
            <sz val="14"/>
            <color rgb="FF000000"/>
            <rFont val="Calibri"/>
            <family val="34"/>
          </rPr>
          <t>IR 43 (1799-1800)</t>
        </r>
      </text>
    </comment>
    <comment ref="BF264" authorId="0" shapeId="0" xr:uid="{766A8904-A555-674D-8553-20F1C3C6EA9D}">
      <text>
        <r>
          <rPr>
            <sz val="14"/>
            <color rgb="FF000000"/>
            <rFont val="Times New Roman"/>
            <family val="18"/>
          </rPr>
          <t xml:space="preserve">22/07/1799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25/11/1799 </t>
        </r>
        <r>
          <rPr>
            <i/>
            <sz val="14"/>
            <color rgb="FF000000"/>
            <rFont val="Times New Roman"/>
            <family val="18"/>
          </rPr>
          <t xml:space="preserve">Vermög hoher General Commando Verordnung det. Graz am 18. Xbrs mit Laufpass entlassen </t>
        </r>
        <r>
          <rPr>
            <sz val="14"/>
            <color rgb="FF000000"/>
            <rFont val="Times New Roman"/>
            <family val="18"/>
          </rPr>
          <t>[ST Feb 1800]</t>
        </r>
        <r>
          <rPr>
            <sz val="14"/>
            <color rgb="FF000000"/>
            <rFont val="Calibri"/>
            <family val="34"/>
          </rPr>
          <t xml:space="preserve">
</t>
        </r>
      </text>
    </comment>
    <comment ref="BG264" authorId="0" shapeId="0" xr:uid="{8626787F-6447-834B-B4A5-FFE20267DBF5}">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35 (Sandomierz 31/08/1799)</t>
        </r>
        <r>
          <rPr>
            <sz val="14"/>
            <color rgb="FF000000"/>
            <rFont val="Calibri"/>
            <family val="34"/>
          </rPr>
          <t xml:space="preserve">
</t>
        </r>
        <r>
          <rPr>
            <sz val="14"/>
            <color rgb="FF000000"/>
            <rFont val="Times New Roman"/>
            <family val="18"/>
          </rPr>
          <t>ML 10.309 IR 43 (1800) – ST Feb (06/04/1801)</t>
        </r>
        <r>
          <rPr>
            <sz val="14"/>
            <color rgb="FF000000"/>
            <rFont val="Calibri"/>
            <family val="34"/>
          </rPr>
          <t xml:space="preserve">
</t>
        </r>
      </text>
    </comment>
    <comment ref="BH264" authorId="0" shapeId="0" xr:uid="{E72565E1-C6CF-8544-B999-2AD6240FF6A9}">
      <text>
        <r>
          <rPr>
            <sz val="14"/>
            <color rgb="FF000000"/>
            <rFont val="Calibri"/>
            <family val="34"/>
          </rPr>
          <t>IR 43 (1799)</t>
        </r>
      </text>
    </comment>
    <comment ref="BF265" authorId="0" shapeId="0" xr:uid="{90C2DFAD-857C-DB43-96CF-96332D8B44DD}">
      <text>
        <r>
          <rPr>
            <sz val="14"/>
            <color rgb="FF000000"/>
            <rFont val="Times New Roman"/>
            <family val="18"/>
          </rPr>
          <t>ML 10.308 IR 43 (1799) – Nov (12/10/1800)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r>
          <rPr>
            <sz val="14"/>
            <color rgb="FF000000"/>
            <rFont val="Times New Roman"/>
            <family val="18"/>
          </rPr>
          <t>ML 10.309 IR 43 (1800) – ST Nov (02/04/1804)</t>
        </r>
        <r>
          <rPr>
            <sz val="14"/>
            <color rgb="FF000000"/>
            <rFont val="Calibri"/>
            <family val="34"/>
          </rPr>
          <t xml:space="preserve">
</t>
        </r>
        <r>
          <rPr>
            <sz val="14"/>
            <color rgb="FF000000"/>
            <rFont val="Times New Roman"/>
            <family val="18"/>
          </rPr>
          <t>ML 10.311 IR 43 (1801) – März (10/10/1804), Oct (21/07/1805)</t>
        </r>
        <r>
          <rPr>
            <sz val="14"/>
            <color rgb="FF000000"/>
            <rFont val="Calibri"/>
            <family val="34"/>
          </rPr>
          <t xml:space="preserve">
</t>
        </r>
      </text>
    </comment>
    <comment ref="BG265" authorId="0" shapeId="0" xr:uid="{527B40C4-8FF7-F744-8FC3-BFDE82FA8530}">
      <text>
        <r>
          <rPr>
            <sz val="14"/>
            <color rgb="FF000000"/>
            <rFont val="Times New Roman"/>
            <family val="18"/>
          </rPr>
          <t>ML 10.308 IR 43 (1799) – Nov (12/10/1800)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r>
          <rPr>
            <sz val="14"/>
            <color rgb="FF000000"/>
            <rFont val="Times New Roman"/>
            <family val="18"/>
          </rPr>
          <t>ML 10.309 IR 43 (1800) – ST Nov (02/04/1804)</t>
        </r>
        <r>
          <rPr>
            <sz val="14"/>
            <color rgb="FF000000"/>
            <rFont val="Calibri"/>
            <family val="34"/>
          </rPr>
          <t xml:space="preserve">
</t>
        </r>
        <r>
          <rPr>
            <sz val="14"/>
            <color rgb="FF000000"/>
            <rFont val="Times New Roman"/>
            <family val="18"/>
          </rPr>
          <t>ML 10.311 IR 43 (1801) – März (10/10/1804), Oct (21/07/1805)</t>
        </r>
        <r>
          <rPr>
            <sz val="14"/>
            <color rgb="FF000000"/>
            <rFont val="Calibri"/>
            <family val="34"/>
          </rPr>
          <t xml:space="preserve">
</t>
        </r>
      </text>
    </comment>
    <comment ref="BH265" authorId="0" shapeId="0" xr:uid="{5E3AD9B7-965D-CF4D-8592-747A57DA69FB}">
      <text>
        <r>
          <rPr>
            <sz val="14"/>
            <color rgb="FF000000"/>
            <rFont val="Calibri"/>
            <family val="34"/>
          </rPr>
          <t>IR 43 (1799-1801)</t>
        </r>
      </text>
    </comment>
    <comment ref="J266" authorId="0" shapeId="0" xr:uid="{A5329BD5-0202-4A4B-A474-1A083E5881D2}">
      <text>
        <r>
          <rPr>
            <sz val="14"/>
            <color rgb="FF000000"/>
            <rFont val="Calibri"/>
            <family val="34"/>
          </rPr>
          <t>Veheiratet (1799)</t>
        </r>
        <r>
          <rPr>
            <sz val="14"/>
            <color rgb="FF000000"/>
            <rFont val="Calibri"/>
            <family val="34"/>
          </rPr>
          <t xml:space="preserve">
</t>
        </r>
        <r>
          <rPr>
            <sz val="14"/>
            <color rgb="FF000000"/>
            <rFont val="Calibri"/>
            <family val="34"/>
          </rPr>
          <t>Ledig (1802-1803)</t>
        </r>
      </text>
    </comment>
    <comment ref="T266" authorId="0" shapeId="0" xr:uid="{5D6919F7-BC62-4542-8BDB-1AD5077448A6}">
      <text>
        <r>
          <rPr>
            <sz val="14"/>
            <color rgb="FF000000"/>
            <rFont val="Calibri"/>
            <family val="34"/>
          </rPr>
          <t xml:space="preserve">5.1.2 (161.07 cm) [AL Aug 1799]
</t>
        </r>
        <r>
          <rPr>
            <sz val="14"/>
            <color rgb="FF000000"/>
            <rFont val="Calibri"/>
            <family val="34"/>
          </rPr>
          <t>5.3.1 (166.11 cm) [ML 1802/3]</t>
        </r>
      </text>
    </comment>
    <comment ref="BF266" authorId="0" shapeId="0" xr:uid="{2998882D-96A8-ED46-806E-B591AEEF113E}">
      <text>
        <r>
          <rPr>
            <sz val="14"/>
            <color rgb="FFFF0000"/>
            <rFont val="Times New Roman"/>
            <family val="18"/>
          </rPr>
          <t xml:space="preserve">12/01/1799 </t>
        </r>
        <r>
          <rPr>
            <i/>
            <sz val="14"/>
            <color rgb="FFFF0000"/>
            <rFont val="Times New Roman"/>
            <family val="18"/>
          </rPr>
          <t>Von Ständen a 3Fl Handgeld gestellt [</t>
        </r>
        <r>
          <rPr>
            <sz val="14"/>
            <color rgb="FFFF0000"/>
            <rFont val="Times New Roman"/>
            <family val="18"/>
          </rPr>
          <t>ML 1802]</t>
        </r>
        <r>
          <rPr>
            <sz val="14"/>
            <color rgb="FF000000"/>
            <rFont val="Calibri"/>
            <family val="34"/>
          </rPr>
          <t xml:space="preserve">
</t>
        </r>
        <r>
          <rPr>
            <sz val="14"/>
            <color rgb="FF000000"/>
            <rFont val="Times New Roman"/>
            <family val="18"/>
          </rPr>
          <t xml:space="preserve">22/07/1799 </t>
        </r>
        <r>
          <rPr>
            <i/>
            <sz val="14"/>
            <color rgb="FF000000"/>
            <rFont val="Times New Roman"/>
            <family val="18"/>
          </rPr>
          <t xml:space="preserve">Von Ständen für Ostrowiec </t>
        </r>
        <r>
          <rPr>
            <b/>
            <sz val="14"/>
            <color rgb="FF000000"/>
            <rFont val="Times New Roman"/>
            <family val="18"/>
          </rPr>
          <t>[</t>
        </r>
        <r>
          <rPr>
            <b/>
            <u/>
            <sz val="14"/>
            <color rgb="FF0563C1"/>
            <rFont val="Times New Roman"/>
            <family val="18"/>
          </rPr>
          <t>Ostrowiec Świętokrzyski, Poland</t>
        </r>
        <r>
          <rPr>
            <b/>
            <sz val="14"/>
            <color rgb="FF000000"/>
            <rFont val="Times New Roman"/>
            <family val="18"/>
          </rPr>
          <t>]</t>
        </r>
        <r>
          <rPr>
            <sz val="14"/>
            <color rgb="FF000000"/>
            <rFont val="Times New Roman"/>
            <family val="18"/>
          </rPr>
          <t xml:space="preserve"> </t>
        </r>
        <r>
          <rPr>
            <i/>
            <sz val="14"/>
            <color rgb="FF000000"/>
            <rFont val="Times New Roman"/>
            <family val="18"/>
          </rPr>
          <t>a 3Fl Handgeld gestellt</t>
        </r>
        <r>
          <rPr>
            <sz val="14"/>
            <color rgb="FF000000"/>
            <rFont val="Times New Roman"/>
            <family val="18"/>
          </rPr>
          <t xml:space="preserve"> [AL 1799]</t>
        </r>
        <r>
          <rPr>
            <sz val="14"/>
            <color rgb="FF000000"/>
            <rFont val="Calibri"/>
            <family val="34"/>
          </rPr>
          <t xml:space="preserve">
</t>
        </r>
        <r>
          <rPr>
            <sz val="14"/>
            <color rgb="FF000000"/>
            <rFont val="Times New Roman"/>
            <family val="18"/>
          </rPr>
          <t xml:space="preserve">31/10/1799 </t>
        </r>
        <r>
          <rPr>
            <i/>
            <sz val="14"/>
            <color rgb="FF000000"/>
            <rFont val="Times New Roman"/>
            <family val="18"/>
          </rPr>
          <t>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20/11/1799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13/12/1799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20/12/1799 </t>
        </r>
        <r>
          <rPr>
            <i/>
            <sz val="14"/>
            <color rgb="FF000000"/>
            <rFont val="Times New Roman"/>
            <family val="18"/>
          </rPr>
          <t>Rekonvalesziert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25/01/1800 </t>
        </r>
        <r>
          <rPr>
            <i/>
            <sz val="14"/>
            <color rgb="FF000000"/>
            <rFont val="Times New Roman"/>
            <family val="18"/>
          </rPr>
          <t>Ferner Krank auswärts mit Kriegsgebühr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10/02/1800 </t>
        </r>
        <r>
          <rPr>
            <i/>
            <sz val="14"/>
            <color rgb="FF000000"/>
            <rFont val="Times New Roman"/>
            <family val="18"/>
          </rPr>
          <t>Rekonvalesziert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31/03/1800 </t>
        </r>
        <r>
          <rPr>
            <i/>
            <sz val="14"/>
            <color rgb="FF000000"/>
            <rFont val="Times New Roman"/>
            <family val="18"/>
          </rPr>
          <t>Ferner Krank auswärts mit Kriegsgebühr</t>
        </r>
        <r>
          <rPr>
            <sz val="14"/>
            <color rgb="FF000000"/>
            <rFont val="Times New Roman"/>
            <family val="18"/>
          </rPr>
          <t xml:space="preserve"> [ST March 1800]</t>
        </r>
        <r>
          <rPr>
            <sz val="14"/>
            <color rgb="FF000000"/>
            <rFont val="Calibri"/>
            <family val="34"/>
          </rPr>
          <t xml:space="preserve">
</t>
        </r>
        <r>
          <rPr>
            <sz val="14"/>
            <color rgb="FF000000"/>
            <rFont val="Times New Roman"/>
            <family val="18"/>
          </rPr>
          <t xml:space="preserve">10/05/1800 </t>
        </r>
        <r>
          <rPr>
            <i/>
            <sz val="14"/>
            <color rgb="FF000000"/>
            <rFont val="Times New Roman"/>
            <family val="18"/>
          </rPr>
          <t>In Reserve Division eingerückt</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25/06/1800 </t>
        </r>
        <r>
          <rPr>
            <i/>
            <sz val="14"/>
            <color rgb="FF000000"/>
            <rFont val="Times New Roman"/>
            <family val="18"/>
          </rPr>
          <t>Von Reserve Division ins Haupt Selmbach Komp. Transferiert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24/08/1802 Muster: IR 43 Haupt. Selmbach Komp. Nr. 84</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78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15/05/1804 </t>
        </r>
        <r>
          <rPr>
            <i/>
            <sz val="14"/>
            <color rgb="FF000000"/>
            <rFont val="Times New Roman"/>
            <family val="18"/>
          </rPr>
          <t>Als steuerbare Grundbesitzer gegen Stellung deas am 13ten April 804 zu Latterman Inf., Regt Nr. 45 zu Reszow asssentierte Recrouten Sebastian Panek mit Abschied entlassen</t>
        </r>
        <r>
          <rPr>
            <sz val="14"/>
            <color rgb="FF000000"/>
            <rFont val="Times New Roman"/>
            <family val="18"/>
          </rPr>
          <t xml:space="preserve"> [ST May 1804 &amp; ML 1804]</t>
        </r>
        <r>
          <rPr>
            <sz val="14"/>
            <color rgb="FF000000"/>
            <rFont val="Calibri"/>
            <family val="34"/>
          </rPr>
          <t xml:space="preserve">
</t>
        </r>
      </text>
    </comment>
    <comment ref="BG266" authorId="0" shapeId="0" xr:uid="{44B48571-63B0-DA46-9EC9-A67758E92FDC}">
      <text>
        <r>
          <rPr>
            <sz val="14"/>
            <color rgb="FF000000"/>
            <rFont val="Times New Roman"/>
            <family val="18"/>
          </rPr>
          <t>ML 10.272 IR 43 (1802) – Haupt Selmbach Komp. Nr. 84 (Budua 24/08/1802)</t>
        </r>
        <r>
          <rPr>
            <sz val="14"/>
            <color rgb="FF000000"/>
            <rFont val="Calibri"/>
            <family val="34"/>
          </rPr>
          <t xml:space="preserve">
</t>
        </r>
        <r>
          <rPr>
            <sz val="14"/>
            <color rgb="FF000000"/>
            <rFont val="Times New Roman"/>
            <family val="18"/>
          </rPr>
          <t>ML 10.273 IR 43 (1803) – Haupt Selmbach Komp. Nr. 78 (Knin 03/11/1803)</t>
        </r>
        <r>
          <rPr>
            <sz val="14"/>
            <color rgb="FF000000"/>
            <rFont val="Calibri"/>
            <family val="34"/>
          </rPr>
          <t xml:space="preserve">
</t>
        </r>
        <r>
          <rPr>
            <sz val="14"/>
            <color rgb="FF000000"/>
            <rFont val="Times New Roman"/>
            <family val="18"/>
          </rPr>
          <t>ML 10.274 IR 43 (1804) – Haupt Selmbach Komp. Abgang (Zara 15/09/1804)</t>
        </r>
        <r>
          <rPr>
            <sz val="14"/>
            <color rgb="FF000000"/>
            <rFont val="Calibri"/>
            <family val="34"/>
          </rPr>
          <t xml:space="preserve">
</t>
        </r>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36 (Sandomierz 31/08/1799)</t>
        </r>
        <r>
          <rPr>
            <sz val="14"/>
            <color rgb="FF000000"/>
            <rFont val="Calibri"/>
            <family val="34"/>
          </rPr>
          <t xml:space="preserve">
</t>
        </r>
        <r>
          <rPr>
            <sz val="14"/>
            <color rgb="FF000000"/>
            <rFont val="Times New Roman"/>
            <family val="18"/>
          </rPr>
          <t>ML 10.309 IR 43 (1800) – ST Jan (26/02/1801), Feb (06/04/1801), März (04/10/1801), Mai (??), Juni (27/08/1803)</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10.314 IR 43 (1804) – ST Mai (15/06/1804)</t>
        </r>
        <r>
          <rPr>
            <sz val="14"/>
            <color rgb="FF000000"/>
            <rFont val="Calibri"/>
            <family val="34"/>
          </rPr>
          <t xml:space="preserve">
</t>
        </r>
      </text>
    </comment>
    <comment ref="BH266" authorId="0" shapeId="0" xr:uid="{84DD4AE5-F640-CD4B-BB83-DAA3F604F59F}">
      <text>
        <r>
          <rPr>
            <sz val="14"/>
            <color rgb="FF000000"/>
            <rFont val="Calibri"/>
            <family val="34"/>
          </rPr>
          <t>IR 43 (1799-1804)</t>
        </r>
      </text>
    </comment>
    <comment ref="I267" authorId="0" shapeId="0" xr:uid="{1D38CD78-BD6C-474C-97B6-0E824488EAFA}">
      <text>
        <r>
          <rPr>
            <sz val="14"/>
            <color rgb="FF000000"/>
            <rFont val="Calibri"/>
            <family val="34"/>
          </rPr>
          <t xml:space="preserve">1778 [22 (TL 1800)]
</t>
        </r>
        <r>
          <rPr>
            <sz val="14"/>
            <color rgb="FF000000"/>
            <rFont val="Calibri"/>
            <family val="34"/>
          </rPr>
          <t xml:space="preserve">OR
</t>
        </r>
        <r>
          <rPr>
            <sz val="14"/>
            <color rgb="FF000000"/>
            <rFont val="Calibri"/>
            <family val="34"/>
          </rPr>
          <t xml:space="preserve">1781 [18 (AL 1799)] </t>
        </r>
      </text>
    </comment>
    <comment ref="K267" authorId="0" shapeId="0" xr:uid="{BC9D4287-7B06-D246-B8E1-270B22AFBF6F}">
      <text>
        <r>
          <rPr>
            <sz val="14"/>
            <color rgb="FF000000"/>
            <rFont val="Calibri"/>
            <family val="34"/>
          </rPr>
          <t xml:space="preserve">Ohne  (1799)
</t>
        </r>
        <r>
          <rPr>
            <sz val="14"/>
            <color rgb="FF000000"/>
            <rFont val="Calibri"/>
            <family val="34"/>
          </rPr>
          <t>Schneider (1800-1810)</t>
        </r>
      </text>
    </comment>
    <comment ref="T267" authorId="0" shapeId="0" xr:uid="{DA1E10E4-4E82-A14D-B3A1-B8742348704A}">
      <text>
        <r>
          <rPr>
            <sz val="14"/>
            <color rgb="FF000000"/>
            <rFont val="Calibri"/>
            <family val="34"/>
          </rPr>
          <t xml:space="preserve">5.2 (163.26 cm) [AL Aug 1799]
</t>
        </r>
        <r>
          <rPr>
            <sz val="14"/>
            <color rgb="FF000000"/>
            <rFont val="Calibri"/>
            <family val="34"/>
          </rPr>
          <t xml:space="preserve">5.2.3 (163.92 cm) [ML 1810]
</t>
        </r>
        <r>
          <rPr>
            <sz val="14"/>
            <color rgb="FF000000"/>
            <rFont val="Calibri"/>
            <family val="34"/>
          </rPr>
          <t>5.5.1 (171.37 cm) [TL June 1800]</t>
        </r>
      </text>
    </comment>
    <comment ref="BF267" authorId="0" shapeId="0" xr:uid="{2A920DDB-8EED-C641-A07D-E2ACE1CCAD63}">
      <text>
        <r>
          <rPr>
            <sz val="14"/>
            <color rgb="FFFF0000"/>
            <rFont val="Times New Roman"/>
            <family val="18"/>
          </rPr>
          <t xml:space="preserve">10/06/1799 </t>
        </r>
        <r>
          <rPr>
            <i/>
            <sz val="14"/>
            <color rgb="FFFF0000"/>
            <rFont val="Times New Roman"/>
            <family val="18"/>
          </rPr>
          <t>Als galizische ständische Recourt a 3Fl Handgeld assentiert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23/07/1799 </t>
        </r>
        <r>
          <rPr>
            <i/>
            <sz val="14"/>
            <color rgb="FF000000"/>
            <rFont val="Times New Roman"/>
            <family val="18"/>
          </rPr>
          <t>Von Ständen gestellt und zum IR 43 a 3Fl Handgeld zum Sandomierz assentiert, seitdem auf Anhero Marsch mit Friedensgebühr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Reserve Division eingerückt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Krank auswärts</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15/11/1799 </t>
        </r>
        <r>
          <rPr>
            <i/>
            <sz val="14"/>
            <color rgb="FF000000"/>
            <rFont val="Times New Roman"/>
            <family val="18"/>
          </rPr>
          <t>Rekonvalesziert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05/06/1800 </t>
        </r>
        <r>
          <rPr>
            <i/>
            <sz val="14"/>
            <color rgb="FF000000"/>
            <rFont val="Times New Roman"/>
            <family val="18"/>
          </rPr>
          <t>Von Reserve Division ins Regiment transferiert</t>
        </r>
        <r>
          <rPr>
            <sz val="14"/>
            <color rgb="FF000000"/>
            <rFont val="Times New Roman"/>
            <family val="18"/>
          </rPr>
          <t xml:space="preserve"> [Durchgestriechen] [TL June 1800]</t>
        </r>
        <r>
          <rPr>
            <sz val="14"/>
            <color rgb="FF000000"/>
            <rFont val="Calibri"/>
            <family val="34"/>
          </rPr>
          <t xml:space="preserve">
</t>
        </r>
        <r>
          <rPr>
            <sz val="14"/>
            <color rgb="FF000000"/>
            <rFont val="Times New Roman"/>
            <family val="18"/>
          </rPr>
          <t xml:space="preserve">15/12/1800 </t>
        </r>
        <r>
          <rPr>
            <i/>
            <sz val="14"/>
            <color rgb="FF000000"/>
            <rFont val="Times New Roman"/>
            <family val="18"/>
          </rPr>
          <t>Krank auswärts</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31/01/1801 </t>
        </r>
        <r>
          <rPr>
            <i/>
            <sz val="14"/>
            <color rgb="FF000000"/>
            <rFont val="Times New Roman"/>
            <family val="18"/>
          </rPr>
          <t>Rekonvalesziert und ins Reserve Division eingerückt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 Haupt Basta Companie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26/06/1802 </t>
        </r>
        <r>
          <rPr>
            <i/>
            <sz val="14"/>
            <color rgb="FF000000"/>
            <rFont val="Times New Roman"/>
            <family val="18"/>
          </rPr>
          <t>Hat bei Visitierung des Stationes durch Herrn Oberst Kleinmayrn die Jüdische Religion abgelegt und die Christ katholische angenommen und deswegen er in der Taufe die Namen Franz Kleinmayern erhalten</t>
        </r>
        <r>
          <rPr>
            <sz val="14"/>
            <color rgb="FF000000"/>
            <rFont val="Times New Roman"/>
            <family val="18"/>
          </rPr>
          <t>] [ML 1803 &amp; ML 1804]</t>
        </r>
        <r>
          <rPr>
            <sz val="14"/>
            <color rgb="FF000000"/>
            <rFont val="Calibri"/>
            <family val="34"/>
          </rPr>
          <t xml:space="preserve">
</t>
        </r>
        <r>
          <rPr>
            <sz val="14"/>
            <color rgb="FF000000"/>
            <rFont val="Times New Roman"/>
            <family val="18"/>
          </rPr>
          <t>21/08/1802 Muster: IR 43 Haupt Basta Komp. Nr. 126</t>
        </r>
        <r>
          <rPr>
            <sz val="14"/>
            <color rgb="FF000000"/>
            <rFont val="Calibri"/>
            <family val="34"/>
          </rPr>
          <t xml:space="preserve">
</t>
        </r>
        <r>
          <rPr>
            <sz val="14"/>
            <color rgb="FF000000"/>
            <rFont val="Times New Roman"/>
            <family val="18"/>
          </rPr>
          <t xml:space="preserve">30/06/1803 </t>
        </r>
        <r>
          <rPr>
            <i/>
            <sz val="14"/>
            <color rgb="FF000000"/>
            <rFont val="Times New Roman"/>
            <family val="18"/>
          </rPr>
          <t>Von Haupt Basta zum 2. Major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28/09/1803 Muster: IR 43 2. Major Komp. Nr. 155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07/10/1804 Muster: IR 43 2. Major Nr. 139</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[ML 1805]</t>
        </r>
        <r>
          <rPr>
            <sz val="14"/>
            <color rgb="FF000000"/>
            <rFont val="Calibri"/>
            <family val="34"/>
          </rPr>
          <t xml:space="preserve">
</t>
        </r>
        <r>
          <rPr>
            <sz val="14"/>
            <color rgb="FF000000"/>
            <rFont val="Times New Roman"/>
            <family val="18"/>
          </rPr>
          <t>01/10/1805 Muster: IR 43 5. Fus. Komp. Nr. 13</t>
        </r>
        <r>
          <rPr>
            <sz val="14"/>
            <color rgb="FF000000"/>
            <rFont val="Calibri"/>
            <family val="34"/>
          </rPr>
          <t xml:space="preserve">
</t>
        </r>
        <r>
          <rPr>
            <sz val="14"/>
            <color rgb="FF000000"/>
            <rFont val="Times New Roman"/>
            <family val="18"/>
          </rPr>
          <t>01/12/1806 Muster: IR 43 7. Fus. Komp. Nr. 11</t>
        </r>
        <r>
          <rPr>
            <sz val="14"/>
            <color rgb="FF000000"/>
            <rFont val="Calibri"/>
            <family val="34"/>
          </rPr>
          <t xml:space="preserve">
</t>
        </r>
        <r>
          <rPr>
            <sz val="14"/>
            <color rgb="FF000000"/>
            <rFont val="Times New Roman"/>
            <family val="18"/>
          </rPr>
          <t>06/09/1808 Revision: IR 43 7. Fus. Nr. 9 [Als Vital Kleinmayern]</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7. Zur 6. Fus. Komp. transferiert und zum Feldwebel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23/05/1809 </t>
        </r>
        <r>
          <rPr>
            <i/>
            <sz val="14"/>
            <color rgb="FF000000"/>
            <rFont val="Times New Roman"/>
            <family val="18"/>
          </rPr>
          <t>Bei der Übergabe des Laibacher Kastel in Kriegsgefangenschaft gefallen</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20/07/1809 </t>
        </r>
        <r>
          <rPr>
            <i/>
            <sz val="14"/>
            <color rgb="FF000000"/>
            <rFont val="Times New Roman"/>
            <family val="18"/>
          </rPr>
          <t>Sich selbst ranzioniert und in Depot Division in Arrest zugeteilt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7. Zur 10. Fus. Komp. transferiert</t>
        </r>
        <r>
          <rPr>
            <sz val="14"/>
            <color rgb="FF000000"/>
            <rFont val="Times New Roman"/>
            <family val="18"/>
          </rPr>
          <t xml:space="preserve">, </t>
        </r>
        <r>
          <rPr>
            <i/>
            <sz val="14"/>
            <color rgb="FF000000"/>
            <rFont val="Times New Roman"/>
            <family val="18"/>
          </rPr>
          <t>bleibt in Arrest</t>
        </r>
        <r>
          <rPr>
            <sz val="14"/>
            <color rgb="FF000000"/>
            <rFont val="Times New Roman"/>
            <family val="18"/>
          </rPr>
          <t xml:space="preserve"> [ST Aug]</t>
        </r>
        <r>
          <rPr>
            <sz val="14"/>
            <color rgb="FF000000"/>
            <rFont val="Calibri"/>
            <family val="34"/>
          </rPr>
          <t xml:space="preserve">
</t>
        </r>
        <r>
          <rPr>
            <sz val="14"/>
            <color rgb="FF000000"/>
            <rFont val="Times New Roman"/>
            <family val="18"/>
          </rPr>
          <t xml:space="preserve">26/10/1809 </t>
        </r>
        <r>
          <rPr>
            <i/>
            <sz val="14"/>
            <color rgb="FF000000"/>
            <rFont val="Times New Roman"/>
            <family val="18"/>
          </rPr>
          <t>Vermog Kriegsrechtlichen Sentenz auf Beständig zur Gemeiner degradiert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25/02/1810 Dissolvierung: 10. Fus. Komp. Nr. 100 [</t>
        </r>
        <r>
          <rPr>
            <i/>
            <sz val="14"/>
            <color rgb="FF000000"/>
            <rFont val="Times New Roman"/>
            <family val="18"/>
          </rPr>
          <t>Zum Chasteler eingeheilt</t>
        </r>
        <r>
          <rPr>
            <sz val="14"/>
            <color rgb="FF000000"/>
            <rFont val="Times New Roman"/>
            <family val="18"/>
          </rPr>
          <t>]</t>
        </r>
        <r>
          <rPr>
            <sz val="14"/>
            <color rgb="FF000000"/>
            <rFont val="Calibri"/>
            <family val="34"/>
          </rPr>
          <t xml:space="preserve">
</t>
        </r>
        <r>
          <rPr>
            <sz val="14"/>
            <color rgb="FF000000"/>
            <rFont val="Times New Roman"/>
            <family val="18"/>
          </rPr>
          <t xml:space="preserve">26/02/1810 </t>
        </r>
        <r>
          <rPr>
            <i/>
            <sz val="14"/>
            <color rgb="FF000000"/>
            <rFont val="Times New Roman"/>
            <family val="18"/>
          </rPr>
          <t xml:space="preserve">Von dissolvierte IR 43 10. Fus. Komp. zum IR 27 transferiert und zur 4. Fus. Komp. eingeteilt </t>
        </r>
        <r>
          <rPr>
            <sz val="14"/>
            <color rgb="FF000000"/>
            <rFont val="Times New Roman"/>
            <family val="18"/>
          </rPr>
          <t>[TL Juli 1810 &amp; ST Feb 1810 &amp; ST March 1810]</t>
        </r>
        <r>
          <rPr>
            <sz val="14"/>
            <color rgb="FF000000"/>
            <rFont val="Calibri"/>
            <family val="34"/>
          </rPr>
          <t xml:space="preserve">
</t>
        </r>
        <r>
          <rPr>
            <sz val="14"/>
            <color rgb="FF000000"/>
            <rFont val="Times New Roman"/>
            <family val="18"/>
          </rPr>
          <t>13/09/1810 Revision: IR 27 4. Fus. Komp. Nr. 130</t>
        </r>
        <r>
          <rPr>
            <sz val="14"/>
            <color rgb="FF000000"/>
            <rFont val="Calibri"/>
            <family val="34"/>
          </rPr>
          <t xml:space="preserve">
</t>
        </r>
        <r>
          <rPr>
            <sz val="14"/>
            <color rgb="FF000000"/>
            <rFont val="Times New Roman"/>
            <family val="18"/>
          </rPr>
          <t xml:space="preserve">31/07/1811 </t>
        </r>
        <r>
          <rPr>
            <i/>
            <sz val="14"/>
            <color rgb="FF000000"/>
            <rFont val="Times New Roman"/>
            <family val="18"/>
          </rPr>
          <t>Als Ausgediente Inländer Capitulant mit Abschied entlassen</t>
        </r>
        <r>
          <rPr>
            <sz val="14"/>
            <color rgb="FF000000"/>
            <rFont val="Times New Roman"/>
            <family val="18"/>
          </rPr>
          <t xml:space="preserve"> [ML 1811]</t>
        </r>
        <r>
          <rPr>
            <sz val="14"/>
            <color rgb="FF000000"/>
            <rFont val="Calibri"/>
            <family val="34"/>
          </rPr>
          <t xml:space="preserve">
</t>
        </r>
      </text>
    </comment>
    <comment ref="BG267" authorId="0" shapeId="0" xr:uid="{AA45234E-4A27-114F-8366-554C685EA41D}">
      <text>
        <r>
          <rPr>
            <sz val="14"/>
            <color rgb="FF000000"/>
            <rFont val="Times New Roman"/>
            <family val="18"/>
          </rPr>
          <t>ML 10.272 IR 43 (1802) – Haupt Basta Komp. Nr. 126 (Risano 21/08/1802)</t>
        </r>
        <r>
          <rPr>
            <sz val="14"/>
            <color rgb="FF000000"/>
            <rFont val="Calibri"/>
            <family val="34"/>
          </rPr>
          <t xml:space="preserve">
</t>
        </r>
        <r>
          <rPr>
            <sz val="14"/>
            <color rgb="FF000000"/>
            <rFont val="Times New Roman"/>
            <family val="18"/>
          </rPr>
          <t>ML 10.273 IR 43 (1803) – 2. Major Komp. Nr. 155 (Zara 28/09/1803)</t>
        </r>
        <r>
          <rPr>
            <sz val="14"/>
            <color rgb="FF000000"/>
            <rFont val="Calibri"/>
            <family val="34"/>
          </rPr>
          <t xml:space="preserve">
</t>
        </r>
        <r>
          <rPr>
            <sz val="14"/>
            <color rgb="FF000000"/>
            <rFont val="Times New Roman"/>
            <family val="18"/>
          </rPr>
          <t>ML 10.274 IR 43 (1804) – 2. Major Komp. Nr. 139 (Zara 15/09/1804)</t>
        </r>
        <r>
          <rPr>
            <sz val="14"/>
            <color rgb="FF000000"/>
            <rFont val="Calibri"/>
            <family val="34"/>
          </rPr>
          <t xml:space="preserve">
</t>
        </r>
        <r>
          <rPr>
            <sz val="14"/>
            <color rgb="FF000000"/>
            <rFont val="Times New Roman"/>
            <family val="18"/>
          </rPr>
          <t>ML 10.275/6 IR 43 (1805) – 5. Fus. Komp. Nr. 13 (Zara 01/10/1805)</t>
        </r>
        <r>
          <rPr>
            <sz val="14"/>
            <color rgb="FF000000"/>
            <rFont val="Calibri"/>
            <family val="34"/>
          </rPr>
          <t xml:space="preserve">
</t>
        </r>
        <r>
          <rPr>
            <sz val="14"/>
            <color rgb="FF000000"/>
            <rFont val="Times New Roman"/>
            <family val="18"/>
          </rPr>
          <t>ML 10.277/8 IR 43 (1806) – 7. Komp. Nr. 11 (Laibach 01/12/1806)</t>
        </r>
        <r>
          <rPr>
            <sz val="14"/>
            <color rgb="FF000000"/>
            <rFont val="Calibri"/>
            <family val="34"/>
          </rPr>
          <t xml:space="preserve">
</t>
        </r>
        <r>
          <rPr>
            <sz val="14"/>
            <color rgb="FF000000"/>
            <rFont val="Times New Roman"/>
            <family val="18"/>
          </rPr>
          <t>ML 10.279 IR 43 (1808-10) – RL 7. Fus. Komp. Nr. 9 (Laibach 06/09/1808) &amp; DL 10. Fus. Komp. Nr. 100 (Vordenberg 25/02/1810)</t>
        </r>
        <r>
          <rPr>
            <sz val="14"/>
            <color rgb="FF000000"/>
            <rFont val="Calibri"/>
            <family val="34"/>
          </rPr>
          <t xml:space="preserve">
</t>
        </r>
        <r>
          <rPr>
            <sz val="14"/>
            <color rgb="FF000000"/>
            <rFont val="Times New Roman"/>
            <family val="18"/>
          </rPr>
          <t>ML 10.307 IR 43 (1799) – Nov (12/10/1800)</t>
        </r>
        <r>
          <rPr>
            <sz val="14"/>
            <color rgb="FF000000"/>
            <rFont val="Calibri"/>
            <family val="34"/>
          </rPr>
          <t xml:space="preserve">
</t>
        </r>
        <r>
          <rPr>
            <sz val="14"/>
            <color rgb="FF000000"/>
            <rFont val="Times New Roman"/>
            <family val="18"/>
          </rPr>
          <t>ML 10.308 IR 43 (1799) – AL Nr. 42 (Sandomierz 31/08/1799)</t>
        </r>
        <r>
          <rPr>
            <sz val="14"/>
            <color rgb="FF000000"/>
            <rFont val="Calibri"/>
            <family val="34"/>
          </rPr>
          <t xml:space="preserve">
</t>
        </r>
        <r>
          <rPr>
            <sz val="14"/>
            <color rgb="FF000000"/>
            <rFont val="Times New Roman"/>
            <family val="18"/>
          </rPr>
          <t>ML 10.310 IR 43 (1800) – TL IR 43 Res. Div-&gt; Feld Bats Nr. 110 (Laibach 05/06/1800)</t>
        </r>
        <r>
          <rPr>
            <sz val="14"/>
            <color rgb="FF000000"/>
            <rFont val="Calibri"/>
            <family val="34"/>
          </rPr>
          <t xml:space="preserve">
</t>
        </r>
        <r>
          <rPr>
            <sz val="14"/>
            <color rgb="FF000000"/>
            <rFont val="Times New Roman"/>
            <family val="18"/>
          </rPr>
          <t>ML 10.311 IR 43 (1800) Jän (26/02/1800), März (04/10/1801), Juni (27/08/1803)</t>
        </r>
        <r>
          <rPr>
            <sz val="14"/>
            <color rgb="FF000000"/>
            <rFont val="Calibri"/>
            <family val="34"/>
          </rPr>
          <t xml:space="preserve">
</t>
        </r>
        <r>
          <rPr>
            <sz val="14"/>
            <color rgb="FF000000"/>
            <rFont val="Times New Roman"/>
            <family val="18"/>
          </rPr>
          <t>ML 10.311 IR 43 (1801) – ST Jän (23/08/1804), Juni (20/06/1805)</t>
        </r>
        <r>
          <rPr>
            <sz val="14"/>
            <color rgb="FF000000"/>
            <rFont val="Calibri"/>
            <family val="34"/>
          </rPr>
          <t xml:space="preserve">
</t>
        </r>
        <r>
          <rPr>
            <sz val="14"/>
            <color rgb="FF000000"/>
            <rFont val="Times New Roman"/>
            <family val="18"/>
          </rPr>
          <t>ML 10.323 IR 43 (1809) – Feb (Klagenfurt XX/07/1810), Mai (Klagenfurt 02/11/1810), Juli (26/11/1810), Aug (Klagenfurt 12/12/1810), Okt (Klagenfurt 31/12/1810)</t>
        </r>
        <r>
          <rPr>
            <sz val="14"/>
            <color rgb="FF000000"/>
            <rFont val="Calibri"/>
            <family val="34"/>
          </rPr>
          <t xml:space="preserve">
</t>
        </r>
        <r>
          <rPr>
            <sz val="14"/>
            <color rgb="FF000000"/>
            <rFont val="Times New Roman"/>
            <family val="18"/>
          </rPr>
          <t>ML 10.325 IR 43 (1810) – ST Feb (Klagenfurt 10/03/1811)</t>
        </r>
        <r>
          <rPr>
            <sz val="14"/>
            <color rgb="FF000000"/>
            <rFont val="Calibri"/>
            <family val="34"/>
          </rPr>
          <t xml:space="preserve">
</t>
        </r>
        <r>
          <rPr>
            <sz val="14"/>
            <color rgb="FF000000"/>
            <rFont val="Times New Roman"/>
            <family val="18"/>
          </rPr>
          <t>ML 10.326 IR 43 (1810) – TL IR 43-&gt; IR 27 Nr. 110 (Klagenfurt 16/07/1810)</t>
        </r>
        <r>
          <rPr>
            <sz val="14"/>
            <color rgb="FF000000"/>
            <rFont val="Calibri"/>
            <family val="34"/>
          </rPr>
          <t xml:space="preserve">
</t>
        </r>
        <r>
          <rPr>
            <sz val="14"/>
            <color rgb="FF000000"/>
            <rFont val="Times New Roman"/>
            <family val="18"/>
          </rPr>
          <t>ML 2264 IR 27 (1810) – 4. Fus. Komp. Nr. 131 (Graz 13/09/1810)</t>
        </r>
        <r>
          <rPr>
            <sz val="14"/>
            <color rgb="FF000000"/>
            <rFont val="Calibri"/>
            <family val="34"/>
          </rPr>
          <t xml:space="preserve">
</t>
        </r>
        <r>
          <rPr>
            <sz val="14"/>
            <color rgb="FF000000"/>
            <rFont val="Times New Roman"/>
            <family val="18"/>
          </rPr>
          <t>ML 2265 IR 27 (1811) – 4. Fus. Komp. Abgang (Graz 19/09/1811)</t>
        </r>
        <r>
          <rPr>
            <sz val="14"/>
            <color rgb="FF000000"/>
            <rFont val="Calibri"/>
            <family val="34"/>
          </rPr>
          <t xml:space="preserve">
</t>
        </r>
        <r>
          <rPr>
            <sz val="14"/>
            <color rgb="FF000000"/>
            <rFont val="Times New Roman"/>
            <family val="18"/>
          </rPr>
          <t>ML IR 2326/7 IR 27 (1810) – ST März (Graz 27/03/1811)</t>
        </r>
        <r>
          <rPr>
            <sz val="14"/>
            <color rgb="FF000000"/>
            <rFont val="Calibri"/>
            <family val="34"/>
          </rPr>
          <t xml:space="preserve">
</t>
        </r>
      </text>
    </comment>
    <comment ref="BH267" authorId="0" shapeId="0" xr:uid="{50630FF7-0E49-6A44-A0EE-FC24B18A4142}">
      <text>
        <r>
          <rPr>
            <sz val="14"/>
            <color rgb="FF000000"/>
            <rFont val="Calibri"/>
            <family val="34"/>
          </rPr>
          <t xml:space="preserve">IR 43 (1799-1810)
</t>
        </r>
        <r>
          <rPr>
            <sz val="14"/>
            <color rgb="FF000000"/>
            <rFont val="Calibri"/>
            <family val="34"/>
          </rPr>
          <t>IR 27 (1810-1811)</t>
        </r>
      </text>
    </comment>
    <comment ref="BF268" authorId="0" shapeId="0" xr:uid="{DD470D15-9D9A-FC46-9753-35E527EA4119}">
      <text>
        <r>
          <rPr>
            <sz val="14"/>
            <color rgb="FF000000"/>
            <rFont val="Times New Roman"/>
            <family val="18"/>
          </rPr>
          <t xml:space="preserve">23/07/1799 </t>
        </r>
        <r>
          <rPr>
            <i/>
            <sz val="14"/>
            <color rgb="FF000000"/>
            <rFont val="Times New Roman"/>
            <family val="18"/>
          </rPr>
          <t xml:space="preserve">von Ständen gestellt und seitdem auf Anhero Marsch mit Friedensgebühr </t>
        </r>
        <r>
          <rPr>
            <sz val="14"/>
            <color rgb="FF000000"/>
            <rFont val="Times New Roman"/>
            <family val="18"/>
          </rPr>
          <t>[AL 1799]</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268" authorId="0" shapeId="0" xr:uid="{2CCB247A-5A98-5047-A2B9-168D3ADC78B3}">
      <text>
        <r>
          <rPr>
            <sz val="14"/>
            <color rgb="FF000000"/>
            <rFont val="Times New Roman"/>
            <family val="18"/>
          </rPr>
          <t>ML 10.308 IR 43 (1799) – AL Nr. 41 (Sandomierz 31/08/1799)</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268" authorId="0" shapeId="0" xr:uid="{2F2096FB-6486-4940-8535-593237634549}">
      <text>
        <r>
          <rPr>
            <sz val="14"/>
            <color rgb="FF000000"/>
            <rFont val="Calibri"/>
            <family val="34"/>
          </rPr>
          <t>IR 43 (1799-1801)</t>
        </r>
      </text>
    </comment>
    <comment ref="I269" authorId="0" shapeId="0" xr:uid="{5AC005A8-1C3F-434D-9D44-FB3AACAEA0E1}">
      <text>
        <r>
          <rPr>
            <sz val="14"/>
            <color rgb="FF000000"/>
            <rFont val="Calibri"/>
            <family val="34"/>
          </rPr>
          <t xml:space="preserve">1766 [34 (TL 1800)]
</t>
        </r>
        <r>
          <rPr>
            <sz val="14"/>
            <color rgb="FF000000"/>
            <rFont val="Calibri"/>
            <family val="34"/>
          </rPr>
          <t xml:space="preserve">OR
</t>
        </r>
        <r>
          <rPr>
            <sz val="14"/>
            <color rgb="FF000000"/>
            <rFont val="Calibri"/>
            <family val="34"/>
          </rPr>
          <t xml:space="preserve">1769 [30 (AL 1799)] </t>
        </r>
      </text>
    </comment>
    <comment ref="T269" authorId="0" shapeId="0" xr:uid="{9D50E501-66AB-1145-BF50-CEDD9628932A}">
      <text>
        <r>
          <rPr>
            <sz val="14"/>
            <color rgb="FF000000"/>
            <rFont val="Calibri"/>
            <family val="34"/>
          </rPr>
          <t xml:space="preserve">5.1.2 (1799) [160.07 cm]
</t>
        </r>
        <r>
          <rPr>
            <sz val="14"/>
            <color rgb="FF000000"/>
            <rFont val="Calibri"/>
            <family val="34"/>
          </rPr>
          <t xml:space="preserve">5.2 (1800) [163.26 cm]
</t>
        </r>
        <r>
          <rPr>
            <sz val="14"/>
            <color rgb="FF000000"/>
            <rFont val="Calibri"/>
            <family val="34"/>
          </rPr>
          <t xml:space="preserve">5.2.1 (1802ff.) [163.48 cm] </t>
        </r>
      </text>
    </comment>
    <comment ref="BF269" authorId="0" shapeId="0" xr:uid="{15CB2E8E-CF0D-3E4D-B4CB-724B82891BA4}">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Feb 1800]</t>
        </r>
        <r>
          <rPr>
            <sz val="14"/>
            <color rgb="FF000000"/>
            <rFont val="Calibri"/>
            <family val="34"/>
          </rPr>
          <t xml:space="preserve">
</t>
        </r>
        <r>
          <rPr>
            <sz val="14"/>
            <color rgb="FF000000"/>
            <rFont val="Times New Roman"/>
            <family val="18"/>
          </rPr>
          <t xml:space="preserve">23/07/1799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12/11/1799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03/12/1799 </t>
        </r>
        <r>
          <rPr>
            <i/>
            <sz val="14"/>
            <color rgb="FF000000"/>
            <rFont val="Times New Roman"/>
            <family val="18"/>
          </rPr>
          <t>Ferner Krank auswärts mit Kriegsgebühr</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15/12/1799 </t>
        </r>
        <r>
          <rPr>
            <i/>
            <sz val="14"/>
            <color rgb="FF000000"/>
            <rFont val="Times New Roman"/>
            <family val="18"/>
          </rPr>
          <t>Reconvalesciert</t>
        </r>
        <r>
          <rPr>
            <sz val="14"/>
            <color rgb="FF000000"/>
            <rFont val="Times New Roman"/>
            <family val="18"/>
          </rPr>
          <t xml:space="preserve"> [ST Dec 1799]</t>
        </r>
        <r>
          <rPr>
            <sz val="14"/>
            <color rgb="FF000000"/>
            <rFont val="Calibri"/>
            <family val="34"/>
          </rPr>
          <t xml:space="preserve">
</t>
        </r>
        <r>
          <rPr>
            <sz val="14"/>
            <color rgb="FFFF0000"/>
            <rFont val="Times New Roman"/>
            <family val="18"/>
          </rPr>
          <t xml:space="preserve">30/12/1799 </t>
        </r>
        <r>
          <rPr>
            <i/>
            <sz val="14"/>
            <color rgb="FFFF0000"/>
            <rFont val="Times New Roman"/>
            <family val="18"/>
          </rPr>
          <t>Gegen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[TL Feb 1800]</t>
        </r>
        <r>
          <rPr>
            <sz val="14"/>
            <color rgb="FF000000"/>
            <rFont val="Calibri"/>
            <family val="34"/>
          </rPr>
          <t xml:space="preserve">
</t>
        </r>
        <r>
          <rPr>
            <sz val="14"/>
            <color rgb="FF000000"/>
            <rFont val="Times New Roman"/>
            <family val="18"/>
          </rPr>
          <t>06/04/1800 Von Reserve Division ins ObristLt Companie transferiert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ObristLt. Komp zum IR 44 transferiert und zur Würz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Würz Nr. 109 [</t>
        </r>
        <r>
          <rPr>
            <i/>
            <sz val="14"/>
            <color rgb="FF000000"/>
            <rFont val="Times New Roman"/>
            <family val="18"/>
          </rPr>
          <t>Auf Urlaub zu Sandomierz in Gallizien bis zur Einberufung</t>
        </r>
        <r>
          <rPr>
            <sz val="14"/>
            <color rgb="FF000000"/>
            <rFont val="Times New Roman"/>
            <family val="18"/>
          </rPr>
          <t>]</t>
        </r>
        <r>
          <rPr>
            <sz val="14"/>
            <color rgb="FF000000"/>
            <rFont val="Calibri"/>
            <family val="34"/>
          </rPr>
          <t xml:space="preserve">
</t>
        </r>
        <r>
          <rPr>
            <sz val="14"/>
            <color rgb="FF000000"/>
            <rFont val="Times New Roman"/>
            <family val="18"/>
          </rPr>
          <t>12/05/1804 IR 44: Haupt Würz Nr. 96 [</t>
        </r>
        <r>
          <rPr>
            <i/>
            <sz val="14"/>
            <color rgb="FF000000"/>
            <rFont val="Times New Roman"/>
            <family val="18"/>
          </rPr>
          <t>Beurlaubt in Sandomierz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t>
        </r>
        <r>
          <rPr>
            <b/>
            <u/>
            <sz val="14"/>
            <color rgb="FF000000"/>
            <rFont val="Times New Roman"/>
            <family val="18"/>
          </rPr>
          <t xml:space="preserve"> </t>
        </r>
        <r>
          <rPr>
            <sz val="14"/>
            <color rgb="FF000000"/>
            <rFont val="Times New Roman"/>
            <family val="18"/>
          </rPr>
          <t>[ML 1806]</t>
        </r>
        <r>
          <rPr>
            <sz val="14"/>
            <color rgb="FF000000"/>
            <rFont val="Calibri"/>
            <family val="34"/>
          </rPr>
          <t xml:space="preserve">
</t>
        </r>
      </text>
    </comment>
    <comment ref="BG269" authorId="0" shapeId="0" xr:uid="{E51CB6C1-8E47-6948-971F-BCCCF6E3ED62}">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40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141 (Laibach 05/02/1800)</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Würz Komp. Nr. 109 (Venice 19/09/1803)</t>
        </r>
        <r>
          <rPr>
            <sz val="14"/>
            <color rgb="FF000000"/>
            <rFont val="Calibri"/>
            <family val="34"/>
          </rPr>
          <t xml:space="preserve">
</t>
        </r>
        <r>
          <rPr>
            <sz val="14"/>
            <color rgb="FF000000"/>
            <rFont val="Times New Roman"/>
            <family val="18"/>
          </rPr>
          <t>ML 3909 IR 44 (1804) – Haupt Würz Komp. Nr. 96 (Vicenza 12/05/1804)</t>
        </r>
        <r>
          <rPr>
            <sz val="14"/>
            <color rgb="FF000000"/>
            <rFont val="Calibri"/>
            <family val="34"/>
          </rPr>
          <t xml:space="preserve">
</t>
        </r>
        <r>
          <rPr>
            <sz val="14"/>
            <color rgb="FF000000"/>
            <rFont val="Times New Roman"/>
            <family val="18"/>
          </rPr>
          <t>ML 3910 IR 44 (1806) – Haupt De Baut Komp. Abgang (Fiume 10/12/1806)</t>
        </r>
        <r>
          <rPr>
            <sz val="14"/>
            <color rgb="FF000000"/>
            <rFont val="Calibri"/>
            <family val="34"/>
          </rPr>
          <t xml:space="preserve">
</t>
        </r>
        <r>
          <rPr>
            <sz val="14"/>
            <color rgb="FF000000"/>
            <rFont val="Times New Roman"/>
            <family val="18"/>
          </rPr>
          <t>ML 3946 IR 44 (1802) – AL IR 43-&gt; IR 43 Nr. 15 (Zara 14/08/1802)</t>
        </r>
        <r>
          <rPr>
            <sz val="14"/>
            <color rgb="FF000000"/>
            <rFont val="Calibri"/>
            <family val="34"/>
          </rPr>
          <t xml:space="preserve">
</t>
        </r>
      </text>
    </comment>
    <comment ref="BH269" authorId="0" shapeId="0" xr:uid="{24F78920-1EDB-5A4E-9CDC-77C65753D49A}">
      <text>
        <r>
          <rPr>
            <sz val="14"/>
            <color rgb="FF000000"/>
            <rFont val="Calibri"/>
            <family val="34"/>
          </rPr>
          <t xml:space="preserve">IR 43 (1799-1802)
</t>
        </r>
        <r>
          <rPr>
            <sz val="14"/>
            <color rgb="FF000000"/>
            <rFont val="Calibri"/>
            <family val="34"/>
          </rPr>
          <t>IR 44 (1802-1806)</t>
        </r>
      </text>
    </comment>
    <comment ref="BI269" authorId="0" shapeId="0" xr:uid="{A0EE63BF-3B1B-0246-AB37-156753506DAD}">
      <text>
        <r>
          <rPr>
            <sz val="14"/>
            <color rgb="FF000000"/>
            <rFont val="Calibri"/>
            <family val="34"/>
          </rPr>
          <t>Gut [TL Aug 1802]</t>
        </r>
      </text>
    </comment>
    <comment ref="BF270" authorId="0" shapeId="0" xr:uid="{0D867457-4F1A-6A4D-8954-D6684A58884B}">
      <text>
        <r>
          <rPr>
            <sz val="14"/>
            <color rgb="FF000000"/>
            <rFont val="Times New Roman"/>
            <family val="18"/>
          </rPr>
          <t xml:space="preserve">23/07/1799 </t>
        </r>
        <r>
          <rPr>
            <i/>
            <sz val="14"/>
            <color rgb="FF000000"/>
            <rFont val="Times New Roman"/>
            <family val="18"/>
          </rPr>
          <t>Von Ständen gestellt und zum IR 43 a 3Fl Handgeld zum Sandomierz assentiert, seitdem auf Anhero Marsch mit Friedensgebühr</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In 10/1799 </t>
        </r>
        <r>
          <rPr>
            <i/>
            <sz val="14"/>
            <color rgb="FF000000"/>
            <rFont val="Times New Roman"/>
            <family val="18"/>
          </rPr>
          <t>In Reserve Division engerückt</t>
        </r>
        <r>
          <rPr>
            <sz val="14"/>
            <color rgb="FF000000"/>
            <rFont val="Calibri"/>
            <family val="34"/>
          </rPr>
          <t xml:space="preserve">
</t>
        </r>
        <r>
          <rPr>
            <sz val="14"/>
            <color rgb="FF000000"/>
            <rFont val="Times New Roman"/>
            <family val="18"/>
          </rPr>
          <t xml:space="preserve">31/10/1799 [Seit Mindestens] </t>
        </r>
        <r>
          <rPr>
            <i/>
            <sz val="14"/>
            <color rgb="FF000000"/>
            <rFont val="Times New Roman"/>
            <family val="18"/>
          </rPr>
          <t xml:space="preserve">Krank auswärts mit Kriegsgebuhr </t>
        </r>
        <r>
          <rPr>
            <sz val="14"/>
            <color rgb="FF000000"/>
            <rFont val="Times New Roman"/>
            <family val="18"/>
          </rPr>
          <t>[ST Nov 1799]</t>
        </r>
        <r>
          <rPr>
            <sz val="14"/>
            <color rgb="FF000000"/>
            <rFont val="Calibri"/>
            <family val="34"/>
          </rPr>
          <t xml:space="preserve">
</t>
        </r>
        <r>
          <rPr>
            <sz val="14"/>
            <color rgb="FF000000"/>
            <rFont val="Times New Roman"/>
            <family val="18"/>
          </rPr>
          <t xml:space="preserve">12/12/1799 </t>
        </r>
        <r>
          <rPr>
            <i/>
            <sz val="14"/>
            <color rgb="FF000000"/>
            <rFont val="Times New Roman"/>
            <family val="18"/>
          </rPr>
          <t>In Laibach Gestorben</t>
        </r>
        <r>
          <rPr>
            <sz val="14"/>
            <color rgb="FF000000"/>
            <rFont val="Times New Roman"/>
            <family val="18"/>
          </rPr>
          <t xml:space="preserve"> [ST Dec 1799]</t>
        </r>
        <r>
          <rPr>
            <sz val="14"/>
            <color rgb="FF000000"/>
            <rFont val="Calibri"/>
            <family val="34"/>
          </rPr>
          <t xml:space="preserve">
</t>
        </r>
      </text>
    </comment>
    <comment ref="BG270" authorId="0" shapeId="0" xr:uid="{5ADBB826-18DB-024D-A418-77F583D58DFF}">
      <text>
        <r>
          <rPr>
            <sz val="14"/>
            <color rgb="FF000000"/>
            <rFont val="Times New Roman"/>
            <family val="18"/>
          </rPr>
          <t>ML 10.307 IR 43 (1799) – ST Nov (12/10/1800), Dez (01/11/1800)</t>
        </r>
        <r>
          <rPr>
            <sz val="14"/>
            <color rgb="FF000000"/>
            <rFont val="Calibri"/>
            <family val="34"/>
          </rPr>
          <t xml:space="preserve">
</t>
        </r>
        <r>
          <rPr>
            <sz val="14"/>
            <color rgb="FF000000"/>
            <rFont val="Times New Roman"/>
            <family val="18"/>
          </rPr>
          <t>ML 10.308 IR 43 (1799) – AL Nr. 38 (Sandomierz 31/08/1799)</t>
        </r>
        <r>
          <rPr>
            <sz val="14"/>
            <color rgb="FF000000"/>
            <rFont val="Calibri"/>
            <family val="34"/>
          </rPr>
          <t xml:space="preserve">
</t>
        </r>
      </text>
    </comment>
    <comment ref="BH270" authorId="0" shapeId="0" xr:uid="{7E0ECB89-098E-1C4D-B5EA-5A29B2CB859F}">
      <text>
        <r>
          <rPr>
            <sz val="14"/>
            <color rgb="FF000000"/>
            <rFont val="Calibri"/>
            <family val="34"/>
          </rPr>
          <t>IR 43 (1799)</t>
        </r>
      </text>
    </comment>
    <comment ref="BF271" authorId="0" shapeId="0" xr:uid="{74B046D9-B926-1946-9244-1E686229D8AF}">
      <text>
        <r>
          <rPr>
            <sz val="14"/>
            <color rgb="FF000000"/>
            <rFont val="Times New Roman"/>
            <family val="18"/>
          </rPr>
          <t xml:space="preserve">23/07/1799 </t>
        </r>
        <r>
          <rPr>
            <i/>
            <sz val="14"/>
            <color rgb="FF000000"/>
            <rFont val="Times New Roman"/>
            <family val="18"/>
          </rPr>
          <t>Von Ständen gestellt und zum IR 43 assentiert und seitdem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15/11/1799 </t>
        </r>
        <r>
          <rPr>
            <i/>
            <sz val="14"/>
            <color rgb="FF000000"/>
            <rFont val="Times New Roman"/>
            <family val="18"/>
          </rPr>
          <t>wegen Untauglichkeit und hereinbringen der Ankosten vermög hoher General Commando Verordnung det. Graz am 9. Oct 799 mit Laufpass entlassen</t>
        </r>
        <r>
          <rPr>
            <sz val="14"/>
            <color rgb="FF000000"/>
            <rFont val="Times New Roman"/>
            <family val="18"/>
          </rPr>
          <t xml:space="preserve"> [ST Feb 1800]</t>
        </r>
        <r>
          <rPr>
            <sz val="14"/>
            <color rgb="FF000000"/>
            <rFont val="Calibri"/>
            <family val="34"/>
          </rPr>
          <t xml:space="preserve">
</t>
        </r>
      </text>
    </comment>
    <comment ref="BG271" authorId="0" shapeId="0" xr:uid="{5E8EB29C-B891-B94D-8E15-0EB014981496}">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37 (Sandomierz 31/08/1799)</t>
        </r>
        <r>
          <rPr>
            <sz val="14"/>
            <color rgb="FF000000"/>
            <rFont val="Calibri"/>
            <family val="34"/>
          </rPr>
          <t xml:space="preserve">
</t>
        </r>
        <r>
          <rPr>
            <sz val="14"/>
            <color rgb="FF000000"/>
            <rFont val="Times New Roman"/>
            <family val="18"/>
          </rPr>
          <t>ML 10.309 IR 43 (1800) – ST Feb (06/04/1801)</t>
        </r>
        <r>
          <rPr>
            <sz val="14"/>
            <color rgb="FF000000"/>
            <rFont val="Calibri"/>
            <family val="34"/>
          </rPr>
          <t xml:space="preserve">
</t>
        </r>
      </text>
    </comment>
    <comment ref="BH271" authorId="0" shapeId="0" xr:uid="{34F1691D-87CF-EE42-85E7-A0565AFBC190}">
      <text>
        <r>
          <rPr>
            <sz val="14"/>
            <color rgb="FF000000"/>
            <rFont val="Calibri"/>
            <family val="34"/>
          </rPr>
          <t>IR 43 (1799)</t>
        </r>
      </text>
    </comment>
    <comment ref="I272" authorId="0" shapeId="0" xr:uid="{E29BD4EB-E23F-6846-B70B-E5277A522CDA}">
      <text>
        <r>
          <rPr>
            <sz val="14"/>
            <color rgb="FF000000"/>
            <rFont val="Calibri"/>
            <family val="34"/>
          </rPr>
          <t xml:space="preserve">1777 [22 (1799)] 
</t>
        </r>
        <r>
          <rPr>
            <sz val="14"/>
            <color rgb="FF000000"/>
            <rFont val="Calibri"/>
            <family val="34"/>
          </rPr>
          <t xml:space="preserve">OR 
</t>
        </r>
        <r>
          <rPr>
            <sz val="14"/>
            <color rgb="FF000000"/>
            <rFont val="Calibri"/>
            <family val="34"/>
          </rPr>
          <t>1776 [26 (1802)]</t>
        </r>
      </text>
    </comment>
    <comment ref="T272" authorId="0" shapeId="0" xr:uid="{AA7FD0B0-714F-584A-A8BF-8C6632077052}">
      <text>
        <r>
          <rPr>
            <sz val="14"/>
            <color rgb="FF000000"/>
            <rFont val="Calibri"/>
            <family val="34"/>
          </rPr>
          <t xml:space="preserve">5.1 (1799) [160.6 cm]
</t>
        </r>
        <r>
          <rPr>
            <sz val="14"/>
            <color rgb="FF000000"/>
            <rFont val="Calibri"/>
            <family val="34"/>
          </rPr>
          <t xml:space="preserve">5.2.2 (1801) [163.7 cm]
</t>
        </r>
        <r>
          <rPr>
            <sz val="14"/>
            <color rgb="FF000000"/>
            <rFont val="Calibri"/>
            <family val="34"/>
          </rPr>
          <t xml:space="preserve">5.3.2 (1802) [166.3 cm] </t>
        </r>
      </text>
    </comment>
    <comment ref="BF272" authorId="0" shapeId="0" xr:uid="{85D63547-88D0-D84B-A59E-E54CA16E47A2}">
      <text>
        <r>
          <rPr>
            <sz val="14"/>
            <color rgb="FFFF0000"/>
            <rFont val="+mn-lt"/>
            <charset val="1"/>
          </rPr>
          <t xml:space="preserve">01/07/1799 von Ständen gestellt [TL 1800]
</t>
        </r>
        <r>
          <rPr>
            <sz val="14"/>
            <color rgb="FF000000"/>
            <rFont val="+mn-lt"/>
            <charset val="1"/>
          </rPr>
          <t xml:space="preserve">26/07/1799 von Ständen gestellt [ML 1802]
</t>
        </r>
        <r>
          <rPr>
            <sz val="14"/>
            <color rgb="FF000000"/>
            <rFont val="+mn-lt"/>
            <charset val="1"/>
          </rPr>
          <t xml:space="preserve">06/04/1800 Von Reserve Division ins Haupt Pasqually transferiert [ST April 1800]
</t>
        </r>
        <r>
          <rPr>
            <sz val="14"/>
            <color rgb="FF000000"/>
            <rFont val="+mn-lt"/>
            <charset val="1"/>
          </rPr>
          <t xml:space="preserve">16/04/1800 In Pasqually Comp. eingerückt [ST April 1800]
</t>
        </r>
        <r>
          <rPr>
            <sz val="14"/>
            <color rgb="FF000000"/>
            <rFont val="+mn-lt"/>
            <charset val="1"/>
          </rPr>
          <t xml:space="preserve">28/08/1802 Musterung: IR 43 Haupt Pasqually Nr. 82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Pasqually Comp. Nr. 74 [Auf Urlaub bis zur Einberufung in seinem Geburtsort]
</t>
        </r>
        <r>
          <rPr>
            <sz val="14"/>
            <color rgb="FF000000"/>
            <rFont val="+mn-lt"/>
            <charset val="1"/>
          </rPr>
          <t xml:space="preserve">05/10/1804 Musterung: IR 43 Haupt Pasqually Comp Nr. 70 [Beurlaubt bis zur Einberufung in seinem Geburtsort]
</t>
        </r>
        <r>
          <rPr>
            <sz val="14"/>
            <color rgb="FF000000"/>
            <rFont val="+mn-lt"/>
            <charset val="1"/>
          </rPr>
          <t xml:space="preserve">10/11/1805 Musterung: IR 43 15. Fus Comp Nr. 64 [Beurlaubt bis zur Einberufung in seinem Geburtsort]
</t>
        </r>
        <r>
          <rPr>
            <sz val="14"/>
            <color rgb="FF000000"/>
            <rFont val="+mn-lt"/>
            <charset val="1"/>
          </rPr>
          <t xml:space="preserve">31/10/1806 Als auf Urlaub verbliebene von 9. Fus Comp als unwissend Verloren in Abgang [ST Oct 1806 &amp; ML 1806]
</t>
        </r>
        <r>
          <rPr>
            <sz val="14"/>
            <color rgb="FF000000"/>
            <rFont val="+mn-lt"/>
            <charset val="1"/>
          </rPr>
          <t xml:space="preserve">31/10/1806 wurde in den Monats Tabelle per 8ber 806 nit ultimo unrecht als unwissend verloren in Abgang gebracht; weil selbe auf Urlaub als Untauglich entlausen Wird [ST Nov 1806)
</t>
        </r>
        <r>
          <rPr>
            <sz val="14"/>
            <color rgb="FF000000"/>
            <rFont val="+mn-lt"/>
            <charset val="1"/>
          </rPr>
          <t xml:space="preserve">31/10/1806 zu Folge hoher General Commando Verordnung Nr. 7200 als untauglich gegen Renuncierung con Militar Beneficien mit Abschied entlassen [ST Nov 1806 &amp; ML 1806]
</t>
        </r>
      </text>
    </comment>
    <comment ref="BG272" authorId="0" shapeId="0" xr:uid="{4E05802F-8E3B-5C4A-95AE-EC63ECA72126}">
      <text>
        <r>
          <rPr>
            <sz val="14"/>
            <color rgb="FF000000"/>
            <rFont val="Calibri"/>
            <family val="34"/>
          </rPr>
          <t xml:space="preserve">ML 10.272 IR 43 (1802) – Heft von Haupt Pasqually Nr. 66 (Cattaro 28/08/1802)
</t>
        </r>
        <r>
          <rPr>
            <sz val="14"/>
            <color rgb="FF000000"/>
            <rFont val="Calibri"/>
            <family val="34"/>
          </rPr>
          <t xml:space="preserve">ML 10.273 IR 43 (1803) – Heft von Haupt Pasqually Nr. 59 (Cattaro 02/11/1803)
</t>
        </r>
        <r>
          <rPr>
            <sz val="14"/>
            <color rgb="FF000000"/>
            <rFont val="Calibri"/>
            <family val="34"/>
          </rPr>
          <t xml:space="preserve">ML 10.274 IR 43 (1804) – Heft von Haupt Pasqually Comp. Nr. 55 (Theodo 05/10/1804)
</t>
        </r>
        <r>
          <rPr>
            <sz val="14"/>
            <color rgb="FF000000"/>
            <rFont val="Calibri"/>
            <family val="34"/>
          </rPr>
          <t xml:space="preserve">ML 10.275/6 IR 43 (1805) – Heft von 15. Fus Comp. Nr. 51 (Macarsca (10/11/1805)
</t>
        </r>
        <r>
          <rPr>
            <sz val="14"/>
            <color rgb="FF000000"/>
            <rFont val="Calibri"/>
            <family val="34"/>
          </rPr>
          <t xml:space="preserve">ML 10.277/8 IR 43 (1806) – Heft von 9. Fus Comp. Abgang (Neustadt 05/12/1806)
</t>
        </r>
        <r>
          <rPr>
            <sz val="14"/>
            <color rgb="FF000000"/>
            <rFont val="Calibri"/>
            <family val="34"/>
          </rPr>
          <t xml:space="preserve">ML 10.308 IR 43 (1799) – AL IR 43 ‚Res. Div‘ Nr. 39 (Sandomierz 31/08/1799)
</t>
        </r>
        <r>
          <rPr>
            <sz val="14"/>
            <color rgb="FF000000"/>
            <rFont val="Calibri"/>
            <family val="34"/>
          </rPr>
          <t xml:space="preserve">ML 10.310 IR 43 (1800) – TL IR 43 Res. Div-&gt; FELD Bats. Nr. 129 (Laibach 05/02/1800)
</t>
        </r>
        <r>
          <rPr>
            <sz val="14"/>
            <color rgb="FF000000"/>
            <rFont val="Calibri"/>
            <family val="34"/>
          </rPr>
          <t xml:space="preserve">ML 10.313 IR 43 (1803) – ST Feb (15/03/1803) und Juni (15/07/1803) 
</t>
        </r>
        <r>
          <rPr>
            <sz val="14"/>
            <color rgb="FF000000"/>
            <rFont val="Calibri"/>
            <family val="34"/>
          </rPr>
          <t xml:space="preserve">ML 10.317 IR 43 (1806) – ST Oktober (27/11/1806) 
</t>
        </r>
      </text>
    </comment>
    <comment ref="BH272" authorId="0" shapeId="0" xr:uid="{6FE019B5-DD9E-6341-82A5-C99F08C65941}">
      <text>
        <r>
          <rPr>
            <sz val="14"/>
            <color rgb="FF000000"/>
            <rFont val="Calibri"/>
            <family val="34"/>
          </rPr>
          <t>IR 43 (1799-1806)</t>
        </r>
      </text>
    </comment>
    <comment ref="T273" authorId="0" shapeId="0" xr:uid="{4CE88C5D-0058-6A49-87BE-5E06E06A1B0A}">
      <text>
        <r>
          <rPr>
            <sz val="14"/>
            <color rgb="FF000000"/>
            <rFont val="Calibri"/>
            <family val="34"/>
          </rPr>
          <t xml:space="preserve">5.1 (160.63 cm) [AL Aug 1799]
</t>
        </r>
        <r>
          <rPr>
            <sz val="14"/>
            <color rgb="FF000000"/>
            <rFont val="Calibri"/>
            <family val="34"/>
          </rPr>
          <t>5.0.3 (158.66 cm) [ML 1803]</t>
        </r>
      </text>
    </comment>
    <comment ref="BF273" authorId="0" shapeId="0" xr:uid="{0C65F7E2-13A8-4E41-875C-26013279529A}">
      <text>
        <r>
          <rPr>
            <sz val="14"/>
            <color rgb="FF000000"/>
            <rFont val="Times New Roman"/>
            <family val="18"/>
          </rPr>
          <t xml:space="preserve">25/07/1799 </t>
        </r>
        <r>
          <rPr>
            <i/>
            <sz val="14"/>
            <color rgb="FF000000"/>
            <rFont val="Times New Roman"/>
            <family val="18"/>
          </rPr>
          <t>Von Ständen a 3Fl Handgeld gestellt</t>
        </r>
        <r>
          <rPr>
            <sz val="14"/>
            <color rgb="FF000000"/>
            <rFont val="Times New Roman"/>
            <family val="18"/>
          </rPr>
          <t xml:space="preserve"> [AL Aug 1799]</t>
        </r>
        <r>
          <rPr>
            <sz val="14"/>
            <color rgb="FF000000"/>
            <rFont val="Calibri"/>
            <family val="34"/>
          </rPr>
          <t xml:space="preserve">
</t>
        </r>
        <r>
          <rPr>
            <sz val="14"/>
            <color rgb="FFFF0000"/>
            <rFont val="Times New Roman"/>
            <family val="18"/>
          </rPr>
          <t xml:space="preserve">??/08/1799 </t>
        </r>
        <r>
          <rPr>
            <i/>
            <sz val="14"/>
            <color rgb="FFFF0000"/>
            <rFont val="Times New Roman"/>
            <family val="18"/>
          </rPr>
          <t>In August 1799 auf Beständig gegen 3Fl assentiert</t>
        </r>
        <r>
          <rPr>
            <sz val="14"/>
            <color rgb="FFFF0000"/>
            <rFont val="Times New Roman"/>
            <family val="18"/>
          </rPr>
          <t xml:space="preserve"> [TL Feb 1800 &amp; TL Juli 1802]</t>
        </r>
        <r>
          <rPr>
            <sz val="14"/>
            <color rgb="FF000000"/>
            <rFont val="Calibri"/>
            <family val="34"/>
          </rPr>
          <t xml:space="preserve">
</t>
        </r>
        <r>
          <rPr>
            <sz val="14"/>
            <color rgb="FF000000"/>
            <rFont val="Times New Roman"/>
            <family val="18"/>
          </rPr>
          <t xml:space="preserve">31/10/1799 [Mindestens seit] </t>
        </r>
        <r>
          <rPr>
            <i/>
            <sz val="14"/>
            <color rgb="FF000000"/>
            <rFont val="Times New Roman"/>
            <family val="18"/>
          </rPr>
          <t>Als angehöriger von Reserve Division krank auswärts mit Friedensgebühr</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05/11/1799 </t>
        </r>
        <r>
          <rPr>
            <i/>
            <sz val="14"/>
            <color rgb="FF000000"/>
            <rFont val="Times New Roman"/>
            <family val="18"/>
          </rPr>
          <t xml:space="preserve">Rekonvalesziert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Von Reserve Division transferiert und in Haupt Geistler Comp.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Richter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Richter Nr. 107</t>
        </r>
        <r>
          <rPr>
            <sz val="14"/>
            <color rgb="FF000000"/>
            <rFont val="Calibri"/>
            <family val="34"/>
          </rPr>
          <t xml:space="preserve">
</t>
        </r>
        <r>
          <rPr>
            <sz val="14"/>
            <color rgb="FF000000"/>
            <rFont val="Times New Roman"/>
            <family val="18"/>
          </rPr>
          <t>12/05/1804 IR 44: Haupt Richter Nr. 96 [</t>
        </r>
        <r>
          <rPr>
            <i/>
            <sz val="14"/>
            <color rgb="FF000000"/>
            <rFont val="Times New Roman"/>
            <family val="18"/>
          </rPr>
          <t>Beurlaubt in Galizien zu Tarloff Sendomierzer Kreis, bis zur Exerzierzeit</t>
        </r>
        <r>
          <rPr>
            <sz val="14"/>
            <color rgb="FF000000"/>
            <rFont val="Times New Roman"/>
            <family val="18"/>
          </rPr>
          <t>]</t>
        </r>
        <r>
          <rPr>
            <sz val="14"/>
            <color rgb="FF000000"/>
            <rFont val="Calibri"/>
            <family val="34"/>
          </rPr>
          <t xml:space="preserve">
</t>
        </r>
        <r>
          <rPr>
            <sz val="14"/>
            <color rgb="FF000000"/>
            <rFont val="Times New Roman"/>
            <family val="18"/>
          </rPr>
          <t>10/12/1806 Muster: IR 44 CaptLt. Schick Komp. Nr. 47</t>
        </r>
        <r>
          <rPr>
            <sz val="14"/>
            <color rgb="FF000000"/>
            <rFont val="Calibri"/>
            <family val="34"/>
          </rPr>
          <t xml:space="preserve">
</t>
        </r>
        <r>
          <rPr>
            <sz val="14"/>
            <color rgb="FF000000"/>
            <rFont val="Times New Roman"/>
            <family val="18"/>
          </rPr>
          <t>19/09/1808 Muster: IR 44 CaptLt. Schlindwein Nr. 34</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14. Fus. Komp. zum 1. Reserve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1. Zum 7.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16/07/1810 </t>
        </r>
        <r>
          <rPr>
            <i/>
            <sz val="14"/>
            <color rgb="FF000000"/>
            <rFont val="Times New Roman"/>
            <family val="18"/>
          </rPr>
          <t>Von 13. zum 7.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27/09/1810 Revision: IR 44 7. Fus. Komp. Nr. 228 </t>
        </r>
        <r>
          <rPr>
            <sz val="14"/>
            <color rgb="FF000000"/>
            <rFont val="Calibri"/>
            <family val="34"/>
          </rPr>
          <t xml:space="preserve">
</t>
        </r>
        <r>
          <rPr>
            <sz val="14"/>
            <color rgb="FF000000"/>
            <rFont val="Times New Roman"/>
            <family val="18"/>
          </rPr>
          <t xml:space="preserve">10/11/1810 </t>
        </r>
        <r>
          <rPr>
            <i/>
            <sz val="14"/>
            <color rgb="FF000000"/>
            <rFont val="Times New Roman"/>
            <family val="18"/>
          </rPr>
          <t>Als angehöriger von 7. Fus. Komp als ausgedienter Veteran mit Abschied entlassen</t>
        </r>
        <r>
          <rPr>
            <sz val="14"/>
            <color rgb="FF000000"/>
            <rFont val="Times New Roman"/>
            <family val="18"/>
          </rPr>
          <t xml:space="preserve"> [ML 1811 &amp; ST Nov 1810]</t>
        </r>
        <r>
          <rPr>
            <sz val="14"/>
            <color rgb="FF000000"/>
            <rFont val="Calibri"/>
            <family val="34"/>
          </rPr>
          <t xml:space="preserve">
</t>
        </r>
      </text>
    </comment>
    <comment ref="BG273" authorId="0" shapeId="0" xr:uid="{62F61B7C-EA9E-BB42-9844-9E3AAD2F18C2}">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43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72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Richter Komp. Nr. 107 (Venice 19/09/1803)</t>
        </r>
        <r>
          <rPr>
            <sz val="14"/>
            <color rgb="FF000000"/>
            <rFont val="Calibri"/>
            <family val="34"/>
          </rPr>
          <t xml:space="preserve">
</t>
        </r>
        <r>
          <rPr>
            <sz val="14"/>
            <color rgb="FF000000"/>
            <rFont val="Times New Roman"/>
            <family val="18"/>
          </rPr>
          <t>ML 3909 IR 44 (1804) – Haupt Richter Komp. Nr. 96 (Vicenza 12/05/1804)</t>
        </r>
        <r>
          <rPr>
            <sz val="14"/>
            <color rgb="FF000000"/>
            <rFont val="Calibri"/>
            <family val="34"/>
          </rPr>
          <t xml:space="preserve">
</t>
        </r>
        <r>
          <rPr>
            <sz val="14"/>
            <color rgb="FF000000"/>
            <rFont val="Times New Roman"/>
            <family val="18"/>
          </rPr>
          <t>ML 3910 IR 44 (1806) – CaptLt Schick Komp. Nr. 47 (Fiume 10/12/1806)</t>
        </r>
        <r>
          <rPr>
            <sz val="14"/>
            <color rgb="FF000000"/>
            <rFont val="Calibri"/>
            <family val="34"/>
          </rPr>
          <t xml:space="preserve">
</t>
        </r>
        <r>
          <rPr>
            <sz val="14"/>
            <color rgb="FF000000"/>
            <rFont val="Times New Roman"/>
            <family val="18"/>
          </rPr>
          <t>ML 3911 IR 44 (1808-10) – RL CaptLt. Schlindwein [14. Fus.] Komp. Nr, 34 (Sambor 19/09/1808), 7. Fus. Komp. Nr. 228 (Papa 27/09/1810)</t>
        </r>
        <r>
          <rPr>
            <sz val="14"/>
            <color rgb="FF000000"/>
            <rFont val="Calibri"/>
            <family val="34"/>
          </rPr>
          <t xml:space="preserve">
</t>
        </r>
        <r>
          <rPr>
            <sz val="14"/>
            <color rgb="FF000000"/>
            <rFont val="Times New Roman"/>
            <family val="18"/>
          </rPr>
          <t>ML 3912/3 IR 44 (1811) – 7. Fus. Komp. – Abgang (Sthulweissenburg 20/09/1811)</t>
        </r>
        <r>
          <rPr>
            <sz val="14"/>
            <color rgb="FF000000"/>
            <rFont val="Calibri"/>
            <family val="34"/>
          </rPr>
          <t xml:space="preserve">
</t>
        </r>
        <r>
          <rPr>
            <sz val="14"/>
            <color rgb="FF000000"/>
            <rFont val="Times New Roman"/>
            <family val="18"/>
          </rPr>
          <t>ML 3946 IR 44 (1802) – AL IR 43-&gt; IR 43 Nr. 80 (Zara 14/08/1802)</t>
        </r>
        <r>
          <rPr>
            <sz val="14"/>
            <color rgb="FF000000"/>
            <rFont val="Calibri"/>
            <family val="34"/>
          </rPr>
          <t xml:space="preserve">
</t>
        </r>
        <r>
          <rPr>
            <sz val="14"/>
            <color rgb="FF000000"/>
            <rFont val="Times New Roman"/>
            <family val="18"/>
          </rPr>
          <t>ML 3960 IR 44 (1809) – ST Feb (Ofen 31/10/1810)</t>
        </r>
        <r>
          <rPr>
            <sz val="14"/>
            <color rgb="FF000000"/>
            <rFont val="Calibri"/>
            <family val="34"/>
          </rPr>
          <t xml:space="preserve">
</t>
        </r>
        <r>
          <rPr>
            <sz val="14"/>
            <color rgb="FF000000"/>
            <rFont val="Times New Roman"/>
            <family val="18"/>
          </rPr>
          <t>ML 3962 IR 44 (1810) – ST Nov (18/12/1811)</t>
        </r>
        <r>
          <rPr>
            <sz val="14"/>
            <color rgb="FF000000"/>
            <rFont val="Calibri"/>
            <family val="34"/>
          </rPr>
          <t xml:space="preserve">
</t>
        </r>
      </text>
    </comment>
    <comment ref="BH273" authorId="0" shapeId="0" xr:uid="{F2E6E1FF-563B-294F-9D3C-BB494B45CC07}">
      <text>
        <r>
          <rPr>
            <sz val="14"/>
            <color rgb="FF000000"/>
            <rFont val="Calibri"/>
            <family val="34"/>
          </rPr>
          <t xml:space="preserve">IR 43 (1799-1802)
</t>
        </r>
        <r>
          <rPr>
            <sz val="14"/>
            <color rgb="FF000000"/>
            <rFont val="Calibri"/>
            <family val="34"/>
          </rPr>
          <t>IR 44 (1802-1810)</t>
        </r>
      </text>
    </comment>
    <comment ref="BI273" authorId="0" shapeId="0" xr:uid="{906B347A-F9BC-A540-9E13-F0F3A4CFF097}">
      <text>
        <r>
          <rPr>
            <sz val="14"/>
            <color rgb="FF000000"/>
            <rFont val="Calibri"/>
            <family val="34"/>
          </rPr>
          <t>Gut [TL Aug 1802]</t>
        </r>
      </text>
    </comment>
    <comment ref="I274" authorId="0" shapeId="0" xr:uid="{AB7FEBCC-FE5E-5A45-B9E7-88D05FAF3C0C}">
      <text>
        <r>
          <rPr>
            <sz val="14"/>
            <color rgb="FF000000"/>
            <rFont val="Calibri"/>
            <family val="34"/>
          </rPr>
          <t xml:space="preserve">1770 [32 (1802)] 
</t>
        </r>
        <r>
          <rPr>
            <sz val="14"/>
            <color rgb="FF000000"/>
            <rFont val="Calibri"/>
            <family val="34"/>
          </rPr>
          <t xml:space="preserve">OR 
</t>
        </r>
        <r>
          <rPr>
            <sz val="14"/>
            <color rgb="FF000000"/>
            <rFont val="Calibri"/>
            <family val="34"/>
          </rPr>
          <t>1775 [25 (1800)]</t>
        </r>
      </text>
    </comment>
    <comment ref="J274" authorId="0" shapeId="0" xr:uid="{DA30E807-30EB-D848-89E2-8AAFB5C3B169}">
      <text>
        <r>
          <rPr>
            <sz val="14"/>
            <color rgb="FF000000"/>
            <rFont val="Calibri"/>
            <family val="34"/>
          </rPr>
          <t xml:space="preserve">Ledig (1802-3)
</t>
        </r>
        <r>
          <rPr>
            <sz val="14"/>
            <color rgb="FF000000"/>
            <rFont val="Calibri"/>
            <family val="34"/>
          </rPr>
          <t>Veheiratet (1800/4-5)</t>
        </r>
      </text>
    </comment>
    <comment ref="BF274" authorId="0" shapeId="0" xr:uid="{921D9D59-4CC2-6947-BB23-9461DF44AB55}">
      <text>
        <r>
          <rPr>
            <sz val="14"/>
            <color rgb="FFFF0000"/>
            <rFont val="+mn-lt"/>
            <charset val="1"/>
          </rPr>
          <t xml:space="preserve">01/07/1799 von Ständen gestellt [TL 1800]
</t>
        </r>
        <r>
          <rPr>
            <sz val="14"/>
            <color rgb="FF000000"/>
            <rFont val="+mn-lt"/>
            <charset val="1"/>
          </rPr>
          <t xml:space="preserve">26/07/1799 von Ständen gestellt [ML 1802]
</t>
        </r>
        <r>
          <rPr>
            <sz val="14"/>
            <color rgb="FF000000"/>
            <rFont val="+mn-lt"/>
            <charset val="1"/>
          </rPr>
          <t xml:space="preserve">06/04/1800 Von Reserve Division ins Haupt Pasqually transferiert [ST April 1800]
</t>
        </r>
        <r>
          <rPr>
            <sz val="14"/>
            <color rgb="FF000000"/>
            <rFont val="+mn-lt"/>
            <charset val="1"/>
          </rPr>
          <t xml:space="preserve">16/04/1800 In Pasqually Comp. eingerückt [ST April 1800]
</t>
        </r>
        <r>
          <rPr>
            <sz val="14"/>
            <color rgb="FF000000"/>
            <rFont val="+mn-lt"/>
            <charset val="1"/>
          </rPr>
          <t xml:space="preserve">28/08/1802 Musterung: IR 43 Haupt Pasqually Nr. 82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Pasqually Comp. Nr. 74 [Auf Urlaub bis zur Einberufung in seinem Geburtsort]
</t>
        </r>
        <r>
          <rPr>
            <sz val="14"/>
            <color rgb="FF000000"/>
            <rFont val="+mn-lt"/>
            <charset val="1"/>
          </rPr>
          <t xml:space="preserve">05/10/1804 Musterung: IR 43 Haupt Pasqually Comp Nr. 70 [Beurlaubt bis zur Einberufung in seinem Geburtsort]
</t>
        </r>
        <r>
          <rPr>
            <sz val="14"/>
            <color rgb="FF000000"/>
            <rFont val="+mn-lt"/>
            <charset val="1"/>
          </rPr>
          <t xml:space="preserve">10/11/1805 Musterung: IR 43 15. Fus Comp Nr. 64 [Beurlaubt bis zur Einberufung in seinem Geburtsort]
</t>
        </r>
        <r>
          <rPr>
            <sz val="14"/>
            <color rgb="FF000000"/>
            <rFont val="+mn-lt"/>
            <charset val="1"/>
          </rPr>
          <t xml:space="preserve">31/10/1806 Als auf Urlaub verbliebene von 9. Fus Comp als unwissend Verloren in Abgang [ST Oct 1806 &amp; ML 1806]
</t>
        </r>
        <r>
          <rPr>
            <sz val="14"/>
            <color rgb="FF000000"/>
            <rFont val="+mn-lt"/>
            <charset val="1"/>
          </rPr>
          <t xml:space="preserve">31/10/1806 wurde in den Monats Tabelle per 8ber 806 nit ultimo unrecht als unwissend verloren in Abgang gebracht; weil selbe auf Urlaub als Untauglich entlausen Wird [ST Nov 1806)
</t>
        </r>
        <r>
          <rPr>
            <sz val="14"/>
            <color rgb="FF000000"/>
            <rFont val="+mn-lt"/>
            <charset val="1"/>
          </rPr>
          <t xml:space="preserve">31/10/1806 zu Folge hoher General Commando Verordnung Nr. 7200 als untauglich gegen Renuncierung con Militar Beneficien mit Abschied entlassen [ST Nov 1806 &amp; ML 1806]
</t>
        </r>
      </text>
    </comment>
    <comment ref="BG274" authorId="0" shapeId="0" xr:uid="{AE10C44D-8F28-0640-A632-8D42BF44E2C3}">
      <text>
        <r>
          <rPr>
            <sz val="14"/>
            <color rgb="FF000000"/>
            <rFont val="Calibri"/>
            <family val="34"/>
          </rPr>
          <t xml:space="preserve">ML 10.272 IR 43 (1802) – Heft von Haupt Pasqually Comp Nr. 82 (Cattaro 28/08/1802)
</t>
        </r>
        <r>
          <rPr>
            <sz val="14"/>
            <color rgb="FF000000"/>
            <rFont val="Calibri"/>
            <family val="34"/>
          </rPr>
          <t xml:space="preserve">ML 10.273 IR 43 (1803) – Heft von Haupt Pasqually  Comp Nr. 74 (Cattaro 02/11/1803)
</t>
        </r>
        <r>
          <rPr>
            <sz val="14"/>
            <color rgb="FF000000"/>
            <rFont val="Calibri"/>
            <family val="34"/>
          </rPr>
          <t xml:space="preserve">ML 10.274 IR 43 (1804) – Heft von Haupt Pasqually Comp Nr. 70 (Theodo 05/10/1804)
</t>
        </r>
        <r>
          <rPr>
            <sz val="14"/>
            <color rgb="FF000000"/>
            <rFont val="Calibri"/>
            <family val="34"/>
          </rPr>
          <t xml:space="preserve">ML 10.275/6 IR 43 (1805) – Heft von 15. Fus. Comp. Nr. 64 (Macarska 10/11/1805)
</t>
        </r>
        <r>
          <rPr>
            <sz val="14"/>
            <color rgb="FF000000"/>
            <rFont val="Calibri"/>
            <family val="34"/>
          </rPr>
          <t xml:space="preserve">ML 10.277/8 IR 43 (1806) – Heft von 10. Fus. Comp. – Abgang (Neustadt (05/12/1806)
</t>
        </r>
        <r>
          <rPr>
            <sz val="14"/>
            <color rgb="FF000000"/>
            <rFont val="Calibri"/>
            <family val="34"/>
          </rPr>
          <t xml:space="preserve">ML 10.309 IR 43 (1800) – ST April (24/01/1802)
</t>
        </r>
        <r>
          <rPr>
            <sz val="14"/>
            <color rgb="FF000000"/>
            <rFont val="Calibri"/>
            <family val="34"/>
          </rPr>
          <t xml:space="preserve">ML 10.310 IR 43 (1800) – TL IR 43 Res Div-&gt; Feld Bat Nr. 23 (Laibach 05/02/1800)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und November (15/12/1806)
</t>
        </r>
      </text>
    </comment>
    <comment ref="BH274" authorId="0" shapeId="0" xr:uid="{F8AF5C90-3421-9649-9F03-3D6B7882F1FC}">
      <text>
        <r>
          <rPr>
            <sz val="14"/>
            <color rgb="FF000000"/>
            <rFont val="Calibri"/>
            <family val="34"/>
          </rPr>
          <t>IR 43 (1799-1806)</t>
        </r>
      </text>
    </comment>
    <comment ref="I275" authorId="0" shapeId="0" xr:uid="{02513F0E-51B3-9C48-9C26-DC66F8DDC800}">
      <text>
        <r>
          <rPr>
            <sz val="14"/>
            <color rgb="FF000000"/>
            <rFont val="Calibri"/>
            <family val="34"/>
          </rPr>
          <t xml:space="preserve">1771 [28 (AL 1799)] 
</t>
        </r>
        <r>
          <rPr>
            <sz val="14"/>
            <color rgb="FF000000"/>
            <rFont val="Calibri"/>
            <family val="34"/>
          </rPr>
          <t xml:space="preserve">OR 
</t>
        </r>
        <r>
          <rPr>
            <sz val="14"/>
            <color rgb="FF000000"/>
            <rFont val="Calibri"/>
            <family val="34"/>
          </rPr>
          <t>1762 [41 (ML 1803)]</t>
        </r>
      </text>
    </comment>
    <comment ref="T275" authorId="0" shapeId="0" xr:uid="{CF83FD96-4D0F-6A41-8E28-7BF00D839A66}">
      <text>
        <r>
          <rPr>
            <sz val="14"/>
            <color rgb="FF000000"/>
            <rFont val="Calibri"/>
            <family val="34"/>
          </rPr>
          <t xml:space="preserve">5 (1803-6) [158 cm]
</t>
        </r>
        <r>
          <rPr>
            <sz val="14"/>
            <color rgb="FF000000"/>
            <rFont val="Calibri"/>
            <family val="34"/>
          </rPr>
          <t>5.1 (1799) [161.07 cm]</t>
        </r>
      </text>
    </comment>
    <comment ref="BF275" authorId="0" shapeId="0" xr:uid="{B26ABF12-FEE5-A747-81FB-FF97ADCC7BAB}">
      <text>
        <r>
          <rPr>
            <sz val="14"/>
            <color rgb="FFFF0000"/>
            <rFont val="Times New Roman"/>
            <family val="18"/>
          </rPr>
          <t xml:space="preserve">??/05/1799 </t>
        </r>
        <r>
          <rPr>
            <i/>
            <sz val="14"/>
            <color rgb="FFFF0000"/>
            <rFont val="Times New Roman"/>
            <family val="18"/>
          </rPr>
          <t>A 3Fl auf Beständig assentiert</t>
        </r>
        <r>
          <rPr>
            <sz val="14"/>
            <color rgb="FFFF0000"/>
            <rFont val="Times New Roman"/>
            <family val="18"/>
          </rPr>
          <t xml:space="preserve"> [TL Aug 1802]</t>
        </r>
        <r>
          <rPr>
            <sz val="14"/>
            <color rgb="FF000000"/>
            <rFont val="Calibri"/>
            <family val="34"/>
          </rPr>
          <t xml:space="preserve">
</t>
        </r>
        <r>
          <rPr>
            <sz val="14"/>
            <color rgb="FFFF0000"/>
            <rFont val="Times New Roman"/>
            <family val="18"/>
          </rPr>
          <t xml:space="preserve">12/05/1799 </t>
        </r>
        <r>
          <rPr>
            <i/>
            <sz val="14"/>
            <color rgb="FFFF0000"/>
            <rFont val="Times New Roman"/>
            <family val="18"/>
          </rPr>
          <t>A 3Fl auf Beständig assentiert</t>
        </r>
        <r>
          <rPr>
            <sz val="14"/>
            <color rgb="FFFF0000"/>
            <rFont val="Times New Roman"/>
            <family val="18"/>
          </rPr>
          <t xml:space="preserve"> [ML 1804]</t>
        </r>
        <r>
          <rPr>
            <sz val="14"/>
            <color rgb="FF000000"/>
            <rFont val="Calibri"/>
            <family val="34"/>
          </rPr>
          <t xml:space="preserve">
</t>
        </r>
        <r>
          <rPr>
            <sz val="14"/>
            <color rgb="FF000000"/>
            <rFont val="Times New Roman"/>
            <family val="18"/>
          </rPr>
          <t xml:space="preserve">28/07/1799 </t>
        </r>
        <r>
          <rPr>
            <i/>
            <sz val="14"/>
            <color rgb="FF000000"/>
            <rFont val="Times New Roman"/>
            <family val="18"/>
          </rPr>
          <t>Von Ständen gestellt und zum Sandomierz assentiert,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15/11/1799</t>
        </r>
        <r>
          <rPr>
            <i/>
            <sz val="14"/>
            <color rgb="FF000000"/>
            <rFont val="Times New Roman"/>
            <family val="18"/>
          </rPr>
          <t xml:space="preserve"> In die Reserve Division eingerückt </t>
        </r>
        <r>
          <rPr>
            <sz val="14"/>
            <color rgb="FF000000"/>
            <rFont val="Times New Roman"/>
            <family val="18"/>
          </rPr>
          <t>[ST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Als angehöriger von Reserve Division Ferners Aufmarsch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03/04/1800 von Reserve Division in Haupt Gestler Comp. transferiert [ST April 1800]</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Assandri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Assandri Nr. 94 [</t>
        </r>
        <r>
          <rPr>
            <i/>
            <sz val="14"/>
            <color rgb="FF000000"/>
            <rFont val="Times New Roman"/>
            <family val="18"/>
          </rPr>
          <t>Auf unbestimmte Zeit beurlaubt in Ostrowitz in Neu Gallizien</t>
        </r>
        <r>
          <rPr>
            <sz val="14"/>
            <color rgb="FF000000"/>
            <rFont val="Times New Roman"/>
            <family val="18"/>
          </rPr>
          <t>]</t>
        </r>
        <r>
          <rPr>
            <sz val="14"/>
            <color rgb="FF000000"/>
            <rFont val="Calibri"/>
            <family val="34"/>
          </rPr>
          <t xml:space="preserve">
</t>
        </r>
        <r>
          <rPr>
            <sz val="14"/>
            <color rgb="FF000000"/>
            <rFont val="Times New Roman"/>
            <family val="18"/>
          </rPr>
          <t>12/05/1804 IR 44: Haupt Assandri Nr. 90 [</t>
        </r>
        <r>
          <rPr>
            <i/>
            <sz val="14"/>
            <color rgb="FF000000"/>
            <rFont val="Times New Roman"/>
            <family val="18"/>
          </rPr>
          <t>Beurlaubt zu Ostrowitz Sandomierz Kreis in West Neu Galizien bis Einberufung</t>
        </r>
        <r>
          <rPr>
            <sz val="14"/>
            <color rgb="FF000000"/>
            <rFont val="Times New Roman"/>
            <family val="18"/>
          </rPr>
          <t>]</t>
        </r>
        <r>
          <rPr>
            <sz val="14"/>
            <color rgb="FF000000"/>
            <rFont val="Calibri"/>
            <family val="34"/>
          </rPr>
          <t xml:space="preserve">
</t>
        </r>
        <r>
          <rPr>
            <sz val="14"/>
            <color rgb="FF000000"/>
            <rFont val="Times New Roman"/>
            <family val="18"/>
          </rPr>
          <t>10/12/1806 Muster: IR 44 Haupt Liebler Nr. 58</t>
        </r>
        <r>
          <rPr>
            <sz val="14"/>
            <color rgb="FF000000"/>
            <rFont val="Calibri"/>
            <family val="34"/>
          </rPr>
          <t xml:space="preserve">
</t>
        </r>
        <r>
          <rPr>
            <sz val="14"/>
            <color rgb="FF000000"/>
            <rFont val="Times New Roman"/>
            <family val="18"/>
          </rPr>
          <t xml:space="preserve">21/08/1808 </t>
        </r>
        <r>
          <rPr>
            <i/>
            <sz val="14"/>
            <color rgb="FF000000"/>
            <rFont val="Times New Roman"/>
            <family val="18"/>
          </rPr>
          <t>Krank in auswärtiger Garnison Spital in Pest, dann in Comorn</t>
        </r>
        <r>
          <rPr>
            <sz val="14"/>
            <color rgb="FF000000"/>
            <rFont val="Times New Roman"/>
            <family val="18"/>
          </rPr>
          <t xml:space="preserve"> [ST Aug 1808 &amp; ST April 1809]</t>
        </r>
        <r>
          <rPr>
            <sz val="14"/>
            <color rgb="FF000000"/>
            <rFont val="Calibri"/>
            <family val="34"/>
          </rPr>
          <t xml:space="preserve">
</t>
        </r>
        <r>
          <rPr>
            <sz val="14"/>
            <color rgb="FF000000"/>
            <rFont val="Times New Roman"/>
            <family val="18"/>
          </rPr>
          <t>19/09/1808 Muster: IR 44 Haupt Liebler Nr. 43 [</t>
        </r>
        <r>
          <rPr>
            <i/>
            <sz val="14"/>
            <color rgb="FF000000"/>
            <rFont val="Times New Roman"/>
            <family val="18"/>
          </rPr>
          <t>Commandiert in Spital zu Pest</t>
        </r>
        <r>
          <rPr>
            <sz val="14"/>
            <color rgb="FF000000"/>
            <rFont val="Times New Roman"/>
            <family val="18"/>
          </rPr>
          <t>]</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4.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ins Spital verbliebene als unwissend verloren in Abgang</t>
        </r>
        <r>
          <rPr>
            <sz val="14"/>
            <color rgb="FF000000"/>
            <rFont val="Times New Roman"/>
            <family val="18"/>
          </rPr>
          <t xml:space="preserve"> [ML 1811]</t>
        </r>
        <r>
          <rPr>
            <sz val="14"/>
            <color rgb="FF000000"/>
            <rFont val="Calibri"/>
            <family val="34"/>
          </rPr>
          <t xml:space="preserve">
</t>
        </r>
      </text>
    </comment>
    <comment ref="BG275" authorId="0" shapeId="0" xr:uid="{EBC48017-6B17-FC42-8F13-EE9A46CE059C}">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44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17 (Laibach 05/02/1802)</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Assandri Komp. Nr. 107 (Venice 19/09/1803)</t>
        </r>
        <r>
          <rPr>
            <sz val="14"/>
            <color rgb="FF000000"/>
            <rFont val="Calibri"/>
            <family val="34"/>
          </rPr>
          <t xml:space="preserve">
</t>
        </r>
        <r>
          <rPr>
            <sz val="14"/>
            <color rgb="FF000000"/>
            <rFont val="Times New Roman"/>
            <family val="18"/>
          </rPr>
          <t>ML 3909 IR 44 (1804) – Haupt Assandri Komp. Nr. 90 (Vicenza 12/05/1804)</t>
        </r>
        <r>
          <rPr>
            <sz val="14"/>
            <color rgb="FF000000"/>
            <rFont val="Calibri"/>
            <family val="34"/>
          </rPr>
          <t xml:space="preserve">
</t>
        </r>
        <r>
          <rPr>
            <sz val="14"/>
            <color rgb="FF000000"/>
            <rFont val="Times New Roman"/>
            <family val="18"/>
          </rPr>
          <t>ML 3910 IR 44 (1806) – Haupt. Liebler Nr. 58 (Fiume 10/12/1806)</t>
        </r>
        <r>
          <rPr>
            <sz val="14"/>
            <color rgb="FF000000"/>
            <rFont val="Calibri"/>
            <family val="34"/>
          </rPr>
          <t xml:space="preserve">
</t>
        </r>
        <r>
          <rPr>
            <sz val="14"/>
            <color rgb="FF000000"/>
            <rFont val="Times New Roman"/>
            <family val="18"/>
          </rPr>
          <t>ML 3911 IR 44 (1808-10) – Haupt Liebler [4. Fus.] Komp. Nr. 43 (Comorn 19/09/1808)</t>
        </r>
        <r>
          <rPr>
            <sz val="14"/>
            <color rgb="FF000000"/>
            <rFont val="Calibri"/>
            <family val="34"/>
          </rPr>
          <t xml:space="preserve">
</t>
        </r>
        <r>
          <rPr>
            <sz val="14"/>
            <color rgb="FF000000"/>
            <rFont val="Times New Roman"/>
            <family val="18"/>
          </rPr>
          <t>ML 3912-3 IR 44 (1811) – 1. Fus. Komp. – Abgang (Pappa 18/09/1811)</t>
        </r>
        <r>
          <rPr>
            <sz val="14"/>
            <color rgb="FF000000"/>
            <rFont val="Calibri"/>
            <family val="34"/>
          </rPr>
          <t xml:space="preserve">
</t>
        </r>
        <r>
          <rPr>
            <sz val="14"/>
            <color rgb="FF000000"/>
            <rFont val="Times New Roman"/>
            <family val="18"/>
          </rPr>
          <t>ML 3946 IR 44 (1802) – AL IR 43-&gt; IR 43 Nr. 82 (Zara 27/07/1802)</t>
        </r>
        <r>
          <rPr>
            <sz val="14"/>
            <color rgb="FF000000"/>
            <rFont val="Calibri"/>
            <family val="34"/>
          </rPr>
          <t xml:space="preserve">
</t>
        </r>
        <r>
          <rPr>
            <sz val="14"/>
            <color rgb="FF000000"/>
            <rFont val="Times New Roman"/>
            <family val="18"/>
          </rPr>
          <t>ML 3958 IR 44 (1808) – Aug (Comorn 28/11/1808)</t>
        </r>
        <r>
          <rPr>
            <sz val="14"/>
            <color rgb="FF000000"/>
            <rFont val="Calibri"/>
            <family val="34"/>
          </rPr>
          <t xml:space="preserve">
</t>
        </r>
        <r>
          <rPr>
            <sz val="14"/>
            <color rgb="FF000000"/>
            <rFont val="Times New Roman"/>
            <family val="18"/>
          </rPr>
          <t>ML 3960 IR 44 (1809) – April (Ofen 06/02/1811), Sept (Ofen 20/05/1811)</t>
        </r>
        <r>
          <rPr>
            <sz val="14"/>
            <color rgb="FF000000"/>
            <rFont val="Calibri"/>
            <family val="34"/>
          </rPr>
          <t xml:space="preserve">
</t>
        </r>
      </text>
    </comment>
    <comment ref="BH275" authorId="0" shapeId="0" xr:uid="{6C91D00F-F53A-C541-BC3E-FA9E81D5E1E8}">
      <text>
        <r>
          <rPr>
            <sz val="14"/>
            <color rgb="FF000000"/>
            <rFont val="Calibri"/>
            <family val="34"/>
          </rPr>
          <t xml:space="preserve">IR 43 (1799-1802)
</t>
        </r>
        <r>
          <rPr>
            <sz val="14"/>
            <color rgb="FF000000"/>
            <rFont val="Calibri"/>
            <family val="34"/>
          </rPr>
          <t>IR 44 (1802-1810)</t>
        </r>
      </text>
    </comment>
    <comment ref="BI275" authorId="0" shapeId="0" xr:uid="{115E50E2-46F7-DE40-A9D5-EF369B7A543C}">
      <text>
        <r>
          <rPr>
            <sz val="14"/>
            <color rgb="FF000000"/>
            <rFont val="Calibri"/>
            <family val="34"/>
          </rPr>
          <t>Gut [TL Aug 1802]</t>
        </r>
      </text>
    </comment>
    <comment ref="CR275" authorId="0" shapeId="0" xr:uid="{5C20F61A-F768-FA4D-BD4D-827E7C80FDFF}">
      <text>
        <r>
          <rPr>
            <sz val="14"/>
            <color rgb="FF000000"/>
            <rFont val="Calibri"/>
            <family val="34"/>
          </rPr>
          <t>1802-4: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1806: Katolisch </t>
        </r>
      </text>
    </comment>
    <comment ref="BF276" authorId="0" shapeId="0" xr:uid="{9BE34695-816C-A94F-84A4-546F7D419C2C}">
      <text>
        <r>
          <rPr>
            <sz val="14"/>
            <color rgb="FF000000"/>
            <rFont val="Times New Roman"/>
            <family val="18"/>
          </rPr>
          <t xml:space="preserve">29/07/1799 </t>
        </r>
        <r>
          <rPr>
            <i/>
            <sz val="14"/>
            <color rgb="FF000000"/>
            <rFont val="Times New Roman"/>
            <family val="18"/>
          </rPr>
          <t xml:space="preserve">von Ständen zum IR 43 gestellt und seitdem auf anhero Marsch mit Friedensgebühr </t>
        </r>
        <r>
          <rPr>
            <sz val="14"/>
            <color rgb="FF000000"/>
            <rFont val="Times New Roman"/>
            <family val="18"/>
          </rPr>
          <t>[AL Aug 1799]</t>
        </r>
        <r>
          <rPr>
            <sz val="14"/>
            <color rgb="FF000000"/>
            <rFont val="Calibri"/>
            <family val="34"/>
          </rPr>
          <t xml:space="preserve">
</t>
        </r>
        <r>
          <rPr>
            <sz val="14"/>
            <color rgb="FF000000"/>
            <rFont val="Times New Roman"/>
            <family val="18"/>
          </rPr>
          <t>10/1799 In Reserve Division eingerückt</t>
        </r>
        <r>
          <rPr>
            <sz val="14"/>
            <color rgb="FF000000"/>
            <rFont val="Calibri"/>
            <family val="34"/>
          </rPr>
          <t xml:space="preserve">
</t>
        </r>
        <r>
          <rPr>
            <sz val="14"/>
            <color rgb="FF000000"/>
            <rFont val="Times New Roman"/>
            <family val="18"/>
          </rPr>
          <t xml:space="preserve">04/12/1799 </t>
        </r>
        <r>
          <rPr>
            <i/>
            <sz val="14"/>
            <color rgb="FF000000"/>
            <rFont val="Times New Roman"/>
            <family val="18"/>
          </rPr>
          <t>Ferner Krank mit Kriegsgebühr</t>
        </r>
        <r>
          <rPr>
            <sz val="14"/>
            <color rgb="FF000000"/>
            <rFont val="Times New Roman"/>
            <family val="18"/>
          </rPr>
          <t xml:space="preserve"> [ST Dez 1799]</t>
        </r>
        <r>
          <rPr>
            <sz val="14"/>
            <color rgb="FF000000"/>
            <rFont val="Calibri"/>
            <family val="34"/>
          </rPr>
          <t xml:space="preserve">
</t>
        </r>
        <r>
          <rPr>
            <sz val="14"/>
            <color rgb="FF000000"/>
            <rFont val="Times New Roman"/>
            <family val="18"/>
          </rPr>
          <t xml:space="preserve">25/12/1799 </t>
        </r>
        <r>
          <rPr>
            <i/>
            <sz val="14"/>
            <color rgb="FF000000"/>
            <rFont val="Times New Roman"/>
            <family val="18"/>
          </rPr>
          <t xml:space="preserve">Rekonvalesziert </t>
        </r>
        <r>
          <rPr>
            <sz val="14"/>
            <color rgb="FF000000"/>
            <rFont val="Times New Roman"/>
            <family val="18"/>
          </rPr>
          <t>[ST Dec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Aufmarsch zum Regiment</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16/08/1800 </t>
        </r>
        <r>
          <rPr>
            <i/>
            <sz val="14"/>
            <color rgb="FF000000"/>
            <rFont val="Times New Roman"/>
            <family val="18"/>
          </rPr>
          <t>Von Reserve Division ins Haupt Schoer Comp.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21/08/1800 </t>
        </r>
        <r>
          <rPr>
            <i/>
            <sz val="14"/>
            <color rgb="FF000000"/>
            <rFont val="Times New Roman"/>
            <family val="18"/>
          </rPr>
          <t>Krank auswärts</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30/06/1801 </t>
        </r>
        <r>
          <rPr>
            <i/>
            <sz val="14"/>
            <color rgb="FF000000"/>
            <rFont val="Times New Roman"/>
            <family val="18"/>
          </rPr>
          <t>Als ins auswärtiger Feldspitalern als über ½ Jahr auswärts und deren Existenz gänzlich Unbewusst</t>
        </r>
        <r>
          <rPr>
            <sz val="14"/>
            <color rgb="FF000000"/>
            <rFont val="Times New Roman"/>
            <family val="18"/>
          </rPr>
          <t xml:space="preserve"> [ST Juli 1801]</t>
        </r>
        <r>
          <rPr>
            <sz val="14"/>
            <color rgb="FF000000"/>
            <rFont val="Calibri"/>
            <family val="34"/>
          </rPr>
          <t xml:space="preserve">
</t>
        </r>
      </text>
    </comment>
    <comment ref="BG276" authorId="0" shapeId="0" xr:uid="{C94081D5-8735-214E-8B66-2D3079F45024}">
      <text>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45 (Sandomierz 31/08/1799)</t>
        </r>
        <r>
          <rPr>
            <sz val="14"/>
            <color rgb="FF000000"/>
            <rFont val="Calibri"/>
            <family val="34"/>
          </rPr>
          <t xml:space="preserve">
</t>
        </r>
        <r>
          <rPr>
            <sz val="14"/>
            <color rgb="FF000000"/>
            <rFont val="Times New Roman"/>
            <family val="18"/>
          </rPr>
          <t>ML 10.309 IR 43 (1800) – ST Feb (06/04/1801), März (04/10/1801), Sept (31/01/1804)</t>
        </r>
        <r>
          <rPr>
            <sz val="14"/>
            <color rgb="FF000000"/>
            <rFont val="Calibri"/>
            <family val="34"/>
          </rPr>
          <t xml:space="preserve">
</t>
        </r>
        <r>
          <rPr>
            <sz val="14"/>
            <color rgb="FF000000"/>
            <rFont val="Times New Roman"/>
            <family val="18"/>
          </rPr>
          <t>ML 10.310 IR 43 (1800) – TL IR 43 Res. Div.-&gt; Feld Bat. Nr. 31 (Laibach 05/02/1800)</t>
        </r>
        <r>
          <rPr>
            <sz val="14"/>
            <color rgb="FF000000"/>
            <rFont val="Calibri"/>
            <family val="34"/>
          </rPr>
          <t xml:space="preserve">
</t>
        </r>
        <r>
          <rPr>
            <sz val="14"/>
            <color rgb="FF000000"/>
            <rFont val="Times New Roman"/>
            <family val="18"/>
          </rPr>
          <t>ML 10.311 IR 43 (1801) – ST Juli (08/07/1805)</t>
        </r>
        <r>
          <rPr>
            <sz val="14"/>
            <color rgb="FF000000"/>
            <rFont val="Calibri"/>
            <family val="34"/>
          </rPr>
          <t xml:space="preserve">
</t>
        </r>
      </text>
    </comment>
    <comment ref="BH276" authorId="0" shapeId="0" xr:uid="{574FB5B0-F3F3-9741-85CD-F830BF80F77F}">
      <text>
        <r>
          <rPr>
            <sz val="14"/>
            <color rgb="FF000000"/>
            <rFont val="Calibri"/>
            <family val="34"/>
          </rPr>
          <t>IR 43 (1799-1801)</t>
        </r>
      </text>
    </comment>
    <comment ref="BF277" authorId="0" shapeId="0" xr:uid="{748ECA04-792A-E94A-8D4A-34983E17AFF2}">
      <text>
        <r>
          <rPr>
            <sz val="14"/>
            <color rgb="FF000000"/>
            <rFont val="Times New Roman"/>
            <family val="18"/>
          </rPr>
          <t xml:space="preserve">01/08/1799 </t>
        </r>
        <r>
          <rPr>
            <i/>
            <sz val="14"/>
            <color rgb="FF000000"/>
            <rFont val="Times New Roman"/>
            <family val="18"/>
          </rPr>
          <t>Werden in Ermanglung von Assent Liste nach der Revision von1. August 1799 in Zuwachs gebracht, und von euodem dato mit auswärtiger verpflegung auf Anmarsch</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28/09/1799 </t>
        </r>
        <r>
          <rPr>
            <i/>
            <sz val="14"/>
            <color rgb="FF000000"/>
            <rFont val="Times New Roman"/>
            <family val="18"/>
          </rPr>
          <t>ist eingerückt und seitdem mit Geld und seit 27. mit Service in Loco</t>
        </r>
        <r>
          <rPr>
            <sz val="14"/>
            <color rgb="FF000000"/>
            <rFont val="Times New Roman"/>
            <family val="18"/>
          </rPr>
          <t xml:space="preserve"> [ST September 1799]</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t>
        </r>
        <r>
          <rPr>
            <sz val="14"/>
            <color rgb="FF000000"/>
            <rFont val="Times New Roman"/>
            <family val="18"/>
          </rPr>
          <t xml:space="preserve"> [ML 1802]</t>
        </r>
        <r>
          <rPr>
            <sz val="14"/>
            <color rgb="FF000000"/>
            <rFont val="Calibri"/>
            <family val="34"/>
          </rPr>
          <t xml:space="preserve">
</t>
        </r>
      </text>
    </comment>
    <comment ref="BG277" authorId="0" shapeId="0" xr:uid="{9DFDA74D-E0A4-8A41-94C7-0B12DC081804}">
      <text>
        <r>
          <rPr>
            <sz val="14"/>
            <color rgb="FF000000"/>
            <rFont val="Times New Roman"/>
            <family val="18"/>
          </rPr>
          <t>ML 10.124 IR 23 (1802) – Haupt Pappius Komp. Abgang (Vienna 16/09/1802)</t>
        </r>
        <r>
          <rPr>
            <sz val="14"/>
            <color rgb="FF000000"/>
            <rFont val="Calibri"/>
            <family val="34"/>
          </rPr>
          <t xml:space="preserve">
</t>
        </r>
        <r>
          <rPr>
            <sz val="14"/>
            <color rgb="FF000000"/>
            <rFont val="Times New Roman"/>
            <family val="18"/>
          </rPr>
          <t>ML 10.164 IR 23 (1799) – Sept (01/04/1801)</t>
        </r>
      </text>
    </comment>
    <comment ref="BH277" authorId="0" shapeId="0" xr:uid="{8489C782-5F91-104D-B326-A79F673A6D54}">
      <text>
        <r>
          <rPr>
            <sz val="14"/>
            <color rgb="FF000000"/>
            <rFont val="Calibri"/>
            <family val="34"/>
          </rPr>
          <t>IR 23 (1799-1801)</t>
        </r>
      </text>
    </comment>
    <comment ref="BF278" authorId="0" shapeId="0" xr:uid="{1C8E9CC2-8EF6-E144-B15A-ABEED7677B68}">
      <text>
        <r>
          <rPr>
            <sz val="14"/>
            <color rgb="FF000000"/>
            <rFont val="Times New Roman"/>
            <family val="18"/>
          </rPr>
          <t xml:space="preserve">In 08/1799 </t>
        </r>
        <r>
          <rPr>
            <i/>
            <sz val="14"/>
            <color rgb="FF000000"/>
            <rFont val="Times New Roman"/>
            <family val="18"/>
          </rPr>
          <t>Assentiert</t>
        </r>
        <r>
          <rPr>
            <sz val="14"/>
            <color rgb="FF000000"/>
            <rFont val="Times New Roman"/>
            <family val="18"/>
          </rPr>
          <t xml:space="preserve"> [TL March 1811]</t>
        </r>
        <r>
          <rPr>
            <sz val="14"/>
            <color rgb="FF000000"/>
            <rFont val="Calibri"/>
            <family val="34"/>
          </rPr>
          <t xml:space="preserve">
</t>
        </r>
        <r>
          <rPr>
            <sz val="14"/>
            <color rgb="FF000000"/>
            <rFont val="Times New Roman"/>
            <family val="18"/>
          </rPr>
          <t xml:space="preserve">In 08/1810 </t>
        </r>
        <r>
          <rPr>
            <i/>
            <sz val="14"/>
            <color rgb="FF000000"/>
            <rFont val="Times New Roman"/>
            <family val="18"/>
          </rPr>
          <t>Auf Unbekannte Datum von Dissolvierte Marine Batterie zum IR 44 16. Fus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21/08/1810 </t>
        </r>
        <r>
          <rPr>
            <i/>
            <sz val="14"/>
            <color rgb="FF000000"/>
            <rFont val="Times New Roman"/>
            <family val="18"/>
          </rPr>
          <t>Von 16. Zum 5. Fus.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5. Fus. Komp, Nr. 279 [</t>
        </r>
        <r>
          <rPr>
            <i/>
            <sz val="14"/>
            <color rgb="FF000000"/>
            <rFont val="Times New Roman"/>
            <family val="18"/>
          </rPr>
          <t>Halb Invalid &amp; Commandiert auf Arbeit zu Ertson</t>
        </r>
        <r>
          <rPr>
            <sz val="14"/>
            <color rgb="FF000000"/>
            <rFont val="Times New Roman"/>
            <family val="18"/>
          </rPr>
          <t>]</t>
        </r>
        <r>
          <rPr>
            <sz val="14"/>
            <color rgb="FF000000"/>
            <rFont val="Calibri"/>
            <family val="34"/>
          </rPr>
          <t xml:space="preserve">
</t>
        </r>
        <r>
          <rPr>
            <sz val="14"/>
            <color rgb="FF000000"/>
            <rFont val="Times New Roman"/>
            <family val="18"/>
          </rPr>
          <t xml:space="preserve">01/03/1811 </t>
        </r>
        <r>
          <rPr>
            <i/>
            <sz val="14"/>
            <color rgb="FF000000"/>
            <rFont val="Times New Roman"/>
            <family val="18"/>
          </rPr>
          <t>von IR 44 5. Fus Comp. zum 6. GAD ‚7Burgen‘ als Halb Invalid transferiert</t>
        </r>
        <r>
          <rPr>
            <sz val="14"/>
            <color rgb="FF000000"/>
            <rFont val="Times New Roman"/>
            <family val="18"/>
          </rPr>
          <t xml:space="preserve"> [TL March 1811]</t>
        </r>
        <r>
          <rPr>
            <sz val="14"/>
            <color rgb="FF000000"/>
            <rFont val="Calibri"/>
            <family val="34"/>
          </rPr>
          <t xml:space="preserve">
</t>
        </r>
        <r>
          <rPr>
            <sz val="14"/>
            <color rgb="FF000000"/>
            <rFont val="Times New Roman"/>
            <family val="18"/>
          </rPr>
          <t xml:space="preserve">20/06/1811 </t>
        </r>
        <r>
          <rPr>
            <i/>
            <sz val="14"/>
            <color rgb="FF000000"/>
            <rFont val="Times New Roman"/>
            <family val="18"/>
          </rPr>
          <t>In Karlsburg Eingerückt und zum Privat Diener Mutiert</t>
        </r>
        <r>
          <rPr>
            <sz val="14"/>
            <color rgb="FF000000"/>
            <rFont val="Times New Roman"/>
            <family val="18"/>
          </rPr>
          <t xml:space="preserve"> [ST June 1811]</t>
        </r>
        <r>
          <rPr>
            <sz val="14"/>
            <color rgb="FF000000"/>
            <rFont val="Calibri"/>
            <family val="34"/>
          </rPr>
          <t xml:space="preserve">
</t>
        </r>
        <r>
          <rPr>
            <sz val="14"/>
            <color rgb="FF000000"/>
            <rFont val="Times New Roman"/>
            <family val="18"/>
          </rPr>
          <t xml:space="preserve">05/08/1811 </t>
        </r>
        <r>
          <rPr>
            <i/>
            <sz val="14"/>
            <color rgb="FF000000"/>
            <rFont val="Times New Roman"/>
            <family val="18"/>
          </rPr>
          <t>Krank ins Garrison Spital</t>
        </r>
        <r>
          <rPr>
            <sz val="14"/>
            <color rgb="FF000000"/>
            <rFont val="Times New Roman"/>
            <family val="18"/>
          </rPr>
          <t xml:space="preserve"> [ST Aug 1811] </t>
        </r>
        <r>
          <rPr>
            <sz val="14"/>
            <color rgb="FF000000"/>
            <rFont val="Calibri"/>
            <family val="34"/>
          </rPr>
          <t xml:space="preserve">
</t>
        </r>
        <r>
          <rPr>
            <sz val="14"/>
            <color rgb="FF000000"/>
            <rFont val="Times New Roman"/>
            <family val="18"/>
          </rPr>
          <t xml:space="preserve">16/09/1811 </t>
        </r>
        <r>
          <rPr>
            <i/>
            <sz val="14"/>
            <color rgb="FF000000"/>
            <rFont val="Times New Roman"/>
            <family val="18"/>
          </rPr>
          <t>Reconvalesiert und als Fourierschütz zurück ins dienst</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15/07/1812 </t>
        </r>
        <r>
          <rPr>
            <i/>
            <sz val="14"/>
            <color rgb="FF000000"/>
            <rFont val="Times New Roman"/>
            <family val="18"/>
          </rPr>
          <t>Vermog hohe Hofkriegsratlichen Reskript von 20 Juni c.a.K 2364 und Hoch Lobl Gen milit Commando Verordnung d. 4. July R. 3935 als Ausgediente Capitulant mit Abschied entlassen</t>
        </r>
        <r>
          <rPr>
            <sz val="14"/>
            <color rgb="FF000000"/>
            <rFont val="Times New Roman"/>
            <family val="18"/>
          </rPr>
          <t xml:space="preserve"> [ST Juli 1812]</t>
        </r>
        <r>
          <rPr>
            <sz val="14"/>
            <color rgb="FF000000"/>
            <rFont val="Calibri"/>
            <family val="34"/>
          </rPr>
          <t xml:space="preserve">
</t>
        </r>
      </text>
    </comment>
    <comment ref="BG278" authorId="0" shapeId="0" xr:uid="{DD0A6F93-0CB5-794B-B0F0-FCB536B8470C}">
      <text>
        <r>
          <rPr>
            <sz val="14"/>
            <color rgb="FF000000"/>
            <rFont val="Times New Roman"/>
            <family val="18"/>
          </rPr>
          <t>ML 3911 IR 44 (1808-10): 5. Fus Komp. Nr. 279 (Sthulweissenburg 25/09/1810)</t>
        </r>
        <r>
          <rPr>
            <sz val="14"/>
            <color rgb="FF000000"/>
            <rFont val="Calibri"/>
            <family val="34"/>
          </rPr>
          <t xml:space="preserve">
</t>
        </r>
        <r>
          <rPr>
            <sz val="14"/>
            <color rgb="FF000000"/>
            <rFont val="Times New Roman"/>
            <family val="18"/>
          </rPr>
          <t>ML 3912/3 IR 44 (1811): 5. Fus Comp Zuwachs &amp; Abgang (Papa 18/09/1811) &amp; 16. Fus. Zuwachs undAbgang (Stulweisenburg 20/09/1811)</t>
        </r>
        <r>
          <rPr>
            <sz val="14"/>
            <color rgb="FF000000"/>
            <rFont val="Calibri"/>
            <family val="34"/>
          </rPr>
          <t xml:space="preserve">
</t>
        </r>
        <r>
          <rPr>
            <sz val="14"/>
            <color rgb="FF000000"/>
            <rFont val="Times New Roman"/>
            <family val="18"/>
          </rPr>
          <t>ML 3964 IR 44 (1811) – TL IR 44-&gt; 6. GAD Nr. 3 (Sthulweisenburg 16/03/1811)</t>
        </r>
        <r>
          <rPr>
            <sz val="14"/>
            <color rgb="FF000000"/>
            <rFont val="Calibri"/>
            <family val="34"/>
          </rPr>
          <t xml:space="preserve">
</t>
        </r>
        <r>
          <rPr>
            <sz val="14"/>
            <color rgb="FF000000"/>
            <rFont val="Times New Roman"/>
            <family val="18"/>
          </rPr>
          <t>ML 8356 GAD 7 (1811) – Grundbuch für 1811 (Carlsburg 31/12/1811)</t>
        </r>
        <r>
          <rPr>
            <sz val="14"/>
            <color rgb="FF000000"/>
            <rFont val="Calibri"/>
            <family val="34"/>
          </rPr>
          <t xml:space="preserve">
</t>
        </r>
        <r>
          <rPr>
            <sz val="14"/>
            <color rgb="FF000000"/>
            <rFont val="Times New Roman"/>
            <family val="18"/>
          </rPr>
          <t> </t>
        </r>
        <r>
          <rPr>
            <sz val="14"/>
            <color rgb="FF000000"/>
            <rFont val="Calibri"/>
            <family val="34"/>
          </rPr>
          <t xml:space="preserve">
</t>
        </r>
        <r>
          <rPr>
            <sz val="14"/>
            <color rgb="FF000000"/>
            <rFont val="Times New Roman"/>
            <family val="18"/>
          </rPr>
          <t>ML 8364 6. GAD (1806-12) ‚7Burgen‘ – TL IR 44-&gt; 6. GAD Nr. 3 (Sthulweisenburg 16/03/1811) &amp; ST 1811: June (30/06/1811), Aug (31/08/1811), Sept (30/09/1811) &amp; ST 1812 Juli (31/07/1812)</t>
        </r>
        <r>
          <rPr>
            <sz val="14"/>
            <color rgb="FF000000"/>
            <rFont val="Calibri"/>
            <family val="34"/>
          </rPr>
          <t xml:space="preserve">
</t>
        </r>
      </text>
    </comment>
    <comment ref="BH278" authorId="0" shapeId="0" xr:uid="{8934674F-9AE4-424C-A6BC-711FDEACC084}">
      <text>
        <r>
          <rPr>
            <sz val="14"/>
            <color rgb="FF000000"/>
            <rFont val="Calibri"/>
            <family val="34"/>
          </rPr>
          <t xml:space="preserve">Marine Artillerie (1799?-1810)
</t>
        </r>
        <r>
          <rPr>
            <sz val="14"/>
            <color rgb="FF000000"/>
            <rFont val="Calibri"/>
            <family val="34"/>
          </rPr>
          <t xml:space="preserve">IR 44 (1810-1811)
</t>
        </r>
        <r>
          <rPr>
            <sz val="14"/>
            <color rgb="FF000000"/>
            <rFont val="Calibri"/>
            <family val="34"/>
          </rPr>
          <t>GAD 7Burgen (1811-1812)</t>
        </r>
      </text>
    </comment>
    <comment ref="I279" authorId="0" shapeId="0" xr:uid="{B8D76C7B-DD82-374D-B42F-6526B23106B8}">
      <text>
        <r>
          <rPr>
            <sz val="14"/>
            <color rgb="FF000000"/>
            <rFont val="Calibri"/>
            <family val="34"/>
          </rPr>
          <t xml:space="preserve">1771 [28 (AL 1799)] 
</t>
        </r>
        <r>
          <rPr>
            <sz val="14"/>
            <color rgb="FF000000"/>
            <rFont val="Calibri"/>
            <family val="34"/>
          </rPr>
          <t xml:space="preserve">OR 
</t>
        </r>
        <r>
          <rPr>
            <sz val="14"/>
            <color rgb="FF000000"/>
            <rFont val="Calibri"/>
            <family val="34"/>
          </rPr>
          <t>1768 [35 (TL 1803)]</t>
        </r>
      </text>
    </comment>
    <comment ref="T279" authorId="0" shapeId="0" xr:uid="{3356EA54-BCEE-0C44-852A-0C1FB4D18999}">
      <text>
        <r>
          <rPr>
            <sz val="14"/>
            <color rgb="FF000000"/>
            <rFont val="Times New Roman"/>
            <family val="18"/>
          </rPr>
          <t xml:space="preserve">5.1 </t>
        </r>
        <r>
          <rPr>
            <b/>
            <sz val="14"/>
            <color rgb="FF000000"/>
            <rFont val="Times New Roman"/>
            <family val="18"/>
          </rPr>
          <t xml:space="preserve">[160.63 cm] </t>
        </r>
        <r>
          <rPr>
            <sz val="14"/>
            <color rgb="FF000000"/>
            <rFont val="Times New Roman"/>
            <family val="18"/>
          </rPr>
          <t xml:space="preserve">(1799)
</t>
        </r>
        <r>
          <rPr>
            <sz val="14"/>
            <color rgb="FF000000"/>
            <rFont val="Times New Roman"/>
            <family val="18"/>
          </rPr>
          <t xml:space="preserve">5.2.1 </t>
        </r>
        <r>
          <rPr>
            <b/>
            <sz val="14"/>
            <color rgb="FF000000"/>
            <rFont val="Times New Roman"/>
            <family val="18"/>
          </rPr>
          <t>[163.48 cm]</t>
        </r>
        <r>
          <rPr>
            <sz val="14"/>
            <color rgb="FF000000"/>
            <rFont val="Times New Roman"/>
            <family val="18"/>
          </rPr>
          <t xml:space="preserve"> (1800) 
</t>
        </r>
        <r>
          <rPr>
            <sz val="14"/>
            <color rgb="FF000000"/>
            <rFont val="Times New Roman"/>
            <family val="18"/>
          </rPr>
          <t xml:space="preserve">5.2.3 </t>
        </r>
        <r>
          <rPr>
            <b/>
            <sz val="14"/>
            <color rgb="FF000000"/>
            <rFont val="Times New Roman"/>
            <family val="18"/>
          </rPr>
          <t>[163.92 cm]</t>
        </r>
        <r>
          <rPr>
            <sz val="14"/>
            <color rgb="FF000000"/>
            <rFont val="Times New Roman"/>
            <family val="18"/>
          </rPr>
          <t xml:space="preserve"> (1802)
</t>
        </r>
        <r>
          <rPr>
            <sz val="14"/>
            <color rgb="FF000000"/>
            <rFont val="Times New Roman"/>
            <family val="18"/>
          </rPr>
          <t xml:space="preserve">5.3.2 </t>
        </r>
        <r>
          <rPr>
            <b/>
            <sz val="14"/>
            <color rgb="FF000000"/>
            <rFont val="Times New Roman"/>
            <family val="18"/>
          </rPr>
          <t>[166.33]</t>
        </r>
        <r>
          <rPr>
            <sz val="14"/>
            <color rgb="FF000000"/>
            <rFont val="Times New Roman"/>
            <family val="18"/>
          </rPr>
          <t xml:space="preserve"> (1803/4)</t>
        </r>
      </text>
    </comment>
    <comment ref="BF279" authorId="0" shapeId="0" xr:uid="{174A02B5-1EEE-E047-8115-354B6D70C7B8}">
      <text>
        <r>
          <rPr>
            <sz val="14"/>
            <color rgb="FFFF0000"/>
            <rFont val="Times New Roman"/>
            <family val="18"/>
          </rPr>
          <t xml:space="preserve">??/07/1799 </t>
        </r>
        <r>
          <rPr>
            <i/>
            <sz val="14"/>
            <color rgb="FFFF0000"/>
            <rFont val="Times New Roman"/>
            <family val="18"/>
          </rPr>
          <t>zu Sandomier auf Beständig gestellt</t>
        </r>
        <r>
          <rPr>
            <sz val="14"/>
            <color rgb="FFFF0000"/>
            <rFont val="Times New Roman"/>
            <family val="18"/>
          </rPr>
          <t xml:space="preserve"> [TL Juli 1802]</t>
        </r>
        <r>
          <rPr>
            <sz val="14"/>
            <color rgb="FF000000"/>
            <rFont val="Calibri"/>
            <family val="34"/>
          </rPr>
          <t xml:space="preserve">
</t>
        </r>
        <r>
          <rPr>
            <sz val="14"/>
            <color rgb="FFFF0000"/>
            <rFont val="Times New Roman"/>
            <family val="18"/>
          </rPr>
          <t xml:space="preserve">01/07/1799 </t>
        </r>
        <r>
          <rPr>
            <i/>
            <sz val="14"/>
            <color rgb="FFFF0000"/>
            <rFont val="Times New Roman"/>
            <family val="18"/>
          </rPr>
          <t xml:space="preserve">Von Ständen gestellt </t>
        </r>
        <r>
          <rPr>
            <sz val="14"/>
            <color rgb="FFFF0000"/>
            <rFont val="Times New Roman"/>
            <family val="18"/>
          </rPr>
          <t>[TL Feb 1800]</t>
        </r>
        <r>
          <rPr>
            <sz val="14"/>
            <color rgb="FF000000"/>
            <rFont val="Calibri"/>
            <family val="34"/>
          </rPr>
          <t xml:space="preserve">
</t>
        </r>
        <r>
          <rPr>
            <sz val="14"/>
            <color rgb="FF000000"/>
            <rFont val="Times New Roman"/>
            <family val="18"/>
          </rPr>
          <t xml:space="preserve">01/08/1799 </t>
        </r>
        <r>
          <rPr>
            <i/>
            <sz val="14"/>
            <color rgb="FF000000"/>
            <rFont val="Times New Roman"/>
            <family val="18"/>
          </rPr>
          <t xml:space="preserve">Von Ständen a 3Fl gestellt und zum IR 43 in Sandomierz assentiert, seitdem auf anhero Marsch mit Friedensgebühr </t>
        </r>
        <r>
          <rPr>
            <sz val="14"/>
            <color rgb="FF000000"/>
            <rFont val="Times New Roman"/>
            <family val="18"/>
          </rPr>
          <t xml:space="preserve"> [AL Aug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eingerückt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Dietrich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die Haupt Dietrich Companie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09/03/1801 </t>
        </r>
        <r>
          <rPr>
            <i/>
            <sz val="14"/>
            <color rgb="FF000000"/>
            <rFont val="Times New Roman"/>
            <family val="18"/>
          </rPr>
          <t>Krank auswärts</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25/03/1801 </t>
        </r>
        <r>
          <rPr>
            <i/>
            <sz val="14"/>
            <color rgb="FF000000"/>
            <rFont val="Times New Roman"/>
            <family val="18"/>
          </rPr>
          <t>Rekonvalesziert und zu Reserve Division zugeheilt mit 4/8 Fleischbeitrag</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15/04/1801 </t>
        </r>
        <r>
          <rPr>
            <i/>
            <sz val="14"/>
            <color rgb="FF000000"/>
            <rFont val="Times New Roman"/>
            <family val="18"/>
          </rPr>
          <t>Zurück in Companie eingerückt</t>
        </r>
        <r>
          <rPr>
            <sz val="14"/>
            <color rgb="FF000000"/>
            <rFont val="Times New Roman"/>
            <family val="18"/>
          </rPr>
          <t xml:space="preserve"> [ST May 1801]</t>
        </r>
        <r>
          <rPr>
            <sz val="14"/>
            <color rgb="FF000000"/>
            <rFont val="Calibri"/>
            <family val="34"/>
          </rPr>
          <t xml:space="preserve">
</t>
        </r>
        <r>
          <rPr>
            <sz val="14"/>
            <color rgb="FF000000"/>
            <rFont val="Times New Roman"/>
            <family val="18"/>
          </rPr>
          <t xml:space="preserve">19/07/1802 </t>
        </r>
        <r>
          <rPr>
            <i/>
            <sz val="14"/>
            <color rgb="FF000000"/>
            <rFont val="Times New Roman"/>
            <family val="18"/>
          </rPr>
          <t>Auf Bestimmte Zeit Beurlaubt; mit Deutscher Gebühr und Teuerungsbeitrag, bis 24. hujus Mit Ungarischen Gebühr ohne Teuerungsbeitrag, bis inclusive 26 huj verpflegt</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Dietrich Komp. zum IR 44 transferiert und zur Assandri Komp. eingeheilt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19/09/1803 Muster: IR 44 Haupt Assandri Komp. Nr. 107 [</t>
        </r>
        <r>
          <rPr>
            <i/>
            <sz val="14"/>
            <color rgb="FF000000"/>
            <rFont val="Times New Roman"/>
            <family val="18"/>
          </rPr>
          <t>Auf unbestimmte Zeit beurlaubt in Optow in Neu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Assandri Komp. Nr. 101 [</t>
        </r>
        <r>
          <rPr>
            <i/>
            <sz val="14"/>
            <color rgb="FF000000"/>
            <rFont val="Times New Roman"/>
            <family val="18"/>
          </rPr>
          <t>Beurlaubt in Obtow in West Gallizien bis zur kunftigen Execerzierzeit</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 gebracht</t>
        </r>
        <r>
          <rPr>
            <sz val="14"/>
            <color rgb="FF000000"/>
            <rFont val="Times New Roman"/>
            <family val="18"/>
          </rPr>
          <t xml:space="preserve"> [ML 1806]</t>
        </r>
        <r>
          <rPr>
            <sz val="14"/>
            <color rgb="FF000000"/>
            <rFont val="Calibri"/>
            <family val="34"/>
          </rPr>
          <t xml:space="preserve">
</t>
        </r>
      </text>
    </comment>
    <comment ref="BG279" authorId="0" shapeId="0" xr:uid="{D9B57A0F-F933-5F4B-8380-18B4B213AEA1}">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46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10.310 IR 43 (1800) – TL IR 43 Res. Div.-&gt; Feld Bats. Nr. 74 (Laibach 05/02/1800)</t>
        </r>
        <r>
          <rPr>
            <sz val="14"/>
            <color rgb="FF000000"/>
            <rFont val="Calibri"/>
            <family val="34"/>
          </rPr>
          <t xml:space="preserve">
</t>
        </r>
        <r>
          <rPr>
            <sz val="14"/>
            <color rgb="FF000000"/>
            <rFont val="Times New Roman"/>
            <family val="18"/>
          </rPr>
          <t>ML 10.311 IR 43 (1801) – ST März (10/10/1804), Mai (10/03/1805)</t>
        </r>
        <r>
          <rPr>
            <sz val="14"/>
            <color rgb="FF000000"/>
            <rFont val="Calibri"/>
            <family val="34"/>
          </rPr>
          <t xml:space="preserve">
</t>
        </r>
        <r>
          <rPr>
            <sz val="14"/>
            <color rgb="FF000000"/>
            <rFont val="Times New Roman"/>
            <family val="18"/>
          </rPr>
          <t>ML 10.312 IR 43 (1802) – ST Juli (08/07/1805)</t>
        </r>
        <r>
          <rPr>
            <sz val="14"/>
            <color rgb="FF000000"/>
            <rFont val="Calibri"/>
            <family val="34"/>
          </rPr>
          <t xml:space="preserve">
</t>
        </r>
        <r>
          <rPr>
            <sz val="14"/>
            <color rgb="FF000000"/>
            <rFont val="Times New Roman"/>
            <family val="18"/>
          </rPr>
          <t>ML 3908 IR 44 (1803) – Haupt Assandri Komp. Nr. 107 (Venice 19/09/1803)</t>
        </r>
        <r>
          <rPr>
            <sz val="14"/>
            <color rgb="FF000000"/>
            <rFont val="Calibri"/>
            <family val="34"/>
          </rPr>
          <t xml:space="preserve">
</t>
        </r>
        <r>
          <rPr>
            <sz val="14"/>
            <color rgb="FF000000"/>
            <rFont val="Times New Roman"/>
            <family val="18"/>
          </rPr>
          <t>ML 3909 IR 44 (1804) – Haupt Assandri Komp. Nr. 101 (Vicenza 12/05/1804)</t>
        </r>
        <r>
          <rPr>
            <sz val="14"/>
            <color rgb="FF000000"/>
            <rFont val="Calibri"/>
            <family val="34"/>
          </rPr>
          <t xml:space="preserve">
</t>
        </r>
        <r>
          <rPr>
            <sz val="14"/>
            <color rgb="FF000000"/>
            <rFont val="Times New Roman"/>
            <family val="18"/>
          </rPr>
          <t>ML 3910 IR 44 (1806) – Haupt. Liebler Abgang (Fiume 10/12/1806)</t>
        </r>
        <r>
          <rPr>
            <sz val="14"/>
            <color rgb="FF000000"/>
            <rFont val="Calibri"/>
            <family val="34"/>
          </rPr>
          <t xml:space="preserve">
</t>
        </r>
        <r>
          <rPr>
            <sz val="14"/>
            <color rgb="FF000000"/>
            <rFont val="Times New Roman"/>
            <family val="18"/>
          </rPr>
          <t>ML 3946 IR 44 (1802) – AL IR 43-&gt; IR 43 Nr. 86 (Zara 27/07/1802)</t>
        </r>
        <r>
          <rPr>
            <sz val="14"/>
            <color rgb="FF000000"/>
            <rFont val="Calibri"/>
            <family val="34"/>
          </rPr>
          <t xml:space="preserve">
</t>
        </r>
      </text>
    </comment>
    <comment ref="BH279" authorId="0" shapeId="0" xr:uid="{F998983D-4396-F244-AD40-DC418CEC42E5}">
      <text>
        <r>
          <rPr>
            <sz val="14"/>
            <color rgb="FF000000"/>
            <rFont val="Calibri"/>
            <family val="34"/>
          </rPr>
          <t xml:space="preserve">IR 43 (1799-1802)
</t>
        </r>
        <r>
          <rPr>
            <sz val="14"/>
            <color rgb="FF000000"/>
            <rFont val="Calibri"/>
            <family val="34"/>
          </rPr>
          <t>IR 44 (1802-1806)</t>
        </r>
      </text>
    </comment>
    <comment ref="BI279" authorId="0" shapeId="0" xr:uid="{5C79B37F-81FB-B942-8703-072B4B3B0BAB}">
      <text>
        <r>
          <rPr>
            <sz val="14"/>
            <color rgb="FF000000"/>
            <rFont val="Calibri"/>
            <family val="34"/>
          </rPr>
          <t>Gut [TL Aug 1802]</t>
        </r>
      </text>
    </comment>
    <comment ref="T280" authorId="0" shapeId="0" xr:uid="{8E95C4BE-5A01-D144-9D5A-CAEAF6EE6265}">
      <text>
        <r>
          <rPr>
            <sz val="14"/>
            <color rgb="FF000000"/>
            <rFont val="Times New Roman"/>
            <family val="18"/>
          </rPr>
          <t xml:space="preserve">5.1 </t>
        </r>
        <r>
          <rPr>
            <b/>
            <sz val="14"/>
            <color rgb="FF000000"/>
            <rFont val="Times New Roman"/>
            <family val="18"/>
          </rPr>
          <t xml:space="preserve">[160.6 cm] </t>
        </r>
        <r>
          <rPr>
            <sz val="14"/>
            <color rgb="FF000000"/>
            <rFont val="Times New Roman"/>
            <family val="18"/>
          </rPr>
          <t xml:space="preserve">(1799)
</t>
        </r>
        <r>
          <rPr>
            <sz val="14"/>
            <color rgb="FF000000"/>
            <rFont val="Times New Roman"/>
            <family val="18"/>
          </rPr>
          <t xml:space="preserve">5.2.2 </t>
        </r>
        <r>
          <rPr>
            <b/>
            <sz val="14"/>
            <color rgb="FF000000"/>
            <rFont val="Times New Roman"/>
            <family val="18"/>
          </rPr>
          <t>[163.7 cm]</t>
        </r>
        <r>
          <rPr>
            <sz val="14"/>
            <color rgb="FF000000"/>
            <rFont val="Times New Roman"/>
            <family val="18"/>
          </rPr>
          <t xml:space="preserve"> (1800) 5.3 </t>
        </r>
        <r>
          <rPr>
            <b/>
            <sz val="14"/>
            <color rgb="FF000000"/>
            <rFont val="Times New Roman"/>
            <family val="18"/>
          </rPr>
          <t>[165.89 cm]</t>
        </r>
        <r>
          <rPr>
            <sz val="14"/>
            <color rgb="FF000000"/>
            <rFont val="Times New Roman"/>
            <family val="18"/>
          </rPr>
          <t xml:space="preserve"> 5.3.2(1802)  (1803-6) </t>
        </r>
        <r>
          <rPr>
            <b/>
            <sz val="14"/>
            <color rgb="FF000000"/>
            <rFont val="Times New Roman"/>
            <family val="18"/>
          </rPr>
          <t>[166.33] cm]</t>
        </r>
        <r>
          <rPr>
            <sz val="14"/>
            <color rgb="FF000000"/>
            <rFont val="Times New Roman"/>
            <family val="18"/>
          </rPr>
          <t xml:space="preserve"> </t>
        </r>
        <r>
          <rPr>
            <sz val="14"/>
            <color rgb="FF000000"/>
            <rFont val="Times New Roman"/>
            <family val="18"/>
          </rPr>
          <t>(1803-6)</t>
        </r>
      </text>
    </comment>
    <comment ref="BF280" authorId="0" shapeId="0" xr:uid="{D04721A4-1349-9F4C-ADAD-E0B328824354}">
      <text>
        <r>
          <rPr>
            <sz val="14"/>
            <color rgb="FF000000"/>
            <rFont val="Times New Roman"/>
            <family val="18"/>
          </rPr>
          <t xml:space="preserve">14/11/1798 </t>
        </r>
        <r>
          <rPr>
            <i/>
            <sz val="14"/>
            <color rgb="FF000000"/>
            <rFont val="Times New Roman"/>
            <family val="18"/>
          </rPr>
          <t>Von Ständen a 3Fl Handgeld gestellt</t>
        </r>
        <r>
          <rPr>
            <sz val="14"/>
            <color rgb="FF000000"/>
            <rFont val="Times New Roman"/>
            <family val="18"/>
          </rPr>
          <t xml:space="preserve"> [ML 1802] </t>
        </r>
        <r>
          <rPr>
            <sz val="14"/>
            <color rgb="FF000000"/>
            <rFont val="Calibri"/>
            <family val="34"/>
          </rPr>
          <t xml:space="preserve">
</t>
        </r>
        <r>
          <rPr>
            <sz val="14"/>
            <color rgb="FF000000"/>
            <rFont val="Times New Roman"/>
            <family val="18"/>
          </rPr>
          <t xml:space="preserve">01/07/1799 </t>
        </r>
        <r>
          <rPr>
            <i/>
            <sz val="14"/>
            <color rgb="FF000000"/>
            <rFont val="Times New Roman"/>
            <family val="18"/>
          </rPr>
          <t>Von Ständen a 3Fl Handgeld gestellt</t>
        </r>
        <r>
          <rPr>
            <sz val="14"/>
            <color rgb="FF000000"/>
            <rFont val="Times New Roman"/>
            <family val="18"/>
          </rPr>
          <t xml:space="preserve"> [TL 1800]</t>
        </r>
        <r>
          <rPr>
            <sz val="14"/>
            <color rgb="FF000000"/>
            <rFont val="Calibri"/>
            <family val="34"/>
          </rPr>
          <t xml:space="preserve">
</t>
        </r>
        <r>
          <rPr>
            <sz val="14"/>
            <color rgb="FF000000"/>
            <rFont val="+mn-lt"/>
            <charset val="1"/>
          </rPr>
          <t xml:space="preserve">06/02/1800 Als angehöriger von Reserve Division Ferners Aufmarsch zum Regiment mit Kriegsgebühr [ST Feb 1800]
</t>
        </r>
        <r>
          <rPr>
            <sz val="14"/>
            <color rgb="FF000000"/>
            <rFont val="+mn-lt"/>
            <charset val="1"/>
          </rPr>
          <t xml:space="preserve">07/06/1800 von die Reserve Division ins Haupt Köpf Comp. eingerückt [ST June 1800]
</t>
        </r>
        <r>
          <rPr>
            <sz val="14"/>
            <color rgb="FF000000"/>
            <rFont val="+mn-lt"/>
            <charset val="1"/>
          </rPr>
          <t xml:space="preserve">28/08/1802 Musterung: IR 43 Haupt Köpf Nr. 74 [Commandiert zu Dobarze]
</t>
        </r>
        <r>
          <rPr>
            <sz val="14"/>
            <color rgb="FF000000"/>
            <rFont val="+mn-lt"/>
            <charset val="1"/>
          </rPr>
          <t xml:space="preserve">04/11/1803 Musterung: IR 43 Haupt Kopf Nr. 71 [auf Commando zu Ostrowiza]
</t>
        </r>
        <r>
          <rPr>
            <sz val="14"/>
            <color rgb="FF000000"/>
            <rFont val="+mn-lt"/>
            <charset val="1"/>
          </rPr>
          <t xml:space="preserve">15/09/1804 Musterung: IR 43 Haupt Sassi Nr. 67 [auf Commando zu Pago]
</t>
        </r>
        <r>
          <rPr>
            <sz val="14"/>
            <color rgb="FF000000"/>
            <rFont val="+mn-lt"/>
            <charset val="1"/>
          </rPr>
          <t xml:space="preserve">01/10/1805 Musterung: IR 43 14. Fus Comp Nr. 49
</t>
        </r>
        <r>
          <rPr>
            <sz val="14"/>
            <color rgb="FF000000"/>
            <rFont val="+mn-lt"/>
            <charset val="1"/>
          </rPr>
          <t xml:space="preserve">31/10/1805 von 14. Fus Comp zum zum Artillerie Handleger Transferiert und zum andere Companie zugeheilt mit taglich ½ Xr Fleischbeitrag [ST Noc 1805 ML 1806]
</t>
        </r>
        <r>
          <rPr>
            <sz val="14"/>
            <color rgb="FF000000"/>
            <rFont val="+mn-lt"/>
            <charset val="1"/>
          </rPr>
          <t xml:space="preserve">01/04/1806 von Artillerie Handleger zurück ins [jetzt 4. Fus.] Comp transferiert [ST April 1806 &amp; ML 1806]
</t>
        </r>
        <r>
          <rPr>
            <sz val="14"/>
            <color rgb="FF000000"/>
            <rFont val="+mn-lt"/>
            <charset val="1"/>
          </rPr>
          <t xml:space="preserve">01/12/1806 Musterung: IR 43 4. Fus Comp. Nr. 130
</t>
        </r>
        <r>
          <rPr>
            <sz val="14"/>
            <color rgb="FF000000"/>
            <rFont val="+mn-lt"/>
            <charset val="1"/>
          </rPr>
          <t xml:space="preserve">06/09/1808 Revision: IR 43 4. Fus Comp Nr. 102
</t>
        </r>
        <r>
          <rPr>
            <sz val="14"/>
            <color rgb="FF000000"/>
            <rFont val="+mn-lt"/>
            <charset val="1"/>
          </rPr>
          <t xml:space="preserve">16/02/1809 von Gemeiner zum Gefreyter Avanciert [ST Feb 1809]
</t>
        </r>
        <r>
          <rPr>
            <sz val="14"/>
            <color rgb="FF000000"/>
            <rFont val="+mn-lt"/>
            <charset val="1"/>
          </rPr>
          <t xml:space="preserve">13/05/1809 auf den Rückzug aus Italien vermisst [ST May 1809]
</t>
        </r>
      </text>
    </comment>
    <comment ref="BG280" authorId="0" shapeId="0" xr:uid="{DB4F9FBF-25BF-B04B-B18D-DC19E5720F3F}">
      <text>
        <r>
          <rPr>
            <sz val="14"/>
            <color rgb="FF000000"/>
            <rFont val="Times New Roman"/>
            <family val="18"/>
          </rPr>
          <t>ML 10.272 IR 43 (1802) – Haupt Köpf Nr. 74 (Cattaro 28/08/1802)</t>
        </r>
        <r>
          <rPr>
            <sz val="14"/>
            <color rgb="FF000000"/>
            <rFont val="Calibri"/>
            <family val="34"/>
          </rPr>
          <t xml:space="preserve">
</t>
        </r>
        <r>
          <rPr>
            <sz val="14"/>
            <color rgb="FF000000"/>
            <rFont val="Times New Roman"/>
            <family val="18"/>
          </rPr>
          <t>ML 10.273 IR 43 (1803) – Haupt Köpf Nr. 71 (Knin 04/11/1803)</t>
        </r>
        <r>
          <rPr>
            <sz val="14"/>
            <color rgb="FF000000"/>
            <rFont val="Calibri"/>
            <family val="34"/>
          </rPr>
          <t xml:space="preserve">
</t>
        </r>
        <r>
          <rPr>
            <sz val="14"/>
            <color rgb="FF000000"/>
            <rFont val="Times New Roman"/>
            <family val="18"/>
          </rPr>
          <t>ML 10.274 IR 43 (1804) – Haupt Sassi Nr. 67 (Zara 15/09/1804)</t>
        </r>
        <r>
          <rPr>
            <sz val="14"/>
            <color rgb="FF000000"/>
            <rFont val="Calibri"/>
            <family val="34"/>
          </rPr>
          <t xml:space="preserve">
</t>
        </r>
        <r>
          <rPr>
            <sz val="14"/>
            <color rgb="FF000000"/>
            <rFont val="Times New Roman"/>
            <family val="18"/>
          </rPr>
          <t>ML 10.275/6 IR 43 (1805) – 14. Fus Comp Nr. 102 (Zara 01/10/1805)</t>
        </r>
        <r>
          <rPr>
            <sz val="14"/>
            <color rgb="FF000000"/>
            <rFont val="Calibri"/>
            <family val="34"/>
          </rPr>
          <t xml:space="preserve">
</t>
        </r>
        <r>
          <rPr>
            <sz val="14"/>
            <color rgb="FF000000"/>
            <rFont val="Times New Roman"/>
            <family val="18"/>
          </rPr>
          <t>ML 10.277/8 IR 43 (1806) – 4. Fus Comp Nr. 130 (Laibach 01/12/1806)</t>
        </r>
        <r>
          <rPr>
            <sz val="14"/>
            <color rgb="FF000000"/>
            <rFont val="Calibri"/>
            <family val="34"/>
          </rPr>
          <t xml:space="preserve">
</t>
        </r>
        <r>
          <rPr>
            <sz val="14"/>
            <color rgb="FF000000"/>
            <rFont val="Times New Roman"/>
            <family val="18"/>
          </rPr>
          <t>ML 10.279 IR 43 (1808-10) – RL IR 43 Nr. 102 (Laibach 06/09/1808)</t>
        </r>
        <r>
          <rPr>
            <sz val="14"/>
            <color rgb="FF000000"/>
            <rFont val="Calibri"/>
            <family val="34"/>
          </rPr>
          <t xml:space="preserve">
</t>
        </r>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52 (Sandomierz 31/08/1799)</t>
        </r>
        <r>
          <rPr>
            <sz val="14"/>
            <color rgb="FF000000"/>
            <rFont val="Calibri"/>
            <family val="34"/>
          </rPr>
          <t xml:space="preserve">
</t>
        </r>
        <r>
          <rPr>
            <sz val="14"/>
            <color rgb="FF000000"/>
            <rFont val="Times New Roman"/>
            <family val="18"/>
          </rPr>
          <t>ML 10.309 IR 43 (1800) – ST Februar (06/04/1801) und June (27/08/1803)</t>
        </r>
        <r>
          <rPr>
            <sz val="14"/>
            <color rgb="FF000000"/>
            <rFont val="Calibri"/>
            <family val="34"/>
          </rPr>
          <t xml:space="preserve">
</t>
        </r>
        <r>
          <rPr>
            <sz val="14"/>
            <color rgb="FF000000"/>
            <rFont val="Times New Roman"/>
            <family val="18"/>
          </rPr>
          <t>ML 10.310 IR 43 (1800) – TL IR 43 Res. Div-&gt; Feld Bar Nr. 85 (Laibach 05/02/1800)</t>
        </r>
        <r>
          <rPr>
            <sz val="14"/>
            <color rgb="FF000000"/>
            <rFont val="Calibri"/>
            <family val="34"/>
          </rPr>
          <t xml:space="preserve">
</t>
        </r>
        <r>
          <rPr>
            <sz val="14"/>
            <color rgb="FF000000"/>
            <rFont val="Times New Roman"/>
            <family val="18"/>
          </rPr>
          <t>ML 10.315 IR 43 (1805) – ST November (16/06/1806)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10.323 IR 43 (1809) – ST Februar (25/08/1810) und Mai (02/11/1810)</t>
        </r>
      </text>
    </comment>
    <comment ref="BH280" authorId="0" shapeId="0" xr:uid="{82D021EE-8940-054F-99FF-A7A44C8547F5}">
      <text>
        <r>
          <rPr>
            <sz val="14"/>
            <color rgb="FF000000"/>
            <rFont val="Calibri"/>
            <family val="34"/>
          </rPr>
          <t>IR 43 (1799-1809)</t>
        </r>
      </text>
    </comment>
    <comment ref="I281" authorId="0" shapeId="0" xr:uid="{604D9005-D27E-3345-B5D5-996F8BCE971F}">
      <text>
        <r>
          <rPr>
            <sz val="14"/>
            <color rgb="FF000000"/>
            <rFont val="Calibri"/>
            <family val="34"/>
          </rPr>
          <t xml:space="preserve">1771 [28 (AL 1799)] 
</t>
        </r>
        <r>
          <rPr>
            <sz val="14"/>
            <color rgb="FF000000"/>
            <rFont val="Calibri"/>
            <family val="34"/>
          </rPr>
          <t xml:space="preserve">OR 
</t>
        </r>
        <r>
          <rPr>
            <sz val="14"/>
            <color rgb="FF000000"/>
            <rFont val="Calibri"/>
            <family val="34"/>
          </rPr>
          <t xml:space="preserve">1770 [30 (TL 1800)]
</t>
        </r>
        <r>
          <rPr>
            <sz val="14"/>
            <color rgb="FF000000"/>
            <rFont val="Calibri"/>
            <family val="34"/>
          </rPr>
          <t xml:space="preserve">OR
</t>
        </r>
        <r>
          <rPr>
            <sz val="14"/>
            <color rgb="FF000000"/>
            <rFont val="Calibri"/>
            <family val="34"/>
          </rPr>
          <t>1769 [33 (ML 1802-50]</t>
        </r>
      </text>
    </comment>
    <comment ref="T281" authorId="0" shapeId="0" xr:uid="{4FEDD27D-D8FD-C943-B622-10B8B9879E50}">
      <text>
        <r>
          <rPr>
            <sz val="14"/>
            <color rgb="FF000000"/>
            <rFont val="Calibri"/>
            <family val="34"/>
          </rPr>
          <t xml:space="preserve">163.26 (AL 1799)
</t>
        </r>
        <r>
          <rPr>
            <sz val="14"/>
            <color rgb="FF000000"/>
            <rFont val="Calibri"/>
            <family val="34"/>
          </rPr>
          <t xml:space="preserve">165.89 (TL 1800)
</t>
        </r>
        <r>
          <rPr>
            <sz val="14"/>
            <color rgb="FF000000"/>
            <rFont val="Calibri"/>
            <family val="34"/>
          </rPr>
          <t>166.55 (ML 1802-6)</t>
        </r>
      </text>
    </comment>
    <comment ref="BF281" authorId="0" shapeId="0" xr:uid="{8AB6A3EB-A6E8-C148-8060-8A98F461A1FE}">
      <text>
        <r>
          <rPr>
            <sz val="14"/>
            <color rgb="FFFF0000"/>
            <rFont val="+mn-lt"/>
            <charset val="1"/>
          </rPr>
          <t xml:space="preserve">01/07/1799 von Ständen gestellt [TL 1800]
</t>
        </r>
        <r>
          <rPr>
            <sz val="14"/>
            <color rgb="FFFF0000"/>
            <rFont val="+mn-lt"/>
            <charset val="1"/>
          </rPr>
          <t xml:space="preserve">26/07/1799 von Ständen gestellt [ML 1802]
</t>
        </r>
        <r>
          <rPr>
            <sz val="14"/>
            <color rgb="FF000000"/>
            <rFont val="+mn-lt"/>
            <charset val="1"/>
          </rPr>
          <t xml:space="preserve">03/08/1799 von Ständen gestellt und sietdem auf anhero Marsch mit Friedensgebühr [AL 1799 &amp; ST Dec]
</t>
        </r>
        <r>
          <rPr>
            <sz val="14"/>
            <color rgb="FF000000"/>
            <rFont val="+mn-lt"/>
            <charset val="1"/>
          </rPr>
          <t xml:space="preserve">15/12/1799 In Reserve Division eingerückt [ST Dec 1799]
</t>
        </r>
        <r>
          <rPr>
            <sz val="14"/>
            <color rgb="FF000000"/>
            <rFont val="+mn-lt"/>
            <charset val="1"/>
          </rPr>
          <t xml:space="preserve">30/12/1799 Ferner Krank auswärts mit Kriegsgebühr [ST Dec 1799]
</t>
        </r>
        <r>
          <rPr>
            <sz val="14"/>
            <color rgb="FF000000"/>
            <rFont val="+mn-lt"/>
            <charset val="1"/>
          </rPr>
          <t xml:space="preserve">10/01/1800 Reconvalesciert [ST Jan 1800] 
</t>
        </r>
        <r>
          <rPr>
            <sz val="14"/>
            <color rgb="FF000000"/>
            <rFont val="+mn-lt"/>
            <charset val="1"/>
          </rPr>
          <t xml:space="preserve">06/02/1800 Auf marsch zum Regiment [ST Feb 1800]
</t>
        </r>
        <r>
          <rPr>
            <sz val="14"/>
            <color rgb="FF000000"/>
            <rFont val="+mn-lt"/>
            <charset val="1"/>
          </rPr>
          <t xml:space="preserve">06/04/1800 Von Reserve Division ins Haupt Pasqually transferiert [ST April 1800]
</t>
        </r>
        <r>
          <rPr>
            <sz val="14"/>
            <color rgb="FF000000"/>
            <rFont val="+mn-lt"/>
            <charset val="1"/>
          </rPr>
          <t xml:space="preserve">16/04/1800 In Pasqually Comp. eingerückt [ST April 1800]
</t>
        </r>
        <r>
          <rPr>
            <sz val="14"/>
            <color rgb="FF000000"/>
            <rFont val="+mn-lt"/>
            <charset val="1"/>
          </rPr>
          <t xml:space="preserve">28/08/1802 Musterung: IR 43 Haupt Pasqually Nr. 69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Haupt Pasqually Comp. Nr. 62 [Auf Urlaub bis zur Einberufung in seinem Geburtsort]
</t>
        </r>
        <r>
          <rPr>
            <sz val="14"/>
            <color rgb="FF000000"/>
            <rFont val="+mn-lt"/>
            <charset val="1"/>
          </rPr>
          <t xml:space="preserve">05/10/1804 IR 43 Haupt Pasqually Comp Nr. 58 [Beurlaubt bis zur Einberufung in seinem Geburtsort]
</t>
        </r>
        <r>
          <rPr>
            <sz val="14"/>
            <color rgb="FF000000"/>
            <rFont val="+mn-lt"/>
            <charset val="1"/>
          </rPr>
          <t xml:space="preserve">09/06/1805 von unbestimmte Urlaub Zurück und seitdem auf Anhero Marsch von Staszow [ST Aug 1805]
</t>
        </r>
        <r>
          <rPr>
            <sz val="14"/>
            <color rgb="FF000000"/>
            <rFont val="+mn-lt"/>
            <charset val="1"/>
          </rPr>
          <t xml:space="preserve">10/11/1805 Musterung: IR 43 15. Fus Comp Nr. 54 [Auf die Aufmarsch]
</t>
        </r>
        <r>
          <rPr>
            <sz val="14"/>
            <color rgb="FF000000"/>
            <rFont val="+mn-lt"/>
            <charset val="1"/>
          </rPr>
          <t xml:space="preserve">31/10/1806 Als auf Marsch verbliebene von 9. Fus Comp als unwissend Verlohren in Abgang [ST Oct 1806 &amp; ML 1806]
</t>
        </r>
        <r>
          <rPr>
            <sz val="14"/>
            <color rgb="FF000000"/>
            <rFont val="+mn-lt"/>
            <charset val="1"/>
          </rPr>
          <t xml:space="preserve">August 1807 als per errorem in Abgang als unwissend Verlohren in Oct. 1806 [ML 1808]
</t>
        </r>
        <r>
          <rPr>
            <sz val="14"/>
            <color rgb="FF000000"/>
            <rFont val="+mn-lt"/>
            <charset val="1"/>
          </rPr>
          <t xml:space="preserve">20/01/1808 zu folge hohe gallizischen general commando verodnung Gegen Stellung der Auslander Capitulanten und Erlaag des Dopelten Montur Geldes und worden als Recrut Joseph Morelli zu Koburg Inf und Friedrich Wilhelm Arnholz zu Coburg Inf und das doppeltenMontur Geldes zu 80Fl 12Xr zum Krakauer Krieges case von unbestimmte Urlaub mit Abschied entlassen [ST Jan 1808 &amp; RL 1808]
</t>
        </r>
      </text>
    </comment>
    <comment ref="BG281" authorId="0" shapeId="0" xr:uid="{FA6B6570-049B-AA4B-A576-57B1188E4487}">
      <text>
        <r>
          <rPr>
            <sz val="14"/>
            <color rgb="FF000000"/>
            <rFont val="Calibri"/>
            <family val="34"/>
          </rPr>
          <t xml:space="preserve">ML 10.272 IR 43 (1802) – Haupt Pasqually Nr. 69 (Cattaro 28/08/1802)
</t>
        </r>
        <r>
          <rPr>
            <sz val="14"/>
            <color rgb="FF000000"/>
            <rFont val="Calibri"/>
            <family val="34"/>
          </rPr>
          <t xml:space="preserve">ML 10.273 IR 43 (1803) – Haupt Pasqually Nr. 62 (Cattaro 02/11/1803)
</t>
        </r>
        <r>
          <rPr>
            <sz val="14"/>
            <color rgb="FF000000"/>
            <rFont val="Calibri"/>
            <family val="34"/>
          </rPr>
          <t xml:space="preserve">ML 10.274 IR 43 (1804) – Haupt Pasqually Nr. 58 (Theodo 05/10/1804)
</t>
        </r>
        <r>
          <rPr>
            <sz val="14"/>
            <color rgb="FF000000"/>
            <rFont val="Calibri"/>
            <family val="34"/>
          </rPr>
          <t xml:space="preserve">ML 10.275/6 IR 43 (1805) – 15. Fus Comp Nr. 54 (Zara 10/11/1805)
</t>
        </r>
        <r>
          <rPr>
            <sz val="14"/>
            <color rgb="FF000000"/>
            <rFont val="Calibri"/>
            <family val="34"/>
          </rPr>
          <t xml:space="preserve">ML 10.277/8 IR 43 (1806) – 2. Fus Comp – Abgang (Laibach 01/12/1806)
</t>
        </r>
        <r>
          <rPr>
            <sz val="14"/>
            <color rgb="FF000000"/>
            <rFont val="Calibri"/>
            <family val="34"/>
          </rPr>
          <t xml:space="preserve">ML 10.279 IR 43 (1808-10) – RL 9. Fus Comp – Abgang (Laibach 06/09/1808)
</t>
        </r>
        <r>
          <rPr>
            <sz val="14"/>
            <color rgb="FF000000"/>
            <rFont val="Calibri"/>
            <family val="34"/>
          </rPr>
          <t xml:space="preserve">ML 10.307 IR 43 (1799) – ST Dezember (01/11/1800)
</t>
        </r>
        <r>
          <rPr>
            <sz val="14"/>
            <color rgb="FF000000"/>
            <rFont val="Calibri"/>
            <family val="34"/>
          </rPr>
          <t xml:space="preserve">ML 10.308 IR 43 (1799) – AL IR 43 Nr. 48 (Sandomierz 31/08/1799)
</t>
        </r>
        <r>
          <rPr>
            <sz val="14"/>
            <color rgb="FF000000"/>
            <rFont val="Calibri"/>
            <family val="34"/>
          </rPr>
          <t xml:space="preserve">ML 10.309 IR 43 (1800) – ST Jänner (26/02/1800), Februar (06/04/1801), und April (24/01/1802)
</t>
        </r>
        <r>
          <rPr>
            <sz val="14"/>
            <color rgb="FF000000"/>
            <rFont val="Calibri"/>
            <family val="34"/>
          </rPr>
          <t xml:space="preserve">ML 10.310 IR 43 (1800) – TL IR 43 Res Div-&gt; Feld Nr. 92 (Laibach 05/02/1800)
</t>
        </r>
        <r>
          <rPr>
            <sz val="14"/>
            <color rgb="FF000000"/>
            <rFont val="Calibri"/>
            <family val="34"/>
          </rPr>
          <t xml:space="preserve">ML 10.313 IR 43 (1803) – ST Jänner (15/02/1803) und März (15/04/1803)
</t>
        </r>
        <r>
          <rPr>
            <sz val="14"/>
            <color rgb="FF000000"/>
            <rFont val="Calibri"/>
            <family val="34"/>
          </rPr>
          <t xml:space="preserve">ML 10.315 IR 43 (1805) – ST August (15/09/1805)
</t>
        </r>
        <r>
          <rPr>
            <sz val="14"/>
            <color rgb="FF000000"/>
            <rFont val="Calibri"/>
            <family val="34"/>
          </rPr>
          <t xml:space="preserve">ML 10.317 IR 43 (1806) – ST Oktober (27/11/1806)
</t>
        </r>
        <r>
          <rPr>
            <sz val="14"/>
            <color rgb="FF000000"/>
            <rFont val="Calibri"/>
            <family val="34"/>
          </rPr>
          <t>ML 10.321 IR 43 (1808) – ST Jänner (10/02/1808)</t>
        </r>
      </text>
    </comment>
    <comment ref="BH281" authorId="0" shapeId="0" xr:uid="{A349B816-D6E3-C64D-9CF3-0B39D17D77F7}">
      <text>
        <r>
          <rPr>
            <sz val="14"/>
            <color rgb="FF000000"/>
            <rFont val="Calibri"/>
            <family val="34"/>
          </rPr>
          <t>IR 43 (1799-1808)</t>
        </r>
      </text>
    </comment>
    <comment ref="C282" authorId="0" shapeId="0" xr:uid="{77A0EFED-AD96-D543-9E4B-C35785A6F5AB}">
      <text>
        <r>
          <rPr>
            <sz val="10"/>
            <color rgb="FF000000"/>
            <rFont val="Tahoma"/>
            <family val="2"/>
          </rPr>
          <t xml:space="preserve">Opatow (1799 &amp; 1800)
</t>
        </r>
        <r>
          <rPr>
            <sz val="10"/>
            <color rgb="FF000000"/>
            <rFont val="Tahoma"/>
            <family val="2"/>
          </rPr>
          <t xml:space="preserve">Madrositz [?] (1802-6)
</t>
        </r>
      </text>
    </comment>
    <comment ref="I282" authorId="0" shapeId="0" xr:uid="{B655308E-5445-8145-9BEA-01206F0E14ED}">
      <text>
        <r>
          <rPr>
            <sz val="14"/>
            <color rgb="FF000000"/>
            <rFont val="Calibri"/>
            <family val="34"/>
          </rPr>
          <t xml:space="preserve">1773 [26 (AL 1799)] 
</t>
        </r>
        <r>
          <rPr>
            <sz val="14"/>
            <color rgb="FF000000"/>
            <rFont val="Calibri"/>
            <family val="34"/>
          </rPr>
          <t xml:space="preserve">OR 
</t>
        </r>
        <r>
          <rPr>
            <sz val="14"/>
            <color rgb="FF000000"/>
            <rFont val="Calibri"/>
            <family val="34"/>
          </rPr>
          <t>1775 [25 (TL 1800) &amp; 27 ML 1802]</t>
        </r>
      </text>
    </comment>
    <comment ref="T282" authorId="0" shapeId="0" xr:uid="{67AA4E7E-F496-AB42-A8A4-1DF4EA9059EA}">
      <text>
        <r>
          <rPr>
            <sz val="14"/>
            <color rgb="FF000000"/>
            <rFont val="Calibri"/>
            <family val="34"/>
          </rPr>
          <t xml:space="preserve">160.85 (AL 1799)
</t>
        </r>
        <r>
          <rPr>
            <sz val="14"/>
            <color rgb="FF000000"/>
            <rFont val="Calibri"/>
            <family val="34"/>
          </rPr>
          <t xml:space="preserve">163.26 (TL 1800)
</t>
        </r>
        <r>
          <rPr>
            <sz val="14"/>
            <color rgb="FF000000"/>
            <rFont val="Calibri"/>
            <family val="34"/>
          </rPr>
          <t>166.11 (ML 1802-5)</t>
        </r>
      </text>
    </comment>
    <comment ref="BF282" authorId="0" shapeId="0" xr:uid="{26761AC1-AA85-CA47-961C-23998449B04F}">
      <text>
        <r>
          <rPr>
            <sz val="14"/>
            <color rgb="FFFF0000"/>
            <rFont val="Times New Roman"/>
            <family val="18"/>
          </rPr>
          <t xml:space="preserve">01/07/1799 </t>
        </r>
        <r>
          <rPr>
            <i/>
            <sz val="14"/>
            <color rgb="FFFF0000"/>
            <rFont val="Times New Roman"/>
            <family val="18"/>
          </rPr>
          <t>von Ständen gestellt</t>
        </r>
        <r>
          <rPr>
            <sz val="14"/>
            <color rgb="FFFF0000"/>
            <rFont val="Times New Roman"/>
            <family val="18"/>
          </rPr>
          <t xml:space="preserve"> [TL 1800]</t>
        </r>
        <r>
          <rPr>
            <sz val="14"/>
            <color rgb="FF000000"/>
            <rFont val="Calibri"/>
            <family val="34"/>
          </rPr>
          <t xml:space="preserve">
</t>
        </r>
        <r>
          <rPr>
            <sz val="14"/>
            <color rgb="FF000000"/>
            <rFont val="Times New Roman"/>
            <family val="18"/>
          </rPr>
          <t xml:space="preserve">05/08/1799 </t>
        </r>
        <r>
          <rPr>
            <i/>
            <sz val="14"/>
            <color rgb="FF000000"/>
            <rFont val="Times New Roman"/>
            <family val="18"/>
          </rPr>
          <t>von Ständen gestellt und seitdem auf Anhero Marsch mit Friedensgebühr</t>
        </r>
        <r>
          <rPr>
            <sz val="14"/>
            <color rgb="FF000000"/>
            <rFont val="Times New Roman"/>
            <family val="18"/>
          </rPr>
          <t xml:space="preserve"> [AL 1799 &amp; ST Nov 1799]</t>
        </r>
        <r>
          <rPr>
            <sz val="14"/>
            <color rgb="FF000000"/>
            <rFont val="Calibri"/>
            <family val="34"/>
          </rPr>
          <t xml:space="preserve">
</t>
        </r>
        <r>
          <rPr>
            <sz val="14"/>
            <color rgb="FF000000"/>
            <rFont val="Times New Roman"/>
            <family val="18"/>
          </rPr>
          <t xml:space="preserve">01/01/1800 </t>
        </r>
        <r>
          <rPr>
            <i/>
            <sz val="14"/>
            <color rgb="FF000000"/>
            <rFont val="Times New Roman"/>
            <family val="18"/>
          </rPr>
          <t>In Reserve Division eingerückt</t>
        </r>
        <r>
          <rPr>
            <sz val="14"/>
            <color rgb="FF000000"/>
            <rFont val="Times New Roman"/>
            <family val="18"/>
          </rPr>
          <t xml:space="preserve"> [ST Jan 1800]</t>
        </r>
        <r>
          <rPr>
            <sz val="14"/>
            <color rgb="FF000000"/>
            <rFont val="Calibri"/>
            <family val="34"/>
          </rPr>
          <t xml:space="preserve">
</t>
        </r>
        <r>
          <rPr>
            <sz val="14"/>
            <color rgb="FFFF0000"/>
            <rFont val="Times New Roman"/>
            <family val="18"/>
          </rPr>
          <t xml:space="preserve">14/01/1800 </t>
        </r>
        <r>
          <rPr>
            <i/>
            <sz val="14"/>
            <color rgb="FFFF0000"/>
            <rFont val="Times New Roman"/>
            <family val="18"/>
          </rPr>
          <t>von Ständen gestellt</t>
        </r>
        <r>
          <rPr>
            <sz val="14"/>
            <color rgb="FFFF0000"/>
            <rFont val="Times New Roman"/>
            <family val="18"/>
          </rPr>
          <t xml:space="preserve"> [ML 1802-5]</t>
        </r>
        <r>
          <rPr>
            <sz val="14"/>
            <color rgb="FF000000"/>
            <rFont val="Calibri"/>
            <family val="34"/>
          </rPr>
          <t xml:space="preserve">
</t>
        </r>
        <r>
          <rPr>
            <sz val="14"/>
            <color rgb="FF000000"/>
            <rFont val="Times New Roman"/>
            <family val="18"/>
          </rPr>
          <t xml:space="preserve">06/02/1800 </t>
        </r>
        <r>
          <rPr>
            <i/>
            <sz val="14"/>
            <color rgb="FF000000"/>
            <rFont val="Times New Roman"/>
            <family val="18"/>
          </rPr>
          <t xml:space="preserve">Auf Marsch zum Regiment mit Kriegsgebühr </t>
        </r>
        <r>
          <rPr>
            <sz val="14"/>
            <color rgb="FF000000"/>
            <rFont val="Times New Roman"/>
            <family val="18"/>
          </rPr>
          <t>[ST Feb 1800 &amp; TL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ObristLt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Musterung: IR 43 ObristLt Comp. Nr. 100</t>
        </r>
        <r>
          <rPr>
            <sz val="14"/>
            <color rgb="FF000000"/>
            <rFont val="Calibri"/>
            <family val="34"/>
          </rPr>
          <t xml:space="preserve">
</t>
        </r>
        <r>
          <rPr>
            <sz val="14"/>
            <color rgb="FF000000"/>
            <rFont val="Times New Roman"/>
            <family val="18"/>
          </rPr>
          <t xml:space="preserve">06/02/1803 </t>
        </r>
        <r>
          <rPr>
            <i/>
            <sz val="14"/>
            <color rgb="FF000000"/>
            <rFont val="Times New Roman"/>
            <family val="18"/>
          </rPr>
          <t>Auf dem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30/09/1803 </t>
        </r>
        <r>
          <rPr>
            <i/>
            <sz val="14"/>
            <color rgb="FF000000"/>
            <rFont val="Times New Roman"/>
            <family val="18"/>
          </rPr>
          <t>Als bis zur Einberufung beurlaubte in Galizien eingerückt</t>
        </r>
        <r>
          <rPr>
            <sz val="14"/>
            <color rgb="FF000000"/>
            <rFont val="Times New Roman"/>
            <family val="18"/>
          </rPr>
          <t xml:space="preserve"> [ST Oct 1803]</t>
        </r>
        <r>
          <rPr>
            <sz val="14"/>
            <color rgb="FF000000"/>
            <rFont val="Calibri"/>
            <family val="34"/>
          </rPr>
          <t xml:space="preserve">
</t>
        </r>
        <r>
          <rPr>
            <sz val="14"/>
            <color rgb="FF000000"/>
            <rFont val="Times New Roman"/>
            <family val="18"/>
          </rPr>
          <t>02/11/1803 Musterung: IR 43 ObristLt Comp. Nr. 88 [</t>
        </r>
        <r>
          <rPr>
            <i/>
            <sz val="14"/>
            <color rgb="FF000000"/>
            <rFont val="Times New Roman"/>
            <family val="18"/>
          </rPr>
          <t>Beurlaubt zu Madrositz in Galizien</t>
        </r>
        <r>
          <rPr>
            <sz val="14"/>
            <color rgb="FF000000"/>
            <rFont val="Times New Roman"/>
            <family val="18"/>
          </rPr>
          <t>]</t>
        </r>
        <r>
          <rPr>
            <sz val="14"/>
            <color rgb="FF000000"/>
            <rFont val="Calibri"/>
            <family val="34"/>
          </rPr>
          <t xml:space="preserve">
</t>
        </r>
        <r>
          <rPr>
            <sz val="14"/>
            <color rgb="FF000000"/>
            <rFont val="Times New Roman"/>
            <family val="18"/>
          </rPr>
          <t>05/10/1804 Musterung: ObristLt Comp. Nr. 82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31/10/1805 Musterung: IR 43 9. Fus Comp Nr. 72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13. Fus Comp als unwissend Verlohren in Abgang</t>
        </r>
        <r>
          <rPr>
            <sz val="14"/>
            <color rgb="FF000000"/>
            <rFont val="Times New Roman"/>
            <family val="18"/>
          </rPr>
          <t xml:space="preserve"> [ST Oct 1806 &amp; ML 1806]</t>
        </r>
        <r>
          <rPr>
            <sz val="14"/>
            <color rgb="FF000000"/>
            <rFont val="Calibri"/>
            <family val="34"/>
          </rPr>
          <t xml:space="preserve">
</t>
        </r>
      </text>
    </comment>
    <comment ref="BG282" authorId="0" shapeId="0" xr:uid="{BF947EBB-3146-5246-B26B-9251950A9A91}">
      <text>
        <r>
          <rPr>
            <sz val="14"/>
            <color rgb="FF000000"/>
            <rFont val="Calibri"/>
            <family val="34"/>
          </rPr>
          <t xml:space="preserve">ML 10.272 IR 43 (1802) – Heft von ObristLt. Comp. Nr. 100 (Zara 11/09/1802)
</t>
        </r>
        <r>
          <rPr>
            <sz val="14"/>
            <color rgb="FF000000"/>
            <rFont val="Calibri"/>
            <family val="34"/>
          </rPr>
          <t xml:space="preserve">ML 10.273 IR 43 (1803) – Heft von ObristLt. Comp. Nr. 88 (Zara 28/09/1803)
</t>
        </r>
        <r>
          <rPr>
            <sz val="14"/>
            <color rgb="FF000000"/>
            <rFont val="Calibri"/>
            <family val="34"/>
          </rPr>
          <t xml:space="preserve">ML 10.274 IR 43 (1804) – Heft von ObristLt. Comp. Nr. 82 (Cattaro 07/10/1804)
</t>
        </r>
        <r>
          <rPr>
            <sz val="14"/>
            <color rgb="FF000000"/>
            <rFont val="Calibri"/>
            <family val="34"/>
          </rPr>
          <t xml:space="preserve">ML 10.275/6 IR 43 (1805) – Heft von 9. Fus Comp. Nr. 72 (Sebenico (31/10/1805))
</t>
        </r>
        <r>
          <rPr>
            <sz val="14"/>
            <color rgb="FF000000"/>
            <rFont val="Calibri"/>
            <family val="34"/>
          </rPr>
          <t xml:space="preserve">ML 10/277/8 IR 43 (1806) – Heft von 13. Fus Comp. Abgang (Laibach 01/12/1806)
</t>
        </r>
        <r>
          <rPr>
            <sz val="14"/>
            <color rgb="FF000000"/>
            <rFont val="Calibri"/>
            <family val="34"/>
          </rPr>
          <t xml:space="preserve">ML 10.307 IR 43 (1799) – November (12/10/1800)
</t>
        </r>
        <r>
          <rPr>
            <sz val="14"/>
            <color rgb="FF000000"/>
            <rFont val="Calibri"/>
            <family val="34"/>
          </rPr>
          <t xml:space="preserve">ML 10.308 IR 43 (1799) – AL Nr. 49 (Sandomierz 31/08/1799)
</t>
        </r>
        <r>
          <rPr>
            <sz val="14"/>
            <color rgb="FF000000"/>
            <rFont val="Calibri"/>
            <family val="34"/>
          </rPr>
          <t xml:space="preserve">ML 10.309 IR 43 (1800) – ST Jänner (23/08/1804), Februar (28/09/1804), und April (13/10/1804)
</t>
        </r>
        <r>
          <rPr>
            <sz val="14"/>
            <color rgb="FF000000"/>
            <rFont val="Calibri"/>
            <family val="34"/>
          </rPr>
          <t xml:space="preserve">ML 10.310 IR 43 (1800) – TL IR 43 Res Div-&gt; Feld Battalions Nr. 68 (Laibach 05/02/1800)
</t>
        </r>
        <r>
          <rPr>
            <sz val="14"/>
            <color rgb="FF000000"/>
            <rFont val="Calibri"/>
            <family val="34"/>
          </rPr>
          <t xml:space="preserve">ML 10.313 IR 43 (1803) – ST Februar (15/03/1803) und August (15/09/1803)
</t>
        </r>
        <r>
          <rPr>
            <sz val="14"/>
            <color rgb="FF000000"/>
            <rFont val="Calibri"/>
            <family val="34"/>
          </rPr>
          <t xml:space="preserve">ML 10.317 IR 43 (1806) – ST Oktober (27/11/1806) </t>
        </r>
      </text>
    </comment>
    <comment ref="BH282" authorId="0" shapeId="0" xr:uid="{8931A217-6B9D-1C49-8CC1-6A2F4F5BDCF3}">
      <text>
        <r>
          <rPr>
            <sz val="14"/>
            <color rgb="FF000000"/>
            <rFont val="Calibri"/>
            <family val="34"/>
          </rPr>
          <t>IR 43 (1799-1806)</t>
        </r>
      </text>
    </comment>
    <comment ref="I283" authorId="0" shapeId="0" xr:uid="{6A4E706C-6B0C-734F-990F-28704F049D5A}">
      <text>
        <r>
          <rPr>
            <sz val="14"/>
            <color rgb="FF000000"/>
            <rFont val="Calibri"/>
            <family val="34"/>
          </rPr>
          <t xml:space="preserve">1777 [20 (AL 1799)] 
</t>
        </r>
        <r>
          <rPr>
            <sz val="14"/>
            <color rgb="FF000000"/>
            <rFont val="Calibri"/>
            <family val="34"/>
          </rPr>
          <t xml:space="preserve">OR
</t>
        </r>
        <r>
          <rPr>
            <sz val="14"/>
            <color rgb="FF000000"/>
            <rFont val="Calibri"/>
            <family val="34"/>
          </rPr>
          <t xml:space="preserve">1782 [21 (ML 1803) 
</t>
        </r>
        <r>
          <rPr>
            <sz val="14"/>
            <color rgb="FF000000"/>
            <rFont val="Calibri"/>
            <family val="34"/>
          </rPr>
          <t xml:space="preserve">OR
</t>
        </r>
        <r>
          <rPr>
            <sz val="14"/>
            <color rgb="FF000000"/>
            <rFont val="Calibri"/>
            <family val="34"/>
          </rPr>
          <t>1783 [21 ML 1804]</t>
        </r>
      </text>
    </comment>
    <comment ref="T283" authorId="0" shapeId="0" xr:uid="{D5A694C6-85AD-BD4B-ACA7-C7DDD6E2210A}">
      <text>
        <r>
          <rPr>
            <sz val="14"/>
            <color rgb="FF000000"/>
            <rFont val="Calibri"/>
            <family val="34"/>
          </rPr>
          <t xml:space="preserve">5.3 (160.85) (AL 1799)
</t>
        </r>
        <r>
          <rPr>
            <sz val="14"/>
            <color rgb="FF000000"/>
            <rFont val="Calibri"/>
            <family val="34"/>
          </rPr>
          <t>5.5.3 () 171.81 (ML 1803)</t>
        </r>
      </text>
    </comment>
    <comment ref="BF283" authorId="0" shapeId="0" xr:uid="{2B3966EB-3E1C-EB4F-97DC-3E925C98A57B}">
      <text>
        <r>
          <rPr>
            <sz val="14"/>
            <color rgb="FFFF0000"/>
            <rFont val="Times New Roman"/>
            <family val="18"/>
          </rPr>
          <t>05/07/1799 von Ständen gestellt [ML 1802-4]</t>
        </r>
        <r>
          <rPr>
            <sz val="14"/>
            <color rgb="FF000000"/>
            <rFont val="Calibri"/>
            <family val="34"/>
          </rPr>
          <t xml:space="preserve">
</t>
        </r>
        <r>
          <rPr>
            <sz val="14"/>
            <color rgb="FF000000"/>
            <rFont val="Times New Roman"/>
            <family val="18"/>
          </rPr>
          <t xml:space="preserve">05/08/1799 </t>
        </r>
        <r>
          <rPr>
            <i/>
            <sz val="14"/>
            <color rgb="FF000000"/>
            <rFont val="Times New Roman"/>
            <family val="18"/>
          </rPr>
          <t>von Ständen a 3Fl Handgeld gestellt und seitdem auf anhero Marsch mit Friedensgebühr</t>
        </r>
        <r>
          <rPr>
            <sz val="14"/>
            <color rgb="FF000000"/>
            <rFont val="Times New Roman"/>
            <family val="18"/>
          </rPr>
          <t xml:space="preserve"> [AL Aug 1799 ST Nov 1799]</t>
        </r>
        <r>
          <rPr>
            <sz val="14"/>
            <color rgb="FF000000"/>
            <rFont val="Calibri"/>
            <family val="34"/>
          </rPr>
          <t xml:space="preserve">
</t>
        </r>
        <r>
          <rPr>
            <sz val="14"/>
            <color rgb="FF000000"/>
            <rFont val="Times New Roman"/>
            <family val="18"/>
          </rPr>
          <t xml:space="preserve">24/11/1799 </t>
        </r>
        <r>
          <rPr>
            <i/>
            <sz val="14"/>
            <color rgb="FF000000"/>
            <rFont val="Times New Roman"/>
            <family val="18"/>
          </rPr>
          <t>In die Reserve Division eingeruckt</t>
        </r>
        <r>
          <rPr>
            <sz val="14"/>
            <color rgb="FF000000"/>
            <rFont val="Times New Roman"/>
            <family val="18"/>
          </rPr>
          <t xml:space="preserve"> [ST Nov 1799]</t>
        </r>
        <r>
          <rPr>
            <sz val="14"/>
            <color rgb="FF000000"/>
            <rFont val="Calibri"/>
            <family val="34"/>
          </rPr>
          <t xml:space="preserve">
</t>
        </r>
        <r>
          <rPr>
            <sz val="14"/>
            <color rgb="FF000000"/>
            <rFont val="Times New Roman"/>
            <family val="18"/>
          </rPr>
          <t xml:space="preserve">06/02/1800 </t>
        </r>
        <r>
          <rPr>
            <i/>
            <sz val="14"/>
            <color rgb="FF000000"/>
            <rFont val="Times New Roman"/>
            <family val="18"/>
          </rPr>
          <t>Auf Marsch zum Regiment mit Kriegsgebühr</t>
        </r>
        <r>
          <rPr>
            <sz val="14"/>
            <color rgb="FF000000"/>
            <rFont val="Times New Roman"/>
            <family val="18"/>
          </rPr>
          <t xml:space="preserve">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Von Reserve Division ins Haupt Dostal Companie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16/04/1800 </t>
        </r>
        <r>
          <rPr>
            <i/>
            <sz val="14"/>
            <color rgb="FF000000"/>
            <rFont val="Times New Roman"/>
            <family val="18"/>
          </rPr>
          <t>In die Haupt Dostal Companie eingerückt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28/08/1802 Muster: IR 43 Haupt Frinstlos Komp. Nr. 66</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Frintlos Komp. Nr. 64 [</t>
        </r>
        <r>
          <rPr>
            <i/>
            <sz val="14"/>
            <color rgb="FF000000"/>
            <rFont val="Times New Roman"/>
            <family val="18"/>
          </rPr>
          <t>Mit Urlaub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05/10/1804 Muster: Haupt Frintlos Komp. Nr. 60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Depot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25/08/1805 </t>
        </r>
        <r>
          <rPr>
            <i/>
            <sz val="14"/>
            <color rgb="FF000000"/>
            <rFont val="Times New Roman"/>
            <family val="18"/>
          </rPr>
          <t>Als Untauglich laut I.Ö, General Commando Verordnung det Graz von 20. May 1805 nach vorher abgehaltene Superarbietrierung als Untauglich mit Abschied entlassen</t>
        </r>
        <r>
          <rPr>
            <sz val="14"/>
            <color rgb="FF000000"/>
            <rFont val="Times New Roman"/>
            <family val="18"/>
          </rPr>
          <t xml:space="preserve"> [ST Sept 1805 &amp; ML 1805]</t>
        </r>
        <r>
          <rPr>
            <sz val="14"/>
            <color rgb="FF000000"/>
            <rFont val="Calibri"/>
            <family val="34"/>
          </rPr>
          <t xml:space="preserve">
</t>
        </r>
        <r>
          <rPr>
            <sz val="14"/>
            <color rgb="FF000000"/>
            <rFont val="Times New Roman"/>
            <family val="18"/>
          </rPr>
          <t xml:space="preserve">01/09/1805 [bis] </t>
        </r>
        <r>
          <rPr>
            <i/>
            <sz val="14"/>
            <color rgb="FF000000"/>
            <rFont val="Times New Roman"/>
            <family val="18"/>
          </rPr>
          <t xml:space="preserve">von dem Löbl Feld Kriegs Commissariat weitere angewiesene Verpflegung mit tag: 5 Xr Löhnung und 2Xr Brotgeld in loco nachgetragen </t>
        </r>
        <r>
          <rPr>
            <sz val="14"/>
            <color rgb="FF000000"/>
            <rFont val="Times New Roman"/>
            <family val="18"/>
          </rPr>
          <t>[ST Sept 1805]</t>
        </r>
        <r>
          <rPr>
            <sz val="14"/>
            <color rgb="FF000000"/>
            <rFont val="Calibri"/>
            <family val="34"/>
          </rPr>
          <t xml:space="preserve">
</t>
        </r>
      </text>
    </comment>
    <comment ref="BG283" authorId="0" shapeId="0" xr:uid="{5C3D60B3-3F5B-9647-A7CD-BDAC72C7F858}">
      <text>
        <r>
          <rPr>
            <sz val="14"/>
            <color rgb="FF000000"/>
            <rFont val="Times New Roman"/>
            <family val="18"/>
          </rPr>
          <t>ML 10.272 IR 43 (1802) –Haupt Frintlos Komp. Nr. 66 (Cattaro 28/08/1802)</t>
        </r>
        <r>
          <rPr>
            <sz val="14"/>
            <color rgb="FF000000"/>
            <rFont val="Calibri"/>
            <family val="34"/>
          </rPr>
          <t xml:space="preserve">
</t>
        </r>
        <r>
          <rPr>
            <sz val="14"/>
            <color rgb="FF000000"/>
            <rFont val="Times New Roman"/>
            <family val="18"/>
          </rPr>
          <t>ML 10.273 IR 43 (1803) –Haupt Frintlos Komp. Nr. 64 (Cattaro 02/11/1803)</t>
        </r>
        <r>
          <rPr>
            <sz val="14"/>
            <color rgb="FF000000"/>
            <rFont val="Calibri"/>
            <family val="34"/>
          </rPr>
          <t xml:space="preserve">
</t>
        </r>
        <r>
          <rPr>
            <sz val="14"/>
            <color rgb="FF000000"/>
            <rFont val="Times New Roman"/>
            <family val="18"/>
          </rPr>
          <t>ML 10.274 IR 43 (1804) –Haupt Frintlos Komp. Nr. 60 (Theodo 05/10/1804)</t>
        </r>
        <r>
          <rPr>
            <sz val="14"/>
            <color rgb="FF000000"/>
            <rFont val="Calibri"/>
            <family val="34"/>
          </rPr>
          <t xml:space="preserve">
</t>
        </r>
        <r>
          <rPr>
            <sz val="14"/>
            <color rgb="FF000000"/>
            <rFont val="Times New Roman"/>
            <family val="18"/>
          </rPr>
          <t>ML 10.275/6 IR 43 (1805) –16. Fus Komp. Abgang (Spalato 23/10/1805)</t>
        </r>
        <r>
          <rPr>
            <sz val="14"/>
            <color rgb="FF000000"/>
            <rFont val="Calibri"/>
            <family val="34"/>
          </rPr>
          <t xml:space="preserve">
</t>
        </r>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10.308 IR 43 (1799) – AL Nr. 50 (Sandomierz 31/08/1799)</t>
        </r>
        <r>
          <rPr>
            <sz val="14"/>
            <color rgb="FF000000"/>
            <rFont val="Calibri"/>
            <family val="34"/>
          </rPr>
          <t xml:space="preserve">
</t>
        </r>
        <r>
          <rPr>
            <sz val="14"/>
            <color rgb="FF000000"/>
            <rFont val="Times New Roman"/>
            <family val="18"/>
          </rPr>
          <t>ML 10.309 IR 43 (1800) – ST Feb (06/04/1801), April (24/01/1802)</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10.315 IR 43 (1805) – ST Aug (15/09/1805) Sept (15/11/1805)</t>
        </r>
      </text>
    </comment>
    <comment ref="BH283" authorId="0" shapeId="0" xr:uid="{80FDDF76-605C-9449-AF9C-8304EF417EA1}">
      <text>
        <r>
          <rPr>
            <sz val="14"/>
            <color rgb="FF000000"/>
            <rFont val="Calibri"/>
            <family val="34"/>
          </rPr>
          <t>IR 43 (1799-1805)</t>
        </r>
      </text>
    </comment>
    <comment ref="BF284" authorId="0" shapeId="0" xr:uid="{0BD55EC8-5781-DA47-BB4F-28B3F2DB1CFD}">
      <text>
        <r>
          <rPr>
            <sz val="14"/>
            <color rgb="FF000000"/>
            <rFont val="Times New Roman"/>
            <family val="18"/>
          </rPr>
          <t xml:space="preserve">08/08/1799 </t>
        </r>
        <r>
          <rPr>
            <i/>
            <sz val="14"/>
            <color rgb="FF000000"/>
            <rFont val="Times New Roman"/>
            <family val="18"/>
          </rPr>
          <t xml:space="preserve">Von Ständen gestellt und zum Sandomierz assentiert uns seitdem auf anhero Marsch mit Friedensgebühr </t>
        </r>
        <r>
          <rPr>
            <sz val="14"/>
            <color rgb="FF000000"/>
            <rFont val="Times New Roman"/>
            <family val="18"/>
          </rPr>
          <t>[AL Aug 1799]</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284" authorId="0" shapeId="0" xr:uid="{6A50F4AA-784D-A145-AA22-72DED554D1BD}">
      <text>
        <r>
          <rPr>
            <sz val="14"/>
            <color rgb="FF000000"/>
            <rFont val="Times New Roman"/>
            <family val="18"/>
          </rPr>
          <t>ML 10.308 IR 43 (1799) – AL Nr. 51 (Sandomierz 31/08/1799)</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284" authorId="0" shapeId="0" xr:uid="{2300D31A-F267-904C-8D02-E07FCB139D14}">
      <text>
        <r>
          <rPr>
            <sz val="14"/>
            <color rgb="FF000000"/>
            <rFont val="Calibri"/>
            <family val="34"/>
          </rPr>
          <t>IR 43 (1799-1801)</t>
        </r>
      </text>
    </comment>
    <comment ref="B285" authorId="0" shapeId="0" xr:uid="{CAD7FD1C-1D3E-2442-AD30-A3EAE56656C5}">
      <text>
        <r>
          <rPr>
            <sz val="14"/>
            <color rgb="FF000000"/>
            <rFont val="Calibri"/>
            <family val="34"/>
          </rPr>
          <t xml:space="preserve">Berek LEFKOWIK (1799)
</t>
        </r>
        <r>
          <rPr>
            <sz val="14"/>
            <color rgb="FF000000"/>
            <rFont val="Calibri"/>
            <family val="34"/>
          </rPr>
          <t xml:space="preserve">Leibl LEOKOWIZ (1800)
</t>
        </r>
        <r>
          <rPr>
            <sz val="14"/>
            <color rgb="FF000000"/>
            <rFont val="Calibri"/>
            <family val="34"/>
          </rPr>
          <t xml:space="preserve">Leib LEBKOWITZ (1802)
</t>
        </r>
        <r>
          <rPr>
            <sz val="14"/>
            <color rgb="FF000000"/>
            <rFont val="Calibri"/>
            <family val="34"/>
          </rPr>
          <t xml:space="preserve">Leib LEWKOWIZ (1803)
</t>
        </r>
        <r>
          <rPr>
            <sz val="14"/>
            <color rgb="FF000000"/>
            <rFont val="Calibri"/>
            <family val="34"/>
          </rPr>
          <t>Laib LEWKOWITZ (1811)</t>
        </r>
      </text>
    </comment>
    <comment ref="J285" authorId="0" shapeId="0" xr:uid="{55E0588D-A9C1-804A-9474-649E62E64E24}">
      <text>
        <r>
          <rPr>
            <sz val="14"/>
            <color rgb="FF000000"/>
            <rFont val="Calibri"/>
            <family val="34"/>
          </rPr>
          <t xml:space="preserve">Ledig (1799-1804)
</t>
        </r>
        <r>
          <rPr>
            <sz val="14"/>
            <color rgb="FF000000"/>
            <rFont val="Calibri"/>
            <family val="34"/>
          </rPr>
          <t>Veheiratet (1806-16)</t>
        </r>
      </text>
    </comment>
    <comment ref="N285" authorId="0" shapeId="0" xr:uid="{3BA1CF11-2E43-FD4C-9F1D-ACF5E3120117}">
      <text>
        <r>
          <rPr>
            <sz val="14"/>
            <color rgb="FF000000"/>
            <rFont val="Calibri"/>
            <family val="34"/>
          </rPr>
          <t xml:space="preserve">Ausser (1806)
</t>
        </r>
        <r>
          <rPr>
            <sz val="14"/>
            <color rgb="FF000000"/>
            <rFont val="Calibri"/>
            <family val="34"/>
          </rPr>
          <t>Absent (1811)</t>
        </r>
      </text>
    </comment>
    <comment ref="T285" authorId="0" shapeId="0" xr:uid="{D4DF2386-3D19-5D40-B843-D5D8CCA00603}">
      <text>
        <r>
          <rPr>
            <sz val="14"/>
            <color rgb="FF000000"/>
            <rFont val="Calibri"/>
            <family val="34"/>
          </rPr>
          <t xml:space="preserve">163.26 (1799/1800)
</t>
        </r>
        <r>
          <rPr>
            <sz val="14"/>
            <color rgb="FF000000"/>
            <rFont val="Calibri"/>
            <family val="34"/>
          </rPr>
          <t>163.48 (1802-11)</t>
        </r>
      </text>
    </comment>
    <comment ref="BF285" authorId="0" shapeId="0" xr:uid="{9FA7B1CC-0558-5E42-AB5F-D78724F6AB21}">
      <text>
        <r>
          <rPr>
            <sz val="14"/>
            <color rgb="FFFF0000"/>
            <rFont val="Times New Roman"/>
            <family val="18"/>
          </rPr>
          <t xml:space="preserve">14/07/1798 </t>
        </r>
        <r>
          <rPr>
            <i/>
            <sz val="14"/>
            <color rgb="FFFF0000"/>
            <rFont val="Times New Roman"/>
            <family val="18"/>
          </rPr>
          <t xml:space="preserve">von Ständen gestellt </t>
        </r>
        <r>
          <rPr>
            <sz val="14"/>
            <color rgb="FFFF0000"/>
            <rFont val="Times New Roman"/>
            <family val="18"/>
          </rPr>
          <t>[ML1802-6]</t>
        </r>
        <r>
          <rPr>
            <sz val="14"/>
            <color rgb="FF000000"/>
            <rFont val="Calibri"/>
            <family val="34"/>
          </rPr>
          <t xml:space="preserve">
</t>
        </r>
        <r>
          <rPr>
            <sz val="14"/>
            <color rgb="FFFF0000"/>
            <rFont val="Times New Roman"/>
            <family val="18"/>
          </rPr>
          <t xml:space="preserve">01/06/1799 </t>
        </r>
        <r>
          <rPr>
            <i/>
            <sz val="14"/>
            <color rgb="FFFF0000"/>
            <rFont val="Times New Roman"/>
            <family val="18"/>
          </rPr>
          <t xml:space="preserve">von Ständen gestellt </t>
        </r>
        <r>
          <rPr>
            <sz val="14"/>
            <color rgb="FFFF0000"/>
            <rFont val="Times New Roman"/>
            <family val="18"/>
          </rPr>
          <t>[TL 1800]</t>
        </r>
        <r>
          <rPr>
            <sz val="14"/>
            <color rgb="FF000000"/>
            <rFont val="Calibri"/>
            <family val="34"/>
          </rPr>
          <t xml:space="preserve">
</t>
        </r>
        <r>
          <rPr>
            <sz val="14"/>
            <color rgb="FF000000"/>
            <rFont val="Times New Roman"/>
            <family val="18"/>
          </rPr>
          <t xml:space="preserve">12/08/1799 </t>
        </r>
        <r>
          <rPr>
            <i/>
            <sz val="14"/>
            <color rgb="FF000000"/>
            <rFont val="Times New Roman"/>
            <family val="18"/>
          </rPr>
          <t>von Ständen a 3Fl Handgeld gestellt uns zum IR 43 assentiert</t>
        </r>
        <r>
          <rPr>
            <sz val="14"/>
            <color rgb="FF000000"/>
            <rFont val="Times New Roman"/>
            <family val="18"/>
          </rPr>
          <t xml:space="preserve"> [AL 1799]</t>
        </r>
        <r>
          <rPr>
            <sz val="14"/>
            <color rgb="FF000000"/>
            <rFont val="Calibri"/>
            <family val="34"/>
          </rPr>
          <t xml:space="preserve">
</t>
        </r>
        <r>
          <rPr>
            <sz val="14"/>
            <color rgb="FF000000"/>
            <rFont val="Times New Roman"/>
            <family val="18"/>
          </rPr>
          <t xml:space="preserve">25/12/1799 </t>
        </r>
        <r>
          <rPr>
            <i/>
            <sz val="14"/>
            <color rgb="FF000000"/>
            <rFont val="Times New Roman"/>
            <family val="18"/>
          </rPr>
          <t>Ohne Zuwachs Dokumenten ins Reserve Division eingerückt</t>
        </r>
        <r>
          <rPr>
            <sz val="14"/>
            <color rgb="FF000000"/>
            <rFont val="Times New Roman"/>
            <family val="18"/>
          </rPr>
          <t xml:space="preserve"> [ST Dec 1799]</t>
        </r>
        <r>
          <rPr>
            <sz val="14"/>
            <color rgb="FF000000"/>
            <rFont val="Calibri"/>
            <family val="34"/>
          </rPr>
          <t xml:space="preserve">
</t>
        </r>
        <r>
          <rPr>
            <sz val="14"/>
            <color rgb="FF000000"/>
            <rFont val="Times New Roman"/>
            <family val="18"/>
          </rPr>
          <t xml:space="preserve">05/01/1800 </t>
        </r>
        <r>
          <rPr>
            <i/>
            <sz val="14"/>
            <color rgb="FF000000"/>
            <rFont val="Times New Roman"/>
            <family val="18"/>
          </rPr>
          <t>Ferner Krank auswärts mit Friedensgebühr</t>
        </r>
        <r>
          <rPr>
            <sz val="14"/>
            <color rgb="FF000000"/>
            <rFont val="Times New Roman"/>
            <family val="18"/>
          </rPr>
          <t xml:space="preserve"> [ST Jan 1800]</t>
        </r>
        <r>
          <rPr>
            <sz val="14"/>
            <color rgb="FF000000"/>
            <rFont val="Calibri"/>
            <family val="34"/>
          </rPr>
          <t xml:space="preserve">
</t>
        </r>
        <r>
          <rPr>
            <sz val="14"/>
            <color rgb="FF000000"/>
            <rFont val="Times New Roman"/>
            <family val="18"/>
          </rPr>
          <t>10/01/1800</t>
        </r>
        <r>
          <rPr>
            <i/>
            <sz val="14"/>
            <color rgb="FF000000"/>
            <rFont val="Times New Roman"/>
            <family val="18"/>
          </rPr>
          <t xml:space="preserve"> Reconvalesciert</t>
        </r>
        <r>
          <rPr>
            <sz val="14"/>
            <color rgb="FF000000"/>
            <rFont val="Times New Roman"/>
            <family val="18"/>
          </rPr>
          <t xml:space="preserve"> [ST Jan 1800]</t>
        </r>
        <r>
          <rPr>
            <sz val="14"/>
            <color rgb="FF000000"/>
            <rFont val="Calibri"/>
            <family val="34"/>
          </rPr>
          <t xml:space="preserve">
</t>
        </r>
        <r>
          <rPr>
            <sz val="14"/>
            <color rgb="FF000000"/>
            <rFont val="Times New Roman"/>
            <family val="18"/>
          </rPr>
          <t xml:space="preserve">06/02/1800 </t>
        </r>
        <r>
          <rPr>
            <i/>
            <sz val="14"/>
            <color rgb="FF000000"/>
            <rFont val="Times New Roman"/>
            <family val="18"/>
          </rPr>
          <t xml:space="preserve">Ferners Aufmarsch zum Regiment </t>
        </r>
        <r>
          <rPr>
            <sz val="14"/>
            <color rgb="FF000000"/>
            <rFont val="Times New Roman"/>
            <family val="18"/>
          </rPr>
          <t>[TL 1800 &amp; ST Feb 1800]</t>
        </r>
        <r>
          <rPr>
            <sz val="14"/>
            <color rgb="FF000000"/>
            <rFont val="Calibri"/>
            <family val="34"/>
          </rPr>
          <t xml:space="preserve">
</t>
        </r>
        <r>
          <rPr>
            <sz val="14"/>
            <color rgb="FF000000"/>
            <rFont val="Times New Roman"/>
            <family val="18"/>
          </rPr>
          <t xml:space="preserve">06/04/1800 </t>
        </r>
        <r>
          <rPr>
            <i/>
            <sz val="14"/>
            <color rgb="FF000000"/>
            <rFont val="Times New Roman"/>
            <family val="18"/>
          </rPr>
          <t>In Regiment eingerückt und zum Haupt Baumann Comp. transferiert</t>
        </r>
        <r>
          <rPr>
            <sz val="14"/>
            <color rgb="FF000000"/>
            <rFont val="Times New Roman"/>
            <family val="18"/>
          </rPr>
          <t xml:space="preserve"> [ST April 1800]</t>
        </r>
        <r>
          <rPr>
            <sz val="14"/>
            <color rgb="FF000000"/>
            <rFont val="Calibri"/>
            <family val="34"/>
          </rPr>
          <t xml:space="preserve">
</t>
        </r>
        <r>
          <rPr>
            <sz val="14"/>
            <color rgb="FF000000"/>
            <rFont val="Times New Roman"/>
            <family val="18"/>
          </rPr>
          <t xml:space="preserve">07/07/1802 </t>
        </r>
        <r>
          <rPr>
            <i/>
            <sz val="14"/>
            <color rgb="FF000000"/>
            <rFont val="Times New Roman"/>
            <family val="18"/>
          </rPr>
          <t>Auf Bestimmte mit Deutscher Gebühr und Teuerungsbeitrag bis 11, und mit Ungarischen Gebühr ohne Teuerungsbeitrag bis inclusive 13. verpflegt und dato</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28/08/1802 Musterung: IR 43 Haupt Baumann Nr. 54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bestimmte zum unbestimmte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01/11/1803 Musterung: IR 43 Haupt Baumann Komp. Nr. 51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05/10/1804 Musterung: Haupt Baumann Komp. Nr. 49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17/08/1805 </t>
        </r>
        <r>
          <rPr>
            <i/>
            <sz val="14"/>
            <color rgb="FF000000"/>
            <rFont val="Times New Roman"/>
            <family val="18"/>
          </rPr>
          <t>Eingerückt und zu Laibach mit Tägl. ½ Teuerung und 1Xr Fleischbeitrag Commandiert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23/10/1805 Musterung: IR 43 12. Fus Comp Nr. 54 [</t>
        </r>
        <r>
          <rPr>
            <i/>
            <sz val="14"/>
            <color rgb="FF000000"/>
            <rFont val="Times New Roman"/>
            <family val="18"/>
          </rPr>
          <t>Bei Abrichtungsdepot zugeheilt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12. Fus Comp zum Artillerie Handlanger Transferiert</t>
        </r>
        <r>
          <rPr>
            <sz val="14"/>
            <color rgb="FF000000"/>
            <rFont val="Times New Roman"/>
            <family val="18"/>
          </rPr>
          <t xml:space="preserve"> [ST Nov 1805 &amp;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dissolvierte Artillerie Handleger wieder zurück in seine [jetzt 16. Fus] Comp. transferiert</t>
        </r>
        <r>
          <rPr>
            <sz val="14"/>
            <color rgb="FF000000"/>
            <rFont val="Times New Roman"/>
            <family val="18"/>
          </rPr>
          <t xml:space="preserve"> [ST April 1806 &amp; ML 1806]</t>
        </r>
        <r>
          <rPr>
            <sz val="14"/>
            <color rgb="FF000000"/>
            <rFont val="Calibri"/>
            <family val="34"/>
          </rPr>
          <t xml:space="preserve">
</t>
        </r>
        <r>
          <rPr>
            <sz val="14"/>
            <color rgb="FF000000"/>
            <rFont val="Times New Roman"/>
            <family val="18"/>
          </rPr>
          <t>01/12/1806 Musterung: IR 43 16. Fus. Komp. Nr. 33</t>
        </r>
        <r>
          <rPr>
            <sz val="14"/>
            <color rgb="FF000000"/>
            <rFont val="Calibri"/>
            <family val="34"/>
          </rPr>
          <t xml:space="preserve">
</t>
        </r>
        <r>
          <rPr>
            <sz val="14"/>
            <color rgb="FF000000"/>
            <rFont val="Times New Roman"/>
            <family val="18"/>
          </rPr>
          <t xml:space="preserve">06/09/1808 Musterung: IR 43 16. Fus. Komp. Nr. 30 </t>
        </r>
        <r>
          <rPr>
            <sz val="14"/>
            <color rgb="FF000000"/>
            <rFont val="Times New Roman"/>
            <family val="18"/>
          </rPr>
          <t>[</t>
        </r>
        <r>
          <rPr>
            <i/>
            <sz val="14"/>
            <color rgb="FF000000"/>
            <rFont val="Times New Roman"/>
            <family val="18"/>
          </rPr>
          <t>auf Tabak Commando in Weinsburg</t>
        </r>
        <r>
          <rPr>
            <sz val="14"/>
            <color rgb="FF000000"/>
            <rFont val="Times New Roman"/>
            <family val="18"/>
          </rPr>
          <t>]</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18. [früher 16. Fus] zum 2. Depot Comp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07/09/1809 </t>
        </r>
        <r>
          <rPr>
            <i/>
            <sz val="14"/>
            <color rgb="FF000000"/>
            <rFont val="Times New Roman"/>
            <family val="18"/>
          </rPr>
          <t>Von 2. Depot zum 18. Fus Comp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07/10/1809 </t>
        </r>
        <r>
          <rPr>
            <i/>
            <sz val="14"/>
            <color rgb="FF000000"/>
            <rFont val="Times New Roman"/>
            <family val="18"/>
          </rPr>
          <t>Krank Auswärts</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Rekonvalesziert und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25/02/1810 Dissolvierung: 18 Fus. Comp Nr. 63 [</t>
        </r>
        <r>
          <rPr>
            <i/>
            <sz val="14"/>
            <color rgb="FF000000"/>
            <rFont val="Times New Roman"/>
            <family val="18"/>
          </rPr>
          <t>Zur IR 24 einzuteilen</t>
        </r>
        <r>
          <rPr>
            <sz val="14"/>
            <color rgb="FF000000"/>
            <rFont val="Times New Roman"/>
            <family val="18"/>
          </rPr>
          <t>]</t>
        </r>
        <r>
          <rPr>
            <sz val="14"/>
            <color rgb="FF000000"/>
            <rFont val="Calibri"/>
            <family val="34"/>
          </rPr>
          <t xml:space="preserve">
</t>
        </r>
        <r>
          <rPr>
            <sz val="14"/>
            <color rgb="FFFF0000"/>
            <rFont val="Times New Roman"/>
            <family val="18"/>
          </rPr>
          <t xml:space="preserve">06/03/1810 </t>
        </r>
        <r>
          <rPr>
            <i/>
            <sz val="14"/>
            <color rgb="FFFF0000"/>
            <rFont val="Times New Roman"/>
            <family val="18"/>
          </rPr>
          <t>Von 18. Fus Comp des Dissolvierte IR 43 zum IR 24 Strauch</t>
        </r>
        <r>
          <rPr>
            <sz val="14"/>
            <color rgb="FFFF0000"/>
            <rFont val="Times New Roman"/>
            <family val="18"/>
          </rPr>
          <t xml:space="preserve"> [ST March 1810]</t>
        </r>
        <r>
          <rPr>
            <sz val="14"/>
            <color rgb="FF000000"/>
            <rFont val="Calibri"/>
            <family val="34"/>
          </rPr>
          <t xml:space="preserve">
</t>
        </r>
        <r>
          <rPr>
            <sz val="14"/>
            <color rgb="FF000000"/>
            <rFont val="Times New Roman"/>
            <family val="18"/>
          </rPr>
          <t xml:space="preserve">16/03/1810 </t>
        </r>
        <r>
          <rPr>
            <i/>
            <sz val="14"/>
            <color rgb="FF000000"/>
            <rFont val="Times New Roman"/>
            <family val="18"/>
          </rPr>
          <t xml:space="preserve">Von 18. Fus Comp des Dissolvierte IR 43 zum IR 24 </t>
        </r>
        <r>
          <rPr>
            <sz val="14"/>
            <color rgb="FF000000"/>
            <rFont val="Times New Roman"/>
            <family val="18"/>
          </rPr>
          <t>[ML IR 24 1811]</t>
        </r>
        <r>
          <rPr>
            <sz val="14"/>
            <color rgb="FF000000"/>
            <rFont val="Calibri"/>
            <family val="34"/>
          </rPr>
          <t xml:space="preserve">
</t>
        </r>
        <r>
          <rPr>
            <sz val="14"/>
            <color rgb="FF000000"/>
            <rFont val="Times New Roman"/>
            <family val="18"/>
          </rPr>
          <t>21/09/1811 Musterung: IR 24 9. Fus Komp Nr. 117 [</t>
        </r>
        <r>
          <rPr>
            <i/>
            <sz val="14"/>
            <color rgb="FF000000"/>
            <rFont val="Times New Roman"/>
            <family val="18"/>
          </rPr>
          <t>Commandiert zu Comorn</t>
        </r>
        <r>
          <rPr>
            <sz val="14"/>
            <color rgb="FF000000"/>
            <rFont val="Times New Roman"/>
            <family val="18"/>
          </rPr>
          <t>]</t>
        </r>
        <r>
          <rPr>
            <sz val="14"/>
            <color rgb="FF000000"/>
            <rFont val="Calibri"/>
            <family val="34"/>
          </rPr>
          <t xml:space="preserve">
</t>
        </r>
        <r>
          <rPr>
            <sz val="14"/>
            <color rgb="FF000000"/>
            <rFont val="Times New Roman"/>
            <family val="18"/>
          </rPr>
          <t xml:space="preserve">30/04/1815 </t>
        </r>
        <r>
          <rPr>
            <i/>
            <sz val="14"/>
            <color rgb="FF000000"/>
            <rFont val="Times New Roman"/>
            <family val="18"/>
          </rPr>
          <t>Von IR 24 9. Fus. Komp. zum neu errichtete HFS 48 transferiert</t>
        </r>
        <r>
          <rPr>
            <sz val="14"/>
            <color rgb="FF000000"/>
            <rFont val="Times New Roman"/>
            <family val="18"/>
          </rPr>
          <t xml:space="preserve"> [TL Juni 1818]</t>
        </r>
        <r>
          <rPr>
            <sz val="14"/>
            <color rgb="FF000000"/>
            <rFont val="Calibri"/>
            <family val="34"/>
          </rPr>
          <t xml:space="preserve">
</t>
        </r>
        <r>
          <rPr>
            <sz val="14"/>
            <color rgb="FF000000"/>
            <rFont val="Times New Roman"/>
            <family val="18"/>
          </rPr>
          <t xml:space="preserve">20/09/1815 </t>
        </r>
        <r>
          <rPr>
            <i/>
            <sz val="14"/>
            <color rgb="FF000000"/>
            <rFont val="Times New Roman"/>
            <family val="18"/>
          </rPr>
          <t xml:space="preserve">Von HFS 48 zum HFS 44 transferiert </t>
        </r>
        <r>
          <rPr>
            <sz val="14"/>
            <color rgb="FF000000"/>
            <rFont val="Times New Roman"/>
            <family val="18"/>
          </rPr>
          <t>[VrpfL Okt 1815]</t>
        </r>
        <r>
          <rPr>
            <sz val="14"/>
            <color rgb="FF000000"/>
            <rFont val="Calibri"/>
            <family val="34"/>
          </rPr>
          <t xml:space="preserve">
</t>
        </r>
        <r>
          <rPr>
            <sz val="14"/>
            <color rgb="FF000000"/>
            <rFont val="Times New Roman"/>
            <family val="18"/>
          </rPr>
          <t xml:space="preserve">21/09/1815 </t>
        </r>
        <r>
          <rPr>
            <i/>
            <sz val="14"/>
            <color rgb="FF000000"/>
            <rFont val="Times New Roman"/>
            <family val="18"/>
          </rPr>
          <t xml:space="preserve">Von HFS 48 zum HFS 44 transferiert </t>
        </r>
        <r>
          <rPr>
            <sz val="14"/>
            <color rgb="FF000000"/>
            <rFont val="Times New Roman"/>
            <family val="18"/>
          </rPr>
          <t>[VrpfL Sept 1815 &amp; Verpf Oct 1815]</t>
        </r>
        <r>
          <rPr>
            <sz val="14"/>
            <color rgb="FF000000"/>
            <rFont val="Calibri"/>
            <family val="34"/>
          </rPr>
          <t xml:space="preserve">
</t>
        </r>
        <r>
          <rPr>
            <sz val="14"/>
            <color rgb="FF000000"/>
            <rFont val="Times New Roman"/>
            <family val="18"/>
          </rPr>
          <t xml:space="preserve">01/02/1816 </t>
        </r>
        <r>
          <rPr>
            <i/>
            <sz val="14"/>
            <color rgb="FF000000"/>
            <rFont val="Times New Roman"/>
            <family val="18"/>
          </rPr>
          <t>In Folge Hohe N.O General Commando Verordnung det. 13 Jannuar a:C: R 787 zum Tyrnauer Invaliden Haus transferiert und zur 1. Chambre eingeteilt</t>
        </r>
        <r>
          <rPr>
            <sz val="14"/>
            <color rgb="FF000000"/>
            <rFont val="Times New Roman"/>
            <family val="18"/>
          </rPr>
          <t xml:space="preserve"> [VerpfL Feb 1816 &amp; ML 1816]</t>
        </r>
        <r>
          <rPr>
            <sz val="14"/>
            <color rgb="FF000000"/>
            <rFont val="Calibri"/>
            <family val="34"/>
          </rPr>
          <t xml:space="preserve">
</t>
        </r>
        <r>
          <rPr>
            <sz val="14"/>
            <color rgb="FF000000"/>
            <rFont val="Times New Roman"/>
            <family val="18"/>
          </rPr>
          <t>01/05/1816 Muster: InvH Tyrnau 1. Chambre Nr. 233</t>
        </r>
        <r>
          <rPr>
            <sz val="14"/>
            <color rgb="FF000000"/>
            <rFont val="Calibri"/>
            <family val="34"/>
          </rPr>
          <t xml:space="preserve">
</t>
        </r>
        <r>
          <rPr>
            <sz val="14"/>
            <color rgb="FF000000"/>
            <rFont val="Times New Roman"/>
            <family val="18"/>
          </rPr>
          <t xml:space="preserve">15/08/1816 </t>
        </r>
        <r>
          <rPr>
            <i/>
            <sz val="14"/>
            <color rgb="FF000000"/>
            <rFont val="Times New Roman"/>
            <family val="18"/>
          </rPr>
          <t>Zum Vorbahlt Stand</t>
        </r>
        <r>
          <rPr>
            <sz val="14"/>
            <color rgb="FF000000"/>
            <rFont val="Times New Roman"/>
            <family val="18"/>
          </rPr>
          <t xml:space="preserve"> [ML 1817]</t>
        </r>
        <r>
          <rPr>
            <sz val="14"/>
            <color rgb="FF000000"/>
            <rFont val="Calibri"/>
            <family val="34"/>
          </rPr>
          <t xml:space="preserve">
</t>
        </r>
      </text>
    </comment>
    <comment ref="BG285" authorId="0" shapeId="0" xr:uid="{A4D8DD76-50BD-CB46-B0CE-BF8169E199F3}">
      <text>
        <r>
          <rPr>
            <sz val="14"/>
            <color rgb="FF000000"/>
            <rFont val="Times New Roman"/>
            <family val="18"/>
          </rPr>
          <t>ML 10.272 IR 43 (1802) – IR 43 Haupt Baumann Nr. 54 (Cattaro 28/08/1802)</t>
        </r>
        <r>
          <rPr>
            <sz val="14"/>
            <color rgb="FF000000"/>
            <rFont val="Calibri"/>
            <family val="34"/>
          </rPr>
          <t xml:space="preserve">
</t>
        </r>
        <r>
          <rPr>
            <sz val="14"/>
            <color rgb="FF000000"/>
            <rFont val="Times New Roman"/>
            <family val="18"/>
          </rPr>
          <t xml:space="preserve">ML 10.273 IR 43 (1803) – IR 43 Haupt Baumann Comp Nr. 51 (Cattaro 02/11/1803) </t>
        </r>
        <r>
          <rPr>
            <sz val="14"/>
            <color rgb="FF000000"/>
            <rFont val="Calibri"/>
            <family val="34"/>
          </rPr>
          <t xml:space="preserve">
</t>
        </r>
        <r>
          <rPr>
            <sz val="14"/>
            <color rgb="FF000000"/>
            <rFont val="Times New Roman"/>
            <family val="18"/>
          </rPr>
          <t>ML 10.274 IR 43 (1804) – Haupt Baumann Comp Nr. 49 (Theodo 05/10/1804)</t>
        </r>
        <r>
          <rPr>
            <sz val="14"/>
            <color rgb="FF000000"/>
            <rFont val="Calibri"/>
            <family val="34"/>
          </rPr>
          <t xml:space="preserve">
</t>
        </r>
        <r>
          <rPr>
            <sz val="14"/>
            <color rgb="FF000000"/>
            <rFont val="Times New Roman"/>
            <family val="18"/>
          </rPr>
          <t>ML 10.275/6 IR 43 (1805) – IR 43 12. Fus Comp Nr. 54 (Spalato 23/10/1805)</t>
        </r>
        <r>
          <rPr>
            <sz val="14"/>
            <color rgb="FF000000"/>
            <rFont val="Calibri"/>
            <family val="34"/>
          </rPr>
          <t xml:space="preserve">
</t>
        </r>
        <r>
          <rPr>
            <sz val="14"/>
            <color rgb="FF000000"/>
            <rFont val="Times New Roman"/>
            <family val="18"/>
          </rPr>
          <t>ML 10.277/8 IR 43 (1806) – IR 43 16. Fus Comp Nr. 33 (Laibach 01/12/1806)</t>
        </r>
        <r>
          <rPr>
            <sz val="14"/>
            <color rgb="FF000000"/>
            <rFont val="Calibri"/>
            <family val="34"/>
          </rPr>
          <t xml:space="preserve">
</t>
        </r>
        <r>
          <rPr>
            <sz val="14"/>
            <color rgb="FF000000"/>
            <rFont val="Times New Roman"/>
            <family val="18"/>
          </rPr>
          <t>ML 10.279 IR 43 (1808-10) – RL IR 43 16. Fus (Laibach 06/09/1808) &amp; DL 18. Fus (Vordenberg 25/02/1810)</t>
        </r>
        <r>
          <rPr>
            <sz val="14"/>
            <color rgb="FF000000"/>
            <rFont val="Calibri"/>
            <family val="34"/>
          </rPr>
          <t xml:space="preserve">
</t>
        </r>
        <r>
          <rPr>
            <sz val="14"/>
            <color rgb="FF000000"/>
            <rFont val="Times New Roman"/>
            <family val="18"/>
          </rPr>
          <t>ML 10.307 IR 43 (1799) – ST Dec (01/11/1800)</t>
        </r>
        <r>
          <rPr>
            <sz val="14"/>
            <color rgb="FF000000"/>
            <rFont val="Calibri"/>
            <family val="34"/>
          </rPr>
          <t xml:space="preserve">
</t>
        </r>
        <r>
          <rPr>
            <sz val="14"/>
            <color rgb="FF000000"/>
            <rFont val="Times New Roman"/>
            <family val="18"/>
          </rPr>
          <t>ML 10.308 IR 43 (1799) – AL Nr. 52 (Sandomierz 31/08/1799)</t>
        </r>
        <r>
          <rPr>
            <sz val="14"/>
            <color rgb="FF000000"/>
            <rFont val="Calibri"/>
            <family val="34"/>
          </rPr>
          <t xml:space="preserve">
</t>
        </r>
        <r>
          <rPr>
            <sz val="14"/>
            <color rgb="FF000000"/>
            <rFont val="Times New Roman"/>
            <family val="18"/>
          </rPr>
          <t>ML 10.309 IR 43 (1800) – ST April (24/01/1801)</t>
        </r>
        <r>
          <rPr>
            <sz val="14"/>
            <color rgb="FF000000"/>
            <rFont val="Calibri"/>
            <family val="34"/>
          </rPr>
          <t xml:space="preserve">
</t>
        </r>
        <r>
          <rPr>
            <sz val="14"/>
            <color rgb="FF000000"/>
            <rFont val="Times New Roman"/>
            <family val="18"/>
          </rPr>
          <t>ML 10.310 IR 43 (1800) – TL IR Res Div-&gt; Feld Nr. 106 (Laibach 05/02/1800)</t>
        </r>
        <r>
          <rPr>
            <sz val="14"/>
            <color rgb="FF000000"/>
            <rFont val="Calibri"/>
            <family val="34"/>
          </rPr>
          <t xml:space="preserve">
</t>
        </r>
        <r>
          <rPr>
            <sz val="14"/>
            <color rgb="FF000000"/>
            <rFont val="Times New Roman"/>
            <family val="18"/>
          </rPr>
          <t>ML 10.312 IR 43 (1802) – ST July (15/08/1802)</t>
        </r>
        <r>
          <rPr>
            <sz val="14"/>
            <color rgb="FF000000"/>
            <rFont val="Calibri"/>
            <family val="34"/>
          </rPr>
          <t xml:space="preserve">
</t>
        </r>
        <r>
          <rPr>
            <sz val="14"/>
            <color rgb="FF000000"/>
            <rFont val="Times New Roman"/>
            <family val="18"/>
          </rPr>
          <t>ML 10.313 IR 43 (1803) – ST March (15/04/1803)</t>
        </r>
        <r>
          <rPr>
            <sz val="14"/>
            <color rgb="FF000000"/>
            <rFont val="Calibri"/>
            <family val="34"/>
          </rPr>
          <t xml:space="preserve">
</t>
        </r>
        <r>
          <rPr>
            <sz val="14"/>
            <color rgb="FF000000"/>
            <rFont val="Times New Roman"/>
            <family val="18"/>
          </rPr>
          <t>ML 10.315 IR 43 (1805) – ST Aug (15/09/1805), Sept (15/11/1805), und Nov (16/06/1806)</t>
        </r>
        <r>
          <rPr>
            <sz val="14"/>
            <color rgb="FF000000"/>
            <rFont val="Calibri"/>
            <family val="34"/>
          </rPr>
          <t xml:space="preserve">
</t>
        </r>
        <r>
          <rPr>
            <sz val="14"/>
            <color rgb="FF000000"/>
            <rFont val="Times New Roman"/>
            <family val="18"/>
          </rPr>
          <t>ML 10.317 IR 43 (1806) – ST April (30/09/1806)</t>
        </r>
        <r>
          <rPr>
            <sz val="14"/>
            <color rgb="FF000000"/>
            <rFont val="Calibri"/>
            <family val="34"/>
          </rPr>
          <t xml:space="preserve">
</t>
        </r>
        <r>
          <rPr>
            <sz val="14"/>
            <color rgb="FF000000"/>
            <rFont val="Times New Roman"/>
            <family val="18"/>
          </rPr>
          <t>ML 10.323 IR 43 (1809) – ST Februar (25/08/181), September (25/12/1810), und October (02/01/1811)</t>
        </r>
        <r>
          <rPr>
            <sz val="14"/>
            <color rgb="FF000000"/>
            <rFont val="Calibri"/>
            <family val="34"/>
          </rPr>
          <t xml:space="preserve">
</t>
        </r>
        <r>
          <rPr>
            <sz val="14"/>
            <color rgb="FF000000"/>
            <rFont val="Times New Roman"/>
            <family val="18"/>
          </rPr>
          <t>ML 10.325 IR 43 (1810) – ST Jan (01/03/1811) und March (11/03/1811)</t>
        </r>
        <r>
          <rPr>
            <sz val="14"/>
            <color rgb="FF000000"/>
            <rFont val="Calibri"/>
            <family val="34"/>
          </rPr>
          <t xml:space="preserve">
</t>
        </r>
        <r>
          <rPr>
            <sz val="14"/>
            <color rgb="FF000000"/>
            <rFont val="Times New Roman"/>
            <family val="18"/>
          </rPr>
          <t>ML 1942 IR 24 (1811) – 9. Fus Nr. 117 (Raab 21/09/1811)</t>
        </r>
        <r>
          <rPr>
            <sz val="14"/>
            <color rgb="FF000000"/>
            <rFont val="Calibri"/>
            <family val="34"/>
          </rPr>
          <t xml:space="preserve">
</t>
        </r>
        <r>
          <rPr>
            <sz val="14"/>
            <color rgb="FF000000"/>
            <rFont val="Times New Roman"/>
            <family val="18"/>
          </rPr>
          <t>ML 12.017 HFS 48 (1815) – TL IR 24-&gt;HFS 48 Nr. 5 (Grosswardein 08/06/1818); VrpfL Okt (Prague 30/03/1816)</t>
        </r>
        <r>
          <rPr>
            <sz val="14"/>
            <color rgb="FF000000"/>
            <rFont val="Calibri"/>
            <family val="34"/>
          </rPr>
          <t xml:space="preserve">
</t>
        </r>
        <r>
          <rPr>
            <sz val="14"/>
            <color rgb="FF000000"/>
            <rFont val="Times New Roman"/>
            <family val="18"/>
          </rPr>
          <t>ML 12.011 HFS 44 (1809-16) – VrpfL Sept (Colmar 10/10/1815); Verpf Feb 1816 (Karlsbach 16/03/1815)</t>
        </r>
        <r>
          <rPr>
            <sz val="14"/>
            <color rgb="FF000000"/>
            <rFont val="Calibri"/>
            <family val="34"/>
          </rPr>
          <t xml:space="preserve">
</t>
        </r>
        <r>
          <rPr>
            <sz val="14"/>
            <color rgb="FF000000"/>
            <rFont val="Times New Roman"/>
            <family val="18"/>
          </rPr>
          <t>ML 9787/8 InvH Tyrnau (1816) – 1. Chambre Nr. 233 (Tyrnau 01/05/1816)</t>
        </r>
        <r>
          <rPr>
            <sz val="14"/>
            <color rgb="FF000000"/>
            <rFont val="Calibri"/>
            <family val="34"/>
          </rPr>
          <t xml:space="preserve">
</t>
        </r>
        <r>
          <rPr>
            <sz val="14"/>
            <color rgb="FF000000"/>
            <rFont val="Times New Roman"/>
            <family val="18"/>
          </rPr>
          <t>ML 9789/90 InvH Tyrnau (1817) – 1. Chambre Abgang (Tyrnau 02/05/1817)</t>
        </r>
      </text>
    </comment>
    <comment ref="BH285" authorId="0" shapeId="0" xr:uid="{D829ADA1-FC17-8E4A-91E1-CC00C825F257}">
      <text>
        <r>
          <rPr>
            <sz val="14"/>
            <color rgb="FF000000"/>
            <rFont val="Calibri"/>
            <family val="34"/>
          </rPr>
          <t xml:space="preserve">IR 43 (1799-1810)
</t>
        </r>
        <r>
          <rPr>
            <sz val="14"/>
            <color rgb="FF000000"/>
            <rFont val="Calibri"/>
            <family val="34"/>
          </rPr>
          <t xml:space="preserve">IR 24 (1810-1815)
</t>
        </r>
        <r>
          <rPr>
            <sz val="14"/>
            <color rgb="FF000000"/>
            <rFont val="Calibri"/>
            <family val="34"/>
          </rPr>
          <t xml:space="preserve">HFS 48 (1815)
</t>
        </r>
        <r>
          <rPr>
            <sz val="14"/>
            <color rgb="FF000000"/>
            <rFont val="Calibri"/>
            <family val="34"/>
          </rPr>
          <t xml:space="preserve">HFS 44 (1815-1816)
</t>
        </r>
        <r>
          <rPr>
            <sz val="14"/>
            <color rgb="FF000000"/>
            <rFont val="Calibri"/>
            <family val="34"/>
          </rPr>
          <t xml:space="preserve">InvH Tyrn (1816)
</t>
        </r>
      </text>
    </comment>
    <comment ref="BJ285" authorId="0" shapeId="0" xr:uid="{7FA7C28C-C053-8840-9FE1-1EEFEC3639E2}">
      <text>
        <r>
          <rPr>
            <sz val="14"/>
            <color rgb="FF000000"/>
            <rFont val="Calibri"/>
            <family val="34"/>
          </rPr>
          <t>1816: Brustdefekt</t>
        </r>
      </text>
    </comment>
    <comment ref="BF286" authorId="0" shapeId="0" xr:uid="{05415AFA-851D-4F4F-BBCE-B5FAB24F3C50}">
      <text>
        <r>
          <rPr>
            <sz val="14"/>
            <color rgb="FFFF0000"/>
            <rFont val="Times New Roman"/>
            <family val="18"/>
          </rPr>
          <t xml:space="preserve">??/08/1799 </t>
        </r>
        <r>
          <rPr>
            <i/>
            <sz val="14"/>
            <color rgb="FFFF0000"/>
            <rFont val="Times New Roman"/>
            <family val="18"/>
          </rPr>
          <t>A 3Fl auf Beständig assentiert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17/08/1799 </t>
        </r>
        <r>
          <rPr>
            <i/>
            <sz val="14"/>
            <color rgb="FF000000"/>
            <rFont val="Times New Roman"/>
            <family val="18"/>
          </rPr>
          <t>Von Ständen a 3Fl assentiert und seitdem auf anhero Marsch mit Friedensgebühr</t>
        </r>
        <r>
          <rPr>
            <sz val="14"/>
            <color rgb="FF000000"/>
            <rFont val="Times New Roman"/>
            <family val="18"/>
          </rPr>
          <t xml:space="preserve"> [ML 1804 &amp; ST Nov 1802]</t>
        </r>
        <r>
          <rPr>
            <sz val="14"/>
            <color rgb="FF000000"/>
            <rFont val="Calibri"/>
            <family val="34"/>
          </rPr>
          <t xml:space="preserve">
</t>
        </r>
        <r>
          <rPr>
            <sz val="14"/>
            <color rgb="FF000000"/>
            <rFont val="Times New Roman"/>
            <family val="18"/>
          </rPr>
          <t xml:space="preserve">??/10/1799 </t>
        </r>
        <r>
          <rPr>
            <i/>
            <sz val="14"/>
            <color rgb="FF000000"/>
            <rFont val="Times New Roman"/>
            <family val="18"/>
          </rPr>
          <t>In Reserve Division eingerückt</t>
        </r>
        <r>
          <rPr>
            <sz val="14"/>
            <color rgb="FF000000"/>
            <rFont val="Calibri"/>
            <family val="34"/>
          </rPr>
          <t xml:space="preserve">
</t>
        </r>
        <r>
          <rPr>
            <sz val="14"/>
            <color rgb="FF000000"/>
            <rFont val="Times New Roman"/>
            <family val="18"/>
          </rPr>
          <t xml:space="preserve">29/07/1800 </t>
        </r>
        <r>
          <rPr>
            <i/>
            <sz val="14"/>
            <color rgb="FF000000"/>
            <rFont val="Times New Roman"/>
            <family val="18"/>
          </rPr>
          <t>Krank auswärts mit Friedensgebühr</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05/08/1800 </t>
        </r>
        <r>
          <rPr>
            <i/>
            <sz val="14"/>
            <color rgb="FF000000"/>
            <rFont val="Times New Roman"/>
            <family val="18"/>
          </rPr>
          <t>Rekonvalesziert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10/08/1800 </t>
        </r>
        <r>
          <rPr>
            <i/>
            <sz val="14"/>
            <color rgb="FF000000"/>
            <rFont val="Times New Roman"/>
            <family val="18"/>
          </rPr>
          <t>Krank auswärts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Rekonvalesziert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Basta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Dietrich Comp zum IR 44 transferiert und zur Avignonesi Komp. eingeheilt </t>
        </r>
        <r>
          <rPr>
            <sz val="14"/>
            <color rgb="FF000000"/>
            <rFont val="Times New Roman"/>
            <family val="18"/>
          </rPr>
          <t>[TL Juli 1802]</t>
        </r>
        <r>
          <rPr>
            <sz val="14"/>
            <color rgb="FF000000"/>
            <rFont val="Calibri"/>
            <family val="34"/>
          </rPr>
          <t xml:space="preserve">
</t>
        </r>
        <r>
          <rPr>
            <sz val="14"/>
            <color rgb="FF000000"/>
            <rFont val="Times New Roman"/>
            <family val="18"/>
          </rPr>
          <t>19/09/1803 Muster: IR 44 Haupt Avignonesi Nr. 95 [</t>
        </r>
        <r>
          <rPr>
            <i/>
            <sz val="14"/>
            <color rgb="FF000000"/>
            <rFont val="Times New Roman"/>
            <family val="18"/>
          </rPr>
          <t>Auf Cordon’s commando zu Lonigo</t>
        </r>
        <r>
          <rPr>
            <sz val="14"/>
            <color rgb="FF000000"/>
            <rFont val="Times New Roman"/>
            <family val="18"/>
          </rPr>
          <t xml:space="preserve"> </t>
        </r>
        <r>
          <rPr>
            <b/>
            <sz val="14"/>
            <color rgb="FF000000"/>
            <rFont val="Times New Roman"/>
            <family val="18"/>
          </rPr>
          <t>[</t>
        </r>
        <r>
          <rPr>
            <b/>
            <u/>
            <sz val="14"/>
            <color rgb="FF0563C1"/>
            <rFont val="Times New Roman"/>
            <family val="18"/>
          </rPr>
          <t>Lonigo, Italy</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12/05/1804 Muster: IR 44 Haupt Avignonesi Nr. 90 [</t>
        </r>
        <r>
          <rPr>
            <i/>
            <sz val="14"/>
            <color rgb="FF000000"/>
            <rFont val="Times New Roman"/>
            <family val="18"/>
          </rPr>
          <t>Commandiert zu Lanigo</t>
        </r>
        <r>
          <rPr>
            <sz val="14"/>
            <color rgb="FF000000"/>
            <rFont val="Times New Roman"/>
            <family val="18"/>
          </rPr>
          <t>]</t>
        </r>
        <r>
          <rPr>
            <sz val="14"/>
            <color rgb="FF000000"/>
            <rFont val="Calibri"/>
            <family val="34"/>
          </rPr>
          <t xml:space="preserve">
</t>
        </r>
        <r>
          <rPr>
            <sz val="14"/>
            <color rgb="FF000000"/>
            <rFont val="Times New Roman"/>
            <family val="18"/>
          </rPr>
          <t>10/12/1806 Muster: IR 44 Haupt Menze Komp. Nr. 49</t>
        </r>
        <r>
          <rPr>
            <sz val="14"/>
            <color rgb="FF000000"/>
            <rFont val="Calibri"/>
            <family val="34"/>
          </rPr>
          <t xml:space="preserve">
</t>
        </r>
        <r>
          <rPr>
            <sz val="14"/>
            <color rgb="FF000000"/>
            <rFont val="Times New Roman"/>
            <family val="18"/>
          </rPr>
          <t xml:space="preserve">16/02/1807 </t>
        </r>
        <r>
          <rPr>
            <i/>
            <sz val="14"/>
            <color rgb="FF000000"/>
            <rFont val="Times New Roman"/>
            <family val="18"/>
          </rPr>
          <t>In Regiment Spital zu Fiume gestorben</t>
        </r>
        <r>
          <rPr>
            <sz val="14"/>
            <color rgb="FF000000"/>
            <rFont val="Times New Roman"/>
            <family val="18"/>
          </rPr>
          <t xml:space="preserve"> [ML 1808]</t>
        </r>
        <r>
          <rPr>
            <sz val="14"/>
            <color rgb="FF000000"/>
            <rFont val="Calibri"/>
            <family val="34"/>
          </rPr>
          <t xml:space="preserve">
</t>
        </r>
      </text>
    </comment>
    <comment ref="BG286" authorId="0" shapeId="0" xr:uid="{1C5E2A62-4E3E-3440-BCC4-C9FE1E6E74F7}">
      <text>
        <r>
          <rPr>
            <sz val="14"/>
            <color rgb="FF000000"/>
            <rFont val="Times New Roman"/>
            <family val="18"/>
          </rPr>
          <t>ML 10.309 IR 43 (1800) – ST Juli (24/10/1803), Aug (27/12/1803), Sept (31/01/1804),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Nr 95 (Venice 19/09/1803)</t>
        </r>
        <r>
          <rPr>
            <sz val="14"/>
            <color rgb="FF000000"/>
            <rFont val="Calibri"/>
            <family val="34"/>
          </rPr>
          <t xml:space="preserve">
</t>
        </r>
        <r>
          <rPr>
            <sz val="14"/>
            <color rgb="FF000000"/>
            <rFont val="Times New Roman"/>
            <family val="18"/>
          </rPr>
          <t>ML 3909 IR 44 (1804) – Haupt Avignonesi Komp. Nr 90 (Venice 12/05/1804)</t>
        </r>
        <r>
          <rPr>
            <sz val="14"/>
            <color rgb="FF000000"/>
            <rFont val="Calibri"/>
            <family val="34"/>
          </rPr>
          <t xml:space="preserve">
</t>
        </r>
        <r>
          <rPr>
            <sz val="14"/>
            <color rgb="FF000000"/>
            <rFont val="Times New Roman"/>
            <family val="18"/>
          </rPr>
          <t>ML 3910 IR 44 (1806) – Haupt Menze Komp. Nr. 48 (Fiume 10/12/1806)</t>
        </r>
        <r>
          <rPr>
            <sz val="14"/>
            <color rgb="FF000000"/>
            <rFont val="Calibri"/>
            <family val="34"/>
          </rPr>
          <t xml:space="preserve">
</t>
        </r>
        <r>
          <rPr>
            <sz val="14"/>
            <color rgb="FF000000"/>
            <rFont val="Times New Roman"/>
            <family val="18"/>
          </rPr>
          <t>ML 3911 IR 44 (1808) – RL CaptLt. Menze [15. Fus.] Komp. Abgang (Sambor 19/09/1808)</t>
        </r>
        <r>
          <rPr>
            <sz val="14"/>
            <color rgb="FF000000"/>
            <rFont val="Calibri"/>
            <family val="34"/>
          </rPr>
          <t xml:space="preserve">
</t>
        </r>
        <r>
          <rPr>
            <sz val="14"/>
            <color rgb="FF000000"/>
            <rFont val="Times New Roman"/>
            <family val="18"/>
          </rPr>
          <t>ML 3946 IR 44 (1802) – AL IR 43-&gt; IR 43 Nr. 87 (Zara 27/07/1802)</t>
        </r>
        <r>
          <rPr>
            <sz val="14"/>
            <color rgb="FF000000"/>
            <rFont val="Calibri"/>
            <family val="34"/>
          </rPr>
          <t xml:space="preserve">
</t>
        </r>
      </text>
    </comment>
    <comment ref="BH286" authorId="0" shapeId="0" xr:uid="{61C50E6E-7514-DE49-B8CE-80BD81355A12}">
      <text>
        <r>
          <rPr>
            <sz val="14"/>
            <color rgb="FF000000"/>
            <rFont val="Calibri"/>
            <family val="34"/>
          </rPr>
          <t xml:space="preserve">IR 43 (1799-1802)
</t>
        </r>
        <r>
          <rPr>
            <sz val="14"/>
            <color rgb="FF000000"/>
            <rFont val="Calibri"/>
            <family val="34"/>
          </rPr>
          <t>IR 44 (1802-1807)</t>
        </r>
      </text>
    </comment>
    <comment ref="BI286" authorId="0" shapeId="0" xr:uid="{999BAA4D-1412-6146-B176-4FC93D5AAFA6}">
      <text>
        <r>
          <rPr>
            <sz val="14"/>
            <color rgb="FF000000"/>
            <rFont val="Calibri"/>
            <family val="34"/>
          </rPr>
          <t>Gut [TL Juli 1802]</t>
        </r>
      </text>
    </comment>
    <comment ref="BF287" authorId="0" shapeId="0" xr:uid="{B88E2321-D459-5D49-9768-8FE8A2C91583}">
      <text>
        <r>
          <rPr>
            <sz val="14"/>
            <color rgb="FF000000"/>
            <rFont val="Times New Roman"/>
            <family val="18"/>
          </rPr>
          <t xml:space="preserve">27/08/1799 </t>
        </r>
        <r>
          <rPr>
            <i/>
            <sz val="14"/>
            <color rgb="FF000000"/>
            <rFont val="Times New Roman"/>
            <family val="18"/>
          </rPr>
          <t>Zu Cracau in West Galizien a 3Fl Handgeld zum IR 23 Reserve Division assentiert und von euodem dato mit auswärtiger Verpflegung auf Anmarsch</t>
        </r>
        <r>
          <rPr>
            <sz val="14"/>
            <color rgb="FF000000"/>
            <rFont val="Times New Roman"/>
            <family val="18"/>
          </rPr>
          <t xml:space="preserve"> [ST Sept 1799]</t>
        </r>
        <r>
          <rPr>
            <sz val="14"/>
            <color rgb="FF000000"/>
            <rFont val="Calibri"/>
            <family val="34"/>
          </rPr>
          <t xml:space="preserve">
</t>
        </r>
        <r>
          <rPr>
            <sz val="14"/>
            <color rgb="FF000000"/>
            <rFont val="Times New Roman"/>
            <family val="18"/>
          </rPr>
          <t>31/10/1799 Ankunft in Reserve Division [ST Oct 1799]</t>
        </r>
        <r>
          <rPr>
            <sz val="14"/>
            <color rgb="FF000000"/>
            <rFont val="Calibri"/>
            <family val="34"/>
          </rPr>
          <t xml:space="preserve">
</t>
        </r>
        <r>
          <rPr>
            <sz val="14"/>
            <color rgb="FF000000"/>
            <rFont val="Times New Roman"/>
            <family val="18"/>
          </rPr>
          <t xml:space="preserve">30/04/1801 </t>
        </r>
        <r>
          <rPr>
            <i/>
            <sz val="14"/>
            <color rgb="FF000000"/>
            <rFont val="Times New Roman"/>
            <family val="18"/>
          </rPr>
          <t>Zu Feldspital in Görz Gestorben</t>
        </r>
        <r>
          <rPr>
            <sz val="14"/>
            <color rgb="FF000000"/>
            <rFont val="Times New Roman"/>
            <family val="18"/>
          </rPr>
          <t xml:space="preserve"> [ML 1802]</t>
        </r>
        <r>
          <rPr>
            <sz val="14"/>
            <color rgb="FF000000"/>
            <rFont val="Calibri"/>
            <family val="34"/>
          </rPr>
          <t xml:space="preserve">
</t>
        </r>
      </text>
    </comment>
    <comment ref="BG287" authorId="0" shapeId="0" xr:uid="{E6C43B5F-68D7-9C49-8C29-19CA22BC7C9B}">
      <text>
        <r>
          <rPr>
            <sz val="14"/>
            <color rgb="FF000000"/>
            <rFont val="Times New Roman"/>
            <family val="18"/>
          </rPr>
          <t>ML 10.124 IR 23 (1802) – Haupt Böhm Komp. Nr.126 (Krems 09/09/1802)</t>
        </r>
        <r>
          <rPr>
            <sz val="14"/>
            <color rgb="FF000000"/>
            <rFont val="Calibri"/>
            <family val="34"/>
          </rPr>
          <t xml:space="preserve">
</t>
        </r>
        <r>
          <rPr>
            <sz val="14"/>
            <color rgb="FF000000"/>
            <rFont val="Times New Roman"/>
            <family val="18"/>
          </rPr>
          <t>ML 10.164 IR 23 (1802) – ST Sept (01/04/1801), Oct (06/04/1801)</t>
        </r>
        <r>
          <rPr>
            <sz val="14"/>
            <color rgb="FF000000"/>
            <rFont val="Calibri"/>
            <family val="34"/>
          </rPr>
          <t xml:space="preserve">
</t>
        </r>
      </text>
    </comment>
    <comment ref="BH287" authorId="0" shapeId="0" xr:uid="{6FBC61C8-B52D-4343-B43A-413EE00DDF15}">
      <text>
        <r>
          <rPr>
            <sz val="14"/>
            <color rgb="FF000000"/>
            <rFont val="Calibri"/>
            <family val="34"/>
          </rPr>
          <t>IR 23 (1799-1801)</t>
        </r>
      </text>
    </comment>
    <comment ref="BF288" authorId="0" shapeId="0" xr:uid="{25C8EE5D-B1A6-7841-84B8-2C5CE26CE0DA}">
      <text>
        <r>
          <rPr>
            <sz val="14"/>
            <color rgb="FF000000"/>
            <rFont val="Times New Roman"/>
            <family val="18"/>
          </rPr>
          <t xml:space="preserve">c. 10/1799 </t>
        </r>
        <r>
          <rPr>
            <i/>
            <sz val="14"/>
            <color rgb="FF000000"/>
            <rFont val="Times New Roman"/>
            <family val="18"/>
          </rPr>
          <t>als landständischer Recrout auf Kriegsdauer gestellt</t>
        </r>
        <r>
          <rPr>
            <sz val="14"/>
            <color rgb="FF000000"/>
            <rFont val="Times New Roman"/>
            <family val="18"/>
          </rPr>
          <t xml:space="preserve"> [TL Nov 1801]</t>
        </r>
        <r>
          <rPr>
            <sz val="14"/>
            <color rgb="FF000000"/>
            <rFont val="Calibri"/>
            <family val="34"/>
          </rPr>
          <t xml:space="preserve">
</t>
        </r>
        <r>
          <rPr>
            <sz val="14"/>
            <color rgb="FF000000"/>
            <rFont val="Times New Roman"/>
            <family val="18"/>
          </rPr>
          <t xml:space="preserve">??/??/???? </t>
        </r>
        <r>
          <rPr>
            <i/>
            <sz val="14"/>
            <color rgb="FF000000"/>
            <rFont val="Times New Roman"/>
            <family val="18"/>
          </rPr>
          <t xml:space="preserve">Beurlaubt </t>
        </r>
        <r>
          <rPr>
            <sz val="14"/>
            <color rgb="FF000000"/>
            <rFont val="Calibri"/>
            <family val="34"/>
          </rPr>
          <t xml:space="preserve">
</t>
        </r>
        <r>
          <rPr>
            <sz val="14"/>
            <color rgb="FF000000"/>
            <rFont val="Times New Roman"/>
            <family val="18"/>
          </rPr>
          <t xml:space="preserve">31/10/1801 </t>
        </r>
        <r>
          <rPr>
            <i/>
            <sz val="14"/>
            <color rgb="FF000000"/>
            <rFont val="Times New Roman"/>
            <family val="18"/>
          </rPr>
          <t xml:space="preserve">Von Dissolvierte LB 10 ‘Greth’ Haupt von Drouin Komp. zum IR 39 2. Major Komp. transferiert </t>
        </r>
        <r>
          <rPr>
            <sz val="14"/>
            <color rgb="FF000000"/>
            <rFont val="Times New Roman"/>
            <family val="18"/>
          </rPr>
          <t>[TL Nov 1801 &amp; ST Nov 1801]</t>
        </r>
        <r>
          <rPr>
            <sz val="14"/>
            <color rgb="FF000000"/>
            <rFont val="Calibri"/>
            <family val="34"/>
          </rPr>
          <t xml:space="preserve">
</t>
        </r>
        <r>
          <rPr>
            <sz val="14"/>
            <color rgb="FF000000"/>
            <rFont val="Times New Roman"/>
            <family val="18"/>
          </rPr>
          <t xml:space="preserve">05/01/1802 </t>
        </r>
        <r>
          <rPr>
            <i/>
            <sz val="14"/>
            <color rgb="FF000000"/>
            <rFont val="Times New Roman"/>
            <family val="18"/>
          </rPr>
          <t>Vermog hohe Verordnung detto Padua 23/12/1801 als auf die Kriegsdauer gestellte von Urlaub mit Abschied ohne entgeltlich entlassen [</t>
        </r>
        <r>
          <rPr>
            <sz val="14"/>
            <color rgb="FF000000"/>
            <rFont val="Times New Roman"/>
            <family val="18"/>
          </rPr>
          <t>ST Jan 1802]</t>
        </r>
        <r>
          <rPr>
            <sz val="14"/>
            <color rgb="FF000000"/>
            <rFont val="Calibri"/>
            <family val="34"/>
          </rPr>
          <t xml:space="preserve">
</t>
        </r>
      </text>
    </comment>
    <comment ref="BG288" authorId="0" shapeId="0" xr:uid="{1DE06F7D-1DED-BF42-B396-51A310EEBD7B}">
      <text>
        <r>
          <rPr>
            <sz val="14"/>
            <color rgb="FF000000"/>
            <rFont val="Times New Roman"/>
            <family val="18"/>
          </rPr>
          <t>ML 3542 IR 39 (1800-1) – TL LB 10-&gt; IR 39 Nr. 47 (Cividale, 01/11/1801); ST Nov 1801 (Padua 19/12/1801)</t>
        </r>
        <r>
          <rPr>
            <sz val="14"/>
            <color rgb="FF000000"/>
            <rFont val="Calibri"/>
            <family val="34"/>
          </rPr>
          <t xml:space="preserve">
</t>
        </r>
        <r>
          <rPr>
            <sz val="14"/>
            <color rgb="FF000000"/>
            <rFont val="Times New Roman"/>
            <family val="18"/>
          </rPr>
          <t>ML 3543 IR 39 (1802) – ST Jan 1802 (13/02/1802)</t>
        </r>
        <r>
          <rPr>
            <sz val="14"/>
            <color rgb="FF000000"/>
            <rFont val="Calibri"/>
            <family val="34"/>
          </rPr>
          <t xml:space="preserve">
</t>
        </r>
      </text>
    </comment>
    <comment ref="BH288" authorId="0" shapeId="0" xr:uid="{E73C5BAB-E028-664F-AFB4-2925C7AF9EE7}">
      <text>
        <r>
          <rPr>
            <sz val="14"/>
            <color rgb="FF000000"/>
            <rFont val="Calibri"/>
            <family val="34"/>
          </rPr>
          <t xml:space="preserve">LB 10 (1799-1801)
</t>
        </r>
        <r>
          <rPr>
            <sz val="14"/>
            <color rgb="FF000000"/>
            <rFont val="Calibri"/>
            <family val="34"/>
          </rPr>
          <t>IR 39 (1801-1802)</t>
        </r>
      </text>
    </comment>
    <comment ref="T289" authorId="0" shapeId="0" xr:uid="{7808EC3E-8098-E14E-A4B6-D0CE6992DE0F}">
      <text>
        <r>
          <rPr>
            <sz val="14"/>
            <color rgb="FF000000"/>
            <rFont val="Calibri"/>
            <family val="34"/>
          </rPr>
          <t xml:space="preserve">5.4.1 [(168.74 (ML 1803)]
</t>
        </r>
        <r>
          <rPr>
            <sz val="14"/>
            <color rgb="FF000000"/>
            <rFont val="Calibri"/>
            <family val="34"/>
          </rPr>
          <t>5.1 [160.63 cm (ML 1804)]</t>
        </r>
      </text>
    </comment>
    <comment ref="BF289" authorId="0" shapeId="0" xr:uid="{81B47B72-4BAC-9840-9D95-36106AA29F69}">
      <text>
        <r>
          <rPr>
            <sz val="14"/>
            <color rgb="FF000000"/>
            <rFont val="Times New Roman"/>
            <family val="18"/>
          </rPr>
          <t xml:space="preserve">11/10/1799 </t>
        </r>
        <r>
          <rPr>
            <i/>
            <sz val="14"/>
            <color rgb="FF000000"/>
            <rFont val="Times New Roman"/>
            <family val="18"/>
          </rPr>
          <t>Zu Konskie a 3Fl 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07/04/1800 </t>
        </r>
        <r>
          <rPr>
            <i/>
            <sz val="14"/>
            <color rgb="FF000000"/>
            <rFont val="Times New Roman"/>
            <family val="18"/>
          </rPr>
          <t xml:space="preserve">Bey </t>
        </r>
        <r>
          <rPr>
            <b/>
            <i/>
            <sz val="14"/>
            <color rgb="FF000000"/>
            <rFont val="Times New Roman"/>
            <family val="18"/>
          </rPr>
          <t xml:space="preserve">Genua </t>
        </r>
        <r>
          <rPr>
            <i/>
            <sz val="14"/>
            <color rgb="FF000000"/>
            <rFont val="Times New Roman"/>
            <family val="18"/>
          </rPr>
          <t>gefangen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20/08/1800 </t>
        </r>
        <r>
          <rPr>
            <i/>
            <sz val="14"/>
            <color rgb="FF000000"/>
            <rFont val="Times New Roman"/>
            <family val="18"/>
          </rPr>
          <t>Rancioniert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Seit in seinem Geburtort beurlaubt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Jordis Nr. 52 [</t>
        </r>
        <r>
          <rPr>
            <i/>
            <sz val="14"/>
            <color rgb="FF000000"/>
            <rFont val="Times New Roman"/>
            <family val="18"/>
          </rPr>
          <t>Beurlaubt in seinem Geburtort in Gallizien</t>
        </r>
        <r>
          <rPr>
            <sz val="14"/>
            <color rgb="FF000000"/>
            <rFont val="Times New Roman"/>
            <family val="18"/>
          </rPr>
          <t>]</t>
        </r>
        <r>
          <rPr>
            <sz val="14"/>
            <color rgb="FF000000"/>
            <rFont val="Calibri"/>
            <family val="34"/>
          </rPr>
          <t xml:space="preserve">
</t>
        </r>
        <r>
          <rPr>
            <sz val="14"/>
            <color rgb="FF000000"/>
            <rFont val="Times New Roman"/>
            <family val="18"/>
          </rPr>
          <t>03/09/1804 Muster: IR 59 Haupt Jordis Nr. 48 [</t>
        </r>
        <r>
          <rPr>
            <i/>
            <sz val="14"/>
            <color rgb="FF000000"/>
            <rFont val="Times New Roman"/>
            <family val="18"/>
          </rPr>
          <t>Beurlaubt in Wodislaw ort und Herrschaft in Krakau Kreis,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289" authorId="0" shapeId="0" xr:uid="{E8BC398D-096A-E745-923C-67B8194A23EA}">
      <text>
        <r>
          <rPr>
            <sz val="14"/>
            <color rgb="FF000000"/>
            <rFont val="Times New Roman"/>
            <family val="18"/>
          </rPr>
          <t>ML 5015 IR 59 ‘Jordis’ (1803) –Haupt. Jordis Komp. Nr. 52 (Enns 29/08/1803)</t>
        </r>
        <r>
          <rPr>
            <sz val="14"/>
            <color rgb="FF000000"/>
            <rFont val="Calibri"/>
            <family val="34"/>
          </rPr>
          <t xml:space="preserve">
</t>
        </r>
        <r>
          <rPr>
            <sz val="14"/>
            <color rgb="FF000000"/>
            <rFont val="Times New Roman"/>
            <family val="18"/>
          </rPr>
          <t>ML 5015 IR 59 ‘Jordis’ (1804) –Haupt. Jordis Komp. Nr. 48 (Innsbruck 03/09/1804)</t>
        </r>
        <r>
          <rPr>
            <sz val="14"/>
            <color rgb="FF000000"/>
            <rFont val="Calibri"/>
            <family val="34"/>
          </rPr>
          <t xml:space="preserve">
</t>
        </r>
        <r>
          <rPr>
            <sz val="14"/>
            <color rgb="FF000000"/>
            <rFont val="Times New Roman"/>
            <family val="18"/>
          </rPr>
          <t>ML 5017/8 IR 59 ‚Jordis (1806) – Heft ‚Unwissend verlohren‘ Nr. 168 (Linz 10/07/1807)</t>
        </r>
        <r>
          <rPr>
            <sz val="14"/>
            <color rgb="FF000000"/>
            <rFont val="Calibri"/>
            <family val="34"/>
          </rPr>
          <t xml:space="preserve">
</t>
        </r>
      </text>
    </comment>
    <comment ref="BH289" authorId="0" shapeId="0" xr:uid="{890996F6-9989-324A-9921-F85BC886C43B}">
      <text>
        <r>
          <rPr>
            <sz val="14"/>
            <color rgb="FF000000"/>
            <rFont val="Calibri"/>
            <family val="34"/>
          </rPr>
          <t>IR 59 (1799-1806)</t>
        </r>
      </text>
    </comment>
    <comment ref="CR289" authorId="0" shapeId="0" xr:uid="{5E3216E9-E265-4D4A-9FD0-056E4E0625E7}">
      <text>
        <r>
          <rPr>
            <sz val="14"/>
            <color rgb="FF000000"/>
            <rFont val="Calibri"/>
            <family val="34"/>
          </rPr>
          <t>1803: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1804-6: Katolisch </t>
        </r>
      </text>
    </comment>
    <comment ref="C290" authorId="0" shapeId="0" xr:uid="{593B31C8-94B4-8B47-9A29-7121642029CF}">
      <text>
        <r>
          <rPr>
            <sz val="12"/>
            <color rgb="FF000000"/>
            <rFont val="+mn-lt"/>
            <charset val="1"/>
          </rPr>
          <t xml:space="preserve">Von </t>
        </r>
        <r>
          <rPr>
            <b/>
            <u/>
            <sz val="12"/>
            <color rgb="FF0563C1"/>
            <rFont val="Times New Roman"/>
            <family val="18"/>
          </rPr>
          <t>Berlin, Germany</t>
        </r>
        <r>
          <rPr>
            <sz val="12"/>
            <color rgb="FF000000"/>
            <rFont val="Calibri"/>
            <family val="2"/>
            <scheme val="minor"/>
          </rPr>
          <t xml:space="preserve"> in Preussen </t>
        </r>
        <r>
          <rPr>
            <sz val="12"/>
            <color rgb="FF000000"/>
            <rFont val="+mn-lt"/>
            <charset val="1"/>
          </rPr>
          <t xml:space="preserve">geburtig
</t>
        </r>
        <r>
          <rPr>
            <sz val="12"/>
            <color rgb="FF000000"/>
            <rFont val="+mn-lt"/>
            <charset val="1"/>
          </rPr>
          <t xml:space="preserve">In </t>
        </r>
        <r>
          <rPr>
            <i/>
            <sz val="12"/>
            <color rgb="FF000000"/>
            <rFont val="+mn-lt"/>
            <charset val="1"/>
          </rPr>
          <t>Krzekowiz</t>
        </r>
        <r>
          <rPr>
            <sz val="12"/>
            <color rgb="FF000000"/>
            <rFont val="+mn-lt"/>
            <charset val="1"/>
          </rPr>
          <t xml:space="preserve"> </t>
        </r>
        <r>
          <rPr>
            <b/>
            <sz val="12"/>
            <color rgb="FF000000"/>
            <rFont val="+mn-lt"/>
            <charset val="1"/>
          </rPr>
          <t>[</t>
        </r>
        <r>
          <rPr>
            <b/>
            <u/>
            <sz val="12"/>
            <color rgb="FF0563C1"/>
            <rFont val="+mn-lt"/>
            <charset val="1"/>
          </rPr>
          <t>Krzeszowice, Poland</t>
        </r>
        <r>
          <rPr>
            <b/>
            <sz val="12"/>
            <color rgb="FF000000"/>
            <rFont val="+mn-lt"/>
            <charset val="1"/>
          </rPr>
          <t>]</t>
        </r>
        <r>
          <rPr>
            <sz val="12"/>
            <color rgb="FF000000"/>
            <rFont val="+mn-lt"/>
            <charset val="1"/>
          </rPr>
          <t xml:space="preserve">, Herrschaft </t>
        </r>
        <r>
          <rPr>
            <i/>
            <sz val="12"/>
            <color rgb="FF000000"/>
            <rFont val="+mn-lt"/>
            <charset val="1"/>
          </rPr>
          <t>Waiwoda</t>
        </r>
        <r>
          <rPr>
            <sz val="12"/>
            <color rgb="FF000000"/>
            <rFont val="+mn-lt"/>
            <charset val="1"/>
          </rPr>
          <t xml:space="preserve"> </t>
        </r>
        <r>
          <rPr>
            <b/>
            <sz val="12"/>
            <color rgb="FF000000"/>
            <rFont val="+mn-lt"/>
            <charset val="1"/>
          </rPr>
          <t>[?]</t>
        </r>
        <r>
          <rPr>
            <sz val="12"/>
            <color rgb="FF000000"/>
            <rFont val="+mn-lt"/>
            <charset val="1"/>
          </rPr>
          <t xml:space="preserve">, Kries Krakau, West Galizien ausgesiedelt/ </t>
        </r>
      </text>
    </comment>
    <comment ref="H290" authorId="0" shapeId="0" xr:uid="{80913DA7-ADEE-AF41-A57E-F0434010E364}">
      <text>
        <r>
          <rPr>
            <i/>
            <sz val="12"/>
            <color rgb="FF000000"/>
            <rFont val="+mn-lt"/>
            <charset val="1"/>
          </rPr>
          <t>Naturalisierter habsburgischer Untertan</t>
        </r>
      </text>
    </comment>
    <comment ref="BF290" authorId="0" shapeId="0" xr:uid="{559A2BE4-58E7-2D45-984D-5BD92A0B86E5}">
      <text>
        <r>
          <rPr>
            <sz val="14"/>
            <color rgb="FF000000"/>
            <rFont val="Times New Roman"/>
            <family val="18"/>
          </rPr>
          <t xml:space="preserve">17/10/1799 </t>
        </r>
        <r>
          <rPr>
            <i/>
            <sz val="14"/>
            <color rgb="FF000000"/>
            <rFont val="Times New Roman"/>
            <family val="18"/>
          </rPr>
          <t>Von den Gallizischen Stände a 3Fl gestellt und zu Konskie assentiert</t>
        </r>
        <r>
          <rPr>
            <sz val="14"/>
            <color rgb="FF000000"/>
            <rFont val="Times New Roman"/>
            <family val="18"/>
          </rPr>
          <t xml:space="preserve"> [ML 1803] </t>
        </r>
        <r>
          <rPr>
            <i/>
            <sz val="14"/>
            <color rgb="FF000000"/>
            <rFont val="Times New Roman"/>
            <family val="18"/>
          </rPr>
          <t>Hat das Decenium und wird folge als Inländer Betrachtet</t>
        </r>
        <r>
          <rPr>
            <sz val="14"/>
            <color rgb="FF000000"/>
            <rFont val="Times New Roman"/>
            <family val="18"/>
          </rPr>
          <t xml:space="preserve"> [ML 1804]</t>
        </r>
        <r>
          <rPr>
            <sz val="14"/>
            <color rgb="FF000000"/>
            <rFont val="Calibri"/>
            <family val="34"/>
          </rPr>
          <t xml:space="preserve">
</t>
        </r>
        <r>
          <rPr>
            <sz val="14"/>
            <color rgb="FFFF0000"/>
            <rFont val="Times New Roman"/>
            <family val="18"/>
          </rPr>
          <t xml:space="preserve">17/10/1799 </t>
        </r>
        <r>
          <rPr>
            <i/>
            <sz val="14"/>
            <color rgb="FFFF0000"/>
            <rFont val="Times New Roman"/>
            <family val="18"/>
          </rPr>
          <t>Zu Frankfurt assentiert</t>
        </r>
        <r>
          <rPr>
            <sz val="14"/>
            <color rgb="FFFF0000"/>
            <rFont val="Times New Roman"/>
            <family val="18"/>
          </rPr>
          <t xml:space="preserve"> [ML 1806]</t>
        </r>
        <r>
          <rPr>
            <sz val="14"/>
            <color rgb="FF000000"/>
            <rFont val="Calibri"/>
            <family val="34"/>
          </rPr>
          <t xml:space="preserve">
</t>
        </r>
        <r>
          <rPr>
            <sz val="14"/>
            <color rgb="FF000000"/>
            <rFont val="Times New Roman"/>
            <family val="18"/>
          </rPr>
          <t xml:space="preserve">Sept 1800 </t>
        </r>
        <r>
          <rPr>
            <i/>
            <sz val="14"/>
            <color rgb="FF000000"/>
            <rFont val="Times New Roman"/>
            <family val="18"/>
          </rPr>
          <t>Als Kranker zu florenz uberblieben und in die Kriegsgefangenschaft gerathen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May 1801 </t>
        </r>
        <r>
          <rPr>
            <i/>
            <sz val="14"/>
            <color rgb="FF000000"/>
            <rFont val="Times New Roman"/>
            <family val="18"/>
          </rPr>
          <t>wieder Zuruckgelegt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Seit zu Krzekowiz</t>
        </r>
        <r>
          <rPr>
            <sz val="14"/>
            <color rgb="FF000000"/>
            <rFont val="Times New Roman"/>
            <family val="18"/>
          </rPr>
          <t xml:space="preserve"> </t>
        </r>
        <r>
          <rPr>
            <b/>
            <sz val="14"/>
            <color rgb="FF000000"/>
            <rFont val="Times New Roman"/>
            <family val="18"/>
          </rPr>
          <t>[</t>
        </r>
        <r>
          <rPr>
            <b/>
            <u/>
            <sz val="14"/>
            <color rgb="FF0563C1"/>
            <rFont val="Times New Roman"/>
            <family val="18"/>
          </rPr>
          <t>Krzeszowice, Poland</t>
        </r>
        <r>
          <rPr>
            <b/>
            <sz val="14"/>
            <color rgb="FF000000"/>
            <rFont val="Times New Roman"/>
            <family val="18"/>
          </rPr>
          <t>]</t>
        </r>
        <r>
          <rPr>
            <i/>
            <sz val="14"/>
            <color rgb="FF000000"/>
            <rFont val="Times New Roman"/>
            <family val="18"/>
          </rPr>
          <t>, Herrschaft Waiwoda, Kreis Krakau, in West Galicia</t>
        </r>
        <r>
          <rPr>
            <sz val="14"/>
            <color rgb="FF000000"/>
            <rFont val="Times New Roman"/>
            <family val="18"/>
          </rPr>
          <t xml:space="preserve"> [Beurlaubt] [ML 1806]</t>
        </r>
        <r>
          <rPr>
            <sz val="14"/>
            <color rgb="FF000000"/>
            <rFont val="Calibri"/>
            <family val="34"/>
          </rPr>
          <t xml:space="preserve">
</t>
        </r>
        <r>
          <rPr>
            <sz val="14"/>
            <color rgb="FF000000"/>
            <rFont val="Times New Roman"/>
            <family val="18"/>
          </rPr>
          <t>29/08/1803 Muster: IR 59 Haupt Petrick Komp. Nr. 144 [</t>
        </r>
        <r>
          <rPr>
            <i/>
            <sz val="14"/>
            <color rgb="FF000000"/>
            <rFont val="Times New Roman"/>
            <family val="18"/>
          </rPr>
          <t>Beurlaubt bis zue Einberufung in Gallizien zu Gregowitz, Herrschaft Waiwoda, Krakau Kreis</t>
        </r>
        <r>
          <rPr>
            <sz val="14"/>
            <color rgb="FF000000"/>
            <rFont val="Times New Roman"/>
            <family val="18"/>
          </rPr>
          <t>]</t>
        </r>
        <r>
          <rPr>
            <sz val="14"/>
            <color rgb="FF000000"/>
            <rFont val="Calibri"/>
            <family val="34"/>
          </rPr>
          <t xml:space="preserve">
</t>
        </r>
        <r>
          <rPr>
            <sz val="14"/>
            <color rgb="FF000000"/>
            <rFont val="Times New Roman"/>
            <family val="18"/>
          </rPr>
          <t>03/09/1804 Muster: IR 59 Haupt Patrick Nr. 129 [</t>
        </r>
        <r>
          <rPr>
            <i/>
            <sz val="14"/>
            <color rgb="FF000000"/>
            <rFont val="Times New Roman"/>
            <family val="18"/>
          </rPr>
          <t>Beurlaubt bis einberufung in seinem Ausiedlungort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 </t>
        </r>
        <r>
          <rPr>
            <sz val="14"/>
            <color rgb="FF000000"/>
            <rFont val="Calibri"/>
            <family val="34"/>
          </rPr>
          <t xml:space="preserve">
</t>
        </r>
      </text>
    </comment>
    <comment ref="BG290" authorId="0" shapeId="0" xr:uid="{22E3B124-DA48-9245-8860-0174E444CED3}">
      <text>
        <r>
          <rPr>
            <sz val="14"/>
            <color rgb="FF000000"/>
            <rFont val="Times New Roman"/>
            <family val="18"/>
          </rPr>
          <t>ML 5015 IR 59 ‘Jordis’ (1803) – Haupt. Petrick Comp. nr. 144 (Enns 29/08/1803)</t>
        </r>
        <r>
          <rPr>
            <sz val="14"/>
            <color rgb="FF000000"/>
            <rFont val="Calibri"/>
            <family val="34"/>
          </rPr>
          <t xml:space="preserve">
</t>
        </r>
        <r>
          <rPr>
            <sz val="14"/>
            <color rgb="FF000000"/>
            <rFont val="Times New Roman"/>
            <family val="18"/>
          </rPr>
          <t>ML 5015 IR 59 ‘Jordis’ (1804) – Haupt. Petrick Comp nr. 129 (Innsbruck 03/09/1804)</t>
        </r>
        <r>
          <rPr>
            <sz val="14"/>
            <color rgb="FF000000"/>
            <rFont val="Calibri"/>
            <family val="34"/>
          </rPr>
          <t xml:space="preserve">
</t>
        </r>
        <r>
          <rPr>
            <sz val="14"/>
            <color rgb="FF000000"/>
            <rFont val="Times New Roman"/>
            <family val="18"/>
          </rPr>
          <t>ML 5017/8 IR 59 ‚Jordis (1806) – 4. Fus. Komp. Abgang (Florian 27/12/1806), Consc. Unwissend verlohren‘ Nr. 85 (Linz 10/07/1807)</t>
        </r>
        <r>
          <rPr>
            <sz val="14"/>
            <color rgb="FF000000"/>
            <rFont val="Calibri"/>
            <family val="34"/>
          </rPr>
          <t xml:space="preserve">
</t>
        </r>
      </text>
    </comment>
    <comment ref="BH290" authorId="0" shapeId="0" xr:uid="{1F918D91-77DD-374F-AE20-14F38FD65AC4}">
      <text>
        <r>
          <rPr>
            <sz val="14"/>
            <color rgb="FF000000"/>
            <rFont val="Calibri"/>
            <family val="34"/>
          </rPr>
          <t>IR 59 (1799-1806)</t>
        </r>
      </text>
    </comment>
    <comment ref="BF291" authorId="0" shapeId="0" xr:uid="{6BDBF90B-0BCC-424D-83E6-FF678DAC52C9}">
      <text>
        <r>
          <rPr>
            <sz val="14"/>
            <color rgb="FF000000"/>
            <rFont val="Times New Roman"/>
            <family val="18"/>
          </rPr>
          <t xml:space="preserve">21/10/1799 </t>
        </r>
        <r>
          <rPr>
            <i/>
            <sz val="14"/>
            <color rgb="FF000000"/>
            <rFont val="Times New Roman"/>
            <family val="18"/>
          </rPr>
          <t>Von Ständen</t>
        </r>
        <r>
          <rPr>
            <sz val="14"/>
            <color rgb="FF000000"/>
            <rFont val="Times New Roman"/>
            <family val="18"/>
          </rPr>
          <t xml:space="preserve"> [auf 10 Jahren] </t>
        </r>
        <r>
          <rPr>
            <i/>
            <sz val="14"/>
            <color rgb="FF000000"/>
            <rFont val="Times New Roman"/>
            <family val="18"/>
          </rPr>
          <t>Gestellt</t>
        </r>
        <r>
          <rPr>
            <sz val="14"/>
            <color rgb="FF000000"/>
            <rFont val="Times New Roman"/>
            <family val="18"/>
          </rPr>
          <t xml:space="preserve"> [ML 1803 &amp; ML 1804]</t>
        </r>
        <r>
          <rPr>
            <sz val="14"/>
            <color rgb="FF000000"/>
            <rFont val="Calibri"/>
            <family val="34"/>
          </rPr>
          <t xml:space="preserve">
</t>
        </r>
        <r>
          <rPr>
            <sz val="14"/>
            <color rgb="FF000000"/>
            <rFont val="Times New Roman"/>
            <family val="18"/>
          </rPr>
          <t xml:space="preserve">01/06/1802 </t>
        </r>
        <r>
          <rPr>
            <i/>
            <sz val="14"/>
            <color rgb="FF000000"/>
            <rFont val="Times New Roman"/>
            <family val="18"/>
          </rPr>
          <t>zum Privat Diener Muttiert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ObristLt Comp. Nr. 96</t>
        </r>
        <r>
          <rPr>
            <sz val="14"/>
            <color rgb="FF000000"/>
            <rFont val="Calibri"/>
            <family val="34"/>
          </rPr>
          <t xml:space="preserve">
</t>
        </r>
        <r>
          <rPr>
            <sz val="14"/>
            <color rgb="FF000000"/>
            <rFont val="Times New Roman"/>
            <family val="18"/>
          </rPr>
          <t xml:space="preserve">21/10/1803 </t>
        </r>
        <r>
          <rPr>
            <i/>
            <sz val="14"/>
            <color rgb="FF000000"/>
            <rFont val="Times New Roman"/>
            <family val="18"/>
          </rPr>
          <t>Wieder zum Gemeiner übersetzt</t>
        </r>
        <r>
          <rPr>
            <sz val="14"/>
            <color rgb="FF000000"/>
            <rFont val="Times New Roman"/>
            <family val="18"/>
          </rPr>
          <t xml:space="preserve"> [ML 1804]</t>
        </r>
        <r>
          <rPr>
            <sz val="14"/>
            <color rgb="FF000000"/>
            <rFont val="Calibri"/>
            <family val="34"/>
          </rPr>
          <t xml:space="preserve">
</t>
        </r>
        <r>
          <rPr>
            <sz val="14"/>
            <color rgb="FF000000"/>
            <rFont val="Times New Roman"/>
            <family val="18"/>
          </rPr>
          <t>19/09/1804 Muster: ObristLt Komp. Nr. 80</t>
        </r>
        <r>
          <rPr>
            <sz val="14"/>
            <color rgb="FF000000"/>
            <rFont val="Calibri"/>
            <family val="34"/>
          </rPr>
          <t xml:space="preserve">
</t>
        </r>
        <r>
          <rPr>
            <sz val="14"/>
            <color rgb="FF000000"/>
            <rFont val="Times New Roman"/>
            <family val="18"/>
          </rPr>
          <t xml:space="preserve">01/08/1808 </t>
        </r>
        <r>
          <rPr>
            <i/>
            <sz val="14"/>
            <color rgb="FF000000"/>
            <rFont val="Times New Roman"/>
            <family val="18"/>
          </rPr>
          <t>von 6. Fus (Haupt Jarovsky) zum 13. Fus Comp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05/09/1808 Revision: IR 30 13. Fus Komp. Nr. 194 [</t>
        </r>
        <r>
          <rPr>
            <i/>
            <sz val="14"/>
            <color rgb="FF000000"/>
            <rFont val="Times New Roman"/>
            <family val="18"/>
          </rPr>
          <t>Commandiert in Spital</t>
        </r>
        <r>
          <rPr>
            <sz val="14"/>
            <color rgb="FF000000"/>
            <rFont val="Times New Roman"/>
            <family val="18"/>
          </rPr>
          <t>]</t>
        </r>
        <r>
          <rPr>
            <sz val="14"/>
            <color rgb="FF000000"/>
            <rFont val="Calibri"/>
            <family val="34"/>
          </rPr>
          <t xml:space="preserve">
</t>
        </r>
        <r>
          <rPr>
            <sz val="14"/>
            <color rgb="FF000000"/>
            <rFont val="Times New Roman"/>
            <family val="18"/>
          </rPr>
          <t>01/10/1810 Revision: IR 30 1. Fus Komp. Nr. 159 [</t>
        </r>
        <r>
          <rPr>
            <i/>
            <sz val="14"/>
            <color rgb="FF000000"/>
            <rFont val="Times New Roman"/>
            <family val="18"/>
          </rPr>
          <t>Beim Staab zugeheilt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10/08/1811 </t>
        </r>
        <r>
          <rPr>
            <i/>
            <sz val="14"/>
            <color rgb="FF000000"/>
            <rFont val="Times New Roman"/>
            <family val="18"/>
          </rPr>
          <t>zu Folge hohe hofkriegsratliche Verordnung von 20/07/1811 als Ausgedienter Veteran von 1. Fus Comp mit Abschied entlassen</t>
        </r>
        <r>
          <rPr>
            <sz val="14"/>
            <color rgb="FF000000"/>
            <rFont val="Times New Roman"/>
            <family val="18"/>
          </rPr>
          <t xml:space="preserve"> [ML 1811]</t>
        </r>
        <r>
          <rPr>
            <sz val="14"/>
            <color rgb="FF000000"/>
            <rFont val="Calibri"/>
            <family val="34"/>
          </rPr>
          <t xml:space="preserve">
</t>
        </r>
      </text>
    </comment>
    <comment ref="BG291" authorId="0" shapeId="0" xr:uid="{AFF89243-5F14-9045-A633-41FCFF193D74}">
      <text>
        <r>
          <rPr>
            <sz val="14"/>
            <color rgb="FF000000"/>
            <rFont val="Times New Roman"/>
            <family val="18"/>
          </rPr>
          <t>ML 2630 IR 30 (1803) – ObristLt Komp. Nr. 96 (Lemberg 18/08/1803)</t>
        </r>
        <r>
          <rPr>
            <sz val="14"/>
            <color rgb="FF000000"/>
            <rFont val="Calibri"/>
            <family val="34"/>
          </rPr>
          <t xml:space="preserve">
</t>
        </r>
        <r>
          <rPr>
            <sz val="14"/>
            <color rgb="FF000000"/>
            <rFont val="Times New Roman"/>
            <family val="18"/>
          </rPr>
          <t>ML 2631 IR 30 (1804) – ObristLt Komp. Nr. 80 (Lemberg 19/09/1804)</t>
        </r>
        <r>
          <rPr>
            <sz val="14"/>
            <color rgb="FF000000"/>
            <rFont val="Calibri"/>
            <family val="34"/>
          </rPr>
          <t xml:space="preserve">
</t>
        </r>
        <r>
          <rPr>
            <sz val="14"/>
            <color rgb="FF000000"/>
            <rFont val="Times New Roman"/>
            <family val="18"/>
          </rPr>
          <t>ML 2632 IR 30 (1808) – RL 13. Fus. Komp. Nr. 194 (Lemberg 05/09/1808); RL 1. Fus. Komp. Nr. 159 (Stry 01/10/1810)</t>
        </r>
        <r>
          <rPr>
            <sz val="14"/>
            <color rgb="FF000000"/>
            <rFont val="Calibri"/>
            <family val="34"/>
          </rPr>
          <t xml:space="preserve">
</t>
        </r>
        <r>
          <rPr>
            <sz val="14"/>
            <color rgb="FF000000"/>
            <rFont val="Times New Roman"/>
            <family val="18"/>
          </rPr>
          <t>ML 2633 IR 30 (1811) – 1. Fus. Komp. – Abgang (Stanislau 21/09/1811)</t>
        </r>
        <r>
          <rPr>
            <sz val="14"/>
            <color rgb="FF000000"/>
            <rFont val="Calibri"/>
            <family val="34"/>
          </rPr>
          <t xml:space="preserve">
</t>
        </r>
      </text>
    </comment>
    <comment ref="BH291" authorId="0" shapeId="0" xr:uid="{12EB10A4-CCB2-4A44-839E-82A0D7501DAA}">
      <text>
        <r>
          <rPr>
            <sz val="14"/>
            <color rgb="FF000000"/>
            <rFont val="Calibri"/>
            <family val="34"/>
          </rPr>
          <t>IR 30 (1799-1811)</t>
        </r>
      </text>
    </comment>
    <comment ref="BF292" authorId="0" shapeId="0" xr:uid="{EDF86354-80E4-2B4B-AE40-B109C321645D}">
      <text>
        <r>
          <rPr>
            <sz val="14"/>
            <color rgb="FF000000"/>
            <rFont val="Times New Roman"/>
            <family val="18"/>
          </rPr>
          <t xml:space="preserve">30/10/1799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Drohn Komp. Nr. 63 [</t>
        </r>
        <r>
          <rPr>
            <i/>
            <sz val="14"/>
            <color rgb="FF000000"/>
            <rFont val="Times New Roman"/>
            <family val="18"/>
          </rPr>
          <t>Beurlaubt zu Krakau</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59 [</t>
        </r>
        <r>
          <rPr>
            <i/>
            <sz val="14"/>
            <color rgb="FF000000"/>
            <rFont val="Times New Roman"/>
            <family val="18"/>
          </rPr>
          <t>Kommandiert auf Mappierung</t>
        </r>
        <r>
          <rPr>
            <sz val="14"/>
            <color rgb="FF000000"/>
            <rFont val="Times New Roman"/>
            <family val="18"/>
          </rPr>
          <t>]</t>
        </r>
        <r>
          <rPr>
            <sz val="14"/>
            <color rgb="FF000000"/>
            <rFont val="Calibri"/>
            <family val="34"/>
          </rPr>
          <t xml:space="preserve">
</t>
        </r>
        <r>
          <rPr>
            <sz val="14"/>
            <color rgb="FF000000"/>
            <rFont val="Times New Roman"/>
            <family val="18"/>
          </rPr>
          <t xml:space="preserve">20/04/1805 </t>
        </r>
        <r>
          <rPr>
            <i/>
            <sz val="14"/>
            <color rgb="FF000000"/>
            <rFont val="Times New Roman"/>
            <family val="18"/>
          </rPr>
          <t>Von Picquet zu Patowill desertiert</t>
        </r>
        <r>
          <rPr>
            <sz val="14"/>
            <color rgb="FF000000"/>
            <rFont val="Times New Roman"/>
            <family val="18"/>
          </rPr>
          <t xml:space="preserve"> [ML 1806] </t>
        </r>
      </text>
    </comment>
    <comment ref="BG292" authorId="0" shapeId="0" xr:uid="{A6962EBE-84D1-D144-AEB6-7C5DAD98E972}">
      <text>
        <r>
          <rPr>
            <sz val="14"/>
            <color rgb="FF000000"/>
            <rFont val="Times New Roman"/>
            <family val="18"/>
          </rPr>
          <t>ML 5015 IR 59 (1803) – Haupt. Drohn Komp. Nr. 63 (Wells 30/08/1803)</t>
        </r>
        <r>
          <rPr>
            <sz val="14"/>
            <color rgb="FF000000"/>
            <rFont val="Calibri"/>
            <family val="34"/>
          </rPr>
          <t xml:space="preserve">
</t>
        </r>
        <r>
          <rPr>
            <sz val="14"/>
            <color rgb="FF000000"/>
            <rFont val="Times New Roman"/>
            <family val="18"/>
          </rPr>
          <t>ML 5016 IR 59 (1804) – Haupt. Drohn Komp. Nr. 59 (Wells 05/09/1804)</t>
        </r>
        <r>
          <rPr>
            <sz val="14"/>
            <color rgb="FF000000"/>
            <rFont val="Calibri"/>
            <family val="34"/>
          </rPr>
          <t xml:space="preserve">
</t>
        </r>
        <r>
          <rPr>
            <sz val="14"/>
            <color rgb="FF000000"/>
            <rFont val="Times New Roman"/>
            <family val="18"/>
          </rPr>
          <t>ML 5017/8 IR 59 (1806) – 16. Fus. Komp. Abgang (Freistadt 22/12/1806)</t>
        </r>
        <r>
          <rPr>
            <sz val="14"/>
            <color rgb="FF000000"/>
            <rFont val="Calibri"/>
            <family val="34"/>
          </rPr>
          <t xml:space="preserve">
</t>
        </r>
      </text>
    </comment>
    <comment ref="BH292" authorId="0" shapeId="0" xr:uid="{084DEB68-4C00-B544-BAAA-84A8A71B0E4E}">
      <text>
        <r>
          <rPr>
            <sz val="14"/>
            <color rgb="FF000000"/>
            <rFont val="Calibri"/>
            <family val="34"/>
          </rPr>
          <t>IR 59 (1799-1805)</t>
        </r>
      </text>
    </comment>
    <comment ref="BF293" authorId="0" shapeId="0" xr:uid="{FEB78DEA-4F91-F243-8B71-C5334885996B}">
      <text>
        <r>
          <rPr>
            <sz val="14"/>
            <color rgb="FF000000"/>
            <rFont val="Times New Roman"/>
            <family val="18"/>
          </rPr>
          <t xml:space="preserve">01/11/1799 [Seit mindestens] </t>
        </r>
        <r>
          <rPr>
            <i/>
            <sz val="14"/>
            <color rgb="FF000000"/>
            <rFont val="Times New Roman"/>
            <family val="18"/>
          </rPr>
          <t>Dient bei der IR 43 Proviant Bespannung</t>
        </r>
        <r>
          <rPr>
            <sz val="14"/>
            <color rgb="FF000000"/>
            <rFont val="Calibri"/>
            <family val="34"/>
          </rPr>
          <t xml:space="preserve">
</t>
        </r>
        <r>
          <rPr>
            <sz val="14"/>
            <color rgb="FF000000"/>
            <rFont val="Times New Roman"/>
            <family val="18"/>
          </rPr>
          <t xml:space="preserve">20/05/1801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r>
          <rPr>
            <sz val="14"/>
            <color rgb="FF000000"/>
            <rFont val="Calibri"/>
            <family val="34"/>
          </rPr>
          <t xml:space="preserve">
</t>
        </r>
      </text>
    </comment>
    <comment ref="BG293" authorId="0" shapeId="0" xr:uid="{E100191E-0E1D-1342-B6CF-1727E82E182C}">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293" authorId="0" shapeId="0" xr:uid="{11D10048-1B0F-7648-97A4-295363B22F42}">
      <text>
        <r>
          <rPr>
            <sz val="14"/>
            <color rgb="FF000000"/>
            <rFont val="Calibri"/>
            <family val="34"/>
          </rPr>
          <t>MFWK (1799-1801)</t>
        </r>
      </text>
    </comment>
    <comment ref="BF294" authorId="0" shapeId="0" xr:uid="{854C86B6-E392-7E46-9DF9-6A9AB2D63E5B}">
      <text>
        <r>
          <rPr>
            <sz val="14"/>
            <color rgb="FF000000"/>
            <rFont val="Times New Roman"/>
            <family val="18"/>
          </rPr>
          <t xml:space="preserve">01/11/1799 [Seit mindestens] </t>
        </r>
        <r>
          <rPr>
            <i/>
            <sz val="14"/>
            <color rgb="FF000000"/>
            <rFont val="Times New Roman"/>
            <family val="18"/>
          </rPr>
          <t>Dient bei der IR 43 Proviant Bespannung</t>
        </r>
        <r>
          <rPr>
            <sz val="14"/>
            <color rgb="FF000000"/>
            <rFont val="Calibri"/>
            <family val="34"/>
          </rPr>
          <t xml:space="preserve">
</t>
        </r>
        <r>
          <rPr>
            <sz val="14"/>
            <color rgb="FF000000"/>
            <rFont val="Times New Roman"/>
            <family val="18"/>
          </rPr>
          <t xml:space="preserve">10/05/1801 </t>
        </r>
        <r>
          <rPr>
            <i/>
            <sz val="14"/>
            <color rgb="FF000000"/>
            <rFont val="Times New Roman"/>
            <family val="18"/>
          </rPr>
          <t>Von IR 43 Regiment proviant bespannung zum 40. Fuhrwesen transport division trasnferiert</t>
        </r>
        <r>
          <rPr>
            <sz val="14"/>
            <color rgb="FF000000"/>
            <rFont val="Times New Roman"/>
            <family val="18"/>
          </rPr>
          <t xml:space="preserve"> [ST May 1801]</t>
        </r>
        <r>
          <rPr>
            <sz val="14"/>
            <color rgb="FF000000"/>
            <rFont val="Calibri"/>
            <family val="34"/>
          </rPr>
          <t xml:space="preserve">
</t>
        </r>
      </text>
    </comment>
    <comment ref="BG294" authorId="0" shapeId="0" xr:uid="{1C643CB0-2083-E34B-9DA3-13DEA057627B}">
      <text>
        <r>
          <rPr>
            <sz val="14"/>
            <color rgb="FF000000"/>
            <rFont val="Times New Roman"/>
            <family val="18"/>
          </rPr>
          <t>ML 10.307 IR 43 (1799) – ST Nov (12/10/1800)</t>
        </r>
        <r>
          <rPr>
            <sz val="14"/>
            <color rgb="FF000000"/>
            <rFont val="Calibri"/>
            <family val="34"/>
          </rPr>
          <t xml:space="preserve">
</t>
        </r>
        <r>
          <rPr>
            <sz val="14"/>
            <color rgb="FF000000"/>
            <rFont val="Times New Roman"/>
            <family val="18"/>
          </rPr>
          <t>ML 10.311 IR 43 (1801) – Mai (10/03/1805)</t>
        </r>
        <r>
          <rPr>
            <sz val="14"/>
            <color rgb="FF000000"/>
            <rFont val="Calibri"/>
            <family val="34"/>
          </rPr>
          <t xml:space="preserve">
</t>
        </r>
      </text>
    </comment>
    <comment ref="BH294" authorId="0" shapeId="0" xr:uid="{A63934B5-0715-624F-8B13-86E213B83A94}">
      <text>
        <r>
          <rPr>
            <sz val="14"/>
            <color rgb="FF000000"/>
            <rFont val="Calibri"/>
            <family val="34"/>
          </rPr>
          <t>MFWK (1799-1801)</t>
        </r>
      </text>
    </comment>
    <comment ref="BF296" authorId="0" shapeId="0" xr:uid="{D53C01C0-521F-AD4D-9B9F-1BFEC2CDB3FA}">
      <text>
        <r>
          <rPr>
            <sz val="14"/>
            <color rgb="FF000000"/>
            <rFont val="Times New Roman"/>
            <family val="18"/>
          </rPr>
          <t xml:space="preserve">01/11/1799 </t>
        </r>
        <r>
          <rPr>
            <i/>
            <sz val="14"/>
            <color rgb="FF000000"/>
            <rFont val="Times New Roman"/>
            <family val="18"/>
          </rPr>
          <t xml:space="preserve">Zu Siedlice gegen 3Fl von Ständen gestellt </t>
        </r>
        <r>
          <rPr>
            <sz val="14"/>
            <color rgb="FF000000"/>
            <rFont val="Times New Roman"/>
            <family val="18"/>
          </rPr>
          <t>[ML 1804]</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Setlinger Nr. 57 [</t>
        </r>
        <r>
          <rPr>
            <i/>
            <sz val="14"/>
            <color rgb="FF000000"/>
            <rFont val="Times New Roman"/>
            <family val="18"/>
          </rPr>
          <t>Beuralubt in Galizien in seinem Geburtsort</t>
        </r>
        <r>
          <rPr>
            <sz val="14"/>
            <color rgb="FF000000"/>
            <rFont val="Times New Roman"/>
            <family val="18"/>
          </rPr>
          <t>] [ML 1803]</t>
        </r>
        <r>
          <rPr>
            <sz val="14"/>
            <color rgb="FF000000"/>
            <rFont val="Calibri"/>
            <family val="34"/>
          </rPr>
          <t xml:space="preserve">
</t>
        </r>
        <r>
          <rPr>
            <sz val="14"/>
            <color rgb="FF000000"/>
            <rFont val="Times New Roman"/>
            <family val="18"/>
          </rPr>
          <t>03/09/1804 Muster: IR 59 Haupt Setlinger Komp. Nr. 129 [</t>
        </r>
        <r>
          <rPr>
            <i/>
            <sz val="14"/>
            <color rgb="FF000000"/>
            <rFont val="Times New Roman"/>
            <family val="18"/>
          </rPr>
          <t>Beurlaubt bis zur Einberufung is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 </t>
        </r>
        <r>
          <rPr>
            <sz val="14"/>
            <color rgb="FF000000"/>
            <rFont val="Calibri"/>
            <family val="34"/>
          </rPr>
          <t xml:space="preserve">
</t>
        </r>
      </text>
    </comment>
    <comment ref="BG296" authorId="0" shapeId="0" xr:uid="{B034E430-982B-9941-AC08-21B080C811BC}">
      <text>
        <r>
          <rPr>
            <sz val="14"/>
            <color rgb="FF000000"/>
            <rFont val="Times New Roman"/>
            <family val="18"/>
          </rPr>
          <t>ML 5015 IR 59 (1803) – Haupt. Setlinger Komp. Nr. 62 (Enns 29/08/1803)</t>
        </r>
        <r>
          <rPr>
            <sz val="14"/>
            <color rgb="FF000000"/>
            <rFont val="Calibri"/>
            <family val="34"/>
          </rPr>
          <t xml:space="preserve">
</t>
        </r>
        <r>
          <rPr>
            <sz val="14"/>
            <color rgb="FF000000"/>
            <rFont val="Times New Roman"/>
            <family val="18"/>
          </rPr>
          <t>ML 5015 IR 59 (1804) – Haupt. Setlinger Komp. Nr. 57 (Innsbruck 03/09/1804)</t>
        </r>
        <r>
          <rPr>
            <sz val="14"/>
            <color rgb="FF000000"/>
            <rFont val="Calibri"/>
            <family val="34"/>
          </rPr>
          <t xml:space="preserve">
</t>
        </r>
        <r>
          <rPr>
            <sz val="14"/>
            <color rgb="FF000000"/>
            <rFont val="Times New Roman"/>
            <family val="18"/>
          </rPr>
          <t>ML 5017/8 IR 59 (1806) –5. Fus. Komp. Abgang (Linz 20/12/1806) &amp; Cons. Unwissend verlohren‘ Nr. 100 (Linz 10/07/1807)</t>
        </r>
        <r>
          <rPr>
            <sz val="14"/>
            <color rgb="FF000000"/>
            <rFont val="Calibri"/>
            <family val="34"/>
          </rPr>
          <t xml:space="preserve">
</t>
        </r>
      </text>
    </comment>
    <comment ref="BH296" authorId="0" shapeId="0" xr:uid="{BC878166-FC38-DF43-8858-561531C9F344}">
      <text>
        <r>
          <rPr>
            <sz val="14"/>
            <color rgb="FF000000"/>
            <rFont val="Calibri"/>
            <family val="34"/>
          </rPr>
          <t>IR 59 (1799-1806)</t>
        </r>
      </text>
    </comment>
    <comment ref="CR296" authorId="0" shapeId="0" xr:uid="{BC6DD24B-90D3-5A4E-84F5-FA98BFD7664A}">
      <text>
        <r>
          <rPr>
            <sz val="14"/>
            <color rgb="FF000000"/>
            <rFont val="Calibri"/>
            <family val="34"/>
          </rPr>
          <t>1803/6: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 Katolisch 'detto' </t>
        </r>
      </text>
    </comment>
    <comment ref="BF297" authorId="0" shapeId="0" xr:uid="{76628E3F-F1E2-B541-AE8D-93446DB8B047}">
      <text>
        <r>
          <rPr>
            <sz val="14"/>
            <color rgb="FF000000"/>
            <rFont val="Times New Roman"/>
            <family val="18"/>
          </rPr>
          <t xml:space="preserve">16/11/1799 </t>
        </r>
        <r>
          <rPr>
            <i/>
            <sz val="14"/>
            <color rgb="FF000000"/>
            <rFont val="Times New Roman"/>
            <family val="18"/>
          </rPr>
          <t>Zu Reus Blauen Infant. Assentiert</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[TL March 1810]</t>
        </r>
        <r>
          <rPr>
            <sz val="14"/>
            <color rgb="FF000000"/>
            <rFont val="Calibri"/>
            <family val="34"/>
          </rPr>
          <t xml:space="preserve">
</t>
        </r>
        <r>
          <rPr>
            <sz val="14"/>
            <color rgb="FF000000"/>
            <rFont val="Times New Roman"/>
            <family val="18"/>
          </rPr>
          <t xml:space="preserve">01/09/1805 </t>
        </r>
        <r>
          <rPr>
            <i/>
            <sz val="14"/>
            <color rgb="FF000000"/>
            <rFont val="Times New Roman"/>
            <family val="18"/>
          </rPr>
          <t>Zum Gefreyter avanciert</t>
        </r>
        <r>
          <rPr>
            <sz val="14"/>
            <color rgb="FF000000"/>
            <rFont val="Times New Roman"/>
            <family val="18"/>
          </rPr>
          <t xml:space="preserve"> [TL March 1810]</t>
        </r>
        <r>
          <rPr>
            <sz val="14"/>
            <color rgb="FF000000"/>
            <rFont val="Calibri"/>
            <family val="34"/>
          </rPr>
          <t xml:space="preserve">
</t>
        </r>
        <r>
          <rPr>
            <sz val="14"/>
            <color rgb="FF000000"/>
            <rFont val="Times New Roman"/>
            <family val="18"/>
          </rPr>
          <t xml:space="preserve">11/03/1809 </t>
        </r>
        <r>
          <rPr>
            <i/>
            <sz val="14"/>
            <color rgb="FF000000"/>
            <rFont val="Times New Roman"/>
            <family val="18"/>
          </rPr>
          <t xml:space="preserve">Von Reuss Plauen Inf  </t>
        </r>
        <r>
          <rPr>
            <b/>
            <sz val="14"/>
            <color rgb="FF000000"/>
            <rFont val="Times New Roman"/>
            <family val="18"/>
          </rPr>
          <t xml:space="preserve">[IR 17] </t>
        </r>
        <r>
          <rPr>
            <i/>
            <sz val="14"/>
            <color rgb="FF000000"/>
            <rFont val="Times New Roman"/>
            <family val="18"/>
          </rPr>
          <t>zum EH Carl Legion 4. Bataillon transferiert</t>
        </r>
        <r>
          <rPr>
            <sz val="14"/>
            <color rgb="FF000000"/>
            <rFont val="Times New Roman"/>
            <family val="18"/>
          </rPr>
          <t xml:space="preserve"> [ST March 1809 &amp; TL March 1810]</t>
        </r>
        <r>
          <rPr>
            <sz val="14"/>
            <color rgb="FF000000"/>
            <rFont val="Calibri"/>
            <family val="34"/>
          </rPr>
          <t xml:space="preserve">
</t>
        </r>
        <r>
          <rPr>
            <sz val="14"/>
            <color rgb="FF000000"/>
            <rFont val="Times New Roman"/>
            <family val="18"/>
          </rPr>
          <t xml:space="preserve">11/06/1809 </t>
        </r>
        <r>
          <rPr>
            <i/>
            <sz val="14"/>
            <color rgb="FF000000"/>
            <rFont val="Times New Roman"/>
            <family val="18"/>
          </rPr>
          <t>Zum Corporal avanciert</t>
        </r>
        <r>
          <rPr>
            <sz val="14"/>
            <color rgb="FF000000"/>
            <rFont val="Times New Roman"/>
            <family val="18"/>
          </rPr>
          <t xml:space="preserve"> [ST June 1809 &amp; TL March 1810]</t>
        </r>
        <r>
          <rPr>
            <sz val="14"/>
            <color rgb="FF000000"/>
            <rFont val="Calibri"/>
            <family val="34"/>
          </rPr>
          <t xml:space="preserve">
</t>
        </r>
        <r>
          <rPr>
            <sz val="14"/>
            <color rgb="FF000000"/>
            <rFont val="Times New Roman"/>
            <family val="18"/>
          </rPr>
          <t xml:space="preserve">25/01/1810 </t>
        </r>
        <r>
          <rPr>
            <i/>
            <sz val="14"/>
            <color rgb="FF000000"/>
            <rFont val="Times New Roman"/>
            <family val="18"/>
          </rPr>
          <t>Von EH Carl Legion 4. Bataillon zum IR 17 ‚Reus Plauen‘ transferiert</t>
        </r>
        <r>
          <rPr>
            <sz val="14"/>
            <color rgb="FF000000"/>
            <rFont val="Times New Roman"/>
            <family val="18"/>
          </rPr>
          <t xml:space="preserve"> [TL March 1810 &amp; ST Jan 1810]</t>
        </r>
      </text>
    </comment>
    <comment ref="BG297" authorId="0" shapeId="0" xr:uid="{D5CF910C-0FD1-664C-B98C-4A0CB3BC5140}">
      <text>
        <r>
          <rPr>
            <sz val="14"/>
            <color rgb="FF000000"/>
            <rFont val="Times New Roman"/>
            <family val="18"/>
          </rPr>
          <t>ML 10.818 Legion EH Carl 4. Bat. (1809-10) – TL Nr. 2 (Prague 17/03/1810); ST March 1809 (Prague 23/03/1810), June 1809 (Prague 28/06/1810), Jan 1810 (05/11/1810)</t>
        </r>
        <r>
          <rPr>
            <sz val="14"/>
            <color rgb="FF000000"/>
            <rFont val="Calibri"/>
            <family val="34"/>
          </rPr>
          <t xml:space="preserve">
</t>
        </r>
      </text>
    </comment>
    <comment ref="BH297" authorId="0" shapeId="0" xr:uid="{4B1B6DAA-AE01-D04A-B1CE-623FE5174343}">
      <text>
        <r>
          <rPr>
            <sz val="14"/>
            <color rgb="FF000000"/>
            <rFont val="Calibri"/>
            <family val="34"/>
          </rPr>
          <t xml:space="preserve">IR 17 (1799-1809)
</t>
        </r>
        <r>
          <rPr>
            <sz val="14"/>
            <color rgb="FF000000"/>
            <rFont val="Calibri"/>
            <family val="34"/>
          </rPr>
          <t xml:space="preserve">Legion EH Carl (1809-1810)
</t>
        </r>
        <r>
          <rPr>
            <sz val="14"/>
            <color rgb="FF000000"/>
            <rFont val="Calibri"/>
            <family val="34"/>
          </rPr>
          <t>IR 17 (1810)</t>
        </r>
      </text>
    </comment>
    <comment ref="BI297" authorId="0" shapeId="0" xr:uid="{F7CAC0C0-9D72-1940-87B6-F4E788D37415}">
      <text>
        <r>
          <rPr>
            <sz val="14"/>
            <color rgb="FF000000"/>
            <rFont val="Calibri"/>
            <family val="34"/>
          </rPr>
          <t>1810: Gut</t>
        </r>
      </text>
    </comment>
    <comment ref="BF298" authorId="0" shapeId="0" xr:uid="{9786D9FA-62DB-4944-88DF-6F748DCEEE3C}">
      <text>
        <r>
          <rPr>
            <sz val="14"/>
            <color rgb="FF000000"/>
            <rFont val="Times New Roman"/>
            <family val="18"/>
          </rPr>
          <t xml:space="preserve">17/11/1799 </t>
        </r>
        <r>
          <rPr>
            <i/>
            <sz val="14"/>
            <color rgb="FF000000"/>
            <rFont val="Times New Roman"/>
            <family val="18"/>
          </rPr>
          <t>A 10Fl Handgeld als Regiments-Recrout in IR 60 zu Trentsin angeworben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01/01/1800 </t>
        </r>
        <r>
          <rPr>
            <i/>
            <sz val="14"/>
            <color rgb="FF000000"/>
            <rFont val="Times New Roman"/>
            <family val="18"/>
          </rPr>
          <t>Von Reserve Division zum Haupt Dankey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Dankey Komp. Nr. 106 [</t>
        </r>
        <r>
          <rPr>
            <i/>
            <sz val="14"/>
            <color rgb="FF000000"/>
            <rFont val="Times New Roman"/>
            <family val="18"/>
          </rPr>
          <t>Krank in Szrael</t>
        </r>
        <r>
          <rPr>
            <sz val="14"/>
            <color rgb="FF000000"/>
            <rFont val="Times New Roman"/>
            <family val="18"/>
          </rPr>
          <t>]</t>
        </r>
        <r>
          <rPr>
            <sz val="14"/>
            <color rgb="FF000000"/>
            <rFont val="Calibri"/>
            <family val="34"/>
          </rPr>
          <t xml:space="preserve">
</t>
        </r>
        <r>
          <rPr>
            <sz val="14"/>
            <color rgb="FF000000"/>
            <rFont val="Times New Roman"/>
            <family val="18"/>
          </rPr>
          <t>16/09/1803 Musterung: IR 60 Haupt Dankey Komp. Nr. 90</t>
        </r>
        <r>
          <rPr>
            <sz val="14"/>
            <color rgb="FF000000"/>
            <rFont val="Calibri"/>
            <family val="34"/>
          </rPr>
          <t xml:space="preserve">
</t>
        </r>
        <r>
          <rPr>
            <sz val="14"/>
            <color rgb="FF000000"/>
            <rFont val="Times New Roman"/>
            <family val="18"/>
          </rPr>
          <t>28/06/1804 Musterung: IR 60 Haupt Dankey Komp. Nr. 83 [</t>
        </r>
        <r>
          <rPr>
            <i/>
            <sz val="14"/>
            <color rgb="FF000000"/>
            <rFont val="Times New Roman"/>
            <family val="18"/>
          </rPr>
          <t>Krank in Tamesvar</t>
        </r>
        <r>
          <rPr>
            <sz val="14"/>
            <color rgb="FF000000"/>
            <rFont val="Times New Roman"/>
            <family val="18"/>
          </rPr>
          <t>]</t>
        </r>
        <r>
          <rPr>
            <sz val="14"/>
            <color rgb="FF000000"/>
            <rFont val="Calibri"/>
            <family val="34"/>
          </rPr>
          <t xml:space="preserve">
</t>
        </r>
      </text>
    </comment>
    <comment ref="BG298" authorId="0" shapeId="0" xr:uid="{E05493A2-60C9-2F40-B48E-42CED373140F}">
      <text>
        <r>
          <rPr>
            <sz val="14"/>
            <color rgb="FF000000"/>
            <rFont val="Times New Roman"/>
            <family val="18"/>
          </rPr>
          <t>ML 5102-4 IR 60 (1802) –Haupt De La Morre Komp Nr. 103 (Petervardein 20/09/1802)</t>
        </r>
        <r>
          <rPr>
            <sz val="14"/>
            <color rgb="FF000000"/>
            <rFont val="Calibri"/>
            <family val="34"/>
          </rPr>
          <t xml:space="preserve">
</t>
        </r>
        <r>
          <rPr>
            <sz val="14"/>
            <color rgb="FF000000"/>
            <rFont val="Times New Roman"/>
            <family val="18"/>
          </rPr>
          <t>ML 5105 IR 60 (1803) – Haupt Dela Morre Komp. Nr. 87 (Tamesvar 15/09/1803)</t>
        </r>
        <r>
          <rPr>
            <sz val="14"/>
            <color rgb="FF000000"/>
            <rFont val="Calibri"/>
            <family val="34"/>
          </rPr>
          <t xml:space="preserve">
</t>
        </r>
        <r>
          <rPr>
            <sz val="14"/>
            <color rgb="FF000000"/>
            <rFont val="Times New Roman"/>
            <family val="18"/>
          </rPr>
          <t>ML 5106 IR 60 (1804) – Haupt Dela Morre Komp. Nr. 76 (1804)</t>
        </r>
        <r>
          <rPr>
            <sz val="14"/>
            <color rgb="FF000000"/>
            <rFont val="Calibri"/>
            <family val="34"/>
          </rPr>
          <t xml:space="preserve">
</t>
        </r>
      </text>
    </comment>
    <comment ref="BH298" authorId="0" shapeId="0" xr:uid="{A4A8E606-EC5B-B04B-B83D-5771FE47282E}">
      <text>
        <r>
          <rPr>
            <sz val="14"/>
            <color rgb="FF000000"/>
            <rFont val="Calibri"/>
            <family val="34"/>
          </rPr>
          <t>IR 60 (1799-1804)</t>
        </r>
      </text>
    </comment>
    <comment ref="BF299" authorId="0" shapeId="0" xr:uid="{5EBB6331-D732-BC48-84C5-3EC758870906}">
      <text>
        <r>
          <rPr>
            <sz val="14"/>
            <color rgb="FF000000"/>
            <rFont val="Times New Roman"/>
            <family val="18"/>
          </rPr>
          <t xml:space="preserve">04/12/1799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04/12/1799 [circa] </t>
        </r>
        <r>
          <rPr>
            <i/>
            <sz val="14"/>
            <color rgb="FF000000"/>
            <rFont val="Times New Roman"/>
            <family val="18"/>
          </rPr>
          <t xml:space="preserve">Gegen Stellung des Recroutes </t>
        </r>
        <r>
          <rPr>
            <i/>
            <sz val="14"/>
            <color rgb="FF000000"/>
            <rFont val="Times New Roman"/>
            <family val="18"/>
          </rPr>
          <t xml:space="preserve">Manner SZULMOVITZ </t>
        </r>
        <r>
          <rPr>
            <i/>
            <sz val="14"/>
            <color rgb="FF000000"/>
            <rFont val="Times New Roman"/>
            <family val="18"/>
          </rPr>
          <t xml:space="preserve">entlassen </t>
        </r>
        <r>
          <rPr>
            <sz val="14"/>
            <color rgb="FF000000"/>
            <rFont val="Times New Roman"/>
            <family val="18"/>
          </rPr>
          <t>[ML 1802]</t>
        </r>
        <r>
          <rPr>
            <sz val="14"/>
            <color rgb="FF000000"/>
            <rFont val="Calibri"/>
            <family val="34"/>
          </rPr>
          <t xml:space="preserve">
</t>
        </r>
      </text>
    </comment>
    <comment ref="BG299" authorId="0" shapeId="0" xr:uid="{45A2FD5A-B4F4-C045-B33D-3AA1D2436798}">
      <text>
        <r>
          <rPr>
            <sz val="14"/>
            <color rgb="FF000000"/>
            <rFont val="Times New Roman"/>
            <family val="18"/>
          </rPr>
          <t xml:space="preserve">ML 1937 IR 24 (1802) – Haupt Gebhard Komp. Abgang (Vienna 16/09/1802)
</t>
        </r>
      </text>
    </comment>
    <comment ref="BH299" authorId="0" shapeId="0" xr:uid="{71FDFD07-465C-B844-B159-0CB60DB4538F}">
      <text>
        <r>
          <rPr>
            <sz val="14"/>
            <color rgb="FF000000"/>
            <rFont val="Calibri"/>
            <family val="34"/>
          </rPr>
          <t>IR 24 (1799)</t>
        </r>
      </text>
    </comment>
    <comment ref="BF300" authorId="0" shapeId="0" xr:uid="{A0674695-1090-EA46-B7F7-4328D433DF10}">
      <text>
        <r>
          <rPr>
            <sz val="14"/>
            <color rgb="FF000000"/>
            <rFont val="Times New Roman"/>
            <family val="18"/>
          </rPr>
          <t xml:space="preserve">16/12/1799 </t>
        </r>
        <r>
          <rPr>
            <i/>
            <sz val="14"/>
            <color rgb="FF000000"/>
            <rFont val="Times New Roman"/>
            <family val="18"/>
          </rPr>
          <t>Dient seit ohne Capitulation</t>
        </r>
        <r>
          <rPr>
            <sz val="14"/>
            <color rgb="FF000000"/>
            <rFont val="Times New Roman"/>
            <family val="18"/>
          </rPr>
          <t xml:space="preserve"> [ML 1802]</t>
        </r>
        <r>
          <rPr>
            <sz val="14"/>
            <color rgb="FF000000"/>
            <rFont val="Calibri"/>
            <family val="34"/>
          </rPr>
          <t xml:space="preserve">
</t>
        </r>
        <r>
          <rPr>
            <sz val="14"/>
            <color rgb="FF000000"/>
            <rFont val="Times New Roman"/>
            <family val="18"/>
          </rPr>
          <t>04/09/1802 Muster: IR 41 Haupt Boob Komp. Nr. 89 [</t>
        </r>
        <r>
          <rPr>
            <i/>
            <sz val="14"/>
            <color rgb="FF000000"/>
            <rFont val="Times New Roman"/>
            <family val="18"/>
          </rPr>
          <t>Bestimmt Beurlaubt</t>
        </r>
        <r>
          <rPr>
            <sz val="14"/>
            <color rgb="FF000000"/>
            <rFont val="Times New Roman"/>
            <family val="18"/>
          </rPr>
          <t>]</t>
        </r>
        <r>
          <rPr>
            <sz val="14"/>
            <color rgb="FF000000"/>
            <rFont val="Calibri"/>
            <family val="34"/>
          </rPr>
          <t xml:space="preserve">
</t>
        </r>
        <r>
          <rPr>
            <sz val="14"/>
            <color rgb="FF000000"/>
            <rFont val="Times New Roman"/>
            <family val="18"/>
          </rPr>
          <t>01/10/1803 Muster: IR 41 Haupt Boob Komp. Nr. 76 [</t>
        </r>
        <r>
          <rPr>
            <i/>
            <sz val="14"/>
            <color rgb="FF000000"/>
            <rFont val="Times New Roman"/>
            <family val="18"/>
          </rPr>
          <t>Beurlaubt bis zur Einberufung zu Odonow,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30/11/1803 </t>
        </r>
        <r>
          <rPr>
            <i/>
            <sz val="14"/>
            <color rgb="FF000000"/>
            <rFont val="Times New Roman"/>
            <family val="18"/>
          </rPr>
          <t>Gegen Stellung eines Mannes mit Abshied entlassen</t>
        </r>
        <r>
          <rPr>
            <sz val="14"/>
            <color rgb="FF000000"/>
            <rFont val="Times New Roman"/>
            <family val="18"/>
          </rPr>
          <t xml:space="preserve"> [ML 1804]</t>
        </r>
        <r>
          <rPr>
            <sz val="14"/>
            <color rgb="FF000000"/>
            <rFont val="Calibri"/>
            <family val="34"/>
          </rPr>
          <t xml:space="preserve">
</t>
        </r>
      </text>
    </comment>
    <comment ref="BG300" authorId="0" shapeId="0" xr:uid="{D17E9C32-7A27-E24F-8DB8-35C5D4F3D062}">
      <text>
        <r>
          <rPr>
            <sz val="14"/>
            <color rgb="FF000000"/>
            <rFont val="Times New Roman"/>
            <family val="18"/>
          </rPr>
          <t>ML 3677 IR 41 Vacant ‘Bender’ (1802) – Haupt Boob Coy, Nr. 89 (Bregenz 04/09/1802)</t>
        </r>
        <r>
          <rPr>
            <sz val="14"/>
            <color rgb="FF000000"/>
            <rFont val="Calibri"/>
            <family val="34"/>
          </rPr>
          <t xml:space="preserve">
</t>
        </r>
        <r>
          <rPr>
            <sz val="14"/>
            <color rgb="FF000000"/>
            <rFont val="Times New Roman"/>
            <family val="18"/>
          </rPr>
          <t>ML 3678 IR 41 ‘Churprinz von Württemberg‘ (1803) – Haupt Boob Coy, Nr. 76 (Günzburg 01/10/1803)</t>
        </r>
        <r>
          <rPr>
            <sz val="14"/>
            <color rgb="FF000000"/>
            <rFont val="Calibri"/>
            <family val="34"/>
          </rPr>
          <t xml:space="preserve">
</t>
        </r>
        <r>
          <rPr>
            <sz val="14"/>
            <color rgb="FF000000"/>
            <rFont val="Times New Roman"/>
            <family val="18"/>
          </rPr>
          <t>ML 3679 IR 41 ‘Churprinz von Württemberg‘ (1804) – Haupt Boob Coy, Abgang 30/11/1803 (Günzburg 05/09/1804)</t>
        </r>
        <r>
          <rPr>
            <sz val="14"/>
            <color rgb="FF000000"/>
            <rFont val="Calibri"/>
            <family val="34"/>
          </rPr>
          <t xml:space="preserve">
</t>
        </r>
      </text>
    </comment>
    <comment ref="BH300" authorId="0" shapeId="0" xr:uid="{E9C8C3BC-85B3-AD4B-B0E6-67F600F55D10}">
      <text>
        <r>
          <rPr>
            <sz val="14"/>
            <color rgb="FF000000"/>
            <rFont val="Calibri"/>
            <family val="34"/>
          </rPr>
          <t>IR 41 (1799-1803)</t>
        </r>
      </text>
    </comment>
    <comment ref="BF301" authorId="0" shapeId="0" xr:uid="{90D1B5BB-C353-FD4D-88FC-A6C856A31E31}">
      <text>
        <r>
          <rPr>
            <sz val="14"/>
            <color rgb="FF000000"/>
            <rFont val="Times New Roman"/>
            <family val="18"/>
          </rPr>
          <t xml:space="preserve">17/12/1799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17/12/1799 [circa] </t>
        </r>
        <r>
          <rPr>
            <i/>
            <sz val="14"/>
            <color rgb="FF000000"/>
            <rFont val="Times New Roman"/>
            <family val="18"/>
          </rPr>
          <t xml:space="preserve">Gegen Stellung des Recroutes </t>
        </r>
        <r>
          <rPr>
            <i/>
            <sz val="14"/>
            <color rgb="FF000000"/>
            <rFont val="Times New Roman"/>
            <family val="18"/>
          </rPr>
          <t xml:space="preserve">Schmul MERK </t>
        </r>
        <r>
          <rPr>
            <i/>
            <sz val="14"/>
            <color rgb="FF000000"/>
            <rFont val="Times New Roman"/>
            <family val="18"/>
          </rPr>
          <t>entlassen</t>
        </r>
        <r>
          <rPr>
            <sz val="14"/>
            <color rgb="FF000000"/>
            <rFont val="Times New Roman"/>
            <family val="18"/>
          </rPr>
          <t xml:space="preserve"> [ML 1802]</t>
        </r>
        <r>
          <rPr>
            <sz val="14"/>
            <color rgb="FF000000"/>
            <rFont val="Calibri"/>
            <family val="34"/>
          </rPr>
          <t xml:space="preserve">
</t>
        </r>
      </text>
    </comment>
    <comment ref="BG301" authorId="0" shapeId="0" xr:uid="{A1690855-9002-AB45-9966-FC7A36F94948}">
      <text>
        <r>
          <rPr>
            <sz val="14"/>
            <color rgb="FF000000"/>
            <rFont val="Times New Roman"/>
            <family val="18"/>
          </rPr>
          <t xml:space="preserve">ML 1937 IR 24 (1802) – Haupt Gebhard Komp. Abgang (Vienna 16/09/1802)
</t>
        </r>
      </text>
    </comment>
    <comment ref="BH301" authorId="0" shapeId="0" xr:uid="{F32CA850-C33A-8B4F-B4E3-6CA3A454997C}">
      <text>
        <r>
          <rPr>
            <sz val="14"/>
            <color rgb="FF000000"/>
            <rFont val="Calibri"/>
            <family val="34"/>
          </rPr>
          <t>IR 24 (1799)</t>
        </r>
      </text>
    </comment>
    <comment ref="BF302" authorId="0" shapeId="0" xr:uid="{FF13B751-1E5E-9842-8199-76D7E6C8E670}">
      <text>
        <r>
          <rPr>
            <sz val="14"/>
            <color rgb="FF000000"/>
            <rFont val="Times New Roman"/>
            <family val="18"/>
          </rPr>
          <t xml:space="preserve">01/02/1800 </t>
        </r>
        <r>
          <rPr>
            <i/>
            <sz val="14"/>
            <color rgb="FF000000"/>
            <rFont val="Times New Roman"/>
            <family val="18"/>
          </rPr>
          <t>Auf die Kriegsdauer zu Szillawa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11/05/1800 </t>
        </r>
        <r>
          <rPr>
            <i/>
            <sz val="14"/>
            <color rgb="FF000000"/>
            <rFont val="Times New Roman"/>
            <family val="18"/>
          </rPr>
          <t>Von Reserve Division ins Haupt De la Morre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de La Morre Komp. Nr. 103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15/09/1803 Musterung: IR 60 Haupt de La Morre Komp. Nr. 87</t>
        </r>
        <r>
          <rPr>
            <sz val="14"/>
            <color rgb="FF000000"/>
            <rFont val="Calibri"/>
            <family val="34"/>
          </rPr>
          <t xml:space="preserve">
</t>
        </r>
        <r>
          <rPr>
            <sz val="14"/>
            <color rgb="FF000000"/>
            <rFont val="Times New Roman"/>
            <family val="18"/>
          </rPr>
          <t>1804 Musterung: IR 60 Haupt de La Morre Jomp. Nr. 76 [</t>
        </r>
        <r>
          <rPr>
            <i/>
            <sz val="14"/>
            <color rgb="FF000000"/>
            <rFont val="Times New Roman"/>
            <family val="18"/>
          </rPr>
          <t>Kommandiert zu Oravitza</t>
        </r>
        <r>
          <rPr>
            <sz val="14"/>
            <color rgb="FF000000"/>
            <rFont val="Times New Roman"/>
            <family val="18"/>
          </rPr>
          <t>]</t>
        </r>
        <r>
          <rPr>
            <sz val="14"/>
            <color rgb="FF000000"/>
            <rFont val="Calibri"/>
            <family val="34"/>
          </rPr>
          <t xml:space="preserve">
</t>
        </r>
      </text>
    </comment>
    <comment ref="BG302" authorId="0" shapeId="0" xr:uid="{48BF8FB2-F40B-F74F-A4EC-0DB3E80B01B4}">
      <text>
        <r>
          <rPr>
            <sz val="14"/>
            <color rgb="FF000000"/>
            <rFont val="Times New Roman"/>
            <family val="18"/>
          </rPr>
          <t>ML 5102-4 IR 60 (1802) – Heft von Reserve Division Zuwachs &amp; Abgang (Tamesvar 15/09/1802), Heft von Haupt Dankey Komp Nr. 106 (Tamesvar 15/09/1802)</t>
        </r>
        <r>
          <rPr>
            <sz val="14"/>
            <color rgb="FF000000"/>
            <rFont val="Calibri"/>
            <family val="34"/>
          </rPr>
          <t xml:space="preserve">
</t>
        </r>
        <r>
          <rPr>
            <sz val="14"/>
            <color rgb="FF000000"/>
            <rFont val="Times New Roman"/>
            <family val="18"/>
          </rPr>
          <t>ML 5105 IR 60 (1803) – Haupt Daneky Komp. Nr. 90 (Arad 16/09/1803)</t>
        </r>
        <r>
          <rPr>
            <sz val="14"/>
            <color rgb="FF000000"/>
            <rFont val="Calibri"/>
            <family val="34"/>
          </rPr>
          <t xml:space="preserve">
</t>
        </r>
        <r>
          <rPr>
            <sz val="14"/>
            <color rgb="FF000000"/>
            <rFont val="Times New Roman"/>
            <family val="18"/>
          </rPr>
          <t>ML 5106 IR 60 (1804) – Haupt Dankey Komp/ Nr. 83 (Tamesvar 28/06/1804)</t>
        </r>
        <r>
          <rPr>
            <sz val="14"/>
            <color rgb="FF000000"/>
            <rFont val="Calibri"/>
            <family val="34"/>
          </rPr>
          <t xml:space="preserve">
</t>
        </r>
      </text>
    </comment>
    <comment ref="BH302" authorId="0" shapeId="0" xr:uid="{D814DF75-284E-7749-AA7B-6716AD514A7D}">
      <text>
        <r>
          <rPr>
            <sz val="14"/>
            <color rgb="FF000000"/>
            <rFont val="Calibri"/>
            <family val="34"/>
          </rPr>
          <t>IR 60 (1800-1804)</t>
        </r>
      </text>
    </comment>
    <comment ref="BF303" authorId="0" shapeId="0" xr:uid="{A97AA242-53D5-BB4A-B1A9-D79ACD579C2E}">
      <text>
        <r>
          <rPr>
            <sz val="14"/>
            <color rgb="FF000000"/>
            <rFont val="Times New Roman"/>
            <family val="18"/>
          </rPr>
          <t xml:space="preserve">06/02/1800 </t>
        </r>
        <r>
          <rPr>
            <i/>
            <sz val="14"/>
            <color rgb="FF000000"/>
            <rFont val="Times New Roman"/>
            <family val="18"/>
          </rPr>
          <t>statt den 15/08/1799 mit Laufpass entlassenen Jude Herschel Jetzkowicz von Lande a 3Fl Handgeld gestellt und in IR 27 Assentiert</t>
        </r>
        <r>
          <rPr>
            <sz val="14"/>
            <color rgb="FF000000"/>
            <rFont val="Times New Roman"/>
            <family val="18"/>
          </rPr>
          <t xml:space="preserve"> </t>
        </r>
        <r>
          <rPr>
            <sz val="14"/>
            <color rgb="FF000000"/>
            <rFont val="Times New Roman"/>
            <family val="18"/>
          </rPr>
          <t>[AL 1800]</t>
        </r>
        <r>
          <rPr>
            <sz val="14"/>
            <color rgb="FF000000"/>
            <rFont val="Times New Roman"/>
            <family val="18"/>
          </rPr>
          <t xml:space="preserve">
</t>
        </r>
        <r>
          <rPr>
            <sz val="14"/>
            <color rgb="FF000000"/>
            <rFont val="Times New Roman"/>
            <family val="18"/>
          </rPr>
          <t xml:space="preserve">16/06/1801 </t>
        </r>
        <r>
          <rPr>
            <i/>
            <sz val="14"/>
            <color rgb="FF000000"/>
            <rFont val="Times New Roman"/>
            <family val="18"/>
          </rPr>
          <t>von Haupt Gruber zum ObristLt. Comp. transferiert</t>
        </r>
        <r>
          <rPr>
            <sz val="14"/>
            <color rgb="FF000000"/>
            <rFont val="Times New Roman"/>
            <family val="18"/>
          </rPr>
          <t xml:space="preserve"> [ML 1802]</t>
        </r>
        <r>
          <rPr>
            <sz val="14"/>
            <color rgb="FF000000"/>
            <rFont val="Times New Roman"/>
            <family val="18"/>
          </rPr>
          <t xml:space="preserve">
</t>
        </r>
        <r>
          <rPr>
            <sz val="14"/>
            <color rgb="FF000000"/>
            <rFont val="Times New Roman"/>
            <family val="18"/>
          </rPr>
          <t xml:space="preserve">23/07/1802 </t>
        </r>
        <r>
          <rPr>
            <i/>
            <sz val="14"/>
            <color rgb="FF000000"/>
            <rFont val="Times New Roman"/>
            <family val="18"/>
          </rPr>
          <t>Bei dem Einsturz einer Mauer zu Ehrenhaußen nachgeschlagen</t>
        </r>
        <r>
          <rPr>
            <sz val="14"/>
            <color rgb="FF000000"/>
            <rFont val="Times New Roman"/>
            <family val="18"/>
          </rPr>
          <t xml:space="preserve"> [1802]</t>
        </r>
      </text>
    </comment>
    <comment ref="BG303" authorId="0" shapeId="0" xr:uid="{68D20E52-1984-BD46-821D-14AD132EBB51}">
      <text>
        <r>
          <rPr>
            <sz val="14"/>
            <color rgb="FF000000"/>
            <rFont val="Times New Roman"/>
            <family val="18"/>
          </rPr>
          <t>ML 2258 IR 27 (1802) – ObristLt Komp. Abgang (Zara 10/08/1802) &amp; Haupt Gruber Komp. Abgang (Graz 06/09/1802)</t>
        </r>
        <r>
          <rPr>
            <sz val="14"/>
            <color rgb="FF000000"/>
            <rFont val="Times New Roman"/>
            <family val="18"/>
          </rPr>
          <t xml:space="preserve">
</t>
        </r>
        <r>
          <rPr>
            <sz val="14"/>
            <color rgb="FF000000"/>
            <rFont val="Times New Roman"/>
            <family val="18"/>
          </rPr>
          <t>ML 2305 IR 27 (1800) – AL IR 27 Nr. 2 (Sandomierz 06/02/1800)</t>
        </r>
        <r>
          <rPr>
            <sz val="14"/>
            <color rgb="FF000000"/>
            <rFont val="Times New Roman"/>
            <family val="18"/>
          </rPr>
          <t xml:space="preserve">
</t>
        </r>
      </text>
    </comment>
    <comment ref="BH303" authorId="0" shapeId="0" xr:uid="{0E9D080F-227D-CC4A-A563-2DF4A783FDB8}">
      <text>
        <r>
          <rPr>
            <sz val="14"/>
            <color rgb="FF000000"/>
            <rFont val="Calibri"/>
            <family val="34"/>
          </rPr>
          <t>IR 27 (1800-1802)</t>
        </r>
      </text>
    </comment>
    <comment ref="BF304" authorId="0" shapeId="0" xr:uid="{494DEF0E-5FCE-B143-B3E0-7D3676667276}">
      <text>
        <r>
          <rPr>
            <sz val="14"/>
            <color rgb="FF000000"/>
            <rFont val="Times New Roman"/>
            <family val="18"/>
          </rPr>
          <t xml:space="preserve">07/02/1800 </t>
        </r>
        <r>
          <rPr>
            <i/>
            <sz val="14"/>
            <color rgb="FF000000"/>
            <rFont val="Times New Roman"/>
            <family val="18"/>
          </rPr>
          <t xml:space="preserve">Als Ausgehobene Inländische Recrout a 3 Fl Handgeld in die Reserve Division assentiert </t>
        </r>
        <r>
          <rPr>
            <sz val="14"/>
            <color rgb="FF000000"/>
            <rFont val="Times New Roman"/>
            <family val="18"/>
          </rPr>
          <t>[AL Feb 1800]</t>
        </r>
        <r>
          <rPr>
            <sz val="14"/>
            <color rgb="FF000000"/>
            <rFont val="Times New Roman"/>
            <family val="18"/>
          </rPr>
          <t xml:space="preserve">
</t>
        </r>
        <r>
          <rPr>
            <sz val="14"/>
            <color rgb="FF000000"/>
            <rFont val="Times New Roman"/>
            <family val="18"/>
          </rPr>
          <t xml:space="preserve">04/06/1800 </t>
        </r>
        <r>
          <rPr>
            <i/>
            <sz val="14"/>
            <color rgb="FF000000"/>
            <rFont val="Times New Roman"/>
            <family val="18"/>
          </rPr>
          <t>Vermog Hohe General Commando Verordnung ddet. Lemberg 28 Feb 800 den 4. Juni Gegen Stellung andere Recroutten und Ersatz des Mont Geldes mit Abschied entlassen</t>
        </r>
        <r>
          <rPr>
            <sz val="14"/>
            <color rgb="FF000000"/>
            <rFont val="Times New Roman"/>
            <family val="18"/>
          </rPr>
          <t xml:space="preserve"> ST June 1800]</t>
        </r>
        <r>
          <rPr>
            <sz val="14"/>
            <color rgb="FF000000"/>
            <rFont val="Times New Roman"/>
            <family val="18"/>
          </rPr>
          <t xml:space="preserve">
</t>
        </r>
      </text>
    </comment>
    <comment ref="BG304" authorId="0" shapeId="0" xr:uid="{75D4DCA0-C2CB-7040-917D-9BE80B85F970}">
      <text>
        <r>
          <rPr>
            <sz val="14"/>
            <color rgb="FF000000"/>
            <rFont val="Times New Roman"/>
            <family val="18"/>
          </rPr>
          <t xml:space="preserve">ML 2303/4 IR 27 (1800) – ST Juni (Graz 11/01/1801)
</t>
        </r>
        <r>
          <rPr>
            <sz val="14"/>
            <color rgb="FF000000"/>
            <rFont val="Times New Roman"/>
            <family val="18"/>
          </rPr>
          <t xml:space="preserve">ML 2305 IR 27 (1800) – AL Reserve Division Nr. 7 (Zaleszczyk, 13/02/1800)
</t>
        </r>
      </text>
    </comment>
    <comment ref="BH304" authorId="0" shapeId="0" xr:uid="{46EEC9A7-6AC2-CF4F-88C0-9736FBEFD55B}">
      <text>
        <r>
          <rPr>
            <sz val="14"/>
            <color rgb="FF000000"/>
            <rFont val="Calibri"/>
            <family val="34"/>
          </rPr>
          <t>IR 27 (1800)</t>
        </r>
      </text>
    </comment>
    <comment ref="BF305" authorId="0" shapeId="0" xr:uid="{B79D16F9-FD23-AD4B-A726-121E37AC598B}">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der Reserve Division zum Haupt Wratislaw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11/12/1800 </t>
        </r>
        <r>
          <rPr>
            <i/>
            <sz val="14"/>
            <color rgb="FF000000"/>
            <rFont val="Times New Roman"/>
            <family val="18"/>
          </rPr>
          <t>Bei Traunstein in Kriegsgefangenschaft gefallen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28/01/1801 </t>
        </r>
        <r>
          <rPr>
            <i/>
            <sz val="14"/>
            <color rgb="FF000000"/>
            <rFont val="Times New Roman"/>
            <family val="18"/>
          </rPr>
          <t xml:space="preserve">Sich selbst ranzioniert </t>
        </r>
        <r>
          <rPr>
            <sz val="14"/>
            <color rgb="FF000000"/>
            <rFont val="Times New Roman"/>
            <family val="18"/>
          </rPr>
          <t>[ML 1802]</t>
        </r>
        <r>
          <rPr>
            <sz val="14"/>
            <color rgb="FF000000"/>
            <rFont val="Calibri"/>
            <family val="34"/>
          </rPr>
          <t xml:space="preserve">
</t>
        </r>
        <r>
          <rPr>
            <sz val="14"/>
            <color rgb="FF000000"/>
            <rFont val="Times New Roman"/>
            <family val="18"/>
          </rPr>
          <t xml:space="preserve">02/02/1801 </t>
        </r>
        <r>
          <rPr>
            <i/>
            <sz val="14"/>
            <color rgb="FF000000"/>
            <rFont val="Times New Roman"/>
            <family val="18"/>
          </rPr>
          <t>Zu Marienbaum gestorben</t>
        </r>
        <r>
          <rPr>
            <sz val="14"/>
            <color rgb="FF000000"/>
            <rFont val="Times New Roman"/>
            <family val="18"/>
          </rPr>
          <t xml:space="preserve"> [ML 1802]</t>
        </r>
        <r>
          <rPr>
            <sz val="14"/>
            <color rgb="FF000000"/>
            <rFont val="Calibri"/>
            <family val="34"/>
          </rPr>
          <t xml:space="preserve">
</t>
        </r>
      </text>
    </comment>
    <comment ref="BG305" authorId="0" shapeId="0" xr:uid="{D3403974-608F-484F-8E83-9C5563A57AD2}">
      <text>
        <r>
          <rPr>
            <sz val="14"/>
            <color rgb="FF000000"/>
            <rFont val="Times New Roman"/>
            <family val="18"/>
          </rPr>
          <t>ML 5102-4 IR 60 (1802) –Haupt Ehrenstein Komp. Zuwachs &amp; Abgang (Tamesvar 15/09/1802), Reserve Division Zuwachs &amp; Abgang (Tamesvar 15/09/1802)</t>
        </r>
        <r>
          <rPr>
            <sz val="14"/>
            <color rgb="FF000000"/>
            <rFont val="Calibri"/>
            <family val="34"/>
          </rPr>
          <t xml:space="preserve">
</t>
        </r>
      </text>
    </comment>
    <comment ref="BH305" authorId="0" shapeId="0" xr:uid="{43849F24-6D18-104D-A62A-926217623B0F}">
      <text>
        <r>
          <rPr>
            <sz val="14"/>
            <color rgb="FF000000"/>
            <rFont val="Calibri"/>
            <family val="34"/>
          </rPr>
          <t>IR 60 (1800-1801)</t>
        </r>
      </text>
    </comment>
    <comment ref="BF306" authorId="0" shapeId="0" xr:uid="{5AFBB54A-4A55-CA41-A97A-018327C1BBFE}">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Ratkoszky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12/06/1800 </t>
        </r>
        <r>
          <rPr>
            <i/>
            <sz val="14"/>
            <color rgb="FF000000"/>
            <rFont val="Times New Roman"/>
            <family val="18"/>
          </rPr>
          <t>ins Kriegsgefangenschaft geraten</t>
        </r>
        <r>
          <rPr>
            <sz val="14"/>
            <color rgb="FF000000"/>
            <rFont val="Times New Roman"/>
            <family val="18"/>
          </rPr>
          <t xml:space="preserve"> [ML 1802]</t>
        </r>
        <r>
          <rPr>
            <sz val="14"/>
            <color rgb="FF000000"/>
            <rFont val="Calibri"/>
            <family val="34"/>
          </rPr>
          <t xml:space="preserve">
</t>
        </r>
      </text>
    </comment>
    <comment ref="BG306" authorId="0" shapeId="0" xr:uid="{27D0CA2D-AB36-AF42-83BF-1DFB6DDCCBC5}">
      <text>
        <r>
          <rPr>
            <sz val="14"/>
            <color rgb="FF000000"/>
            <rFont val="Times New Roman"/>
            <family val="18"/>
          </rPr>
          <t>ML 5102-4 IR 60 (1802) – Haupt Schwartz Komp. Zuwachs &amp; Abgang (Tamesvar 15/09/1802), Reserve Division Zuwachs &amp; Abgang (Tamesvar 15/09/1802)</t>
        </r>
        <r>
          <rPr>
            <sz val="14"/>
            <color rgb="FF000000"/>
            <rFont val="Calibri"/>
            <family val="34"/>
          </rPr>
          <t xml:space="preserve">
</t>
        </r>
      </text>
    </comment>
    <comment ref="BH306" authorId="0" shapeId="0" xr:uid="{7B39AA3E-1038-DD45-B2C4-6FB98FBBE0F7}">
      <text>
        <r>
          <rPr>
            <sz val="14"/>
            <color rgb="FF000000"/>
            <rFont val="Calibri"/>
            <family val="34"/>
          </rPr>
          <t>IR 60 (1800)</t>
        </r>
      </text>
    </comment>
    <comment ref="BF307" authorId="0" shapeId="0" xr:uid="{27E61352-B647-6D47-9AD5-C2DADCFE1913}">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Ratkovsky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Haupt Schwartz zum Haupt Prietto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01/12/1801 </t>
        </r>
        <r>
          <rPr>
            <i/>
            <sz val="14"/>
            <color rgb="FF000000"/>
            <rFont val="Times New Roman"/>
            <family val="18"/>
          </rPr>
          <t>Von Hauptmann Prietto zum Haupt Dubovitsky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de La Morre Nr. 232 [</t>
        </r>
        <r>
          <rPr>
            <i/>
            <sz val="14"/>
            <color rgb="FF000000"/>
            <rFont val="Times New Roman"/>
            <family val="18"/>
          </rPr>
          <t>Commandiert auf Oberburg</t>
        </r>
        <r>
          <rPr>
            <sz val="14"/>
            <color rgb="FF000000"/>
            <rFont val="Times New Roman"/>
            <family val="18"/>
          </rPr>
          <t>]</t>
        </r>
        <r>
          <rPr>
            <sz val="14"/>
            <color rgb="FF000000"/>
            <rFont val="Calibri"/>
            <family val="34"/>
          </rPr>
          <t xml:space="preserve">
</t>
        </r>
        <r>
          <rPr>
            <sz val="14"/>
            <color rgb="FF000000"/>
            <rFont val="Times New Roman"/>
            <family val="18"/>
          </rPr>
          <t xml:space="preserve">20/02/1803 </t>
        </r>
        <r>
          <rPr>
            <i/>
            <sz val="14"/>
            <color rgb="FF000000"/>
            <rFont val="Times New Roman"/>
            <family val="18"/>
          </rPr>
          <t>Gegen Stellung Anderer Mannes mit Abschied entlassen</t>
        </r>
        <r>
          <rPr>
            <sz val="14"/>
            <color rgb="FF000000"/>
            <rFont val="Times New Roman"/>
            <family val="18"/>
          </rPr>
          <t xml:space="preserve"> [ML 1803]</t>
        </r>
        <r>
          <rPr>
            <sz val="14"/>
            <color rgb="FF000000"/>
            <rFont val="Calibri"/>
            <family val="34"/>
          </rPr>
          <t xml:space="preserve">
</t>
        </r>
      </text>
    </comment>
    <comment ref="BG307" authorId="0" shapeId="0" xr:uid="{9A5DDC3F-41FE-9346-99D7-378DFB3E6463}">
      <text>
        <r>
          <rPr>
            <sz val="14"/>
            <color rgb="FF000000"/>
            <rFont val="Times New Roman"/>
            <family val="18"/>
          </rPr>
          <t>ML 5103-4 IR 60 (1802) – Haupt De La Morre Komp. Nr. 232 (Petervardein 20/09/1802), Reserve Division Abgang &amp; Zuwachs (Tamesvar 15/09/1802)</t>
        </r>
        <r>
          <rPr>
            <sz val="14"/>
            <color rgb="FF000000"/>
            <rFont val="Calibri"/>
            <family val="34"/>
          </rPr>
          <t xml:space="preserve">
</t>
        </r>
        <r>
          <rPr>
            <sz val="14"/>
            <color rgb="FF000000"/>
            <rFont val="Times New Roman"/>
            <family val="18"/>
          </rPr>
          <t>ML 5105 IR 60 (1803) – Haupt de La Morre Komp. – Abgang (Tamesvar 15/09/1803)</t>
        </r>
        <r>
          <rPr>
            <sz val="14"/>
            <color rgb="FF000000"/>
            <rFont val="Calibri"/>
            <family val="34"/>
          </rPr>
          <t xml:space="preserve">
</t>
        </r>
      </text>
    </comment>
    <comment ref="BH307" authorId="0" shapeId="0" xr:uid="{4A8034A5-B0B0-DB42-B1AB-CD8D046D1826}">
      <text>
        <r>
          <rPr>
            <sz val="14"/>
            <color rgb="FF000000"/>
            <rFont val="Calibri"/>
            <family val="34"/>
          </rPr>
          <t>IR 60 (1800-1803)</t>
        </r>
      </text>
    </comment>
    <comment ref="BF308" authorId="0" shapeId="0" xr:uid="{59EFE084-C2C8-2140-BFEB-B00F271F41CE}">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31/07/1800 </t>
        </r>
        <r>
          <rPr>
            <i/>
            <sz val="14"/>
            <color rgb="FF000000"/>
            <rFont val="Times New Roman"/>
            <family val="18"/>
          </rPr>
          <t xml:space="preserve">In Folge hoher General Commando Verordnung dem 2te April mit Lauf Pass entlassen </t>
        </r>
        <r>
          <rPr>
            <sz val="14"/>
            <color rgb="FF000000"/>
            <rFont val="Times New Roman"/>
            <family val="18"/>
          </rPr>
          <t>[ML 1802]</t>
        </r>
        <r>
          <rPr>
            <sz val="14"/>
            <color rgb="FF000000"/>
            <rFont val="Calibri"/>
            <family val="34"/>
          </rPr>
          <t xml:space="preserve">
</t>
        </r>
      </text>
    </comment>
    <comment ref="BG308" authorId="0" shapeId="0" xr:uid="{0D207D69-C659-094C-B701-8F61B4D7736A}">
      <text>
        <r>
          <rPr>
            <sz val="14"/>
            <color rgb="FF000000"/>
            <rFont val="Times New Roman"/>
            <family val="18"/>
          </rPr>
          <t>ML 5102-4 IR 60 (1802) – Reserve Division Zuwachs &amp; Abgang (Tamesvar 15/09/1802)</t>
        </r>
        <r>
          <rPr>
            <sz val="14"/>
            <color rgb="FF000000"/>
            <rFont val="Calibri"/>
            <family val="34"/>
          </rPr>
          <t xml:space="preserve">
</t>
        </r>
      </text>
    </comment>
    <comment ref="BH308" authorId="0" shapeId="0" xr:uid="{0E43FE94-1AFC-9447-B929-58D667109C25}">
      <text>
        <r>
          <rPr>
            <sz val="14"/>
            <color rgb="FF000000"/>
            <rFont val="Calibri"/>
            <family val="34"/>
          </rPr>
          <t>IR 60 (1800)</t>
        </r>
      </text>
    </comment>
    <comment ref="BF309" authorId="0" shapeId="0" xr:uid="{6EF667C2-012E-BA47-A9F8-4860301DD63D}">
      <text>
        <r>
          <rPr>
            <sz val="14"/>
            <color rgb="FF000000"/>
            <rFont val="Times New Roman"/>
            <family val="18"/>
          </rPr>
          <t xml:space="preserve">25/02/1800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06/06/1800 </t>
        </r>
        <r>
          <rPr>
            <i/>
            <sz val="14"/>
            <color rgb="FF000000"/>
            <rFont val="Times New Roman"/>
            <family val="18"/>
          </rPr>
          <t>Von Reserve Division zum ObristLt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ObristLt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26/04/1801 </t>
        </r>
        <r>
          <rPr>
            <i/>
            <sz val="14"/>
            <color rgb="FF000000"/>
            <rFont val="Times New Roman"/>
            <family val="18"/>
          </rPr>
          <t>Von Obrist zum Haupt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31/05/1801 </t>
        </r>
        <r>
          <rPr>
            <i/>
            <sz val="14"/>
            <color rgb="FF000000"/>
            <rFont val="Times New Roman"/>
            <family val="18"/>
          </rPr>
          <t>Von Haupt Krapf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05/08/1802</t>
        </r>
        <r>
          <rPr>
            <i/>
            <sz val="14"/>
            <color rgb="FF000000"/>
            <rFont val="Times New Roman"/>
            <family val="18"/>
          </rPr>
          <t xml:space="preserve"> Laut Besondere Verordnung ohnentgeldich Mit Abschied entlassen </t>
        </r>
        <r>
          <rPr>
            <sz val="14"/>
            <color rgb="FF000000"/>
            <rFont val="Times New Roman"/>
            <family val="18"/>
          </rPr>
          <t>[ML 1802]</t>
        </r>
        <r>
          <rPr>
            <sz val="14"/>
            <color rgb="FF000000"/>
            <rFont val="Calibri"/>
            <family val="34"/>
          </rPr>
          <t xml:space="preserve">
</t>
        </r>
      </text>
    </comment>
    <comment ref="BG309" authorId="0" shapeId="0" xr:uid="{B7B2F0D2-590A-CC4D-8438-18EAA2595680}">
      <text>
        <r>
          <rPr>
            <sz val="14"/>
            <color rgb="FF000000"/>
            <rFont val="Times"/>
            <family val="2"/>
          </rPr>
          <t>ML 5102-4 IR 60 (1802) – Obrist Komp. Zuwachs &amp; Abgang (Tamesvar 15/09/1802), Krapf Komp. Zuwachs &amp; Abgang (</t>
        </r>
        <r>
          <rPr>
            <sz val="14"/>
            <color rgb="FF000000"/>
            <rFont val="Times New Roman"/>
            <family val="18"/>
          </rPr>
          <t>Tamesvar</t>
        </r>
        <r>
          <rPr>
            <sz val="14"/>
            <color rgb="FF000000"/>
            <rFont val="Times"/>
            <family val="2"/>
          </rPr>
          <t xml:space="preserve"> 15/09/1802), Reserve Division Zuwachs &amp; Abgang (Tamesvar 15/09/1802)
</t>
        </r>
      </text>
    </comment>
    <comment ref="BH309" authorId="0" shapeId="0" xr:uid="{FC4456BE-59F6-3648-8761-308D0175C416}">
      <text>
        <r>
          <rPr>
            <sz val="14"/>
            <color rgb="FF000000"/>
            <rFont val="Calibri"/>
            <family val="34"/>
          </rPr>
          <t>IR 60 (1800-1801)</t>
        </r>
      </text>
    </comment>
    <comment ref="BF310" authorId="0" shapeId="0" xr:uid="{A49D127B-82FE-BD47-9AFB-DA8F7868029E}">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2. Major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30/04/1800 </t>
        </r>
        <r>
          <rPr>
            <i/>
            <sz val="14"/>
            <color rgb="FF000000"/>
            <rFont val="Times New Roman"/>
            <family val="18"/>
          </rPr>
          <t xml:space="preserve">Mit Laufpass als Untauglich entlassen </t>
        </r>
        <r>
          <rPr>
            <sz val="14"/>
            <color rgb="FF000000"/>
            <rFont val="Times New Roman"/>
            <family val="18"/>
          </rPr>
          <t>[ML 1802]</t>
        </r>
        <r>
          <rPr>
            <sz val="14"/>
            <color rgb="FF000000"/>
            <rFont val="Calibri"/>
            <family val="34"/>
          </rPr>
          <t xml:space="preserve">
</t>
        </r>
      </text>
    </comment>
    <comment ref="BG310" authorId="0" shapeId="0" xr:uid="{B6E1DBD9-534A-2349-A851-042797A84135}">
      <text>
        <r>
          <rPr>
            <sz val="14"/>
            <color rgb="FF000000"/>
            <rFont val="Times New Roman"/>
            <family val="18"/>
          </rPr>
          <t>ML 5102-4 IR 60 (1802) – 2. Major Komp. Zuwachs &amp; Abgang (Tamesvar 15/09/1802), Reserve Division Zuwachs &amp; Abgang (Tamesvar 15/09/1802)</t>
        </r>
        <r>
          <rPr>
            <sz val="14"/>
            <color rgb="FF000000"/>
            <rFont val="Calibri"/>
            <family val="34"/>
          </rPr>
          <t xml:space="preserve">
</t>
        </r>
      </text>
    </comment>
    <comment ref="BH310" authorId="0" shapeId="0" xr:uid="{CCBADE37-DBAC-8542-82E7-6BB9E97F1A45}">
      <text>
        <r>
          <rPr>
            <sz val="14"/>
            <color rgb="FF000000"/>
            <rFont val="Calibri"/>
            <family val="34"/>
          </rPr>
          <t>IR 60 (1800)</t>
        </r>
      </text>
    </comment>
    <comment ref="BF311" authorId="0" shapeId="0" xr:uid="{2327696A-C860-0D4F-B5EC-BA5FDAA84928}">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1. Major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31/10/1800 </t>
        </r>
        <r>
          <rPr>
            <i/>
            <sz val="14"/>
            <color rgb="FF000000"/>
            <rFont val="Times New Roman"/>
            <family val="18"/>
          </rPr>
          <t>Von 1. Major zum Reserve Division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13/01/1801 </t>
        </r>
        <r>
          <rPr>
            <i/>
            <sz val="14"/>
            <color rgb="FF000000"/>
            <rFont val="Times New Roman"/>
            <family val="18"/>
          </rPr>
          <t>Gegen Stellung eines anderen Mannes mit Abschied Entlassen</t>
        </r>
        <r>
          <rPr>
            <sz val="14"/>
            <color rgb="FF000000"/>
            <rFont val="Times New Roman"/>
            <family val="18"/>
          </rPr>
          <t xml:space="preserve"> [ML 1802]</t>
        </r>
        <r>
          <rPr>
            <sz val="14"/>
            <color rgb="FF000000"/>
            <rFont val="Calibri"/>
            <family val="34"/>
          </rPr>
          <t xml:space="preserve">
</t>
        </r>
      </text>
    </comment>
    <comment ref="BG311" authorId="0" shapeId="0" xr:uid="{B605BE30-7578-EE4A-A25B-BB8487F28BFF}">
      <text>
        <r>
          <rPr>
            <sz val="14"/>
            <color rgb="FF000000"/>
            <rFont val="Times New Roman"/>
            <family val="18"/>
          </rPr>
          <t>ML 5102-4 IR 60 (1802) – 1. Major Komp. Zuwachs &amp; Abgang (Tamesvar 15/09/1802), Reserve Division Zuwachs &amp; Abgang (Tamesvar 15/09/1802)</t>
        </r>
        <r>
          <rPr>
            <sz val="14"/>
            <color rgb="FF000000"/>
            <rFont val="Calibri"/>
            <family val="34"/>
          </rPr>
          <t xml:space="preserve">
</t>
        </r>
      </text>
    </comment>
    <comment ref="BH311" authorId="0" shapeId="0" xr:uid="{9D8BA8A2-64A5-FC45-89D3-E3F83EE9DB26}">
      <text>
        <r>
          <rPr>
            <sz val="14"/>
            <color rgb="FF000000"/>
            <rFont val="Calibri"/>
            <family val="34"/>
          </rPr>
          <t>IR 60 (1800-1801)</t>
        </r>
      </text>
    </comment>
    <comment ref="BF312" authorId="0" shapeId="0" xr:uid="{10D19880-FF5E-BE42-882F-E8D180C1C13D}">
      <text>
        <r>
          <rPr>
            <sz val="14"/>
            <color rgb="FF000000"/>
            <rFont val="Times New Roman"/>
            <family val="18"/>
          </rPr>
          <t xml:space="preserve">08/02/1800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31/07/1800 </t>
        </r>
        <r>
          <rPr>
            <i/>
            <sz val="14"/>
            <color rgb="FF000000"/>
            <rFont val="Times New Roman"/>
            <family val="18"/>
          </rPr>
          <t xml:space="preserve">In Folge hoher General Commando Verordnung dem 2te April mit Lauf Pass entlassen </t>
        </r>
        <r>
          <rPr>
            <sz val="14"/>
            <color rgb="FF000000"/>
            <rFont val="Times New Roman"/>
            <family val="18"/>
          </rPr>
          <t>[ML 1802]</t>
        </r>
        <r>
          <rPr>
            <sz val="14"/>
            <color rgb="FF000000"/>
            <rFont val="Calibri"/>
            <family val="34"/>
          </rPr>
          <t xml:space="preserve">
</t>
        </r>
      </text>
    </comment>
    <comment ref="BG312" authorId="0" shapeId="0" xr:uid="{363E3510-8C85-2F4E-AAD3-2FE21A1EB199}">
      <text>
        <r>
          <rPr>
            <sz val="14"/>
            <color rgb="FF000000"/>
            <rFont val="Times New Roman"/>
            <family val="18"/>
          </rPr>
          <t>ML 5102-4 IR 60 (1802) – Reserve Division Zuwachs &amp; Abgang (Tamesvar 15/09/1802)</t>
        </r>
      </text>
    </comment>
    <comment ref="BH312" authorId="0" shapeId="0" xr:uid="{2414B350-5191-B143-9B18-7E052FC0473D}">
      <text>
        <r>
          <rPr>
            <sz val="14"/>
            <color rgb="FF000000"/>
            <rFont val="Calibri"/>
            <family val="34"/>
          </rPr>
          <t>IR 60 (1800)</t>
        </r>
      </text>
    </comment>
    <comment ref="BF313" authorId="0" shapeId="0" xr:uid="{BD429468-1914-0843-A115-8A308664A684}">
      <text>
        <r>
          <rPr>
            <sz val="14"/>
            <color rgb="FFFF0000"/>
            <rFont val="Times New Roman"/>
            <family val="18"/>
          </rPr>
          <t xml:space="preserve">??/02/1802 </t>
        </r>
        <r>
          <rPr>
            <i/>
            <sz val="14"/>
            <color rgb="FFFF0000"/>
            <rFont val="Times New Roman"/>
            <family val="18"/>
          </rPr>
          <t>A 3Fl Handgeld auf Beständig gestellt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09/02/1800 </t>
        </r>
        <r>
          <rPr>
            <i/>
            <sz val="14"/>
            <color rgb="FF000000"/>
            <rFont val="Times New Roman"/>
            <family val="18"/>
          </rPr>
          <t>Von Ständen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Reserve Division ins Haupt Basta Companie transferiert</t>
        </r>
        <r>
          <rPr>
            <sz val="14"/>
            <color rgb="FF000000"/>
            <rFont val="Times New Roman"/>
            <family val="18"/>
          </rPr>
          <t xml:space="preserve"> [ST August 1801]</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[IR 43]</t>
        </r>
        <r>
          <rPr>
            <sz val="14"/>
            <color rgb="FF000000"/>
            <rFont val="Times New Roman"/>
            <family val="18"/>
          </rPr>
          <t xml:space="preserve"> </t>
        </r>
        <r>
          <rPr>
            <i/>
            <sz val="14"/>
            <color rgb="FF000000"/>
            <rFont val="Times New Roman"/>
            <family val="18"/>
          </rPr>
          <t>Haupt Basta Komp zum IR 44 transferiert und zur Haupt Vassy Komp. eingeteilt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19/09/1803 Muster: IR 44 Haupt Gilleta Nr. 92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12/05/1804 Muster: IR 44 Haupt Giletta Nr. 81 [</t>
        </r>
        <r>
          <rPr>
            <i/>
            <sz val="14"/>
            <color rgb="FF000000"/>
            <rFont val="Times New Roman"/>
            <family val="18"/>
          </rPr>
          <t>Beurlaubt auf Bestimmte Zeit zu Bielokamien Zlocower Kreis</t>
        </r>
        <r>
          <rPr>
            <sz val="14"/>
            <color rgb="FF000000"/>
            <rFont val="Times New Roman"/>
            <family val="18"/>
          </rPr>
          <t>, Ost Galizien]</t>
        </r>
        <r>
          <rPr>
            <sz val="14"/>
            <color rgb="FF000000"/>
            <rFont val="Calibri"/>
            <family val="34"/>
          </rPr>
          <t xml:space="preserve">
</t>
        </r>
        <r>
          <rPr>
            <sz val="14"/>
            <color rgb="FF000000"/>
            <rFont val="Times New Roman"/>
            <family val="18"/>
          </rPr>
          <t xml:space="preserve">28/05/1804 </t>
        </r>
        <r>
          <rPr>
            <i/>
            <sz val="14"/>
            <color rgb="FF000000"/>
            <rFont val="Times New Roman"/>
            <family val="18"/>
          </rPr>
          <t xml:space="preserve">Auf Urlaub in Lemberg Gestorben </t>
        </r>
        <r>
          <rPr>
            <sz val="14"/>
            <color rgb="FF000000"/>
            <rFont val="Times New Roman"/>
            <family val="18"/>
          </rPr>
          <t>[ST Juli 1804]</t>
        </r>
        <r>
          <rPr>
            <sz val="14"/>
            <color rgb="FF000000"/>
            <rFont val="Calibri"/>
            <family val="34"/>
          </rPr>
          <t xml:space="preserve">
</t>
        </r>
        <r>
          <rPr>
            <sz val="14"/>
            <color rgb="FF000000"/>
            <rFont val="Times New Roman"/>
            <family val="18"/>
          </rPr>
          <t>Nie Desertiert</t>
        </r>
        <r>
          <rPr>
            <sz val="14"/>
            <color rgb="FF000000"/>
            <rFont val="Calibri"/>
            <family val="34"/>
          </rPr>
          <t xml:space="preserve">
</t>
        </r>
      </text>
    </comment>
    <comment ref="BG313" authorId="0" shapeId="0" xr:uid="{2B12B925-7C10-3D42-B9E7-A16998D3A488}">
      <text>
        <r>
          <rPr>
            <sz val="14"/>
            <color rgb="FF000000"/>
            <rFont val="Times New Roman"/>
            <family val="18"/>
          </rPr>
          <t>ML 10.311 IR 43 (1801) – ST Juni (20/06/1805)</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Gilleta Komp. Nr. 92 (Venice 19/09/1803)</t>
        </r>
        <r>
          <rPr>
            <sz val="14"/>
            <color rgb="FF000000"/>
            <rFont val="Calibri"/>
            <family val="34"/>
          </rPr>
          <t xml:space="preserve">
</t>
        </r>
        <r>
          <rPr>
            <sz val="14"/>
            <color rgb="FF000000"/>
            <rFont val="Times New Roman"/>
            <family val="18"/>
          </rPr>
          <t>ML 3909 IR 44 (1804) – Haupt Gilleta Komp. Nr. 81 (Vicenza 12/05/1804)</t>
        </r>
        <r>
          <rPr>
            <sz val="14"/>
            <color rgb="FF000000"/>
            <rFont val="Calibri"/>
            <family val="34"/>
          </rPr>
          <t xml:space="preserve">
</t>
        </r>
        <r>
          <rPr>
            <sz val="14"/>
            <color rgb="FF000000"/>
            <rFont val="Times New Roman"/>
            <family val="18"/>
          </rPr>
          <t>ML 3946 IR 44 (1802) – AL IR 43-&gt; IR 43 Nr. 128 (Zara 27/07/1802)</t>
        </r>
        <r>
          <rPr>
            <sz val="14"/>
            <color rgb="FF000000"/>
            <rFont val="Calibri"/>
            <family val="34"/>
          </rPr>
          <t xml:space="preserve">
</t>
        </r>
        <r>
          <rPr>
            <sz val="14"/>
            <color rgb="FF000000"/>
            <rFont val="Times New Roman"/>
            <family val="18"/>
          </rPr>
          <t>ML 3949 IR 44 (1806) – ST July (Vicenza 14/08/1804)</t>
        </r>
        <r>
          <rPr>
            <sz val="14"/>
            <color rgb="FF000000"/>
            <rFont val="Calibri"/>
            <family val="34"/>
          </rPr>
          <t xml:space="preserve">
</t>
        </r>
      </text>
    </comment>
    <comment ref="BH313" authorId="0" shapeId="0" xr:uid="{F1D329D4-A0D4-1E46-8828-A89D52BCD149}">
      <text>
        <r>
          <rPr>
            <sz val="14"/>
            <color rgb="FF000000"/>
            <rFont val="Calibri"/>
            <family val="34"/>
          </rPr>
          <t xml:space="preserve">IR 43 (1800-1802)
</t>
        </r>
        <r>
          <rPr>
            <sz val="14"/>
            <color rgb="FF000000"/>
            <rFont val="Calibri"/>
            <family val="34"/>
          </rPr>
          <t>IR 44 (1802-1804)</t>
        </r>
      </text>
    </comment>
    <comment ref="BI313" authorId="0" shapeId="0" xr:uid="{75C60B63-B6A2-4846-A0AD-9C20AC6F2E9A}">
      <text>
        <r>
          <rPr>
            <sz val="14"/>
            <color rgb="FF000000"/>
            <rFont val="Calibri"/>
            <family val="34"/>
          </rPr>
          <t>Gut [TL Aug 1802]</t>
        </r>
      </text>
    </comment>
    <comment ref="BF314" authorId="0" shapeId="0" xr:uid="{ACB9686F-ABAB-8F41-97FC-2A674E900E32}">
      <text>
        <r>
          <rPr>
            <sz val="14"/>
            <color rgb="FF000000"/>
            <rFont val="Times New Roman"/>
            <family val="18"/>
          </rPr>
          <t xml:space="preserve">09/02/1800 </t>
        </r>
        <r>
          <rPr>
            <i/>
            <sz val="14"/>
            <color rgb="FF000000"/>
            <rFont val="Times New Roman"/>
            <family val="18"/>
          </rPr>
          <t xml:space="preserve">Als Ausgehobene Inländische Recrout a 3 Fl Handgeld in die Reserve Division assentiert </t>
        </r>
        <r>
          <rPr>
            <sz val="14"/>
            <color rgb="FF000000"/>
            <rFont val="Times New Roman"/>
            <family val="18"/>
          </rPr>
          <t xml:space="preserve">[AL Feb 1800]
</t>
        </r>
        <r>
          <rPr>
            <sz val="14"/>
            <color rgb="FF000000"/>
            <rFont val="Times New Roman"/>
            <family val="18"/>
          </rPr>
          <t xml:space="preserve">04/06/1800 </t>
        </r>
        <r>
          <rPr>
            <i/>
            <sz val="14"/>
            <color rgb="FF000000"/>
            <rFont val="Times New Roman"/>
            <family val="18"/>
          </rPr>
          <t>Vermog Hohe General Commando Verordnung ddet. Lemberg 28 Feb 800 den 4. Juni Gegen Stellung andere Recroutten und Ersatz des Mont Geldes mit Abschied entlassen</t>
        </r>
        <r>
          <rPr>
            <sz val="14"/>
            <color rgb="FF000000"/>
            <rFont val="Times New Roman"/>
            <family val="18"/>
          </rPr>
          <t xml:space="preserve"> ST June 1800]
</t>
        </r>
      </text>
    </comment>
    <comment ref="BG314" authorId="0" shapeId="0" xr:uid="{4946148B-0F9E-9F41-B59A-34BDFF2C7C84}">
      <text>
        <r>
          <rPr>
            <sz val="14"/>
            <color rgb="FF000000"/>
            <rFont val="Times New Roman"/>
            <family val="18"/>
          </rPr>
          <t xml:space="preserve">ML 2303/4 IR 27 (1800) – ST Juni (Graz 11/01/1801)
</t>
        </r>
        <r>
          <rPr>
            <sz val="14"/>
            <color rgb="FF000000"/>
            <rFont val="Times New Roman"/>
            <family val="18"/>
          </rPr>
          <t xml:space="preserve">ML 2305 IR 27 (1800) – AL Reserve Division Nr. 57 (Zaleszczyk, 13/02/1800)
</t>
        </r>
      </text>
    </comment>
    <comment ref="BH314" authorId="0" shapeId="0" xr:uid="{8072D129-6266-3A4C-9B49-A5A47BFF9878}">
      <text>
        <r>
          <rPr>
            <sz val="14"/>
            <color rgb="FF000000"/>
            <rFont val="Calibri"/>
            <family val="34"/>
          </rPr>
          <t>IR 27 (1800)</t>
        </r>
      </text>
    </comment>
    <comment ref="BF315" authorId="0" shapeId="0" xr:uid="{EDE33C43-8C51-394C-8999-67D085BDA6D2}">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In Cremona in die Kriegsgefangenschaft geraten</t>
        </r>
        <r>
          <rPr>
            <sz val="14"/>
            <color rgb="FF000000"/>
            <rFont val="Times New Roman"/>
            <family val="18"/>
          </rPr>
          <t xml:space="preserve"> [ML 1802]</t>
        </r>
      </text>
    </comment>
    <comment ref="BG315" authorId="0" shapeId="0" xr:uid="{2FA7061C-355C-9C4E-A3E7-514267DECE2E}">
      <text>
        <r>
          <rPr>
            <sz val="14"/>
            <color rgb="FF000000"/>
            <rFont val="Times New Roman"/>
            <family val="18"/>
          </rPr>
          <t>ML 1937 IR 24 (1802) – Haupt O‘Madden Komp. Abgang (Vienna 16/09/1802)</t>
        </r>
        <r>
          <rPr>
            <sz val="14"/>
            <color rgb="FF000000"/>
            <rFont val="Calibri"/>
            <family val="34"/>
          </rPr>
          <t xml:space="preserve">
</t>
        </r>
      </text>
    </comment>
    <comment ref="BH315" authorId="0" shapeId="0" xr:uid="{4B0E6EAB-A33B-3E42-8A07-BEB36F373AB4}">
      <text>
        <r>
          <rPr>
            <sz val="14"/>
            <color rgb="FF000000"/>
            <rFont val="Calibri"/>
            <family val="34"/>
          </rPr>
          <t>IR 24 (1800)</t>
        </r>
      </text>
    </comment>
    <comment ref="BF316" authorId="0" shapeId="0" xr:uid="{EEBCC451-31FE-4545-8C48-230EDC54FCD2}">
      <text>
        <r>
          <rPr>
            <sz val="14"/>
            <color rgb="FF000000"/>
            <rFont val="Times New Roman"/>
            <family val="18"/>
          </rPr>
          <t xml:space="preserve">12/02/1800 [seit mindestens] </t>
        </r>
        <r>
          <rPr>
            <i/>
            <sz val="14"/>
            <color rgb="FF000000"/>
            <rFont val="Times New Roman"/>
            <family val="18"/>
          </rPr>
          <t>Dient bei IR 24 Obrist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31/08/1801 </t>
        </r>
        <r>
          <rPr>
            <i/>
            <sz val="14"/>
            <color rgb="FF000000"/>
            <rFont val="Times New Roman"/>
            <family val="18"/>
          </rPr>
          <t>Als Unwissend verloren in Abgang</t>
        </r>
        <r>
          <rPr>
            <sz val="14"/>
            <color rgb="FF000000"/>
            <rFont val="Times New Roman"/>
            <family val="18"/>
          </rPr>
          <t xml:space="preserve"> [ML 1802]</t>
        </r>
      </text>
    </comment>
    <comment ref="BG316" authorId="0" shapeId="0" xr:uid="{D331F261-5F0F-3543-B36C-117ACB943010}">
      <text>
        <r>
          <rPr>
            <sz val="14"/>
            <color rgb="FF000000"/>
            <rFont val="Times New Roman"/>
            <family val="18"/>
          </rPr>
          <t>ML 1937 IR 24 (1802) – Obrist Komp. Abgang (Vienna 16/09/1802)</t>
        </r>
        <r>
          <rPr>
            <sz val="14"/>
            <color rgb="FF000000"/>
            <rFont val="Calibri"/>
            <family val="34"/>
          </rPr>
          <t xml:space="preserve">
</t>
        </r>
      </text>
    </comment>
    <comment ref="BH316" authorId="0" shapeId="0" xr:uid="{C557516A-F3E0-A048-923F-C59B8E7CC26B}">
      <text>
        <r>
          <rPr>
            <sz val="14"/>
            <color rgb="FF000000"/>
            <rFont val="Calibri"/>
            <family val="34"/>
          </rPr>
          <t>IR 24 (1800-1801)</t>
        </r>
      </text>
    </comment>
    <comment ref="BF317" authorId="0" shapeId="0" xr:uid="{D526DD64-4171-C748-A715-3F39A6A91338}">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In Cremona in die Kriegsgefangenschaft geraten</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09/06/1800 </t>
        </r>
        <r>
          <rPr>
            <i/>
            <sz val="14"/>
            <color rgb="FF000000"/>
            <rFont val="Times New Roman"/>
            <family val="18"/>
          </rPr>
          <t>Per errorem in Abgang</t>
        </r>
        <r>
          <rPr>
            <sz val="14"/>
            <color rgb="FF000000"/>
            <rFont val="Times New Roman"/>
            <family val="18"/>
          </rPr>
          <t xml:space="preserve"> [ML 1802]</t>
        </r>
        <r>
          <rPr>
            <sz val="14"/>
            <color rgb="FF000000"/>
            <rFont val="Calibri"/>
            <family val="34"/>
          </rPr>
          <t xml:space="preserve">
</t>
        </r>
        <r>
          <rPr>
            <sz val="14"/>
            <color rgb="FF000000"/>
            <rFont val="Times New Roman"/>
            <family val="18"/>
          </rPr>
          <t>04/02/1801</t>
        </r>
        <r>
          <rPr>
            <i/>
            <sz val="14"/>
            <color rgb="FF000000"/>
            <rFont val="Times New Roman"/>
            <family val="18"/>
          </rPr>
          <t xml:space="preserve"> Gegen Renuncierung Als Reale Invalid mit Abschied entlassen</t>
        </r>
        <r>
          <rPr>
            <sz val="14"/>
            <color rgb="FF000000"/>
            <rFont val="Times New Roman"/>
            <family val="18"/>
          </rPr>
          <t xml:space="preserve"> [ML 1802] </t>
        </r>
        <r>
          <rPr>
            <sz val="14"/>
            <color rgb="FF000000"/>
            <rFont val="Calibri"/>
            <family val="34"/>
          </rPr>
          <t xml:space="preserve">
</t>
        </r>
      </text>
    </comment>
    <comment ref="BG317" authorId="0" shapeId="0" xr:uid="{C4DE9A34-5C7E-894E-A958-5CE37146E42A}">
      <text>
        <r>
          <rPr>
            <sz val="14"/>
            <color rgb="FF000000"/>
            <rFont val="Times New Roman"/>
            <family val="18"/>
          </rPr>
          <t>ML 1937 IR 24 (1802) – Haupt O‘Madden Komp. Abgang (Vienna 16/09/1802)</t>
        </r>
        <r>
          <rPr>
            <sz val="14"/>
            <color rgb="FF000000"/>
            <rFont val="Calibri"/>
            <family val="34"/>
          </rPr>
          <t xml:space="preserve">
</t>
        </r>
      </text>
    </comment>
    <comment ref="BH317" authorId="0" shapeId="0" xr:uid="{A71962BD-D4F0-3648-BB52-24F715EC1457}">
      <text>
        <r>
          <rPr>
            <sz val="14"/>
            <color rgb="FF000000"/>
            <rFont val="Calibri"/>
            <family val="34"/>
          </rPr>
          <t>IR 24 (1800-1801)</t>
        </r>
      </text>
    </comment>
    <comment ref="BF318" authorId="0" shapeId="0" xr:uid="{B8383A42-EF01-B642-A09C-BF64A925E714}">
      <text>
        <r>
          <rPr>
            <sz val="14"/>
            <color rgb="FF000000"/>
            <rFont val="Times New Roman"/>
            <family val="18"/>
          </rPr>
          <t xml:space="preserve">12/02/1800 [seit mindestens] </t>
        </r>
        <r>
          <rPr>
            <i/>
            <sz val="14"/>
            <color rgb="FF000000"/>
            <rFont val="Times New Roman"/>
            <family val="18"/>
          </rPr>
          <t>Dient bei IR 24 O’Madden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13/03/1801</t>
        </r>
        <r>
          <rPr>
            <i/>
            <sz val="14"/>
            <color rgb="FF000000"/>
            <rFont val="Times New Roman"/>
            <family val="18"/>
          </rPr>
          <t xml:space="preserve"> In Capo d’Istria gestorben </t>
        </r>
        <r>
          <rPr>
            <sz val="14"/>
            <color rgb="FF000000"/>
            <rFont val="Times New Roman"/>
            <family val="18"/>
          </rPr>
          <t>[ML 1802]</t>
        </r>
        <r>
          <rPr>
            <sz val="14"/>
            <color rgb="FF000000"/>
            <rFont val="Calibri"/>
            <family val="34"/>
          </rPr>
          <t xml:space="preserve">
</t>
        </r>
        <r>
          <rPr>
            <sz val="14"/>
            <color rgb="FF000000"/>
            <rFont val="Times New Roman"/>
            <family val="18"/>
          </rPr>
          <t xml:space="preserve">17/06/1801 </t>
        </r>
        <r>
          <rPr>
            <i/>
            <sz val="14"/>
            <color rgb="FF000000"/>
            <rFont val="Times New Roman"/>
            <family val="18"/>
          </rPr>
          <t>Per errorem in Abgang</t>
        </r>
        <r>
          <rPr>
            <sz val="14"/>
            <color rgb="FF000000"/>
            <rFont val="Times New Roman"/>
            <family val="18"/>
          </rPr>
          <t xml:space="preserve"> [ML 1802]</t>
        </r>
        <r>
          <rPr>
            <sz val="14"/>
            <color rgb="FF000000"/>
            <rFont val="Calibri"/>
            <family val="34"/>
          </rPr>
          <t xml:space="preserve">
</t>
        </r>
        <r>
          <rPr>
            <sz val="14"/>
            <color rgb="FF000000"/>
            <rFont val="Times New Roman"/>
            <family val="18"/>
          </rPr>
          <t>15/11/1801</t>
        </r>
        <r>
          <rPr>
            <i/>
            <sz val="14"/>
            <color rgb="FF000000"/>
            <rFont val="Times New Roman"/>
            <family val="18"/>
          </rPr>
          <t xml:space="preserve"> Gegen Renuncierung Als Reale Invalid mit Abschied entlassen</t>
        </r>
        <r>
          <rPr>
            <sz val="14"/>
            <color rgb="FF000000"/>
            <rFont val="Times New Roman"/>
            <family val="18"/>
          </rPr>
          <t xml:space="preserve"> [ML 1802]</t>
        </r>
      </text>
    </comment>
    <comment ref="BG318" authorId="0" shapeId="0" xr:uid="{D7AD53D2-3F15-874C-B2B5-FB514F4A2ECF}">
      <text>
        <r>
          <rPr>
            <sz val="14"/>
            <color rgb="FF000000"/>
            <rFont val="Times New Roman"/>
            <family val="18"/>
          </rPr>
          <t>ML 1937 IR 24 (1802) – Haupt O‘Madden Komp. Abgang (Vienna 16/09/1802)</t>
        </r>
        <r>
          <rPr>
            <sz val="14"/>
            <color rgb="FF000000"/>
            <rFont val="Calibri"/>
            <family val="34"/>
          </rPr>
          <t xml:space="preserve">
</t>
        </r>
      </text>
    </comment>
    <comment ref="BH318" authorId="0" shapeId="0" xr:uid="{6BE9312F-13C7-BA46-B43E-EB57DE1BEFE9}">
      <text>
        <r>
          <rPr>
            <sz val="14"/>
            <color rgb="FF000000"/>
            <rFont val="Calibri"/>
            <family val="34"/>
          </rPr>
          <t>IR 24 (1800-1801)</t>
        </r>
      </text>
    </comment>
    <comment ref="BF319" authorId="0" shapeId="0" xr:uid="{5641BEB0-CDD6-5841-B7F7-8F3CBC398987}">
      <text>
        <r>
          <rPr>
            <sz val="14"/>
            <color rgb="FF000000"/>
            <rFont val="Times New Roman"/>
            <family val="18"/>
          </rPr>
          <t xml:space="preserve">12/02/1800 </t>
        </r>
        <r>
          <rPr>
            <i/>
            <sz val="14"/>
            <color rgb="FF000000"/>
            <rFont val="Times New Roman"/>
            <family val="18"/>
          </rPr>
          <t>Dient seit Mindestens bei IR 24 Haupt Dusky Komp</t>
        </r>
        <r>
          <rPr>
            <sz val="14"/>
            <color rgb="FF000000"/>
            <rFont val="Calibri"/>
            <family val="34"/>
          </rPr>
          <t xml:space="preserve">
</t>
        </r>
        <r>
          <rPr>
            <sz val="14"/>
            <color rgb="FF000000"/>
            <rFont val="Times New Roman"/>
            <family val="18"/>
          </rPr>
          <t xml:space="preserve">10/04/1800 </t>
        </r>
        <r>
          <rPr>
            <i/>
            <sz val="14"/>
            <color rgb="FF000000"/>
            <rFont val="Times New Roman"/>
            <family val="18"/>
          </rPr>
          <t xml:space="preserve">ins InvH Pettau zur Versorgung transferiert </t>
        </r>
        <r>
          <rPr>
            <sz val="14"/>
            <color rgb="FF000000"/>
            <rFont val="Times New Roman"/>
            <family val="18"/>
          </rPr>
          <t>[ML 1802]</t>
        </r>
        <r>
          <rPr>
            <sz val="14"/>
            <color rgb="FF000000"/>
            <rFont val="Calibri"/>
            <family val="34"/>
          </rPr>
          <t xml:space="preserve">
</t>
        </r>
      </text>
    </comment>
    <comment ref="BG319" authorId="0" shapeId="0" xr:uid="{D3905356-72F6-6D48-A5AB-E540C6BB6C99}">
      <text>
        <r>
          <rPr>
            <sz val="14"/>
            <color rgb="FF000000"/>
            <rFont val="Times New Roman"/>
            <family val="18"/>
          </rPr>
          <t>ML 1937 IR 24 (1802) – Haupt Dusky Komp. Nr.117 (Vienna 16/09/1802)</t>
        </r>
        <r>
          <rPr>
            <sz val="14"/>
            <color rgb="FF000000"/>
            <rFont val="Calibri"/>
            <family val="34"/>
          </rPr>
          <t xml:space="preserve">
</t>
        </r>
      </text>
    </comment>
    <comment ref="BH319" authorId="0" shapeId="0" xr:uid="{42AC7124-145E-2E4D-B07E-C12FC2F51261}">
      <text>
        <r>
          <rPr>
            <sz val="14"/>
            <color rgb="FF000000"/>
            <rFont val="Calibri"/>
            <family val="34"/>
          </rPr>
          <t xml:space="preserve">IR 24 (1800-1801)
</t>
        </r>
        <r>
          <rPr>
            <sz val="14"/>
            <color rgb="FF000000"/>
            <rFont val="Calibri"/>
            <family val="34"/>
          </rPr>
          <t>InvH Pettau (1801)</t>
        </r>
      </text>
    </comment>
    <comment ref="BF320" authorId="0" shapeId="0" xr:uid="{3088DC59-B064-7240-BBE9-B8B9C03DC17B}">
      <text>
        <r>
          <rPr>
            <sz val="14"/>
            <color rgb="FF000000"/>
            <rFont val="Times New Roman"/>
            <family val="18"/>
          </rPr>
          <t xml:space="preserve">12/02/1800 [seit mindestens] </t>
        </r>
        <r>
          <rPr>
            <i/>
            <sz val="14"/>
            <color rgb="FF000000"/>
            <rFont val="Times New Roman"/>
            <family val="18"/>
          </rPr>
          <t>Dient bei IR 24 Haupt Adelsberg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31/10/1801 </t>
        </r>
        <r>
          <rPr>
            <i/>
            <sz val="14"/>
            <color rgb="FF000000"/>
            <rFont val="Times New Roman"/>
            <family val="18"/>
          </rPr>
          <t>Als unwissend verloren in Abgang</t>
        </r>
        <r>
          <rPr>
            <sz val="14"/>
            <color rgb="FF000000"/>
            <rFont val="Times New Roman"/>
            <family val="18"/>
          </rPr>
          <t xml:space="preserve"> [ML 1802]</t>
        </r>
      </text>
    </comment>
    <comment ref="BG320" authorId="0" shapeId="0" xr:uid="{A196EE9E-E645-8346-BF9D-379A16BC2B24}">
      <text>
        <r>
          <rPr>
            <sz val="14"/>
            <color rgb="FF000000"/>
            <rFont val="Times New Roman"/>
            <family val="18"/>
          </rPr>
          <t>ML 1937 IR 24 (1802) – Haupt Adelsberg Abgang (Vienna 16/09/1802)</t>
        </r>
        <r>
          <rPr>
            <sz val="14"/>
            <color rgb="FF000000"/>
            <rFont val="Calibri"/>
            <family val="34"/>
          </rPr>
          <t xml:space="preserve">
</t>
        </r>
      </text>
    </comment>
    <comment ref="BH320" authorId="0" shapeId="0" xr:uid="{97132A6A-4A79-B541-B546-4B6DD24CF63A}">
      <text>
        <r>
          <rPr>
            <sz val="14"/>
            <color rgb="FF000000"/>
            <rFont val="Calibri"/>
            <family val="34"/>
          </rPr>
          <t>IR 24 (1800-1801)</t>
        </r>
      </text>
    </comment>
    <comment ref="BF321" authorId="0" shapeId="0" xr:uid="{F66EB2F2-309F-2847-92BE-2E43B9E7BA84}">
      <text>
        <r>
          <rPr>
            <sz val="14"/>
            <color rgb="FF000000"/>
            <rFont val="Times New Roman"/>
            <family val="18"/>
          </rPr>
          <t xml:space="preserve">12/02/1800 [seit mindestens] </t>
        </r>
        <r>
          <rPr>
            <i/>
            <sz val="14"/>
            <color rgb="FF000000"/>
            <rFont val="Times New Roman"/>
            <family val="18"/>
          </rPr>
          <t>Dient bei IR 24 1. Major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10/06/1800 </t>
        </r>
        <r>
          <rPr>
            <i/>
            <sz val="14"/>
            <color rgb="FF000000"/>
            <rFont val="Times New Roman"/>
            <family val="18"/>
          </rPr>
          <t>Desertiert</t>
        </r>
        <r>
          <rPr>
            <sz val="14"/>
            <color rgb="FF000000"/>
            <rFont val="Times New Roman"/>
            <family val="18"/>
          </rPr>
          <t xml:space="preserve"> [ML 1802]</t>
        </r>
      </text>
    </comment>
    <comment ref="BG321" authorId="0" shapeId="0" xr:uid="{700E6AAD-0430-554C-AD77-8A26EC2DECF4}">
      <text>
        <r>
          <rPr>
            <sz val="14"/>
            <color rgb="FF000000"/>
            <rFont val="Times New Roman"/>
            <family val="18"/>
          </rPr>
          <t>ML 1937 IR 24 (1802) – 1. Major Komp. Abgang (Vienna 16/09/1802)</t>
        </r>
        <r>
          <rPr>
            <sz val="14"/>
            <color rgb="FF000000"/>
            <rFont val="Calibri"/>
            <family val="34"/>
          </rPr>
          <t xml:space="preserve">
</t>
        </r>
      </text>
    </comment>
    <comment ref="BH321" authorId="0" shapeId="0" xr:uid="{32615CD9-4F9A-3B4E-AD34-534DC8BC0BA0}">
      <text>
        <r>
          <rPr>
            <sz val="14"/>
            <color rgb="FF000000"/>
            <rFont val="Calibri"/>
            <family val="34"/>
          </rPr>
          <t>IR 24 (1800)</t>
        </r>
      </text>
    </comment>
    <comment ref="BF322" authorId="0" shapeId="0" xr:uid="{116287D3-1CEF-D146-9013-745592CE2BA7}">
      <text>
        <r>
          <rPr>
            <sz val="14"/>
            <color rgb="FF000000"/>
            <rFont val="Times New Roman"/>
            <family val="18"/>
          </rPr>
          <t xml:space="preserve">12/02/1800 [seit mindestens] </t>
        </r>
        <r>
          <rPr>
            <i/>
            <sz val="14"/>
            <color rgb="FF000000"/>
            <rFont val="Times New Roman"/>
            <family val="18"/>
          </rPr>
          <t>Dient bei IR 24 Haupt Luttemberger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10/09/1800 </t>
        </r>
        <r>
          <rPr>
            <i/>
            <sz val="14"/>
            <color rgb="FF000000"/>
            <rFont val="Times New Roman"/>
            <family val="18"/>
          </rPr>
          <t xml:space="preserve">Von Haupt Luttenberger zum Artillerie Handlanger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11/10/1800 </t>
        </r>
        <r>
          <rPr>
            <i/>
            <sz val="14"/>
            <color rgb="FF000000"/>
            <rFont val="Times New Roman"/>
            <family val="18"/>
          </rPr>
          <t>Von Artillerie Handlanger zum Haupt Luttenberger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10/01/1801 </t>
        </r>
        <r>
          <rPr>
            <i/>
            <sz val="14"/>
            <color rgb="FF000000"/>
            <rFont val="Times New Roman"/>
            <family val="18"/>
          </rPr>
          <t>In Kriegsgefangenschaft gefallen</t>
        </r>
        <r>
          <rPr>
            <sz val="14"/>
            <color rgb="FF000000"/>
            <rFont val="Times New Roman"/>
            <family val="18"/>
          </rPr>
          <t xml:space="preserve"> [ML 1802]</t>
        </r>
      </text>
    </comment>
    <comment ref="BG322" authorId="0" shapeId="0" xr:uid="{D3C182E1-C898-7847-926F-C5D2D7C71092}">
      <text>
        <r>
          <rPr>
            <sz val="14"/>
            <color rgb="FF000000"/>
            <rFont val="Times New Roman"/>
            <family val="18"/>
          </rPr>
          <t>ML 1937 IR 24 (1802) – Haupt Luttenberger. Abgang (Vienna 16/09/1802)</t>
        </r>
        <r>
          <rPr>
            <sz val="14"/>
            <color rgb="FF000000"/>
            <rFont val="Calibri"/>
            <family val="34"/>
          </rPr>
          <t xml:space="preserve">
</t>
        </r>
      </text>
    </comment>
    <comment ref="BH322" authorId="0" shapeId="0" xr:uid="{713EE70C-9698-C244-8D80-5E811C474FEC}">
      <text>
        <r>
          <rPr>
            <sz val="14"/>
            <color rgb="FF000000"/>
            <rFont val="Calibri"/>
            <family val="34"/>
          </rPr>
          <t>IR 24 (1800-1801)</t>
        </r>
      </text>
    </comment>
    <comment ref="BF323" authorId="0" shapeId="0" xr:uid="{6D8F4F5A-BF02-294F-A6EE-766D6AEF4821}">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15/07/1801 </t>
        </r>
        <r>
          <rPr>
            <i/>
            <sz val="14"/>
            <color rgb="FF000000"/>
            <rFont val="Times New Roman"/>
            <family val="18"/>
          </rPr>
          <t xml:space="preserve">Zu Tyrnauer Invalidenhaus transferiert </t>
        </r>
        <r>
          <rPr>
            <sz val="14"/>
            <color rgb="FF000000"/>
            <rFont val="Times New Roman"/>
            <family val="18"/>
          </rPr>
          <t>[ML 1802]</t>
        </r>
      </text>
    </comment>
    <comment ref="BG323" authorId="0" shapeId="0" xr:uid="{DBB05818-5793-3D45-8CB2-00DE3D280E0A}">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15/07/1801 </t>
        </r>
        <r>
          <rPr>
            <i/>
            <sz val="14"/>
            <color rgb="FF000000"/>
            <rFont val="Times New Roman"/>
            <family val="18"/>
          </rPr>
          <t xml:space="preserve">Zu Tyrnauer Invalidenhaus transferiert </t>
        </r>
        <r>
          <rPr>
            <sz val="14"/>
            <color rgb="FF000000"/>
            <rFont val="Times New Roman"/>
            <family val="18"/>
          </rPr>
          <t>[ML 1802]</t>
        </r>
        <r>
          <rPr>
            <sz val="14"/>
            <color rgb="FF000000"/>
            <rFont val="Calibri"/>
            <family val="34"/>
          </rPr>
          <t xml:space="preserve">
</t>
        </r>
      </text>
    </comment>
    <comment ref="BH323" authorId="0" shapeId="0" xr:uid="{5A49B273-EC59-0B4B-998C-9A3614F40954}">
      <text>
        <r>
          <rPr>
            <sz val="14"/>
            <color rgb="FF000000"/>
            <rFont val="Calibri"/>
            <family val="34"/>
          </rPr>
          <t xml:space="preserve">IR 24 (1800-1801)
</t>
        </r>
        <r>
          <rPr>
            <sz val="14"/>
            <color rgb="FF000000"/>
            <rFont val="Calibri"/>
            <family val="34"/>
          </rPr>
          <t>Inv Tyrnau (1801)</t>
        </r>
      </text>
    </comment>
    <comment ref="BF324" authorId="0" shapeId="0" xr:uid="{A26DF8CD-7550-C445-9DD3-23BABF17D53D}">
      <text>
        <r>
          <rPr>
            <sz val="14"/>
            <color rgb="FF000000"/>
            <rFont val="Times New Roman"/>
            <family val="18"/>
          </rPr>
          <t xml:space="preserve">12/02/1800 [seit mindestens] </t>
        </r>
        <r>
          <rPr>
            <i/>
            <sz val="14"/>
            <color rgb="FF000000"/>
            <rFont val="Times New Roman"/>
            <family val="18"/>
          </rPr>
          <t>Dient bei IR 24 Haupt Fraaz Komp.</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09/04/1800 </t>
        </r>
        <r>
          <rPr>
            <i/>
            <sz val="14"/>
            <color rgb="FF000000"/>
            <rFont val="Times New Roman"/>
            <family val="18"/>
          </rPr>
          <t>Zu Alessandria gestorben</t>
        </r>
        <r>
          <rPr>
            <sz val="14"/>
            <color rgb="FF000000"/>
            <rFont val="Times New Roman"/>
            <family val="18"/>
          </rPr>
          <t xml:space="preserve"> [ML 1802]</t>
        </r>
      </text>
    </comment>
    <comment ref="BG324" authorId="0" shapeId="0" xr:uid="{5E34DB4C-FE82-704C-8473-8688E9D9B35B}">
      <text>
        <r>
          <rPr>
            <sz val="14"/>
            <color rgb="FF000000"/>
            <rFont val="Times New Roman"/>
            <family val="18"/>
          </rPr>
          <t>ML 1937 IR 24 (1802) – Haupt Fraaz Abgang (Vienna 16/09/1802)</t>
        </r>
      </text>
    </comment>
    <comment ref="BH324" authorId="0" shapeId="0" xr:uid="{250685BC-EAF1-3E4F-836C-2C0DD41C8E13}">
      <text>
        <r>
          <rPr>
            <sz val="14"/>
            <color rgb="FF000000"/>
            <rFont val="Calibri"/>
            <family val="34"/>
          </rPr>
          <t>IR 24 (1800)</t>
        </r>
      </text>
    </comment>
    <comment ref="BF325" authorId="0" shapeId="0" xr:uid="{69D76115-4D7F-4646-A7FA-D90AA45D59DD}">
      <text>
        <r>
          <rPr>
            <sz val="14"/>
            <color rgb="FF000000"/>
            <rFont val="Times New Roman"/>
            <family val="18"/>
          </rPr>
          <t xml:space="preserve">12/02/1800 </t>
        </r>
        <r>
          <rPr>
            <i/>
            <sz val="14"/>
            <color rgb="FF000000"/>
            <rFont val="Times New Roman"/>
            <family val="18"/>
          </rPr>
          <t>in Galizien ausgehoben a 3Fl und seitdem auf Anhero Marsch mit Friedensgebühr</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 nicht mehr in die Quellen</t>
        </r>
        <r>
          <rPr>
            <sz val="14"/>
            <color rgb="FF000000"/>
            <rFont val="Times New Roman"/>
            <family val="18"/>
          </rPr>
          <t xml:space="preserve"> [ST Juni 1801]</t>
        </r>
        <r>
          <rPr>
            <sz val="14"/>
            <color rgb="FF000000"/>
            <rFont val="Calibri"/>
            <family val="34"/>
          </rPr>
          <t xml:space="preserve">
</t>
        </r>
      </text>
    </comment>
    <comment ref="BG325" authorId="0" shapeId="0" xr:uid="{00155865-BBF2-A843-8577-636ABF018E91}">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text>
    </comment>
    <comment ref="BH325" authorId="0" shapeId="0" xr:uid="{DD54A49B-FE4D-7D4B-BEF9-D048D5E12BA0}">
      <text>
        <r>
          <rPr>
            <sz val="14"/>
            <color rgb="FF000000"/>
            <rFont val="Calibri"/>
            <family val="34"/>
          </rPr>
          <t>IR 43 (1800-1801)</t>
        </r>
      </text>
    </comment>
    <comment ref="BF326" authorId="0" shapeId="0" xr:uid="{B0219B5B-AA7D-9F4E-A1FE-97FD5AABFC9E}">
      <text>
        <r>
          <rPr>
            <sz val="14"/>
            <color rgb="FF000000"/>
            <rFont val="Times New Roman"/>
            <family val="18"/>
          </rPr>
          <t xml:space="preserve">12/02/1800 </t>
        </r>
        <r>
          <rPr>
            <i/>
            <sz val="14"/>
            <color rgb="FF000000"/>
            <rFont val="Times New Roman"/>
            <family val="18"/>
          </rPr>
          <t xml:space="preserve">Zum Stuart Infantrie Regiment </t>
        </r>
        <r>
          <rPr>
            <b/>
            <sz val="14"/>
            <color rgb="FF000000"/>
            <rFont val="Times New Roman"/>
            <family val="18"/>
          </rPr>
          <t>[IR 18]</t>
        </r>
        <r>
          <rPr>
            <sz val="14"/>
            <color rgb="FF000000"/>
            <rFont val="Times New Roman"/>
            <family val="18"/>
          </rPr>
          <t xml:space="preserve"> </t>
        </r>
        <r>
          <rPr>
            <i/>
            <sz val="14"/>
            <color rgb="FF000000"/>
            <rFont val="Times New Roman"/>
            <family val="18"/>
          </rPr>
          <t>a 3Fl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23/07/1800 </t>
        </r>
        <r>
          <rPr>
            <i/>
            <sz val="14"/>
            <color rgb="FF000000"/>
            <rFont val="Times New Roman"/>
            <family val="18"/>
          </rPr>
          <t>Von da</t>
        </r>
        <r>
          <rPr>
            <sz val="14"/>
            <color rgb="FF000000"/>
            <rFont val="Times New Roman"/>
            <family val="18"/>
          </rPr>
          <t xml:space="preserve"> </t>
        </r>
        <r>
          <rPr>
            <b/>
            <sz val="14"/>
            <color rgb="FF000000"/>
            <rFont val="Times New Roman"/>
            <family val="18"/>
          </rPr>
          <t>[IR 18]</t>
        </r>
        <r>
          <rPr>
            <sz val="14"/>
            <color rgb="FF000000"/>
            <rFont val="Times New Roman"/>
            <family val="18"/>
          </rPr>
          <t xml:space="preserve"> </t>
        </r>
        <r>
          <rPr>
            <i/>
            <sz val="14"/>
            <color rgb="FF000000"/>
            <rFont val="Times New Roman"/>
            <family val="18"/>
          </rPr>
          <t xml:space="preserve">zum Kerpen Infant. </t>
        </r>
        <r>
          <rPr>
            <b/>
            <sz val="14"/>
            <color rgb="FF000000"/>
            <rFont val="Times New Roman"/>
            <family val="18"/>
          </rPr>
          <t xml:space="preserve">[IR 49]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t>
        </r>
        <r>
          <rPr>
            <b/>
            <sz val="14"/>
            <color rgb="FF000000"/>
            <rFont val="Times New Roman"/>
            <family val="18"/>
          </rPr>
          <t xml:space="preserve">[IR 49] </t>
        </r>
        <r>
          <rPr>
            <i/>
            <sz val="14"/>
            <color rgb="FF000000"/>
            <rFont val="Times New Roman"/>
            <family val="18"/>
          </rPr>
          <t>anhero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154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07/09/1803 Muster: IR 23 Haupt Hochegg Nr. 131 [</t>
        </r>
        <r>
          <rPr>
            <i/>
            <sz val="14"/>
            <color rgb="FF000000"/>
            <rFont val="Times New Roman"/>
            <family val="18"/>
          </rPr>
          <t>Beurlaubt in seinem Geburtsort auf Bestimte Zeit</t>
        </r>
        <r>
          <rPr>
            <sz val="14"/>
            <color rgb="FF000000"/>
            <rFont val="Times New Roman"/>
            <family val="18"/>
          </rPr>
          <t>]</t>
        </r>
        <r>
          <rPr>
            <sz val="14"/>
            <color rgb="FF000000"/>
            <rFont val="Calibri"/>
            <family val="34"/>
          </rPr>
          <t xml:space="preserve">
</t>
        </r>
        <r>
          <rPr>
            <sz val="14"/>
            <color rgb="FF000000"/>
            <rFont val="Times New Roman"/>
            <family val="18"/>
          </rPr>
          <t xml:space="preserve">11/07/1803 </t>
        </r>
        <r>
          <rPr>
            <i/>
            <sz val="14"/>
            <color rgb="FF000000"/>
            <rFont val="Times New Roman"/>
            <family val="18"/>
          </rPr>
          <t xml:space="preserve">Von Urlaub desertiert </t>
        </r>
        <r>
          <rPr>
            <sz val="14"/>
            <color rgb="FF000000"/>
            <rFont val="Times New Roman"/>
            <family val="18"/>
          </rPr>
          <t>[ML 1804]</t>
        </r>
        <r>
          <rPr>
            <sz val="14"/>
            <color rgb="FF000000"/>
            <rFont val="Calibri"/>
            <family val="2"/>
            <scheme val="minor"/>
          </rPr>
          <t xml:space="preserve"> </t>
        </r>
      </text>
    </comment>
    <comment ref="BG326" authorId="0" shapeId="0" xr:uid="{72DA8C4B-57EF-384A-9603-783225BFA174}">
      <text>
        <r>
          <rPr>
            <sz val="14"/>
            <color rgb="FF000000"/>
            <rFont val="Times New Roman"/>
            <family val="18"/>
          </rPr>
          <t>ML 10.124 IR 23 (1802) – Haupt Hochegg Komp. Nr. 154 (Krems 09/09/1802)</t>
        </r>
        <r>
          <rPr>
            <sz val="14"/>
            <color rgb="FF000000"/>
            <rFont val="Calibri"/>
            <family val="34"/>
          </rPr>
          <t xml:space="preserve">
</t>
        </r>
        <r>
          <rPr>
            <sz val="14"/>
            <color rgb="FF000000"/>
            <rFont val="Times New Roman"/>
            <family val="18"/>
          </rPr>
          <t>ML 10.125 IR 23 (1803) – Haupt Hochegg Komp. Nr. 131 (Execierlager bei St Pölten 07/09/1803)</t>
        </r>
        <r>
          <rPr>
            <sz val="14"/>
            <color rgb="FF000000"/>
            <rFont val="Calibri"/>
            <family val="34"/>
          </rPr>
          <t xml:space="preserve">
</t>
        </r>
        <r>
          <rPr>
            <sz val="14"/>
            <color rgb="FF000000"/>
            <rFont val="Times New Roman"/>
            <family val="18"/>
          </rPr>
          <t>10.126 IR 23 (1804) – Haupt Hochegg Komp. Abgang (Vienna 13/09/1804)</t>
        </r>
        <r>
          <rPr>
            <sz val="14"/>
            <color rgb="FF000000"/>
            <rFont val="Calibri"/>
            <family val="34"/>
          </rPr>
          <t xml:space="preserve">
</t>
        </r>
      </text>
    </comment>
    <comment ref="BH326" authorId="0" shapeId="0" xr:uid="{BCC931BC-E24B-9E46-BE58-1E9CF0523948}">
      <text>
        <r>
          <rPr>
            <sz val="14"/>
            <color rgb="FF000000"/>
            <rFont val="Calibri"/>
            <family val="34"/>
          </rPr>
          <t xml:space="preserve">IR 18 (1800-1800)
</t>
        </r>
        <r>
          <rPr>
            <sz val="14"/>
            <color rgb="FF000000"/>
            <rFont val="Calibri"/>
            <family val="34"/>
          </rPr>
          <t xml:space="preserve">IR 49 (1800-1802)
</t>
        </r>
        <r>
          <rPr>
            <sz val="14"/>
            <color rgb="FF000000"/>
            <rFont val="Calibri"/>
            <family val="34"/>
          </rPr>
          <t xml:space="preserve">IR 23 (1802-1803)
</t>
        </r>
      </text>
    </comment>
    <comment ref="BF327" authorId="0" shapeId="0" xr:uid="{8BF5EDB0-5FAB-F846-A34F-B802C2986A70}">
      <text>
        <r>
          <rPr>
            <sz val="14"/>
            <color rgb="FFFF0000"/>
            <rFont val="Times New Roman"/>
            <family val="18"/>
          </rPr>
          <t xml:space="preserve">21/11/1799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13/02/1800 </t>
        </r>
        <r>
          <rPr>
            <i/>
            <sz val="14"/>
            <color rgb="FF000000"/>
            <rFont val="Times New Roman"/>
            <family val="18"/>
          </rPr>
          <t>Von Ständen gestellt und in Sandomierz zum IR 43 assentiert; seitdem auf anhero Marsch mit Friedensgebühr</t>
        </r>
        <r>
          <rPr>
            <sz val="14"/>
            <color rgb="FF000000"/>
            <rFont val="Times New Roman"/>
            <family val="18"/>
          </rPr>
          <t xml:space="preserve"> [ML Mai 1800]</t>
        </r>
        <r>
          <rPr>
            <sz val="14"/>
            <color rgb="FF000000"/>
            <rFont val="Calibri"/>
            <family val="34"/>
          </rPr>
          <t xml:space="preserve">
</t>
        </r>
        <r>
          <rPr>
            <sz val="14"/>
            <color rgb="FF000000"/>
            <rFont val="Times New Roman"/>
            <family val="18"/>
          </rPr>
          <t xml:space="preserve">16/08/1800 </t>
        </r>
        <r>
          <rPr>
            <i/>
            <sz val="14"/>
            <color rgb="FF000000"/>
            <rFont val="Times New Roman"/>
            <family val="18"/>
          </rPr>
          <t>Von Reserve Division ins 2. Major Komp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11/09/1802 Muster: IR 43 2. Major Komp. Nr. 82]</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2. Major Comp. Nr. 74 [</t>
        </r>
        <r>
          <rPr>
            <i/>
            <sz val="14"/>
            <color rgb="FF000000"/>
            <rFont val="Times New Roman"/>
            <family val="18"/>
          </rPr>
          <t>Bis Einberufung in Josephow in Ost Galizien beurlaubt</t>
        </r>
        <r>
          <rPr>
            <sz val="14"/>
            <color rgb="FF000000"/>
            <rFont val="Times New Roman"/>
            <family val="18"/>
          </rPr>
          <t>]</t>
        </r>
        <r>
          <rPr>
            <sz val="14"/>
            <color rgb="FF000000"/>
            <rFont val="Calibri"/>
            <family val="34"/>
          </rPr>
          <t xml:space="preserve">
</t>
        </r>
        <r>
          <rPr>
            <sz val="14"/>
            <color rgb="FF000000"/>
            <rFont val="Times New Roman"/>
            <family val="18"/>
          </rPr>
          <t xml:space="preserve">20/09/1804 </t>
        </r>
        <r>
          <rPr>
            <i/>
            <sz val="14"/>
            <color rgb="FF000000"/>
            <rFont val="Times New Roman"/>
            <family val="18"/>
          </rPr>
          <t>Von unbestimmte Urlaub desertiert</t>
        </r>
        <r>
          <rPr>
            <sz val="14"/>
            <color rgb="FF000000"/>
            <rFont val="Times New Roman"/>
            <family val="18"/>
          </rPr>
          <t xml:space="preserve"> [ST Oct 1804 &amp; ML 1805]</t>
        </r>
        <r>
          <rPr>
            <sz val="14"/>
            <color rgb="FF000000"/>
            <rFont val="Calibri"/>
            <family val="34"/>
          </rPr>
          <t xml:space="preserve">
</t>
        </r>
      </text>
    </comment>
    <comment ref="BG327" authorId="0" shapeId="0" xr:uid="{9A2E0E04-3DBC-2746-A64D-7205EFB9236D}">
      <text>
        <r>
          <rPr>
            <sz val="14"/>
            <color rgb="FF000000"/>
            <rFont val="Times New Roman"/>
            <family val="18"/>
          </rPr>
          <t>ML 10.272 IR 43 (1802) – Heft von 2. Major Comp. Nr. 82 (Zara 11/09/1802)</t>
        </r>
        <r>
          <rPr>
            <sz val="14"/>
            <color rgb="FF000000"/>
            <rFont val="Calibri"/>
            <family val="34"/>
          </rPr>
          <t xml:space="preserve">
</t>
        </r>
        <r>
          <rPr>
            <sz val="14"/>
            <color rgb="FF000000"/>
            <rFont val="Times New Roman"/>
            <family val="18"/>
          </rPr>
          <t>ML 10.273 IR 43 (1803) – Heft von 2. Major Comp. Nr. 74 (Zara 28/09/1803)</t>
        </r>
        <r>
          <rPr>
            <sz val="14"/>
            <color rgb="FF000000"/>
            <rFont val="Calibri"/>
            <family val="34"/>
          </rPr>
          <t xml:space="preserve">
</t>
        </r>
        <r>
          <rPr>
            <sz val="14"/>
            <color rgb="FF000000"/>
            <rFont val="Times New Roman"/>
            <family val="18"/>
          </rPr>
          <t>ML 10.274 IR 43 (1804) – Heft von 2. Major Comp. Abgang (Cattaro 07/10/1804)</t>
        </r>
        <r>
          <rPr>
            <sz val="14"/>
            <color rgb="FF000000"/>
            <rFont val="Calibri"/>
            <family val="34"/>
          </rPr>
          <t xml:space="preserve">
</t>
        </r>
        <r>
          <rPr>
            <sz val="14"/>
            <color rgb="FF000000"/>
            <rFont val="Times New Roman"/>
            <family val="18"/>
          </rPr>
          <t>ML 10.309 IR 43 (1800) – ST Mai (??), Sept (31/01/1804)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10.314 IR 43 (1804) – ST Okt (08/12/1804)</t>
        </r>
      </text>
    </comment>
    <comment ref="BH327" authorId="0" shapeId="0" xr:uid="{E32F9EA1-33ED-024C-AD2F-09E3D2C0D6F8}">
      <text>
        <r>
          <rPr>
            <sz val="14"/>
            <color rgb="FF000000"/>
            <rFont val="Calibri"/>
            <family val="34"/>
          </rPr>
          <t>IR 43 (1800-1804)</t>
        </r>
      </text>
    </comment>
    <comment ref="O328" authorId="0" shapeId="0" xr:uid="{32C539F4-1E41-1540-AC31-C7C7587BFB34}">
      <text>
        <r>
          <rPr>
            <sz val="14"/>
            <color rgb="FF000000"/>
            <rFont val="Times New Roman"/>
            <family val="18"/>
          </rPr>
          <t xml:space="preserve">Helsel (1796)
</t>
        </r>
        <r>
          <rPr>
            <sz val="14"/>
            <color rgb="FF000000"/>
            <rFont val="Times New Roman"/>
            <family val="18"/>
          </rPr>
          <t>Joseph (1798)</t>
        </r>
      </text>
    </comment>
    <comment ref="BF328" authorId="0" shapeId="0" xr:uid="{145A4501-D319-BD4C-93CA-24BB7FF41A5B}">
      <text>
        <r>
          <rPr>
            <sz val="14"/>
            <color rgb="FF000000"/>
            <rFont val="Times New Roman"/>
            <family val="18"/>
          </rPr>
          <t xml:space="preserve">21/02/1800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Dancky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Dankey Komp. Nr. 48 [</t>
        </r>
        <r>
          <rPr>
            <i/>
            <sz val="14"/>
            <color rgb="FF000000"/>
            <rFont val="Times New Roman"/>
            <family val="18"/>
          </rPr>
          <t>Bestimmt beurlaubt</t>
        </r>
        <r>
          <rPr>
            <sz val="14"/>
            <color rgb="FF000000"/>
            <rFont val="Times New Roman"/>
            <family val="18"/>
          </rPr>
          <t>]</t>
        </r>
        <r>
          <rPr>
            <sz val="14"/>
            <color rgb="FF000000"/>
            <rFont val="Calibri"/>
            <family val="34"/>
          </rPr>
          <t xml:space="preserve">
</t>
        </r>
        <r>
          <rPr>
            <sz val="14"/>
            <color rgb="FF000000"/>
            <rFont val="Times New Roman"/>
            <family val="18"/>
          </rPr>
          <t xml:space="preserve">31/08/1803 </t>
        </r>
        <r>
          <rPr>
            <i/>
            <sz val="14"/>
            <color rgb="FF000000"/>
            <rFont val="Times New Roman"/>
            <family val="18"/>
          </rPr>
          <t>Laut Besondere Verordnung mit Abschied entlassen</t>
        </r>
        <r>
          <rPr>
            <sz val="14"/>
            <color rgb="FF000000"/>
            <rFont val="Times New Roman"/>
            <family val="18"/>
          </rPr>
          <t xml:space="preserve"> [ML 1803]</t>
        </r>
        <r>
          <rPr>
            <sz val="14"/>
            <color rgb="FF000000"/>
            <rFont val="Calibri"/>
            <family val="34"/>
          </rPr>
          <t xml:space="preserve">
</t>
        </r>
      </text>
    </comment>
    <comment ref="BG328" authorId="0" shapeId="0" xr:uid="{74A07361-CBE1-B44C-99F4-B6252B4F23C3}">
      <text>
        <r>
          <rPr>
            <sz val="14"/>
            <color rgb="FF000000"/>
            <rFont val="Times New Roman"/>
            <family val="18"/>
          </rPr>
          <t>ML 5102-4 IR 60 (1802) – Heft von Haupt Dankey Komp Nr. 48 (Tamesvar 15/09/1802), Reserve Division (Tamesvar 15/09/1802)</t>
        </r>
        <r>
          <rPr>
            <sz val="14"/>
            <color rgb="FF000000"/>
            <rFont val="Calibri"/>
            <family val="34"/>
          </rPr>
          <t xml:space="preserve">
</t>
        </r>
        <r>
          <rPr>
            <sz val="14"/>
            <color rgb="FF000000"/>
            <rFont val="Times New Roman"/>
            <family val="18"/>
          </rPr>
          <t>ML 5105 IR 60 (1803) – Haupt Daneky Komp. - Abgang (Arad 16/09/1803)</t>
        </r>
      </text>
    </comment>
    <comment ref="BH328" authorId="0" shapeId="0" xr:uid="{7F10493D-9192-1F42-83E8-A138693BAD7D}">
      <text>
        <r>
          <rPr>
            <sz val="14"/>
            <color rgb="FF000000"/>
            <rFont val="Calibri"/>
            <family val="34"/>
          </rPr>
          <t>IR 60 (1800-1803)</t>
        </r>
      </text>
    </comment>
    <comment ref="BF329" authorId="0" shapeId="0" xr:uid="{4B33A5EE-1DC6-974D-AD76-3035869F2130}">
      <text>
        <r>
          <rPr>
            <sz val="14"/>
            <color rgb="FF000000"/>
            <rFont val="Times New Roman"/>
            <family val="18"/>
          </rPr>
          <t xml:space="preserve">22/02/1800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21/04/1800 </t>
        </r>
        <r>
          <rPr>
            <i/>
            <sz val="14"/>
            <color rgb="FF000000"/>
            <rFont val="Times New Roman"/>
            <family val="18"/>
          </rPr>
          <t>Von Reserve Division zum Haupt Szombathely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15/09/1801 </t>
        </r>
        <r>
          <rPr>
            <i/>
            <sz val="14"/>
            <color rgb="FF000000"/>
            <rFont val="Times New Roman"/>
            <family val="18"/>
          </rPr>
          <t xml:space="preserve">Laut Besondere Verordnung unentgeltlich mit Abschied entlassen </t>
        </r>
        <r>
          <rPr>
            <sz val="14"/>
            <color rgb="FF000000"/>
            <rFont val="Times New Roman"/>
            <family val="18"/>
          </rPr>
          <t>[ML 1802]</t>
        </r>
        <r>
          <rPr>
            <sz val="14"/>
            <color rgb="FF000000"/>
            <rFont val="Calibri"/>
            <family val="34"/>
          </rPr>
          <t xml:space="preserve">
</t>
        </r>
      </text>
    </comment>
    <comment ref="BG329" authorId="0" shapeId="0" xr:uid="{82CB754C-3F9F-F143-B37D-244615D392FF}">
      <text>
        <r>
          <rPr>
            <sz val="14"/>
            <color rgb="FF000000"/>
            <rFont val="Times New Roman"/>
            <family val="18"/>
          </rPr>
          <t>ML 5102-4 IR 60 (1802) – Haupt Szombathely Zuwachs &amp; Abgang (Tamesvar 15/09/1802), Reserve Division Zuwachs &amp; Abgang (Tamesvar 15/09/1802)</t>
        </r>
        <r>
          <rPr>
            <sz val="14"/>
            <color rgb="FF000000"/>
            <rFont val="Calibri"/>
            <family val="34"/>
          </rPr>
          <t xml:space="preserve">
</t>
        </r>
      </text>
    </comment>
    <comment ref="BH329" authorId="0" shapeId="0" xr:uid="{F6F72CD2-FA45-1D45-AC43-48FDD80109D7}">
      <text>
        <r>
          <rPr>
            <sz val="14"/>
            <color rgb="FF000000"/>
            <rFont val="Calibri"/>
            <family val="34"/>
          </rPr>
          <t>IR 60 (1800-1801)</t>
        </r>
      </text>
    </comment>
    <comment ref="BF330" authorId="0" shapeId="0" xr:uid="{79ADBDD0-229A-4049-B746-C28D437F486D}">
      <text>
        <r>
          <rPr>
            <sz val="14"/>
            <color rgb="FF000000"/>
            <rFont val="Times New Roman"/>
            <family val="18"/>
          </rPr>
          <t xml:space="preserve">22/02/1800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08/12/1800 </t>
        </r>
        <r>
          <rPr>
            <i/>
            <sz val="14"/>
            <color rgb="FF000000"/>
            <rFont val="Times New Roman"/>
            <family val="18"/>
          </rPr>
          <t xml:space="preserve">Zum Samuel Gyulai Infanterie Regiment Nro. 32. 3tes. Feld Bataillon transferiert </t>
        </r>
        <r>
          <rPr>
            <sz val="14"/>
            <color rgb="FF000000"/>
            <rFont val="Times New Roman"/>
            <family val="18"/>
          </rPr>
          <t>[ML 1802]</t>
        </r>
      </text>
    </comment>
    <comment ref="BG330" authorId="0" shapeId="0" xr:uid="{B5A9C290-4E92-9D48-A5F0-ED3621CE2E0B}">
      <text>
        <r>
          <rPr>
            <sz val="14"/>
            <color rgb="FF000000"/>
            <rFont val="Times New Roman"/>
            <family val="18"/>
          </rPr>
          <t>ML 5102-4 IR 60 (1802) – Reserve Division Zuwachs &amp; Abgang (Tamesvar 15/09/1802)</t>
        </r>
        <r>
          <rPr>
            <sz val="14"/>
            <color rgb="FF000000"/>
            <rFont val="Calibri"/>
            <family val="34"/>
          </rPr>
          <t xml:space="preserve">
</t>
        </r>
      </text>
    </comment>
    <comment ref="BH330" authorId="0" shapeId="0" xr:uid="{853631E2-0034-8D48-B252-89387545FBEF}">
      <text>
        <r>
          <rPr>
            <sz val="14"/>
            <color rgb="FF000000"/>
            <rFont val="Calibri"/>
            <family val="34"/>
          </rPr>
          <t xml:space="preserve">IR 60 (1800)
</t>
        </r>
        <r>
          <rPr>
            <sz val="14"/>
            <color rgb="FF000000"/>
            <rFont val="Calibri"/>
            <family val="34"/>
          </rPr>
          <t>IR 32 (1800)</t>
        </r>
      </text>
    </comment>
    <comment ref="BF331" authorId="0" shapeId="0" xr:uid="{760F6B30-1573-F344-99A8-18A2AC8A605F}">
      <text>
        <r>
          <rPr>
            <sz val="14"/>
            <color rgb="FF000000"/>
            <rFont val="Times New Roman"/>
            <family val="18"/>
          </rPr>
          <t xml:space="preserve">25/02/1800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06/06/1800 </t>
        </r>
        <r>
          <rPr>
            <i/>
            <sz val="14"/>
            <color rgb="FF000000"/>
            <rFont val="Times New Roman"/>
            <family val="18"/>
          </rPr>
          <t>Von Reserve Division zum ObristLt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ObristLt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26/04/1801 </t>
        </r>
        <r>
          <rPr>
            <i/>
            <sz val="14"/>
            <color rgb="FF000000"/>
            <rFont val="Times New Roman"/>
            <family val="18"/>
          </rPr>
          <t>Von Obrist zum Haupt Krapf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31/05/1801 </t>
        </r>
        <r>
          <rPr>
            <i/>
            <sz val="14"/>
            <color rgb="FF000000"/>
            <rFont val="Times New Roman"/>
            <family val="18"/>
          </rPr>
          <t>Von Haupt Krapf zum Obrist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05/08/1802</t>
        </r>
        <r>
          <rPr>
            <i/>
            <sz val="14"/>
            <color rgb="FF000000"/>
            <rFont val="Times New Roman"/>
            <family val="18"/>
          </rPr>
          <t xml:space="preserve"> Laut Besondere Verordnung ohnentgeldich Mit Abschied entlassen </t>
        </r>
        <r>
          <rPr>
            <sz val="14"/>
            <color rgb="FF000000"/>
            <rFont val="Times New Roman"/>
            <family val="18"/>
          </rPr>
          <t>[ML 1802]</t>
        </r>
        <r>
          <rPr>
            <sz val="14"/>
            <color rgb="FF000000"/>
            <rFont val="Calibri"/>
            <family val="34"/>
          </rPr>
          <t xml:space="preserve">
</t>
        </r>
      </text>
    </comment>
    <comment ref="BG331" authorId="0" shapeId="0" xr:uid="{4D6F67C6-35A5-F144-BEC1-AF088D4499C2}">
      <text>
        <r>
          <rPr>
            <sz val="14"/>
            <color rgb="FF000000"/>
            <rFont val="Times New Roman"/>
            <family val="18"/>
          </rPr>
          <t>ML 5102-4 IR 60 (1802) – Obrist Komp. Zuwachs (Tamesvar 15/09/1802), ObristLt Komp. Zuwachs &amp; Abgang (Petervardein 20/05/1802), Haupt Krapf Komp. (Tamesvar 15/09/1802), Reserve Division Zuwachs &amp; Abgang (Tamesvar 15/09/1802)</t>
        </r>
        <r>
          <rPr>
            <sz val="14"/>
            <color rgb="FF000000"/>
            <rFont val="Calibri"/>
            <family val="34"/>
          </rPr>
          <t xml:space="preserve">
</t>
        </r>
      </text>
    </comment>
    <comment ref="BH331" authorId="0" shapeId="0" xr:uid="{D2EE9DF5-FE25-E145-B3DC-AC20155AA1EA}">
      <text>
        <r>
          <rPr>
            <sz val="14"/>
            <color rgb="FF000000"/>
            <rFont val="Calibri"/>
            <family val="34"/>
          </rPr>
          <t>IR 60 (1800-1802)</t>
        </r>
      </text>
    </comment>
    <comment ref="I332" authorId="0" shapeId="0" xr:uid="{FD425247-6BE9-C344-A1D2-436475AD87E9}">
      <text>
        <r>
          <rPr>
            <sz val="14"/>
            <color rgb="FF000000"/>
            <rFont val="Calibri"/>
            <family val="34"/>
          </rPr>
          <t xml:space="preserve">1772 [30 (1802] 
</t>
        </r>
        <r>
          <rPr>
            <sz val="14"/>
            <color rgb="FF000000"/>
            <rFont val="Calibri"/>
            <family val="34"/>
          </rPr>
          <t xml:space="preserve">OR 
</t>
        </r>
        <r>
          <rPr>
            <sz val="14"/>
            <color rgb="FF000000"/>
            <rFont val="Calibri"/>
            <family val="34"/>
          </rPr>
          <t xml:space="preserve">1774 [34 (1808])
</t>
        </r>
        <r>
          <rPr>
            <sz val="14"/>
            <color rgb="FF000000"/>
            <rFont val="Calibri"/>
            <family val="34"/>
          </rPr>
          <t xml:space="preserve">OR
</t>
        </r>
        <r>
          <rPr>
            <sz val="14"/>
            <color rgb="FF000000"/>
            <rFont val="Calibri"/>
            <family val="34"/>
          </rPr>
          <t>1773 [38 (1811)]</t>
        </r>
      </text>
    </comment>
    <comment ref="O332" authorId="0" shapeId="0" xr:uid="{E7CB92CC-BBE3-4443-9C3E-0434D0EFFFE0}">
      <text>
        <r>
          <rPr>
            <sz val="14"/>
            <color rgb="FF000000"/>
            <rFont val="Times New Roman"/>
            <family val="18"/>
          </rPr>
          <t>Moises (1792)</t>
        </r>
      </text>
    </comment>
    <comment ref="P332" authorId="0" shapeId="0" xr:uid="{D5D625AB-3F19-6148-9D82-5E0612F1C096}">
      <text>
        <r>
          <rPr>
            <sz val="14"/>
            <color rgb="FF000000"/>
            <rFont val="Times New Roman"/>
            <family val="18"/>
          </rPr>
          <t xml:space="preserve">Sadel (1794)
</t>
        </r>
        <r>
          <rPr>
            <sz val="14"/>
            <color rgb="FF000000"/>
            <rFont val="Times New Roman"/>
            <family val="18"/>
          </rPr>
          <t>Lenka (1796)</t>
        </r>
      </text>
    </comment>
    <comment ref="BF332" authorId="0" shapeId="0" xr:uid="{604C6BEE-6E9C-824A-B149-2113C3346228}">
      <text>
        <r>
          <rPr>
            <sz val="14"/>
            <color rgb="FF000000"/>
            <rFont val="Times New Roman"/>
            <family val="18"/>
          </rPr>
          <t xml:space="preserve">26/02/1800 </t>
        </r>
        <r>
          <rPr>
            <i/>
            <sz val="14"/>
            <color rgb="FF000000"/>
            <rFont val="Times New Roman"/>
            <family val="18"/>
          </rPr>
          <t xml:space="preserve">Zu Reisky Infantry IR 13 </t>
        </r>
        <r>
          <rPr>
            <i/>
            <sz val="14"/>
            <color rgb="FF000000"/>
            <rFont val="Times New Roman"/>
            <family val="18"/>
          </rPr>
          <t>als Landständischer Recrout a 3Fl Handgeld zu Joczefow assentiert auf Beständig assentiert</t>
        </r>
        <r>
          <rPr>
            <sz val="14"/>
            <color rgb="FF000000"/>
            <rFont val="Times New Roman"/>
            <family val="18"/>
          </rPr>
          <t xml:space="preserve"> [ML 1802 &amp; TL 1808]</t>
        </r>
        <r>
          <rPr>
            <sz val="14"/>
            <color rgb="FF000000"/>
            <rFont val="Calibri"/>
            <family val="34"/>
          </rPr>
          <t xml:space="preserve">
</t>
        </r>
        <r>
          <rPr>
            <sz val="14"/>
            <color rgb="FF000000"/>
            <rFont val="Times New Roman"/>
            <family val="18"/>
          </rPr>
          <t>22/09/1802 Muster: IR 13 Haupt Tuzzi Komp. Nr. 40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 xml:space="preserve">10/03/1808 </t>
        </r>
        <r>
          <rPr>
            <i/>
            <sz val="14"/>
            <color rgb="FF000000"/>
            <rFont val="Times New Roman"/>
            <family val="18"/>
          </rPr>
          <t xml:space="preserve">Von IR 13 15. Fus. </t>
        </r>
        <r>
          <rPr>
            <sz val="14"/>
            <color rgb="FF000000"/>
            <rFont val="Times New Roman"/>
            <family val="18"/>
          </rPr>
          <t>[Haupt Angeli]</t>
        </r>
        <r>
          <rPr>
            <i/>
            <sz val="14"/>
            <color rgb="FF000000"/>
            <rFont val="Times New Roman"/>
            <family val="18"/>
          </rPr>
          <t xml:space="preserve"> Komp. zum Marine Infanterie zum Triest transferiert</t>
        </r>
        <r>
          <rPr>
            <sz val="14"/>
            <color rgb="FF000000"/>
            <rFont val="Times New Roman"/>
            <family val="18"/>
          </rPr>
          <t xml:space="preserve"> [</t>
        </r>
        <r>
          <rPr>
            <i/>
            <sz val="14"/>
            <color rgb="FF000000"/>
            <rFont val="Times New Roman"/>
            <family val="18"/>
          </rPr>
          <t>Ist bei der Marine nicht angekommen Worden</t>
        </r>
        <r>
          <rPr>
            <sz val="14"/>
            <color rgb="FF000000"/>
            <rFont val="Times New Roman"/>
            <family val="18"/>
          </rPr>
          <t>] [TL March 1797]</t>
        </r>
        <r>
          <rPr>
            <sz val="14"/>
            <color rgb="FF000000"/>
            <rFont val="Calibri"/>
            <family val="34"/>
          </rPr>
          <t xml:space="preserve">
</t>
        </r>
        <r>
          <rPr>
            <sz val="14"/>
            <color rgb="FF000000"/>
            <rFont val="Times New Roman"/>
            <family val="18"/>
          </rPr>
          <t xml:space="preserve">01/07/1808 </t>
        </r>
        <r>
          <rPr>
            <i/>
            <sz val="14"/>
            <color rgb="FF000000"/>
            <rFont val="Times New Roman"/>
            <family val="18"/>
          </rPr>
          <t>Von IR 13 ‘Reisky’ 15. Fus.</t>
        </r>
        <r>
          <rPr>
            <sz val="14"/>
            <color rgb="FF000000"/>
            <rFont val="Times New Roman"/>
            <family val="18"/>
          </rPr>
          <t xml:space="preserve"> [Haupt Angely] </t>
        </r>
        <r>
          <rPr>
            <i/>
            <sz val="14"/>
            <color rgb="FF000000"/>
            <rFont val="Times New Roman"/>
            <family val="18"/>
          </rPr>
          <t xml:space="preserve">Komp. </t>
        </r>
        <r>
          <rPr>
            <i/>
            <sz val="14"/>
            <color rgb="FF000000"/>
            <rFont val="Times New Roman"/>
            <family val="18"/>
          </rPr>
          <t>zum Krainer-Kärntischer</t>
        </r>
        <r>
          <rPr>
            <i/>
            <sz val="14"/>
            <color rgb="FF000000"/>
            <rFont val="Times New Roman"/>
            <family val="18"/>
          </rPr>
          <t xml:space="preserve"> Grenz Cordon transferiert </t>
        </r>
        <r>
          <rPr>
            <sz val="14"/>
            <color rgb="FF000000"/>
            <rFont val="Times New Roman"/>
            <family val="18"/>
          </rPr>
          <t xml:space="preserve">[TL July 1808] </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Inner-Österreichischen Grenz Cordon transferiert</t>
        </r>
        <r>
          <rPr>
            <sz val="14"/>
            <color rgb="FF000000"/>
            <rFont val="Times New Roman"/>
            <family val="18"/>
          </rPr>
          <t xml:space="preserve"> [ML 1810]</t>
        </r>
        <r>
          <rPr>
            <sz val="14"/>
            <color rgb="FF000000"/>
            <rFont val="Calibri"/>
            <family val="34"/>
          </rPr>
          <t xml:space="preserve">
</t>
        </r>
        <r>
          <rPr>
            <sz val="14"/>
            <color rgb="FF000000"/>
            <rFont val="Times New Roman"/>
            <family val="18"/>
          </rPr>
          <t>18/09/1810 Revision: GK IÖ 4. Komp. Nr. 54</t>
        </r>
        <r>
          <rPr>
            <sz val="14"/>
            <color rgb="FF000000"/>
            <rFont val="Calibri"/>
            <family val="34"/>
          </rPr>
          <t xml:space="preserve">
</t>
        </r>
        <r>
          <rPr>
            <sz val="14"/>
            <color rgb="FF000000"/>
            <rFont val="Times New Roman"/>
            <family val="18"/>
          </rPr>
          <t>12/09/1811 Muster: GK IÖ 4. Komp. Nr. 66</t>
        </r>
        <r>
          <rPr>
            <sz val="14"/>
            <color rgb="FF000000"/>
            <rFont val="Calibri"/>
            <family val="34"/>
          </rPr>
          <t xml:space="preserve">
</t>
        </r>
        <r>
          <rPr>
            <sz val="14"/>
            <color rgb="FF000000"/>
            <rFont val="Times New Roman"/>
            <family val="18"/>
          </rPr>
          <t xml:space="preserve">30/04/1812 </t>
        </r>
        <r>
          <rPr>
            <i/>
            <sz val="14"/>
            <color rgb="FF000000"/>
            <rFont val="Times New Roman"/>
            <family val="18"/>
          </rPr>
          <t>In Folge hoher Inner-Österreichische General Kommando Verordnung detto Graz den 14/04/1812 K. 1800 als reale Invalid gegen Renuncierung’ mit Abschied entlassen</t>
        </r>
        <r>
          <rPr>
            <sz val="14"/>
            <color rgb="FF000000"/>
            <rFont val="Times New Roman"/>
            <family val="18"/>
          </rPr>
          <t xml:space="preserve"> [RL 1812]</t>
        </r>
        <r>
          <rPr>
            <sz val="14"/>
            <color rgb="FF000000"/>
            <rFont val="Calibri"/>
            <family val="34"/>
          </rPr>
          <t xml:space="preserve">
</t>
        </r>
      </text>
    </comment>
    <comment ref="BG332" authorId="0" shapeId="0" xr:uid="{95545D64-4BD6-F34F-AFDD-A3C2534AA3F6}">
      <text>
        <r>
          <rPr>
            <sz val="14"/>
            <color rgb="FF000000"/>
            <rFont val="Times New Roman"/>
            <family val="18"/>
          </rPr>
          <t>ML 10.045/6 IR 13 (1802) – Heft von Haupt Tuzzi Comp. Nr. 40 (Görz 22/09/1802)</t>
        </r>
        <r>
          <rPr>
            <sz val="14"/>
            <color rgb="FF000000"/>
            <rFont val="Calibri"/>
            <family val="34"/>
          </rPr>
          <t xml:space="preserve">
</t>
        </r>
        <r>
          <rPr>
            <sz val="14"/>
            <color rgb="FF000000"/>
            <rFont val="Times New Roman"/>
            <family val="18"/>
          </rPr>
          <t>ML 10.095 IR 13 (1808) AL/TL – TL IR 13-&gt;Triester Marine Infanterie [Between Nr. 59 and 60 – Erased] (Görz 11/03/1808), TL IR 13-&gt; Krainer GK Nr. 25 (Triest 20/07/1808)</t>
        </r>
        <r>
          <rPr>
            <sz val="14"/>
            <color rgb="FF000000"/>
            <rFont val="Calibri"/>
            <family val="34"/>
          </rPr>
          <t xml:space="preserve">
</t>
        </r>
        <r>
          <rPr>
            <sz val="14"/>
            <color rgb="FF000000"/>
            <rFont val="Times New Roman"/>
            <family val="18"/>
          </rPr>
          <t>ML 8750 GK IÖ (1810) – RL 1810 4. Komp. [Haupt. Heibel] 4. Nr. 54 (Cilly 18/09/1810), ML 1811 4. Komp. [Haupt. von Braunitzer] Nr. 66 &amp; Zuwachs (Cilly 12/09/1811); RL 1812 4. Komp. [Haupt. von Braunitzer] Abgang (Tiefern 13/09/1812)</t>
        </r>
        <r>
          <rPr>
            <sz val="14"/>
            <color rgb="FF000000"/>
            <rFont val="Calibri"/>
            <family val="34"/>
          </rPr>
          <t xml:space="preserve">
</t>
        </r>
      </text>
    </comment>
    <comment ref="BH332" authorId="0" shapeId="0" xr:uid="{5EA44835-BE20-B94D-A9B7-347C69345B10}">
      <text>
        <r>
          <rPr>
            <sz val="14"/>
            <color rgb="FF000000"/>
            <rFont val="Calibri"/>
            <family val="34"/>
          </rPr>
          <t xml:space="preserve">IR 13 (1800-1808)
</t>
        </r>
        <r>
          <rPr>
            <sz val="14"/>
            <color rgb="FF000000"/>
            <rFont val="Calibri"/>
            <family val="34"/>
          </rPr>
          <t xml:space="preserve">GK Kr-Kär (1808-1809)
</t>
        </r>
        <r>
          <rPr>
            <sz val="14"/>
            <color rgb="FF000000"/>
            <rFont val="Calibri"/>
            <family val="34"/>
          </rPr>
          <t xml:space="preserve">GK IÖ (1809-1812)
</t>
        </r>
      </text>
    </comment>
    <comment ref="BF333" authorId="0" shapeId="0" xr:uid="{B0C240B8-F313-9F4D-B6F7-65DD874D29C2}">
      <text>
        <r>
          <rPr>
            <sz val="14"/>
            <color rgb="FF000000"/>
            <rFont val="Times New Roman"/>
            <family val="18"/>
          </rPr>
          <t xml:space="preserve">[c. March 1800] </t>
        </r>
        <r>
          <rPr>
            <i/>
            <sz val="14"/>
            <color rgb="FF000000"/>
            <rFont val="Times New Roman"/>
            <family val="18"/>
          </rPr>
          <t>Assentiert</t>
        </r>
        <r>
          <rPr>
            <sz val="14"/>
            <color rgb="FF000000"/>
            <rFont val="Times New Roman"/>
            <family val="18"/>
          </rPr>
          <t xml:space="preserve"> [</t>
        </r>
        <r>
          <rPr>
            <i/>
            <sz val="14"/>
            <color rgb="FF000000"/>
            <rFont val="Times New Roman"/>
            <family val="18"/>
          </rPr>
          <t>Diente in Kollowrath Infanterie</t>
        </r>
        <r>
          <rPr>
            <sz val="14"/>
            <color rgb="FF000000"/>
            <rFont val="Times New Roman"/>
            <family val="18"/>
          </rPr>
          <t xml:space="preserve"> </t>
        </r>
        <r>
          <rPr>
            <b/>
            <sz val="14"/>
            <color rgb="FF000000"/>
            <rFont val="Times New Roman"/>
            <family val="18"/>
          </rPr>
          <t>[IR 36]</t>
        </r>
        <r>
          <rPr>
            <sz val="14"/>
            <color rgb="FF000000"/>
            <rFont val="Times New Roman"/>
            <family val="18"/>
          </rPr>
          <t xml:space="preserve"> </t>
        </r>
        <r>
          <rPr>
            <i/>
            <sz val="14"/>
            <color rgb="FF000000"/>
            <rFont val="Times New Roman"/>
            <family val="18"/>
          </rPr>
          <t>9 Jahren 11 Monaten</t>
        </r>
        <r>
          <rPr>
            <sz val="14"/>
            <color rgb="FF000000"/>
            <rFont val="Times New Roman"/>
            <family val="18"/>
          </rPr>
          <t>] [ML 1811]</t>
        </r>
        <r>
          <rPr>
            <sz val="14"/>
            <color rgb="FF000000"/>
            <rFont val="Calibri"/>
            <family val="34"/>
          </rPr>
          <t xml:space="preserve">
</t>
        </r>
        <r>
          <rPr>
            <sz val="14"/>
            <color rgb="FF000000"/>
            <rFont val="Times New Roman"/>
            <family val="18"/>
          </rPr>
          <t xml:space="preserve">25/02/1810 </t>
        </r>
        <r>
          <rPr>
            <i/>
            <sz val="14"/>
            <color rgb="FF000000"/>
            <rFont val="Times New Roman"/>
            <family val="18"/>
          </rPr>
          <t>Von regiment entlassen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19/04/1811 </t>
        </r>
        <r>
          <rPr>
            <i/>
            <sz val="14"/>
            <color rgb="FF000000"/>
            <rFont val="Times New Roman"/>
            <family val="18"/>
          </rPr>
          <t>Von vorbehalt Stand in Musterung des InvH Prag zugewachsen</t>
        </r>
        <r>
          <rPr>
            <sz val="14"/>
            <color rgb="FF000000"/>
            <rFont val="Times New Roman"/>
            <family val="18"/>
          </rPr>
          <t xml:space="preserve"> [ML 1811]</t>
        </r>
        <r>
          <rPr>
            <sz val="14"/>
            <color rgb="FF000000"/>
            <rFont val="Calibri"/>
            <family val="34"/>
          </rPr>
          <t xml:space="preserve">
</t>
        </r>
        <r>
          <rPr>
            <sz val="14"/>
            <color rgb="FF000000"/>
            <rFont val="Times New Roman"/>
            <family val="18"/>
          </rPr>
          <t>24/06/1811 Muster: InvH Prag 1. &amp; 2. Chambre Nr. 175 [</t>
        </r>
        <r>
          <rPr>
            <i/>
            <sz val="14"/>
            <color rgb="FF000000"/>
            <rFont val="Times New Roman"/>
            <family val="18"/>
          </rPr>
          <t>Zu Haus dienst Tauglich</t>
        </r>
        <r>
          <rPr>
            <sz val="14"/>
            <color rgb="FF000000"/>
            <rFont val="Times New Roman"/>
            <family val="18"/>
          </rPr>
          <t>]</t>
        </r>
        <r>
          <rPr>
            <sz val="14"/>
            <color rgb="FF000000"/>
            <rFont val="Calibri"/>
            <family val="34"/>
          </rPr>
          <t xml:space="preserve">
</t>
        </r>
      </text>
    </comment>
    <comment ref="BG333" authorId="0" shapeId="0" xr:uid="{B74F8EEA-AB54-6944-8FE4-E0B0877B1F41}">
      <text>
        <r>
          <rPr>
            <sz val="14"/>
            <color rgb="FF000000"/>
            <rFont val="Times New Roman"/>
            <family val="18"/>
          </rPr>
          <t>ML 9664 INvH Prag (1811) – Heft von 1. &amp; 2. Chambre Nr. 175 &amp; Zuwachs (Prag 24/06/1811)</t>
        </r>
        <r>
          <rPr>
            <sz val="14"/>
            <color rgb="FF000000"/>
            <rFont val="Calibri"/>
            <family val="34"/>
          </rPr>
          <t xml:space="preserve">
</t>
        </r>
      </text>
    </comment>
    <comment ref="BH333" authorId="0" shapeId="0" xr:uid="{A8AD3683-3C3E-944E-863F-D9076FAB53FD}">
      <text>
        <r>
          <rPr>
            <sz val="14"/>
            <color rgb="FF000000"/>
            <rFont val="Calibri"/>
            <family val="34"/>
          </rPr>
          <t xml:space="preserve">IR 36 (1800-1810)
</t>
        </r>
        <r>
          <rPr>
            <sz val="14"/>
            <color rgb="FF000000"/>
            <rFont val="Calibri"/>
            <family val="34"/>
          </rPr>
          <t>InvH Prag (1810-1811)</t>
        </r>
      </text>
    </comment>
    <comment ref="BF334" authorId="0" shapeId="0" xr:uid="{9F7D08A0-C48A-B945-9ADD-9C0474514C2E}">
      <text>
        <r>
          <rPr>
            <sz val="14"/>
            <color rgb="FF000000"/>
            <rFont val="Times New Roman"/>
            <family val="18"/>
          </rPr>
          <t xml:space="preserve">01/03/1800 </t>
        </r>
        <r>
          <rPr>
            <i/>
            <sz val="14"/>
            <color rgb="FF000000"/>
            <rFont val="Times New Roman"/>
            <family val="18"/>
          </rPr>
          <t>Von EH Ferdinand Inf Regiment Nr. 2 zum IR 60 Artillerie Bespannung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31/08/1800 </t>
        </r>
        <r>
          <rPr>
            <i/>
            <sz val="14"/>
            <color rgb="FF000000"/>
            <rFont val="Times New Roman"/>
            <family val="18"/>
          </rPr>
          <t>Von IR 60 Artillerie Bespannung zum IR 31 Beneovszky Grenadier Division transferiert</t>
        </r>
        <r>
          <rPr>
            <sz val="14"/>
            <color rgb="FF000000"/>
            <rFont val="Times New Roman"/>
            <family val="18"/>
          </rPr>
          <t xml:space="preserve"> [ML 1802]</t>
        </r>
      </text>
    </comment>
    <comment ref="BG334" authorId="0" shapeId="0" xr:uid="{398D1F51-864A-9241-AECE-9576F930AE68}">
      <text>
        <r>
          <rPr>
            <sz val="14"/>
            <color rgb="FF000000"/>
            <rFont val="Times New Roman"/>
            <family val="18"/>
          </rPr>
          <t>ML 5102-4 IR 60 (1802) – Artillerie Bespannung Zuwachs &amp; Abgang (Tamesvar 15/09/1802)</t>
        </r>
        <r>
          <rPr>
            <sz val="14"/>
            <color rgb="FF000000"/>
            <rFont val="Calibri"/>
            <family val="34"/>
          </rPr>
          <t xml:space="preserve">
</t>
        </r>
      </text>
    </comment>
    <comment ref="BH334" authorId="0" shapeId="0" xr:uid="{C95C36E5-DE4A-1342-990E-00C1B568FF28}">
      <text>
        <r>
          <rPr>
            <sz val="14"/>
            <color rgb="FF000000"/>
            <rFont val="Calibri"/>
            <family val="34"/>
          </rPr>
          <t>MFWK (1800)</t>
        </r>
      </text>
    </comment>
    <comment ref="BF335" authorId="0" shapeId="0" xr:uid="{D7ABC635-9998-E54B-97AD-FDBF88956B4E}">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31/04/1801 </t>
        </r>
        <r>
          <rPr>
            <i/>
            <sz val="14"/>
            <color rgb="FF000000"/>
            <rFont val="Times New Roman"/>
            <family val="18"/>
          </rPr>
          <t>Von Reserve Division zum Haupt Katskovits Komp. transferiert</t>
        </r>
        <r>
          <rPr>
            <sz val="14"/>
            <color rgb="FF000000"/>
            <rFont val="Times New Roman"/>
            <family val="18"/>
          </rPr>
          <t xml:space="preserve"> [ML 1802] </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Haupt Szambothey zum Haupt Kaskovics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Haupt Kacskovics Nr. 94 [</t>
        </r>
        <r>
          <rPr>
            <i/>
            <sz val="14"/>
            <color rgb="FF000000"/>
            <rFont val="Times New Roman"/>
            <family val="18"/>
          </rPr>
          <t>Auf die Wache</t>
        </r>
        <r>
          <rPr>
            <sz val="14"/>
            <color rgb="FF000000"/>
            <rFont val="Times New Roman"/>
            <family val="18"/>
          </rPr>
          <t>]</t>
        </r>
        <r>
          <rPr>
            <sz val="14"/>
            <color rgb="FF000000"/>
            <rFont val="Calibri"/>
            <family val="34"/>
          </rPr>
          <t xml:space="preserve">
</t>
        </r>
        <r>
          <rPr>
            <sz val="14"/>
            <color rgb="FF000000"/>
            <rFont val="Times New Roman"/>
            <family val="18"/>
          </rPr>
          <t>15/09/1803 Musterung: IR 60 Haupt Kacskovics Nr. 70</t>
        </r>
        <r>
          <rPr>
            <sz val="14"/>
            <color rgb="FF000000"/>
            <rFont val="Calibri"/>
            <family val="34"/>
          </rPr>
          <t xml:space="preserve">
</t>
        </r>
        <r>
          <rPr>
            <sz val="14"/>
            <color rgb="FF000000"/>
            <rFont val="Times New Roman"/>
            <family val="18"/>
          </rPr>
          <t>1804/06/28 Musterung: IR 60 Haupt. Kaufmann Nr. 64 [</t>
        </r>
        <r>
          <rPr>
            <i/>
            <sz val="14"/>
            <color rgb="FF000000"/>
            <rFont val="Times New Roman"/>
            <family val="18"/>
          </rPr>
          <t>Kommandiert nach Siebenbürgen</t>
        </r>
        <r>
          <rPr>
            <sz val="14"/>
            <color rgb="FF000000"/>
            <rFont val="Times New Roman"/>
            <family val="18"/>
          </rPr>
          <t>]</t>
        </r>
      </text>
    </comment>
    <comment ref="BG335" authorId="0" shapeId="0" xr:uid="{D6E1CBFC-0565-D54C-A306-2C9C4C6D2F8A}">
      <text>
        <r>
          <rPr>
            <sz val="14"/>
            <color rgb="FF000000"/>
            <rFont val="Times New Roman"/>
            <family val="18"/>
          </rPr>
          <t>ML 5102-4 IR 60 (1802) – Haupt Kavskovics Nr. 94 &amp; Zuwachs (Petervardein 20/09/1802), Haupt Szombathely Zuwachs &amp; Abgang (Tamesvar 15/09/1805), Reserve Division Zuwachs &amp; Abgang (Tamesvar 15/09/1802)</t>
        </r>
        <r>
          <rPr>
            <sz val="14"/>
            <color rgb="FF000000"/>
            <rFont val="Calibri"/>
            <family val="34"/>
          </rPr>
          <t xml:space="preserve">
</t>
        </r>
        <r>
          <rPr>
            <sz val="14"/>
            <color rgb="FF000000"/>
            <rFont val="Times New Roman"/>
            <family val="18"/>
          </rPr>
          <t>ML 5105 IR 60 (1803) – Haupt Kacskovics Nr. 70 (Tamesvar 15/09/1803)</t>
        </r>
        <r>
          <rPr>
            <sz val="14"/>
            <color rgb="FF000000"/>
            <rFont val="Calibri"/>
            <family val="34"/>
          </rPr>
          <t xml:space="preserve">
</t>
        </r>
        <r>
          <rPr>
            <sz val="14"/>
            <color rgb="FF000000"/>
            <rFont val="Times New Roman"/>
            <family val="18"/>
          </rPr>
          <t>ML 5106 IR 60 (1804) – Haupt Kauffmann Nr. 64 (Tamesvar 28/06/1804)</t>
        </r>
        <r>
          <rPr>
            <sz val="14"/>
            <color rgb="FF000000"/>
            <rFont val="Calibri"/>
            <family val="34"/>
          </rPr>
          <t xml:space="preserve">
</t>
        </r>
      </text>
    </comment>
    <comment ref="BH335" authorId="0" shapeId="0" xr:uid="{E8E1AF34-DFC6-6541-98B4-A169E5873E80}">
      <text>
        <r>
          <rPr>
            <sz val="14"/>
            <color rgb="FF000000"/>
            <rFont val="Calibri"/>
            <family val="34"/>
          </rPr>
          <t>IR 60 (1800-1804)</t>
        </r>
      </text>
    </comment>
    <comment ref="BF336" authorId="0" shapeId="0" xr:uid="{D68AC21A-51E8-FE4E-9FF5-3DEF534E191A}">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06/06/1800 </t>
        </r>
        <r>
          <rPr>
            <i/>
            <sz val="14"/>
            <color rgb="FF000000"/>
            <rFont val="Times New Roman"/>
            <family val="18"/>
          </rPr>
          <t>von Reserve Division zum ObristLt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30/04/1801 </t>
        </r>
        <r>
          <rPr>
            <i/>
            <sz val="14"/>
            <color rgb="FF000000"/>
            <rFont val="Times New Roman"/>
            <family val="18"/>
          </rPr>
          <t>Von 1. Major zum ObristLt Comp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20/09/1802 Musterung: IR 60 ObristLt. Komp Nr. 67</t>
        </r>
        <r>
          <rPr>
            <sz val="14"/>
            <color rgb="FF000000"/>
            <rFont val="Calibri"/>
            <family val="34"/>
          </rPr>
          <t xml:space="preserve">
</t>
        </r>
        <r>
          <rPr>
            <sz val="14"/>
            <color rgb="FF000000"/>
            <rFont val="Times New Roman"/>
            <family val="18"/>
          </rPr>
          <t xml:space="preserve">10/03/1803 </t>
        </r>
        <r>
          <rPr>
            <i/>
            <sz val="14"/>
            <color rgb="FF000000"/>
            <rFont val="Times New Roman"/>
            <family val="18"/>
          </rPr>
          <t>Laut Besondere Verordnung mit Abschied entlassen</t>
        </r>
        <r>
          <rPr>
            <sz val="14"/>
            <color rgb="FF000000"/>
            <rFont val="Times New Roman"/>
            <family val="18"/>
          </rPr>
          <t xml:space="preserve"> [ML 1803] </t>
        </r>
      </text>
    </comment>
    <comment ref="BG336" authorId="0" shapeId="0" xr:uid="{3A8D55EE-B633-7044-BA1E-4F7ECFCD1ECB}">
      <text>
        <r>
          <rPr>
            <sz val="14"/>
            <color rgb="FF000000"/>
            <rFont val="Times New Roman"/>
            <family val="18"/>
          </rPr>
          <t>ML 5102-4 IR 60 (1802) – ObristLt Komp Nr. 67 (Petervardein 20/09/1802), Reserve Division Zuwachs &amp; Abgang (Tamesvar 15/09/1802)</t>
        </r>
        <r>
          <rPr>
            <sz val="14"/>
            <color rgb="FF000000"/>
            <rFont val="Calibri"/>
            <family val="34"/>
          </rPr>
          <t xml:space="preserve">
</t>
        </r>
        <r>
          <rPr>
            <sz val="14"/>
            <color rgb="FF000000"/>
            <rFont val="Times New Roman"/>
            <family val="18"/>
          </rPr>
          <t>ML 5105 IR 60 (1803) ObristLt Komp. Abgang (Tamesvar 15/09/1803)</t>
        </r>
        <r>
          <rPr>
            <sz val="14"/>
            <color rgb="FF000000"/>
            <rFont val="Calibri"/>
            <family val="34"/>
          </rPr>
          <t xml:space="preserve">
</t>
        </r>
      </text>
    </comment>
    <comment ref="BH336" authorId="0" shapeId="0" xr:uid="{363D994D-9576-8147-8E1B-FA779EBE1C04}">
      <text>
        <r>
          <rPr>
            <sz val="14"/>
            <color rgb="FF000000"/>
            <rFont val="Calibri"/>
            <family val="34"/>
          </rPr>
          <t>IR 60 (1800-1803))</t>
        </r>
      </text>
    </comment>
    <comment ref="BF337" authorId="0" shapeId="0" xr:uid="{13F32CBD-7EBA-2745-BF89-6F52DF07BC14}">
      <text>
        <r>
          <rPr>
            <sz val="14"/>
            <color rgb="FF000000"/>
            <rFont val="Times New Roman"/>
            <family val="18"/>
          </rPr>
          <t xml:space="preserve">01/03/1800 </t>
        </r>
        <r>
          <rPr>
            <i/>
            <sz val="14"/>
            <color rgb="FF000000"/>
            <rFont val="Times New Roman"/>
            <family val="18"/>
          </rPr>
          <t xml:space="preserve">Zu Zaleszyk </t>
        </r>
        <r>
          <rPr>
            <b/>
            <sz val="14"/>
            <color rgb="FF000000"/>
            <rFont val="Times New Roman"/>
            <family val="18"/>
          </rPr>
          <t>[Zaleszczyki, Ukraine]</t>
        </r>
        <r>
          <rPr>
            <sz val="14"/>
            <color rgb="FF000000"/>
            <rFont val="Times New Roman"/>
            <family val="18"/>
          </rPr>
          <t xml:space="preserve"> </t>
        </r>
        <r>
          <rPr>
            <i/>
            <sz val="14"/>
            <color rgb="FF000000"/>
            <rFont val="Times New Roman"/>
            <family val="18"/>
          </rPr>
          <t>a 10Fl mit 6 Jähriger Capitulation assentiert und zum Tonni Comp eingeteilt</t>
        </r>
        <r>
          <rPr>
            <sz val="14"/>
            <color rgb="FF000000"/>
            <rFont val="Times New Roman"/>
            <family val="18"/>
          </rPr>
          <t xml:space="preserve"> [GB LB 1 1798-1801]</t>
        </r>
        <r>
          <rPr>
            <sz val="14"/>
            <color rgb="FF000000"/>
            <rFont val="Calibri"/>
            <family val="34"/>
          </rPr>
          <t xml:space="preserve">
</t>
        </r>
        <r>
          <rPr>
            <sz val="14"/>
            <color rgb="FF000000"/>
            <rFont val="Times New Roman"/>
            <family val="18"/>
          </rPr>
          <t xml:space="preserve">??/??/1801 Dissolvierung: </t>
        </r>
        <r>
          <rPr>
            <i/>
            <sz val="14"/>
            <color rgb="FF000000"/>
            <rFont val="Times New Roman"/>
            <family val="18"/>
          </rPr>
          <t>Zum 2. Garrison Regiment Eizuteilen</t>
        </r>
        <r>
          <rPr>
            <sz val="14"/>
            <color rgb="FF000000"/>
            <rFont val="Times New Roman"/>
            <family val="18"/>
          </rPr>
          <t xml:space="preserve"> [GB 1798-1801]</t>
        </r>
        <r>
          <rPr>
            <sz val="14"/>
            <color rgb="FF000000"/>
            <rFont val="Calibri"/>
            <family val="34"/>
          </rPr>
          <t xml:space="preserve">
</t>
        </r>
        <r>
          <rPr>
            <sz val="14"/>
            <color rgb="FF000000"/>
            <rFont val="Times New Roman"/>
            <family val="18"/>
          </rPr>
          <t xml:space="preserve">01/09/1801 </t>
        </r>
        <r>
          <rPr>
            <i/>
            <sz val="14"/>
            <color rgb="FF000000"/>
            <rFont val="Times New Roman"/>
            <family val="18"/>
          </rPr>
          <t>Von Strozzi LB 1 zum GR 1 transferiert und zur Major Komp. eingeteilt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20/11/1801 </t>
        </r>
        <r>
          <rPr>
            <i/>
            <sz val="14"/>
            <color rgb="FF000000"/>
            <rFont val="Times New Roman"/>
            <family val="18"/>
          </rPr>
          <t>Desertiert</t>
        </r>
        <r>
          <rPr>
            <sz val="14"/>
            <color rgb="FF000000"/>
            <rFont val="Times New Roman"/>
            <family val="18"/>
          </rPr>
          <t xml:space="preserve"> [ML 1802]</t>
        </r>
        <r>
          <rPr>
            <sz val="14"/>
            <color rgb="FF000000"/>
            <rFont val="Calibri"/>
            <family val="34"/>
          </rPr>
          <t xml:space="preserve">
</t>
        </r>
      </text>
    </comment>
    <comment ref="BG337" authorId="0" shapeId="0" xr:uid="{D663B7C7-30B3-DD41-9E28-79FBFF182D15}">
      <text>
        <r>
          <rPr>
            <sz val="14"/>
            <color rgb="FF000000"/>
            <rFont val="Times New Roman"/>
            <family val="18"/>
          </rPr>
          <t>ML 10.614 LB 1 (1798-1801) – Lit R. ‚ROSENBLATT, Joseph‘</t>
        </r>
        <r>
          <rPr>
            <sz val="14"/>
            <color rgb="FF000000"/>
            <rFont val="Calibri"/>
            <family val="34"/>
          </rPr>
          <t xml:space="preserve">
</t>
        </r>
        <r>
          <rPr>
            <sz val="14"/>
            <color rgb="FF000000"/>
            <rFont val="Times New Roman"/>
            <family val="18"/>
          </rPr>
          <t>ML 11.181 GR 2 (1802) – Major Komp. – Zuwachs &amp; Abgang</t>
        </r>
        <r>
          <rPr>
            <sz val="14"/>
            <color rgb="FF000000"/>
            <rFont val="Calibri"/>
            <family val="34"/>
          </rPr>
          <t xml:space="preserve">
</t>
        </r>
      </text>
    </comment>
    <comment ref="BH337" authorId="0" shapeId="0" xr:uid="{659CA64F-0840-FC46-99BA-890CED3B3A34}">
      <text>
        <r>
          <rPr>
            <sz val="14"/>
            <color rgb="FF000000"/>
            <rFont val="Calibri"/>
            <family val="34"/>
          </rPr>
          <t xml:space="preserve">LB 1 (1800-1801)
</t>
        </r>
        <r>
          <rPr>
            <sz val="14"/>
            <color rgb="FF000000"/>
            <rFont val="Calibri"/>
            <family val="34"/>
          </rPr>
          <t>GR 2 (1801)</t>
        </r>
      </text>
    </comment>
    <comment ref="BF338" authorId="0" shapeId="0" xr:uid="{EDBAF6DF-9934-DC42-8D03-1C19D2E1FC7A}">
      <text>
        <r>
          <rPr>
            <sz val="14"/>
            <color rgb="FF000000"/>
            <rFont val="Times New Roman"/>
            <family val="18"/>
          </rPr>
          <t xml:space="preserve">01/03/1800 </t>
        </r>
        <r>
          <rPr>
            <i/>
            <sz val="14"/>
            <color rgb="FF000000"/>
            <rFont val="Times New Roman"/>
            <family val="18"/>
          </rPr>
          <t>Von Dominien a 4Fl zu Trentsin auf die Kriegsdauer gestellt und zum IR 60 Reserve Division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30/04/1800 </t>
        </r>
        <r>
          <rPr>
            <i/>
            <sz val="14"/>
            <color rgb="FF000000"/>
            <rFont val="Times New Roman"/>
            <family val="18"/>
          </rPr>
          <t>Von Reserve Division zum Haupt Luk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26/08/1800 </t>
        </r>
        <r>
          <rPr>
            <i/>
            <sz val="14"/>
            <color rgb="FF000000"/>
            <rFont val="Times New Roman"/>
            <family val="18"/>
          </rPr>
          <t>Von Haupt Luk zum Haupt Wratislaw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15/09/1802 Musterung: IR 60 Haupt Ehrenstein Komp. Nr. 66 [</t>
        </r>
        <r>
          <rPr>
            <i/>
            <sz val="14"/>
            <color rgb="FF000000"/>
            <rFont val="Times New Roman"/>
            <family val="18"/>
          </rPr>
          <t>Auf Räubern Commando</t>
        </r>
        <r>
          <rPr>
            <sz val="14"/>
            <color rgb="FF000000"/>
            <rFont val="Times New Roman"/>
            <family val="18"/>
          </rPr>
          <t>]</t>
        </r>
        <r>
          <rPr>
            <sz val="14"/>
            <color rgb="FF000000"/>
            <rFont val="Calibri"/>
            <family val="34"/>
          </rPr>
          <t xml:space="preserve">
</t>
        </r>
        <r>
          <rPr>
            <sz val="14"/>
            <color rgb="FF000000"/>
            <rFont val="Times New Roman"/>
            <family val="18"/>
          </rPr>
          <t>16/09/1803 Musterung: IR 60 Haupt Ehrenstein Komp. Nr. 56 [</t>
        </r>
        <r>
          <rPr>
            <i/>
            <sz val="14"/>
            <color rgb="FF000000"/>
            <rFont val="Times New Roman"/>
            <family val="18"/>
          </rPr>
          <t>Zu Fölsö Ozarovetz bis zur Einberufung beurlaubt</t>
        </r>
        <r>
          <rPr>
            <sz val="14"/>
            <color rgb="FF000000"/>
            <rFont val="Times New Roman"/>
            <family val="18"/>
          </rPr>
          <t>]</t>
        </r>
        <r>
          <rPr>
            <sz val="14"/>
            <color rgb="FF000000"/>
            <rFont val="Calibri"/>
            <family val="34"/>
          </rPr>
          <t xml:space="preserve">
</t>
        </r>
        <r>
          <rPr>
            <sz val="14"/>
            <color rgb="FF000000"/>
            <rFont val="Times New Roman"/>
            <family val="18"/>
          </rPr>
          <t>1804/06/28 Musterung: IR 60 Haupt Ehrenstein Komp. Nr. 58 [</t>
        </r>
        <r>
          <rPr>
            <i/>
            <sz val="14"/>
            <color rgb="FF000000"/>
            <rFont val="Times New Roman"/>
            <family val="18"/>
          </rPr>
          <t>Unbestimmt beurlaubt zu Ozarovetz</t>
        </r>
        <r>
          <rPr>
            <sz val="14"/>
            <color rgb="FF000000"/>
            <rFont val="Times New Roman"/>
            <family val="18"/>
          </rPr>
          <t>]</t>
        </r>
      </text>
    </comment>
    <comment ref="BG338" authorId="0" shapeId="0" xr:uid="{0DB60281-B080-BD4B-95C0-DFFCD13D61CC}">
      <text>
        <r>
          <rPr>
            <sz val="14"/>
            <color rgb="FF000000"/>
            <rFont val="Times New Roman"/>
            <family val="18"/>
          </rPr>
          <t>ML 5102-4 IR 60 (1802) – Haupt Ehrenstein Komp. Nr. 66 (Tamesvar 15/09/1802), Reserve Division Zuwachs &amp; Abgang (Tamesvar 15/09/1802)</t>
        </r>
        <r>
          <rPr>
            <sz val="14"/>
            <color rgb="FF000000"/>
            <rFont val="Calibri"/>
            <family val="34"/>
          </rPr>
          <t xml:space="preserve">
</t>
        </r>
        <r>
          <rPr>
            <sz val="14"/>
            <color rgb="FF000000"/>
            <rFont val="Times New Roman"/>
            <family val="18"/>
          </rPr>
          <t>ML 5105 IR 60 (1803) – Haupt Ehernstein Komp. Nr. 56 (Arad 16/09/1803)</t>
        </r>
        <r>
          <rPr>
            <sz val="14"/>
            <color rgb="FF000000"/>
            <rFont val="Calibri"/>
            <family val="34"/>
          </rPr>
          <t xml:space="preserve">
</t>
        </r>
        <r>
          <rPr>
            <sz val="14"/>
            <color rgb="FF000000"/>
            <rFont val="Times New Roman"/>
            <family val="18"/>
          </rPr>
          <t>ML 5106 IR 60 (1804) – Jaupt Ehrenstein Komp. Nr. 58 (Tamesvar 28/06/1804)</t>
        </r>
        <r>
          <rPr>
            <sz val="14"/>
            <color rgb="FF000000"/>
            <rFont val="Calibri"/>
            <family val="34"/>
          </rPr>
          <t xml:space="preserve">
</t>
        </r>
      </text>
    </comment>
    <comment ref="BH338" authorId="0" shapeId="0" xr:uid="{6F170EE9-F5FE-5D42-916C-74F1189DEC9B}">
      <text>
        <r>
          <rPr>
            <sz val="14"/>
            <color rgb="FF000000"/>
            <rFont val="Calibri"/>
            <family val="34"/>
          </rPr>
          <t>IR 60 (1800-1804)</t>
        </r>
      </text>
    </comment>
    <comment ref="BF339" authorId="0" shapeId="0" xr:uid="{D43C3C4F-77A7-8846-ACA5-4D3C02C4D466}">
      <text>
        <r>
          <rPr>
            <sz val="14"/>
            <color rgb="FF000000"/>
            <rFont val="Times New Roman"/>
            <family val="18"/>
          </rPr>
          <t xml:space="preserve">01/03/1800 Von Dominien a 4Fl zu Trentsin auf die Kriegsdauer gestellt und zum IR 60 Reserve Division assentiert [ML 1802]
</t>
        </r>
        <r>
          <rPr>
            <sz val="14"/>
            <color rgb="FF000000"/>
            <rFont val="Times New Roman"/>
            <family val="18"/>
          </rPr>
          <t>25/06/1800 In Folge hoher General Commando Verordnung dem 4ten Juny mit Lauf Pass entlassen [ML 1802]</t>
        </r>
      </text>
    </comment>
    <comment ref="BG339" authorId="0" shapeId="0" xr:uid="{B0F6E48C-7FCC-4C43-A101-EA501031F239}">
      <text>
        <r>
          <rPr>
            <sz val="14"/>
            <color rgb="FF000000"/>
            <rFont val="Times New Roman"/>
            <family val="18"/>
          </rPr>
          <t>ML 5102-4 IR 60 (1802) – Reserve Division Zuwachs &amp; Abgang (Tamesvar 15/09/1802)</t>
        </r>
        <r>
          <rPr>
            <sz val="14"/>
            <color rgb="FF000000"/>
            <rFont val="Calibri"/>
            <family val="34"/>
          </rPr>
          <t xml:space="preserve">
</t>
        </r>
      </text>
    </comment>
    <comment ref="BH339" authorId="0" shapeId="0" xr:uid="{D8267E29-F0D0-5A45-80D8-FD6599BD5C82}">
      <text>
        <r>
          <rPr>
            <sz val="14"/>
            <color rgb="FF000000"/>
            <rFont val="Calibri"/>
            <family val="34"/>
          </rPr>
          <t>IR 60 (1800)</t>
        </r>
      </text>
    </comment>
    <comment ref="T340" authorId="0" shapeId="0" xr:uid="{51DE55EC-EAAF-EA48-9E57-A0DB9614B306}">
      <text>
        <r>
          <rPr>
            <sz val="14"/>
            <color rgb="FF000000"/>
            <rFont val="Calibri"/>
            <family val="34"/>
          </rPr>
          <t xml:space="preserve">5.8 [179 cm] [ML 1802-1805]
</t>
        </r>
        <r>
          <rPr>
            <sz val="14"/>
            <color rgb="FF000000"/>
            <rFont val="Calibri"/>
            <family val="34"/>
          </rPr>
          <t>5.5.3 [171.8  [ML 1806]</t>
        </r>
      </text>
    </comment>
    <comment ref="BF340" authorId="0" shapeId="0" xr:uid="{3AC8E82B-4ADA-E343-8A5B-CAEE38AD85F3}">
      <text>
        <r>
          <rPr>
            <sz val="14"/>
            <color rgb="FFFF0000"/>
            <rFont val="Times New Roman"/>
            <family val="18"/>
          </rPr>
          <t xml:space="preserve">23/02/1800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26/03/1800 </t>
        </r>
        <r>
          <rPr>
            <i/>
            <sz val="14"/>
            <color rgb="FF000000"/>
            <rFont val="Times New Roman"/>
            <family val="18"/>
          </rPr>
          <t>Von Ständen gestellt und seitdem auf die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10/06/1800 </t>
        </r>
        <r>
          <rPr>
            <i/>
            <sz val="14"/>
            <color rgb="FF000000"/>
            <rFont val="Times New Roman"/>
            <family val="18"/>
          </rPr>
          <t>In Reserve Division eingerückt</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14/07/1800 </t>
        </r>
        <r>
          <rPr>
            <i/>
            <sz val="14"/>
            <color rgb="FF000000"/>
            <rFont val="Times New Roman"/>
            <family val="18"/>
          </rPr>
          <t>Krank auswärts mit Friedensgebühr</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25/07/1800 </t>
        </r>
        <r>
          <rPr>
            <i/>
            <sz val="14"/>
            <color rgb="FF000000"/>
            <rFont val="Times New Roman"/>
            <family val="18"/>
          </rPr>
          <t>Rekonvalesziert</t>
        </r>
        <r>
          <rPr>
            <sz val="14"/>
            <color rgb="FF000000"/>
            <rFont val="Times New Roman"/>
            <family val="18"/>
          </rPr>
          <t xml:space="preserve"> [ST Juli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ObristLt Komp. Transferiert</t>
        </r>
        <r>
          <rPr>
            <sz val="14"/>
            <color rgb="FF000000"/>
            <rFont val="Times New Roman"/>
            <family val="18"/>
          </rPr>
          <t xml:space="preserve"> [ST Dez 1800]</t>
        </r>
        <r>
          <rPr>
            <sz val="14"/>
            <color rgb="FF000000"/>
            <rFont val="Calibri"/>
            <family val="34"/>
          </rPr>
          <t xml:space="preserve">
</t>
        </r>
        <r>
          <rPr>
            <sz val="14"/>
            <color rgb="FF000000"/>
            <rFont val="Times New Roman"/>
            <family val="18"/>
          </rPr>
          <t xml:space="preserve">01/04/1801 </t>
        </r>
        <r>
          <rPr>
            <i/>
            <sz val="14"/>
            <color rgb="FF000000"/>
            <rFont val="Times New Roman"/>
            <family val="18"/>
          </rPr>
          <t>Krank auswärts</t>
        </r>
        <r>
          <rPr>
            <sz val="14"/>
            <color rgb="FF000000"/>
            <rFont val="Times New Roman"/>
            <family val="18"/>
          </rPr>
          <t xml:space="preserve"> [ST April 1801]</t>
        </r>
        <r>
          <rPr>
            <sz val="14"/>
            <color rgb="FF000000"/>
            <rFont val="Calibri"/>
            <family val="34"/>
          </rPr>
          <t xml:space="preserve">
</t>
        </r>
        <r>
          <rPr>
            <sz val="14"/>
            <color rgb="FF000000"/>
            <rFont val="Times New Roman"/>
            <family val="18"/>
          </rPr>
          <t xml:space="preserve">30/04/1801 </t>
        </r>
        <r>
          <rPr>
            <i/>
            <sz val="14"/>
            <color rgb="FF000000"/>
            <rFont val="Times New Roman"/>
            <family val="18"/>
          </rPr>
          <t>Rekonvalesziert</t>
        </r>
        <r>
          <rPr>
            <sz val="14"/>
            <color rgb="FF000000"/>
            <rFont val="Times New Roman"/>
            <family val="18"/>
          </rPr>
          <t xml:space="preserve"> [ST May 1801]</t>
        </r>
        <r>
          <rPr>
            <sz val="14"/>
            <color rgb="FF000000"/>
            <rFont val="Calibri"/>
            <family val="34"/>
          </rPr>
          <t xml:space="preserve">
</t>
        </r>
        <r>
          <rPr>
            <sz val="14"/>
            <color rgb="FF000000"/>
            <rFont val="Times New Roman"/>
            <family val="18"/>
          </rPr>
          <t>28/08/1802 Muster: IR 43 ObristLt Komp. Nr. 108</t>
        </r>
        <r>
          <rPr>
            <sz val="14"/>
            <color rgb="FF000000"/>
            <rFont val="Calibri"/>
            <family val="34"/>
          </rPr>
          <t xml:space="preserve">
</t>
        </r>
        <r>
          <rPr>
            <sz val="14"/>
            <color rgb="FF000000"/>
            <rFont val="Times New Roman"/>
            <family val="18"/>
          </rPr>
          <t>02/11/1803 Muster: IR 43 ObristLt Komp. Nr. 95</t>
        </r>
        <r>
          <rPr>
            <sz val="14"/>
            <color rgb="FF000000"/>
            <rFont val="Calibri"/>
            <family val="34"/>
          </rPr>
          <t xml:space="preserve">
</t>
        </r>
        <r>
          <rPr>
            <sz val="14"/>
            <color rgb="FF000000"/>
            <rFont val="Times New Roman"/>
            <family val="18"/>
          </rPr>
          <t>05/10/1804 Muster: IR 43 ObristLt Komp. Nr. 89</t>
        </r>
        <r>
          <rPr>
            <sz val="14"/>
            <color rgb="FF000000"/>
            <rFont val="Calibri"/>
            <family val="34"/>
          </rPr>
          <t xml:space="preserve">
</t>
        </r>
        <r>
          <rPr>
            <sz val="14"/>
            <color rgb="FF000000"/>
            <rFont val="Times New Roman"/>
            <family val="18"/>
          </rPr>
          <t xml:space="preserve">01/11/1804 </t>
        </r>
        <r>
          <rPr>
            <i/>
            <sz val="14"/>
            <color rgb="FF000000"/>
            <rFont val="Times New Roman"/>
            <family val="18"/>
          </rPr>
          <t>Von ObristLt zu, 1. Grenadier Komp. transferiert</t>
        </r>
        <r>
          <rPr>
            <sz val="14"/>
            <color rgb="FF000000"/>
            <rFont val="Times New Roman"/>
            <family val="18"/>
          </rPr>
          <t xml:space="preserve"> [ML 1805]</t>
        </r>
        <r>
          <rPr>
            <sz val="14"/>
            <color rgb="FF000000"/>
            <rFont val="Calibri"/>
            <family val="34"/>
          </rPr>
          <t xml:space="preserve">
</t>
        </r>
        <r>
          <rPr>
            <sz val="14"/>
            <color rgb="FF000000"/>
            <rFont val="Times New Roman"/>
            <family val="18"/>
          </rPr>
          <t>30/09/1805 Muster: IR 43 1. Grenadier Komp. Nr. 109</t>
        </r>
        <r>
          <rPr>
            <sz val="14"/>
            <color rgb="FF000000"/>
            <rFont val="Calibri"/>
            <family val="34"/>
          </rPr>
          <t xml:space="preserve">
</t>
        </r>
        <r>
          <rPr>
            <sz val="14"/>
            <color rgb="FF000000"/>
            <rFont val="Times New Roman"/>
            <family val="18"/>
          </rPr>
          <t xml:space="preserve">25/04/1806 </t>
        </r>
        <r>
          <rPr>
            <i/>
            <sz val="14"/>
            <color rgb="FF000000"/>
            <rFont val="Times New Roman"/>
            <family val="18"/>
          </rPr>
          <t xml:space="preserve">von IR 43 1. Grenadier Komp. zum IR 13 transferiert und zum 12. Fus. Komp. eingeheilt </t>
        </r>
        <r>
          <rPr>
            <sz val="14"/>
            <color rgb="FF000000"/>
            <rFont val="Times New Roman"/>
            <family val="18"/>
          </rPr>
          <t>[ST May 1806 &amp; ML 1806]</t>
        </r>
        <r>
          <rPr>
            <sz val="14"/>
            <color rgb="FF000000"/>
            <rFont val="Calibri"/>
            <family val="34"/>
          </rPr>
          <t xml:space="preserve">
</t>
        </r>
        <r>
          <rPr>
            <sz val="14"/>
            <color rgb="FF000000"/>
            <rFont val="Times New Roman"/>
            <family val="18"/>
          </rPr>
          <t>12/12/1806 Muster: IR 13 12. Fus. Komp. Nr. 110</t>
        </r>
        <r>
          <rPr>
            <sz val="14"/>
            <color rgb="FF000000"/>
            <rFont val="Calibri"/>
            <family val="34"/>
          </rPr>
          <t xml:space="preserve">
</t>
        </r>
        <r>
          <rPr>
            <sz val="14"/>
            <color rgb="FF000000"/>
            <rFont val="Times New Roman"/>
            <family val="18"/>
          </rPr>
          <t>20/09/1808 Revision: IR 13 12. Fus. Komp. Nr. 72 [</t>
        </r>
        <r>
          <rPr>
            <i/>
            <sz val="14"/>
            <color rgb="FF000000"/>
            <rFont val="Times New Roman"/>
            <family val="18"/>
          </rPr>
          <t>Krank in Spital</t>
        </r>
        <r>
          <rPr>
            <sz val="14"/>
            <color rgb="FF000000"/>
            <rFont val="Times New Roman"/>
            <family val="18"/>
          </rPr>
          <t>]</t>
        </r>
        <r>
          <rPr>
            <sz val="14"/>
            <color rgb="FF000000"/>
            <rFont val="Calibri"/>
            <family val="34"/>
          </rPr>
          <t xml:space="preserve">
</t>
        </r>
        <r>
          <rPr>
            <sz val="14"/>
            <color rgb="FF000000"/>
            <rFont val="Times New Roman"/>
            <family val="18"/>
          </rPr>
          <t xml:space="preserve">26/02/1809 </t>
        </r>
        <r>
          <rPr>
            <i/>
            <sz val="14"/>
            <color rgb="FF000000"/>
            <rFont val="Times New Roman"/>
            <family val="18"/>
          </rPr>
          <t>Von 12. Fus. Komp. zur 1. Gren. Komp. transferiert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29/05/1809 [Während der Retirade aus Italien] </t>
        </r>
        <r>
          <rPr>
            <i/>
            <sz val="14"/>
            <color rgb="FF000000"/>
            <rFont val="Times New Roman"/>
            <family val="18"/>
          </rPr>
          <t xml:space="preserve">Unwissend Verloren </t>
        </r>
        <r>
          <rPr>
            <sz val="14"/>
            <color rgb="FF000000"/>
            <rFont val="Times New Roman"/>
            <family val="18"/>
          </rPr>
          <t>[ST Mai 1809]</t>
        </r>
        <r>
          <rPr>
            <sz val="14"/>
            <color rgb="FF000000"/>
            <rFont val="Calibri"/>
            <family val="34"/>
          </rPr>
          <t xml:space="preserve">
</t>
        </r>
      </text>
    </comment>
    <comment ref="BG340" authorId="0" shapeId="0" xr:uid="{6B408B25-6BDC-FF49-8C3F-B1EC93538EC4}">
      <text>
        <r>
          <rPr>
            <sz val="14"/>
            <color rgb="FF000000"/>
            <rFont val="Times New Roman"/>
            <family val="18"/>
          </rPr>
          <t>ML 10.272 IR 43 (1802) – ObristLt. Komp. Nr. 108 (Zara 11/09/1802)</t>
        </r>
        <r>
          <rPr>
            <sz val="14"/>
            <color rgb="FF000000"/>
            <rFont val="Calibri"/>
            <family val="34"/>
          </rPr>
          <t xml:space="preserve">
</t>
        </r>
        <r>
          <rPr>
            <sz val="14"/>
            <color rgb="FF000000"/>
            <rFont val="Times New Roman"/>
            <family val="18"/>
          </rPr>
          <t>ML 10.273 IR 43 (1803) – ObristLt. Komp. Nr. 95 (Zara 28/09/1803)</t>
        </r>
        <r>
          <rPr>
            <sz val="14"/>
            <color rgb="FF000000"/>
            <rFont val="Calibri"/>
            <family val="34"/>
          </rPr>
          <t xml:space="preserve">
</t>
        </r>
        <r>
          <rPr>
            <sz val="14"/>
            <color rgb="FF000000"/>
            <rFont val="Times New Roman"/>
            <family val="18"/>
          </rPr>
          <t>ML 10.274 IR 43 (1804) – ObristLt. Komp. Nr. 89 (Cattaro 07/10/1804)</t>
        </r>
        <r>
          <rPr>
            <sz val="14"/>
            <color rgb="FF000000"/>
            <rFont val="Calibri"/>
            <family val="34"/>
          </rPr>
          <t xml:space="preserve">
</t>
        </r>
        <r>
          <rPr>
            <sz val="14"/>
            <color rgb="FF000000"/>
            <rFont val="Times New Roman"/>
            <family val="18"/>
          </rPr>
          <t>ML 10.275/6 IR 43 (1805) – 1. Gren. Komp. Nr. 109 (Cattaro (30/09/1805)</t>
        </r>
        <r>
          <rPr>
            <sz val="14"/>
            <color rgb="FF000000"/>
            <rFont val="Calibri"/>
            <family val="34"/>
          </rPr>
          <t xml:space="preserve">
</t>
        </r>
        <r>
          <rPr>
            <sz val="14"/>
            <color rgb="FF000000"/>
            <rFont val="Times New Roman"/>
            <family val="18"/>
          </rPr>
          <t>ML 10/277/8 IR 43 (1806) – 1. Gren. Komp. – Abgang (Laibach 01/12/1806)</t>
        </r>
        <r>
          <rPr>
            <sz val="14"/>
            <color rgb="FF000000"/>
            <rFont val="Calibri"/>
            <family val="34"/>
          </rPr>
          <t xml:space="preserve">
</t>
        </r>
        <r>
          <rPr>
            <sz val="14"/>
            <color rgb="FF000000"/>
            <rFont val="Times New Roman"/>
            <family val="18"/>
          </rPr>
          <t>ML 10.309 IR 43 (1800) – ST Mai (??), Juni (27/08/1803), Juli (24/10/1803), Nov (02/04/1804), Dez (18/08/1804)</t>
        </r>
        <r>
          <rPr>
            <sz val="14"/>
            <color rgb="FF000000"/>
            <rFont val="Calibri"/>
            <family val="34"/>
          </rPr>
          <t xml:space="preserve">
</t>
        </r>
        <r>
          <rPr>
            <sz val="14"/>
            <color rgb="FF000000"/>
            <rFont val="Times New Roman"/>
            <family val="18"/>
          </rPr>
          <t>ML 10.311 IR 43 (1801) – ST April (13/10/1804), Mai (10/03/1805)</t>
        </r>
        <r>
          <rPr>
            <sz val="14"/>
            <color rgb="FF000000"/>
            <rFont val="Calibri"/>
            <family val="34"/>
          </rPr>
          <t xml:space="preserve">
</t>
        </r>
        <r>
          <rPr>
            <sz val="14"/>
            <color rgb="FF000000"/>
            <rFont val="Times New Roman"/>
            <family val="18"/>
          </rPr>
          <t xml:space="preserve">ML 10.050/1 IR 13 (1806): Haupt Pini Komp. Nr. 110 (Görz 12/12/1806) </t>
        </r>
        <r>
          <rPr>
            <sz val="14"/>
            <color rgb="FF000000"/>
            <rFont val="Calibri"/>
            <family val="34"/>
          </rPr>
          <t xml:space="preserve">
</t>
        </r>
        <r>
          <rPr>
            <sz val="14"/>
            <color rgb="FF000000"/>
            <rFont val="Times New Roman"/>
            <family val="18"/>
          </rPr>
          <t>ML 10.052 IR 13 (1808-10): RL (1808) 12. Fus Komp. Nr. 72 (Triest 20/09/1808)</t>
        </r>
        <r>
          <rPr>
            <sz val="14"/>
            <color rgb="FF000000"/>
            <rFont val="Calibri"/>
            <family val="34"/>
          </rPr>
          <t xml:space="preserve">
</t>
        </r>
        <r>
          <rPr>
            <sz val="14"/>
            <color rgb="FF000000"/>
            <rFont val="Times New Roman"/>
            <family val="18"/>
          </rPr>
          <t>ML 10.096 IR 13 (1809): ST Feb (18/05/1809); Mai (28/10/1810)</t>
        </r>
      </text>
    </comment>
    <comment ref="BH340" authorId="0" shapeId="0" xr:uid="{48951D6F-4799-6949-AFD7-4B0974B2C034}">
      <text>
        <r>
          <rPr>
            <sz val="14"/>
            <color rgb="FF000000"/>
            <rFont val="Calibri"/>
            <family val="34"/>
          </rPr>
          <t xml:space="preserve">IR 43 (1800-1806)
</t>
        </r>
        <r>
          <rPr>
            <sz val="14"/>
            <color rgb="FF000000"/>
            <rFont val="Calibri"/>
            <family val="34"/>
          </rPr>
          <t>IR 13 (1806-1809)</t>
        </r>
      </text>
    </comment>
    <comment ref="BF341" authorId="0" shapeId="0" xr:uid="{FF1B45E8-6C0E-B44B-8713-32C343F9A04A}">
      <text>
        <r>
          <rPr>
            <sz val="14"/>
            <color rgb="FF000000"/>
            <rFont val="Times New Roman"/>
            <family val="18"/>
          </rPr>
          <t xml:space="preserve">01/04/1800 </t>
        </r>
        <r>
          <rPr>
            <i/>
            <sz val="14"/>
            <color rgb="FF000000"/>
            <rFont val="Times New Roman"/>
            <family val="18"/>
          </rPr>
          <t>Auf Kriegsdauer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26/10/1802 </t>
        </r>
        <r>
          <rPr>
            <i/>
            <sz val="14"/>
            <color rgb="FF000000"/>
            <rFont val="Times New Roman"/>
            <family val="18"/>
          </rPr>
          <t>Von Haupt Schuller zum 1. Grenadier Komp. transferiert</t>
        </r>
        <r>
          <rPr>
            <sz val="14"/>
            <color rgb="FF000000"/>
            <rFont val="Times New Roman"/>
            <family val="18"/>
          </rPr>
          <t xml:space="preserve"> [ST Okt 1802]</t>
        </r>
        <r>
          <rPr>
            <sz val="14"/>
            <color rgb="FF000000"/>
            <rFont val="Calibri"/>
            <family val="34"/>
          </rPr>
          <t xml:space="preserve">
</t>
        </r>
        <r>
          <rPr>
            <sz val="14"/>
            <color rgb="FF000000"/>
            <rFont val="Times New Roman"/>
            <family val="18"/>
          </rPr>
          <t>09/09/1803 Muster: IR 39 1. Gren. Komp. Nr. 114</t>
        </r>
        <r>
          <rPr>
            <sz val="14"/>
            <color rgb="FF000000"/>
            <rFont val="Calibri"/>
            <family val="34"/>
          </rPr>
          <t xml:space="preserve">
</t>
        </r>
        <r>
          <rPr>
            <sz val="14"/>
            <color rgb="FF000000"/>
            <rFont val="Times New Roman"/>
            <family val="18"/>
          </rPr>
          <t>24/05/1804 Muster: IR 38 1. Gren. Komp. Nr. 104</t>
        </r>
        <r>
          <rPr>
            <sz val="14"/>
            <color rgb="FF000000"/>
            <rFont val="Calibri"/>
            <family val="34"/>
          </rPr>
          <t xml:space="preserve">
</t>
        </r>
        <r>
          <rPr>
            <sz val="14"/>
            <color rgb="FF000000"/>
            <rFont val="Times New Roman"/>
            <family val="18"/>
          </rPr>
          <t xml:space="preserve">01/09/1805 </t>
        </r>
        <r>
          <rPr>
            <i/>
            <sz val="14"/>
            <color rgb="FF000000"/>
            <rFont val="Times New Roman"/>
            <family val="18"/>
          </rPr>
          <t>Von Gemeiner zum Corporal avanciert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23/01/1807 Revision: IR 39 1. Gren. Komp. Nr. 10</t>
        </r>
        <r>
          <rPr>
            <sz val="14"/>
            <color rgb="FF000000"/>
            <rFont val="Calibri"/>
            <family val="34"/>
          </rPr>
          <t xml:space="preserve">
</t>
        </r>
        <r>
          <rPr>
            <sz val="14"/>
            <color rgb="FF000000"/>
            <rFont val="Times New Roman"/>
            <family val="18"/>
          </rPr>
          <t xml:space="preserve">10/03/1807 </t>
        </r>
        <r>
          <rPr>
            <i/>
            <sz val="14"/>
            <color rgb="FF000000"/>
            <rFont val="Times New Roman"/>
            <family val="18"/>
          </rPr>
          <t>Gegen Stellung Anderer Mannes mit Abschied entlassen</t>
        </r>
        <r>
          <rPr>
            <sz val="14"/>
            <color rgb="FF000000"/>
            <rFont val="Times New Roman"/>
            <family val="18"/>
          </rPr>
          <t xml:space="preserve"> [RL 1808]</t>
        </r>
      </text>
    </comment>
    <comment ref="BG341" authorId="0" shapeId="0" xr:uid="{A8465159-9F53-974C-A001-59059E2F423D}">
      <text>
        <r>
          <rPr>
            <sz val="14"/>
            <color rgb="FF000000"/>
            <rFont val="Times New Roman"/>
            <family val="18"/>
          </rPr>
          <t>ML 3497 IR 39 (1803) – 1. Gren. Komp. Nr. 114 (Venice 09/09/1803)</t>
        </r>
        <r>
          <rPr>
            <sz val="14"/>
            <color rgb="FF000000"/>
            <rFont val="Calibri"/>
            <family val="34"/>
          </rPr>
          <t xml:space="preserve">
</t>
        </r>
        <r>
          <rPr>
            <sz val="14"/>
            <color rgb="FF000000"/>
            <rFont val="Times New Roman"/>
            <family val="18"/>
          </rPr>
          <t>ML 3498 IR 39 (1804) – 1. Gren. Komp. Nr. 104 (Lido 24/05/1804)</t>
        </r>
        <r>
          <rPr>
            <sz val="14"/>
            <color rgb="FF000000"/>
            <rFont val="Calibri"/>
            <family val="34"/>
          </rPr>
          <t xml:space="preserve">
</t>
        </r>
        <r>
          <rPr>
            <sz val="14"/>
            <color rgb="FF000000"/>
            <rFont val="Times New Roman"/>
            <family val="18"/>
          </rPr>
          <t>ML 3499 IR 39 (1807) – 1. Gren. Komp. Nr. 10 (Letschau 23/01/1807)</t>
        </r>
        <r>
          <rPr>
            <sz val="14"/>
            <color rgb="FF000000"/>
            <rFont val="Calibri"/>
            <family val="34"/>
          </rPr>
          <t xml:space="preserve">
</t>
        </r>
        <r>
          <rPr>
            <sz val="14"/>
            <color rgb="FF000000"/>
            <rFont val="Times New Roman"/>
            <family val="18"/>
          </rPr>
          <t>ML 3500 IR 39 (1808-10) – RL 1808 1. Gren. Komp. – Abgang (Comorn 19/09/1808)</t>
        </r>
        <r>
          <rPr>
            <sz val="14"/>
            <color rgb="FF000000"/>
            <rFont val="Calibri"/>
            <family val="34"/>
          </rPr>
          <t xml:space="preserve">
</t>
        </r>
        <r>
          <rPr>
            <sz val="14"/>
            <color rgb="FF000000"/>
            <rFont val="Times New Roman"/>
            <family val="18"/>
          </rPr>
          <t>ML 3543 IR 39 (1802) –ST Okt (Padua 15/11/1802)</t>
        </r>
        <r>
          <rPr>
            <sz val="14"/>
            <color rgb="FF000000"/>
            <rFont val="Calibri"/>
            <family val="34"/>
          </rPr>
          <t xml:space="preserve">
</t>
        </r>
        <r>
          <rPr>
            <sz val="14"/>
            <color rgb="FF000000"/>
            <rFont val="Times New Roman"/>
            <family val="18"/>
          </rPr>
          <t>ML 3546 IR 39 (1805) – ST September (</t>
        </r>
        <r>
          <rPr>
            <sz val="14"/>
            <color rgb="FF000000"/>
            <rFont val="Times New Roman"/>
            <family val="18"/>
          </rPr>
          <t>Stuhlweißenburg</t>
        </r>
        <r>
          <rPr>
            <sz val="14"/>
            <color rgb="FF000000"/>
            <rFont val="Times New Roman"/>
            <family val="18"/>
          </rPr>
          <t xml:space="preserve"> 15/07/1806)</t>
        </r>
        <r>
          <rPr>
            <sz val="14"/>
            <color rgb="FF000000"/>
            <rFont val="Calibri"/>
            <family val="34"/>
          </rPr>
          <t xml:space="preserve">
</t>
        </r>
      </text>
    </comment>
    <comment ref="BH341" authorId="0" shapeId="0" xr:uid="{DEFBE844-F059-4B41-943F-0666C6EEB509}">
      <text>
        <r>
          <rPr>
            <sz val="14"/>
            <color rgb="FF000000"/>
            <rFont val="Calibri"/>
            <family val="34"/>
          </rPr>
          <t>IR 39 (1800-1807)</t>
        </r>
      </text>
    </comment>
    <comment ref="BF342" authorId="0" shapeId="0" xr:uid="{12D39CAF-1147-F843-A52C-E8FF2EA90D69}">
      <text>
        <r>
          <rPr>
            <sz val="14"/>
            <color rgb="FF000000"/>
            <rFont val="Times New Roman"/>
            <family val="18"/>
          </rPr>
          <t xml:space="preserve">02/04/1800 </t>
        </r>
        <r>
          <rPr>
            <i/>
            <sz val="14"/>
            <color rgb="FF000000"/>
            <rFont val="Times New Roman"/>
            <family val="18"/>
          </rPr>
          <t>in Galizien ausgehoben a 3Fl und zu Sandomierz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G342" authorId="0" shapeId="0" xr:uid="{E002CB8B-D355-7B49-A79E-8252752D82DF}">
      <text>
        <r>
          <rPr>
            <sz val="14"/>
            <color rgb="FF000000"/>
            <rFont val="Times New Roman"/>
            <family val="18"/>
          </rPr>
          <t xml:space="preserve">02/04/1800 </t>
        </r>
        <r>
          <rPr>
            <i/>
            <sz val="14"/>
            <color rgb="FF000000"/>
            <rFont val="Times New Roman"/>
            <family val="18"/>
          </rPr>
          <t>in Galizien ausgehoben a 3Fl und zu Sandomierz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30/05/1800 </t>
        </r>
        <r>
          <rPr>
            <i/>
            <sz val="14"/>
            <color rgb="FF000000"/>
            <rFont val="Times New Roman"/>
            <family val="18"/>
          </rPr>
          <t xml:space="preserve">in Folge hohe Verordnung als untauglich mit Laufpass entlassen </t>
        </r>
        <r>
          <rPr>
            <sz val="14"/>
            <color rgb="FF000000"/>
            <rFont val="Times New Roman"/>
            <family val="18"/>
          </rPr>
          <t>[ST Aug 1800]</t>
        </r>
        <r>
          <rPr>
            <sz val="14"/>
            <color rgb="FF000000"/>
            <rFont val="Calibri"/>
            <family val="34"/>
          </rPr>
          <t xml:space="preserve">
</t>
        </r>
      </text>
    </comment>
    <comment ref="BH342" authorId="0" shapeId="0" xr:uid="{D18B6AEA-7356-424A-B484-2609C42C80BB}">
      <text>
        <r>
          <rPr>
            <sz val="14"/>
            <color rgb="FF000000"/>
            <rFont val="Calibri"/>
            <family val="34"/>
          </rPr>
          <t>IR 43 (1800)</t>
        </r>
      </text>
    </comment>
    <comment ref="BF343" authorId="0" shapeId="0" xr:uid="{306A1715-3CFB-D346-857A-D4AC39D2221C}">
      <text>
        <r>
          <rPr>
            <sz val="14"/>
            <color rgb="FF000000"/>
            <rFont val="Times New Roman"/>
            <family val="18"/>
          </rPr>
          <t xml:space="preserve">01/04/1800 </t>
        </r>
        <r>
          <rPr>
            <i/>
            <sz val="14"/>
            <color rgb="FF000000"/>
            <rFont val="Times New Roman"/>
            <family val="18"/>
          </rPr>
          <t>in Galizien ausgehoben und zum IR 43 zum Sandomierz assentiert 3Fl</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20/05/1800 </t>
        </r>
        <r>
          <rPr>
            <i/>
            <sz val="14"/>
            <color rgb="FF000000"/>
            <rFont val="Times New Roman"/>
            <family val="18"/>
          </rPr>
          <t>vermog hoher General Commando Verordnung det. Krakau den 24. May 1800 mit Laufpass entlassen</t>
        </r>
        <r>
          <rPr>
            <sz val="14"/>
            <color rgb="FF000000"/>
            <rFont val="Times New Roman"/>
            <family val="18"/>
          </rPr>
          <t xml:space="preserve"> [ST Mai 1800]</t>
        </r>
        <r>
          <rPr>
            <sz val="14"/>
            <color rgb="FF000000"/>
            <rFont val="Calibri"/>
            <family val="34"/>
          </rPr>
          <t xml:space="preserve">
</t>
        </r>
      </text>
    </comment>
    <comment ref="BG343" authorId="0" shapeId="0" xr:uid="{9679FE9D-4A47-104F-A86A-EA5E88F628BA}">
      <text>
        <r>
          <rPr>
            <sz val="14"/>
            <color rgb="FF000000"/>
            <rFont val="Times New Roman"/>
            <family val="18"/>
          </rPr>
          <t>ML 10.309 IR 43 (1800) – ST May (????)</t>
        </r>
      </text>
    </comment>
    <comment ref="BH343" authorId="0" shapeId="0" xr:uid="{EF0F9F93-E3CC-3943-88C1-C557B0FC7617}">
      <text>
        <r>
          <rPr>
            <sz val="14"/>
            <color rgb="FF000000"/>
            <rFont val="Calibri"/>
            <family val="34"/>
          </rPr>
          <t>IR 43 (1800)</t>
        </r>
      </text>
    </comment>
    <comment ref="BF344" authorId="0" shapeId="0" xr:uid="{B2027DAC-4D89-4649-84F5-A8B96051934F}">
      <text>
        <r>
          <rPr>
            <sz val="14"/>
            <color rgb="FF000000"/>
            <rFont val="Times New Roman"/>
            <family val="18"/>
          </rPr>
          <t xml:space="preserve">01/04/1800 </t>
        </r>
        <r>
          <rPr>
            <i/>
            <sz val="14"/>
            <color rgb="FF000000"/>
            <rFont val="Times New Roman"/>
            <family val="18"/>
          </rPr>
          <t>in Galizien ausgehoben und zum IR 43 zum Sandomierz assentiert 3Fl</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10/05/1800 </t>
        </r>
        <r>
          <rPr>
            <i/>
            <sz val="14"/>
            <color rgb="FF000000"/>
            <rFont val="Times New Roman"/>
            <family val="18"/>
          </rPr>
          <t>vermog hoher General Commando Verordnung det. Krakau den 17. May 1800 mit Laufpass entlassen</t>
        </r>
        <r>
          <rPr>
            <sz val="14"/>
            <color rgb="FF000000"/>
            <rFont val="Times New Roman"/>
            <family val="18"/>
          </rPr>
          <t xml:space="preserve"> [ST Mai 1800]</t>
        </r>
        <r>
          <rPr>
            <sz val="14"/>
            <color rgb="FF000000"/>
            <rFont val="Calibri"/>
            <family val="34"/>
          </rPr>
          <t xml:space="preserve">
</t>
        </r>
      </text>
    </comment>
    <comment ref="BG344" authorId="0" shapeId="0" xr:uid="{7E66D427-E176-2742-A013-AA6D6374F4E6}">
      <text>
        <r>
          <rPr>
            <sz val="14"/>
            <color rgb="FF000000"/>
            <rFont val="Times New Roman"/>
            <family val="18"/>
          </rPr>
          <t>ML 10.309 IR 43 (1800) – ST May (????)</t>
        </r>
      </text>
    </comment>
    <comment ref="BH344" authorId="0" shapeId="0" xr:uid="{98624509-E3C4-6647-9B26-020451281C5A}">
      <text>
        <r>
          <rPr>
            <sz val="14"/>
            <color rgb="FF000000"/>
            <rFont val="Calibri"/>
            <family val="34"/>
          </rPr>
          <t>IR 43 (1800)</t>
        </r>
      </text>
    </comment>
    <comment ref="BF345" authorId="0" shapeId="0" xr:uid="{3C164F40-A943-8E42-99C6-55E1ADFE7054}">
      <text>
        <r>
          <rPr>
            <sz val="14"/>
            <color rgb="FF000000"/>
            <rFont val="Times New Roman"/>
            <family val="18"/>
          </rPr>
          <t xml:space="preserve">02/04/1800 </t>
        </r>
        <r>
          <rPr>
            <i/>
            <sz val="14"/>
            <color rgb="FF000000"/>
            <rFont val="Times New Roman"/>
            <family val="18"/>
          </rPr>
          <t>Zu Zolkiew gegen 3Fl Handgeld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Pappius Komp Nr. 98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Gegen 2 gestellt capitulierte Ausländer Rekruten mit Abschied entlassen</t>
        </r>
        <r>
          <rPr>
            <sz val="14"/>
            <color rgb="FF000000"/>
            <rFont val="Times New Roman"/>
            <family val="18"/>
          </rPr>
          <t xml:space="preserve"> [ML 1803]</t>
        </r>
        <r>
          <rPr>
            <sz val="14"/>
            <color rgb="FF000000"/>
            <rFont val="Calibri"/>
            <family val="2"/>
          </rPr>
          <t xml:space="preserve"> </t>
        </r>
      </text>
    </comment>
    <comment ref="BG345" authorId="0" shapeId="0" xr:uid="{32828B12-B34C-B341-9F91-506E00339540}">
      <text>
        <r>
          <rPr>
            <sz val="14"/>
            <color rgb="FF000000"/>
            <rFont val="Times New Roman"/>
            <family val="18"/>
          </rPr>
          <t>ML 10.124 IR 23 (1802) – Haupt Pappius Komp. Nr. 98 (Vienna 16/09/1802)</t>
        </r>
        <r>
          <rPr>
            <sz val="14"/>
            <color rgb="FF000000"/>
            <rFont val="Calibri"/>
            <family val="34"/>
          </rPr>
          <t xml:space="preserve">
</t>
        </r>
        <r>
          <rPr>
            <sz val="14"/>
            <color rgb="FF000000"/>
            <rFont val="Times New Roman"/>
            <family val="18"/>
          </rPr>
          <t>ML 10.125 IR 23 (1803) – Haupt Pappius Komp. Abgang (Vienna 13/09/1803)</t>
        </r>
        <r>
          <rPr>
            <sz val="14"/>
            <color rgb="FF000000"/>
            <rFont val="Calibri"/>
            <family val="34"/>
          </rPr>
          <t xml:space="preserve">
</t>
        </r>
        <r>
          <rPr>
            <sz val="14"/>
            <color rgb="FF000000"/>
            <rFont val="Times New Roman"/>
            <family val="18"/>
          </rPr>
          <t>ML 10.167 IR 23 (1800) AL/TL – AL Nr. 39 (Zolkiew 09/04/1800)</t>
        </r>
      </text>
    </comment>
    <comment ref="BH345" authorId="0" shapeId="0" xr:uid="{D90A1238-CCCA-5442-86AB-26482BD61602}">
      <text>
        <r>
          <rPr>
            <sz val="14"/>
            <color rgb="FF000000"/>
            <rFont val="Calibri"/>
            <family val="34"/>
          </rPr>
          <t>IR 43 (1800-1803)</t>
        </r>
      </text>
    </comment>
    <comment ref="T346" authorId="0" shapeId="0" xr:uid="{DEE116F6-8797-5E48-8996-D5DFB1A10406}">
      <text>
        <r>
          <rPr>
            <sz val="14"/>
            <color rgb="FF000000"/>
            <rFont val="Calibri"/>
            <family val="34"/>
          </rPr>
          <t xml:space="preserve">5.2.1 [163.48 cm] [ML 1802]
</t>
        </r>
        <r>
          <rPr>
            <sz val="14"/>
            <color rgb="FF000000"/>
            <rFont val="Calibri"/>
            <family val="34"/>
          </rPr>
          <t>5.2.2 [163.7  [ML 1803-4]</t>
        </r>
      </text>
    </comment>
    <comment ref="BF346" authorId="0" shapeId="0" xr:uid="{EFF91FFC-B0DA-734C-A6B9-C1F35DFEB730}">
      <text>
        <r>
          <rPr>
            <sz val="14"/>
            <color rgb="FFFF0000"/>
            <rFont val="Times New Roman"/>
            <family val="18"/>
          </rPr>
          <t xml:space="preserve">26/02/1799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02/04/1800 </t>
        </r>
        <r>
          <rPr>
            <i/>
            <sz val="14"/>
            <color rgb="FF000000"/>
            <rFont val="Times New Roman"/>
            <family val="18"/>
          </rPr>
          <t xml:space="preserve">in Galizien ausgehoben und zum IR 43 zum Sandomierz assentiert 3Fl, seitdem auf Anhero Marsch mit Friedensgebuhr </t>
        </r>
        <r>
          <rPr>
            <sz val="14"/>
            <color rgb="FF000000"/>
            <rFont val="Times New Roman"/>
            <family val="18"/>
          </rPr>
          <t>[ST Mai 1800]</t>
        </r>
        <r>
          <rPr>
            <sz val="14"/>
            <color rgb="FF000000"/>
            <rFont val="Calibri"/>
            <family val="34"/>
          </rPr>
          <t xml:space="preserve">
</t>
        </r>
        <r>
          <rPr>
            <sz val="14"/>
            <color rgb="FF000000"/>
            <rFont val="Times New Roman"/>
            <family val="18"/>
          </rPr>
          <t xml:space="preserve">01/02/1801 </t>
        </r>
        <r>
          <rPr>
            <i/>
            <sz val="14"/>
            <color rgb="FF000000"/>
            <rFont val="Times New Roman"/>
            <family val="18"/>
          </rPr>
          <t>Von Reserve Division in Haupt Kopf Comp.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28/08/1802 Muster: IR 43 Haupt Köpf Komp. Nr. 114</t>
        </r>
        <r>
          <rPr>
            <sz val="14"/>
            <color rgb="FF000000"/>
            <rFont val="Calibri"/>
            <family val="34"/>
          </rPr>
          <t xml:space="preserve">
</t>
        </r>
        <r>
          <rPr>
            <sz val="14"/>
            <color rgb="FF000000"/>
            <rFont val="Times New Roman"/>
            <family val="18"/>
          </rPr>
          <t>04/11/1803 Muster: Haupt Köpf Komp. Nr. 103 [</t>
        </r>
        <r>
          <rPr>
            <i/>
            <sz val="14"/>
            <color rgb="FF000000"/>
            <rFont val="Times New Roman"/>
            <family val="18"/>
          </rPr>
          <t>Auf Commando zu Verlica</t>
        </r>
        <r>
          <rPr>
            <sz val="14"/>
            <color rgb="FF000000"/>
            <rFont val="Times New Roman"/>
            <family val="18"/>
          </rPr>
          <t>]</t>
        </r>
        <r>
          <rPr>
            <sz val="14"/>
            <color rgb="FF000000"/>
            <rFont val="Calibri"/>
            <family val="34"/>
          </rPr>
          <t xml:space="preserve">
</t>
        </r>
        <r>
          <rPr>
            <sz val="14"/>
            <color rgb="FF000000"/>
            <rFont val="Times New Roman"/>
            <family val="18"/>
          </rPr>
          <t xml:space="preserve">01/12/1803 </t>
        </r>
        <r>
          <rPr>
            <i/>
            <sz val="14"/>
            <color rgb="FF000000"/>
            <rFont val="Times New Roman"/>
            <family val="18"/>
          </rPr>
          <t>Beurlaubt bis zur Einberufung</t>
        </r>
        <r>
          <rPr>
            <sz val="14"/>
            <color rgb="FF000000"/>
            <rFont val="Times New Roman"/>
            <family val="18"/>
          </rPr>
          <t xml:space="preserve"> [ST Dec 1803]</t>
        </r>
        <r>
          <rPr>
            <sz val="14"/>
            <color rgb="FF000000"/>
            <rFont val="Calibri"/>
            <family val="34"/>
          </rPr>
          <t xml:space="preserve">
</t>
        </r>
        <r>
          <rPr>
            <sz val="14"/>
            <color rgb="FF000000"/>
            <rFont val="Times New Roman"/>
            <family val="18"/>
          </rPr>
          <t>15/09/1804 Muster: Haupt Sassi Nr. 98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31/03/1805 </t>
        </r>
        <r>
          <rPr>
            <i/>
            <sz val="14"/>
            <color rgb="FF000000"/>
            <rFont val="Times New Roman"/>
            <family val="18"/>
          </rPr>
          <t>Gegen Stellung Anderen von unbestimmtem Urlaub entlassen mit Abschied entlassen</t>
        </r>
        <r>
          <rPr>
            <sz val="14"/>
            <color rgb="FF000000"/>
            <rFont val="Times New Roman"/>
            <family val="18"/>
          </rPr>
          <t xml:space="preserve"> [ST May 1805 &amp; ML 1805]</t>
        </r>
        <r>
          <rPr>
            <sz val="14"/>
            <color rgb="FF000000"/>
            <rFont val="Calibri"/>
            <family val="34"/>
          </rPr>
          <t xml:space="preserve">
</t>
        </r>
      </text>
    </comment>
    <comment ref="BG346" authorId="0" shapeId="0" xr:uid="{EE2D4CEA-B28E-244B-8C05-D6C4DBA8D849}">
      <text>
        <r>
          <rPr>
            <sz val="14"/>
            <color rgb="FF000000"/>
            <rFont val="Times New Roman"/>
            <family val="18"/>
          </rPr>
          <t>ML 10.272 IR 43 (1802) – Haupt Köpf Komp. Nr 114 (Cattaro 28/08/1802)</t>
        </r>
        <r>
          <rPr>
            <sz val="14"/>
            <color rgb="FF000000"/>
            <rFont val="Calibri"/>
            <family val="34"/>
          </rPr>
          <t xml:space="preserve">
</t>
        </r>
        <r>
          <rPr>
            <sz val="14"/>
            <color rgb="FF000000"/>
            <rFont val="Times New Roman"/>
            <family val="18"/>
          </rPr>
          <t>ML 10.273 IR 43 (1803) – Haupt Köpf Komp. Nr 103 (Knin 04/11/1803)</t>
        </r>
        <r>
          <rPr>
            <sz val="14"/>
            <color rgb="FF000000"/>
            <rFont val="Calibri"/>
            <family val="34"/>
          </rPr>
          <t xml:space="preserve">
</t>
        </r>
        <r>
          <rPr>
            <sz val="14"/>
            <color rgb="FF000000"/>
            <rFont val="Times New Roman"/>
            <family val="18"/>
          </rPr>
          <t>ML 10.274 IR 43 (1804) – Haupt Sassi Komp. Nr 98 (Zara 15/09/1804)</t>
        </r>
        <r>
          <rPr>
            <sz val="14"/>
            <color rgb="FF000000"/>
            <rFont val="Calibri"/>
            <family val="34"/>
          </rPr>
          <t xml:space="preserve">
</t>
        </r>
        <r>
          <rPr>
            <sz val="14"/>
            <color rgb="FF000000"/>
            <rFont val="Times New Roman"/>
            <family val="18"/>
          </rPr>
          <t>ML 10.275/6 IR 43 (1805) – 14. Fus Komp. Abgang (Zara 01/10/1805)</t>
        </r>
        <r>
          <rPr>
            <sz val="14"/>
            <color rgb="FF000000"/>
            <rFont val="Calibri"/>
            <family val="34"/>
          </rPr>
          <t xml:space="preserve">
</t>
        </r>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10.313 IR 43 (1803) – ST Dec (15/01/1804)</t>
        </r>
        <r>
          <rPr>
            <sz val="14"/>
            <color rgb="FF000000"/>
            <rFont val="Calibri"/>
            <family val="34"/>
          </rPr>
          <t xml:space="preserve">
</t>
        </r>
        <r>
          <rPr>
            <sz val="14"/>
            <color rgb="FF000000"/>
            <rFont val="Times New Roman"/>
            <family val="18"/>
          </rPr>
          <t>ML 10.315 IR 43 (1805) – ST Mai (15/06/1805)</t>
        </r>
      </text>
    </comment>
    <comment ref="BH346" authorId="0" shapeId="0" xr:uid="{ACC460EC-EF9E-394E-B926-14EEBD260727}">
      <text>
        <r>
          <rPr>
            <sz val="14"/>
            <color rgb="FF000000"/>
            <rFont val="Calibri"/>
            <family val="34"/>
          </rPr>
          <t>IR 43 (1800-1805)</t>
        </r>
      </text>
    </comment>
    <comment ref="BF347" authorId="0" shapeId="0" xr:uid="{3D4C83C1-01CA-7746-BC07-69A486D0314F}">
      <text>
        <r>
          <rPr>
            <sz val="14"/>
            <color rgb="FF000000"/>
            <rFont val="Times New Roman"/>
            <family val="18"/>
          </rPr>
          <t>07/04/1800</t>
        </r>
        <r>
          <rPr>
            <i/>
            <sz val="14"/>
            <color rgb="FF000000"/>
            <rFont val="Times New Roman"/>
            <family val="18"/>
          </rPr>
          <t xml:space="preserve"> Von Dominien a 4Fl zu Trentsin auf die Kriegsdauer gestellt und zum IR 60 Reserve Division assentiert</t>
        </r>
        <r>
          <rPr>
            <sz val="14"/>
            <color rgb="FF000000"/>
            <rFont val="Times New Roman"/>
            <family val="18"/>
          </rPr>
          <t xml:space="preserve"> [ML 1802]
</t>
        </r>
        <r>
          <rPr>
            <sz val="14"/>
            <color rgb="FF000000"/>
            <rFont val="Times New Roman"/>
            <family val="18"/>
          </rPr>
          <t xml:space="preserve">06/06/1800 </t>
        </r>
        <r>
          <rPr>
            <i/>
            <sz val="14"/>
            <color rgb="FF000000"/>
            <rFont val="Times New Roman"/>
            <family val="18"/>
          </rPr>
          <t>Von Reserve Division zum Obrist Komp. Transferiert</t>
        </r>
        <r>
          <rPr>
            <sz val="14"/>
            <color rgb="FF000000"/>
            <rFont val="Times New Roman"/>
            <family val="18"/>
          </rPr>
          <t xml:space="preserve"> [ML 1802]
</t>
        </r>
        <r>
          <rPr>
            <sz val="14"/>
            <color rgb="FF000000"/>
            <rFont val="Times New Roman"/>
            <family val="18"/>
          </rPr>
          <t xml:space="preserve">16/12/1800 </t>
        </r>
        <r>
          <rPr>
            <i/>
            <sz val="14"/>
            <color rgb="FF000000"/>
            <rFont val="Times New Roman"/>
            <family val="18"/>
          </rPr>
          <t>Während der Retirade in die Kriegsgefangenschaft geraten</t>
        </r>
        <r>
          <rPr>
            <sz val="14"/>
            <color rgb="FF000000"/>
            <rFont val="Times New Roman"/>
            <family val="18"/>
          </rPr>
          <t xml:space="preserve"> [ML 1802]
</t>
        </r>
      </text>
    </comment>
    <comment ref="BG347" authorId="0" shapeId="0" xr:uid="{E4B010CA-D629-E843-9602-44F5518848E7}">
      <text>
        <r>
          <rPr>
            <sz val="14"/>
            <color rgb="FF000000"/>
            <rFont val="Times"/>
            <family val="2"/>
          </rPr>
          <t>ML 5102-4 IR 60 (1802) –Heft von Obrist Komp Zuwachs (Tamesvar 15/09/1802), Reserve Division Zuwachs &amp; Abgang (Tamesvar 15/09/1802)</t>
        </r>
        <r>
          <rPr>
            <sz val="14"/>
            <color rgb="FF000000"/>
            <rFont val="Times"/>
            <family val="2"/>
          </rPr>
          <t xml:space="preserve">
</t>
        </r>
      </text>
    </comment>
    <comment ref="BH347" authorId="0" shapeId="0" xr:uid="{00789090-2032-F942-915C-70FA3E146B1E}">
      <text>
        <r>
          <rPr>
            <sz val="14"/>
            <color rgb="FF000000"/>
            <rFont val="Calibri"/>
            <family val="34"/>
          </rPr>
          <t>IR 60 (1800)</t>
        </r>
      </text>
    </comment>
    <comment ref="I348" authorId="0" shapeId="0" xr:uid="{72ECC92F-55EB-C747-84B0-2E92E68952B0}">
      <text>
        <r>
          <rPr>
            <sz val="14"/>
            <color rgb="FF000000"/>
            <rFont val="Calibri"/>
            <family val="34"/>
          </rPr>
          <t xml:space="preserve">1776 [28 (1804] 
</t>
        </r>
        <r>
          <rPr>
            <sz val="14"/>
            <color rgb="FF000000"/>
            <rFont val="Calibri"/>
            <family val="34"/>
          </rPr>
          <t xml:space="preserve">OR 
</t>
        </r>
        <r>
          <rPr>
            <sz val="14"/>
            <color rgb="FF000000"/>
            <rFont val="Calibri"/>
            <family val="34"/>
          </rPr>
          <t>1780 [22 (1802])</t>
        </r>
      </text>
    </comment>
    <comment ref="K348" authorId="0" shapeId="0" xr:uid="{7F1AEA8E-5871-2646-B3DB-0B7A643E66BD}">
      <text>
        <r>
          <rPr>
            <sz val="14"/>
            <color rgb="FF000000"/>
            <rFont val="Calibri"/>
            <family val="34"/>
          </rPr>
          <t xml:space="preserve">Ohne  (1802-1803)
</t>
        </r>
        <r>
          <rPr>
            <sz val="14"/>
            <color rgb="FF000000"/>
            <rFont val="Calibri"/>
            <family val="34"/>
          </rPr>
          <t>Schneider (1804)</t>
        </r>
      </text>
    </comment>
    <comment ref="BF348" authorId="0" shapeId="0" xr:uid="{B2295B5C-331F-D940-8FFB-09248F6E2635}">
      <text>
        <r>
          <rPr>
            <sz val="14"/>
            <color rgb="FFFF0000"/>
            <rFont val="Times New Roman"/>
            <family val="18"/>
          </rPr>
          <t xml:space="preserve">10/03/1800 </t>
        </r>
        <r>
          <rPr>
            <i/>
            <sz val="14"/>
            <color rgb="FFFF0000"/>
            <rFont val="Times New Roman"/>
            <family val="18"/>
          </rPr>
          <t>Als ständischer Recrout</t>
        </r>
        <r>
          <rPr>
            <sz val="14"/>
            <color rgb="FFFF0000"/>
            <rFont val="Times New Roman"/>
            <family val="18"/>
          </rPr>
          <t xml:space="preserve"> [</t>
        </r>
        <r>
          <rPr>
            <i/>
            <sz val="14"/>
            <color rgb="FFFF0000"/>
            <rFont val="Times New Roman"/>
            <family val="18"/>
          </rPr>
          <t>assentiert</t>
        </r>
        <r>
          <rPr>
            <sz val="14"/>
            <color rgb="FFFF0000"/>
            <rFont val="Times New Roman"/>
            <family val="18"/>
          </rPr>
          <t>] [ML 1802/3]</t>
        </r>
        <r>
          <rPr>
            <sz val="14"/>
            <color rgb="FF000000"/>
            <rFont val="Calibri"/>
            <family val="34"/>
          </rPr>
          <t xml:space="preserve">
</t>
        </r>
        <r>
          <rPr>
            <sz val="14"/>
            <color rgb="FF000000"/>
            <rFont val="Times New Roman"/>
            <family val="18"/>
          </rPr>
          <t xml:space="preserve">14/04/1800 </t>
        </r>
        <r>
          <rPr>
            <i/>
            <sz val="14"/>
            <color rgb="FF000000"/>
            <rFont val="Times New Roman"/>
            <family val="18"/>
          </rPr>
          <t>in Galizien ausgehoben a 3Fl zu Tarnopol assentiert und seitdem auf Anhero Marsch</t>
        </r>
        <r>
          <rPr>
            <sz val="14"/>
            <color rgb="FF000000"/>
            <rFont val="Times New Roman"/>
            <family val="18"/>
          </rPr>
          <t xml:space="preserve"> [ST May 1800 &amp; ML 1804]</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01/01/1801 </t>
        </r>
        <r>
          <rPr>
            <i/>
            <sz val="14"/>
            <color rgb="FF000000"/>
            <rFont val="Times New Roman"/>
            <family val="18"/>
          </rPr>
          <t>Von Reserve Division ins Haupt Geistler Comp transferiert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28/08/1802 Muster: IR 43 Haupt Geistler Komp. Nr. 108</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02/11/1803 Muster: IR 43 Haupt Geistler Komp. Nr. 95 [</t>
        </r>
        <r>
          <rPr>
            <i/>
            <sz val="14"/>
            <color rgb="FF000000"/>
            <rFont val="Times New Roman"/>
            <family val="18"/>
          </rPr>
          <t>Auf Unbestimmte Urlaub zu Tarnopol</t>
        </r>
        <r>
          <rPr>
            <sz val="14"/>
            <color rgb="FF000000"/>
            <rFont val="Times New Roman"/>
            <family val="18"/>
          </rPr>
          <t>]</t>
        </r>
        <r>
          <rPr>
            <sz val="14"/>
            <color rgb="FF000000"/>
            <rFont val="Calibri"/>
            <family val="34"/>
          </rPr>
          <t xml:space="preserve">
</t>
        </r>
        <r>
          <rPr>
            <sz val="14"/>
            <color rgb="FF000000"/>
            <rFont val="Times New Roman"/>
            <family val="18"/>
          </rPr>
          <t>05/10/1804 Muster: IR 43 Haupt Geistler Komp Nr. 92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31/12/1804 </t>
        </r>
        <r>
          <rPr>
            <i/>
            <sz val="14"/>
            <color rgb="FF000000"/>
            <rFont val="Times New Roman"/>
            <family val="18"/>
          </rPr>
          <t>als Steuerbare Grundbesitzer ohneentgeliche Stellung des in Monat 9ber bei Hauptmann Prati Companie unter 16t 8ber d:a: in Zuwachs erscheinende Recrouten Maxim Woidynek von Unbesimmte Urlaub Abschied entlassen</t>
        </r>
        <r>
          <rPr>
            <sz val="14"/>
            <color rgb="FF000000"/>
            <rFont val="Times New Roman"/>
            <family val="18"/>
          </rPr>
          <t xml:space="preserve"> [ST Jan 1805 &amp; ML 1805]</t>
        </r>
        <r>
          <rPr>
            <sz val="14"/>
            <color rgb="FF000000"/>
            <rFont val="Calibri"/>
            <family val="34"/>
          </rPr>
          <t xml:space="preserve">
</t>
        </r>
      </text>
    </comment>
    <comment ref="BG348" authorId="0" shapeId="0" xr:uid="{D34C1721-C49C-4C4B-83D9-08C7C4A5FF6D}">
      <text>
        <r>
          <rPr>
            <sz val="14"/>
            <color rgb="FF000000"/>
            <rFont val="Times New Roman"/>
            <family val="18"/>
          </rPr>
          <t>ML 10.272 IR 43 (1802) – Heft von Haupt Geistler Comp. Nr 46 (Cattaro 28/08/1802)</t>
        </r>
        <r>
          <rPr>
            <sz val="14"/>
            <color rgb="FF000000"/>
            <rFont val="Calibri"/>
            <family val="34"/>
          </rPr>
          <t xml:space="preserve">
</t>
        </r>
        <r>
          <rPr>
            <sz val="14"/>
            <color rgb="FF000000"/>
            <rFont val="Times New Roman"/>
            <family val="18"/>
          </rPr>
          <t>ML 10.273 IR 43 (1803) – Heft von Haupt Geistler Comp. Nr 40 (Cattaro 02/11/1803)</t>
        </r>
        <r>
          <rPr>
            <sz val="14"/>
            <color rgb="FF000000"/>
            <rFont val="Calibri"/>
            <family val="34"/>
          </rPr>
          <t xml:space="preserve">
</t>
        </r>
        <r>
          <rPr>
            <sz val="14"/>
            <color rgb="FF000000"/>
            <rFont val="Times New Roman"/>
            <family val="18"/>
          </rPr>
          <t>ML 10.274 IR 43 (1804) – Heft von Haupt Geistler Comp. Nr 40 (Theodo 05/10/1804)</t>
        </r>
        <r>
          <rPr>
            <sz val="14"/>
            <color rgb="FF000000"/>
            <rFont val="Calibri"/>
            <family val="34"/>
          </rPr>
          <t xml:space="preserve">
</t>
        </r>
        <r>
          <rPr>
            <sz val="14"/>
            <color rgb="FF000000"/>
            <rFont val="Times New Roman"/>
            <family val="18"/>
          </rPr>
          <t>ML 10.275/6 IR 43 (1805) – Heft von 10. Fus Comp. Abgang (Spalato 23/10/1805)</t>
        </r>
        <r>
          <rPr>
            <sz val="14"/>
            <color rgb="FF000000"/>
            <rFont val="Calibri"/>
            <family val="34"/>
          </rPr>
          <t xml:space="preserve">
</t>
        </r>
        <r>
          <rPr>
            <sz val="14"/>
            <color rgb="FF000000"/>
            <rFont val="Times New Roman"/>
            <family val="18"/>
          </rPr>
          <t>ML 10.309 IR 43 (1800) – ST Mai (??), Sept (31/01/1804), Nov (02/04/1804)</t>
        </r>
        <r>
          <rPr>
            <sz val="14"/>
            <color rgb="FF000000"/>
            <rFont val="Calibri"/>
            <family val="34"/>
          </rPr>
          <t xml:space="preserve">
</t>
        </r>
        <r>
          <rPr>
            <sz val="14"/>
            <color rgb="FF000000"/>
            <rFont val="Times New Roman"/>
            <family val="18"/>
          </rPr>
          <t>ML 10.311 IR 43 (1801) – ST Jan (23/08/1804)</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10.315 IR 43 (1805) – ST Jan (15/02/1805)</t>
        </r>
      </text>
    </comment>
    <comment ref="BH348" authorId="0" shapeId="0" xr:uid="{CC8EA6F9-B11C-0244-8D6F-280F67DCE761}">
      <text>
        <r>
          <rPr>
            <sz val="14"/>
            <color rgb="FF000000"/>
            <rFont val="Calibri"/>
            <family val="34"/>
          </rPr>
          <t>IR 43 (1800-1804)</t>
        </r>
      </text>
    </comment>
    <comment ref="BF349" authorId="0" shapeId="0" xr:uid="{78CA7783-734D-6A41-9A8D-68ED78DD724B}">
      <text>
        <r>
          <rPr>
            <sz val="14"/>
            <color rgb="FF000000"/>
            <rFont val="Times New Roman"/>
            <family val="18"/>
          </rPr>
          <t xml:space="preserve">15/04/1800 </t>
        </r>
        <r>
          <rPr>
            <i/>
            <sz val="14"/>
            <color rgb="FF000000"/>
            <rFont val="Times New Roman"/>
            <family val="18"/>
          </rPr>
          <t>A 3Fl Handgeld Von Lande auf Dauer des Krieges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01/05/1803 </t>
        </r>
        <r>
          <rPr>
            <i/>
            <sz val="14"/>
            <color rgb="FF000000"/>
            <rFont val="Times New Roman"/>
            <family val="18"/>
          </rPr>
          <t>Auf Mappierung mit Geld und Service Gebühr auswärts, Brot in loco</t>
        </r>
        <r>
          <rPr>
            <sz val="14"/>
            <color rgb="FF000000"/>
            <rFont val="Times New Roman"/>
            <family val="18"/>
          </rPr>
          <t xml:space="preserve"> [ST May 1803]</t>
        </r>
        <r>
          <rPr>
            <sz val="14"/>
            <color rgb="FF000000"/>
            <rFont val="Calibri"/>
            <family val="34"/>
          </rPr>
          <t xml:space="preserve">
</t>
        </r>
        <r>
          <rPr>
            <sz val="14"/>
            <color rgb="FF000000"/>
            <rFont val="Times New Roman"/>
            <family val="18"/>
          </rPr>
          <t>09/09/1803 Muster: IR 39 Haupt Bakich Komp. Nr. 99 [</t>
        </r>
        <r>
          <rPr>
            <i/>
            <sz val="14"/>
            <color rgb="FF000000"/>
            <rFont val="Times New Roman"/>
            <family val="18"/>
          </rPr>
          <t>Auf Mappierung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11/02/1804 </t>
        </r>
        <r>
          <rPr>
            <i/>
            <sz val="14"/>
            <color rgb="FF000000"/>
            <rFont val="Times New Roman"/>
            <family val="18"/>
          </rPr>
          <t>Zurück in Kompanie</t>
        </r>
        <r>
          <rPr>
            <sz val="14"/>
            <color rgb="FF000000"/>
            <rFont val="Times New Roman"/>
            <family val="18"/>
          </rPr>
          <t xml:space="preserve"> [ST Feb 1804] </t>
        </r>
        <r>
          <rPr>
            <sz val="14"/>
            <color rgb="FF000000"/>
            <rFont val="Calibri"/>
            <family val="34"/>
          </rPr>
          <t xml:space="preserve">
</t>
        </r>
        <r>
          <rPr>
            <sz val="14"/>
            <color rgb="FF000000"/>
            <rFont val="Times New Roman"/>
            <family val="18"/>
          </rPr>
          <t xml:space="preserve">24/05/1804 Muster: IR 39 Haupt Bakich Komp. Nr. 92 </t>
        </r>
        <r>
          <rPr>
            <sz val="14"/>
            <color rgb="FF000000"/>
            <rFont val="Calibri"/>
            <family val="34"/>
          </rPr>
          <t xml:space="preserve">
</t>
        </r>
        <r>
          <rPr>
            <sz val="14"/>
            <color rgb="FF000000"/>
            <rFont val="Times New Roman"/>
            <family val="18"/>
          </rPr>
          <t>26/11/1804</t>
        </r>
        <r>
          <rPr>
            <i/>
            <sz val="14"/>
            <color rgb="FF000000"/>
            <rFont val="Times New Roman"/>
            <family val="18"/>
          </rPr>
          <t xml:space="preserve"> Bis zur Einberufung beurlaubt</t>
        </r>
        <r>
          <rPr>
            <sz val="14"/>
            <color rgb="FF000000"/>
            <rFont val="Times New Roman"/>
            <family val="18"/>
          </rPr>
          <t xml:space="preserve"> [ST Nov 1804]</t>
        </r>
        <r>
          <rPr>
            <sz val="14"/>
            <color rgb="FF000000"/>
            <rFont val="Calibri"/>
            <family val="34"/>
          </rPr>
          <t xml:space="preserve">
</t>
        </r>
        <r>
          <rPr>
            <sz val="14"/>
            <color rgb="FF000000"/>
            <rFont val="Times New Roman"/>
            <family val="18"/>
          </rPr>
          <t xml:space="preserve">05/06/1805 </t>
        </r>
        <r>
          <rPr>
            <i/>
            <sz val="14"/>
            <color rgb="FF000000"/>
            <rFont val="Times New Roman"/>
            <family val="18"/>
          </rPr>
          <t>Von unbestimmte Urlaub zurück und seitdem beim Abrichtungsdepot zugeteilt</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01/09/1805 </t>
        </r>
        <r>
          <rPr>
            <i/>
            <sz val="14"/>
            <color rgb="FF000000"/>
            <rFont val="Times New Roman"/>
            <family val="18"/>
          </rPr>
          <t>Auf bestimmte Zeit Beurlaubt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30/09/1805 </t>
        </r>
        <r>
          <rPr>
            <i/>
            <sz val="14"/>
            <color rgb="FF000000"/>
            <rFont val="Times New Roman"/>
            <family val="18"/>
          </rPr>
          <t>In Folge hoher Verordnung dd. Ofen am 9. Septemb: a:c: gegen Stellung eines anderen Mannes und Erlag des Monturgeldes mit Abschied entlassen</t>
        </r>
        <r>
          <rPr>
            <sz val="14"/>
            <color rgb="FF000000"/>
            <rFont val="Times New Roman"/>
            <family val="18"/>
          </rPr>
          <t xml:space="preserve"> [ST Okt 1805]</t>
        </r>
        <r>
          <rPr>
            <sz val="14"/>
            <color rgb="FF000000"/>
            <rFont val="Calibri"/>
            <family val="34"/>
          </rPr>
          <t xml:space="preserve">
</t>
        </r>
      </text>
    </comment>
    <comment ref="BG349" authorId="0" shapeId="0" xr:uid="{9A9D656A-653B-414C-822C-A8E6B6AC0B9A}">
      <text>
        <r>
          <rPr>
            <sz val="14"/>
            <color rgb="FF000000"/>
            <rFont val="Times New Roman"/>
            <family val="18"/>
          </rPr>
          <t>ML 3497 IR 39 (1803) – Haupt Bakich Komp. Nr. 97 (Venice 09/09/1803)</t>
        </r>
        <r>
          <rPr>
            <sz val="14"/>
            <color rgb="FF000000"/>
            <rFont val="Calibri"/>
            <family val="34"/>
          </rPr>
          <t xml:space="preserve">
</t>
        </r>
        <r>
          <rPr>
            <sz val="14"/>
            <color rgb="FF000000"/>
            <rFont val="Times New Roman"/>
            <family val="18"/>
          </rPr>
          <t>ML 3498 IR 39 (1804) – Haupt Bakich Komp. Nr. 90 (Lido 24/05/1804)</t>
        </r>
        <r>
          <rPr>
            <sz val="14"/>
            <color rgb="FF000000"/>
            <rFont val="Calibri"/>
            <family val="34"/>
          </rPr>
          <t xml:space="preserve">
</t>
        </r>
        <r>
          <rPr>
            <sz val="14"/>
            <color rgb="FF000000"/>
            <rFont val="Times New Roman"/>
            <family val="18"/>
          </rPr>
          <t>ML 3499 IR 39 (1805) – 4. Fus. Komp. Abgang (Leutschau 23/01/1807)</t>
        </r>
        <r>
          <rPr>
            <sz val="14"/>
            <color rgb="FF000000"/>
            <rFont val="Calibri"/>
            <family val="34"/>
          </rPr>
          <t xml:space="preserve">
</t>
        </r>
        <r>
          <rPr>
            <sz val="14"/>
            <color rgb="FF000000"/>
            <rFont val="Times New Roman"/>
            <family val="18"/>
          </rPr>
          <t>ML 3544 IR 39 (1803) – ST Mai (??)</t>
        </r>
        <r>
          <rPr>
            <sz val="14"/>
            <color rgb="FF000000"/>
            <rFont val="Calibri"/>
            <family val="34"/>
          </rPr>
          <t xml:space="preserve">
</t>
        </r>
        <r>
          <rPr>
            <sz val="14"/>
            <color rgb="FF000000"/>
            <rFont val="Times New Roman"/>
            <family val="18"/>
          </rPr>
          <t>ML 3545 IR 39 (1804) – ST Feb (Venice 14/03/1804), ST Nov (Venice 12/12/1804)</t>
        </r>
        <r>
          <rPr>
            <sz val="14"/>
            <color rgb="FF000000"/>
            <rFont val="Calibri"/>
            <family val="34"/>
          </rPr>
          <t xml:space="preserve">
</t>
        </r>
        <r>
          <rPr>
            <sz val="14"/>
            <color rgb="FF000000"/>
            <rFont val="Times New Roman"/>
            <family val="18"/>
          </rPr>
          <t>ML 3546 IR 39 (1805) – ST Juli (Pergine 28/08/1805), ST September (</t>
        </r>
        <r>
          <rPr>
            <sz val="14"/>
            <color rgb="FF000000"/>
            <rFont val="Times New Roman"/>
            <family val="18"/>
          </rPr>
          <t>Stuhlweißenburg</t>
        </r>
        <r>
          <rPr>
            <sz val="14"/>
            <color rgb="FF000000"/>
            <rFont val="Times New Roman"/>
            <family val="18"/>
          </rPr>
          <t xml:space="preserve"> 15/07/1806), ST Okt (31/07/1806)</t>
        </r>
        <r>
          <rPr>
            <sz val="14"/>
            <color rgb="FF000000"/>
            <rFont val="Calibri"/>
            <family val="34"/>
          </rPr>
          <t xml:space="preserve">
</t>
        </r>
      </text>
    </comment>
    <comment ref="BH349" authorId="0" shapeId="0" xr:uid="{6CA677B2-43EE-5C4F-AF5E-D7B9ED7264CE}">
      <text>
        <r>
          <rPr>
            <sz val="14"/>
            <color rgb="FF000000"/>
            <rFont val="Calibri"/>
            <family val="34"/>
          </rPr>
          <t>IR 39 (1800-1805)</t>
        </r>
      </text>
    </comment>
    <comment ref="BF350" authorId="0" shapeId="0" xr:uid="{D2D47148-3E38-2844-91D0-29573C6F2D23}">
      <text>
        <r>
          <rPr>
            <sz val="14"/>
            <color rgb="FF000000"/>
            <rFont val="Times New Roman"/>
            <family val="18"/>
          </rPr>
          <t xml:space="preserve">17/04/1800 </t>
        </r>
        <r>
          <rPr>
            <i/>
            <sz val="14"/>
            <color rgb="FF000000"/>
            <rFont val="Times New Roman"/>
            <family val="18"/>
          </rPr>
          <t>A 4Fl Handgeld auf Kriegsdauer angeworben</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11/03/1803 </t>
        </r>
        <r>
          <rPr>
            <i/>
            <sz val="14"/>
            <color rgb="FF000000"/>
            <rFont val="Times New Roman"/>
            <family val="18"/>
          </rPr>
          <t>Im Marsch auf Urlaub mit deutschen Loco Gebühr ohne Service</t>
        </r>
        <r>
          <rPr>
            <sz val="14"/>
            <color rgb="FF000000"/>
            <rFont val="Times New Roman"/>
            <family val="18"/>
          </rPr>
          <t xml:space="preserve"> [ST März 1803]</t>
        </r>
        <r>
          <rPr>
            <sz val="14"/>
            <color rgb="FF000000"/>
            <rFont val="Calibri"/>
            <family val="34"/>
          </rPr>
          <t xml:space="preserve">
</t>
        </r>
        <r>
          <rPr>
            <sz val="14"/>
            <color rgb="FF000000"/>
            <rFont val="Times New Roman"/>
            <family val="18"/>
          </rPr>
          <t xml:space="preserve">04/04/1803 </t>
        </r>
        <r>
          <rPr>
            <i/>
            <sz val="14"/>
            <color rgb="FF000000"/>
            <rFont val="Times New Roman"/>
            <family val="18"/>
          </rPr>
          <t>Im Marsch auf Urlaub mit ungarischer Gebühr</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Auf unbestimmte Urlaub</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09/09/1803 Muster: IR 39 1. Major. Komp. Nr. 93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24/05/1804 Muster: IR 39 1. Major Komp. Nr. 85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[RL 1807]</t>
        </r>
        <r>
          <rPr>
            <sz val="14"/>
            <color rgb="FF000000"/>
            <rFont val="Calibri"/>
            <family val="34"/>
          </rPr>
          <t xml:space="preserve">
</t>
        </r>
      </text>
    </comment>
    <comment ref="BG350" authorId="0" shapeId="0" xr:uid="{674B868E-3D11-7D4D-9FB7-C206C309FD04}">
      <text>
        <r>
          <rPr>
            <sz val="14"/>
            <color rgb="FF000000"/>
            <rFont val="Times New Roman"/>
            <family val="18"/>
          </rPr>
          <t>ML 3497 IR 39 (1803) – Haupt Bakich Komp. Nr. 97 (Venice 09/09/1803)</t>
        </r>
        <r>
          <rPr>
            <sz val="14"/>
            <color rgb="FF000000"/>
            <rFont val="Calibri"/>
            <family val="34"/>
          </rPr>
          <t xml:space="preserve">
</t>
        </r>
        <r>
          <rPr>
            <sz val="14"/>
            <color rgb="FF000000"/>
            <rFont val="Times New Roman"/>
            <family val="18"/>
          </rPr>
          <t>ML 3498 IR 39 (1804) – Haupt Bakich Komp. Nr. 90 (Lido 24/05/1804)</t>
        </r>
        <r>
          <rPr>
            <sz val="14"/>
            <color rgb="FF000000"/>
            <rFont val="Calibri"/>
            <family val="34"/>
          </rPr>
          <t xml:space="preserve">
</t>
        </r>
        <r>
          <rPr>
            <sz val="14"/>
            <color rgb="FF000000"/>
            <rFont val="Times New Roman"/>
            <family val="18"/>
          </rPr>
          <t>ML 3499 IR 39 (1807) – 4. Fus. Komp. Abgang (Letschau 23/01/807)</t>
        </r>
        <r>
          <rPr>
            <sz val="14"/>
            <color rgb="FF000000"/>
            <rFont val="Calibri"/>
            <family val="34"/>
          </rPr>
          <t xml:space="preserve">
</t>
        </r>
        <r>
          <rPr>
            <sz val="14"/>
            <color rgb="FF000000"/>
            <rFont val="Times New Roman"/>
            <family val="18"/>
          </rPr>
          <t>ML 3544 IR 39 (1803) – ST März (20/04/1803), ST April (Venice 15/05/1803); ST Mai (??)</t>
        </r>
        <r>
          <rPr>
            <sz val="14"/>
            <color rgb="FF000000"/>
            <rFont val="Calibri"/>
            <family val="34"/>
          </rPr>
          <t xml:space="preserve">
</t>
        </r>
      </text>
    </comment>
    <comment ref="BH350" authorId="0" shapeId="0" xr:uid="{C4318725-AF84-214D-8542-B1C9B6A36988}">
      <text>
        <r>
          <rPr>
            <sz val="14"/>
            <color rgb="FF000000"/>
            <rFont val="Calibri"/>
            <family val="34"/>
          </rPr>
          <t>IR 39 (1800-1806)</t>
        </r>
      </text>
    </comment>
    <comment ref="BF351" authorId="0" shapeId="0" xr:uid="{ECB912BD-888D-3844-8F07-CB33AF8FDC21}">
      <text>
        <r>
          <rPr>
            <sz val="14"/>
            <color rgb="FF000000"/>
            <rFont val="Times New Roman"/>
            <family val="18"/>
          </rPr>
          <t xml:space="preserve">17/04/1800 </t>
        </r>
        <r>
          <rPr>
            <i/>
            <sz val="14"/>
            <color rgb="FF000000"/>
            <rFont val="Times New Roman"/>
            <family val="18"/>
          </rPr>
          <t>A 3Fl Handgeld Von Lande auf Dauer des Krieges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11/03/1803 </t>
        </r>
        <r>
          <rPr>
            <i/>
            <sz val="14"/>
            <color rgb="FF000000"/>
            <rFont val="Times New Roman"/>
            <family val="18"/>
          </rPr>
          <t>Im Marsch auf Urlaub mit deutschen Loco Gebühr, ohne Teuerungsbeitrag und ohne Service</t>
        </r>
        <r>
          <rPr>
            <sz val="14"/>
            <color rgb="FF000000"/>
            <rFont val="Times New Roman"/>
            <family val="18"/>
          </rPr>
          <t xml:space="preserve"> [ST März 1803]</t>
        </r>
        <r>
          <rPr>
            <sz val="14"/>
            <color rgb="FF000000"/>
            <rFont val="Calibri"/>
            <family val="34"/>
          </rPr>
          <t xml:space="preserve">
</t>
        </r>
        <r>
          <rPr>
            <sz val="14"/>
            <color rgb="FF000000"/>
            <rFont val="Times New Roman"/>
            <family val="18"/>
          </rPr>
          <t xml:space="preserve">04/04/1803 </t>
        </r>
        <r>
          <rPr>
            <i/>
            <sz val="14"/>
            <color rgb="FF000000"/>
            <rFont val="Times New Roman"/>
            <family val="18"/>
          </rPr>
          <t>Im Marsch auf Urlaub mit ungarischer Gebühr</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 xml:space="preserve">01/05/1803 </t>
        </r>
        <r>
          <rPr>
            <i/>
            <sz val="14"/>
            <color rgb="FF000000"/>
            <rFont val="Times New Roman"/>
            <family val="18"/>
          </rPr>
          <t>Auf unbestimmte Urlaub</t>
        </r>
        <r>
          <rPr>
            <sz val="14"/>
            <color rgb="FF000000"/>
            <rFont val="Times New Roman"/>
            <family val="18"/>
          </rPr>
          <t xml:space="preserve"> [ST Mai 1803]</t>
        </r>
        <r>
          <rPr>
            <sz val="14"/>
            <color rgb="FF000000"/>
            <rFont val="Calibri"/>
            <family val="34"/>
          </rPr>
          <t xml:space="preserve">
</t>
        </r>
        <r>
          <rPr>
            <sz val="14"/>
            <color rgb="FF000000"/>
            <rFont val="Times New Roman"/>
            <family val="18"/>
          </rPr>
          <t>09/09/1803 Muster: IR 39 Haupt Bakich Komp. Nr. 97 [</t>
        </r>
        <r>
          <rPr>
            <i/>
            <sz val="14"/>
            <color rgb="FF000000"/>
            <rFont val="Times New Roman"/>
            <family val="18"/>
          </rPr>
          <t>Beurlaubt in seinem Geburtsort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24/05/1804 Muster: IR 39 Haupt Bakich Komp. Nr. 90 [</t>
        </r>
        <r>
          <rPr>
            <i/>
            <sz val="14"/>
            <color rgb="FF000000"/>
            <rFont val="Times New Roman"/>
            <family val="18"/>
          </rPr>
          <t>In dessen Geburtsort</t>
        </r>
        <r>
          <rPr>
            <sz val="14"/>
            <color rgb="FF000000"/>
            <rFont val="Times New Roman"/>
            <family val="18"/>
          </rPr>
          <t xml:space="preserve">] </t>
        </r>
        <r>
          <rPr>
            <sz val="14"/>
            <color rgb="FF000000"/>
            <rFont val="Calibri"/>
            <family val="34"/>
          </rPr>
          <t xml:space="preserve">
</t>
        </r>
        <r>
          <rPr>
            <sz val="14"/>
            <color rgb="FF000000"/>
            <rFont val="Times New Roman"/>
            <family val="18"/>
          </rPr>
          <t>Nie Desertiert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unwissend verloren in Abgang</t>
        </r>
        <r>
          <rPr>
            <sz val="14"/>
            <color rgb="FF000000"/>
            <rFont val="Times New Roman"/>
            <family val="18"/>
          </rPr>
          <t xml:space="preserve"> [RL 1807]</t>
        </r>
        <r>
          <rPr>
            <sz val="14"/>
            <color rgb="FF000000"/>
            <rFont val="Calibri"/>
            <family val="34"/>
          </rPr>
          <t xml:space="preserve">
</t>
        </r>
      </text>
    </comment>
    <comment ref="BG351" authorId="0" shapeId="0" xr:uid="{36984B0B-9904-C547-8A9C-A492392885FD}">
      <text>
        <r>
          <rPr>
            <sz val="14"/>
            <color rgb="FF000000"/>
            <rFont val="Times New Roman"/>
            <family val="18"/>
          </rPr>
          <t xml:space="preserve">ML 3497 IR 39 (1803) – 1. Major Komp. Nr. 93 (Venice 09/09/1803)
</t>
        </r>
        <r>
          <rPr>
            <sz val="14"/>
            <color rgb="FF000000"/>
            <rFont val="Times New Roman"/>
            <family val="18"/>
          </rPr>
          <t xml:space="preserve">ML 3498 IR 39 (1804) – 1. Major Komp. Nr. 85 (Lido 24/05/1804)
</t>
        </r>
        <r>
          <rPr>
            <sz val="14"/>
            <color rgb="FF000000"/>
            <rFont val="Times New Roman"/>
            <family val="18"/>
          </rPr>
          <t xml:space="preserve">ML 3499 IR 39 (1807) – 13. Fus. Komp. Abgang (Letschau 23/01/1807)
</t>
        </r>
        <r>
          <rPr>
            <sz val="14"/>
            <color rgb="FF000000"/>
            <rFont val="Times New Roman"/>
            <family val="18"/>
          </rPr>
          <t xml:space="preserve">ML 3544 IR 39 (1803) – ST März (20/04/1803), ST April (Venice 15/05/1803)
</t>
        </r>
      </text>
    </comment>
    <comment ref="BH351" authorId="0" shapeId="0" xr:uid="{EAB83799-6E25-A045-94EF-1175B85D8B82}">
      <text>
        <r>
          <rPr>
            <sz val="14"/>
            <color rgb="FF000000"/>
            <rFont val="Calibri"/>
            <family val="34"/>
          </rPr>
          <t>IR 39 (1800-1806)</t>
        </r>
      </text>
    </comment>
    <comment ref="BF352" authorId="0" shapeId="0" xr:uid="{ED3AEB04-1226-5B4F-8561-FDED45798F19}">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52" authorId="0" shapeId="0" xr:uid="{26754E12-EE66-AF43-8D4D-6E54FCC1BA56}">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H352" authorId="0" shapeId="0" xr:uid="{14DAB55B-F588-9648-A5B5-190401A8C9C0}">
      <text>
        <r>
          <rPr>
            <sz val="14"/>
            <color rgb="FF000000"/>
            <rFont val="Calibri"/>
            <family val="34"/>
          </rPr>
          <t>IR 43 (1800-1801)</t>
        </r>
      </text>
    </comment>
    <comment ref="BF353" authorId="0" shapeId="0" xr:uid="{F9B4CF2D-5634-E840-AD15-655159C797A4}">
      <text>
        <r>
          <rPr>
            <sz val="14"/>
            <color rgb="FF000000"/>
            <rFont val="Times New Roman"/>
            <family val="18"/>
          </rPr>
          <t xml:space="preserve">28/04/1800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Mai 1800]</t>
        </r>
        <r>
          <rPr>
            <sz val="14"/>
            <color rgb="FF000000"/>
            <rFont val="Calibri"/>
            <family val="34"/>
          </rPr>
          <t xml:space="preserve">
</t>
        </r>
        <r>
          <rPr>
            <sz val="14"/>
            <color rgb="FF000000"/>
            <rFont val="Times New Roman"/>
            <family val="18"/>
          </rPr>
          <t>16/02/1801</t>
        </r>
        <r>
          <rPr>
            <i/>
            <sz val="14"/>
            <color rgb="FF000000"/>
            <rFont val="Times New Roman"/>
            <family val="18"/>
          </rPr>
          <t xml:space="preserve"> In die Reserve Division eingerückt </t>
        </r>
        <r>
          <rPr>
            <sz val="14"/>
            <color rgb="FF000000"/>
            <rFont val="Times New Roman"/>
            <family val="18"/>
          </rPr>
          <t>[ST Feb 1801]</t>
        </r>
        <r>
          <rPr>
            <sz val="14"/>
            <color rgb="FF000000"/>
            <rFont val="Calibri"/>
            <family val="34"/>
          </rPr>
          <t xml:space="preserve">
</t>
        </r>
        <r>
          <rPr>
            <sz val="14"/>
            <color rgb="FF000000"/>
            <rFont val="Times New Roman"/>
            <family val="18"/>
          </rPr>
          <t xml:space="preserve">UNBEKANNT: </t>
        </r>
        <r>
          <rPr>
            <i/>
            <sz val="14"/>
            <color rgb="FF000000"/>
            <rFont val="Times New Roman"/>
            <family val="18"/>
          </rPr>
          <t>Der Soldat erscheint danach</t>
        </r>
        <r>
          <rPr>
            <i/>
            <sz val="14"/>
            <color rgb="FF000000"/>
            <rFont val="Times New Roman"/>
            <family val="18"/>
          </rPr>
          <t xml:space="preserve"> </t>
        </r>
        <r>
          <rPr>
            <i/>
            <sz val="14"/>
            <color rgb="FF000000"/>
            <rFont val="Times New Roman"/>
            <family val="18"/>
          </rPr>
          <t>nicht mehr in die Quellen</t>
        </r>
        <r>
          <rPr>
            <sz val="14"/>
            <color rgb="FF000000"/>
            <rFont val="Calibri"/>
            <family val="34"/>
          </rPr>
          <t xml:space="preserve">
</t>
        </r>
      </text>
    </comment>
    <comment ref="BG353" authorId="0" shapeId="0" xr:uid="{48EEDD7D-0695-294F-A84F-52C05BBBAB13}">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text>
    </comment>
    <comment ref="BH353" authorId="0" shapeId="0" xr:uid="{91735565-3CF9-A047-B70B-8BF2B2003465}">
      <text>
        <r>
          <rPr>
            <sz val="14"/>
            <color rgb="FF000000"/>
            <rFont val="Calibri"/>
            <family val="34"/>
          </rPr>
          <t>IR 43 (1800-1801)</t>
        </r>
      </text>
    </comment>
    <comment ref="BF354" authorId="0" shapeId="0" xr:uid="{036543DB-03AA-3C4D-8704-1B0882413F02}">
      <text>
        <r>
          <rPr>
            <sz val="14"/>
            <color rgb="FF000000"/>
            <rFont val="Times New Roman"/>
            <family val="18"/>
          </rPr>
          <t xml:space="preserve">02/05/1800 </t>
        </r>
        <r>
          <rPr>
            <i/>
            <sz val="14"/>
            <color rgb="FF000000"/>
            <rFont val="Times New Roman"/>
            <family val="18"/>
          </rPr>
          <t>in Galizien ausgehoben a 3Fl und zu Biala assentiert und seitdem auf Anhero Marsch</t>
        </r>
        <r>
          <rPr>
            <sz val="14"/>
            <color rgb="FF000000"/>
            <rFont val="Times New Roman"/>
            <family val="18"/>
          </rPr>
          <t xml:space="preserve"> [ST Mai 1800]</t>
        </r>
        <r>
          <rPr>
            <sz val="14"/>
            <color rgb="FF000000"/>
            <rFont val="Calibri"/>
            <family val="34"/>
          </rPr>
          <t xml:space="preserve">
</t>
        </r>
        <r>
          <rPr>
            <sz val="14"/>
            <color rgb="FF000000"/>
            <rFont val="Times New Roman"/>
            <family val="18"/>
          </rPr>
          <t xml:space="preserve">07/05/1800 </t>
        </r>
        <r>
          <rPr>
            <i/>
            <sz val="14"/>
            <color rgb="FF000000"/>
            <rFont val="Times New Roman"/>
            <family val="18"/>
          </rPr>
          <t>Zu Krakau gestorben</t>
        </r>
        <r>
          <rPr>
            <sz val="14"/>
            <color rgb="FF000000"/>
            <rFont val="Times New Roman"/>
            <family val="18"/>
          </rPr>
          <t xml:space="preserve"> [ST July 1800]</t>
        </r>
        <r>
          <rPr>
            <sz val="14"/>
            <color rgb="FF000000"/>
            <rFont val="Calibri"/>
            <family val="34"/>
          </rPr>
          <t xml:space="preserve">
</t>
        </r>
      </text>
    </comment>
    <comment ref="BG354" authorId="0" shapeId="0" xr:uid="{BE38595E-8C7E-AC4F-BE04-6A04D7FBE24A}">
      <text>
        <r>
          <rPr>
            <sz val="14"/>
            <color rgb="FF000000"/>
            <rFont val="Times New Roman"/>
            <family val="18"/>
          </rPr>
          <t>ML 10.309 IR 43 (1800) – ST May (????), July (24/10/1803)</t>
        </r>
        <r>
          <rPr>
            <sz val="14"/>
            <color rgb="FF000000"/>
            <rFont val="Calibri"/>
            <family val="34"/>
          </rPr>
          <t xml:space="preserve">
</t>
        </r>
      </text>
    </comment>
    <comment ref="BH354" authorId="0" shapeId="0" xr:uid="{78923866-B86E-D64D-871B-617B6C31C910}">
      <text>
        <r>
          <rPr>
            <sz val="14"/>
            <color rgb="FF000000"/>
            <rFont val="Calibri"/>
            <family val="34"/>
          </rPr>
          <t>IR 43 (1800)</t>
        </r>
      </text>
    </comment>
    <comment ref="BF355" authorId="0" shapeId="0" xr:uid="{7CF50E75-C9C1-A44D-B099-BD9F0E7E5CE4}">
      <text>
        <r>
          <rPr>
            <sz val="14"/>
            <color rgb="FF000000"/>
            <rFont val="Times New Roman"/>
            <family val="18"/>
          </rPr>
          <t xml:space="preserve">02/05/1800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55" authorId="0" shapeId="0" xr:uid="{55878704-BB3C-2B40-B30A-C8709EB8B567}">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55" authorId="0" shapeId="0" xr:uid="{A6878EC0-56E5-0D4E-B0B4-272456994970}">
      <text>
        <r>
          <rPr>
            <sz val="14"/>
            <color rgb="FF000000"/>
            <rFont val="Calibri"/>
            <family val="34"/>
          </rPr>
          <t>IR 43 (1800-1801)</t>
        </r>
      </text>
    </comment>
    <comment ref="BF356" authorId="0" shapeId="0" xr:uid="{A680C3F3-C2C8-4C4A-B1D7-04E631085BC3}">
      <text>
        <r>
          <rPr>
            <sz val="14"/>
            <color rgb="FF000000"/>
            <rFont val="Times New Roman"/>
            <family val="18"/>
          </rPr>
          <t xml:space="preserve">03/05/1800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56" authorId="0" shapeId="0" xr:uid="{3CB347C0-28C3-4248-A3F7-E86D5DFA810E}">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56" authorId="0" shapeId="0" xr:uid="{2C821C1C-F173-764D-904B-7EEC2DA9859A}">
      <text>
        <r>
          <rPr>
            <sz val="14"/>
            <color rgb="FF000000"/>
            <rFont val="Calibri"/>
            <family val="34"/>
          </rPr>
          <t>IR 43 (1800-1801)</t>
        </r>
      </text>
    </comment>
    <comment ref="BF357" authorId="0" shapeId="0" xr:uid="{449FAC8E-7E47-414E-8775-AF452EB4EBCF}">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57" authorId="0" shapeId="0" xr:uid="{096B974C-A379-4945-942D-3162C5C44268}">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57" authorId="0" shapeId="0" xr:uid="{6F46F290-E5FD-5D40-B65F-9D1CA3B911FA}">
      <text>
        <r>
          <rPr>
            <sz val="14"/>
            <color rgb="FF000000"/>
            <rFont val="Calibri"/>
            <family val="34"/>
          </rPr>
          <t>IR 43 (1800-1801)</t>
        </r>
      </text>
    </comment>
    <comment ref="BF358" authorId="0" shapeId="0" xr:uid="{2970F3D3-9D1C-804C-AF14-227724A44024}">
      <text>
        <r>
          <rPr>
            <sz val="14"/>
            <color rgb="FF000000"/>
            <rFont val="Times New Roman"/>
            <family val="18"/>
          </rPr>
          <t xml:space="preserve">04/05/1800 </t>
        </r>
        <r>
          <rPr>
            <i/>
            <sz val="14"/>
            <color rgb="FF000000"/>
            <rFont val="Times New Roman"/>
            <family val="18"/>
          </rPr>
          <t>in Galizien ausgehoben a 3Fl und zu Biala assentiert und seitdem auf Anhero Marsch</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26/08/1800 </t>
        </r>
        <r>
          <rPr>
            <i/>
            <sz val="14"/>
            <color rgb="FF000000"/>
            <rFont val="Times New Roman"/>
            <family val="18"/>
          </rPr>
          <t>Von Reserve Division ins 2. Major Comp transferiert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16/10/1800 </t>
        </r>
        <r>
          <rPr>
            <i/>
            <sz val="14"/>
            <color rgb="FF000000"/>
            <rFont val="Times New Roman"/>
            <family val="18"/>
          </rPr>
          <t>Krank auswärts mit Kriegsgebühr</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31/03/1801 </t>
        </r>
        <r>
          <rPr>
            <i/>
            <sz val="14"/>
            <color rgb="FF000000"/>
            <rFont val="Times New Roman"/>
            <family val="18"/>
          </rPr>
          <t>In auswärtiger Feldspitaller als uber ½ Jahr auswärts und dessen Existenz gänzlich unbewusst als Unwissend verloren in Abgang gebracht</t>
        </r>
        <r>
          <rPr>
            <sz val="14"/>
            <color rgb="FF000000"/>
            <rFont val="Times New Roman"/>
            <family val="18"/>
          </rPr>
          <t xml:space="preserve"> [ST April 1801]</t>
        </r>
        <r>
          <rPr>
            <sz val="14"/>
            <color rgb="FF000000"/>
            <rFont val="Calibri"/>
            <family val="34"/>
          </rPr>
          <t xml:space="preserve">
</t>
        </r>
      </text>
    </comment>
    <comment ref="BG358" authorId="0" shapeId="0" xr:uid="{CB221692-B8B1-3D4E-A0FF-2E370771A8D8}">
      <text>
        <r>
          <rPr>
            <sz val="14"/>
            <color rgb="FF000000"/>
            <rFont val="Times New Roman"/>
            <family val="18"/>
          </rPr>
          <t>ML 10.309 IR 43 (1800) – ST Mai (???), Juni (27/08/1803), Sept (31/01/1804), Oct (22/03/1804)</t>
        </r>
        <r>
          <rPr>
            <sz val="14"/>
            <color rgb="FF000000"/>
            <rFont val="Calibri"/>
            <family val="34"/>
          </rPr>
          <t xml:space="preserve">
</t>
        </r>
        <r>
          <rPr>
            <sz val="14"/>
            <color rgb="FF000000"/>
            <rFont val="Times New Roman"/>
            <family val="18"/>
          </rPr>
          <t>ML 10.311 IR 43 (1801) – April (13/10/1804)</t>
        </r>
        <r>
          <rPr>
            <sz val="14"/>
            <color rgb="FF000000"/>
            <rFont val="Calibri"/>
            <family val="34"/>
          </rPr>
          <t xml:space="preserve">
</t>
        </r>
      </text>
    </comment>
    <comment ref="BH358" authorId="0" shapeId="0" xr:uid="{F7F9E517-4089-7E45-BB60-A33120891778}">
      <text>
        <r>
          <rPr>
            <sz val="14"/>
            <color rgb="FF000000"/>
            <rFont val="Calibri"/>
            <family val="34"/>
          </rPr>
          <t>IR 43 (1800-1801)</t>
        </r>
      </text>
    </comment>
    <comment ref="BF359" authorId="0" shapeId="0" xr:uid="{3AB3BC30-5B06-BA45-A699-2DF4C6586AC7}">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59" authorId="0" shapeId="0" xr:uid="{7890C8E5-8DFE-2E43-8F44-2D7CE75E15C4}">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59" authorId="0" shapeId="0" xr:uid="{3FD1D39C-9538-CC48-8CED-17315086B6D9}">
      <text>
        <r>
          <rPr>
            <sz val="14"/>
            <color rgb="FF000000"/>
            <rFont val="Calibri"/>
            <family val="34"/>
          </rPr>
          <t>IR 43 (1800-1801)</t>
        </r>
      </text>
    </comment>
    <comment ref="BF360" authorId="0" shapeId="0" xr:uid="{DB41C2CA-6ABA-4242-9B9D-F374A6BB9976}">
      <text>
        <r>
          <rPr>
            <sz val="14"/>
            <color rgb="FF000000"/>
            <rFont val="Times New Roman"/>
            <family val="18"/>
          </rPr>
          <t xml:space="preserve">04/05/1800 </t>
        </r>
        <r>
          <rPr>
            <i/>
            <sz val="14"/>
            <color rgb="FF000000"/>
            <rFont val="Times New Roman"/>
            <family val="18"/>
          </rPr>
          <t>In Galizien ausgehoben a 3Fl und zu Biala assentiert und seitdem auf Anhero Marsch</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31/07/1801 UNBEKANNT: </t>
        </r>
        <r>
          <rPr>
            <i/>
            <sz val="14"/>
            <color rgb="FF000000"/>
            <rFont val="Times New Roman"/>
            <family val="18"/>
          </rPr>
          <t>Ohne Weite zugaben in Abgang gebracht</t>
        </r>
        <r>
          <rPr>
            <sz val="14"/>
            <color rgb="FF000000"/>
            <rFont val="Times New Roman"/>
            <family val="18"/>
          </rPr>
          <t xml:space="preserve"> [ST Juli 1801]</t>
        </r>
        <r>
          <rPr>
            <sz val="14"/>
            <color rgb="FF000000"/>
            <rFont val="Calibri"/>
            <family val="34"/>
          </rPr>
          <t xml:space="preserve">
</t>
        </r>
      </text>
    </comment>
    <comment ref="BG360" authorId="0" shapeId="0" xr:uid="{7C95AA6E-22B2-8346-8112-B89FF1781B3C}">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ST Juli (08/07/1805)</t>
        </r>
        <r>
          <rPr>
            <sz val="14"/>
            <color rgb="FF000000"/>
            <rFont val="Calibri"/>
            <family val="34"/>
          </rPr>
          <t xml:space="preserve">
</t>
        </r>
      </text>
    </comment>
    <comment ref="BH360" authorId="0" shapeId="0" xr:uid="{6A0BAA16-B68D-A743-B6E7-E3D2BE35A789}">
      <text>
        <r>
          <rPr>
            <sz val="14"/>
            <color rgb="FF000000"/>
            <rFont val="Calibri"/>
            <family val="34"/>
          </rPr>
          <t>IR 43 (1800-1801)</t>
        </r>
      </text>
    </comment>
    <comment ref="BF361" authorId="0" shapeId="0" xr:uid="{5B4730A3-A93B-FB4F-857F-DB4BA8792B28}">
      <text>
        <r>
          <rPr>
            <sz val="14"/>
            <color rgb="FF000000"/>
            <rFont val="Times New Roman"/>
            <family val="18"/>
          </rPr>
          <t xml:space="preserve">04/05/1800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61" authorId="0" shapeId="0" xr:uid="{4931CB54-151B-2349-8119-6AB2AEF54D1A}">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61" authorId="0" shapeId="0" xr:uid="{621BDFA5-34C3-5849-8BAC-B982794C0B93}">
      <text>
        <r>
          <rPr>
            <sz val="14"/>
            <color rgb="FF000000"/>
            <rFont val="Calibri"/>
            <family val="34"/>
          </rPr>
          <t>IR 43 (1800-1801)</t>
        </r>
      </text>
    </comment>
    <comment ref="BF362" authorId="0" shapeId="0" xr:uid="{356A4ACD-8D82-5048-A2EA-C34DCCB52FA7}">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62" authorId="0" shapeId="0" xr:uid="{1657AF20-169B-B547-A307-7824204FB7B6}">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62" authorId="0" shapeId="0" xr:uid="{AA58ACE7-878F-F546-8303-E6DE5587314B}">
      <text>
        <r>
          <rPr>
            <sz val="14"/>
            <color rgb="FF000000"/>
            <rFont val="Calibri"/>
            <family val="34"/>
          </rPr>
          <t>IR 43 (1800-1801)</t>
        </r>
      </text>
    </comment>
    <comment ref="BF363" authorId="0" shapeId="0" xr:uid="{9F2EFFD4-D71A-2547-B5A7-6BBCBEAB29B1}">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63" authorId="0" shapeId="0" xr:uid="{747A8C72-DEBF-0245-8BA9-2E08FA1A151F}">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63" authorId="0" shapeId="0" xr:uid="{CA2EF280-B680-D54B-8639-66D562EB9ECB}">
      <text>
        <r>
          <rPr>
            <sz val="14"/>
            <color rgb="FF000000"/>
            <rFont val="Calibri"/>
            <family val="34"/>
          </rPr>
          <t>IR 43 (1800-1801)</t>
        </r>
      </text>
    </comment>
    <comment ref="BF364" authorId="0" shapeId="0" xr:uid="{5CBD4291-5187-7449-BBF0-E6525556527C}">
      <text>
        <r>
          <rPr>
            <sz val="14"/>
            <color rgb="FF000000"/>
            <rFont val="Times New Roman"/>
            <family val="18"/>
          </rPr>
          <t xml:space="preserve">08/05/1800 </t>
        </r>
        <r>
          <rPr>
            <i/>
            <sz val="14"/>
            <color rgb="FF000000"/>
            <rFont val="Times New Roman"/>
            <family val="18"/>
          </rPr>
          <t>in Galizien ausgehoben a 3Fl und zu Biala assentiert und seitdem auf Anhero Marsch mit Friedensgebühr</t>
        </r>
        <r>
          <rPr>
            <sz val="14"/>
            <color rgb="FF000000"/>
            <rFont val="Times New Roman"/>
            <family val="18"/>
          </rPr>
          <t xml:space="preserve"> [ST May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64" authorId="0" shapeId="0" xr:uid="{E8B16629-B3DE-074C-95AE-DFB8A8B83DC2}">
      <text>
        <r>
          <rPr>
            <sz val="14"/>
            <color rgb="FF000000"/>
            <rFont val="Times New Roman"/>
            <family val="18"/>
          </rPr>
          <t>ML 10.309 IR 43 (1800) – ST Mai (???)</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64" authorId="0" shapeId="0" xr:uid="{64581067-5646-3948-BD06-5D85B81DD5B7}">
      <text>
        <r>
          <rPr>
            <sz val="14"/>
            <color rgb="FF000000"/>
            <rFont val="Calibri"/>
            <family val="34"/>
          </rPr>
          <t>IR 43 (1800-1801)</t>
        </r>
      </text>
    </comment>
    <comment ref="BF365" authorId="0" shapeId="0" xr:uid="{2F847FF6-3056-A94B-A136-6A3D80D55180}">
      <text>
        <r>
          <rPr>
            <sz val="14"/>
            <color rgb="FFFF0000"/>
            <rFont val="+mn-lt"/>
            <charset val="1"/>
          </rPr>
          <t xml:space="preserve">10/07/1799 von Ständen gestellt [ML 1802]
</t>
        </r>
        <r>
          <rPr>
            <sz val="14"/>
            <color rgb="FF000000"/>
            <rFont val="+mn-lt"/>
            <charset val="1"/>
          </rPr>
          <t xml:space="preserve">13/05/1800 von Ständen gestellt [ML 1803-6]
</t>
        </r>
        <r>
          <rPr>
            <sz val="14"/>
            <color rgb="FFFF0000"/>
            <rFont val="+mn-lt"/>
            <charset val="1"/>
          </rPr>
          <t xml:space="preserve">23/02/1801 von Ständen gestellt [ST Feb 1801]
</t>
        </r>
        <r>
          <rPr>
            <sz val="14"/>
            <color rgb="FF000000"/>
            <rFont val="+mn-lt"/>
            <charset val="1"/>
          </rPr>
          <t xml:space="preserve">15/02/1801 von Reserve Division in Haupt Oberburg Comp transferiert [ST Feb 1801]
</t>
        </r>
        <r>
          <rPr>
            <sz val="14"/>
            <color rgb="FF000000"/>
            <rFont val="+mn-lt"/>
            <charset val="1"/>
          </rPr>
          <t xml:space="preserve">28/08/1802 Musterung: IR 43 Haupt Frinstlos Comp. Nr. 102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Frintlos Comp. Nr. 95 [Mit Urlaub bis zur Einberufung in seinem Geburtsort]
</t>
        </r>
        <r>
          <rPr>
            <sz val="14"/>
            <color rgb="FF000000"/>
            <rFont val="+mn-lt"/>
            <charset val="1"/>
          </rPr>
          <t xml:space="preserve">05/10/1804 Musterung: Haupt Frintlos Comp Nr. 89 [Beurlaubt bis zur Einberufung in seinem Geburtsort]
</t>
        </r>
        <r>
          <rPr>
            <sz val="14"/>
            <color rgb="FF000000"/>
            <rFont val="+mn-lt"/>
            <charset val="1"/>
          </rPr>
          <t xml:space="preserve">At Muster 23/10/1805 15. Fus Comp Nr. 77 [Beurlaubt bis zur Einberufung in seinem Geburtsort]
</t>
        </r>
        <r>
          <rPr>
            <sz val="14"/>
            <color rgb="FF000000"/>
            <rFont val="+mn-lt"/>
            <charset val="1"/>
          </rPr>
          <t xml:space="preserve">31/10/1806 Als auf Urlaub verbliebene von 10. Fus Comp als unwissend Verloren in Abgang [ST Oct 1806 &amp; ML 1806]
</t>
        </r>
        <r>
          <rPr>
            <sz val="14"/>
            <color rgb="FF000000"/>
            <rFont val="+mn-lt"/>
            <charset val="1"/>
          </rPr>
          <t xml:space="preserve">31/10/1806 wurde in den Monats Tabelle per 8ber 806 nit ultimo unrecht als unwissend verloren in Abgang gebracht; weil selbe auf Urlaub als Untauglich entlausen Wird [ST Nov 1806)
</t>
        </r>
        <r>
          <rPr>
            <sz val="14"/>
            <color rgb="FF000000"/>
            <rFont val="+mn-lt"/>
            <charset val="1"/>
          </rPr>
          <t xml:space="preserve">31/10/1806 zu Folge hoher General Commando Verordnung Nr. 7200 als untauglich gegen Renuncierung con Militar Beneficien mit Abschied entlassen [ST Nov 1806 &amp; ML 1806]
</t>
        </r>
      </text>
    </comment>
    <comment ref="BG365" authorId="0" shapeId="0" xr:uid="{AEE74CFE-4C03-4D44-B11A-7EF56C6BEF2A}">
      <text>
        <r>
          <rPr>
            <sz val="14"/>
            <color rgb="FF000000"/>
            <rFont val="Calibri"/>
            <family val="34"/>
          </rPr>
          <t xml:space="preserve">ML 10.272 IR 43 (1802) – Heft von Haupt Frintlos Comp Nr. 102 (Cattaro 28/08/1802)
</t>
        </r>
        <r>
          <rPr>
            <sz val="14"/>
            <color rgb="FF000000"/>
            <rFont val="Calibri"/>
            <family val="34"/>
          </rPr>
          <t xml:space="preserve">ML 10.273 IR 43 (1803) – Heft von Haupt Frintlos Comp Nr. 95 (Cattaro 02/11/1803)
</t>
        </r>
        <r>
          <rPr>
            <sz val="14"/>
            <color rgb="FF000000"/>
            <rFont val="Calibri"/>
            <family val="34"/>
          </rPr>
          <t xml:space="preserve">ML 10.274 IR 43 (1804) – Heft von Haupt Frintlos Comp Nr. 89 (Theodo 05/10/1804)
</t>
        </r>
        <r>
          <rPr>
            <sz val="14"/>
            <color rgb="FF000000"/>
            <rFont val="Calibri"/>
            <family val="34"/>
          </rPr>
          <t xml:space="preserve">ML 10.275/6 IR 43 (1805) – Heft von 15. Fus. Comp. Nr. 77 (Spalato 23/10/1805)
</t>
        </r>
        <r>
          <rPr>
            <sz val="14"/>
            <color rgb="FF000000"/>
            <rFont val="Calibri"/>
            <family val="34"/>
          </rPr>
          <t xml:space="preserve">ML 10.277/8 IR 43 (1806) – Heft von 10. Fus. Comp. – Abgang (Neustadt (05/12/1806)
</t>
        </r>
        <r>
          <rPr>
            <sz val="14"/>
            <color rgb="FF000000"/>
            <rFont val="Calibri"/>
            <family val="34"/>
          </rPr>
          <t xml:space="preserve">ML 10.312 IR 43 (1801) – ST Feb (28/09/1804)
</t>
        </r>
        <r>
          <rPr>
            <sz val="14"/>
            <color rgb="FF000000"/>
            <rFont val="Calibri"/>
            <family val="34"/>
          </rPr>
          <t xml:space="preserve">ML 10.313 IR 43 (1803) – ST Jänner (15/02/1803) und März (15/04/1803)
</t>
        </r>
        <r>
          <rPr>
            <sz val="14"/>
            <color rgb="FF000000"/>
            <rFont val="Calibri"/>
            <family val="34"/>
          </rPr>
          <t xml:space="preserve">ML 10.315 IR 43 (1805) – ST Sept (15/11/1805)
</t>
        </r>
        <r>
          <rPr>
            <sz val="14"/>
            <color rgb="FF000000"/>
            <rFont val="Calibri"/>
            <family val="34"/>
          </rPr>
          <t xml:space="preserve">ML 10.317 IR 43 (1806) – ST Oktober (27/11/1806) und November (15/12/1806)
</t>
        </r>
      </text>
    </comment>
    <comment ref="BH365" authorId="0" shapeId="0" xr:uid="{BEB59CF6-4B84-B845-8C41-19133887F4A0}">
      <text>
        <r>
          <rPr>
            <sz val="14"/>
            <color rgb="FF000000"/>
            <rFont val="Calibri"/>
            <family val="34"/>
          </rPr>
          <t>IR 43 (1800-1806)</t>
        </r>
      </text>
    </comment>
    <comment ref="BF366" authorId="0" shapeId="0" xr:uid="{0BF5DBC2-A96B-CB49-8F22-82AF6AFC9A77}">
      <text>
        <r>
          <rPr>
            <sz val="14"/>
            <color rgb="FF000000"/>
            <rFont val="Times New Roman"/>
            <family val="18"/>
          </rPr>
          <t xml:space="preserve">13/05/1800 </t>
        </r>
        <r>
          <rPr>
            <i/>
            <sz val="14"/>
            <color rgb="FF000000"/>
            <rFont val="Times New Roman"/>
            <family val="18"/>
          </rPr>
          <t>von Dominien ausgehoben und a 3Fl Handgeld zum Sondomierz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04/12/1800 </t>
        </r>
        <r>
          <rPr>
            <i/>
            <sz val="14"/>
            <color rgb="FF000000"/>
            <rFont val="Times New Roman"/>
            <family val="18"/>
          </rPr>
          <t>In die Reserve Division eingerückt, seitdem Krank</t>
        </r>
        <r>
          <rPr>
            <sz val="14"/>
            <color rgb="FF000000"/>
            <rFont val="Times New Roman"/>
            <family val="18"/>
          </rPr>
          <t xml:space="preserve"> auswärts [ST Dec 1800] </t>
        </r>
        <r>
          <rPr>
            <sz val="14"/>
            <color rgb="FF000000"/>
            <rFont val="Calibri"/>
            <family val="34"/>
          </rPr>
          <t xml:space="preserve">
</t>
        </r>
        <r>
          <rPr>
            <sz val="14"/>
            <color rgb="FF000000"/>
            <rFont val="Times New Roman"/>
            <family val="18"/>
          </rPr>
          <t xml:space="preserve">01/01/1801 </t>
        </r>
        <r>
          <rPr>
            <i/>
            <sz val="14"/>
            <color rgb="FF000000"/>
            <rFont val="Times New Roman"/>
            <family val="18"/>
          </rPr>
          <t>Rekonvalesziert und auf Marsch zum Regiment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31/01/1801 </t>
        </r>
        <r>
          <rPr>
            <i/>
            <sz val="14"/>
            <color rgb="FF000000"/>
            <rFont val="Times New Roman"/>
            <family val="18"/>
          </rPr>
          <t xml:space="preserve">von Reserve Division in Haupt Schoerr Komp. transferiert </t>
        </r>
        <r>
          <rPr>
            <sz val="14"/>
            <color rgb="FF000000"/>
            <rFont val="Times New Roman"/>
            <family val="18"/>
          </rPr>
          <t>[Feb 1801]</t>
        </r>
        <r>
          <rPr>
            <sz val="14"/>
            <color rgb="FF000000"/>
            <rFont val="Calibri"/>
            <family val="34"/>
          </rPr>
          <t xml:space="preserve">
</t>
        </r>
        <r>
          <rPr>
            <sz val="14"/>
            <color rgb="FF000000"/>
            <rFont val="Times New Roman"/>
            <family val="18"/>
          </rPr>
          <t>11/09/1802 Muster: IR 43 Haupt Schoer Komp. Nr. 127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Haupt Schoer Komp. Nr. 113 [</t>
        </r>
        <r>
          <rPr>
            <i/>
            <sz val="14"/>
            <color rgb="FF000000"/>
            <rFont val="Times New Roman"/>
            <family val="18"/>
          </rPr>
          <t>Bis zur Einberufung zu Bilgorai in Galizien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Haupt Schoer Komp. Nr. 105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01/10/1805 Muster: IR 43 6. Fus Komp. Nr. 79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8. Fus Comp als unwissend verloren in Abgang</t>
        </r>
        <r>
          <rPr>
            <sz val="14"/>
            <color rgb="FF000000"/>
            <rFont val="Times New Roman"/>
            <family val="18"/>
          </rPr>
          <t xml:space="preserve"> [ST Oct 1806 &amp; ML 1806]</t>
        </r>
        <r>
          <rPr>
            <sz val="14"/>
            <color rgb="FF000000"/>
            <rFont val="Calibri"/>
            <family val="34"/>
          </rPr>
          <t xml:space="preserve">
</t>
        </r>
      </text>
    </comment>
    <comment ref="BG366" authorId="0" shapeId="0" xr:uid="{59B262B9-D377-2A41-ABF3-5691313EB3CD}">
      <text>
        <r>
          <rPr>
            <sz val="14"/>
            <color rgb="FF000000"/>
            <rFont val="Times New Roman"/>
            <family val="18"/>
          </rPr>
          <t>ML 10.272 IR 43 (1802) –Haupt Schoer Komp. Nr. 127 (Zara 11/09/1802)</t>
        </r>
        <r>
          <rPr>
            <sz val="14"/>
            <color rgb="FF000000"/>
            <rFont val="Calibri"/>
            <family val="34"/>
          </rPr>
          <t xml:space="preserve">
</t>
        </r>
        <r>
          <rPr>
            <sz val="14"/>
            <color rgb="FF000000"/>
            <rFont val="Times New Roman"/>
            <family val="18"/>
          </rPr>
          <t>ML 10.273 IR 43 (1803) –Haupt Schoer Komp. Nr. 113 (Zara 28/09/1803)</t>
        </r>
        <r>
          <rPr>
            <sz val="14"/>
            <color rgb="FF000000"/>
            <rFont val="Calibri"/>
            <family val="34"/>
          </rPr>
          <t xml:space="preserve">
</t>
        </r>
        <r>
          <rPr>
            <sz val="14"/>
            <color rgb="FF000000"/>
            <rFont val="Times New Roman"/>
            <family val="18"/>
          </rPr>
          <t>ML 10.274 IR 43 (1804) –Haupt Schoer Komp. Nr. 105 (Cattaro 07/10/1804)</t>
        </r>
        <r>
          <rPr>
            <sz val="14"/>
            <color rgb="FF000000"/>
            <rFont val="Calibri"/>
            <family val="34"/>
          </rPr>
          <t xml:space="preserve">
</t>
        </r>
        <r>
          <rPr>
            <sz val="14"/>
            <color rgb="FF000000"/>
            <rFont val="Times New Roman"/>
            <family val="18"/>
          </rPr>
          <t>ML 10.275/6 IR 43 (1805) –6. Fus Komp. Nr. 79 (Zara 01/10/1805)</t>
        </r>
        <r>
          <rPr>
            <sz val="14"/>
            <color rgb="FF000000"/>
            <rFont val="Calibri"/>
            <family val="34"/>
          </rPr>
          <t xml:space="preserve">
</t>
        </r>
        <r>
          <rPr>
            <sz val="14"/>
            <color rgb="FF000000"/>
            <rFont val="Times New Roman"/>
            <family val="18"/>
          </rPr>
          <t>ML 10/277/8 IR 43 (1806) – 7. Fus Komp. Abgang (Neustadt (05/12/1806)</t>
        </r>
        <r>
          <rPr>
            <sz val="14"/>
            <color rgb="FF000000"/>
            <rFont val="Calibri"/>
            <family val="34"/>
          </rPr>
          <t xml:space="preserve">
</t>
        </r>
        <r>
          <rPr>
            <sz val="14"/>
            <color rgb="FF000000"/>
            <rFont val="Times New Roman"/>
            <family val="18"/>
          </rPr>
          <t>ML 10.309 IR 43 (1800) – ST Juni (27/08/1803), Dez (18/08/1804)</t>
        </r>
        <r>
          <rPr>
            <sz val="14"/>
            <color rgb="FF000000"/>
            <rFont val="Calibri"/>
            <family val="34"/>
          </rPr>
          <t xml:space="preserve">
</t>
        </r>
        <r>
          <rPr>
            <sz val="14"/>
            <color rgb="FF000000"/>
            <rFont val="Times New Roman"/>
            <family val="18"/>
          </rPr>
          <t>ML 10.311 IR 43 (1801) – ST Jan (23/08/1804), Feb (28/09/1804)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366" authorId="0" shapeId="0" xr:uid="{253BAF3B-5829-6145-8D02-16933CBBB122}">
      <text>
        <r>
          <rPr>
            <sz val="14"/>
            <color rgb="FF000000"/>
            <rFont val="Calibri"/>
            <family val="34"/>
          </rPr>
          <t>IR 43 (1800-1806)</t>
        </r>
      </text>
    </comment>
    <comment ref="BF367" authorId="0" shapeId="0" xr:uid="{85D68816-3BBF-D742-9BCC-813AC19A1F82}">
      <text>
        <r>
          <rPr>
            <sz val="14"/>
            <color rgb="FF000000"/>
            <rFont val="Times New Roman"/>
            <family val="18"/>
          </rPr>
          <t xml:space="preserve">16/05/1800 </t>
        </r>
        <r>
          <rPr>
            <i/>
            <sz val="14"/>
            <color rgb="FF000000"/>
            <rFont val="Times New Roman"/>
            <family val="18"/>
          </rPr>
          <t>von Domenien Ausgehoben und a 3Fl Handgeld zum Sondomierz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20/08/1800 </t>
        </r>
        <r>
          <rPr>
            <i/>
            <sz val="14"/>
            <color rgb="FF000000"/>
            <rFont val="Times New Roman"/>
            <family val="18"/>
          </rPr>
          <t>In die Reserve Division eingeruckt</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16/09/1800 </t>
        </r>
        <r>
          <rPr>
            <i/>
            <sz val="14"/>
            <color rgb="FF000000"/>
            <rFont val="Times New Roman"/>
            <family val="18"/>
          </rPr>
          <t>Von IR 43 Reserve Division zur Haupt Basta Komp.</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Oct 1800]</t>
        </r>
        <r>
          <rPr>
            <sz val="14"/>
            <color rgb="FF000000"/>
            <rFont val="Calibri"/>
            <family val="34"/>
          </rPr>
          <t xml:space="preserve">
</t>
        </r>
        <r>
          <rPr>
            <sz val="14"/>
            <color rgb="FFFF0000"/>
            <rFont val="Times New Roman"/>
            <family val="18"/>
          </rPr>
          <t xml:space="preserve">12/10/1800 </t>
        </r>
        <r>
          <rPr>
            <i/>
            <sz val="14"/>
            <color rgb="FFFF0000"/>
            <rFont val="Times New Roman"/>
            <family val="18"/>
          </rPr>
          <t>Als gallizische ständische Rekrut a 3Fl handgeld assentiert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07/07/1802 </t>
        </r>
        <r>
          <rPr>
            <i/>
            <sz val="14"/>
            <color rgb="FF000000"/>
            <rFont val="Times New Roman"/>
            <family val="18"/>
          </rPr>
          <t xml:space="preserve">Mit Deutscher Gebuhr und Threnungsbeitrag bis 11. und mit Ungarischen Gebuhr ohne Trenungs beitrag bis inclusive 13. verpfelgt und dato </t>
        </r>
        <r>
          <rPr>
            <sz val="14"/>
            <color rgb="FF000000"/>
            <rFont val="Times New Roman"/>
            <family val="18"/>
          </rPr>
          <t>[ST Juli 1802]</t>
        </r>
        <r>
          <rPr>
            <sz val="14"/>
            <color rgb="FF000000"/>
            <rFont val="Calibri"/>
            <family val="34"/>
          </rPr>
          <t xml:space="preserve">
</t>
        </r>
        <r>
          <rPr>
            <sz val="14"/>
            <color rgb="FF000000"/>
            <rFont val="Times New Roman"/>
            <family val="18"/>
          </rPr>
          <t>21/08/1802 Muster: IR 43 Haupt Basta Komp. Nr. 103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??03/1803 </t>
        </r>
        <r>
          <rPr>
            <i/>
            <sz val="14"/>
            <color rgb="FF000000"/>
            <rFont val="Times New Roman"/>
            <family val="18"/>
          </rPr>
          <t>Von bestimmt zum Unbestiment Urlaub übersetzt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08/11/1803 Muster: Haupt Ellison Nr. 90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Muser: Haupt Lichtenberg Nr. 82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09/06/1805 </t>
        </r>
        <r>
          <rPr>
            <i/>
            <sz val="14"/>
            <color rgb="FF000000"/>
            <rFont val="Times New Roman"/>
            <family val="18"/>
          </rPr>
          <t>Von unbestimmte Urlaub Zurück und seitdem auf Anhero Marsch von Staszow</t>
        </r>
        <r>
          <rPr>
            <sz val="14"/>
            <color rgb="FF000000"/>
            <rFont val="Times New Roman"/>
            <family val="18"/>
          </rPr>
          <t xml:space="preserve"> [ST Aug 1805]</t>
        </r>
        <r>
          <rPr>
            <sz val="14"/>
            <color rgb="FF000000"/>
            <rFont val="Calibri"/>
            <family val="34"/>
          </rPr>
          <t xml:space="preserve">
</t>
        </r>
        <r>
          <rPr>
            <sz val="14"/>
            <color rgb="FF000000"/>
            <rFont val="Times New Roman"/>
            <family val="18"/>
          </rPr>
          <t>30/09/1805 Muster: 2. Fus. Komp. Nr. 67 [</t>
        </r>
        <r>
          <rPr>
            <i/>
            <sz val="14"/>
            <color rgb="FF000000"/>
            <rFont val="Times New Roman"/>
            <family val="18"/>
          </rPr>
          <t>Beim Depot in Laibach</t>
        </r>
        <r>
          <rPr>
            <sz val="14"/>
            <color rgb="FF000000"/>
            <rFont val="Times New Roman"/>
            <family val="18"/>
          </rPr>
          <t>]</t>
        </r>
        <r>
          <rPr>
            <sz val="14"/>
            <color rgb="FF000000"/>
            <rFont val="Calibri"/>
            <family val="34"/>
          </rPr>
          <t xml:space="preserve">
</t>
        </r>
        <r>
          <rPr>
            <sz val="14"/>
            <color rgb="FF000000"/>
            <rFont val="Times New Roman"/>
            <family val="18"/>
          </rPr>
          <t>31/10/1806 Als auf Urlaub verbliebene von 2. Fus comp als unwissend Verlohren in Abgang [ST Oct 1806 &amp; ML 1806]</t>
        </r>
        <r>
          <rPr>
            <sz val="14"/>
            <color rgb="FF000000"/>
            <rFont val="Calibri"/>
            <family val="34"/>
          </rPr>
          <t xml:space="preserve">
</t>
        </r>
      </text>
    </comment>
    <comment ref="BG367" authorId="0" shapeId="0" xr:uid="{2AB987EC-C5F1-804E-B8ED-2DB133548C98}">
      <text>
        <r>
          <rPr>
            <sz val="14"/>
            <color rgb="FF000000"/>
            <rFont val="Times New Roman"/>
            <family val="18"/>
          </rPr>
          <t>ML 10.272 IR 43 (1802) – Heft von Haupt Basta Comp. Nr. 103 (Risano 21/08/1802)</t>
        </r>
        <r>
          <rPr>
            <sz val="14"/>
            <color rgb="FF000000"/>
            <rFont val="Calibri"/>
            <family val="34"/>
          </rPr>
          <t xml:space="preserve">
</t>
        </r>
        <r>
          <rPr>
            <sz val="14"/>
            <color rgb="FF000000"/>
            <rFont val="Times New Roman"/>
            <family val="18"/>
          </rPr>
          <t>ML 10.273 IR 43 (1803) – Heft von Haupt von Niedles Nr. 90 (Sign 08/11/1803)</t>
        </r>
        <r>
          <rPr>
            <sz val="14"/>
            <color rgb="FF000000"/>
            <rFont val="Calibri"/>
            <family val="34"/>
          </rPr>
          <t xml:space="preserve">
</t>
        </r>
        <r>
          <rPr>
            <sz val="14"/>
            <color rgb="FF000000"/>
            <rFont val="Times New Roman"/>
            <family val="18"/>
          </rPr>
          <t>ML 10.274 IR 43 (1804) – Heft von Haupt Lichtenberg Comp. Nr. 82 (Zara 15/09/1804)</t>
        </r>
        <r>
          <rPr>
            <sz val="14"/>
            <color rgb="FF000000"/>
            <rFont val="Calibri"/>
            <family val="34"/>
          </rPr>
          <t xml:space="preserve">
</t>
        </r>
        <r>
          <rPr>
            <sz val="14"/>
            <color rgb="FF000000"/>
            <rFont val="Times New Roman"/>
            <family val="18"/>
          </rPr>
          <t>ML 10.275/6 IR 43 (1805) – Heft von 2. Fus Comp. Nr. 67 (Cattaro 30/09/1805)</t>
        </r>
        <r>
          <rPr>
            <sz val="14"/>
            <color rgb="FF000000"/>
            <rFont val="Calibri"/>
            <family val="34"/>
          </rPr>
          <t xml:space="preserve">
</t>
        </r>
        <r>
          <rPr>
            <sz val="14"/>
            <color rgb="FF000000"/>
            <rFont val="Times New Roman"/>
            <family val="18"/>
          </rPr>
          <t>ML 10/277/8 (1806) – Heft von 2. Fus Comp. Abgang (Laibach 01/12/1806)</t>
        </r>
        <r>
          <rPr>
            <sz val="14"/>
            <color rgb="FF000000"/>
            <rFont val="Calibri"/>
            <family val="34"/>
          </rPr>
          <t xml:space="preserve">
</t>
        </r>
        <r>
          <rPr>
            <sz val="14"/>
            <color rgb="FF000000"/>
            <rFont val="Times New Roman"/>
            <family val="18"/>
          </rPr>
          <t>ML 10.309 IR 43 (1800) – ST Juni (27/08/1803), Aug (27/12/1803), Okt (22/03/1804)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Aug (15/09/1805)</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367" authorId="0" shapeId="0" xr:uid="{3A53A6B5-2D7C-EE47-8BBE-8D2E8BF1CA4D}">
      <text>
        <r>
          <rPr>
            <sz val="14"/>
            <color rgb="FF000000"/>
            <rFont val="Calibri"/>
            <family val="34"/>
          </rPr>
          <t>IR 43 (1800-1806)</t>
        </r>
      </text>
    </comment>
    <comment ref="BF368" authorId="0" shapeId="0" xr:uid="{6C51EF9E-DC9C-124D-B6C1-669DB7F1A67E}">
      <text>
        <r>
          <rPr>
            <sz val="14"/>
            <color rgb="FF000000"/>
            <rFont val="Times New Roman"/>
            <family val="18"/>
          </rPr>
          <t xml:space="preserve">20/05/1800 </t>
        </r>
        <r>
          <rPr>
            <i/>
            <sz val="14"/>
            <color rgb="FF000000"/>
            <rFont val="Times New Roman"/>
            <family val="18"/>
          </rPr>
          <t>in Galizien ausgehoben a 3Fl und zu Josephow assentiert statt dem als Untauglich entlassenen Josel JANKEL seitdem auf Anhero Marsch und seitdem auf Anhero Marsch mit Friedensgebühr</t>
        </r>
        <r>
          <rPr>
            <sz val="14"/>
            <color rgb="FF000000"/>
            <rFont val="Times New Roman"/>
            <family val="18"/>
          </rPr>
          <t xml:space="preserve"> [ST Mai 1800]</t>
        </r>
        <r>
          <rPr>
            <sz val="14"/>
            <color rgb="FF000000"/>
            <rFont val="Times New Roman"/>
            <family val="18"/>
          </rPr>
          <t xml:space="preserve">
</t>
        </r>
        <r>
          <rPr>
            <sz val="14"/>
            <color rgb="FFFF0000"/>
            <rFont val="Times New Roman"/>
            <family val="18"/>
          </rPr>
          <t xml:space="preserve">21/06/1800 </t>
        </r>
        <r>
          <rPr>
            <i/>
            <sz val="14"/>
            <color rgb="FFFF0000"/>
            <rFont val="Times New Roman"/>
            <family val="18"/>
          </rPr>
          <t>Von St</t>
        </r>
        <r>
          <rPr>
            <i/>
            <sz val="14"/>
            <color rgb="FFFF0000"/>
            <rFont val="Times New Roman"/>
            <family val="18"/>
          </rPr>
          <t>ä</t>
        </r>
        <r>
          <rPr>
            <i/>
            <sz val="14"/>
            <color rgb="FFFF0000"/>
            <rFont val="Times New Roman"/>
            <family val="18"/>
          </rPr>
          <t>nden gestellt</t>
        </r>
        <r>
          <rPr>
            <sz val="14"/>
            <color rgb="FFFF0000"/>
            <rFont val="Times New Roman"/>
            <family val="18"/>
          </rPr>
          <t xml:space="preserve"> [ML 1802-4]</t>
        </r>
        <r>
          <rPr>
            <sz val="14"/>
            <color rgb="FF000000"/>
            <rFont val="Times New Roman"/>
            <family val="18"/>
          </rPr>
          <t xml:space="preserve">
</t>
        </r>
        <r>
          <rPr>
            <sz val="14"/>
            <color rgb="FFFF0000"/>
            <rFont val="Times New Roman"/>
            <family val="18"/>
          </rPr>
          <t xml:space="preserve">27/06/1800 </t>
        </r>
        <r>
          <rPr>
            <i/>
            <sz val="14"/>
            <color rgb="FFFF0000"/>
            <rFont val="Times New Roman"/>
            <family val="18"/>
          </rPr>
          <t>Von St</t>
        </r>
        <r>
          <rPr>
            <i/>
            <sz val="14"/>
            <color rgb="FFFF0000"/>
            <rFont val="Times New Roman"/>
            <family val="18"/>
          </rPr>
          <t>ä</t>
        </r>
        <r>
          <rPr>
            <i/>
            <sz val="14"/>
            <color rgb="FFFF0000"/>
            <rFont val="Times New Roman"/>
            <family val="18"/>
          </rPr>
          <t>nden gestellt</t>
        </r>
        <r>
          <rPr>
            <sz val="14"/>
            <color rgb="FFFF0000"/>
            <rFont val="Times New Roman"/>
            <family val="18"/>
          </rPr>
          <t xml:space="preserve"> [ML 1805]</t>
        </r>
        <r>
          <rPr>
            <sz val="14"/>
            <color rgb="FF000000"/>
            <rFont val="Times New Roman"/>
            <family val="18"/>
          </rPr>
          <t xml:space="preserve">
</t>
        </r>
        <r>
          <rPr>
            <sz val="14"/>
            <color rgb="FF000000"/>
            <rFont val="Times New Roman"/>
            <family val="18"/>
          </rPr>
          <t xml:space="preserve">20/08/1810 </t>
        </r>
        <r>
          <rPr>
            <i/>
            <sz val="14"/>
            <color rgb="FF000000"/>
            <rFont val="Times New Roman"/>
            <family val="18"/>
          </rPr>
          <t>in die Reserve Division eingerückt</t>
        </r>
        <r>
          <rPr>
            <sz val="14"/>
            <color rgb="FF000000"/>
            <rFont val="Times New Roman"/>
            <family val="18"/>
          </rPr>
          <t xml:space="preserve"> [ST Aug 1800] </t>
        </r>
        <r>
          <rPr>
            <sz val="14"/>
            <color rgb="FF000000"/>
            <rFont val="Times New Roman"/>
            <family val="18"/>
          </rPr>
          <t xml:space="preserve">
</t>
        </r>
        <r>
          <rPr>
            <sz val="14"/>
            <color rgb="FF000000"/>
            <rFont val="Times New Roman"/>
            <family val="18"/>
          </rPr>
          <t xml:space="preserve">16/09/1800 </t>
        </r>
        <r>
          <rPr>
            <i/>
            <sz val="14"/>
            <color rgb="FF000000"/>
            <rFont val="Times New Roman"/>
            <family val="18"/>
          </rPr>
          <t>von Reserve Division in s Haupt Schmoll Companie eingerückt</t>
        </r>
        <r>
          <rPr>
            <sz val="14"/>
            <color rgb="FF000000"/>
            <rFont val="Times New Roman"/>
            <family val="18"/>
          </rPr>
          <t xml:space="preserve"> [ST Oct 1800]</t>
        </r>
        <r>
          <rPr>
            <sz val="14"/>
            <color rgb="FF000000"/>
            <rFont val="Times New Roman"/>
            <family val="18"/>
          </rPr>
          <t xml:space="preserve">
</t>
        </r>
        <r>
          <rPr>
            <sz val="14"/>
            <color rgb="FF000000"/>
            <rFont val="Times New Roman"/>
            <family val="18"/>
          </rPr>
          <t>11/09/1802 Musterung: IR 43 Haupt Wittgens Comp. Nr. 94]</t>
        </r>
        <r>
          <rPr>
            <sz val="14"/>
            <color rgb="FF000000"/>
            <rFont val="Times New Roman"/>
            <family val="18"/>
          </rPr>
          <t xml:space="preserve">
</t>
        </r>
        <r>
          <rPr>
            <sz val="14"/>
            <color rgb="FF000000"/>
            <rFont val="Times New Roman"/>
            <family val="18"/>
          </rPr>
          <t xml:space="preserve">08/11/1802 </t>
        </r>
        <r>
          <rPr>
            <i/>
            <sz val="14"/>
            <color rgb="FF000000"/>
            <rFont val="Times New Roman"/>
            <family val="18"/>
          </rPr>
          <t>Auf Marsch mit Urlaub und Auswärtiger Verpflegung</t>
        </r>
        <r>
          <rPr>
            <sz val="14"/>
            <color rgb="FF000000"/>
            <rFont val="Times New Roman"/>
            <family val="18"/>
          </rPr>
          <t xml:space="preserve"> [ST Nov 1802]</t>
        </r>
        <r>
          <rPr>
            <sz val="14"/>
            <color rgb="FF000000"/>
            <rFont val="Times New Roman"/>
            <family val="18"/>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Times New Roman"/>
            <family val="18"/>
          </rPr>
          <t xml:space="preserve">
</t>
        </r>
        <r>
          <rPr>
            <sz val="14"/>
            <color rgb="FF000000"/>
            <rFont val="Times New Roman"/>
            <family val="18"/>
          </rPr>
          <t>28/09/1803 Musterung: IR 43 Haupt Wittgens Ohne Nummer [</t>
        </r>
        <r>
          <rPr>
            <i/>
            <sz val="14"/>
            <color rgb="FF000000"/>
            <rFont val="Times New Roman"/>
            <family val="18"/>
          </rPr>
          <t>Beurlaubt in Coray in Galizien</t>
        </r>
        <r>
          <rPr>
            <sz val="14"/>
            <color rgb="FF000000"/>
            <rFont val="Times New Roman"/>
            <family val="18"/>
          </rPr>
          <t>]</t>
        </r>
        <r>
          <rPr>
            <sz val="14"/>
            <color rgb="FF000000"/>
            <rFont val="Times New Roman"/>
            <family val="18"/>
          </rPr>
          <t xml:space="preserve">
</t>
        </r>
        <r>
          <rPr>
            <sz val="14"/>
            <color rgb="FF000000"/>
            <rFont val="Times New Roman"/>
            <family val="18"/>
          </rPr>
          <t xml:space="preserve">09/10/1804 Musterung: IR 43 Haupt Wittgens Comp Nr. 75 </t>
        </r>
        <r>
          <rPr>
            <i/>
            <sz val="14"/>
            <color rgb="FF000000"/>
            <rFont val="Times New Roman"/>
            <family val="18"/>
          </rPr>
          <t>[Beurlaubt bis zur Einberufung in seinem Geburtsort</t>
        </r>
        <r>
          <rPr>
            <sz val="14"/>
            <color rgb="FF000000"/>
            <rFont val="Times New Roman"/>
            <family val="18"/>
          </rPr>
          <t>]</t>
        </r>
        <r>
          <rPr>
            <sz val="14"/>
            <color rgb="FF000000"/>
            <rFont val="Times New Roman"/>
            <family val="18"/>
          </rPr>
          <t xml:space="preserve">
</t>
        </r>
        <r>
          <rPr>
            <sz val="14"/>
            <color rgb="FF000000"/>
            <rFont val="Times New Roman"/>
            <family val="18"/>
          </rPr>
          <t>At Muster 01/10/1805 7. Fus Comp Nr. 56 [</t>
        </r>
        <r>
          <rPr>
            <i/>
            <sz val="14"/>
            <color rgb="FF000000"/>
            <rFont val="Times New Roman"/>
            <family val="18"/>
          </rPr>
          <t>Beurlaubt bis zur Einberufung</t>
        </r>
        <r>
          <rPr>
            <sz val="14"/>
            <color rgb="FF000000"/>
            <rFont val="Times New Roman"/>
            <family val="18"/>
          </rPr>
          <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11. Fus Comp als unwissend verloren in Abgang</t>
        </r>
        <r>
          <rPr>
            <sz val="14"/>
            <color rgb="FF000000"/>
            <rFont val="Times New Roman"/>
            <family val="18"/>
          </rPr>
          <t xml:space="preserve"> [ST Oct 1806 &amp; ML 1806]</t>
        </r>
        <r>
          <rPr>
            <sz val="14"/>
            <color rgb="FF000000"/>
            <rFont val="Times New Roman"/>
            <family val="18"/>
          </rPr>
          <t xml:space="preserve">
</t>
        </r>
      </text>
    </comment>
    <comment ref="BG368" authorId="0" shapeId="0" xr:uid="{7281843E-424B-8941-82B9-6A8F035F6838}">
      <text>
        <r>
          <rPr>
            <sz val="14"/>
            <color rgb="FF000000"/>
            <rFont val="Times New Roman"/>
            <family val="18"/>
          </rPr>
          <t xml:space="preserve">ML 10.272 IR 43 (1802) – Heft von Haupt Wittgens Comp. Nr. 94 (Zara 11/09/1802)
</t>
        </r>
        <r>
          <rPr>
            <sz val="14"/>
            <color rgb="FF000000"/>
            <rFont val="Times New Roman"/>
            <family val="18"/>
          </rPr>
          <t xml:space="preserve">ML 10.273 IR 43 (1803) – Heft von Haupt Wittgens Comp. Ohne Nummer (Zara 28/09/1803)
</t>
        </r>
        <r>
          <rPr>
            <sz val="14"/>
            <color rgb="FF000000"/>
            <rFont val="Times New Roman"/>
            <family val="18"/>
          </rPr>
          <t xml:space="preserve">ML 10.274 IR 43 (1804) – Heft von Haupt Wittgens Comp. Nr. 75 (Risano 09/10/1804)
</t>
        </r>
        <r>
          <rPr>
            <sz val="14"/>
            <color rgb="FF000000"/>
            <rFont val="Times New Roman"/>
            <family val="18"/>
          </rPr>
          <t xml:space="preserve">ML 10.275/6 IR 43 (1805) – Heft von 7. Fus Comp. Nr. 56 (Zara (01/10/1805)
</t>
        </r>
        <r>
          <rPr>
            <sz val="14"/>
            <color rgb="FF000000"/>
            <rFont val="Times New Roman"/>
            <family val="18"/>
          </rPr>
          <t xml:space="preserve">ML 10/277/8 IR 43 (1806) – Heft von 11. Fus Comp. Abgang (Neustadt 05/12/1806)
</t>
        </r>
        <r>
          <rPr>
            <sz val="14"/>
            <color rgb="FF000000"/>
            <rFont val="Times New Roman"/>
            <family val="18"/>
          </rPr>
          <t xml:space="preserve">ML 10.309 IR 43 (1800) – ST Mai (??), August (27/12/1803) und Oktober (31/01/1804)
</t>
        </r>
        <r>
          <rPr>
            <sz val="14"/>
            <color rgb="FF000000"/>
            <rFont val="Times New Roman"/>
            <family val="18"/>
          </rPr>
          <t xml:space="preserve">ML 10.312 IR 43 (1802) – ST Nov (15/12/1802)
</t>
        </r>
        <r>
          <rPr>
            <sz val="14"/>
            <color rgb="FF000000"/>
            <rFont val="Times New Roman"/>
            <family val="18"/>
          </rPr>
          <t xml:space="preserve">ML 10.313 IR 43 (1803) – ST März (15/04/1803) 
</t>
        </r>
        <r>
          <rPr>
            <sz val="14"/>
            <color rgb="FF000000"/>
            <rFont val="Times New Roman"/>
            <family val="18"/>
          </rPr>
          <t xml:space="preserve">ML 10.317 IR 43 (1806) – ST Oktober (27/11/1806) 
</t>
        </r>
      </text>
    </comment>
    <comment ref="BH368" authorId="0" shapeId="0" xr:uid="{959D80E6-ACF2-3946-81E3-3D524EB207A8}">
      <text>
        <r>
          <rPr>
            <sz val="14"/>
            <color rgb="FF000000"/>
            <rFont val="Calibri"/>
            <family val="34"/>
          </rPr>
          <t>IR 43 (1800-1806)</t>
        </r>
      </text>
    </comment>
    <comment ref="BF369" authorId="0" shapeId="0" xr:uid="{DB40C32F-480C-4844-82F2-B56E7479B34B}">
      <text>
        <r>
          <rPr>
            <sz val="14"/>
            <color rgb="FFFF0000"/>
            <rFont val="+mn-lt"/>
            <charset val="1"/>
          </rPr>
          <t xml:space="preserve">12/05/1800 Von Ständen gestellt [ML 1802-5]
</t>
        </r>
        <r>
          <rPr>
            <sz val="14"/>
            <color rgb="FF000000"/>
            <rFont val="+mn-lt"/>
            <charset val="1"/>
          </rPr>
          <t xml:space="preserve">23/05/1800 statt dem wegen Untauglichkeit entlassenen Schmull ISRAEL und seitdem auf Anhero Marsch mit Friedensgebühr [ST Juni 1800]
</t>
        </r>
        <r>
          <rPr>
            <sz val="14"/>
            <color rgb="FF000000"/>
            <rFont val="+mn-lt"/>
            <charset val="1"/>
          </rPr>
          <t xml:space="preserve">20/01/1801 in die Reserve Division eingerückt [ST Jan 1801]
</t>
        </r>
        <r>
          <rPr>
            <sz val="14"/>
            <color rgb="FF000000"/>
            <rFont val="+mn-lt"/>
            <charset val="1"/>
          </rPr>
          <t xml:space="preserve">01/06/1801 von Reserve Division ins Haupt Schoerr Comp Transferiert [ST Juni 1801]
</t>
        </r>
        <r>
          <rPr>
            <sz val="14"/>
            <color rgb="FF000000"/>
            <rFont val="+mn-lt"/>
            <charset val="1"/>
          </rPr>
          <t xml:space="preserve">20/05/1802 auf bestimmte Zeit beurlaubt; ist mit Verpflegung bis seine Heimat mit taglich zu machen 3 Meilen nach Ost Gallizien auf bestimmte Urlaub abgegangen und bis in die Licoa auf unterstehende Art Verpflegt [ST May 1802]
</t>
        </r>
        <r>
          <rPr>
            <sz val="14"/>
            <color rgb="FF000000"/>
            <rFont val="+mn-lt"/>
            <charset val="1"/>
          </rPr>
          <t xml:space="preserve">25/05/1802 bis 27/05/1802 mit Ungarische Gebühr Verpflegt [ST May 1802]
</t>
        </r>
        <r>
          <rPr>
            <sz val="14"/>
            <color rgb="FF000000"/>
            <rFont val="+mn-lt"/>
            <charset val="1"/>
          </rPr>
          <t xml:space="preserve">11/09/1802 Musterung: IR 43 Haupt Schoerr Comp Nr. 103 [Beurlaubt in Galizien]
</t>
        </r>
        <r>
          <rPr>
            <sz val="14"/>
            <color rgb="FF000000"/>
            <rFont val="+mn-lt"/>
            <charset val="1"/>
          </rPr>
          <t xml:space="preserve">??/11/1802 Von bestimmte zum Unbestimmten Urlaub übersetzt [ST Nov 1802]
</t>
        </r>
        <r>
          <rPr>
            <sz val="14"/>
            <color rgb="FF000000"/>
            <rFont val="+mn-lt"/>
            <charset val="1"/>
          </rPr>
          <t xml:space="preserve">28/09/1803 Musterung: IR 43 Haupt Schoer Comp Nr. 92 [Bis zur Einberufung zu Jozefov in Gallizien Beurlaubt]
</t>
        </r>
        <r>
          <rPr>
            <sz val="14"/>
            <color rgb="FF000000"/>
            <rFont val="+mn-lt"/>
            <charset val="1"/>
          </rPr>
          <t xml:space="preserve">07/10/1804 Musterung: IR 43 Haupt Schoer Comp Nr. 88 [Beurlaubt bis zur Einberufung in seinem Geburtsort]
</t>
        </r>
        <r>
          <rPr>
            <sz val="14"/>
            <color rgb="FF000000"/>
            <rFont val="+mn-lt"/>
            <charset val="1"/>
          </rPr>
          <t xml:space="preserve">01/10/1805 Musterung: 6. Fus Comp Nr. 71 [Beurlaubt bis zur Einberufung in Seinem Geburtsort]
</t>
        </r>
        <r>
          <rPr>
            <sz val="14"/>
            <color rgb="FF000000"/>
            <rFont val="+mn-lt"/>
            <charset val="1"/>
          </rPr>
          <t xml:space="preserve">31/10/1806 Als auf Urlaub verbliebene von 8. Fus Comp als unwissend verloren in Abgang [ST Oct 1806 &amp; ML 1806]
</t>
        </r>
        <r>
          <rPr>
            <sz val="14"/>
            <color rgb="FF000000"/>
            <rFont val="+mn-lt"/>
            <charset val="1"/>
          </rPr>
          <t xml:space="preserve">31/10/1806 wurde in den Monats Tabelle per 8ber 806 nit ultimo unrecht als unwissend verloren in Abgang gebracht; weil selbe auf Urlaub als Untauglich zu entlassen Wird [ST Nov 1806)
</t>
        </r>
        <r>
          <rPr>
            <sz val="14"/>
            <color rgb="FF000000"/>
            <rFont val="+mn-lt"/>
            <charset val="1"/>
          </rPr>
          <t xml:space="preserve">31/10/1806 zu Folge hoher General Commando Verordnung Nr. 7200 als untauglich gegen Renuncierung con Militar Beneficien mit Abschied entlassen [ST Nov 1806 &amp; ML 1806]
</t>
        </r>
      </text>
    </comment>
    <comment ref="BG369" authorId="0" shapeId="0" xr:uid="{C6EE8AF6-0E05-1D4A-BFFB-A248A452E499}">
      <text>
        <r>
          <rPr>
            <sz val="14"/>
            <color rgb="FF000000"/>
            <rFont val="Calibri"/>
            <family val="34"/>
          </rPr>
          <t xml:space="preserve">ML 10.272 IR 43 (1802) – Heft von Haupt Schoer Comp Nr. 103 (Zara 11/09/1802)
</t>
        </r>
        <r>
          <rPr>
            <sz val="14"/>
            <color rgb="FF000000"/>
            <rFont val="Calibri"/>
            <family val="34"/>
          </rPr>
          <t xml:space="preserve">ML 10.273 IR 43 (1803) – Heft von Haupt Schoer  Comp Nr. 92 (Cattaro 28/09/1803)
</t>
        </r>
        <r>
          <rPr>
            <sz val="14"/>
            <color rgb="FF000000"/>
            <rFont val="Calibri"/>
            <family val="34"/>
          </rPr>
          <t xml:space="preserve">ML 10.274 IR 43 (1804) – Heft von Haupt Schoer Comp Nr. 88 (Cattaro 07/10/1804)
</t>
        </r>
        <r>
          <rPr>
            <sz val="14"/>
            <color rgb="FF000000"/>
            <rFont val="Calibri"/>
            <family val="34"/>
          </rPr>
          <t xml:space="preserve">ML 10.275/6 IR 43 (1805) – Heft von 6. Fus. Comp. Nr. 71 (Zara 01/10/1805)
</t>
        </r>
        <r>
          <rPr>
            <sz val="14"/>
            <color rgb="FF000000"/>
            <rFont val="Calibri"/>
            <family val="34"/>
          </rPr>
          <t xml:space="preserve">ML 10.277/8 IR 43 (1806) – Heft von 8. Fus. Comp. – Abgang (Neustadt (05/12/1806)
</t>
        </r>
        <r>
          <rPr>
            <sz val="14"/>
            <color rgb="FF000000"/>
            <rFont val="Calibri"/>
            <family val="34"/>
          </rPr>
          <t xml:space="preserve">ML 10.309 IR 43 (1800) – ST June (27/08/1803)
</t>
        </r>
        <r>
          <rPr>
            <sz val="14"/>
            <color rgb="FF000000"/>
            <rFont val="Calibri"/>
            <family val="34"/>
          </rPr>
          <t xml:space="preserve">ML 10.311 IR 43 (1801) – ST Jänner (23/08/1804)
</t>
        </r>
        <r>
          <rPr>
            <sz val="14"/>
            <color rgb="FF000000"/>
            <rFont val="Calibri"/>
            <family val="34"/>
          </rPr>
          <t xml:space="preserve">ML 10.312 IR 43 (1802) – ST Mai (15/06/1802) und November (15/12/1802)
</t>
        </r>
        <r>
          <rPr>
            <sz val="14"/>
            <color rgb="FF000000"/>
            <rFont val="Calibri"/>
            <family val="34"/>
          </rPr>
          <t xml:space="preserve">ML 10.317 IR 43 (1806) – ST Oktober (27/11/1806) und November (15/12/1806)
</t>
        </r>
      </text>
    </comment>
    <comment ref="BH369" authorId="0" shapeId="0" xr:uid="{CF0C6120-1F4D-DF4F-ABDF-E917784FF047}">
      <text>
        <r>
          <rPr>
            <sz val="14"/>
            <color rgb="FF000000"/>
            <rFont val="Calibri"/>
            <family val="34"/>
          </rPr>
          <t>IR 43 (1800-1806)</t>
        </r>
      </text>
    </comment>
    <comment ref="BF370" authorId="0" shapeId="0" xr:uid="{6FF92491-0C42-3145-A8BA-22175EA201D4}">
      <text>
        <r>
          <rPr>
            <sz val="14"/>
            <color rgb="FFFF0000"/>
            <rFont val="Times New Roman"/>
            <family val="18"/>
          </rPr>
          <t xml:space="preserve">24/05/1799 </t>
        </r>
        <r>
          <rPr>
            <i/>
            <sz val="14"/>
            <color rgb="FFFF0000"/>
            <rFont val="Times New Roman"/>
            <family val="18"/>
          </rPr>
          <t>A 3Fl Auf Beständig gestellt</t>
        </r>
        <r>
          <rPr>
            <sz val="14"/>
            <color rgb="FFFF0000"/>
            <rFont val="Times New Roman"/>
            <family val="18"/>
          </rPr>
          <t xml:space="preserve"> [TL Juli 1802]</t>
        </r>
        <r>
          <rPr>
            <sz val="14"/>
            <color rgb="FF000000"/>
            <rFont val="Calibri"/>
            <family val="34"/>
          </rPr>
          <t xml:space="preserve">
</t>
        </r>
        <r>
          <rPr>
            <sz val="14"/>
            <color rgb="FF000000"/>
            <rFont val="Times New Roman"/>
            <family val="18"/>
          </rPr>
          <t xml:space="preserve">24/05/1800 </t>
        </r>
        <r>
          <rPr>
            <i/>
            <sz val="14"/>
            <color rgb="FF000000"/>
            <rFont val="Times New Roman"/>
            <family val="18"/>
          </rPr>
          <t>Von Dominien ausgehoben und a 3Fl Handgeld zum Zloczow assentiert</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26/10/1800 </t>
        </r>
        <r>
          <rPr>
            <i/>
            <sz val="14"/>
            <color rgb="FF000000"/>
            <rFont val="Times New Roman"/>
            <family val="18"/>
          </rPr>
          <t>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Kocken Kompk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01/07/1802 </t>
        </r>
        <r>
          <rPr>
            <i/>
            <sz val="14"/>
            <color rgb="FF000000"/>
            <rFont val="Times New Roman"/>
            <family val="18"/>
          </rPr>
          <t>Von Haupt Kocken zum Haupt Schoerr Komp. transferiert</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[IR 43]</t>
        </r>
        <r>
          <rPr>
            <sz val="14"/>
            <color rgb="FF000000"/>
            <rFont val="Times New Roman"/>
            <family val="18"/>
          </rPr>
          <t xml:space="preserve"> </t>
        </r>
        <r>
          <rPr>
            <i/>
            <sz val="14"/>
            <color rgb="FF000000"/>
            <rFont val="Times New Roman"/>
            <family val="18"/>
          </rPr>
          <t>Haupt Dietrich Komp zum IR 44 transferiert und zur Haupt Avignonesi Komp. eingeteilt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 xml:space="preserve">12/11/1802 </t>
        </r>
        <r>
          <rPr>
            <i/>
            <sz val="14"/>
            <color rgb="FF000000"/>
            <rFont val="Times New Roman"/>
            <family val="18"/>
          </rPr>
          <t>In Regiments Spital zu Vendig Gestorben</t>
        </r>
        <r>
          <rPr>
            <sz val="14"/>
            <color rgb="FF000000"/>
            <rFont val="Times New Roman"/>
            <family val="18"/>
          </rPr>
          <t xml:space="preserve"> [ML 1803]</t>
        </r>
        <r>
          <rPr>
            <sz val="14"/>
            <color rgb="FF000000"/>
            <rFont val="Calibri"/>
            <family val="34"/>
          </rPr>
          <t xml:space="preserve">
</t>
        </r>
      </text>
    </comment>
    <comment ref="BG370" authorId="0" shapeId="0" xr:uid="{67019BA4-EF0C-0E43-9DB7-B9B9CAE93BEF}">
      <text>
        <r>
          <rPr>
            <sz val="14"/>
            <color rgb="FF000000"/>
            <rFont val="Times New Roman"/>
            <family val="18"/>
          </rPr>
          <t>ML 10.309 IR 43 (1800) – ST Juni (27/08/1803), Okt (22/03/1804),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Avignonesi Komp. Abgang (Venice 19/09/1803)</t>
        </r>
        <r>
          <rPr>
            <sz val="14"/>
            <color rgb="FF000000"/>
            <rFont val="Calibri"/>
            <family val="34"/>
          </rPr>
          <t xml:space="preserve">
</t>
        </r>
        <r>
          <rPr>
            <sz val="14"/>
            <color rgb="FF000000"/>
            <rFont val="Times New Roman"/>
            <family val="18"/>
          </rPr>
          <t>ML 3946 IR 44 (1802) – AL IR 43-&gt; IR 43 Nr. 81 (Zara 27/07/1802)</t>
        </r>
        <r>
          <rPr>
            <sz val="14"/>
            <color rgb="FF000000"/>
            <rFont val="Calibri"/>
            <family val="34"/>
          </rPr>
          <t xml:space="preserve">
</t>
        </r>
      </text>
    </comment>
    <comment ref="BH370" authorId="0" shapeId="0" xr:uid="{6CF56078-087F-BC43-8D5C-D83F6A628D81}">
      <text>
        <r>
          <rPr>
            <sz val="14"/>
            <color rgb="FF000000"/>
            <rFont val="Calibri"/>
            <family val="34"/>
          </rPr>
          <t xml:space="preserve">IR 43 (1800-1802)
</t>
        </r>
        <r>
          <rPr>
            <sz val="14"/>
            <color rgb="FF000000"/>
            <rFont val="Calibri"/>
            <family val="34"/>
          </rPr>
          <t>IR 44 (1802)</t>
        </r>
      </text>
    </comment>
    <comment ref="BI370" authorId="0" shapeId="0" xr:uid="{E95FDF37-DE4A-5E47-A126-8F55E77B1D09}">
      <text>
        <r>
          <rPr>
            <sz val="14"/>
            <color rgb="FF000000"/>
            <rFont val="Calibri"/>
            <family val="34"/>
          </rPr>
          <t>Gut [TL Juli 1802]</t>
        </r>
      </text>
    </comment>
    <comment ref="BF371" authorId="0" shapeId="0" xr:uid="{9E00F19C-70C9-074F-B908-419D8E19F291}">
      <text>
        <r>
          <rPr>
            <sz val="14"/>
            <color rgb="FF000000"/>
            <rFont val="Times New Roman"/>
            <family val="18"/>
          </rPr>
          <t xml:space="preserve">24/05/1800 </t>
        </r>
        <r>
          <rPr>
            <i/>
            <sz val="14"/>
            <color rgb="FF000000"/>
            <rFont val="Times New Roman"/>
            <family val="18"/>
          </rPr>
          <t>statt dem wegen Untauglichkeit entlassenen Israel WOLF a 3Fl Handgeld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FF0000"/>
            <rFont val="Times New Roman"/>
            <family val="18"/>
          </rPr>
          <t xml:space="preserve">24/06/1800 </t>
        </r>
        <r>
          <rPr>
            <i/>
            <sz val="14"/>
            <color rgb="FFFF0000"/>
            <rFont val="Times New Roman"/>
            <family val="18"/>
          </rPr>
          <t>Als Galizier a 3Fl von Ständen gestellt</t>
        </r>
        <r>
          <rPr>
            <sz val="14"/>
            <color rgb="FFFF0000"/>
            <rFont val="Times New Roman"/>
            <family val="18"/>
          </rPr>
          <t xml:space="preserve"> [ML 1802/3]</t>
        </r>
        <r>
          <rPr>
            <sz val="14"/>
            <color rgb="FF000000"/>
            <rFont val="Calibri"/>
            <family val="34"/>
          </rPr>
          <t xml:space="preserve">
</t>
        </r>
        <r>
          <rPr>
            <sz val="14"/>
            <color rgb="FF000000"/>
            <rFont val="Times New Roman"/>
            <family val="18"/>
          </rPr>
          <t xml:space="preserve">26/10/1800 </t>
        </r>
        <r>
          <rPr>
            <i/>
            <sz val="14"/>
            <color rgb="FF000000"/>
            <rFont val="Times New Roman"/>
            <family val="18"/>
          </rPr>
          <t>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in die 2. Major Companie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07/07/1802 </t>
        </r>
        <r>
          <rPr>
            <i/>
            <sz val="14"/>
            <color rgb="FF000000"/>
            <rFont val="Times New Roman"/>
            <family val="18"/>
          </rPr>
          <t>Auf bestimmte Zeit Beurlaubt; den 7. mit Deutschen Gebühr und Teuerungsbeitrag, 11. bis 13 mit Ungarischen Gebühr Ohne Teuerungsbeitrag</t>
        </r>
        <r>
          <rPr>
            <sz val="14"/>
            <color rgb="FF000000"/>
            <rFont val="Times New Roman"/>
            <family val="18"/>
          </rPr>
          <t xml:space="preserve"> [ST Juli 1802]</t>
        </r>
        <r>
          <rPr>
            <sz val="14"/>
            <color rgb="FF000000"/>
            <rFont val="Calibri"/>
            <family val="34"/>
          </rPr>
          <t xml:space="preserve">
</t>
        </r>
        <r>
          <rPr>
            <sz val="14"/>
            <color rgb="FF000000"/>
            <rFont val="Times New Roman"/>
            <family val="18"/>
          </rPr>
          <t>11/09/1802 Muster: IR 43 2. Major Komp. Nr. 82 [</t>
        </r>
        <r>
          <rPr>
            <i/>
            <sz val="14"/>
            <color rgb="FF000000"/>
            <rFont val="Times New Roman"/>
            <family val="18"/>
          </rPr>
          <t>Auf Urlaub in Galizien</t>
        </r>
        <r>
          <rPr>
            <sz val="14"/>
            <color rgb="FF000000"/>
            <rFont val="Times New Roman"/>
            <family val="18"/>
          </rPr>
          <t>]</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28/09/1803 Musterung: IR 43 2. Major Komp. Nr. 139 [</t>
        </r>
        <r>
          <rPr>
            <i/>
            <sz val="14"/>
            <color rgb="FF000000"/>
            <rFont val="Times New Roman"/>
            <family val="18"/>
          </rPr>
          <t>Bis Einberufung zu Opolle in East Gallizien beurlaubt</t>
        </r>
        <r>
          <rPr>
            <sz val="14"/>
            <color rgb="FF000000"/>
            <rFont val="Times New Roman"/>
            <family val="18"/>
          </rPr>
          <t>]</t>
        </r>
        <r>
          <rPr>
            <sz val="14"/>
            <color rgb="FF000000"/>
            <rFont val="Calibri"/>
            <family val="34"/>
          </rPr>
          <t xml:space="preserve">
</t>
        </r>
        <r>
          <rPr>
            <sz val="14"/>
            <color rgb="FF000000"/>
            <rFont val="Times New Roman"/>
            <family val="18"/>
          </rPr>
          <t xml:space="preserve">20/07/1804 </t>
        </r>
        <r>
          <rPr>
            <i/>
            <sz val="14"/>
            <color rgb="FF000000"/>
            <rFont val="Times New Roman"/>
            <family val="18"/>
          </rPr>
          <t>Gegen Stellung der Ausländer mit der 15 Jan. zu Furst Reusee Infanterie und anton Kursky unten 3. Juni zu Neugebauer Infanterie assentierte Recrouten und Erlaag des Doppelten Montur Geldes von unbestimmte Urlaub mit Abschied entlassen</t>
        </r>
        <r>
          <rPr>
            <sz val="14"/>
            <color rgb="FF000000"/>
            <rFont val="Times New Roman"/>
            <family val="18"/>
          </rPr>
          <t xml:space="preserve"> [ST Juli 1804 &amp; ML 1804] </t>
        </r>
        <r>
          <rPr>
            <sz val="14"/>
            <color rgb="FF000000"/>
            <rFont val="Calibri"/>
            <family val="34"/>
          </rPr>
          <t xml:space="preserve">
</t>
        </r>
      </text>
    </comment>
    <comment ref="BG371" authorId="0" shapeId="0" xr:uid="{31BC6669-B8BC-D642-8AE3-A441D7CE2680}">
      <text>
        <r>
          <rPr>
            <sz val="14"/>
            <color rgb="FF000000"/>
            <rFont val="Times New Roman"/>
            <family val="18"/>
          </rPr>
          <t>ML 10.272 IR 43 (1802) – Heft von 2. Major Comp. Nr. 163 (Zara 11/09/1802)</t>
        </r>
        <r>
          <rPr>
            <sz val="14"/>
            <color rgb="FF000000"/>
            <rFont val="Calibri"/>
            <family val="34"/>
          </rPr>
          <t xml:space="preserve">
</t>
        </r>
        <r>
          <rPr>
            <sz val="14"/>
            <color rgb="FF000000"/>
            <rFont val="Times New Roman"/>
            <family val="18"/>
          </rPr>
          <t>ML 10.273 IR 43 (1803) – Heft von 2. Major Comp. Nr. 139 (Zara 28/09/1803)</t>
        </r>
        <r>
          <rPr>
            <sz val="14"/>
            <color rgb="FF000000"/>
            <rFont val="Calibri"/>
            <family val="34"/>
          </rPr>
          <t xml:space="preserve">
</t>
        </r>
        <r>
          <rPr>
            <sz val="14"/>
            <color rgb="FF000000"/>
            <rFont val="Times New Roman"/>
            <family val="18"/>
          </rPr>
          <t>ML 10.274 IR 43 (1804) – Heft von 2. Major Comp. Abgang (Cattaro 07/10/1804)</t>
        </r>
        <r>
          <rPr>
            <sz val="14"/>
            <color rgb="FF000000"/>
            <rFont val="Calibri"/>
            <family val="34"/>
          </rPr>
          <t xml:space="preserve">
</t>
        </r>
        <r>
          <rPr>
            <sz val="14"/>
            <color rgb="FF000000"/>
            <rFont val="Times New Roman"/>
            <family val="18"/>
          </rPr>
          <t>ML 10.309 IR 43 (1800) – ST Juni (27/08/1803), Okt (22/03/1804),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Juli (15/08/1802), Nov (13/12/1802)</t>
        </r>
        <r>
          <rPr>
            <sz val="14"/>
            <color rgb="FF000000"/>
            <rFont val="Calibri"/>
            <family val="34"/>
          </rPr>
          <t xml:space="preserve">
</t>
        </r>
        <r>
          <rPr>
            <sz val="14"/>
            <color rgb="FF000000"/>
            <rFont val="Times New Roman"/>
            <family val="18"/>
          </rPr>
          <t>ML 10.314 IR 43 (1804) – ST Juli (15/08/1804)</t>
        </r>
        <r>
          <rPr>
            <sz val="14"/>
            <color rgb="FF000000"/>
            <rFont val="Calibri"/>
            <family val="34"/>
          </rPr>
          <t xml:space="preserve">
</t>
        </r>
      </text>
    </comment>
    <comment ref="BH371" authorId="0" shapeId="0" xr:uid="{4F218520-6FC4-5C4E-9566-153FBB778FFB}">
      <text>
        <r>
          <rPr>
            <sz val="14"/>
            <color rgb="FF000000"/>
            <rFont val="Calibri"/>
            <family val="34"/>
          </rPr>
          <t>IR 43 (1800-1804)</t>
        </r>
      </text>
    </comment>
    <comment ref="I372" authorId="0" shapeId="0" xr:uid="{36463AFF-2409-9647-9629-79DB78A2A2A4}">
      <text>
        <r>
          <rPr>
            <sz val="14"/>
            <color rgb="FF000000"/>
            <rFont val="Calibri"/>
            <family val="34"/>
          </rPr>
          <t xml:space="preserve">1758 [44 (1802)]
</t>
        </r>
        <r>
          <rPr>
            <sz val="14"/>
            <color rgb="FF000000"/>
            <rFont val="Calibri"/>
            <family val="34"/>
          </rPr>
          <t xml:space="preserve">OR
</t>
        </r>
        <r>
          <rPr>
            <sz val="14"/>
            <color rgb="FF000000"/>
            <rFont val="Calibri"/>
            <family val="34"/>
          </rPr>
          <t xml:space="preserve">1762 [38 (1800)]  </t>
        </r>
      </text>
    </comment>
    <comment ref="K372" authorId="0" shapeId="0" xr:uid="{82B2BF16-3914-B342-89CB-859BBC636C97}">
      <text>
        <r>
          <rPr>
            <sz val="14"/>
            <color rgb="FF000000"/>
            <rFont val="Calibri"/>
            <family val="34"/>
          </rPr>
          <t xml:space="preserve">Bäcker  (1800)
</t>
        </r>
        <r>
          <rPr>
            <sz val="14"/>
            <color rgb="FF000000"/>
            <rFont val="Calibri"/>
            <family val="34"/>
          </rPr>
          <t>Ohne (1802)</t>
        </r>
      </text>
    </comment>
    <comment ref="BF372" authorId="0" shapeId="0" xr:uid="{A9A7CA02-46AD-234A-AC2F-AF1F3956401B}">
      <text>
        <r>
          <rPr>
            <sz val="14"/>
            <color rgb="FF000000"/>
            <rFont val="Times New Roman"/>
            <family val="18"/>
          </rPr>
          <t xml:space="preserve">26/05/1800 </t>
        </r>
        <r>
          <rPr>
            <i/>
            <sz val="14"/>
            <color rgb="FF000000"/>
            <rFont val="Times New Roman"/>
            <family val="18"/>
          </rPr>
          <t xml:space="preserve">Zu Krakau als Landständischer Recrout a 3Fl Handgeld auf Beständig zum IR 23 gestellt </t>
        </r>
        <r>
          <rPr>
            <sz val="14"/>
            <color rgb="FF000000"/>
            <rFont val="Times New Roman"/>
            <family val="18"/>
          </rPr>
          <t>[ML 1802]</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der disolvierte Reserve Division zum Haupt Böhm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09/09/1802 Muster: IR 23 Haupt Böhm Nr. 126 [</t>
        </r>
        <r>
          <rPr>
            <i/>
            <sz val="14"/>
            <color rgb="FF000000"/>
            <rFont val="Times New Roman"/>
            <family val="18"/>
          </rPr>
          <t>Beurlaubt in Polen</t>
        </r>
        <r>
          <rPr>
            <sz val="14"/>
            <color rgb="FF000000"/>
            <rFont val="Times New Roman"/>
            <family val="18"/>
          </rPr>
          <t>]</t>
        </r>
        <r>
          <rPr>
            <sz val="14"/>
            <color rgb="FF000000"/>
            <rFont val="Calibri"/>
            <family val="34"/>
          </rPr>
          <t xml:space="preserve">
</t>
        </r>
        <r>
          <rPr>
            <sz val="14"/>
            <color rgb="FF000000"/>
            <rFont val="Times New Roman"/>
            <family val="18"/>
          </rPr>
          <t xml:space="preserve">30/06/1803 </t>
        </r>
        <r>
          <rPr>
            <i/>
            <sz val="14"/>
            <color rgb="FF000000"/>
            <rFont val="Times New Roman"/>
            <family val="18"/>
          </rPr>
          <t xml:space="preserve">Wegen Unentbehrlichkeit zu Hause und gegen den Gestellt: Rek. Salomon Jacob mit abschied entlassen </t>
        </r>
        <r>
          <rPr>
            <sz val="14"/>
            <color rgb="FF000000"/>
            <rFont val="Times New Roman"/>
            <family val="18"/>
          </rPr>
          <t>[ML 1803]</t>
        </r>
        <r>
          <rPr>
            <sz val="14"/>
            <color rgb="FF000000"/>
            <rFont val="Calibri"/>
            <family val="2"/>
            <scheme val="minor"/>
          </rPr>
          <t xml:space="preserve"> </t>
        </r>
      </text>
    </comment>
    <comment ref="BG372" authorId="0" shapeId="0" xr:uid="{4AD44798-ED26-F048-BF99-18BF669A31AC}">
      <text>
        <r>
          <rPr>
            <sz val="14"/>
            <color rgb="FF000000"/>
            <rFont val="Times New Roman"/>
            <family val="18"/>
          </rPr>
          <t>ML 10.124 IR 23 (1802) – Haupt Böhm Komp. Nr.126 (Krems 09/09/1802)</t>
        </r>
        <r>
          <rPr>
            <sz val="14"/>
            <color rgb="FF000000"/>
            <rFont val="Calibri"/>
            <family val="34"/>
          </rPr>
          <t xml:space="preserve">
</t>
        </r>
        <r>
          <rPr>
            <sz val="14"/>
            <color rgb="FF000000"/>
            <rFont val="Times New Roman"/>
            <family val="18"/>
          </rPr>
          <t>ML 10.125 IR 23 (1803) – Haupt Böhm Komp. Nr.126 (Execierlager bei St Pölten 07/09/1803)</t>
        </r>
        <r>
          <rPr>
            <sz val="14"/>
            <color rgb="FF000000"/>
            <rFont val="Calibri"/>
            <family val="34"/>
          </rPr>
          <t xml:space="preserve">
</t>
        </r>
        <r>
          <rPr>
            <sz val="14"/>
            <color rgb="FF000000"/>
            <rFont val="Times New Roman"/>
            <family val="18"/>
          </rPr>
          <t>ML 10.166 IR 23 (1800) – Al. Nr. 1 (Krakow 31/05/1800)</t>
        </r>
        <r>
          <rPr>
            <sz val="14"/>
            <color rgb="FF000000"/>
            <rFont val="Calibri"/>
            <family val="34"/>
          </rPr>
          <t xml:space="preserve">
</t>
        </r>
      </text>
    </comment>
    <comment ref="BH372" authorId="0" shapeId="0" xr:uid="{47331FC6-7CFC-794D-BF9F-84F5B8B63A56}">
      <text>
        <r>
          <rPr>
            <sz val="14"/>
            <color rgb="FF000000"/>
            <rFont val="Calibri"/>
            <family val="34"/>
          </rPr>
          <t>IR 43 (1800-1803)</t>
        </r>
      </text>
    </comment>
    <comment ref="T373" authorId="0" shapeId="0" xr:uid="{1743F403-36E5-AF47-A0F1-F70B145BBC66}">
      <text>
        <r>
          <rPr>
            <sz val="14"/>
            <color rgb="FF000000"/>
            <rFont val="Calibri"/>
            <family val="34"/>
          </rPr>
          <t xml:space="preserve">5.4.3 [169.18] (1802-1804)
</t>
        </r>
        <r>
          <rPr>
            <sz val="14"/>
            <color rgb="FF000000"/>
            <rFont val="Calibri"/>
            <family val="34"/>
          </rPr>
          <t xml:space="preserve">5.5.3 [171.81] (1810]
</t>
        </r>
        <r>
          <rPr>
            <sz val="14"/>
            <color rgb="FF000000"/>
            <rFont val="Calibri"/>
            <family val="34"/>
          </rPr>
          <t xml:space="preserve">5.6.1 [174] (1811)
</t>
        </r>
        <r>
          <rPr>
            <sz val="14"/>
            <color rgb="FF000000"/>
            <rFont val="Calibri"/>
            <family val="34"/>
          </rPr>
          <t>5.2.1 [163.5] (1805)</t>
        </r>
      </text>
    </comment>
    <comment ref="BF373" authorId="0" shapeId="0" xr:uid="{BBA9D3F6-FA5F-6B46-8D2D-1B3A72369F3B}">
      <text>
        <r>
          <rPr>
            <sz val="14"/>
            <color rgb="FFFF0000"/>
            <rFont val="Times New Roman"/>
            <family val="18"/>
          </rPr>
          <t xml:space="preserve">13/05/1800 </t>
        </r>
        <r>
          <rPr>
            <i/>
            <sz val="14"/>
            <color rgb="FFFF0000"/>
            <rFont val="Times New Roman"/>
            <family val="18"/>
          </rPr>
          <t>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19/06/1800 </t>
        </r>
        <r>
          <rPr>
            <i/>
            <sz val="14"/>
            <color rgb="FF000000"/>
            <rFont val="Times New Roman"/>
            <family val="18"/>
          </rPr>
          <t>von Ständen gestellt und zu Zloczow Assentiert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Division ins Haupt Oberburg Komp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28/08/1802 Muster: IR 43: Haupt Frinstlos Komp. Nr. 101</t>
        </r>
        <r>
          <rPr>
            <sz val="14"/>
            <color rgb="FF000000"/>
            <rFont val="Calibri"/>
            <family val="34"/>
          </rPr>
          <t xml:space="preserve">
</t>
        </r>
        <r>
          <rPr>
            <sz val="14"/>
            <color rgb="FF000000"/>
            <rFont val="Times New Roman"/>
            <family val="18"/>
          </rPr>
          <t xml:space="preserve">01/01/1803 </t>
        </r>
        <r>
          <rPr>
            <i/>
            <sz val="14"/>
            <color rgb="FF000000"/>
            <rFont val="Times New Roman"/>
            <family val="18"/>
          </rPr>
          <t>Von Haupt Frintlost zum 2. Grenadier comp. transferiert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28/09/1803 Muster: IR 43: 2. Gren. Komp. Nr. 119</t>
        </r>
        <r>
          <rPr>
            <sz val="14"/>
            <color rgb="FF000000"/>
            <rFont val="Calibri"/>
            <family val="34"/>
          </rPr>
          <t xml:space="preserve">
</t>
        </r>
        <r>
          <rPr>
            <sz val="14"/>
            <color rgb="FF000000"/>
            <rFont val="Times New Roman"/>
            <family val="18"/>
          </rPr>
          <t>15/09/1804 Muster: IR 43 2. Gren. Komp. Nr. 108</t>
        </r>
        <r>
          <rPr>
            <sz val="14"/>
            <color rgb="FF000000"/>
            <rFont val="Calibri"/>
            <family val="34"/>
          </rPr>
          <t xml:space="preserve">
</t>
        </r>
        <r>
          <rPr>
            <sz val="14"/>
            <color rgb="FF000000"/>
            <rFont val="Times New Roman"/>
            <family val="18"/>
          </rPr>
          <t>30/09/1805 Muster: IR 43 2. Gren. Komp. Nr. 96</t>
        </r>
        <r>
          <rPr>
            <sz val="14"/>
            <color rgb="FF000000"/>
            <rFont val="Calibri"/>
            <family val="34"/>
          </rPr>
          <t xml:space="preserve">
</t>
        </r>
        <r>
          <rPr>
            <sz val="14"/>
            <color rgb="FF000000"/>
            <rFont val="Times New Roman"/>
            <family val="18"/>
          </rPr>
          <t>01/12/1806: Muster: IR 43 2. Gren Komp Nr. 86</t>
        </r>
        <r>
          <rPr>
            <sz val="14"/>
            <color rgb="FF000000"/>
            <rFont val="Calibri"/>
            <family val="34"/>
          </rPr>
          <t xml:space="preserve">
</t>
        </r>
        <r>
          <rPr>
            <sz val="14"/>
            <color rgb="FF000000"/>
            <rFont val="Times New Roman"/>
            <family val="18"/>
          </rPr>
          <t>06/09/1808 Revision: IR 43 2. Gren Komp Nr. 44</t>
        </r>
        <r>
          <rPr>
            <sz val="14"/>
            <color rgb="FF000000"/>
            <rFont val="Calibri"/>
            <family val="34"/>
          </rPr>
          <t xml:space="preserve">
</t>
        </r>
        <r>
          <rPr>
            <sz val="14"/>
            <color rgb="FF000000"/>
            <rFont val="Times New Roman"/>
            <family val="18"/>
          </rPr>
          <t xml:space="preserve">08/05/1809 </t>
        </r>
        <r>
          <rPr>
            <i/>
            <sz val="14"/>
            <color rgb="FF000000"/>
            <rFont val="Times New Roman"/>
            <family val="18"/>
          </rPr>
          <t>Bei Piave gefangen</t>
        </r>
        <r>
          <rPr>
            <sz val="14"/>
            <color rgb="FF000000"/>
            <rFont val="Times New Roman"/>
            <family val="18"/>
          </rPr>
          <t xml:space="preserve"> [TL July 1810]</t>
        </r>
        <r>
          <rPr>
            <sz val="14"/>
            <color rgb="FF000000"/>
            <rFont val="Calibri"/>
            <family val="34"/>
          </rPr>
          <t xml:space="preserve">
</t>
        </r>
        <r>
          <rPr>
            <sz val="14"/>
            <color rgb="FF000000"/>
            <rFont val="Times New Roman"/>
            <family val="18"/>
          </rPr>
          <t xml:space="preserve">07/06/1809 </t>
        </r>
        <r>
          <rPr>
            <i/>
            <sz val="14"/>
            <color rgb="FF000000"/>
            <rFont val="Times New Roman"/>
            <family val="18"/>
          </rPr>
          <t>Sich selbst ranzioniert</t>
        </r>
        <r>
          <rPr>
            <sz val="14"/>
            <color rgb="FF000000"/>
            <rFont val="Times New Roman"/>
            <family val="18"/>
          </rPr>
          <t xml:space="preserve"> [TL July 1810]</t>
        </r>
        <r>
          <rPr>
            <sz val="14"/>
            <color rgb="FF000000"/>
            <rFont val="Calibri"/>
            <family val="34"/>
          </rPr>
          <t xml:space="preserve">
</t>
        </r>
        <r>
          <rPr>
            <sz val="14"/>
            <color rgb="FF000000"/>
            <rFont val="Times New Roman"/>
            <family val="18"/>
          </rPr>
          <t xml:space="preserve">26/05/1809 </t>
        </r>
        <r>
          <rPr>
            <i/>
            <sz val="14"/>
            <color rgb="FF000000"/>
            <rFont val="Times New Roman"/>
            <family val="18"/>
          </rPr>
          <t>Krank Auswärts</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29/05/1809 </t>
        </r>
        <r>
          <rPr>
            <i/>
            <sz val="14"/>
            <color rgb="FF000000"/>
            <rFont val="Times New Roman"/>
            <family val="18"/>
          </rPr>
          <t>Rekonvalesziert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25/02/1810 Dissolvierung: IR 43 2. Gren Comp Nr. 33 [</t>
        </r>
        <r>
          <rPr>
            <i/>
            <sz val="14"/>
            <color rgb="FF000000"/>
            <rFont val="Times New Roman"/>
            <family val="18"/>
          </rPr>
          <t>Zum IR 9 Czartoryski eingeteilt</t>
        </r>
        <r>
          <rPr>
            <sz val="14"/>
            <color rgb="FF000000"/>
            <rFont val="Times New Roman"/>
            <family val="18"/>
          </rPr>
          <t>]</t>
        </r>
        <r>
          <rPr>
            <sz val="14"/>
            <color rgb="FF000000"/>
            <rFont val="Calibri"/>
            <family val="34"/>
          </rPr>
          <t xml:space="preserve">
</t>
        </r>
        <r>
          <rPr>
            <sz val="14"/>
            <color rgb="FF000000"/>
            <rFont val="Times New Roman"/>
            <family val="18"/>
          </rPr>
          <t xml:space="preserve">07/03/1810 </t>
        </r>
        <r>
          <rPr>
            <i/>
            <sz val="14"/>
            <color rgb="FF000000"/>
            <rFont val="Times New Roman"/>
            <family val="18"/>
          </rPr>
          <t>Von Dissolvierte IR 43 zum IR 9 ‚Czartoryski‘ transferiert und zur 2. Grenadier Komp. eingeheilt, seitdem auf dem Marsche mit auswärtiger Gebühr</t>
        </r>
        <r>
          <rPr>
            <sz val="14"/>
            <color rgb="FF000000"/>
            <rFont val="Times New Roman"/>
            <family val="18"/>
          </rPr>
          <t xml:space="preserve"> [ST March 1810 &amp; ST May 1810]</t>
        </r>
        <r>
          <rPr>
            <sz val="14"/>
            <color rgb="FF000000"/>
            <rFont val="Calibri"/>
            <family val="34"/>
          </rPr>
          <t xml:space="preserve">
</t>
        </r>
        <r>
          <rPr>
            <sz val="14"/>
            <color rgb="FF000000"/>
            <rFont val="Times New Roman"/>
            <family val="18"/>
          </rPr>
          <t xml:space="preserve">10/05/1810 </t>
        </r>
        <r>
          <rPr>
            <i/>
            <sz val="14"/>
            <color rgb="FF000000"/>
            <rFont val="Times New Roman"/>
            <family val="18"/>
          </rPr>
          <t>Ankunft ins Regiment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20/09/1811 </t>
        </r>
        <r>
          <rPr>
            <i/>
            <sz val="14"/>
            <color rgb="FF000000"/>
            <rFont val="Times New Roman"/>
            <family val="18"/>
          </rPr>
          <t>Auf Marsch zum Regiments Staab</t>
        </r>
        <r>
          <rPr>
            <sz val="14"/>
            <color rgb="FF000000"/>
            <rFont val="Times New Roman"/>
            <family val="18"/>
          </rPr>
          <t xml:space="preserve"> [ST Aug 1811]</t>
        </r>
        <r>
          <rPr>
            <sz val="14"/>
            <color rgb="FF000000"/>
            <rFont val="Calibri"/>
            <family val="34"/>
          </rPr>
          <t xml:space="preserve">
</t>
        </r>
        <r>
          <rPr>
            <sz val="14"/>
            <color rgb="FF000000"/>
            <rFont val="Times New Roman"/>
            <family val="18"/>
          </rPr>
          <t>02/09/1811 Muster: IR 9 2. Gren Komp. Nr. 83 [</t>
        </r>
        <r>
          <rPr>
            <i/>
            <sz val="14"/>
            <color rgb="FF000000"/>
            <rFont val="Times New Roman"/>
            <family val="18"/>
          </rPr>
          <t>Auf Regiment am Marsch anhero</t>
        </r>
        <r>
          <rPr>
            <sz val="14"/>
            <color rgb="FF000000"/>
            <rFont val="Times New Roman"/>
            <family val="18"/>
          </rPr>
          <t>]</t>
        </r>
        <r>
          <rPr>
            <sz val="14"/>
            <color rgb="FF000000"/>
            <rFont val="Calibri"/>
            <family val="34"/>
          </rPr>
          <t xml:space="preserve">
</t>
        </r>
        <r>
          <rPr>
            <sz val="14"/>
            <color rgb="FF000000"/>
            <rFont val="Times New Roman"/>
            <family val="18"/>
          </rPr>
          <t xml:space="preserve">20/09/1811 </t>
        </r>
        <r>
          <rPr>
            <i/>
            <sz val="14"/>
            <color rgb="FF000000"/>
            <rFont val="Times New Roman"/>
            <family val="18"/>
          </rPr>
          <t>Ankunft Zurück an der Kompanie</t>
        </r>
        <r>
          <rPr>
            <sz val="14"/>
            <color rgb="FF000000"/>
            <rFont val="Times New Roman"/>
            <family val="18"/>
          </rPr>
          <t xml:space="preserve"> [ST Sept 1811]</t>
        </r>
        <r>
          <rPr>
            <sz val="14"/>
            <color rgb="FF000000"/>
            <rFont val="Calibri"/>
            <family val="34"/>
          </rPr>
          <t xml:space="preserve">
</t>
        </r>
        <r>
          <rPr>
            <sz val="14"/>
            <color rgb="FF000000"/>
            <rFont val="Times New Roman"/>
            <family val="18"/>
          </rPr>
          <t xml:space="preserve">18/02/1813 </t>
        </r>
        <r>
          <rPr>
            <i/>
            <sz val="14"/>
            <color rgb="FF000000"/>
            <rFont val="Times New Roman"/>
            <family val="18"/>
          </rPr>
          <t>Vermog hoher General commando Verordnung ddt. Ofen am 18. Febr 813 Nr. 2096 R zum von Gemeiner zum Korporal avanciert</t>
        </r>
        <r>
          <rPr>
            <sz val="14"/>
            <color rgb="FF000000"/>
            <rFont val="Times New Roman"/>
            <family val="18"/>
          </rPr>
          <t xml:space="preserve"> [ST April 1813]</t>
        </r>
        <r>
          <rPr>
            <sz val="14"/>
            <color rgb="FF000000"/>
            <rFont val="Calibri"/>
            <family val="34"/>
          </rPr>
          <t xml:space="preserve">
</t>
        </r>
        <r>
          <rPr>
            <sz val="14"/>
            <color rgb="FF000000"/>
            <rFont val="Times New Roman"/>
            <family val="18"/>
          </rPr>
          <t xml:space="preserve">01/07/1814 </t>
        </r>
        <r>
          <rPr>
            <i/>
            <sz val="14"/>
            <color rgb="FF000000"/>
            <rFont val="Times New Roman"/>
            <family val="18"/>
          </rPr>
          <t>Krank in auswärtiger Spital</t>
        </r>
        <r>
          <rPr>
            <sz val="14"/>
            <color rgb="FF000000"/>
            <rFont val="Times New Roman"/>
            <family val="18"/>
          </rPr>
          <t xml:space="preserve"> [ST July 1814]</t>
        </r>
        <r>
          <rPr>
            <sz val="14"/>
            <color rgb="FF000000"/>
            <rFont val="Calibri"/>
            <family val="34"/>
          </rPr>
          <t xml:space="preserve">
</t>
        </r>
        <r>
          <rPr>
            <sz val="14"/>
            <color rgb="FF000000"/>
            <rFont val="Times New Roman"/>
            <family val="18"/>
          </rPr>
          <t xml:space="preserve">21/09/1814 </t>
        </r>
        <r>
          <rPr>
            <i/>
            <sz val="14"/>
            <color rgb="FF000000"/>
            <rFont val="Times New Roman"/>
            <family val="18"/>
          </rPr>
          <t>Rekonvalesziert</t>
        </r>
        <r>
          <rPr>
            <sz val="14"/>
            <color rgb="FF000000"/>
            <rFont val="Times New Roman"/>
            <family val="18"/>
          </rPr>
          <t xml:space="preserve"> [ST Sept 1814]</t>
        </r>
        <r>
          <rPr>
            <sz val="14"/>
            <color rgb="FF000000"/>
            <rFont val="Calibri"/>
            <family val="34"/>
          </rPr>
          <t xml:space="preserve">
</t>
        </r>
        <r>
          <rPr>
            <sz val="14"/>
            <color rgb="FF000000"/>
            <rFont val="Times New Roman"/>
            <family val="18"/>
          </rPr>
          <t xml:space="preserve">15/02/1816 </t>
        </r>
        <r>
          <rPr>
            <i/>
            <sz val="14"/>
            <color rgb="FF000000"/>
            <rFont val="Times New Roman"/>
            <family val="18"/>
          </rPr>
          <t xml:space="preserve">Krank zu Lemberg </t>
        </r>
        <r>
          <rPr>
            <sz val="14"/>
            <color rgb="FF000000"/>
            <rFont val="Times New Roman"/>
            <family val="18"/>
          </rPr>
          <t>[ST Feb 1816]</t>
        </r>
        <r>
          <rPr>
            <sz val="14"/>
            <color rgb="FF000000"/>
            <rFont val="Calibri"/>
            <family val="34"/>
          </rPr>
          <t xml:space="preserve">
</t>
        </r>
        <r>
          <rPr>
            <sz val="14"/>
            <color rgb="FF000000"/>
            <rFont val="Times New Roman"/>
            <family val="18"/>
          </rPr>
          <t xml:space="preserve">05/03/1816 </t>
        </r>
        <r>
          <rPr>
            <i/>
            <sz val="14"/>
            <color rgb="FF000000"/>
            <rFont val="Times New Roman"/>
            <family val="18"/>
          </rPr>
          <t>Rekonvalesziert</t>
        </r>
        <r>
          <rPr>
            <sz val="14"/>
            <color rgb="FF000000"/>
            <rFont val="Times New Roman"/>
            <family val="18"/>
          </rPr>
          <t xml:space="preserve"> [ST March 1816]</t>
        </r>
        <r>
          <rPr>
            <sz val="14"/>
            <color rgb="FF000000"/>
            <rFont val="Calibri"/>
            <family val="34"/>
          </rPr>
          <t xml:space="preserve">
</t>
        </r>
        <r>
          <rPr>
            <sz val="14"/>
            <color rgb="FF000000"/>
            <rFont val="Times New Roman"/>
            <family val="18"/>
          </rPr>
          <t xml:space="preserve">20/06/1816 </t>
        </r>
        <r>
          <rPr>
            <i/>
            <sz val="14"/>
            <color rgb="FF000000"/>
            <rFont val="Times New Roman"/>
            <family val="18"/>
          </rPr>
          <t>Vermog hoher hofkriegsratlichen Reskript ddt. Wien am 25. April 816 K 1992 mit Abschied entlassen</t>
        </r>
        <r>
          <rPr>
            <sz val="14"/>
            <color rgb="FF000000"/>
            <rFont val="Times New Roman"/>
            <family val="18"/>
          </rPr>
          <t xml:space="preserve"> [ST June 1816]</t>
        </r>
        <r>
          <rPr>
            <sz val="14"/>
            <color rgb="FF000000"/>
            <rFont val="Calibri"/>
            <family val="34"/>
          </rPr>
          <t xml:space="preserve">
</t>
        </r>
      </text>
    </comment>
    <comment ref="BG373" authorId="0" shapeId="0" xr:uid="{498DEF37-7804-684B-B660-73793738713E}">
      <text>
        <r>
          <rPr>
            <sz val="14"/>
            <color rgb="FF000000"/>
            <rFont val="Times New Roman"/>
            <family val="18"/>
          </rPr>
          <t>ML 10.272 IR 43 (1802) –Haupt Frinstlos Comp. Nr. 101 (Cattaro 28/08/1802)</t>
        </r>
        <r>
          <rPr>
            <sz val="14"/>
            <color rgb="FF000000"/>
            <rFont val="Calibri"/>
            <family val="34"/>
          </rPr>
          <t xml:space="preserve">
</t>
        </r>
        <r>
          <rPr>
            <sz val="14"/>
            <color rgb="FF000000"/>
            <rFont val="Times New Roman"/>
            <family val="18"/>
          </rPr>
          <t>ML 10.273 IR 43 (1803) –2. Gren Comp Nr. 119 (Zara 29/09/1803)</t>
        </r>
        <r>
          <rPr>
            <sz val="14"/>
            <color rgb="FF000000"/>
            <rFont val="Calibri"/>
            <family val="34"/>
          </rPr>
          <t xml:space="preserve">
</t>
        </r>
        <r>
          <rPr>
            <sz val="14"/>
            <color rgb="FF000000"/>
            <rFont val="Times New Roman"/>
            <family val="18"/>
          </rPr>
          <t>ML 10.274 IR 43 (1804) –2. Gren Comp Nr. 108 (Zara 15/09/1804)</t>
        </r>
        <r>
          <rPr>
            <sz val="14"/>
            <color rgb="FF000000"/>
            <rFont val="Calibri"/>
            <family val="34"/>
          </rPr>
          <t xml:space="preserve">
</t>
        </r>
        <r>
          <rPr>
            <sz val="14"/>
            <color rgb="FF000000"/>
            <rFont val="Times New Roman"/>
            <family val="18"/>
          </rPr>
          <t>ML 10.275/6 IR 43 (1805) –2. Gren Comp Nr. 96 (Cattaro 30/09/1805)</t>
        </r>
        <r>
          <rPr>
            <sz val="14"/>
            <color rgb="FF000000"/>
            <rFont val="Calibri"/>
            <family val="34"/>
          </rPr>
          <t xml:space="preserve">
</t>
        </r>
        <r>
          <rPr>
            <sz val="14"/>
            <color rgb="FF000000"/>
            <rFont val="Times New Roman"/>
            <family val="18"/>
          </rPr>
          <t>ML 10.277/8 IR 43 (1806) –2. Gren Comp Nr. 86 (Laibach 01/12/1806)</t>
        </r>
        <r>
          <rPr>
            <sz val="14"/>
            <color rgb="FF000000"/>
            <rFont val="Calibri"/>
            <family val="34"/>
          </rPr>
          <t xml:space="preserve">
</t>
        </r>
        <r>
          <rPr>
            <sz val="14"/>
            <color rgb="FF000000"/>
            <rFont val="Times New Roman"/>
            <family val="18"/>
          </rPr>
          <t>ML 10.279 IR 43 (1808-10) – RL 2 Gren Comp. Nr. 44 (Laibach 06/09/1808) &amp; DL (Vordenberg 25/02/1810)</t>
        </r>
        <r>
          <rPr>
            <sz val="14"/>
            <color rgb="FF000000"/>
            <rFont val="Calibri"/>
            <family val="34"/>
          </rPr>
          <t xml:space="preserve">
</t>
        </r>
        <r>
          <rPr>
            <sz val="14"/>
            <color rgb="FF000000"/>
            <rFont val="Times New Roman"/>
            <family val="18"/>
          </rPr>
          <t>ML 10.313 IR 43 (1803) – ST Jänner (15/02/1803)</t>
        </r>
        <r>
          <rPr>
            <sz val="14"/>
            <color rgb="FF000000"/>
            <rFont val="Calibri"/>
            <family val="34"/>
          </rPr>
          <t xml:space="preserve">
</t>
        </r>
        <r>
          <rPr>
            <sz val="14"/>
            <color rgb="FF000000"/>
            <rFont val="Times New Roman"/>
            <family val="18"/>
          </rPr>
          <t>ML 10.323 IR 43 (1809) – ST Mai (02/11/1810)</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634 IR 9 (1811) – 2. Gren. Komp. Nr. 83 (Pest 02/09/1811)</t>
        </r>
        <r>
          <rPr>
            <sz val="14"/>
            <color rgb="FF000000"/>
            <rFont val="Calibri"/>
            <family val="34"/>
          </rPr>
          <t xml:space="preserve">
</t>
        </r>
        <r>
          <rPr>
            <sz val="14"/>
            <color rgb="FF000000"/>
            <rFont val="Times New Roman"/>
            <family val="18"/>
          </rPr>
          <t xml:space="preserve">ML 672 IR 9 (1810) – ST Mai (Caschau 04/03/1811) </t>
        </r>
        <r>
          <rPr>
            <sz val="14"/>
            <color rgb="FF000000"/>
            <rFont val="Calibri"/>
            <family val="34"/>
          </rPr>
          <t xml:space="preserve">
</t>
        </r>
        <r>
          <rPr>
            <sz val="14"/>
            <color rgb="FF000000"/>
            <rFont val="Times New Roman"/>
            <family val="18"/>
          </rPr>
          <t>ML 673 IR 9 (1810) – TL IR 43-&gt; IR 9 Nr. 17 (Klagenfurth 16/07/1810)</t>
        </r>
        <r>
          <rPr>
            <sz val="14"/>
            <color rgb="FF000000"/>
            <rFont val="Calibri"/>
            <family val="34"/>
          </rPr>
          <t xml:space="preserve">
</t>
        </r>
        <r>
          <rPr>
            <sz val="14"/>
            <color rgb="FF000000"/>
            <rFont val="Times New Roman"/>
            <family val="18"/>
          </rPr>
          <t>ML 674 IR 9 (1811) – ST Aug (03/10/1811), Sept (Caschau 20/10/1811)</t>
        </r>
        <r>
          <rPr>
            <sz val="14"/>
            <color rgb="FF000000"/>
            <rFont val="Calibri"/>
            <family val="34"/>
          </rPr>
          <t xml:space="preserve">
</t>
        </r>
        <r>
          <rPr>
            <sz val="14"/>
            <color rgb="FF000000"/>
            <rFont val="Times New Roman"/>
            <family val="18"/>
          </rPr>
          <t>ML 677 IR 9 (1813) – April (Jaroslau 28/07/1813)</t>
        </r>
        <r>
          <rPr>
            <sz val="14"/>
            <color rgb="FF000000"/>
            <rFont val="Calibri"/>
            <family val="34"/>
          </rPr>
          <t xml:space="preserve">
</t>
        </r>
        <r>
          <rPr>
            <sz val="14"/>
            <color rgb="FF000000"/>
            <rFont val="Times New Roman"/>
            <family val="18"/>
          </rPr>
          <t>ML 680 IR 9 (1814) – Juli (07/11/1815), Sept (Hermannstadt 01/07/1816)</t>
        </r>
        <r>
          <rPr>
            <sz val="14"/>
            <color rgb="FF000000"/>
            <rFont val="Calibri"/>
            <family val="34"/>
          </rPr>
          <t xml:space="preserve">
</t>
        </r>
        <r>
          <rPr>
            <sz val="14"/>
            <color rgb="FF000000"/>
            <rFont val="Times New Roman"/>
            <family val="18"/>
          </rPr>
          <t>ML 684 IR 9 (1816) – Feb (Hermannstadt 24/06/1817), M</t>
        </r>
        <r>
          <rPr>
            <sz val="12"/>
            <color theme="1"/>
            <rFont val="Calibri"/>
            <family val="2"/>
            <scheme val="minor"/>
          </rPr>
          <t>ä</t>
        </r>
        <r>
          <rPr>
            <sz val="14"/>
            <color rgb="FF000000"/>
            <rFont val="Times New Roman"/>
            <family val="18"/>
          </rPr>
          <t>rz (Hermannstadt 18/07/1817), Juni (Clausenburg 09/07/1817)</t>
        </r>
        <r>
          <rPr>
            <sz val="14"/>
            <color rgb="FF000000"/>
            <rFont val="Calibri"/>
            <family val="34"/>
          </rPr>
          <t xml:space="preserve">
</t>
        </r>
      </text>
    </comment>
    <comment ref="BH373" authorId="0" shapeId="0" xr:uid="{264048C3-782B-ED4F-9979-5B7756EE19E6}">
      <text>
        <r>
          <rPr>
            <sz val="14"/>
            <color rgb="FF000000"/>
            <rFont val="Calibri"/>
            <family val="34"/>
          </rPr>
          <t xml:space="preserve">IR 43 (1800-1810)
</t>
        </r>
        <r>
          <rPr>
            <sz val="14"/>
            <color rgb="FF000000"/>
            <rFont val="Calibri"/>
            <family val="34"/>
          </rPr>
          <t>IR 9 (1810-1816)</t>
        </r>
      </text>
    </comment>
    <comment ref="BI373" authorId="0" shapeId="0" xr:uid="{A6010969-4127-C64B-862C-B6F20F9EBE25}">
      <text>
        <r>
          <rPr>
            <sz val="14"/>
            <color rgb="FF000000"/>
            <rFont val="Calibri"/>
            <family val="34"/>
          </rPr>
          <t>Gut [TL Juli 1810]</t>
        </r>
      </text>
    </comment>
    <comment ref="CR373" authorId="0" shapeId="0" xr:uid="{81889F3E-301F-F648-AFE4-16151F4FAB9E}">
      <text>
        <r>
          <rPr>
            <sz val="14"/>
            <color rgb="FF000000"/>
            <rFont val="Calibri"/>
            <family val="34"/>
          </rPr>
          <t>1802-6: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1810-11: Katolisch </t>
        </r>
      </text>
    </comment>
    <comment ref="I374" authorId="0" shapeId="0" xr:uid="{3C447B47-F736-3C45-A748-F93327B1D89C}">
      <text>
        <r>
          <rPr>
            <sz val="14"/>
            <color rgb="FF000000"/>
            <rFont val="Calibri"/>
            <family val="34"/>
          </rPr>
          <t xml:space="preserve">34 (1802)/  37(1805) 
</t>
        </r>
        <r>
          <rPr>
            <sz val="14"/>
            <color rgb="FF000000"/>
            <rFont val="Calibri"/>
            <family val="34"/>
          </rPr>
          <t xml:space="preserve">OR 
</t>
        </r>
        <r>
          <rPr>
            <sz val="14"/>
            <color rgb="FF000000"/>
            <rFont val="Calibri"/>
            <family val="34"/>
          </rPr>
          <t>26 (1804)</t>
        </r>
      </text>
    </comment>
    <comment ref="BF374" authorId="0" shapeId="0" xr:uid="{F8922D1C-B77A-7744-A34C-1863477E1159}">
      <text>
        <r>
          <rPr>
            <sz val="14"/>
            <color rgb="FF000000"/>
            <rFont val="Times New Roman"/>
            <family val="18"/>
          </rPr>
          <t xml:space="preserve">19/06/1800 </t>
        </r>
        <r>
          <rPr>
            <i/>
            <sz val="14"/>
            <color rgb="FF000000"/>
            <rFont val="Times New Roman"/>
            <family val="18"/>
          </rPr>
          <t>von Dominien ausgehoben und a 3Fl Handgeld zum Sondomierz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30/09/1800 </t>
        </r>
        <r>
          <rPr>
            <i/>
            <sz val="14"/>
            <color rgb="FF000000"/>
            <rFont val="Times New Roman"/>
            <family val="18"/>
          </rPr>
          <t>Ins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29/11/1800 </t>
        </r>
        <r>
          <rPr>
            <i/>
            <sz val="14"/>
            <color rgb="FF000000"/>
            <rFont val="Times New Roman"/>
            <family val="18"/>
          </rPr>
          <t>Krank auswärts</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Rekonvalesziert</t>
        </r>
        <r>
          <rPr>
            <sz val="14"/>
            <color rgb="FF000000"/>
            <rFont val="Times New Roman"/>
            <family val="18"/>
          </rPr>
          <t xml:space="preserve"> [ST Jan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Selmbach Komp.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24/08/1802 Muster: IR 43 Haupt Selmbach Nr. 118</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ungarischer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01/03/1803 </t>
        </r>
        <r>
          <rPr>
            <i/>
            <sz val="14"/>
            <color rgb="FF000000"/>
            <rFont val="Times New Roman"/>
            <family val="18"/>
          </rPr>
          <t>Als unbestimmt beurlaubt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04/11/1803 Muster: IR 43 Haupt Selmbach Komp Nr. 78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Selmbach Komp. Nr. 97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Muster: 13. Fus Komp. Nr. 78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Comp als unwissend Verloren in Abgang</t>
        </r>
        <r>
          <rPr>
            <sz val="14"/>
            <color rgb="FF000000"/>
            <rFont val="Times New Roman"/>
            <family val="18"/>
          </rPr>
          <t xml:space="preserve"> [ST Okt 1806 &amp; ML 1806]</t>
        </r>
        <r>
          <rPr>
            <sz val="14"/>
            <color rgb="FF000000"/>
            <rFont val="Calibri"/>
            <family val="34"/>
          </rPr>
          <t xml:space="preserve">
</t>
        </r>
      </text>
    </comment>
    <comment ref="BG374" authorId="0" shapeId="0" xr:uid="{16E8FABA-CD1C-FB47-9097-94050CEE7465}">
      <text>
        <r>
          <rPr>
            <sz val="14"/>
            <color rgb="FF000000"/>
            <rFont val="Times New Roman"/>
            <family val="18"/>
          </rPr>
          <t>ML 10.272 IR 43 (1802) – Heft von Haupt Selmbach Comp. Nr. 118 (Budua 24/08/1802)</t>
        </r>
        <r>
          <rPr>
            <sz val="14"/>
            <color rgb="FF000000"/>
            <rFont val="Calibri"/>
            <family val="34"/>
          </rPr>
          <t xml:space="preserve">
</t>
        </r>
        <r>
          <rPr>
            <sz val="14"/>
            <color rgb="FF000000"/>
            <rFont val="Times New Roman"/>
            <family val="18"/>
          </rPr>
          <t>ML 10.273 IR 43 (1803) – Heft von Haupt Selmbach Nr. 104 (Knin 04/11/1803)</t>
        </r>
        <r>
          <rPr>
            <sz val="14"/>
            <color rgb="FF000000"/>
            <rFont val="Calibri"/>
            <family val="34"/>
          </rPr>
          <t xml:space="preserve">
</t>
        </r>
        <r>
          <rPr>
            <sz val="14"/>
            <color rgb="FF000000"/>
            <rFont val="Times New Roman"/>
            <family val="18"/>
          </rPr>
          <t>ML 10.274 IR 43 (1804) – Heft von Haupt Selmbach Comp. Nr. 97 (Zara 15/09/1804)</t>
        </r>
        <r>
          <rPr>
            <sz val="14"/>
            <color rgb="FF000000"/>
            <rFont val="Calibri"/>
            <family val="34"/>
          </rPr>
          <t xml:space="preserve">
</t>
        </r>
        <r>
          <rPr>
            <sz val="14"/>
            <color rgb="FF000000"/>
            <rFont val="Times New Roman"/>
            <family val="18"/>
          </rPr>
          <t>ML 10.275/6 IR 43 (1805) – Heft von 13. Fus Comp. Nr. 78 (Zara 01/10/1805)</t>
        </r>
        <r>
          <rPr>
            <sz val="14"/>
            <color rgb="FF000000"/>
            <rFont val="Calibri"/>
            <family val="34"/>
          </rPr>
          <t xml:space="preserve">
</t>
        </r>
        <r>
          <rPr>
            <sz val="14"/>
            <color rgb="FF000000"/>
            <rFont val="Times New Roman"/>
            <family val="18"/>
          </rPr>
          <t>ML 10/277/8 (1806) – Heft von 3. Fus Comp. Abgang (Laibach 01/12/1806)</t>
        </r>
        <r>
          <rPr>
            <sz val="14"/>
            <color rgb="FF000000"/>
            <rFont val="Calibri"/>
            <family val="34"/>
          </rPr>
          <t xml:space="preserve">
</t>
        </r>
        <r>
          <rPr>
            <sz val="14"/>
            <color rgb="FF000000"/>
            <rFont val="Times New Roman"/>
            <family val="18"/>
          </rPr>
          <t>ML 10.313 IR 43 (1803) – ST Jan (15/02/1803), März (15/04/1803)</t>
        </r>
        <r>
          <rPr>
            <sz val="14"/>
            <color rgb="FF000000"/>
            <rFont val="Calibri"/>
            <family val="34"/>
          </rPr>
          <t xml:space="preserve">
</t>
        </r>
        <r>
          <rPr>
            <sz val="14"/>
            <color rgb="FF000000"/>
            <rFont val="Times New Roman"/>
            <family val="18"/>
          </rPr>
          <t>ML 10.317 IR 43 (1806) – ST Okt. (27/11/1806)</t>
        </r>
        <r>
          <rPr>
            <sz val="14"/>
            <color rgb="FF000000"/>
            <rFont val="Calibri"/>
            <family val="34"/>
          </rPr>
          <t xml:space="preserve">
</t>
        </r>
      </text>
    </comment>
    <comment ref="BH374" authorId="0" shapeId="0" xr:uid="{9730E075-92A6-D842-9516-71FE870C323D}">
      <text>
        <r>
          <rPr>
            <sz val="14"/>
            <color rgb="FF000000"/>
            <rFont val="Calibri"/>
            <family val="34"/>
          </rPr>
          <t>IR 43 (1800-1806)</t>
        </r>
      </text>
    </comment>
    <comment ref="CR374" authorId="0" shapeId="0" xr:uid="{99C3A2D8-82B1-9344-A3B1-99DE47E2E50E}">
      <text>
        <r>
          <rPr>
            <sz val="14"/>
            <color rgb="FF000000"/>
            <rFont val="Calibri"/>
            <family val="34"/>
          </rPr>
          <t>1802-3: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1804-5: Katolisch </t>
        </r>
      </text>
    </comment>
    <comment ref="BF375" authorId="0" shapeId="0" xr:uid="{10B7EEB2-0483-A540-B4BA-1FD67518C092}">
      <text>
        <r>
          <rPr>
            <sz val="14"/>
            <color rgb="FF000000"/>
            <rFont val="Times New Roman"/>
            <family val="18"/>
          </rPr>
          <t xml:space="preserve">19/06/1800 </t>
        </r>
        <r>
          <rPr>
            <i/>
            <sz val="14"/>
            <color rgb="FF000000"/>
            <rFont val="Times New Roman"/>
            <family val="18"/>
          </rPr>
          <t>Von Gall. Stände gestellt und assentiert</t>
        </r>
        <r>
          <rPr>
            <sz val="14"/>
            <color rgb="FF000000"/>
            <rFont val="Times New Roman"/>
            <family val="18"/>
          </rPr>
          <t xml:space="preserve"> [AL Aug 1802]</t>
        </r>
        <r>
          <rPr>
            <sz val="14"/>
            <color rgb="FF000000"/>
            <rFont val="Calibri"/>
            <family val="34"/>
          </rPr>
          <t xml:space="preserve">
</t>
        </r>
        <r>
          <rPr>
            <sz val="14"/>
            <color rgb="FF000000"/>
            <rFont val="Times New Roman"/>
            <family val="18"/>
          </rPr>
          <t xml:space="preserve">20/07/1802 </t>
        </r>
        <r>
          <rPr>
            <i/>
            <sz val="14"/>
            <color rgb="FF000000"/>
            <rFont val="Times New Roman"/>
            <family val="18"/>
          </rPr>
          <t>Von Strassoldo Inf</t>
        </r>
        <r>
          <rPr>
            <sz val="14"/>
            <color rgb="FF000000"/>
            <rFont val="Times New Roman"/>
            <family val="18"/>
          </rPr>
          <t xml:space="preserve"> </t>
        </r>
        <r>
          <rPr>
            <b/>
            <sz val="14"/>
            <color rgb="FF000000"/>
            <rFont val="Times New Roman"/>
            <family val="18"/>
          </rPr>
          <t>[IR 27]</t>
        </r>
        <r>
          <rPr>
            <sz val="14"/>
            <color rgb="FF000000"/>
            <rFont val="Times New Roman"/>
            <family val="18"/>
          </rPr>
          <t xml:space="preserve"> </t>
        </r>
        <r>
          <rPr>
            <i/>
            <sz val="14"/>
            <color rgb="FF000000"/>
            <rFont val="Times New Roman"/>
            <family val="18"/>
          </rPr>
          <t xml:space="preserve">Wier Komp. zum IR 44 Haupt Albanico Komp. transferiert </t>
        </r>
        <r>
          <rPr>
            <sz val="14"/>
            <color rgb="FF000000"/>
            <rFont val="Times New Roman"/>
            <family val="18"/>
          </rPr>
          <t>[TL Aug 1802]</t>
        </r>
        <r>
          <rPr>
            <sz val="14"/>
            <color rgb="FF000000"/>
            <rFont val="Calibri"/>
            <family val="34"/>
          </rPr>
          <t xml:space="preserve">
</t>
        </r>
        <r>
          <rPr>
            <sz val="14"/>
            <color rgb="FF000000"/>
            <rFont val="Times New Roman"/>
            <family val="18"/>
          </rPr>
          <t>19/09/1803 Muster: IR 44 Vacant Komp. [Haupt Albanico] Nr. 110</t>
        </r>
        <r>
          <rPr>
            <sz val="14"/>
            <color rgb="FF000000"/>
            <rFont val="Calibri"/>
            <family val="34"/>
          </rPr>
          <t xml:space="preserve">
</t>
        </r>
        <r>
          <rPr>
            <sz val="14"/>
            <color rgb="FF000000"/>
            <rFont val="Times New Roman"/>
            <family val="18"/>
          </rPr>
          <t>12/05/1804 Muster: IR 44 Haupt Liebler Komp. Nr. 101 [</t>
        </r>
        <r>
          <rPr>
            <i/>
            <sz val="14"/>
            <color rgb="FF000000"/>
            <rFont val="Times New Roman"/>
            <family val="18"/>
          </rPr>
          <t>Baurlaubt zu Collomaza Stnislaer Kreis in Ost Gallizien bis kunftigen exercierszeit</t>
        </r>
        <r>
          <rPr>
            <sz val="14"/>
            <color rgb="FF000000"/>
            <rFont val="Times New Roman"/>
            <family val="18"/>
          </rPr>
          <t>]</t>
        </r>
        <r>
          <rPr>
            <sz val="14"/>
            <color rgb="FF000000"/>
            <rFont val="Calibri"/>
            <family val="34"/>
          </rPr>
          <t xml:space="preserve">
</t>
        </r>
        <r>
          <rPr>
            <sz val="14"/>
            <color rgb="FF000000"/>
            <rFont val="Times New Roman"/>
            <family val="18"/>
          </rPr>
          <t xml:space="preserve">30/09/1804 </t>
        </r>
        <r>
          <rPr>
            <i/>
            <sz val="14"/>
            <color rgb="FF000000"/>
            <rFont val="Times New Roman"/>
            <family val="18"/>
          </rPr>
          <t>Unter unbekannte Dato von Urlaub ohne Feuergeweht und Bajonett desertiert</t>
        </r>
        <r>
          <rPr>
            <sz val="14"/>
            <color rgb="FF000000"/>
            <rFont val="Times New Roman"/>
            <family val="18"/>
          </rPr>
          <t xml:space="preserve"> [ST Sept 1804]</t>
        </r>
        <r>
          <rPr>
            <sz val="14"/>
            <color rgb="FF000000"/>
            <rFont val="Calibri"/>
            <family val="34"/>
          </rPr>
          <t xml:space="preserve">
</t>
        </r>
      </text>
    </comment>
    <comment ref="BG375" authorId="0" shapeId="0" xr:uid="{8734EDD1-7A60-844F-92C6-53694E8ADC09}">
      <text>
        <r>
          <rPr>
            <sz val="14"/>
            <color rgb="FF000000"/>
            <rFont val="Times New Roman"/>
            <family val="18"/>
          </rPr>
          <t>ML 3908 IR 44 (1803) – Vacant [Previousy Haupt Albanico] Komp Nr. 110 (Venice 19/09/1803)</t>
        </r>
        <r>
          <rPr>
            <sz val="14"/>
            <color rgb="FF000000"/>
            <rFont val="Calibri"/>
            <family val="34"/>
          </rPr>
          <t xml:space="preserve">
</t>
        </r>
        <r>
          <rPr>
            <sz val="14"/>
            <color rgb="FF000000"/>
            <rFont val="Times New Roman"/>
            <family val="18"/>
          </rPr>
          <t>ML 3946 IR 44 (1802) – AL IR 27-&gt; IR 44 Nr. 167 (Graz 10/08/1802)</t>
        </r>
        <r>
          <rPr>
            <sz val="14"/>
            <color rgb="FF000000"/>
            <rFont val="Calibri"/>
            <family val="34"/>
          </rPr>
          <t xml:space="preserve">
</t>
        </r>
        <r>
          <rPr>
            <sz val="14"/>
            <color rgb="FF000000"/>
            <rFont val="Times New Roman"/>
            <family val="18"/>
          </rPr>
          <t>ML 3909 IR 44 (1804) – Haupt Liebler Komp. Nr. 101 (Vicenza 12/05/1804)</t>
        </r>
        <r>
          <rPr>
            <sz val="14"/>
            <color rgb="FF000000"/>
            <rFont val="Calibri"/>
            <family val="34"/>
          </rPr>
          <t xml:space="preserve">
</t>
        </r>
        <r>
          <rPr>
            <sz val="14"/>
            <color rgb="FF000000"/>
            <rFont val="Times New Roman"/>
            <family val="18"/>
          </rPr>
          <t>ML 3949 IR 44 (1806) – ST Sept (Padua 10/10/1804)</t>
        </r>
        <r>
          <rPr>
            <sz val="14"/>
            <color rgb="FF000000"/>
            <rFont val="Calibri"/>
            <family val="34"/>
          </rPr>
          <t xml:space="preserve">
</t>
        </r>
      </text>
    </comment>
    <comment ref="BH375" authorId="0" shapeId="0" xr:uid="{991FE59E-49BD-6445-90AB-D21A36E79FDB}">
      <text>
        <r>
          <rPr>
            <sz val="14"/>
            <color rgb="FF000000"/>
            <rFont val="Calibri"/>
            <family val="34"/>
          </rPr>
          <t xml:space="preserve">IR 27 (1800-1802)
</t>
        </r>
        <r>
          <rPr>
            <sz val="14"/>
            <color rgb="FF000000"/>
            <rFont val="Calibri"/>
            <family val="34"/>
          </rPr>
          <t>IR 44 (1802-1804)</t>
        </r>
      </text>
    </comment>
    <comment ref="BI375" authorId="0" shapeId="0" xr:uid="{F0917A80-7C68-D041-B46A-49FB9DD3FAD2}">
      <text>
        <r>
          <rPr>
            <sz val="14"/>
            <color rgb="FF000000"/>
            <rFont val="Calibri"/>
            <family val="34"/>
          </rPr>
          <t>Gut [TL Juli 1802]</t>
        </r>
      </text>
    </comment>
    <comment ref="BF376" authorId="0" shapeId="0" xr:uid="{66FBB866-2616-D145-AD80-4DDAA8EAF37D}">
      <text>
        <r>
          <rPr>
            <sz val="14"/>
            <color rgb="FF000000"/>
            <rFont val="Times New Roman"/>
            <family val="18"/>
          </rPr>
          <t xml:space="preserve">19/06/1800 </t>
        </r>
        <r>
          <rPr>
            <i/>
            <sz val="14"/>
            <color rgb="FF000000"/>
            <rFont val="Times New Roman"/>
            <family val="18"/>
          </rPr>
          <t>von Ständen gestellt und zu Lemberg a 3Fl Handgeld assentiert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14/07/1800 </t>
        </r>
        <r>
          <rPr>
            <i/>
            <sz val="14"/>
            <color rgb="FF000000"/>
            <rFont val="Times New Roman"/>
            <family val="18"/>
          </rPr>
          <t>Nach der Stellung von Ersatz rekrut Markus BOZANER mit Laufpaß entlassen</t>
        </r>
        <r>
          <rPr>
            <sz val="14"/>
            <color rgb="FF000000"/>
            <rFont val="Times New Roman"/>
            <family val="18"/>
          </rPr>
          <t xml:space="preserve"> [ST Juli 1800]</t>
        </r>
        <r>
          <rPr>
            <sz val="14"/>
            <color rgb="FF000000"/>
            <rFont val="Calibri"/>
            <family val="34"/>
          </rPr>
          <t xml:space="preserve">
</t>
        </r>
        <r>
          <rPr>
            <sz val="14"/>
            <color rgb="FFFF0000"/>
            <rFont val="Times New Roman"/>
            <family val="18"/>
          </rPr>
          <t xml:space="preserve">30/09/1801 </t>
        </r>
        <r>
          <rPr>
            <i/>
            <sz val="14"/>
            <color rgb="FFFF0000"/>
            <rFont val="Times New Roman"/>
            <family val="18"/>
          </rPr>
          <t>Als über ½ Jahr auswärts und deren Existenz gänzlich Unbewusst als auf Marsch Unwissend Verlohren gegangen</t>
        </r>
        <r>
          <rPr>
            <sz val="14"/>
            <color rgb="FFFF0000"/>
            <rFont val="Times New Roman"/>
            <family val="18"/>
          </rPr>
          <t xml:space="preserve"> [ST Oct 1801] </t>
        </r>
        <r>
          <rPr>
            <sz val="14"/>
            <color rgb="FF000000"/>
            <rFont val="Calibri"/>
            <family val="34"/>
          </rPr>
          <t xml:space="preserve">
</t>
        </r>
      </text>
    </comment>
    <comment ref="BG376" authorId="0" shapeId="0" xr:uid="{3517BEF5-7D0B-B049-8A6C-57B0115EE44D}">
      <text>
        <r>
          <rPr>
            <sz val="14"/>
            <color rgb="FF000000"/>
            <rFont val="Times New Roman"/>
            <family val="18"/>
          </rPr>
          <t>ML 10.309 IR 43 (1800) – ST Mai (???), Juli (24/10/1803), Aug (27/12/1803)</t>
        </r>
        <r>
          <rPr>
            <sz val="14"/>
            <color rgb="FF000000"/>
            <rFont val="Calibri"/>
            <family val="34"/>
          </rPr>
          <t xml:space="preserve">
</t>
        </r>
        <r>
          <rPr>
            <sz val="14"/>
            <color rgb="FF000000"/>
            <rFont val="Times New Roman"/>
            <family val="18"/>
          </rPr>
          <t>ML 10.310 IR 43 (1800) – AL Nr. 15 (Lemberg 20/08/1800)</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76" authorId="0" shapeId="0" xr:uid="{E82C6DC4-FB13-1942-A6E1-D4A7327F8C70}">
      <text>
        <r>
          <rPr>
            <sz val="14"/>
            <color rgb="FF000000"/>
            <rFont val="Calibri"/>
            <family val="34"/>
          </rPr>
          <t>IR 43 (1800)</t>
        </r>
      </text>
    </comment>
    <comment ref="N377" authorId="0" shapeId="0" xr:uid="{183111EE-B339-4145-8DC0-50D61816E338}">
      <text>
        <r>
          <rPr>
            <sz val="14"/>
            <color rgb="FF000000"/>
            <rFont val="Times New Roman"/>
            <family val="18"/>
          </rPr>
          <t>URSULA (1802)</t>
        </r>
      </text>
    </comment>
    <comment ref="O377" authorId="0" shapeId="0" xr:uid="{EA4E1E49-718A-7446-B130-2BC716AFAAB6}">
      <text>
        <r>
          <rPr>
            <sz val="14"/>
            <color rgb="FF000000"/>
            <rFont val="Times New Roman"/>
            <family val="18"/>
          </rPr>
          <t>Dachol (1796)</t>
        </r>
      </text>
    </comment>
    <comment ref="P377" authorId="0" shapeId="0" xr:uid="{A44C5B95-13AA-674F-BF83-6709D435DDFA}">
      <text>
        <r>
          <rPr>
            <sz val="14"/>
            <color rgb="FF000000"/>
            <rFont val="Times New Roman"/>
            <family val="18"/>
          </rPr>
          <t>Hanna (1794)</t>
        </r>
      </text>
    </comment>
    <comment ref="T377" authorId="0" shapeId="0" xr:uid="{7317DD96-CD8B-D447-95B1-A18B751EEA61}">
      <text>
        <r>
          <rPr>
            <sz val="14"/>
            <color rgb="FF000000"/>
            <rFont val="Calibri"/>
            <family val="34"/>
          </rPr>
          <t xml:space="preserve">5.1.2 [161.07] (1802)
</t>
        </r>
        <r>
          <rPr>
            <sz val="14"/>
            <color rgb="FF000000"/>
            <rFont val="Calibri"/>
            <family val="34"/>
          </rPr>
          <t>5.4 [168.52] (1808/2]</t>
        </r>
      </text>
    </comment>
    <comment ref="BF377" authorId="0" shapeId="0" xr:uid="{A42519A0-C06D-0143-8074-5CCD7FC8A324}">
      <text>
        <r>
          <rPr>
            <sz val="14"/>
            <color rgb="FF000000"/>
            <rFont val="Times New Roman"/>
            <family val="18"/>
          </rPr>
          <t xml:space="preserve">19/06/1800 </t>
        </r>
        <r>
          <rPr>
            <i/>
            <sz val="14"/>
            <color rgb="FF000000"/>
            <rFont val="Times New Roman"/>
            <family val="18"/>
          </rPr>
          <t>von Galizischen Ständen gestellt und zum IR 27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01/05/1801 </t>
        </r>
        <r>
          <rPr>
            <i/>
            <sz val="14"/>
            <color rgb="FF000000"/>
            <rFont val="Times New Roman"/>
            <family val="18"/>
          </rPr>
          <t>von Reserve Division ins Haupt Friedenwald Comp.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10/08/1802 Muster: IR 27 Haupt Friedenwald Komp. Nr. 139 [</t>
        </r>
        <r>
          <rPr>
            <i/>
            <sz val="14"/>
            <color rgb="FF000000"/>
            <rFont val="Times New Roman"/>
            <family val="18"/>
          </rPr>
          <t>Auf dem Marsch von Steiermark</t>
        </r>
        <r>
          <rPr>
            <sz val="14"/>
            <color rgb="FF000000"/>
            <rFont val="Times New Roman"/>
            <family val="18"/>
          </rPr>
          <t>] [ML 1802]</t>
        </r>
        <r>
          <rPr>
            <sz val="14"/>
            <color rgb="FF000000"/>
            <rFont val="Calibri"/>
            <family val="34"/>
          </rPr>
          <t xml:space="preserve">
</t>
        </r>
        <r>
          <rPr>
            <sz val="14"/>
            <color rgb="FF000000"/>
            <rFont val="Times New Roman"/>
            <family val="18"/>
          </rPr>
          <t xml:space="preserve">10/09/1805 </t>
        </r>
        <r>
          <rPr>
            <i/>
            <sz val="14"/>
            <color rgb="FF000000"/>
            <rFont val="Times New Roman"/>
            <family val="18"/>
          </rPr>
          <t>Zur Staabs Infanterie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1806 </t>
        </r>
        <r>
          <rPr>
            <i/>
            <sz val="14"/>
            <color rgb="FF000000"/>
            <rFont val="Times New Roman"/>
            <family val="18"/>
          </rPr>
          <t>Wieder zu Strassoldo Inf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21/05/1806 </t>
        </r>
        <r>
          <rPr>
            <i/>
            <sz val="14"/>
            <color rgb="FF000000"/>
            <rFont val="Times New Roman"/>
            <family val="18"/>
          </rPr>
          <t>Zu Reisky Infantrie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30/06/1808 </t>
        </r>
        <r>
          <rPr>
            <i/>
            <sz val="14"/>
            <color rgb="FF000000"/>
            <rFont val="Times New Roman"/>
            <family val="18"/>
          </rPr>
          <t>Von IR 13 ‚Reisky‘ Haupt Schönbornn Comp. zum Krainer-Kärntischer Grenz Cordon transferiert</t>
        </r>
        <r>
          <rPr>
            <sz val="14"/>
            <color rgb="FF000000"/>
            <rFont val="Times New Roman"/>
            <family val="18"/>
          </rPr>
          <t xml:space="preserve"> [TL 1808]</t>
        </r>
        <r>
          <rPr>
            <sz val="14"/>
            <color rgb="FF000000"/>
            <rFont val="Calibri"/>
            <family val="34"/>
          </rPr>
          <t xml:space="preserve">
</t>
        </r>
        <r>
          <rPr>
            <sz val="14"/>
            <color rgb="FF000000"/>
            <rFont val="Times New Roman"/>
            <family val="18"/>
          </rPr>
          <t xml:space="preserve">01/09/1809 </t>
        </r>
        <r>
          <rPr>
            <i/>
            <sz val="14"/>
            <color rgb="FF000000"/>
            <rFont val="Times New Roman"/>
            <family val="18"/>
          </rPr>
          <t>In Folge höhen hofkriegsratlichen Reskript von 7. August 1809 Litt. G. Nr. 3561 und Hohe Armée General Commando Verordnung deto Groß Kanischa den 31. August 1809 Lit. R Nr. 1357, 1360, 1361 und 1296 von bestehenden Krainer-Kärntischer Grenz Cordon</t>
        </r>
        <r>
          <rPr>
            <sz val="14"/>
            <color rgb="FF000000"/>
            <rFont val="Times New Roman"/>
            <family val="18"/>
          </rPr>
          <t xml:space="preserve"> </t>
        </r>
        <r>
          <rPr>
            <i/>
            <sz val="14"/>
            <color rgb="FF000000"/>
            <rFont val="Times New Roman"/>
            <family val="18"/>
          </rPr>
          <t>zum Inner-Österreichischen Grenz Cordon zum 4. Comp.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 1810 Revision: GK IÖ 4. Komp. Nr. 118 [</t>
        </r>
        <r>
          <rPr>
            <i/>
            <sz val="14"/>
            <color rgb="FF000000"/>
            <rFont val="Times New Roman"/>
            <family val="18"/>
          </rPr>
          <t>Präsent</t>
        </r>
        <r>
          <rPr>
            <sz val="14"/>
            <color rgb="FF000000"/>
            <rFont val="Times New Roman"/>
            <family val="18"/>
          </rPr>
          <t xml:space="preserve">] [RL 1810] </t>
        </r>
        <r>
          <rPr>
            <sz val="14"/>
            <color rgb="FF000000"/>
            <rFont val="Calibri"/>
            <family val="34"/>
          </rPr>
          <t xml:space="preserve">
</t>
        </r>
        <r>
          <rPr>
            <sz val="14"/>
            <color rgb="FF000000"/>
            <rFont val="Times New Roman"/>
            <family val="18"/>
          </rPr>
          <t>12/09/1811 Muster: GK IÖ 4. Komp. Nr. 95 [</t>
        </r>
        <r>
          <rPr>
            <i/>
            <sz val="14"/>
            <color rgb="FF000000"/>
            <rFont val="Times New Roman"/>
            <family val="18"/>
          </rPr>
          <t>Präsent</t>
        </r>
        <r>
          <rPr>
            <sz val="14"/>
            <color rgb="FF000000"/>
            <rFont val="Times New Roman"/>
            <family val="18"/>
          </rPr>
          <t>] [ML 1811]</t>
        </r>
        <r>
          <rPr>
            <sz val="14"/>
            <color rgb="FF000000"/>
            <rFont val="Calibri"/>
            <family val="34"/>
          </rPr>
          <t xml:space="preserve">
</t>
        </r>
        <r>
          <rPr>
            <sz val="14"/>
            <color rgb="FF000000"/>
            <rFont val="Times New Roman"/>
            <family val="18"/>
          </rPr>
          <t>13/09/1812 Revision: GK IÖ 4. Komp. Nr. 97 [</t>
        </r>
        <r>
          <rPr>
            <i/>
            <sz val="14"/>
            <color rgb="FF000000"/>
            <rFont val="Times New Roman"/>
            <family val="18"/>
          </rPr>
          <t>Präsent</t>
        </r>
        <r>
          <rPr>
            <sz val="14"/>
            <color rgb="FF000000"/>
            <rFont val="Times New Roman"/>
            <family val="18"/>
          </rPr>
          <t>] [RL 1812]</t>
        </r>
        <r>
          <rPr>
            <sz val="14"/>
            <color rgb="FF000000"/>
            <rFont val="Calibri"/>
            <family val="34"/>
          </rPr>
          <t xml:space="preserve">
</t>
        </r>
        <r>
          <rPr>
            <sz val="14"/>
            <color rgb="FF000000"/>
            <rFont val="Times New Roman"/>
            <family val="18"/>
          </rPr>
          <t xml:space="preserve">31/08/1817 </t>
        </r>
        <r>
          <rPr>
            <i/>
            <sz val="14"/>
            <color rgb="FF000000"/>
            <rFont val="Times New Roman"/>
            <family val="18"/>
          </rPr>
          <t>In Folge höhe Kriegsratlichen Reskript deto Wien unf 25/04/1816 litt nr. 1992 und hohe Illyrischen Inner-Österreichischen commando detto Mai 1816 Lit. K Nr. 3974 als Ausgedienter Inländischer Capitulanten mit Abschied entlassen</t>
        </r>
        <r>
          <rPr>
            <sz val="14"/>
            <color rgb="FF000000"/>
            <rFont val="Times New Roman"/>
            <family val="18"/>
          </rPr>
          <t xml:space="preserve"> [ML 1817]</t>
        </r>
        <r>
          <rPr>
            <sz val="14"/>
            <color rgb="FF000000"/>
            <rFont val="Calibri"/>
            <family val="34"/>
          </rPr>
          <t xml:space="preserve">
</t>
        </r>
      </text>
    </comment>
    <comment ref="BG377" authorId="0" shapeId="0" xr:uid="{E3B847A8-F901-E447-A4FA-965C26D38508}">
      <text>
        <r>
          <rPr>
            <sz val="14"/>
            <color rgb="FF000000"/>
            <rFont val="Times New Roman"/>
            <family val="18"/>
          </rPr>
          <t>ML 2258 IR 27 (1802) –Haupt von Friedenwald Komp. Nr. 139 &amp; Zuwachs (Zara 10/08/1802)</t>
        </r>
        <r>
          <rPr>
            <sz val="14"/>
            <color rgb="FF000000"/>
            <rFont val="Calibri"/>
            <family val="34"/>
          </rPr>
          <t xml:space="preserve">
</t>
        </r>
        <r>
          <rPr>
            <sz val="14"/>
            <color rgb="FF000000"/>
            <rFont val="Times New Roman"/>
            <family val="18"/>
          </rPr>
          <t>ML 10.095 ML IR 13 (1808) AL/TL – TL IR 13-&gt; GK Kär-Kr Nr. 9 (Triest 20/07/1808)</t>
        </r>
        <r>
          <rPr>
            <sz val="14"/>
            <color rgb="FF000000"/>
            <rFont val="Calibri"/>
            <family val="34"/>
          </rPr>
          <t xml:space="preserve">
</t>
        </r>
        <r>
          <rPr>
            <sz val="14"/>
            <color rgb="FF000000"/>
            <rFont val="Times New Roman"/>
            <family val="18"/>
          </rPr>
          <t>ML 8750 GK IÖ (1810-17) – RL Haupt. Heibel 4. Komp. Nr. 118 (Cilly 18/09/1810); ML Haupt. von Braunitzer 4. Komp. Nr. 95 &amp; Zuwachs (Cilly 12/09/1811); RL Haupt. von Braunitzer 4. Komp. Nr. 97 (Tiefern 13/09/1812); ML 8750 GK IÖ (1817) –   Haupt. Rang Abgang (Triest 17/10/1817)</t>
        </r>
        <r>
          <rPr>
            <sz val="14"/>
            <color rgb="FF000000"/>
            <rFont val="Calibri"/>
            <family val="34"/>
          </rPr>
          <t xml:space="preserve">
</t>
        </r>
      </text>
    </comment>
    <comment ref="BH377" authorId="0" shapeId="0" xr:uid="{D971E955-219B-8A44-8EEA-C8A0FB00129F}">
      <text>
        <r>
          <rPr>
            <sz val="14"/>
            <color rgb="FF000000"/>
            <rFont val="Calibri"/>
            <family val="34"/>
          </rPr>
          <t xml:space="preserve">IR 27 (1800-1805)
</t>
        </r>
        <r>
          <rPr>
            <sz val="14"/>
            <color rgb="FF000000"/>
            <rFont val="Calibri"/>
            <family val="34"/>
          </rPr>
          <t xml:space="preserve">SInf (1805-1806)
</t>
        </r>
        <r>
          <rPr>
            <sz val="14"/>
            <color rgb="FF000000"/>
            <rFont val="Calibri"/>
            <family val="34"/>
          </rPr>
          <t xml:space="preserve">IR 27 (1806)
</t>
        </r>
        <r>
          <rPr>
            <sz val="14"/>
            <color rgb="FF000000"/>
            <rFont val="Calibri"/>
            <family val="34"/>
          </rPr>
          <t xml:space="preserve">IR </t>
        </r>
        <r>
          <rPr>
            <sz val="14"/>
            <color rgb="FF000000"/>
            <rFont val="+mn-lt"/>
            <charset val="1"/>
          </rPr>
          <t xml:space="preserve">13 (1806-1808)
</t>
        </r>
        <r>
          <rPr>
            <sz val="14"/>
            <color rgb="FF000000"/>
            <rFont val="+mn-lt"/>
            <charset val="1"/>
          </rPr>
          <t>GK KR-K</t>
        </r>
        <r>
          <rPr>
            <sz val="14"/>
            <color rgb="FF000000"/>
            <rFont val="+mn-lt"/>
            <charset val="1"/>
          </rPr>
          <t>ä</t>
        </r>
        <r>
          <rPr>
            <sz val="14"/>
            <color rgb="FF000000"/>
            <rFont val="+mn-lt"/>
            <charset val="1"/>
          </rPr>
          <t>r</t>
        </r>
        <r>
          <rPr>
            <sz val="14"/>
            <color rgb="FF000000"/>
            <rFont val="+mn-lt"/>
            <charset val="1"/>
          </rPr>
          <t xml:space="preserve"> (1808-1809)</t>
        </r>
        <r>
          <rPr>
            <sz val="14"/>
            <color rgb="FF000000"/>
            <rFont val="+mn-lt"/>
            <charset val="1"/>
          </rPr>
          <t xml:space="preserve">
</t>
        </r>
        <r>
          <rPr>
            <sz val="14"/>
            <color rgb="FF000000"/>
            <rFont val="+mn-lt"/>
            <charset val="1"/>
          </rPr>
          <t>GK IÖ (1809-1817)</t>
        </r>
      </text>
    </comment>
    <comment ref="BI377" authorId="0" shapeId="0" xr:uid="{B50A9107-0E8E-7547-ADE5-ADCD387E59A2}">
      <text>
        <r>
          <rPr>
            <sz val="14"/>
            <color rgb="FF000000"/>
            <rFont val="Calibri"/>
            <family val="34"/>
          </rPr>
          <t>Gute [TL Juli 1808]</t>
        </r>
      </text>
    </comment>
    <comment ref="BF378" authorId="0" shapeId="0" xr:uid="{F49A718A-8A4D-2B4C-8CF5-CC11F1620149}">
      <text>
        <r>
          <rPr>
            <sz val="14"/>
            <color rgb="FFFF0000"/>
            <rFont val="Times New Roman"/>
            <family val="18"/>
          </rPr>
          <t xml:space="preserve">??/05/1800 </t>
        </r>
        <r>
          <rPr>
            <i/>
            <sz val="14"/>
            <color rgb="FFFF0000"/>
            <rFont val="Times New Roman"/>
            <family val="18"/>
          </rPr>
          <t>Auf Beständig gestellt</t>
        </r>
        <r>
          <rPr>
            <sz val="14"/>
            <color rgb="FFFF0000"/>
            <rFont val="Times New Roman"/>
            <family val="18"/>
          </rPr>
          <t xml:space="preserve"> [TL Juli 1800]</t>
        </r>
        <r>
          <rPr>
            <sz val="14"/>
            <color rgb="FF000000"/>
            <rFont val="Calibri"/>
            <family val="34"/>
          </rPr>
          <t xml:space="preserve">
</t>
        </r>
        <r>
          <rPr>
            <sz val="14"/>
            <color rgb="FF000000"/>
            <rFont val="Times New Roman"/>
            <family val="18"/>
          </rPr>
          <t xml:space="preserve">20/06/1800 </t>
        </r>
        <r>
          <rPr>
            <i/>
            <sz val="14"/>
            <color rgb="FF000000"/>
            <rFont val="Times New Roman"/>
            <family val="18"/>
          </rPr>
          <t>von Dominien Ausgehoben und a 3Fl Handgeld zum Tarnopol assentiert und seitdem auf anhero Marsch mit Friedensgebühr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Basta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28/07/1802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Basta Komp. zum IR 44 transferiert und zur Haupt Wicka Komp. eingeheilt</t>
        </r>
        <r>
          <rPr>
            <sz val="14"/>
            <color rgb="FF000000"/>
            <rFont val="Times New Roman"/>
            <family val="18"/>
          </rPr>
          <t xml:space="preserve"> [TL Juli 1802]</t>
        </r>
        <r>
          <rPr>
            <sz val="14"/>
            <color rgb="FF000000"/>
            <rFont val="Calibri"/>
            <family val="34"/>
          </rPr>
          <t xml:space="preserve">
</t>
        </r>
        <r>
          <rPr>
            <sz val="14"/>
            <color rgb="FF000000"/>
            <rFont val="Times New Roman"/>
            <family val="18"/>
          </rPr>
          <t xml:space="preserve">17/03/1803 </t>
        </r>
        <r>
          <rPr>
            <i/>
            <sz val="14"/>
            <color rgb="FF000000"/>
            <rFont val="Times New Roman"/>
            <family val="18"/>
          </rPr>
          <t>In Regiments Spital zu Veneding Gestorben</t>
        </r>
        <r>
          <rPr>
            <sz val="14"/>
            <color rgb="FF000000"/>
            <rFont val="Times New Roman"/>
            <family val="18"/>
          </rPr>
          <t xml:space="preserve"> [ML 1803]</t>
        </r>
        <r>
          <rPr>
            <sz val="14"/>
            <color rgb="FF000000"/>
            <rFont val="Calibri"/>
            <family val="34"/>
          </rPr>
          <t xml:space="preserve">
</t>
        </r>
      </text>
    </comment>
    <comment ref="BG378" authorId="0" shapeId="0" xr:uid="{EA16C377-6606-6147-BD5C-BD62365398A1}">
      <text>
        <r>
          <rPr>
            <sz val="14"/>
            <color rgb="FF000000"/>
            <rFont val="Times New Roman"/>
            <family val="18"/>
          </rPr>
          <t>ML 10.309 IR 43 (1800) – ST Juni (27/08/1803), Sept (31/01/1804), Nov (02/04/1804), Dez (18/08/1804)</t>
        </r>
        <r>
          <rPr>
            <sz val="14"/>
            <color rgb="FF000000"/>
            <rFont val="Calibri"/>
            <family val="34"/>
          </rPr>
          <t xml:space="preserve">
</t>
        </r>
        <r>
          <rPr>
            <sz val="14"/>
            <color rgb="FF000000"/>
            <rFont val="Times New Roman"/>
            <family val="18"/>
          </rPr>
          <t>ML 10.312 IR 43 (1802) – ST Juli (15/08/1802)</t>
        </r>
        <r>
          <rPr>
            <sz val="14"/>
            <color rgb="FF000000"/>
            <rFont val="Calibri"/>
            <family val="34"/>
          </rPr>
          <t xml:space="preserve">
</t>
        </r>
        <r>
          <rPr>
            <sz val="14"/>
            <color rgb="FF000000"/>
            <rFont val="Times New Roman"/>
            <family val="18"/>
          </rPr>
          <t>ML 3908 IR 44 (1803) – Haupt Wicka Komp. Abgang (Venice 19/09/1803)</t>
        </r>
        <r>
          <rPr>
            <sz val="14"/>
            <color rgb="FF000000"/>
            <rFont val="Calibri"/>
            <family val="34"/>
          </rPr>
          <t xml:space="preserve">
</t>
        </r>
        <r>
          <rPr>
            <sz val="14"/>
            <color rgb="FF000000"/>
            <rFont val="Times New Roman"/>
            <family val="18"/>
          </rPr>
          <t>ML 3946 IR 44 (1802) – AL IR 43-&gt; IR 43 Nr. 117 (Zara 27/07/1802)</t>
        </r>
        <r>
          <rPr>
            <sz val="14"/>
            <color rgb="FF000000"/>
            <rFont val="Calibri"/>
            <family val="34"/>
          </rPr>
          <t xml:space="preserve">
</t>
        </r>
      </text>
    </comment>
    <comment ref="BH378" authorId="0" shapeId="0" xr:uid="{CCDB5325-13C9-B744-AEEF-E4BB86DC1750}">
      <text>
        <r>
          <rPr>
            <sz val="14"/>
            <color rgb="FF000000"/>
            <rFont val="Calibri"/>
            <family val="34"/>
          </rPr>
          <t xml:space="preserve">IR 43 (1800-1802)
</t>
        </r>
        <r>
          <rPr>
            <sz val="14"/>
            <color rgb="FF000000"/>
            <rFont val="Calibri"/>
            <family val="34"/>
          </rPr>
          <t>IR 44 (1802-1803)</t>
        </r>
      </text>
    </comment>
    <comment ref="BI378" authorId="0" shapeId="0" xr:uid="{1E0E5D87-C005-804B-ABCC-2153F972E2EF}">
      <text>
        <r>
          <rPr>
            <sz val="14"/>
            <color rgb="FF000000"/>
            <rFont val="Calibri"/>
            <family val="34"/>
          </rPr>
          <t>Gut [TL Juli 1802]</t>
        </r>
      </text>
    </comment>
    <comment ref="T379" authorId="0" shapeId="0" xr:uid="{B8D4944E-4FED-E441-8BB2-1930B9AF1491}">
      <text>
        <r>
          <rPr>
            <sz val="14"/>
            <color rgb="FF000000"/>
            <rFont val="Calibri"/>
            <family val="34"/>
          </rPr>
          <t xml:space="preserve">5.1 [160.6] (1802-1804)
</t>
        </r>
        <r>
          <rPr>
            <sz val="14"/>
            <color rgb="FF000000"/>
            <rFont val="Calibri"/>
            <family val="34"/>
          </rPr>
          <t>5.2.1 [163.5] (1805)</t>
        </r>
      </text>
    </comment>
    <comment ref="BF379" authorId="0" shapeId="0" xr:uid="{188F848C-2E6B-F645-B645-E072347F7272}">
      <text>
        <r>
          <rPr>
            <sz val="14"/>
            <color rgb="FF000000"/>
            <rFont val="Times New Roman"/>
            <family val="18"/>
          </rPr>
          <t xml:space="preserve">20/06/1800 </t>
        </r>
        <r>
          <rPr>
            <i/>
            <sz val="14"/>
            <color rgb="FF000000"/>
            <rFont val="Times New Roman"/>
            <family val="18"/>
          </rPr>
          <t>von Dominien ausgehoben und a 3Fl Handgeld zum Brezazan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FF0000"/>
            <rFont val="Times New Roman"/>
            <family val="18"/>
          </rPr>
          <t xml:space="preserve">24/06/1800 </t>
        </r>
        <r>
          <rPr>
            <i/>
            <sz val="14"/>
            <color rgb="FFFF0000"/>
            <rFont val="Times New Roman"/>
            <family val="18"/>
          </rPr>
          <t>Als Galizischer Recrout a 3Fl 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21/09/1800 </t>
        </r>
        <r>
          <rPr>
            <i/>
            <sz val="14"/>
            <color rgb="FF000000"/>
            <rFont val="Times New Roman"/>
            <family val="18"/>
          </rPr>
          <t>Krank auswärts</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25/09/1800 </t>
        </r>
        <r>
          <rPr>
            <i/>
            <sz val="14"/>
            <color rgb="FF000000"/>
            <rFont val="Times New Roman"/>
            <family val="18"/>
          </rPr>
          <t>Rekonvalesziert und in die Reserve Division eingerückt</t>
        </r>
        <r>
          <rPr>
            <sz val="14"/>
            <color rgb="FF000000"/>
            <rFont val="Times New Roman"/>
            <family val="18"/>
          </rPr>
          <t xml:space="preserve"> [ST Oct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in die 2. Major Companie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11/09/1802 Muster: IR 43 2. Major Komp. Nr. 162</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2. Major Komp. Nr. 138 [</t>
        </r>
        <r>
          <rPr>
            <i/>
            <sz val="14"/>
            <color rgb="FF000000"/>
            <rFont val="Times New Roman"/>
            <family val="18"/>
          </rPr>
          <t>Bis Einberufung zu Bodhaiza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2. Major Komp. Nr. 125 [</t>
        </r>
        <r>
          <rPr>
            <i/>
            <sz val="14"/>
            <color rgb="FF000000"/>
            <rFont val="Times New Roman"/>
            <family val="18"/>
          </rPr>
          <t>Beurlaubt in seinem Geburtsort bis Einberufung</t>
        </r>
        <r>
          <rPr>
            <sz val="14"/>
            <color rgb="FF000000"/>
            <rFont val="Times New Roman"/>
            <family val="18"/>
          </rPr>
          <t>]</t>
        </r>
        <r>
          <rPr>
            <sz val="14"/>
            <color rgb="FF000000"/>
            <rFont val="Calibri"/>
            <family val="34"/>
          </rPr>
          <t xml:space="preserve">
</t>
        </r>
        <r>
          <rPr>
            <sz val="14"/>
            <color rgb="FF000000"/>
            <rFont val="Times New Roman"/>
            <family val="18"/>
          </rPr>
          <t>01/10/1805 Muster: IR 43 3. Fus Comp Nr. 98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Auf Steuerbare Wirtschaftbesitzer und als Halb, werde statt einer der in diesen Monat bei der 1. Reserve Division in Zuwachs gebrachte Recrout Semen Ivanczuk und gegen einfache Montur Erlag von unbestimmte Urlaub mit Abschied entlassen</t>
        </r>
        <r>
          <rPr>
            <sz val="14"/>
            <color rgb="FF000000"/>
            <rFont val="Times New Roman"/>
            <family val="18"/>
          </rPr>
          <t xml:space="preserve"> [ST Nov 1805 &amp; ML 1806]</t>
        </r>
        <r>
          <rPr>
            <sz val="14"/>
            <color rgb="FF000000"/>
            <rFont val="Calibri"/>
            <family val="34"/>
          </rPr>
          <t xml:space="preserve">
</t>
        </r>
      </text>
    </comment>
    <comment ref="BG379" authorId="0" shapeId="0" xr:uid="{A089E46A-1788-7B43-BAD9-4D989C5F07DC}">
      <text>
        <r>
          <rPr>
            <sz val="14"/>
            <color rgb="FF000000"/>
            <rFont val="Times New Roman"/>
            <family val="18"/>
          </rPr>
          <t>ML 10.272 IR 43 (1802) – Heft von ., Major Comp. Nr. 162 (Zara 11/09/1802)</t>
        </r>
        <r>
          <rPr>
            <sz val="14"/>
            <color rgb="FF000000"/>
            <rFont val="Calibri"/>
            <family val="34"/>
          </rPr>
          <t xml:space="preserve">
</t>
        </r>
        <r>
          <rPr>
            <sz val="14"/>
            <color rgb="FF000000"/>
            <rFont val="Times New Roman"/>
            <family val="18"/>
          </rPr>
          <t>ML 10.273 IR 43 (1803) – Heft von 2. Major Comp. Nr. 138 (Zara 28/09/1803)</t>
        </r>
        <r>
          <rPr>
            <sz val="14"/>
            <color rgb="FF000000"/>
            <rFont val="Calibri"/>
            <family val="34"/>
          </rPr>
          <t xml:space="preserve">
</t>
        </r>
        <r>
          <rPr>
            <sz val="14"/>
            <color rgb="FF000000"/>
            <rFont val="Times New Roman"/>
            <family val="18"/>
          </rPr>
          <t>ML 10.274 IR 43 (1804) – Heft von Haupt Selmbach Comp. Nr. 125 (Cattaro 07/10/1804)</t>
        </r>
        <r>
          <rPr>
            <sz val="14"/>
            <color rgb="FF000000"/>
            <rFont val="Calibri"/>
            <family val="34"/>
          </rPr>
          <t xml:space="preserve">
</t>
        </r>
        <r>
          <rPr>
            <sz val="14"/>
            <color rgb="FF000000"/>
            <rFont val="Times New Roman"/>
            <family val="18"/>
          </rPr>
          <t>ML 10.275/6 IR 43 (1805) – Heft von 5. Fus Comp. Nr. 98 (Zara 01/10/1805)</t>
        </r>
        <r>
          <rPr>
            <sz val="14"/>
            <color rgb="FF000000"/>
            <rFont val="Calibri"/>
            <family val="34"/>
          </rPr>
          <t xml:space="preserve">
</t>
        </r>
        <r>
          <rPr>
            <sz val="14"/>
            <color rgb="FF000000"/>
            <rFont val="Times New Roman"/>
            <family val="18"/>
          </rPr>
          <t>ML 10/277/8 (1806) – Heft von 7. Fus Comp. Abgang (Laibach 01/12/1806)</t>
        </r>
        <r>
          <rPr>
            <sz val="14"/>
            <color rgb="FF000000"/>
            <rFont val="Calibri"/>
            <family val="34"/>
          </rPr>
          <t xml:space="preserve">
</t>
        </r>
        <r>
          <rPr>
            <sz val="14"/>
            <color rgb="FF000000"/>
            <rFont val="Times New Roman"/>
            <family val="18"/>
          </rPr>
          <t>ML 10.309 IR 43 (1800) – ST Juni (27/08/1803), Sept (31/01/1804), Okt (22/03/1804),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Nov (16/06/1806)</t>
        </r>
        <r>
          <rPr>
            <sz val="14"/>
            <color rgb="FF000000"/>
            <rFont val="Calibri"/>
            <family val="34"/>
          </rPr>
          <t xml:space="preserve">
</t>
        </r>
        <r>
          <rPr>
            <sz val="14"/>
            <color rgb="FF000000"/>
            <rFont val="Times New Roman"/>
            <family val="18"/>
          </rPr>
          <t>ML 10.316 (1805) AL/TL – AL von Simon Iwanczuk (ersatzman) (Brzezan 20/10/1805)</t>
        </r>
        <r>
          <rPr>
            <sz val="14"/>
            <color rgb="FF000000"/>
            <rFont val="Calibri"/>
            <family val="34"/>
          </rPr>
          <t xml:space="preserve">
</t>
        </r>
      </text>
    </comment>
    <comment ref="BH379" authorId="0" shapeId="0" xr:uid="{4322C8F2-A87F-2C4E-9CAA-A64AB04F26BF}">
      <text>
        <r>
          <rPr>
            <sz val="14"/>
            <color rgb="FF000000"/>
            <rFont val="Calibri"/>
            <family val="34"/>
          </rPr>
          <t>IR 43 (1800-1805)</t>
        </r>
      </text>
    </comment>
    <comment ref="BF380" authorId="0" shapeId="0" xr:uid="{E46C766D-11A9-AB45-8CBC-ED1A0688AB5A}">
      <text>
        <r>
          <rPr>
            <sz val="14"/>
            <color rgb="FFFF0000"/>
            <rFont val="Times New Roman"/>
            <family val="18"/>
          </rPr>
          <t>21/05/1800</t>
        </r>
        <r>
          <rPr>
            <i/>
            <sz val="14"/>
            <color rgb="FFFF0000"/>
            <rFont val="Times New Roman"/>
            <family val="18"/>
          </rPr>
          <t xml:space="preserve"> Von die Ständen a 3Fl Handgeld gestellt [ML 1802]</t>
        </r>
        <r>
          <rPr>
            <sz val="14"/>
            <color rgb="FF000000"/>
            <rFont val="Calibri"/>
            <family val="34"/>
          </rPr>
          <t xml:space="preserve">
</t>
        </r>
        <r>
          <rPr>
            <sz val="14"/>
            <color rgb="FF000000"/>
            <rFont val="Times New Roman"/>
            <family val="18"/>
          </rPr>
          <t xml:space="preserve">20/06/1800 </t>
        </r>
        <r>
          <rPr>
            <i/>
            <sz val="14"/>
            <color rgb="FF000000"/>
            <rFont val="Times New Roman"/>
            <family val="18"/>
          </rPr>
          <t xml:space="preserve">von Dominien ausgehoben und a 3Fl Handgeld zum Tarnopol assentiert und setidem auf anhero Marsch mit Friedensgebühr </t>
        </r>
        <r>
          <rPr>
            <sz val="14"/>
            <color rgb="FF000000"/>
            <rFont val="Times New Roman"/>
            <family val="18"/>
          </rPr>
          <t>[ [ST June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t>
        </r>
        <r>
          <rPr>
            <i/>
            <sz val="14"/>
            <color rgb="FF000000"/>
            <rFont val="Times New Roman"/>
            <family val="18"/>
          </rPr>
          <t>Auf Marsch zum Regiment</t>
        </r>
        <r>
          <rPr>
            <sz val="14"/>
            <color rgb="FF000000"/>
            <rFont val="Times New Roman"/>
            <family val="18"/>
          </rPr>
          <t xml:space="preserve"> [ST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ins Haupt Selmbach Komp.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15/06/1802 </t>
        </r>
        <r>
          <rPr>
            <i/>
            <sz val="14"/>
            <color rgb="FF000000"/>
            <rFont val="Times New Roman"/>
            <family val="18"/>
          </rPr>
          <t>Auf bestimmte Zeit Beurlaubt; 15 hujus mit Deutschen Gebuhr und Teuerungsbeitrag, bis 19 dann mit Ungarischen Gebühr ohne Teuerungsbeitrag Beitrag bis 21/ hujus Verpflegt</t>
        </r>
        <r>
          <rPr>
            <sz val="14"/>
            <color rgb="FF000000"/>
            <rFont val="Times New Roman"/>
            <family val="18"/>
          </rPr>
          <t xml:space="preserve"> [ST June 1802]</t>
        </r>
        <r>
          <rPr>
            <sz val="14"/>
            <color rgb="FF000000"/>
            <rFont val="Calibri"/>
            <family val="34"/>
          </rPr>
          <t xml:space="preserve">
</t>
        </r>
        <r>
          <rPr>
            <sz val="14"/>
            <color rgb="FF000000"/>
            <rFont val="Times New Roman"/>
            <family val="18"/>
          </rPr>
          <t>/08/1802 Muster: IR 43 Haupt Selmbach Komp. Nr. 104 [</t>
        </r>
        <r>
          <rPr>
            <i/>
            <sz val="14"/>
            <color rgb="FF000000"/>
            <rFont val="Times New Roman"/>
            <family val="18"/>
          </rPr>
          <t>Beurlaubt</t>
        </r>
        <r>
          <rPr>
            <sz val="14"/>
            <color rgb="FF000000"/>
            <rFont val="Times New Roman"/>
            <family val="18"/>
          </rPr>
          <t>]</t>
        </r>
        <r>
          <rPr>
            <sz val="14"/>
            <color rgb="FF000000"/>
            <rFont val="Calibri"/>
            <family val="34"/>
          </rPr>
          <t xml:space="preserve">
</t>
        </r>
        <r>
          <rPr>
            <sz val="14"/>
            <color rgb="FF000000"/>
            <rFont val="Times New Roman"/>
            <family val="18"/>
          </rPr>
          <t>31/01/1803 Hrinko Gambrukov statt der zur Provinzial Bewältigung zu entlassenen ubertragenen Gemeiner Mardcho Woltacg zu Tarnopol ohnetgeldich zum Haupt BArno Comp. assentiert [ST Feb 1802] [20/06/1803 arrived in Romer Comp; and transfered to Köpf comp; 01/01/1804 Transferred to Philip Raina Comp and 04/01/1804 dies in Zara Hospital]</t>
        </r>
        <r>
          <rPr>
            <sz val="14"/>
            <color rgb="FF000000"/>
            <rFont val="Calibri"/>
            <family val="34"/>
          </rPr>
          <t xml:space="preserve">
</t>
        </r>
        <r>
          <rPr>
            <sz val="14"/>
            <color rgb="FF000000"/>
            <rFont val="Times New Roman"/>
            <family val="18"/>
          </rPr>
          <t xml:space="preserve">31/03/1803 </t>
        </r>
        <r>
          <rPr>
            <i/>
            <sz val="14"/>
            <color rgb="FF000000"/>
            <rFont val="Times New Roman"/>
            <family val="18"/>
          </rPr>
          <t>Zur Provincial BeschäftigungOst  gegen Stellung das in voriger Monat bei Haupt Barbo Companie in Zuwachs gebrachte Recrout Hrinko Hamburkov von bestimmte Urlaub mit Abschied entlassen</t>
        </r>
        <r>
          <rPr>
            <sz val="14"/>
            <color rgb="FF000000"/>
            <rFont val="Times New Roman"/>
            <family val="18"/>
          </rPr>
          <t xml:space="preserve"> [ST March 1803 &amp; ML IR 43 1803]</t>
        </r>
        <r>
          <rPr>
            <sz val="14"/>
            <color rgb="FF000000"/>
            <rFont val="Calibri"/>
            <family val="34"/>
          </rPr>
          <t xml:space="preserve">
</t>
        </r>
      </text>
    </comment>
    <comment ref="BG380" authorId="0" shapeId="0" xr:uid="{2C6FBDFF-16DC-9043-A231-B0018AC69DB9}">
      <text>
        <r>
          <rPr>
            <sz val="14"/>
            <color rgb="FF000000"/>
            <rFont val="Times New Roman"/>
            <family val="18"/>
          </rPr>
          <t>ML 10.272 IR 43 (1802) – Haupt Selmbach Komp. Nr. 105 (Budua 24/08/1802)</t>
        </r>
        <r>
          <rPr>
            <sz val="14"/>
            <color rgb="FF000000"/>
            <rFont val="Calibri"/>
            <family val="34"/>
          </rPr>
          <t xml:space="preserve">
</t>
        </r>
        <r>
          <rPr>
            <sz val="14"/>
            <color rgb="FF000000"/>
            <rFont val="Times New Roman"/>
            <family val="18"/>
          </rPr>
          <t>ML 10.273 IR 43 (1803) – Haupt Selmbach Komp. Abgang (Knin 04/10/1803)</t>
        </r>
        <r>
          <rPr>
            <sz val="14"/>
            <color rgb="FF000000"/>
            <rFont val="Calibri"/>
            <family val="34"/>
          </rPr>
          <t xml:space="preserve">
</t>
        </r>
        <r>
          <rPr>
            <sz val="14"/>
            <color rgb="FF000000"/>
            <rFont val="Times New Roman"/>
            <family val="18"/>
          </rPr>
          <t>ML 10.309 IR 43 (1800) – ST June (27/08/1803), Sept (31/01/1804), Nov (02/04/1804), Dez (18/08/1804)</t>
        </r>
        <r>
          <rPr>
            <sz val="14"/>
            <color rgb="FF000000"/>
            <rFont val="Calibri"/>
            <family val="34"/>
          </rPr>
          <t xml:space="preserve">
</t>
        </r>
        <r>
          <rPr>
            <sz val="14"/>
            <color rgb="FF000000"/>
            <rFont val="Times New Roman"/>
            <family val="18"/>
          </rPr>
          <t xml:space="preserve">ML 10.312 IR 43 (1802) – ST Juni (15/071802) </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text>
    </comment>
    <comment ref="BH380" authorId="0" shapeId="0" xr:uid="{C2CCD4E5-385F-594F-B53D-8E94F499A7C8}">
      <text>
        <r>
          <rPr>
            <sz val="14"/>
            <color rgb="FF000000"/>
            <rFont val="Calibri"/>
            <family val="34"/>
          </rPr>
          <t>IR 43 (1800-1803)</t>
        </r>
      </text>
    </comment>
    <comment ref="BF381" authorId="0" shapeId="0" xr:uid="{9D0BB27A-385A-FF46-A849-E090F2053B1C}">
      <text>
        <r>
          <rPr>
            <sz val="14"/>
            <color rgb="FF000000"/>
            <rFont val="Times New Roman"/>
            <family val="18"/>
          </rPr>
          <t xml:space="preserve">21/06/1800 </t>
        </r>
        <r>
          <rPr>
            <i/>
            <sz val="14"/>
            <color rgb="FF000000"/>
            <rFont val="Times New Roman"/>
            <family val="18"/>
          </rPr>
          <t xml:space="preserve">Von Reserve Division zur 2. Major Komp. transferiert </t>
        </r>
        <r>
          <rPr>
            <sz val="14"/>
            <color rgb="FF000000"/>
            <rFont val="Times New Roman"/>
            <family val="18"/>
          </rPr>
          <t>[ML 1802]</t>
        </r>
        <r>
          <rPr>
            <sz val="14"/>
            <color rgb="FF000000"/>
            <rFont val="Calibri"/>
            <family val="34"/>
          </rPr>
          <t xml:space="preserve">
</t>
        </r>
        <r>
          <rPr>
            <sz val="14"/>
            <color rgb="FF000000"/>
            <rFont val="Times New Roman"/>
            <family val="18"/>
          </rPr>
          <t xml:space="preserve">19/02/1801 </t>
        </r>
        <r>
          <rPr>
            <i/>
            <sz val="14"/>
            <color rgb="FF000000"/>
            <rFont val="Times New Roman"/>
            <family val="18"/>
          </rPr>
          <t>Von Sonsten desertiert</t>
        </r>
        <r>
          <rPr>
            <sz val="14"/>
            <color rgb="FF000000"/>
            <rFont val="Times New Roman"/>
            <family val="18"/>
          </rPr>
          <t xml:space="preserve"> [ML 1802]</t>
        </r>
      </text>
    </comment>
    <comment ref="BG381" authorId="0" shapeId="0" xr:uid="{3AFC9D52-158D-DC49-B20B-66BCB1B92C92}">
      <text>
        <r>
          <rPr>
            <sz val="14"/>
            <color rgb="FF000000"/>
            <rFont val="Times New Roman"/>
            <family val="18"/>
          </rPr>
          <t>ML 1937 IR 24 (1802) – 2. Major Komp. Nr. Abgang (Vienna 16/09/1802)</t>
        </r>
        <r>
          <rPr>
            <sz val="14"/>
            <color rgb="FF000000"/>
            <rFont val="Calibri"/>
            <family val="34"/>
          </rPr>
          <t xml:space="preserve">
</t>
        </r>
      </text>
    </comment>
    <comment ref="BH381" authorId="0" shapeId="0" xr:uid="{DEC545B7-BBC2-4445-8D0A-F7436EC5D004}">
      <text>
        <r>
          <rPr>
            <sz val="14"/>
            <color rgb="FF000000"/>
            <rFont val="Calibri"/>
            <family val="34"/>
          </rPr>
          <t>IR 24 (1800-1801)</t>
        </r>
      </text>
    </comment>
    <comment ref="BF382" authorId="0" shapeId="0" xr:uid="{B283676D-C6AD-D641-B691-4E85F992D0B6}">
      <text>
        <r>
          <rPr>
            <sz val="14"/>
            <color rgb="FF000000"/>
            <rFont val="Times New Roman"/>
            <family val="18"/>
          </rPr>
          <t xml:space="preserve">21/06/1800 </t>
        </r>
        <r>
          <rPr>
            <i/>
            <sz val="14"/>
            <color rgb="FF000000"/>
            <rFont val="Times New Roman"/>
            <family val="18"/>
          </rPr>
          <t>Von Der Reserve Division zur Haupt Chupay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01/02/1801 </t>
        </r>
        <r>
          <rPr>
            <i/>
            <sz val="14"/>
            <color rgb="FF000000"/>
            <rFont val="Times New Roman"/>
            <family val="18"/>
          </rPr>
          <t>In Triest gestorben</t>
        </r>
        <r>
          <rPr>
            <sz val="14"/>
            <color rgb="FF000000"/>
            <rFont val="Times New Roman"/>
            <family val="18"/>
          </rPr>
          <t xml:space="preserve"> [ML 1802]</t>
        </r>
      </text>
    </comment>
    <comment ref="BG382" authorId="0" shapeId="0" xr:uid="{EE28DF8B-5C48-4A49-8EB0-44FF13E5127A}">
      <text>
        <r>
          <rPr>
            <sz val="14"/>
            <color rgb="FF000000"/>
            <rFont val="Times New Roman"/>
            <family val="18"/>
          </rPr>
          <t>ML 1937 IR 24 (1802) – Haupt Chupay Abgang (Vienna 16/09/1802)</t>
        </r>
        <r>
          <rPr>
            <sz val="14"/>
            <color rgb="FF000000"/>
            <rFont val="Calibri"/>
            <family val="34"/>
          </rPr>
          <t xml:space="preserve">
</t>
        </r>
      </text>
    </comment>
    <comment ref="BH382" authorId="0" shapeId="0" xr:uid="{BDADE8F0-D83C-AD43-AEBA-EED160FE38C6}">
      <text>
        <r>
          <rPr>
            <sz val="14"/>
            <color rgb="FF000000"/>
            <rFont val="Calibri"/>
            <family val="34"/>
          </rPr>
          <t>IR 24 (1800-1801)</t>
        </r>
      </text>
    </comment>
    <comment ref="BF383" authorId="0" shapeId="0" xr:uid="{43C8E69E-155D-704E-86BF-CA80F8B76D64}">
      <text>
        <r>
          <rPr>
            <sz val="14"/>
            <color rgb="FF000000"/>
            <rFont val="Times New Roman"/>
            <family val="18"/>
          </rPr>
          <t xml:space="preserve">21/06/1800 </t>
        </r>
        <r>
          <rPr>
            <i/>
            <sz val="14"/>
            <color rgb="FF000000"/>
            <rFont val="Times New Roman"/>
            <family val="18"/>
          </rPr>
          <t xml:space="preserve">Vermög hohe General Commando Verordnung deto Lemberg 01/02/1799 Nro 668 statt den untauglich entlassenen GH Toscanischen Rekruten </t>
        </r>
        <r>
          <rPr>
            <i/>
            <sz val="14"/>
            <color rgb="FF000000"/>
            <rFont val="Times New Roman"/>
            <family val="18"/>
          </rPr>
          <t>Juda Halbern</t>
        </r>
        <r>
          <rPr>
            <i/>
            <sz val="14"/>
            <color rgb="FF000000"/>
            <rFont val="Times New Roman"/>
            <family val="18"/>
          </rPr>
          <t xml:space="preserve"> gestellt worden und a 3Fl Handgeld auf Beständig assentiert</t>
        </r>
        <r>
          <rPr>
            <sz val="14"/>
            <color rgb="FF000000"/>
            <rFont val="Times New Roman"/>
            <family val="18"/>
          </rPr>
          <t xml:space="preserve"> [ML 1802 &amp; AL June 1800]</t>
        </r>
        <r>
          <rPr>
            <sz val="14"/>
            <color rgb="FF000000"/>
            <rFont val="Calibri"/>
            <family val="34"/>
          </rPr>
          <t xml:space="preserve">
</t>
        </r>
        <r>
          <rPr>
            <sz val="14"/>
            <color rgb="FF000000"/>
            <rFont val="Times New Roman"/>
            <family val="18"/>
          </rPr>
          <t>09/09/1802 Muster: IR 23 Haupt Stark Komp Nr. 126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31/03/1803 </t>
        </r>
        <r>
          <rPr>
            <i/>
            <sz val="14"/>
            <color rgb="FF000000"/>
            <rFont val="Times New Roman"/>
            <family val="18"/>
          </rPr>
          <t>Auf Urlaub in Polen desertiert</t>
        </r>
        <r>
          <rPr>
            <sz val="14"/>
            <color rgb="FF000000"/>
            <rFont val="Times New Roman"/>
            <family val="18"/>
          </rPr>
          <t xml:space="preserve"> [ML 1803]</t>
        </r>
        <r>
          <rPr>
            <sz val="14"/>
            <color rgb="FF000000"/>
            <rFont val="Calibri"/>
            <family val="2"/>
            <scheme val="minor"/>
          </rPr>
          <t xml:space="preserve"> </t>
        </r>
      </text>
    </comment>
    <comment ref="BG383" authorId="0" shapeId="0" xr:uid="{438D33A8-D307-8840-98C7-A1B66870DB3C}">
      <text>
        <r>
          <rPr>
            <sz val="14"/>
            <color rgb="FF000000"/>
            <rFont val="Times New Roman"/>
            <family val="18"/>
          </rPr>
          <t>ML 10.124 IR 23 (1802) – Haupt Starck Komp. Nr. 120 (Krems 09/09/1802)</t>
        </r>
        <r>
          <rPr>
            <sz val="14"/>
            <color rgb="FF000000"/>
            <rFont val="Calibri"/>
            <family val="34"/>
          </rPr>
          <t xml:space="preserve">
</t>
        </r>
        <r>
          <rPr>
            <sz val="14"/>
            <color rgb="FF000000"/>
            <rFont val="Times New Roman"/>
            <family val="18"/>
          </rPr>
          <t>ML 10.125 IR 23 (1803) – Haupt Starck Komp. Abgang (Execierlager bei St Pölten 07/09/1803)</t>
        </r>
        <r>
          <rPr>
            <sz val="14"/>
            <color rgb="FF000000"/>
            <rFont val="Calibri"/>
            <family val="34"/>
          </rPr>
          <t xml:space="preserve">
</t>
        </r>
        <r>
          <rPr>
            <sz val="14"/>
            <color rgb="FF000000"/>
            <rFont val="Times New Roman"/>
            <family val="18"/>
          </rPr>
          <t>ML 10.167 IR 23 (1800) AL/TL – Nr. 2 (Zolkiew 21/06/1800)</t>
        </r>
        <r>
          <rPr>
            <sz val="14"/>
            <color rgb="FF000000"/>
            <rFont val="Calibri"/>
            <family val="34"/>
          </rPr>
          <t xml:space="preserve">
</t>
        </r>
      </text>
    </comment>
    <comment ref="BH383" authorId="0" shapeId="0" xr:uid="{04500AEA-E4B4-5E49-9427-CECDBB8B05B6}">
      <text>
        <r>
          <rPr>
            <sz val="14"/>
            <color rgb="FF000000"/>
            <rFont val="Calibri"/>
            <family val="34"/>
          </rPr>
          <t>IR 24 (1800-1803)</t>
        </r>
      </text>
    </comment>
    <comment ref="J384" authorId="0" shapeId="0" xr:uid="{663BF848-4AAB-5B46-ADD4-AAA636695B05}">
      <text>
        <r>
          <rPr>
            <sz val="14"/>
            <color rgb="FF000000"/>
            <rFont val="Calibri"/>
            <family val="34"/>
          </rPr>
          <t xml:space="preserve">Ledig (1802-1803)
</t>
        </r>
        <r>
          <rPr>
            <sz val="14"/>
            <color rgb="FF000000"/>
            <rFont val="Calibri"/>
            <family val="34"/>
          </rPr>
          <t>Veheiratet (1806-1809)</t>
        </r>
      </text>
    </comment>
    <comment ref="K384" authorId="0" shapeId="0" xr:uid="{09AFB121-87C7-D74B-AE4A-D0EBF1529A73}">
      <text>
        <r>
          <rPr>
            <sz val="14"/>
            <color rgb="FF000000"/>
            <rFont val="Calibri"/>
            <family val="34"/>
          </rPr>
          <t xml:space="preserve">Ohne  (1802-1806)
</t>
        </r>
        <r>
          <rPr>
            <sz val="14"/>
            <color rgb="FF000000"/>
            <rFont val="Calibri"/>
            <family val="34"/>
          </rPr>
          <t>Bader (1806-1809)</t>
        </r>
      </text>
    </comment>
    <comment ref="T384" authorId="0" shapeId="0" xr:uid="{1577D746-3DF1-2D48-B072-198689EC42E5}">
      <text>
        <r>
          <rPr>
            <sz val="14"/>
            <color rgb="FF000000"/>
            <rFont val="Calibri"/>
            <family val="34"/>
          </rPr>
          <t xml:space="preserve">5.2 []163.3] (1802-1805)
</t>
        </r>
        <r>
          <rPr>
            <sz val="14"/>
            <color rgb="FF000000"/>
            <rFont val="Calibri"/>
            <family val="34"/>
          </rPr>
          <t>5.2.1 [163.5] (1806-1809)</t>
        </r>
      </text>
    </comment>
    <comment ref="BF384" authorId="0" shapeId="0" xr:uid="{71DDD14A-8534-C740-97E4-BE11918DF449}">
      <text>
        <r>
          <rPr>
            <sz val="14"/>
            <color rgb="FFFF0000"/>
            <rFont val="Times New Roman"/>
            <family val="18"/>
          </rPr>
          <t xml:space="preserve">18/05/1800 </t>
        </r>
        <r>
          <rPr>
            <i/>
            <sz val="14"/>
            <color rgb="FFFF0000"/>
            <rFont val="Times New Roman"/>
            <family val="18"/>
          </rPr>
          <t>Als galizische landständische Recrout a 3Fl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23/06/1800 </t>
        </r>
        <r>
          <rPr>
            <i/>
            <sz val="14"/>
            <color rgb="FF000000"/>
            <rFont val="Times New Roman"/>
            <family val="18"/>
          </rPr>
          <t>von Domenien ausgehoben und a 3Fl Handgeld zum Tarnopol assentiert und seitdem auf anhero Marsch mit Friedensgebühr</t>
        </r>
        <r>
          <rPr>
            <sz val="14"/>
            <color rgb="FF000000"/>
            <rFont val="Times New Roman"/>
            <family val="18"/>
          </rPr>
          <t xml:space="preserve"> [ST June 1800]</t>
        </r>
        <r>
          <rPr>
            <sz val="14"/>
            <color rgb="FF000000"/>
            <rFont val="Calibri"/>
            <family val="34"/>
          </rPr>
          <t xml:space="preserve">
</t>
        </r>
        <r>
          <rPr>
            <sz val="14"/>
            <color rgb="FF000000"/>
            <rFont val="Times New Roman"/>
            <family val="18"/>
          </rPr>
          <t xml:space="preserve">20/09/1800 </t>
        </r>
        <r>
          <rPr>
            <i/>
            <sz val="14"/>
            <color rgb="FF000000"/>
            <rFont val="Times New Roman"/>
            <family val="18"/>
          </rPr>
          <t>In Reserve Division eingerückt</t>
        </r>
        <r>
          <rPr>
            <sz val="14"/>
            <color rgb="FF000000"/>
            <rFont val="Times New Roman"/>
            <family val="18"/>
          </rPr>
          <t xml:space="preserve">  [ST Sept 1800]</t>
        </r>
        <r>
          <rPr>
            <sz val="14"/>
            <color rgb="FF000000"/>
            <rFont val="Calibri"/>
            <family val="34"/>
          </rPr>
          <t xml:space="preserve">
</t>
        </r>
        <r>
          <rPr>
            <sz val="14"/>
            <color rgb="FF000000"/>
            <rFont val="Times New Roman"/>
            <family val="18"/>
          </rPr>
          <t xml:space="preserve">01/11/1800 [seit] </t>
        </r>
        <r>
          <rPr>
            <i/>
            <sz val="14"/>
            <color rgb="FF000000"/>
            <rFont val="Times New Roman"/>
            <family val="18"/>
          </rPr>
          <t>Auf Marsch zum Regiment [</t>
        </r>
        <r>
          <rPr>
            <sz val="14"/>
            <color rgb="FF000000"/>
            <rFont val="Times New Roman"/>
            <family val="18"/>
          </rPr>
          <t>ST Nov 1800]</t>
        </r>
        <r>
          <rPr>
            <sz val="14"/>
            <color rgb="FF000000"/>
            <rFont val="Calibri"/>
            <family val="34"/>
          </rPr>
          <t xml:space="preserve">
</t>
        </r>
        <r>
          <rPr>
            <sz val="14"/>
            <color rgb="FF000000"/>
            <rFont val="Times New Roman"/>
            <family val="18"/>
          </rPr>
          <t xml:space="preserve">21/12/1800 </t>
        </r>
        <r>
          <rPr>
            <i/>
            <sz val="14"/>
            <color rgb="FF000000"/>
            <rFont val="Times New Roman"/>
            <family val="18"/>
          </rPr>
          <t>von Reserve Division in Haupt Basta Comp transferiert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21/08/1802 Muster: IR 43 Haupt Basta Komp. Nr. 111</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Marsch mit bestimmtem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01/06/1803 </t>
        </r>
        <r>
          <rPr>
            <i/>
            <sz val="14"/>
            <color rgb="FF000000"/>
            <rFont val="Times New Roman"/>
            <family val="18"/>
          </rPr>
          <t>In Galizien eingerückt und auf unbestimmten Urlaub übersetzt</t>
        </r>
        <r>
          <rPr>
            <sz val="14"/>
            <color rgb="FF000000"/>
            <rFont val="Times New Roman"/>
            <family val="18"/>
          </rPr>
          <t xml:space="preserve"> [ST Juni 1803] </t>
        </r>
        <r>
          <rPr>
            <sz val="14"/>
            <color rgb="FF000000"/>
            <rFont val="Calibri"/>
            <family val="34"/>
          </rPr>
          <t xml:space="preserve">
</t>
        </r>
        <r>
          <rPr>
            <sz val="14"/>
            <color rgb="FF000000"/>
            <rFont val="Times New Roman"/>
            <family val="18"/>
          </rPr>
          <t>08/11/1803 Muster: IR 43 Haupt Ellison Komp. Nr. 98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Haupt Lichtenberg Komp. Nr. 88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01/06/1805 </t>
        </r>
        <r>
          <rPr>
            <i/>
            <sz val="14"/>
            <color rgb="FF000000"/>
            <rFont val="Times New Roman"/>
            <family val="18"/>
          </rPr>
          <t xml:space="preserve">Von unbestimmte Urlaub Zurück und seitdem auf Anhero Marsch </t>
        </r>
        <r>
          <rPr>
            <sz val="14"/>
            <color rgb="FF000000"/>
            <rFont val="Times New Roman"/>
            <family val="18"/>
          </rPr>
          <t>[ST Sept 1805]</t>
        </r>
        <r>
          <rPr>
            <sz val="14"/>
            <color rgb="FF000000"/>
            <rFont val="Calibri"/>
            <family val="34"/>
          </rPr>
          <t xml:space="preserve">
</t>
        </r>
        <r>
          <rPr>
            <sz val="14"/>
            <color rgb="FF000000"/>
            <rFont val="Times New Roman"/>
            <family val="18"/>
          </rPr>
          <t xml:space="preserve">02/09/1805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30/09/1805 Muster: IR 43 2. Fus Komp. Nr. 72 [</t>
        </r>
        <r>
          <rPr>
            <i/>
            <sz val="14"/>
            <color rgb="FF000000"/>
            <rFont val="Times New Roman"/>
            <family val="18"/>
          </rPr>
          <t>Beim Depot in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19/09/1806 </t>
        </r>
        <r>
          <rPr>
            <i/>
            <sz val="14"/>
            <color rgb="FF000000"/>
            <rFont val="Times New Roman"/>
            <family val="18"/>
          </rPr>
          <t>Ist zu Frist bey den Laubenfest den Juden und wird dessen Transferireungslista nachgetragend warden</t>
        </r>
        <r>
          <rPr>
            <sz val="14"/>
            <color rgb="FF000000"/>
            <rFont val="Times New Roman"/>
            <family val="18"/>
          </rPr>
          <t xml:space="preserve"> [TL Sept 1806]</t>
        </r>
        <r>
          <rPr>
            <sz val="14"/>
            <color rgb="FF000000"/>
            <rFont val="Calibri"/>
            <family val="34"/>
          </rPr>
          <t xml:space="preserve">
</t>
        </r>
        <r>
          <rPr>
            <sz val="14"/>
            <color rgb="FF000000"/>
            <rFont val="Times New Roman"/>
            <family val="18"/>
          </rPr>
          <t xml:space="preserve">17/10/1806 </t>
        </r>
        <r>
          <rPr>
            <i/>
            <sz val="14"/>
            <color rgb="FF000000"/>
            <rFont val="Times New Roman"/>
            <family val="18"/>
          </rPr>
          <t>2. TL nach Pettau vorbereitet</t>
        </r>
        <r>
          <rPr>
            <sz val="14"/>
            <color rgb="FF000000"/>
            <rFont val="Times New Roman"/>
            <family val="18"/>
          </rPr>
          <t xml:space="preserve"> [TL Okt 1806]</t>
        </r>
        <r>
          <rPr>
            <i/>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31/10/1806 </t>
        </r>
        <r>
          <rPr>
            <i/>
            <sz val="14"/>
            <color rgb="FF000000"/>
            <rFont val="Times New Roman"/>
            <family val="18"/>
          </rPr>
          <t>Von IR 43 2. Fus. Komp. als Reale Invalide zur Versorgung ins Pettauer Invaliden Haus transferiert und zum 2. Chambre eingeteilt</t>
        </r>
        <r>
          <rPr>
            <sz val="14"/>
            <color rgb="FF000000"/>
            <rFont val="Times New Roman"/>
            <family val="18"/>
          </rPr>
          <t xml:space="preserve"> [ML 1806 &amp; TL Okt 1806]</t>
        </r>
        <r>
          <rPr>
            <sz val="14"/>
            <color rgb="FF000000"/>
            <rFont val="Calibri"/>
            <family val="34"/>
          </rPr>
          <t xml:space="preserve">
</t>
        </r>
        <r>
          <rPr>
            <sz val="14"/>
            <color rgb="FF000000"/>
            <rFont val="Times New Roman"/>
            <family val="18"/>
          </rPr>
          <t>05/02/1807 Muster: InvH Pettau 2. Chambre [</t>
        </r>
        <r>
          <rPr>
            <i/>
            <sz val="14"/>
            <color rgb="FF000000"/>
            <rFont val="Times New Roman"/>
            <family val="18"/>
          </rPr>
          <t>Beurlaubt zu Mogribin in Gallizien auf 3 Monat</t>
        </r>
        <r>
          <rPr>
            <sz val="14"/>
            <color rgb="FF000000"/>
            <rFont val="Times New Roman"/>
            <family val="18"/>
          </rPr>
          <t xml:space="preserve">] </t>
        </r>
        <r>
          <rPr>
            <sz val="14"/>
            <color rgb="FF000000"/>
            <rFont val="Calibri"/>
            <family val="34"/>
          </rPr>
          <t xml:space="preserve">
</t>
        </r>
        <r>
          <rPr>
            <sz val="14"/>
            <color rgb="FF000000"/>
            <rFont val="Times New Roman"/>
            <family val="18"/>
          </rPr>
          <t>17/12/1808 Muster: InvH Pettau 2. Chambre [</t>
        </r>
        <r>
          <rPr>
            <i/>
            <sz val="14"/>
            <color rgb="FF000000"/>
            <rFont val="Times New Roman"/>
            <family val="18"/>
          </rPr>
          <t>Beurlaubt zu Mogribin in Gallizien auf 3 Monat</t>
        </r>
        <r>
          <rPr>
            <sz val="14"/>
            <color rgb="FF000000"/>
            <rFont val="Times New Roman"/>
            <family val="18"/>
          </rPr>
          <t>]</t>
        </r>
        <r>
          <rPr>
            <sz val="14"/>
            <color rgb="FF000000"/>
            <rFont val="Calibri"/>
            <family val="34"/>
          </rPr>
          <t xml:space="preserve">
</t>
        </r>
        <r>
          <rPr>
            <sz val="14"/>
            <color rgb="FF000000"/>
            <rFont val="Times New Roman"/>
            <family val="18"/>
          </rPr>
          <t xml:space="preserve">31/01/1809 </t>
        </r>
        <r>
          <rPr>
            <i/>
            <sz val="14"/>
            <color rgb="FF000000"/>
            <rFont val="Times New Roman"/>
            <family val="18"/>
          </rPr>
          <t xml:space="preserve">Als Emansor in Abgang </t>
        </r>
        <r>
          <rPr>
            <sz val="14"/>
            <color rgb="FF000000"/>
            <rFont val="Times New Roman"/>
            <family val="18"/>
          </rPr>
          <t>[ML 1810]</t>
        </r>
      </text>
    </comment>
    <comment ref="BG384" authorId="0" shapeId="0" xr:uid="{5EFA7728-2C5C-664A-BD2D-522CB32E181A}">
      <text>
        <r>
          <rPr>
            <sz val="14"/>
            <color rgb="FF000000"/>
            <rFont val="Times New Roman"/>
            <family val="18"/>
          </rPr>
          <t>ML 10.272 IR 43 (1802) – Haupt Basta Komp. Nr. 111 (Risano 21/08/1802)</t>
        </r>
        <r>
          <rPr>
            <sz val="14"/>
            <color rgb="FF000000"/>
            <rFont val="Calibri"/>
            <family val="34"/>
          </rPr>
          <t xml:space="preserve">
</t>
        </r>
        <r>
          <rPr>
            <sz val="14"/>
            <color rgb="FF000000"/>
            <rFont val="Times New Roman"/>
            <family val="18"/>
          </rPr>
          <t>ML 10.273 IR 43 (1803) – Haupt von Niedles Komp. Nr. 98 (Sign 08/11/1803)</t>
        </r>
        <r>
          <rPr>
            <sz val="14"/>
            <color rgb="FF000000"/>
            <rFont val="Calibri"/>
            <family val="34"/>
          </rPr>
          <t xml:space="preserve">
</t>
        </r>
        <r>
          <rPr>
            <sz val="14"/>
            <color rgb="FF000000"/>
            <rFont val="Times New Roman"/>
            <family val="18"/>
          </rPr>
          <t>ML 10.274 IR 43 (1804) – Haupt Lichtenberg Komp. Nr. 88 (Zara 15/09/1804)</t>
        </r>
        <r>
          <rPr>
            <sz val="14"/>
            <color rgb="FF000000"/>
            <rFont val="Calibri"/>
            <family val="34"/>
          </rPr>
          <t xml:space="preserve">
</t>
        </r>
        <r>
          <rPr>
            <sz val="14"/>
            <color rgb="FF000000"/>
            <rFont val="Times New Roman"/>
            <family val="18"/>
          </rPr>
          <t>ML 10.275/6 IR 43 (1805) – 2. Fus Komp. Nr. 73 (Cattaro 30/09/1805)</t>
        </r>
        <r>
          <rPr>
            <sz val="14"/>
            <color rgb="FF000000"/>
            <rFont val="Calibri"/>
            <family val="34"/>
          </rPr>
          <t xml:space="preserve">
</t>
        </r>
        <r>
          <rPr>
            <sz val="14"/>
            <color rgb="FF000000"/>
            <rFont val="Times New Roman"/>
            <family val="18"/>
          </rPr>
          <t>ML 10/277/8 (1806) – 2. Fus Comp. - Abgang (Laibach 01/12/1806)</t>
        </r>
        <r>
          <rPr>
            <sz val="14"/>
            <color rgb="FF000000"/>
            <rFont val="Calibri"/>
            <family val="34"/>
          </rPr>
          <t xml:space="preserve">
</t>
        </r>
        <r>
          <rPr>
            <sz val="14"/>
            <color rgb="FF000000"/>
            <rFont val="Times New Roman"/>
            <family val="18"/>
          </rPr>
          <t>ML 10.318 (1806) – TL IR 43-&gt;InvH Pettau Nr. 1 (Laibach 19/09/1806) &amp;TL IR 43-&gt;InvH Pettau (Laibach 17/10/1806)</t>
        </r>
        <r>
          <rPr>
            <sz val="14"/>
            <color rgb="FF000000"/>
            <rFont val="Calibri"/>
            <family val="34"/>
          </rPr>
          <t xml:space="preserve">
</t>
        </r>
        <r>
          <rPr>
            <sz val="14"/>
            <color rgb="FF000000"/>
            <rFont val="Times New Roman"/>
            <family val="18"/>
          </rPr>
          <t>ML 10.309 IR 43 (1800) – ST Juni (27/08/1803), Sept (31/01/1804), Nov (02/04/1804), Dez (18/08/1804)</t>
        </r>
        <r>
          <rPr>
            <sz val="14"/>
            <color rgb="FF000000"/>
            <rFont val="Calibri"/>
            <family val="34"/>
          </rPr>
          <t xml:space="preserve">
</t>
        </r>
        <r>
          <rPr>
            <sz val="14"/>
            <color rgb="FF000000"/>
            <rFont val="Times New Roman"/>
            <family val="18"/>
          </rPr>
          <t>ML 10.313 IR 43 (1803) – ST Feb (15/03/1803), Juni (15/07/1803)</t>
        </r>
        <r>
          <rPr>
            <sz val="14"/>
            <color rgb="FF000000"/>
            <rFont val="Calibri"/>
            <family val="34"/>
          </rPr>
          <t xml:space="preserve">
</t>
        </r>
        <r>
          <rPr>
            <sz val="14"/>
            <color rgb="FF000000"/>
            <rFont val="Times New Roman"/>
            <family val="18"/>
          </rPr>
          <t>ML 10.315 IR 43 (1805) – ST Sept (15/11/1805)</t>
        </r>
        <r>
          <rPr>
            <sz val="14"/>
            <color rgb="FF000000"/>
            <rFont val="Calibri"/>
            <family val="34"/>
          </rPr>
          <t xml:space="preserve">
</t>
        </r>
        <r>
          <rPr>
            <sz val="14"/>
            <color rgb="FF000000"/>
            <rFont val="Times New Roman"/>
            <family val="18"/>
          </rPr>
          <t xml:space="preserve">ML 10.318 IR 43 (1806) AL/TL – TL IR 43-&gt;InvH Pettau Nr. 1 (Laibach 19/09/1806), TL IR 43-&gt;InvH Pettau Nr. 1 (Laibach 17/10/1806) </t>
        </r>
        <r>
          <rPr>
            <sz val="14"/>
            <color rgb="FF000000"/>
            <rFont val="Calibri"/>
            <family val="34"/>
          </rPr>
          <t xml:space="preserve">
</t>
        </r>
        <r>
          <rPr>
            <sz val="14"/>
            <color rgb="FF000000"/>
            <rFont val="Times New Roman"/>
            <family val="18"/>
          </rPr>
          <t>ML 9864 InvH Pettau (1803-7) – ML 1807 2. Chambre Nr. 110 (Pettau 05/02/1808)</t>
        </r>
        <r>
          <rPr>
            <sz val="14"/>
            <color rgb="FF000000"/>
            <rFont val="Calibri"/>
            <family val="34"/>
          </rPr>
          <t xml:space="preserve">
</t>
        </r>
        <r>
          <rPr>
            <sz val="14"/>
            <color rgb="FF000000"/>
            <rFont val="Times New Roman"/>
            <family val="18"/>
          </rPr>
          <t>ML 9985 InvH Pettau (1808-11) – ML 1808 2. Chambre Nr. 91 (Pettau 17/12/1808); ML 1810 1810 2. Chambre – Abgang (Pettau 15/10/1810)</t>
        </r>
      </text>
    </comment>
    <comment ref="BH384" authorId="0" shapeId="0" xr:uid="{35FA0E37-02C3-C54A-8CA4-740C1EF25146}">
      <text>
        <r>
          <rPr>
            <sz val="14"/>
            <color rgb="FF000000"/>
            <rFont val="Calibri"/>
            <family val="34"/>
          </rPr>
          <t xml:space="preserve">IR 43 (1800-1806)
</t>
        </r>
        <r>
          <rPr>
            <sz val="14"/>
            <color rgb="FF000000"/>
            <rFont val="Calibri"/>
            <family val="34"/>
          </rPr>
          <t>InvH Pettau (1806-1809)</t>
        </r>
      </text>
    </comment>
    <comment ref="BI384" authorId="0" shapeId="0" xr:uid="{20EAF317-C017-0C4B-81D0-018C9A29C360}">
      <text>
        <r>
          <rPr>
            <sz val="14"/>
            <color rgb="FF000000"/>
            <rFont val="Calibri"/>
            <family val="34"/>
          </rPr>
          <t>Gut [TL Sept 1806]</t>
        </r>
      </text>
    </comment>
    <comment ref="BJ384" authorId="0" shapeId="0" xr:uid="{A8ECB607-F740-6149-8465-D37C0C05E6A4}">
      <text>
        <r>
          <rPr>
            <sz val="14"/>
            <color rgb="FF000000"/>
            <rFont val="Calibri"/>
            <family val="34"/>
          </rPr>
          <t>von dem Rechte Hand estrupiert [TL Sept 1806)</t>
        </r>
      </text>
    </comment>
    <comment ref="O385" authorId="0" shapeId="0" xr:uid="{AA628E58-8641-EC4B-97DD-CD9D7B84316D}">
      <text>
        <r>
          <rPr>
            <sz val="14"/>
            <color rgb="FF000000"/>
            <rFont val="Times New Roman"/>
            <family val="18"/>
          </rPr>
          <t xml:space="preserve">Abel (1790)
</t>
        </r>
        <r>
          <rPr>
            <sz val="14"/>
            <color rgb="FF000000"/>
            <rFont val="Times New Roman"/>
            <family val="18"/>
          </rPr>
          <t>Isak (1798)</t>
        </r>
      </text>
    </comment>
    <comment ref="P385" authorId="0" shapeId="0" xr:uid="{3EFDA605-66ED-3748-99BA-972FC1F99A4C}">
      <text>
        <r>
          <rPr>
            <sz val="14"/>
            <color rgb="FF000000"/>
            <rFont val="Times New Roman"/>
            <family val="18"/>
          </rPr>
          <t xml:space="preserve">Bella (1792)
</t>
        </r>
        <r>
          <rPr>
            <sz val="14"/>
            <color rgb="FF000000"/>
            <rFont val="Times New Roman"/>
            <family val="18"/>
          </rPr>
          <t>Gaba (1798)</t>
        </r>
      </text>
    </comment>
    <comment ref="BF385" authorId="0" shapeId="0" xr:uid="{92FDD9AF-7483-5F4E-A140-676E89B2EDF2}">
      <text>
        <r>
          <rPr>
            <sz val="14"/>
            <color rgb="FFFF0000"/>
            <rFont val="Times New Roman"/>
            <family val="18"/>
          </rPr>
          <t xml:space="preserve">??/02/1798 </t>
        </r>
        <r>
          <rPr>
            <i/>
            <sz val="14"/>
            <color rgb="FFFF0000"/>
            <rFont val="Times New Roman"/>
            <family val="18"/>
          </rPr>
          <t>Gegen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23/06/1800 </t>
        </r>
        <r>
          <rPr>
            <i/>
            <sz val="14"/>
            <color rgb="FF000000"/>
            <rFont val="Times New Roman"/>
            <family val="18"/>
          </rPr>
          <t>Von Ständen in Zloczow gestellt und zum IR 43 assentiert, seitdem auf anhero Marsch mit Friedens gebühr</t>
        </r>
        <r>
          <rPr>
            <sz val="14"/>
            <color rgb="FF000000"/>
            <rFont val="Times New Roman"/>
            <family val="18"/>
          </rPr>
          <t xml:space="preserve"> [ST Juni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 xml:space="preserve">Auf Marsch zum Regiment </t>
        </r>
        <r>
          <rPr>
            <sz val="14"/>
            <color rgb="FF000000"/>
            <rFont val="Times New Roman"/>
            <family val="18"/>
          </rPr>
          <t>[ST Dec 1800]</t>
        </r>
        <r>
          <rPr>
            <sz val="14"/>
            <color rgb="FF000000"/>
            <rFont val="Calibri"/>
            <family val="34"/>
          </rPr>
          <t xml:space="preserve">
</t>
        </r>
        <r>
          <rPr>
            <sz val="14"/>
            <color rgb="FF000000"/>
            <rFont val="Times New Roman"/>
            <family val="18"/>
          </rPr>
          <t xml:space="preserve">06/02 1801 </t>
        </r>
        <r>
          <rPr>
            <i/>
            <sz val="14"/>
            <color rgb="FF000000"/>
            <rFont val="Times New Roman"/>
            <family val="18"/>
          </rPr>
          <t>Von Reserve Division in Haupt Kopf Compa.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05/08/1802 </t>
        </r>
        <r>
          <rPr>
            <i/>
            <sz val="14"/>
            <color rgb="FF000000"/>
            <rFont val="Times New Roman"/>
            <family val="18"/>
          </rPr>
          <t xml:space="preserve">Von Thurn </t>
        </r>
        <r>
          <rPr>
            <b/>
            <sz val="14"/>
            <color rgb="FF000000"/>
            <rFont val="Times New Roman"/>
            <family val="18"/>
          </rPr>
          <t xml:space="preserve">[IR 43] </t>
        </r>
        <r>
          <rPr>
            <i/>
            <sz val="14"/>
            <color rgb="FF000000"/>
            <rFont val="Times New Roman"/>
            <family val="18"/>
          </rPr>
          <t>Köpf Komp. zum IR 44 transferiert und zur Haupt Albanico Komp. eingeheilt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Vacant Komp. [Haupt Albanico] Nr. 105</t>
        </r>
        <r>
          <rPr>
            <sz val="14"/>
            <color rgb="FF000000"/>
            <rFont val="Calibri"/>
            <family val="34"/>
          </rPr>
          <t xml:space="preserve">
</t>
        </r>
        <r>
          <rPr>
            <sz val="14"/>
            <color rgb="FF000000"/>
            <rFont val="Times New Roman"/>
            <family val="18"/>
          </rPr>
          <t>12/05/1804 Muster: IR 44 Haupt. Liebler Komp. Nr. 102 [</t>
        </r>
        <r>
          <rPr>
            <i/>
            <sz val="14"/>
            <color rgb="FF000000"/>
            <rFont val="Times New Roman"/>
            <family val="18"/>
          </rPr>
          <t>Beurlaubt zu Brody Zlocower Kreis in Ost Galizien bis künftigen Exerzierzeit</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 xml:space="preserve">Als unwissend verloren in Abgang </t>
        </r>
        <r>
          <rPr>
            <sz val="14"/>
            <color rgb="FF000000"/>
            <rFont val="Times New Roman"/>
            <family val="18"/>
          </rPr>
          <t>[ML 1806]</t>
        </r>
        <r>
          <rPr>
            <sz val="14"/>
            <color rgb="FF000000"/>
            <rFont val="Calibri"/>
            <family val="34"/>
          </rPr>
          <t xml:space="preserve">
</t>
        </r>
      </text>
    </comment>
    <comment ref="BG385" authorId="0" shapeId="0" xr:uid="{3AF66F2B-AD28-DF44-B7CB-7DC5BD2F5588}">
      <text>
        <r>
          <rPr>
            <sz val="14"/>
            <color rgb="FF000000"/>
            <rFont val="Times New Roman"/>
            <family val="18"/>
          </rPr>
          <t>ML 10.309 IR 43 (1800) – ST Juni (27/08/1803), Dez (18/08/1804)</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Vacant [Previousy Haupt Albanico] Komp. Nr. 105 (Venice 19/09/1803)</t>
        </r>
        <r>
          <rPr>
            <sz val="14"/>
            <color rgb="FF000000"/>
            <rFont val="Calibri"/>
            <family val="34"/>
          </rPr>
          <t xml:space="preserve">
</t>
        </r>
        <r>
          <rPr>
            <sz val="14"/>
            <color rgb="FF000000"/>
            <rFont val="Times New Roman"/>
            <family val="18"/>
          </rPr>
          <t>ML 3909 IR 44 (1804) –Haupt Liebler Komp. Nr. 105 (Vicenza 12/05/1804)</t>
        </r>
        <r>
          <rPr>
            <sz val="14"/>
            <color rgb="FF000000"/>
            <rFont val="Calibri"/>
            <family val="34"/>
          </rPr>
          <t xml:space="preserve">
</t>
        </r>
        <r>
          <rPr>
            <sz val="14"/>
            <color rgb="FF000000"/>
            <rFont val="Times New Roman"/>
            <family val="18"/>
          </rPr>
          <t>ML 3946 IR 44 (1802) – AL IR 43-&gt; IR 44 Nr. 49 (Zara 04/08/1802)</t>
        </r>
        <r>
          <rPr>
            <sz val="14"/>
            <color rgb="FF000000"/>
            <rFont val="Calibri"/>
            <family val="34"/>
          </rPr>
          <t xml:space="preserve">
</t>
        </r>
        <r>
          <rPr>
            <sz val="14"/>
            <color rgb="FF000000"/>
            <rFont val="Times New Roman"/>
            <family val="18"/>
          </rPr>
          <t>ML 3910 IR 44 (1806) – Haupt Gilleta Komp. Abgang (Fiume 10/12/1806)</t>
        </r>
        <r>
          <rPr>
            <sz val="14"/>
            <color rgb="FF000000"/>
            <rFont val="Calibri"/>
            <family val="34"/>
          </rPr>
          <t xml:space="preserve">
</t>
        </r>
      </text>
    </comment>
    <comment ref="BH385" authorId="0" shapeId="0" xr:uid="{F1BA9264-FC1F-E247-A298-1F334C65CEFF}">
      <text>
        <r>
          <rPr>
            <sz val="14"/>
            <color rgb="FF000000"/>
            <rFont val="Calibri"/>
            <family val="34"/>
          </rPr>
          <t xml:space="preserve">IR 43 (1800-1802)
</t>
        </r>
        <r>
          <rPr>
            <sz val="14"/>
            <color rgb="FF000000"/>
            <rFont val="Calibri"/>
            <family val="34"/>
          </rPr>
          <t>IR 44 (1802-1806)</t>
        </r>
      </text>
    </comment>
    <comment ref="BF386" authorId="0" shapeId="0" xr:uid="{0C84D0B7-3E38-AB4F-A9A3-D6E9C590DB10}">
      <text>
        <r>
          <rPr>
            <sz val="14"/>
            <color rgb="FF000000"/>
            <rFont val="Times New Roman"/>
            <family val="18"/>
          </rPr>
          <t xml:space="preserve">26/06/1800 </t>
        </r>
        <r>
          <rPr>
            <i/>
            <sz val="14"/>
            <color rgb="FF000000"/>
            <rFont val="Times New Roman"/>
            <family val="18"/>
          </rPr>
          <t>Auf den Dauer Des Kriegs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21/09/1801 Muster: IR 62 Haupt Wolff Komp. Nr. 145 [</t>
        </r>
        <r>
          <rPr>
            <i/>
            <sz val="14"/>
            <color rgb="FF000000"/>
            <rFont val="Times New Roman"/>
            <family val="18"/>
          </rPr>
          <t>Auf Werbung in Munkats</t>
        </r>
        <r>
          <rPr>
            <sz val="14"/>
            <color rgb="FF000000"/>
            <rFont val="Times New Roman"/>
            <family val="18"/>
          </rPr>
          <t>]</t>
        </r>
        <r>
          <rPr>
            <sz val="14"/>
            <color rgb="FF000000"/>
            <rFont val="Calibri"/>
            <family val="34"/>
          </rPr>
          <t xml:space="preserve">
</t>
        </r>
        <r>
          <rPr>
            <sz val="14"/>
            <color rgb="FF000000"/>
            <rFont val="Times New Roman"/>
            <family val="18"/>
          </rPr>
          <t xml:space="preserve">01/04/1803 </t>
        </r>
        <r>
          <rPr>
            <i/>
            <sz val="14"/>
            <color rgb="FF000000"/>
            <rFont val="Times New Roman"/>
            <family val="18"/>
          </rPr>
          <t>Auf unbestimmte Zeit beurlaubt</t>
        </r>
        <r>
          <rPr>
            <sz val="14"/>
            <color rgb="FF000000"/>
            <rFont val="Times New Roman"/>
            <family val="18"/>
          </rPr>
          <t xml:space="preserve"> [ML 1803]</t>
        </r>
        <r>
          <rPr>
            <sz val="14"/>
            <color rgb="FF000000"/>
            <rFont val="Calibri"/>
            <family val="34"/>
          </rPr>
          <t xml:space="preserve">
</t>
        </r>
        <r>
          <rPr>
            <sz val="14"/>
            <color rgb="FF000000"/>
            <rFont val="Times New Roman"/>
            <family val="18"/>
          </rPr>
          <t>06/08/1803 Muster: IR 62 Haupt Wolff Komp. Nr. 124 [</t>
        </r>
        <r>
          <rPr>
            <i/>
            <sz val="14"/>
            <color rgb="FF000000"/>
            <rFont val="Times New Roman"/>
            <family val="18"/>
          </rPr>
          <t>Auf unbestimmte Zeit Beurlaubt in Borsa, Marmaroser Comitat in Ungarn</t>
        </r>
        <r>
          <rPr>
            <sz val="14"/>
            <color rgb="FF000000"/>
            <rFont val="Times New Roman"/>
            <family val="18"/>
          </rPr>
          <t>]</t>
        </r>
        <r>
          <rPr>
            <sz val="14"/>
            <color rgb="FF000000"/>
            <rFont val="Calibri"/>
            <family val="34"/>
          </rPr>
          <t xml:space="preserve">
</t>
        </r>
        <r>
          <rPr>
            <sz val="14"/>
            <color rgb="FF000000"/>
            <rFont val="Times New Roman"/>
            <family val="18"/>
          </rPr>
          <t>10/09/1804 Muster: IR 62 Haupt Wolff Komp. Nr. 100 [</t>
        </r>
        <r>
          <rPr>
            <i/>
            <sz val="14"/>
            <color rgb="FF000000"/>
            <rFont val="Times New Roman"/>
            <family val="18"/>
          </rPr>
          <t>Unbestimmt Beurlaubt in Borsa, Marmaroser Comitat in Ungarn</t>
        </r>
        <r>
          <rPr>
            <sz val="14"/>
            <color rgb="FF000000"/>
            <rFont val="Times New Roman"/>
            <family val="18"/>
          </rPr>
          <t>]</t>
        </r>
        <r>
          <rPr>
            <sz val="14"/>
            <color rgb="FF000000"/>
            <rFont val="Calibri"/>
            <family val="34"/>
          </rPr>
          <t xml:space="preserve">
</t>
        </r>
      </text>
    </comment>
    <comment ref="BG386" authorId="0" shapeId="0" xr:uid="{67A5E15F-D2CC-8042-BB8C-C1BA51281208}">
      <text>
        <r>
          <rPr>
            <sz val="14"/>
            <color rgb="FF000000"/>
            <rFont val="Times New Roman"/>
            <family val="18"/>
          </rPr>
          <t>ML 5205 IR 62 (1802) – Haupt Wolff Komp. Nr. 145 (Staszow 21/09/1802)</t>
        </r>
        <r>
          <rPr>
            <sz val="14"/>
            <color rgb="FF000000"/>
            <rFont val="Calibri"/>
            <family val="34"/>
          </rPr>
          <t xml:space="preserve">
</t>
        </r>
        <r>
          <rPr>
            <sz val="14"/>
            <color rgb="FF000000"/>
            <rFont val="Times New Roman"/>
            <family val="18"/>
          </rPr>
          <t>ML 5206 IR 62 (1803) – Haupt Wolff Komp. Nr. 124 (Pinczow 06/08/1803)</t>
        </r>
        <r>
          <rPr>
            <sz val="14"/>
            <color rgb="FF000000"/>
            <rFont val="Calibri"/>
            <family val="34"/>
          </rPr>
          <t xml:space="preserve">
</t>
        </r>
        <r>
          <rPr>
            <sz val="14"/>
            <color rgb="FF000000"/>
            <rFont val="Times New Roman"/>
            <family val="18"/>
          </rPr>
          <t>ML 5207 IR 62 (1804) – Haupt Wolff Komp. Nr. 100 (Staszow 10/09/1804)</t>
        </r>
        <r>
          <rPr>
            <sz val="14"/>
            <color rgb="FF000000"/>
            <rFont val="Calibri"/>
            <family val="34"/>
          </rPr>
          <t xml:space="preserve">
</t>
        </r>
      </text>
    </comment>
    <comment ref="BH386" authorId="0" shapeId="0" xr:uid="{0C9DA640-947F-4842-A5B8-EFFC716C2605}">
      <text>
        <r>
          <rPr>
            <sz val="14"/>
            <color rgb="FF000000"/>
            <rFont val="Calibri"/>
            <family val="34"/>
          </rPr>
          <t>IR 43 (1800-1804)</t>
        </r>
      </text>
    </comment>
    <comment ref="BF387" authorId="0" shapeId="0" xr:uid="{B89DB830-6B47-B54F-A229-874597E930FF}">
      <text>
        <r>
          <rPr>
            <sz val="14"/>
            <color rgb="FF000000"/>
            <rFont val="Times New Roman"/>
            <family val="18"/>
          </rPr>
          <t xml:space="preserve">14/07/1800 </t>
        </r>
        <r>
          <rPr>
            <i/>
            <sz val="14"/>
            <color rgb="FF000000"/>
            <rFont val="Times New Roman"/>
            <family val="18"/>
          </rPr>
          <t>Zu Lemberg statt dem mit Laufpaß entlassenen Leib RIFEZES a 3Fl gestellt mit Friedensgebühr</t>
        </r>
        <r>
          <rPr>
            <sz val="14"/>
            <color rgb="FF000000"/>
            <rFont val="Times New Roman"/>
            <family val="18"/>
          </rPr>
          <t xml:space="preserve"> [ST July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387" authorId="0" shapeId="0" xr:uid="{22EB7E5B-5CED-FA48-8E5D-7D02B07D16D3}">
      <text>
        <r>
          <rPr>
            <sz val="14"/>
            <color rgb="FF000000"/>
            <rFont val="Times New Roman"/>
            <family val="18"/>
          </rPr>
          <t>ML 10.309 IR 43 (1800) – ST Juli (24/10/1803)</t>
        </r>
        <r>
          <rPr>
            <sz val="14"/>
            <color rgb="FF000000"/>
            <rFont val="Calibri"/>
            <family val="34"/>
          </rPr>
          <t xml:space="preserve">
</t>
        </r>
        <r>
          <rPr>
            <sz val="14"/>
            <color rgb="FF000000"/>
            <rFont val="Times New Roman"/>
            <family val="18"/>
          </rPr>
          <t>ML 10.311 IR 43 (1801) – Oct (21/07/1805)</t>
        </r>
        <r>
          <rPr>
            <sz val="14"/>
            <color rgb="FF000000"/>
            <rFont val="Calibri"/>
            <family val="34"/>
          </rPr>
          <t xml:space="preserve">
</t>
        </r>
      </text>
    </comment>
    <comment ref="BH387" authorId="0" shapeId="0" xr:uid="{22180A1A-591A-F446-80B1-4B1365AC5A95}">
      <text>
        <r>
          <rPr>
            <sz val="14"/>
            <color rgb="FF000000"/>
            <rFont val="Calibri"/>
            <family val="34"/>
          </rPr>
          <t>IR 43 (1800-1801)</t>
        </r>
      </text>
    </comment>
    <comment ref="BF388" authorId="0" shapeId="0" xr:uid="{20949317-5340-4B4B-9755-319E0A719BDB}">
      <text>
        <r>
          <rPr>
            <sz val="14"/>
            <color rgb="FF000000"/>
            <rFont val="Times New Roman"/>
            <family val="18"/>
          </rPr>
          <t xml:space="preserve">14/07/1800 </t>
        </r>
        <r>
          <rPr>
            <i/>
            <sz val="14"/>
            <color rgb="FF000000"/>
            <rFont val="Times New Roman"/>
            <family val="18"/>
          </rPr>
          <t>Als landständischer Recrout gestellt</t>
        </r>
        <r>
          <rPr>
            <sz val="14"/>
            <color rgb="FF000000"/>
            <rFont val="Times New Roman"/>
            <family val="18"/>
          </rPr>
          <t xml:space="preserve"> [ML 1804]</t>
        </r>
        <r>
          <rPr>
            <sz val="14"/>
            <color rgb="FF000000"/>
            <rFont val="Calibri"/>
            <family val="34"/>
          </rPr>
          <t xml:space="preserve">
</t>
        </r>
        <r>
          <rPr>
            <sz val="14"/>
            <color rgb="FF000000"/>
            <rFont val="Times New Roman"/>
            <family val="18"/>
          </rPr>
          <t>01/04/1802 Beurlabt in seinem Geburtsort [ML 1806]</t>
        </r>
        <r>
          <rPr>
            <sz val="14"/>
            <color rgb="FF000000"/>
            <rFont val="Calibri"/>
            <family val="34"/>
          </rPr>
          <t xml:space="preserve">
</t>
        </r>
        <r>
          <rPr>
            <sz val="14"/>
            <color rgb="FF000000"/>
            <rFont val="Times New Roman"/>
            <family val="18"/>
          </rPr>
          <t>29/08/1803 Muster: IR 59 Haupt Straka Komp. Nr. 56 [</t>
        </r>
        <r>
          <rPr>
            <i/>
            <sz val="14"/>
            <color rgb="FF000000"/>
            <rFont val="Times New Roman"/>
            <family val="18"/>
          </rPr>
          <t>Beurlaubt bis zur Exercoerzeit in seinem Geburtort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Straka Komp. Nr. 49 [</t>
        </r>
        <r>
          <rPr>
            <i/>
            <sz val="14"/>
            <color rgb="FF000000"/>
            <rFont val="Times New Roman"/>
            <family val="18"/>
          </rPr>
          <t>Beurlaubt bis zur Einberufung in seinem Geburtort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388" authorId="0" shapeId="0" xr:uid="{FDFA92C9-05DB-8048-86AF-1311B23F853C}">
      <text>
        <r>
          <rPr>
            <sz val="14"/>
            <color rgb="FF000000"/>
            <rFont val="Times New Roman"/>
            <family val="18"/>
          </rPr>
          <t>ML 5015 IR 59 (1803) – Haupt Strack Nr. 56 (Enns 29/08/1803)</t>
        </r>
        <r>
          <rPr>
            <sz val="14"/>
            <color rgb="FF000000"/>
            <rFont val="Calibri"/>
            <family val="34"/>
          </rPr>
          <t xml:space="preserve">
</t>
        </r>
        <r>
          <rPr>
            <sz val="14"/>
            <color rgb="FF000000"/>
            <rFont val="Times New Roman"/>
            <family val="18"/>
          </rPr>
          <t>ML 5016 IR 59 (1804) – Haupt Stracka Nr. 49 (Innsbruck 03/09/1804)</t>
        </r>
        <r>
          <rPr>
            <sz val="14"/>
            <color rgb="FF000000"/>
            <rFont val="Calibri"/>
            <family val="34"/>
          </rPr>
          <t xml:space="preserve">
</t>
        </r>
        <r>
          <rPr>
            <sz val="14"/>
            <color rgb="FF000000"/>
            <rFont val="Times New Roman"/>
            <family val="18"/>
          </rPr>
          <t>ML 5017/8 IR 59 (1806) – 10. Fus. Komp. Abgang, Unwissend verlohren‘ Nr. 183 (Linz 10/07/1807)</t>
        </r>
        <r>
          <rPr>
            <sz val="14"/>
            <color rgb="FF000000"/>
            <rFont val="Calibri"/>
            <family val="34"/>
          </rPr>
          <t xml:space="preserve">
</t>
        </r>
      </text>
    </comment>
    <comment ref="BH388" authorId="0" shapeId="0" xr:uid="{E3C5EC25-400D-EC47-87E2-0B5F40EC0AEC}">
      <text>
        <r>
          <rPr>
            <sz val="14"/>
            <color rgb="FF000000"/>
            <rFont val="Calibri"/>
            <family val="34"/>
          </rPr>
          <t>IR 59 (1800-1806)</t>
        </r>
      </text>
    </comment>
    <comment ref="I389" authorId="0" shapeId="0" xr:uid="{904A4F91-1436-2F41-A3C3-00E4FEA7467B}">
      <text>
        <r>
          <rPr>
            <sz val="14"/>
            <color rgb="FF000000"/>
            <rFont val="Calibri"/>
            <family val="34"/>
          </rPr>
          <t xml:space="preserve">1768 [35 (ML 1803)]
</t>
        </r>
        <r>
          <rPr>
            <sz val="14"/>
            <color rgb="FF000000"/>
            <rFont val="Calibri"/>
            <family val="34"/>
          </rPr>
          <t xml:space="preserve">OR 
</t>
        </r>
        <r>
          <rPr>
            <sz val="14"/>
            <color rgb="FF000000"/>
            <rFont val="Calibri"/>
            <family val="34"/>
          </rPr>
          <t>1757 [48 (SUP 1805)]</t>
        </r>
      </text>
    </comment>
    <comment ref="BF389" authorId="0" shapeId="0" xr:uid="{564E88E9-A113-E748-B678-F3E849A8D87D}">
      <text>
        <r>
          <rPr>
            <sz val="14"/>
            <color rgb="FF000000"/>
            <rFont val="Times New Roman"/>
            <family val="18"/>
          </rPr>
          <t xml:space="preserve">14/07/1800 </t>
        </r>
        <r>
          <rPr>
            <i/>
            <sz val="14"/>
            <color rgb="FF000000"/>
            <rFont val="Times New Roman"/>
            <family val="18"/>
          </rPr>
          <t>A 3Fl von Gallizischen von Ständen statt dem mit Laufpaß entlassnen Abraham Mortkowitz für Beständig gestellt</t>
        </r>
        <r>
          <rPr>
            <sz val="14"/>
            <color rgb="FF000000"/>
            <rFont val="Times New Roman"/>
            <family val="18"/>
          </rPr>
          <t xml:space="preserve"> [ML 1803]
</t>
        </r>
        <r>
          <rPr>
            <sz val="14"/>
            <color rgb="FF000000"/>
            <rFont val="Times New Roman"/>
            <family val="18"/>
          </rPr>
          <t>29/08/1803 Muster: IR 59 Haupt Starka Nr. 77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03/09/1804 Muster: IR 59 Haupt Starka Nr. 77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20/06/1805 Als von unbestimmtem Urlaub eingerückte in Krakow Superarbitriert: </t>
        </r>
        <r>
          <rPr>
            <i/>
            <sz val="14"/>
            <color rgb="FF000000"/>
            <rFont val="Times New Roman"/>
            <family val="18"/>
          </rPr>
          <t>Nach Stabs Ärztlichen Beschluss zu t auch k.k. Feldkriegs und Garisons diensten untauglich und zu entlassen</t>
        </r>
        <r>
          <rPr>
            <sz val="14"/>
            <color rgb="FF000000"/>
            <rFont val="Times New Roman"/>
            <family val="18"/>
          </rPr>
          <t xml:space="preserve"> [SUP June 1805]
</t>
        </r>
        <r>
          <rPr>
            <sz val="14"/>
            <color rgb="FF000000"/>
            <rFont val="Times New Roman"/>
            <family val="18"/>
          </rPr>
          <t xml:space="preserve">20/06/1805 </t>
        </r>
        <r>
          <rPr>
            <i/>
            <sz val="14"/>
            <color rgb="FF000000"/>
            <rFont val="Times New Roman"/>
            <family val="18"/>
          </rPr>
          <t>Gegen Renuncierung als Reale Invalid mit Abschied entlassen</t>
        </r>
        <r>
          <rPr>
            <sz val="14"/>
            <color rgb="FF000000"/>
            <rFont val="Times New Roman"/>
            <family val="18"/>
          </rPr>
          <t xml:space="preserve"> [ML 1806]
</t>
        </r>
      </text>
    </comment>
    <comment ref="BG389" authorId="0" shapeId="0" xr:uid="{CA5C6A57-021F-A348-928A-AFE1D1046EFB}">
      <text>
        <r>
          <rPr>
            <sz val="14"/>
            <color rgb="FF000000"/>
            <rFont val="Times New Roman"/>
            <family val="18"/>
          </rPr>
          <t xml:space="preserve">ML 5015 IR 59 (1803) –Haupt Straka Comp. Nr. 77 (Enns, 29/08/1803)
</t>
        </r>
        <r>
          <rPr>
            <sz val="14"/>
            <color rgb="FF000000"/>
            <rFont val="Times New Roman"/>
            <family val="18"/>
          </rPr>
          <t xml:space="preserve">ML 5016 IR 59 (1804) – Haupt Straka Comp. Nr. 37 (Innsbruck 03/09/1804)
</t>
        </r>
        <r>
          <rPr>
            <sz val="14"/>
            <color rgb="FF000000"/>
            <rFont val="Times New Roman"/>
            <family val="18"/>
          </rPr>
          <t xml:space="preserve">ML 5017/8 IR 59 (1806) – 11. Fus. Komp. Abgang (Florian 27/12/1806)
</t>
        </r>
        <r>
          <rPr>
            <sz val="14"/>
            <color rgb="FF000000"/>
            <rFont val="Times New Roman"/>
            <family val="18"/>
          </rPr>
          <t xml:space="preserve">ML 5067 IR 59 (1805) – SUP Nr. 2 (Kraków 14/06/1805)
</t>
        </r>
      </text>
    </comment>
    <comment ref="BH389" authorId="0" shapeId="0" xr:uid="{EB5BC33F-9469-2A45-87CD-64592105E9EF}">
      <text>
        <r>
          <rPr>
            <sz val="14"/>
            <color rgb="FF000000"/>
            <rFont val="Calibri"/>
            <family val="34"/>
          </rPr>
          <t>IR 59 (1800-1805)</t>
        </r>
      </text>
    </comment>
    <comment ref="BJ389" authorId="0" shapeId="0" xr:uid="{75DD564D-4D95-A14E-BF1E-DC36A5CC624C}">
      <text>
        <r>
          <rPr>
            <i/>
            <sz val="14"/>
            <color rgb="FF000000"/>
            <rFont val="Calibri"/>
            <family val="34"/>
          </rPr>
          <t xml:space="preserve">mit einem Starr und entkraftig; Starke Anlage zur schwarzen Swar und gleichsen haltbluid, seiner kranklich entkraftig </t>
        </r>
        <r>
          <rPr>
            <sz val="14"/>
            <color rgb="FF000000"/>
            <rFont val="Calibri"/>
            <family val="34"/>
          </rPr>
          <t xml:space="preserve">(SUP June 1805) </t>
        </r>
      </text>
    </comment>
    <comment ref="BF390" authorId="0" shapeId="0" xr:uid="{86CD5CBB-C71B-EE4E-8A14-BD348E9194EB}">
      <text>
        <r>
          <rPr>
            <sz val="14"/>
            <color rgb="FF000000"/>
            <rFont val="Times New Roman"/>
            <family val="18"/>
          </rPr>
          <t xml:space="preserve">15/07/1800 </t>
        </r>
        <r>
          <rPr>
            <i/>
            <sz val="14"/>
            <color rgb="FF000000"/>
            <rFont val="Times New Roman"/>
            <family val="18"/>
          </rPr>
          <t>von Ständen gestellt und zu Lemberg a 3Fl Handgeld Assentiert und seitdem auf Anhero Marsch mit Friedensgebühr</t>
        </r>
        <r>
          <rPr>
            <sz val="14"/>
            <color rgb="FF000000"/>
            <rFont val="Times New Roman"/>
            <family val="18"/>
          </rPr>
          <t xml:space="preserve"> [ST Aug 1800]
</t>
        </r>
        <r>
          <rPr>
            <sz val="14"/>
            <color rgb="FFFF0000"/>
            <rFont val="Times New Roman"/>
            <family val="18"/>
          </rPr>
          <t xml:space="preserve">05/08/1800 </t>
        </r>
        <r>
          <rPr>
            <i/>
            <sz val="14"/>
            <color rgb="FFFF0000"/>
            <rFont val="Times New Roman"/>
            <family val="18"/>
          </rPr>
          <t>von Ständen gestellt</t>
        </r>
        <r>
          <rPr>
            <sz val="14"/>
            <color rgb="FFFF0000"/>
            <rFont val="Times New Roman"/>
            <family val="18"/>
          </rPr>
          <t xml:space="preserve"> [ML 1802]</t>
        </r>
        <r>
          <rPr>
            <sz val="14"/>
            <color rgb="FF000000"/>
            <rFont val="Times New Roman"/>
            <family val="18"/>
          </rPr>
          <t xml:space="preserve">
</t>
        </r>
        <r>
          <rPr>
            <sz val="14"/>
            <color rgb="FF000000"/>
            <rFont val="Times New Roman"/>
            <family val="18"/>
          </rPr>
          <t xml:space="preserve">13/10/1800 </t>
        </r>
        <r>
          <rPr>
            <i/>
            <sz val="14"/>
            <color rgb="FF000000"/>
            <rFont val="Times New Roman"/>
            <family val="18"/>
          </rPr>
          <t>In die Reserve Division eingerückt</t>
        </r>
        <r>
          <rPr>
            <sz val="14"/>
            <color rgb="FF000000"/>
            <rFont val="Times New Roman"/>
            <family val="18"/>
          </rPr>
          <t xml:space="preserve"> [ST Oct 1800]
</t>
        </r>
        <r>
          <rPr>
            <sz val="14"/>
            <color rgb="FF000000"/>
            <rFont val="Times New Roman"/>
            <family val="18"/>
          </rPr>
          <t xml:space="preserve">31/12/1800 </t>
        </r>
        <r>
          <rPr>
            <i/>
            <sz val="14"/>
            <color rgb="FF000000"/>
            <rFont val="Times New Roman"/>
            <family val="18"/>
          </rPr>
          <t>Auf Marsch zum Regiment</t>
        </r>
        <r>
          <rPr>
            <sz val="14"/>
            <color rgb="FF000000"/>
            <rFont val="Times New Roman"/>
            <family val="18"/>
          </rPr>
          <t xml:space="preserve"> [ST Dec 1800]
</t>
        </r>
        <r>
          <rPr>
            <sz val="14"/>
            <color rgb="FF000000"/>
            <rFont val="Times New Roman"/>
            <family val="18"/>
          </rPr>
          <t xml:space="preserve">06/02/1801 </t>
        </r>
        <r>
          <rPr>
            <i/>
            <sz val="14"/>
            <color rgb="FF000000"/>
            <rFont val="Times New Roman"/>
            <family val="18"/>
          </rPr>
          <t>Von Reserve Division in Haupt Oberburg Comp transferiert</t>
        </r>
        <r>
          <rPr>
            <sz val="14"/>
            <color rgb="FF000000"/>
            <rFont val="Times New Roman"/>
            <family val="18"/>
          </rPr>
          <t xml:space="preserve"> [ST Feb 1801]
</t>
        </r>
        <r>
          <rPr>
            <sz val="14"/>
            <color rgb="FF000000"/>
            <rFont val="Times New Roman"/>
            <family val="18"/>
          </rPr>
          <t xml:space="preserve">28/08/1802 Musterung: IR 43 Haupt Frinstlos Comp. Nr. 100
</t>
        </r>
        <r>
          <rPr>
            <sz val="14"/>
            <color rgb="FF000000"/>
            <rFont val="Times New Roman"/>
            <family val="18"/>
          </rPr>
          <t xml:space="preserve">03/02/1803 </t>
        </r>
        <r>
          <rPr>
            <i/>
            <sz val="14"/>
            <color rgb="FF000000"/>
            <rFont val="Times New Roman"/>
            <family val="18"/>
          </rPr>
          <t xml:space="preserve">Auf dem Marsch mit Urlaub ins Galizien </t>
        </r>
        <r>
          <rPr>
            <sz val="14"/>
            <color rgb="FF000000"/>
            <rFont val="Times New Roman"/>
            <family val="18"/>
          </rPr>
          <t xml:space="preserve">[ST Feb 1803]
</t>
        </r>
        <r>
          <rPr>
            <sz val="14"/>
            <color rgb="FF000000"/>
            <rFont val="Times New Roman"/>
            <family val="18"/>
          </rPr>
          <t xml:space="preserve">30/09/1803 </t>
        </r>
        <r>
          <rPr>
            <i/>
            <sz val="14"/>
            <color rgb="FF000000"/>
            <rFont val="Times New Roman"/>
            <family val="18"/>
          </rPr>
          <t>Als bis zur Einberufung Beurlaubt in Galizien eingerückt</t>
        </r>
        <r>
          <rPr>
            <sz val="14"/>
            <color rgb="FF000000"/>
            <rFont val="Times New Roman"/>
            <family val="18"/>
          </rPr>
          <t xml:space="preserve"> [ST Sept 1803]
</t>
        </r>
        <r>
          <rPr>
            <sz val="14"/>
            <color rgb="FF000000"/>
            <rFont val="Times New Roman"/>
            <family val="18"/>
          </rPr>
          <t>02/11/1803 Musterung: IR 43 Haupt Frintlos Comp. Nr. 94 [</t>
        </r>
        <r>
          <rPr>
            <i/>
            <sz val="14"/>
            <color rgb="FF000000"/>
            <rFont val="Times New Roman"/>
            <family val="18"/>
          </rPr>
          <t>Mit Urlaub bis zur Einberufung in seinem Geburtsort</t>
        </r>
        <r>
          <rPr>
            <sz val="14"/>
            <color rgb="FF000000"/>
            <rFont val="Times New Roman"/>
            <family val="18"/>
          </rPr>
          <t xml:space="preserve">]
</t>
        </r>
        <r>
          <rPr>
            <sz val="14"/>
            <color rgb="FF000000"/>
            <rFont val="Times New Roman"/>
            <family val="18"/>
          </rPr>
          <t>05/10/1804 Musterung: IR 43 Haupt Frintlos Comp Nr. 88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23/10/1805 Musterung: IR 43 15. Fus Comp Nr. 76 [</t>
        </r>
        <r>
          <rPr>
            <i/>
            <sz val="14"/>
            <color rgb="FF000000"/>
            <rFont val="Times New Roman"/>
            <family val="18"/>
          </rPr>
          <t>Beurlaubt bis zur Einberufung in seinem Geburtsort</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10. Fus Comp als unwissend verloren in Abgang</t>
        </r>
        <r>
          <rPr>
            <sz val="14"/>
            <color rgb="FF000000"/>
            <rFont val="Times New Roman"/>
            <family val="18"/>
          </rPr>
          <t xml:space="preserve"> [ST Oct 1806 &amp; ML 1806]</t>
        </r>
      </text>
    </comment>
    <comment ref="BG390" authorId="0" shapeId="0" xr:uid="{3BD6CBB9-EDFC-D24D-A703-F521ADE7573E}">
      <text>
        <r>
          <rPr>
            <sz val="14"/>
            <color rgb="FF000000"/>
            <rFont val="Times New Roman"/>
            <family val="18"/>
          </rPr>
          <t xml:space="preserve">ML 10.272 IR 43 (1802) – Heft von Haupt Frintos Hazza Comp. Nr. 100 (Cattaro 28/08/1802)
</t>
        </r>
        <r>
          <rPr>
            <sz val="14"/>
            <color rgb="FF000000"/>
            <rFont val="Times New Roman"/>
            <family val="18"/>
          </rPr>
          <t xml:space="preserve">ML 10.273 IR 43 (1803) – Heft von Haupt Frintos Hazza Comp. Nr. 94 (Cattaro 02/11/1803)
</t>
        </r>
        <r>
          <rPr>
            <sz val="14"/>
            <color rgb="FF000000"/>
            <rFont val="Times New Roman"/>
            <family val="18"/>
          </rPr>
          <t xml:space="preserve">ML 10.274 IR 43 (1804) – Heft von Haupt Frintos Hazza Comp. Nr. 88 (Theodo 05/10/1804)
</t>
        </r>
        <r>
          <rPr>
            <sz val="14"/>
            <color rgb="FF000000"/>
            <rFont val="Times New Roman"/>
            <family val="18"/>
          </rPr>
          <t xml:space="preserve">ML 10.275/6 IR 43 (1805) – Heft von 15. Fus Comp. Nr. 76 (Spalato (23/10/1805)
</t>
        </r>
        <r>
          <rPr>
            <sz val="14"/>
            <color rgb="FF000000"/>
            <rFont val="Times New Roman"/>
            <family val="18"/>
          </rPr>
          <t xml:space="preserve">ML 10/277/8 IR 43 (1806) – Heft von 9. Fus Comp. Abgang (Neustadt 05/12/1806)
</t>
        </r>
        <r>
          <rPr>
            <sz val="14"/>
            <color rgb="FF000000"/>
            <rFont val="Times New Roman"/>
            <family val="18"/>
          </rPr>
          <t xml:space="preserve">ML 10.310 IR 43 (1800) – AL IR 43 Nr. 48 (Lemberg 20/08/1800)
</t>
        </r>
        <r>
          <rPr>
            <sz val="14"/>
            <color rgb="FF000000"/>
            <rFont val="Times New Roman"/>
            <family val="18"/>
          </rPr>
          <t xml:space="preserve">ML 10.309 IR 43 (1800) – ST August (27/12/1803) und Oktober (31/01/1804)
</t>
        </r>
        <r>
          <rPr>
            <sz val="14"/>
            <color rgb="FF000000"/>
            <rFont val="Times New Roman"/>
            <family val="18"/>
          </rPr>
          <t xml:space="preserve">ML 10.311 IR 43 (1801) – ST Feb (28/09/1804)
</t>
        </r>
        <r>
          <rPr>
            <sz val="14"/>
            <color rgb="FF000000"/>
            <rFont val="Times New Roman"/>
            <family val="18"/>
          </rPr>
          <t xml:space="preserve">ML 10.313 IR 43 (1803) – ST Feb (15/03/1803) und Sept (15/10/1803) 
</t>
        </r>
        <r>
          <rPr>
            <sz val="14"/>
            <color rgb="FF000000"/>
            <rFont val="Times New Roman"/>
            <family val="18"/>
          </rPr>
          <t xml:space="preserve">ML 10.317 IR 43 (1806) – ST Oktober (27/11/1806) 
</t>
        </r>
      </text>
    </comment>
    <comment ref="BH390" authorId="0" shapeId="0" xr:uid="{22EE33B2-39B9-C84B-9733-D88E777A5B5C}">
      <text>
        <r>
          <rPr>
            <sz val="14"/>
            <color rgb="FF000000"/>
            <rFont val="Calibri"/>
            <family val="34"/>
          </rPr>
          <t>IR 43 (1800-1806)</t>
        </r>
      </text>
    </comment>
    <comment ref="BF391" authorId="0" shapeId="0" xr:uid="{D042C08C-C897-F548-97ED-CEC079A0185C}">
      <text>
        <r>
          <rPr>
            <sz val="14"/>
            <color rgb="FF000000"/>
            <rFont val="Times New Roman"/>
            <family val="18"/>
          </rPr>
          <t xml:space="preserve">15/07/1800 </t>
        </r>
        <r>
          <rPr>
            <i/>
            <sz val="14"/>
            <color rgb="FF000000"/>
            <rFont val="Times New Roman"/>
            <family val="18"/>
          </rPr>
          <t xml:space="preserve">A 3Fl zu IR 49 ‘Kerpen’ zu Złoczów assentiert </t>
        </r>
        <r>
          <rPr>
            <sz val="14"/>
            <color rgb="FF000000"/>
            <rFont val="Times New Roman"/>
            <family val="18"/>
          </rPr>
          <t>[ML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zum IR 59 ‘Jordis’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20/09/1802 Muster: IR 59 Haupt. Spiedel Komp.</t>
        </r>
        <r>
          <rPr>
            <sz val="14"/>
            <color rgb="FF000000"/>
            <rFont val="Calibri"/>
            <family val="34"/>
          </rPr>
          <t xml:space="preserve">
</t>
        </r>
        <r>
          <rPr>
            <sz val="14"/>
            <color rgb="FF000000"/>
            <rFont val="Times New Roman"/>
            <family val="18"/>
          </rPr>
          <t xml:space="preserve">01/11/1802 </t>
        </r>
        <r>
          <rPr>
            <i/>
            <sz val="14"/>
            <color rgb="FF000000"/>
            <rFont val="Times New Roman"/>
            <family val="18"/>
          </rPr>
          <t>Von Haupt Spiedel zum Haupt Seitlinger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Setlinger Komp. Nr. 141 [</t>
        </r>
        <r>
          <rPr>
            <i/>
            <sz val="14"/>
            <color rgb="FF000000"/>
            <rFont val="Times New Roman"/>
            <family val="18"/>
          </rPr>
          <t>Beurlaubt bis zur Einberufung in seinem Geburtsort in Gallizien</t>
        </r>
        <r>
          <rPr>
            <sz val="14"/>
            <color rgb="FF000000"/>
            <rFont val="Times New Roman"/>
            <family val="18"/>
          </rPr>
          <t>]</t>
        </r>
        <r>
          <rPr>
            <sz val="14"/>
            <color rgb="FF000000"/>
            <rFont val="Calibri"/>
            <family val="34"/>
          </rPr>
          <t xml:space="preserve">
</t>
        </r>
        <r>
          <rPr>
            <sz val="14"/>
            <color rgb="FF000000"/>
            <rFont val="Times New Roman"/>
            <family val="18"/>
          </rPr>
          <t>03/09/1804 Muster: IR 59 Haupt Setlinger Komp. Nr. 129 [</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t>
        </r>
      </text>
    </comment>
    <comment ref="BG391" authorId="0" shapeId="0" xr:uid="{4FD2C473-CBF0-7E40-9751-B76EB7E31856}">
      <text>
        <r>
          <rPr>
            <sz val="14"/>
            <color rgb="FF000000"/>
            <rFont val="Times New Roman"/>
            <family val="18"/>
          </rPr>
          <t>ML 5015 IR 59 (1803) –Haupt. Setlinger Komp. Nr. 141 (Enns 29/08/1803)</t>
        </r>
        <r>
          <rPr>
            <sz val="14"/>
            <color rgb="FF000000"/>
            <rFont val="Calibri"/>
            <family val="34"/>
          </rPr>
          <t xml:space="preserve">
</t>
        </r>
        <r>
          <rPr>
            <sz val="14"/>
            <color rgb="FF000000"/>
            <rFont val="Times New Roman"/>
            <family val="18"/>
          </rPr>
          <t>ML 5015 IR 59 (1804) –Haupt. Setlinger Komp. Nr. 129 (Innsbruck 03/09/1804)</t>
        </r>
        <r>
          <rPr>
            <sz val="14"/>
            <color rgb="FF000000"/>
            <rFont val="Calibri"/>
            <family val="34"/>
          </rPr>
          <t xml:space="preserve">
</t>
        </r>
        <r>
          <rPr>
            <sz val="14"/>
            <color rgb="FF000000"/>
            <rFont val="Times New Roman"/>
            <family val="18"/>
          </rPr>
          <t>ML 5017/8 IR 59 (1806) –5. Fus. Komp. Abgang (Linz 20/12/1806)</t>
        </r>
        <r>
          <rPr>
            <sz val="14"/>
            <color rgb="FF000000"/>
            <rFont val="Calibri"/>
            <family val="34"/>
          </rPr>
          <t xml:space="preserve">
</t>
        </r>
        <r>
          <rPr>
            <sz val="14"/>
            <color rgb="FF000000"/>
            <rFont val="Times New Roman"/>
            <family val="18"/>
          </rPr>
          <t>ML 5017/8 IR 59 (1806) – Heft ‚Unwissend verlohren‘ Nr. 99 (Linz 10/07/1807)</t>
        </r>
        <r>
          <rPr>
            <sz val="14"/>
            <color rgb="FF000000"/>
            <rFont val="Calibri"/>
            <family val="34"/>
          </rPr>
          <t xml:space="preserve">
</t>
        </r>
      </text>
    </comment>
    <comment ref="BH391" authorId="0" shapeId="0" xr:uid="{03CC07F2-A7B7-6546-B3BE-851723FD78DB}">
      <text>
        <r>
          <rPr>
            <sz val="14"/>
            <color rgb="FF000000"/>
            <rFont val="Calibri"/>
            <family val="34"/>
          </rPr>
          <t xml:space="preserve">IR 49 (1800-1802)
</t>
        </r>
        <r>
          <rPr>
            <sz val="14"/>
            <color rgb="FF000000"/>
            <rFont val="Calibri"/>
            <family val="34"/>
          </rPr>
          <t>IR 59 (1802-1806)</t>
        </r>
      </text>
    </comment>
    <comment ref="BF392" authorId="0" shapeId="0" xr:uid="{8279251F-EFC3-144F-BAC9-948C6B5C0DE8}">
      <text>
        <r>
          <rPr>
            <sz val="14"/>
            <color rgb="FF000000"/>
            <rFont val="Times New Roman"/>
            <family val="18"/>
          </rPr>
          <t xml:space="preserve">15/07/1800 </t>
        </r>
        <r>
          <rPr>
            <i/>
            <sz val="14"/>
            <color rgb="FF000000"/>
            <rFont val="Times New Roman"/>
            <family val="18"/>
          </rPr>
          <t>von Ständen gestellt und zu Lemberg a 3Fl Handgeld Assentiert</t>
        </r>
        <r>
          <rPr>
            <sz val="14"/>
            <color rgb="FF000000"/>
            <rFont val="Times New Roman"/>
            <family val="18"/>
          </rPr>
          <t xml:space="preserve"> [AL Aug 1800]</t>
        </r>
        <r>
          <rPr>
            <sz val="14"/>
            <color rgb="FF000000"/>
            <rFont val="Calibri"/>
            <family val="34"/>
          </rPr>
          <t xml:space="preserve">
</t>
        </r>
        <r>
          <rPr>
            <sz val="14"/>
            <color rgb="FF000000"/>
            <rFont val="Times New Roman"/>
            <family val="18"/>
          </rPr>
          <t xml:space="preserve">05/12/1800 </t>
        </r>
        <r>
          <rPr>
            <i/>
            <sz val="14"/>
            <color rgb="FF000000"/>
            <rFont val="Times New Roman"/>
            <family val="18"/>
          </rPr>
          <t>In die Reserve Division eingerückt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31/12/1800 </t>
        </r>
        <r>
          <rPr>
            <i/>
            <sz val="14"/>
            <color rgb="FF000000"/>
            <rFont val="Times New Roman"/>
            <family val="18"/>
          </rPr>
          <t xml:space="preserve">Auf den Marsch zum Regiment </t>
        </r>
        <r>
          <rPr>
            <sz val="14"/>
            <color rgb="FF000000"/>
            <rFont val="Times New Roman"/>
            <family val="18"/>
          </rPr>
          <t>[ST Dec 1800]</t>
        </r>
        <r>
          <rPr>
            <sz val="14"/>
            <color rgb="FF000000"/>
            <rFont val="Calibri"/>
            <family val="34"/>
          </rPr>
          <t xml:space="preserve">
</t>
        </r>
        <r>
          <rPr>
            <sz val="14"/>
            <color rgb="FF000000"/>
            <rFont val="Times New Roman"/>
            <family val="18"/>
          </rPr>
          <t xml:space="preserve">06/02/1801 </t>
        </r>
        <r>
          <rPr>
            <i/>
            <sz val="14"/>
            <color rgb="FF000000"/>
            <rFont val="Times New Roman"/>
            <family val="18"/>
          </rPr>
          <t>Von Reserve Division in Haupt Kopf Comp. transferiert</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03/03/1802 </t>
        </r>
        <r>
          <rPr>
            <i/>
            <sz val="14"/>
            <color rgb="FF000000"/>
            <rFont val="Times New Roman"/>
            <family val="18"/>
          </rPr>
          <t>Desertiert</t>
        </r>
        <r>
          <rPr>
            <sz val="14"/>
            <color rgb="FF000000"/>
            <rFont val="Times New Roman"/>
            <family val="18"/>
          </rPr>
          <t xml:space="preserve"> [ST March 1802 &amp; ML 1802] </t>
        </r>
      </text>
    </comment>
    <comment ref="BG392" authorId="0" shapeId="0" xr:uid="{CCCABFC1-D13B-214B-949D-1D20111802BC}">
      <text>
        <r>
          <rPr>
            <sz val="14"/>
            <color rgb="FF000000"/>
            <rFont val="Times New Roman"/>
            <family val="18"/>
          </rPr>
          <t>ML 10.272 IR 43 (1802) – Haupt Köpf Komp. Abgang (Cattaro 28/08/1802)</t>
        </r>
        <r>
          <rPr>
            <sz val="14"/>
            <color rgb="FF000000"/>
            <rFont val="Calibri"/>
            <family val="34"/>
          </rPr>
          <t xml:space="preserve">
</t>
        </r>
        <r>
          <rPr>
            <sz val="14"/>
            <color rgb="FF000000"/>
            <rFont val="Times New Roman"/>
            <family val="18"/>
          </rPr>
          <t>ML 10.309 IR 43 (1800) – ST Dez (02/04/1804)</t>
        </r>
        <r>
          <rPr>
            <sz val="14"/>
            <color rgb="FF000000"/>
            <rFont val="Calibri"/>
            <family val="34"/>
          </rPr>
          <t xml:space="preserve">
</t>
        </r>
        <r>
          <rPr>
            <sz val="14"/>
            <color rgb="FF000000"/>
            <rFont val="Times New Roman"/>
            <family val="18"/>
          </rPr>
          <t>ML 10.310 IR 43 (1800) – AL Nr. 47 (Lemberg 20/08/1800)</t>
        </r>
        <r>
          <rPr>
            <sz val="14"/>
            <color rgb="FF000000"/>
            <rFont val="Calibri"/>
            <family val="34"/>
          </rPr>
          <t xml:space="preserve">
</t>
        </r>
        <r>
          <rPr>
            <sz val="14"/>
            <color rgb="FF000000"/>
            <rFont val="Times New Roman"/>
            <family val="18"/>
          </rPr>
          <t>ML 10.311 IR 43 (1801) – ST Feb (28/09/1804)</t>
        </r>
        <r>
          <rPr>
            <sz val="14"/>
            <color rgb="FF000000"/>
            <rFont val="Calibri"/>
            <family val="34"/>
          </rPr>
          <t xml:space="preserve">
</t>
        </r>
        <r>
          <rPr>
            <sz val="14"/>
            <color rgb="FF000000"/>
            <rFont val="Times New Roman"/>
            <family val="18"/>
          </rPr>
          <t>ML 10.312 IR 43 (1802) – ST März (15/04/1802)</t>
        </r>
        <r>
          <rPr>
            <sz val="14"/>
            <color rgb="FF000000"/>
            <rFont val="Calibri"/>
            <family val="34"/>
          </rPr>
          <t xml:space="preserve">
</t>
        </r>
      </text>
    </comment>
    <comment ref="BH392" authorId="0" shapeId="0" xr:uid="{8595D610-45EA-6449-B06D-9151679CA9BA}">
      <text>
        <r>
          <rPr>
            <sz val="14"/>
            <color rgb="FF000000"/>
            <rFont val="Calibri"/>
            <family val="34"/>
          </rPr>
          <t>IR 43 (1800-1802)</t>
        </r>
      </text>
    </comment>
    <comment ref="BF393" authorId="0" shapeId="0" xr:uid="{345D6E66-AEF2-B341-A846-7EB362F0B547}">
      <text>
        <r>
          <rPr>
            <sz val="14"/>
            <color rgb="FF000000"/>
            <rFont val="Times New Roman"/>
            <family val="18"/>
          </rPr>
          <t xml:space="preserve">16/07/1800 </t>
        </r>
        <r>
          <rPr>
            <i/>
            <sz val="14"/>
            <color rgb="FF000000"/>
            <rFont val="Times New Roman"/>
            <family val="18"/>
          </rPr>
          <t>von Ständen gestellt und zu Lemberg a 3Fl Handgeld assentiert und seitdem auf Anhero Marsch mit Friedensgebuhr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28/03/1801 </t>
        </r>
        <r>
          <rPr>
            <i/>
            <sz val="14"/>
            <color rgb="FF000000"/>
            <rFont val="Times New Roman"/>
            <family val="18"/>
          </rPr>
          <t>Desertiert</t>
        </r>
        <r>
          <rPr>
            <sz val="14"/>
            <color rgb="FF000000"/>
            <rFont val="Times New Roman"/>
            <family val="18"/>
          </rPr>
          <t xml:space="preserve"> [ST April 1801]</t>
        </r>
        <r>
          <rPr>
            <sz val="14"/>
            <color rgb="FF000000"/>
            <rFont val="Calibri"/>
            <family val="34"/>
          </rPr>
          <t xml:space="preserve">
</t>
        </r>
      </text>
    </comment>
    <comment ref="BG393" authorId="0" shapeId="0" xr:uid="{46FFB92A-554D-DC4D-AE63-E1CE7374BC4C}">
      <text>
        <r>
          <rPr>
            <sz val="14"/>
            <color rgb="FF000000"/>
            <rFont val="Times New Roman"/>
            <family val="18"/>
          </rPr>
          <t>ML 10.309 IR 43 (1800) – Aug (27/12/1803)</t>
        </r>
        <r>
          <rPr>
            <sz val="14"/>
            <color rgb="FF000000"/>
            <rFont val="Calibri"/>
            <family val="34"/>
          </rPr>
          <t xml:space="preserve">
</t>
        </r>
        <r>
          <rPr>
            <sz val="14"/>
            <color rgb="FF000000"/>
            <rFont val="Times New Roman"/>
            <family val="18"/>
          </rPr>
          <t>ML 10.310 IR 43 (1800) – AL Nr. 49 (Lemberg 20/08/1800)</t>
        </r>
        <r>
          <rPr>
            <sz val="14"/>
            <color rgb="FF000000"/>
            <rFont val="Calibri"/>
            <family val="34"/>
          </rPr>
          <t xml:space="preserve">
</t>
        </r>
        <r>
          <rPr>
            <sz val="14"/>
            <color rgb="FF000000"/>
            <rFont val="Times New Roman"/>
            <family val="18"/>
          </rPr>
          <t>ML 10.311 IR 43 (1801) – April (13/10/1804)</t>
        </r>
        <r>
          <rPr>
            <sz val="14"/>
            <color rgb="FF000000"/>
            <rFont val="Calibri"/>
            <family val="34"/>
          </rPr>
          <t xml:space="preserve">
</t>
        </r>
      </text>
    </comment>
    <comment ref="BH393" authorId="0" shapeId="0" xr:uid="{6A1F5B74-8C61-9D4E-986F-454190B754BD}">
      <text>
        <r>
          <rPr>
            <sz val="14"/>
            <color rgb="FF000000"/>
            <rFont val="Calibri"/>
            <family val="34"/>
          </rPr>
          <t>IR 43 (1800-1801)</t>
        </r>
      </text>
    </comment>
    <comment ref="BF394" authorId="0" shapeId="0" xr:uid="{8C7C5C2F-E68D-BA4A-B9EB-3C347718AC6F}">
      <text>
        <r>
          <rPr>
            <sz val="14"/>
            <color rgb="FF000000"/>
            <rFont val="Times New Roman"/>
            <family val="18"/>
          </rPr>
          <t xml:space="preserve">16/07/1800 </t>
        </r>
        <r>
          <rPr>
            <i/>
            <sz val="14"/>
            <color rgb="FF000000"/>
            <rFont val="Times New Roman"/>
            <family val="18"/>
          </rPr>
          <t>von Ständen gestellt und zu Lemberg a 3Fl Handgeld Assentiert und seitdem auf anhero Marsch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über ½ Jahr auswärts und deren Existenz gänzlich unbewusst als unwissend Verloren gegangen</t>
        </r>
        <r>
          <rPr>
            <sz val="14"/>
            <color rgb="FF000000"/>
            <rFont val="Times New Roman"/>
            <family val="18"/>
          </rPr>
          <t xml:space="preserve"> [ST Oct 1801]</t>
        </r>
        <r>
          <rPr>
            <sz val="14"/>
            <color rgb="FF000000"/>
            <rFont val="Calibri"/>
            <family val="34"/>
          </rPr>
          <t xml:space="preserve">
</t>
        </r>
      </text>
    </comment>
    <comment ref="BG394" authorId="0" shapeId="0" xr:uid="{64DF4355-92AA-274F-B03F-C01A6FAEAEA0}">
      <text>
        <r>
          <rPr>
            <sz val="14"/>
            <color rgb="FF000000"/>
            <rFont val="Times New Roman"/>
            <family val="18"/>
          </rPr>
          <t>ML 10.309 IR 43 (1800) – Aug (27/12/1803)</t>
        </r>
        <r>
          <rPr>
            <sz val="14"/>
            <color rgb="FF000000"/>
            <rFont val="Calibri"/>
            <family val="34"/>
          </rPr>
          <t xml:space="preserve">
</t>
        </r>
        <r>
          <rPr>
            <sz val="14"/>
            <color rgb="FF000000"/>
            <rFont val="Times New Roman"/>
            <family val="18"/>
          </rPr>
          <t>ML 10.310 IR 43 (1800) – AL Nr. 50 (Lemberg 20/08/1800)</t>
        </r>
        <r>
          <rPr>
            <sz val="14"/>
            <color rgb="FF000000"/>
            <rFont val="Calibri"/>
            <family val="34"/>
          </rPr>
          <t xml:space="preserve">
</t>
        </r>
        <r>
          <rPr>
            <sz val="14"/>
            <color rgb="FF000000"/>
            <rFont val="Times New Roman"/>
            <family val="18"/>
          </rPr>
          <t>ML 10.311 IR 43 (1801) – Okt (21/07/1805)</t>
        </r>
      </text>
    </comment>
    <comment ref="BH394" authorId="0" shapeId="0" xr:uid="{ECD38191-EB36-3441-812A-2C77D9A8DBEE}">
      <text>
        <r>
          <rPr>
            <sz val="14"/>
            <color rgb="FF000000"/>
            <rFont val="Calibri"/>
            <family val="34"/>
          </rPr>
          <t>IR 43 (1800-1801)</t>
        </r>
      </text>
    </comment>
    <comment ref="BF395" authorId="0" shapeId="0" xr:uid="{D4956CB1-7A40-CB4A-A94B-2D1597209F59}">
      <text>
        <r>
          <rPr>
            <sz val="14"/>
            <color rgb="FF000000"/>
            <rFont val="Times New Roman"/>
            <family val="18"/>
          </rPr>
          <t xml:space="preserve">18/07/1800 </t>
        </r>
        <r>
          <rPr>
            <i/>
            <sz val="14"/>
            <color rgb="FF000000"/>
            <rFont val="Times New Roman"/>
            <family val="18"/>
          </rPr>
          <t>Von der Herrschaft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 xml:space="preserve">Von Kerpen Inf Regiment </t>
        </r>
        <r>
          <rPr>
            <sz val="14"/>
            <color rgb="FF000000"/>
            <rFont val="Times New Roman"/>
            <family val="18"/>
          </rPr>
          <t>[</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[IR 23]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09/09/1802 Muster: IR 23 Haupt Hochegg Nr. 149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30/06/1803 </t>
        </r>
        <r>
          <rPr>
            <i/>
            <sz val="14"/>
            <color rgb="FF000000"/>
            <rFont val="Times New Roman"/>
            <family val="18"/>
          </rPr>
          <t>Gegen Renunierung als Reale Invalid mit Abschied entlassen</t>
        </r>
        <r>
          <rPr>
            <sz val="14"/>
            <color rgb="FF000000"/>
            <rFont val="Times New Roman"/>
            <family val="18"/>
          </rPr>
          <t xml:space="preserve"> [ML 1803]</t>
        </r>
        <r>
          <rPr>
            <sz val="14"/>
            <color rgb="FF000000"/>
            <rFont val="Calibri"/>
            <family val="2"/>
            <scheme val="minor"/>
          </rPr>
          <t xml:space="preserve"> </t>
        </r>
      </text>
    </comment>
    <comment ref="BG395" authorId="0" shapeId="0" xr:uid="{A31B714A-7F44-7746-AE1A-CBAA7E4BDA3B}">
      <text>
        <r>
          <rPr>
            <sz val="14"/>
            <color rgb="FF000000"/>
            <rFont val="Times New Roman"/>
            <family val="18"/>
          </rPr>
          <t>ML 10.124 IR 23 (1802) – Haupt Hochegg Komp. Nr. 149 (Krems 09/09/1802)</t>
        </r>
        <r>
          <rPr>
            <sz val="14"/>
            <color rgb="FF000000"/>
            <rFont val="Calibri"/>
            <family val="34"/>
          </rPr>
          <t xml:space="preserve">
</t>
        </r>
        <r>
          <rPr>
            <sz val="14"/>
            <color rgb="FF000000"/>
            <rFont val="Times New Roman"/>
            <family val="18"/>
          </rPr>
          <t>ML 10.125 IR 23 (1803) – Haupt Hochegg Komp Abgang (Execierlager bei St Pölten 07/09/1803)</t>
        </r>
        <r>
          <rPr>
            <sz val="14"/>
            <color rgb="FF000000"/>
            <rFont val="Calibri"/>
            <family val="34"/>
          </rPr>
          <t xml:space="preserve">
</t>
        </r>
      </text>
    </comment>
    <comment ref="BH395" authorId="0" shapeId="0" xr:uid="{43F8E631-6D71-3143-A62D-C4592F29318D}">
      <text>
        <r>
          <rPr>
            <sz val="14"/>
            <color rgb="FF000000"/>
            <rFont val="Calibri"/>
            <family val="34"/>
          </rPr>
          <t>IR 43 (1800-1803)</t>
        </r>
      </text>
    </comment>
    <comment ref="BF396" authorId="0" shapeId="0" xr:uid="{FEF53905-AE85-4242-B485-0FB7C94716FC}">
      <text>
        <r>
          <rPr>
            <sz val="14"/>
            <color rgb="FF000000"/>
            <rFont val="Times New Roman"/>
            <family val="18"/>
          </rPr>
          <t xml:space="preserve">21/07/1800 </t>
        </r>
        <r>
          <rPr>
            <i/>
            <sz val="14"/>
            <color rgb="FF000000"/>
            <rFont val="Times New Roman"/>
            <family val="18"/>
          </rPr>
          <t>Von Ständen gestellt und zu Lemberg a 3Fl Handgeld assentiert und seitdem of anhero Marsch mit Friedensgebühr</t>
        </r>
        <r>
          <rPr>
            <sz val="14"/>
            <color rgb="FF000000"/>
            <rFont val="Times New Roman"/>
            <family val="18"/>
          </rPr>
          <t xml:space="preserve"> [ST Aug 1800]</t>
        </r>
        <r>
          <rPr>
            <sz val="14"/>
            <color rgb="FF000000"/>
            <rFont val="Calibri"/>
            <family val="34"/>
          </rPr>
          <t xml:space="preserve">
</t>
        </r>
        <r>
          <rPr>
            <sz val="14"/>
            <color rgb="FF000000"/>
            <rFont val="Times New Roman"/>
            <family val="18"/>
          </rPr>
          <t xml:space="preserve">15/12/1800 </t>
        </r>
        <r>
          <rPr>
            <i/>
            <sz val="14"/>
            <color rgb="FF000000"/>
            <rFont val="Times New Roman"/>
            <family val="18"/>
          </rPr>
          <t>zu der k.k. italienischer Fuhrwesens Reserve trasnferiert</t>
        </r>
        <r>
          <rPr>
            <sz val="14"/>
            <color rgb="FF000000"/>
            <rFont val="Times New Roman"/>
            <family val="18"/>
          </rPr>
          <t xml:space="preserve"> [ST Dec 1800]</t>
        </r>
        <r>
          <rPr>
            <sz val="14"/>
            <color rgb="FF000000"/>
            <rFont val="Calibri"/>
            <family val="34"/>
          </rPr>
          <t xml:space="preserve">
</t>
        </r>
        <r>
          <rPr>
            <sz val="14"/>
            <color rgb="FF000000"/>
            <rFont val="Times New Roman"/>
            <family val="18"/>
          </rPr>
          <t xml:space="preserve">
</t>
        </r>
      </text>
    </comment>
    <comment ref="BG396" authorId="0" shapeId="0" xr:uid="{FBDB15C5-6ADD-F644-8CA2-8D455A542AA6}">
      <text>
        <r>
          <rPr>
            <sz val="14"/>
            <color rgb="FF000000"/>
            <rFont val="Times New Roman"/>
            <family val="18"/>
          </rPr>
          <t>ML 10.309 IR 43 (1800) – Aug (27/12/1803), Dez (18/08/1804)</t>
        </r>
        <r>
          <rPr>
            <sz val="14"/>
            <color rgb="FF000000"/>
            <rFont val="Calibri"/>
            <family val="34"/>
          </rPr>
          <t xml:space="preserve">
</t>
        </r>
        <r>
          <rPr>
            <sz val="14"/>
            <color rgb="FF000000"/>
            <rFont val="Times New Roman"/>
            <family val="18"/>
          </rPr>
          <t>ML 10.310 IR 43 (1800) – AL Nr. 51 (Lemberg 20/08/1800)</t>
        </r>
        <r>
          <rPr>
            <sz val="14"/>
            <color rgb="FF000000"/>
            <rFont val="Calibri"/>
            <family val="34"/>
          </rPr>
          <t xml:space="preserve">
</t>
        </r>
        <r>
          <rPr>
            <sz val="14"/>
            <color rgb="FF000000"/>
            <rFont val="Times New Roman"/>
            <family val="18"/>
          </rPr>
          <t xml:space="preserve">
</t>
        </r>
      </text>
    </comment>
    <comment ref="BH396" authorId="0" shapeId="0" xr:uid="{A278F639-849C-E247-BB3F-81AC8BEB4402}">
      <text>
        <r>
          <rPr>
            <sz val="14"/>
            <color rgb="FF000000"/>
            <rFont val="Calibri"/>
            <family val="34"/>
          </rPr>
          <t xml:space="preserve">IR 43 (1800)
</t>
        </r>
        <r>
          <rPr>
            <sz val="14"/>
            <color rgb="FF000000"/>
            <rFont val="Calibri"/>
            <family val="34"/>
          </rPr>
          <t>MFWK (1800)</t>
        </r>
      </text>
    </comment>
    <comment ref="T397" authorId="0" shapeId="0" xr:uid="{729F0234-372F-2448-A037-527C36B76371}">
      <text>
        <r>
          <rPr>
            <sz val="14"/>
            <color rgb="FF000000"/>
            <rFont val="Calibri"/>
            <family val="34"/>
          </rPr>
          <t xml:space="preserve">5.2.3 [163.92 cm(1803)]
</t>
        </r>
        <r>
          <rPr>
            <sz val="14"/>
            <color rgb="FF000000"/>
            <rFont val="Calibri"/>
            <family val="34"/>
          </rPr>
          <t>5.1.3. [161.29 cm (1804)]</t>
        </r>
      </text>
    </comment>
    <comment ref="BF397" authorId="0" shapeId="0" xr:uid="{B7F0F391-5238-C243-92C6-425235A8A90A}">
      <text>
        <r>
          <rPr>
            <sz val="14"/>
            <color rgb="FF000000"/>
            <rFont val="Times New Roman"/>
            <family val="18"/>
          </rPr>
          <t xml:space="preserve">24/07/1800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Drohn Komp. Nr. 55</t>
        </r>
        <r>
          <rPr>
            <sz val="14"/>
            <color rgb="FF000000"/>
            <rFont val="Calibri"/>
            <family val="34"/>
          </rPr>
          <t xml:space="preserve">
</t>
        </r>
        <r>
          <rPr>
            <sz val="14"/>
            <color rgb="FF000000"/>
            <rFont val="Times New Roman"/>
            <family val="18"/>
          </rPr>
          <t>05/09/1804 Muster: IR 59 Haupt Drohn Komp. Nr. 51</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NÖ Gen. Comdo Verordnung vom 7. Aug Lit R Nr 3178 als zu Feldkriegsdienst unfähig und gegen Renuncierug aud alle milit. Beneficien mit Abschied entlassen</t>
        </r>
        <r>
          <rPr>
            <sz val="14"/>
            <color rgb="FF000000"/>
            <rFont val="Times New Roman"/>
            <family val="18"/>
          </rPr>
          <t xml:space="preserve"> [ML 1806] </t>
        </r>
        <r>
          <rPr>
            <sz val="14"/>
            <color rgb="FF000000"/>
            <rFont val="Calibri"/>
            <family val="34"/>
          </rPr>
          <t xml:space="preserve">
</t>
        </r>
      </text>
    </comment>
    <comment ref="BG397" authorId="0" shapeId="0" xr:uid="{DF325A93-AE6B-3A41-ABAE-6422D5B96842}">
      <text>
        <r>
          <rPr>
            <sz val="14"/>
            <color rgb="FF000000"/>
            <rFont val="Times New Roman"/>
            <family val="18"/>
          </rPr>
          <t>ML 5015 IR 59 (1803) – Haupt. Drohn Komp. Nr. 55 (Wells 30/08/1803)</t>
        </r>
        <r>
          <rPr>
            <sz val="14"/>
            <color rgb="FF000000"/>
            <rFont val="Calibri"/>
            <family val="34"/>
          </rPr>
          <t xml:space="preserve">
</t>
        </r>
        <r>
          <rPr>
            <sz val="14"/>
            <color rgb="FF000000"/>
            <rFont val="Times New Roman"/>
            <family val="18"/>
          </rPr>
          <t>ML 5016 IR 59 (1804) – Haupt. Drohn Komp. Nr. 51 (Wells 05/09/1804)</t>
        </r>
        <r>
          <rPr>
            <sz val="14"/>
            <color rgb="FF000000"/>
            <rFont val="Calibri"/>
            <family val="34"/>
          </rPr>
          <t xml:space="preserve">
</t>
        </r>
        <r>
          <rPr>
            <sz val="14"/>
            <color rgb="FF000000"/>
            <rFont val="Times New Roman"/>
            <family val="18"/>
          </rPr>
          <t>ML 5017/8 IR 59 (1806) – 16. Fus. Komp. Abgang (Freistadt 22/12/1816)</t>
        </r>
      </text>
    </comment>
    <comment ref="BH397" authorId="0" shapeId="0" xr:uid="{466AFCA0-8464-2B4D-B848-C45F43E941C6}">
      <text>
        <r>
          <rPr>
            <sz val="14"/>
            <color rgb="FF000000"/>
            <rFont val="Calibri"/>
            <family val="34"/>
          </rPr>
          <t>IR 43 (1800-1806)</t>
        </r>
      </text>
    </comment>
    <comment ref="BF398" authorId="0" shapeId="0" xr:uid="{6A7314E7-64F8-1146-826E-A60602627E95}">
      <text>
        <r>
          <rPr>
            <sz val="14"/>
            <color rgb="FF000000"/>
            <rFont val="Times New Roman"/>
            <family val="18"/>
          </rPr>
          <t xml:space="preserve">24/07/1800 </t>
        </r>
        <r>
          <rPr>
            <i/>
            <sz val="14"/>
            <color rgb="FF000000"/>
            <rFont val="Times New Roman"/>
            <family val="18"/>
          </rPr>
          <t>Zu Kerpen Infantrie Regiment Nr. 49 auf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Rauch Nr. 145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13/09/1803 Muster: IR 23 Haupt Rauch Nr. 118 [</t>
        </r>
        <r>
          <rPr>
            <i/>
            <sz val="14"/>
            <color rgb="FF000000"/>
            <rFont val="Times New Roman"/>
            <family val="18"/>
          </rPr>
          <t>Bestimmt beurlaubt in Polen in seinem Geburtsort</t>
        </r>
        <r>
          <rPr>
            <sz val="14"/>
            <color rgb="FF000000"/>
            <rFont val="Times New Roman"/>
            <family val="18"/>
          </rPr>
          <t>]</t>
        </r>
        <r>
          <rPr>
            <sz val="14"/>
            <color rgb="FF000000"/>
            <rFont val="Calibri"/>
            <family val="34"/>
          </rPr>
          <t xml:space="preserve">
</t>
        </r>
        <r>
          <rPr>
            <sz val="14"/>
            <color rgb="FF000000"/>
            <rFont val="Times New Roman"/>
            <family val="18"/>
          </rPr>
          <t>06/09/1804 Muster: IR 23 Haupt Rauch Nr. 105 [</t>
        </r>
        <r>
          <rPr>
            <i/>
            <sz val="14"/>
            <color rgb="FF000000"/>
            <rFont val="Times New Roman"/>
            <family val="18"/>
          </rPr>
          <t>Beurlaubt bis zur Exercierszeit in seinem Geburtsort in Polen</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Haupt Rauch zum Haupt Della Torre Komp.</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31/05/1806 </t>
        </r>
        <r>
          <rPr>
            <i/>
            <sz val="14"/>
            <color rgb="FF000000"/>
            <rFont val="Times New Roman"/>
            <family val="18"/>
          </rPr>
          <t>Als auf Urlaub verbliebene als unwissend verloren in Abgang gebracht</t>
        </r>
        <r>
          <rPr>
            <sz val="14"/>
            <color rgb="FF000000"/>
            <rFont val="Times New Roman"/>
            <family val="18"/>
          </rPr>
          <t xml:space="preserve"> [ML 1807 &amp; ST May 1806]</t>
        </r>
        <r>
          <rPr>
            <sz val="14"/>
            <color rgb="FF000000"/>
            <rFont val="Calibri"/>
            <family val="2"/>
            <scheme val="minor"/>
          </rPr>
          <t xml:space="preserve"> </t>
        </r>
      </text>
    </comment>
    <comment ref="BG398" authorId="0" shapeId="0" xr:uid="{D3650261-6262-7949-8631-F23B138D262F}">
      <text>
        <r>
          <rPr>
            <sz val="14"/>
            <color rgb="FF000000"/>
            <rFont val="Times New Roman"/>
            <family val="18"/>
          </rPr>
          <t>ML 10.124 IR 23 (1802) – Haupt Rauch Komp. Nr. 145 (Vienna 16/09/1802)</t>
        </r>
        <r>
          <rPr>
            <sz val="14"/>
            <color rgb="FF000000"/>
            <rFont val="Calibri"/>
            <family val="34"/>
          </rPr>
          <t xml:space="preserve">
</t>
        </r>
        <r>
          <rPr>
            <sz val="14"/>
            <color rgb="FF000000"/>
            <rFont val="Times New Roman"/>
            <family val="18"/>
          </rPr>
          <t>ML 10.125 IR 23 (1803) – Haupt Rauch Komp. Nr. 118 (Vienna 16/09/1803)</t>
        </r>
        <r>
          <rPr>
            <sz val="14"/>
            <color rgb="FF000000"/>
            <rFont val="Calibri"/>
            <family val="34"/>
          </rPr>
          <t xml:space="preserve">
</t>
        </r>
        <r>
          <rPr>
            <sz val="14"/>
            <color rgb="FF000000"/>
            <rFont val="Times New Roman"/>
            <family val="18"/>
          </rPr>
          <t>ML 10.126 IR 23 (1804) – Haupt Rauch Komp. Nr. 105 (Krems 06/09/1804)</t>
        </r>
        <r>
          <rPr>
            <sz val="14"/>
            <color rgb="FF000000"/>
            <rFont val="Calibri"/>
            <family val="34"/>
          </rPr>
          <t xml:space="preserve">
</t>
        </r>
        <r>
          <rPr>
            <sz val="14"/>
            <color rgb="FF000000"/>
            <rFont val="Times New Roman"/>
            <family val="18"/>
          </rPr>
          <t>ML 10.127/8 IR 23 (1807) – Haupt Della Torre Komp. Abgang (Korneuburg 24/01/1807)</t>
        </r>
        <r>
          <rPr>
            <sz val="14"/>
            <color rgb="FF000000"/>
            <rFont val="Calibri"/>
            <family val="34"/>
          </rPr>
          <t xml:space="preserve">
</t>
        </r>
        <r>
          <rPr>
            <sz val="14"/>
            <color rgb="FF000000"/>
            <rFont val="Times New Roman"/>
            <family val="18"/>
          </rPr>
          <t>ML 10.175 IR 23 (1806) – ST June (15/05/1807)</t>
        </r>
      </text>
    </comment>
    <comment ref="BH398" authorId="0" shapeId="0" xr:uid="{375279D2-35F8-9D41-A3C6-3409B0687E4B}">
      <text>
        <r>
          <rPr>
            <sz val="14"/>
            <color rgb="FF000000"/>
            <rFont val="Calibri"/>
            <family val="34"/>
          </rPr>
          <t xml:space="preserve">IR 49 (1800-1802)
</t>
        </r>
        <r>
          <rPr>
            <sz val="14"/>
            <color rgb="FF000000"/>
            <rFont val="Calibri"/>
            <family val="34"/>
          </rPr>
          <t>IR 23 (1802-1806)</t>
        </r>
      </text>
    </comment>
    <comment ref="BF399" authorId="0" shapeId="0" xr:uid="{D70F1521-03A9-184F-A403-C9F7F8993C69}">
      <text>
        <r>
          <rPr>
            <sz val="14"/>
            <color rgb="FF000000"/>
            <rFont val="Times New Roman"/>
            <family val="18"/>
          </rPr>
          <t xml:space="preserve">25/07/1800 </t>
        </r>
        <r>
          <rPr>
            <i/>
            <sz val="14"/>
            <color rgb="FF000000"/>
            <rFont val="Times New Roman"/>
            <family val="18"/>
          </rPr>
          <t>Als landständischer Recrout auf Beständing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26/10/1802 Beurlaubt in seinem Geburtsort [ML 1806]</t>
        </r>
        <r>
          <rPr>
            <sz val="14"/>
            <color rgb="FF000000"/>
            <rFont val="Calibri"/>
            <family val="34"/>
          </rPr>
          <t xml:space="preserve">
</t>
        </r>
        <r>
          <rPr>
            <sz val="14"/>
            <color rgb="FF000000"/>
            <rFont val="Times New Roman"/>
            <family val="18"/>
          </rPr>
          <t>30/08/1803 Muster: Haupt Kappaun Komp. Nr. 55 [</t>
        </r>
        <r>
          <rPr>
            <i/>
            <sz val="14"/>
            <color rgb="FF000000"/>
            <rFont val="Times New Roman"/>
            <family val="18"/>
          </rPr>
          <t>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05/09/1804 Muster: Haupt Kappaun Komp. Nr. 52 [</t>
        </r>
        <r>
          <rPr>
            <i/>
            <sz val="14"/>
            <color rgb="FF000000"/>
            <rFont val="Times New Roman"/>
            <family val="18"/>
          </rPr>
          <t xml:space="preserve">Beurlaubt zu Sopial, Schelzer Kreis in W. </t>
        </r>
        <r>
          <rPr>
            <sz val="14"/>
            <color rgb="FF000000"/>
            <rFont val="Calibri"/>
            <family val="34"/>
          </rPr>
          <t xml:space="preserve">
</t>
        </r>
        <r>
          <rPr>
            <i/>
            <sz val="14"/>
            <color rgb="FF000000"/>
            <rFont val="Times New Roman"/>
            <family val="18"/>
          </rPr>
          <t>Gal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1806]</t>
        </r>
        <r>
          <rPr>
            <sz val="14"/>
            <color rgb="FF000000"/>
            <rFont val="Calibri"/>
            <family val="34"/>
          </rPr>
          <t xml:space="preserve">
</t>
        </r>
      </text>
    </comment>
    <comment ref="BG399" authorId="0" shapeId="0" xr:uid="{F3E9156C-884D-9F41-BE51-DF46A6CC2BF7}">
      <text>
        <r>
          <rPr>
            <sz val="14"/>
            <color rgb="FF000000"/>
            <rFont val="Times New Roman"/>
            <family val="18"/>
          </rPr>
          <t>IR 59 5015 (1804) – Haupt Kappaun Komp. Nr. 55 (Wells 30/08/1804)</t>
        </r>
        <r>
          <rPr>
            <sz val="14"/>
            <color rgb="FF000000"/>
            <rFont val="Calibri"/>
            <family val="34"/>
          </rPr>
          <t xml:space="preserve">
</t>
        </r>
        <r>
          <rPr>
            <sz val="14"/>
            <color rgb="FF000000"/>
            <rFont val="Times New Roman"/>
            <family val="18"/>
          </rPr>
          <t>IR 59 5016 (1804) – Haupt Kappaun Komp. Nr. 52 (Mils bei Hall 05/09/1804)</t>
        </r>
        <r>
          <rPr>
            <sz val="14"/>
            <color rgb="FF000000"/>
            <rFont val="Calibri"/>
            <family val="34"/>
          </rPr>
          <t xml:space="preserve">
</t>
        </r>
        <r>
          <rPr>
            <sz val="14"/>
            <color rgb="FF000000"/>
            <rFont val="Times New Roman"/>
            <family val="18"/>
          </rPr>
          <t>ML 5017/8 IR 59 (1806) – 14. Fus. Komp. Abgang (Freistadt 22/12/1806) &amp; Cons. ‚Unwissend verlohren‘ Nr. 248 (Linz 10/07/1807)</t>
        </r>
      </text>
    </comment>
    <comment ref="BH399" authorId="0" shapeId="0" xr:uid="{217648D0-0BC1-8642-938D-2322B5EEAA51}">
      <text>
        <r>
          <rPr>
            <sz val="14"/>
            <color rgb="FF000000"/>
            <rFont val="Calibri"/>
            <family val="34"/>
          </rPr>
          <t>IR 43 (1800-1806)</t>
        </r>
      </text>
    </comment>
    <comment ref="CR399" authorId="0" shapeId="0" xr:uid="{1F1DBB3D-6E1F-9547-9A14-833D7A37C2FE}">
      <text>
        <r>
          <rPr>
            <sz val="14"/>
            <color rgb="FF000000"/>
            <rFont val="Calibri"/>
            <family val="34"/>
          </rPr>
          <t xml:space="preserve">1803/4: Katolisch
</t>
        </r>
        <r>
          <rPr>
            <sz val="14"/>
            <color rgb="FF000000"/>
            <rFont val="Calibri"/>
            <family val="34"/>
          </rPr>
          <t>1806: Jüdisch</t>
        </r>
      </text>
    </comment>
    <comment ref="BF400" authorId="0" shapeId="0" xr:uid="{975AB0C4-A232-334C-96DB-01AA415F5B26}">
      <text>
        <r>
          <rPr>
            <sz val="14"/>
            <color rgb="FF000000"/>
            <rFont val="Times New Roman"/>
            <family val="18"/>
          </rPr>
          <t xml:space="preserve">25/07/1800 </t>
        </r>
        <r>
          <rPr>
            <i/>
            <sz val="14"/>
            <color rgb="FF000000"/>
            <rFont val="Times New Roman"/>
            <family val="18"/>
          </rPr>
          <t>A 3Fl von gallizischen Ständen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seinem Geburtsort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30/08/1803 Muster: IR 59 Haupt Drohn Komp. Nr. 106 </t>
        </r>
        <r>
          <rPr>
            <sz val="14"/>
            <color rgb="FF000000"/>
            <rFont val="Times New Roman"/>
            <family val="18"/>
          </rPr>
          <t>[</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97 [</t>
        </r>
        <r>
          <rPr>
            <i/>
            <sz val="14"/>
            <color rgb="FF000000"/>
            <rFont val="Times New Roman"/>
            <family val="18"/>
          </rPr>
          <t>Beurlaubt bis Einberufung in seinem Geburtort</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text>
    </comment>
    <comment ref="BG400" authorId="0" shapeId="0" xr:uid="{B7D4E18A-27B3-2B42-8EAB-90B2295C3FD5}">
      <text>
        <r>
          <rPr>
            <sz val="14"/>
            <color rgb="FF000000"/>
            <rFont val="Times New Roman"/>
            <family val="18"/>
          </rPr>
          <t>ML 5015 IR 59 (1803) – Haupt. Drohn Komp. Nr. 106 (Wells 30/08/1803)</t>
        </r>
        <r>
          <rPr>
            <sz val="14"/>
            <color rgb="FF000000"/>
            <rFont val="Calibri"/>
            <family val="34"/>
          </rPr>
          <t xml:space="preserve">
</t>
        </r>
        <r>
          <rPr>
            <sz val="14"/>
            <color rgb="FF000000"/>
            <rFont val="Times New Roman"/>
            <family val="18"/>
          </rPr>
          <t>ML 5016 IR 59 (1804) – Haupt. Drohn Komp. Nr. 97 (Wells 05/09/1804)</t>
        </r>
        <r>
          <rPr>
            <sz val="14"/>
            <color rgb="FF000000"/>
            <rFont val="Calibri"/>
            <family val="34"/>
          </rPr>
          <t xml:space="preserve">
</t>
        </r>
        <r>
          <rPr>
            <sz val="14"/>
            <color rgb="FF000000"/>
            <rFont val="Times New Roman"/>
            <family val="18"/>
          </rPr>
          <t>ML 5017/8 IR 59 (1806) – 16. Fus. Komp. Abgang (Freistadt 22/12/1806), Consc. ‚Unwissend Verloren‘ Nr. 673 (Linz 10/07/1807)</t>
        </r>
        <r>
          <rPr>
            <sz val="14"/>
            <color rgb="FF000000"/>
            <rFont val="Calibri"/>
            <family val="34"/>
          </rPr>
          <t xml:space="preserve">
</t>
        </r>
      </text>
    </comment>
    <comment ref="BH400" authorId="0" shapeId="0" xr:uid="{0328FC86-118B-6B4B-90D8-63B734CC115F}">
      <text>
        <r>
          <rPr>
            <sz val="14"/>
            <color rgb="FF000000"/>
            <rFont val="Calibri"/>
            <family val="34"/>
          </rPr>
          <t>IR 43 (1800-1806)</t>
        </r>
      </text>
    </comment>
    <comment ref="BF401" authorId="0" shapeId="0" xr:uid="{883003B4-8851-D64F-B888-124E0E840512}">
      <text>
        <r>
          <rPr>
            <sz val="14"/>
            <color rgb="FF000000"/>
            <rFont val="Times New Roman"/>
            <family val="18"/>
          </rPr>
          <t xml:space="preserve">31/07/1800 </t>
        </r>
        <r>
          <rPr>
            <i/>
            <sz val="14"/>
            <color rgb="FF000000"/>
            <rFont val="Times New Roman"/>
            <family val="18"/>
          </rPr>
          <t>A 3Fl Handgled für beständig als landständischer Recrout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Beurlaubt in Ort und Herrschaft Wengrow in Siedlecer Kreis in Westgalliz</t>
        </r>
        <r>
          <rPr>
            <sz val="14"/>
            <color rgb="FF000000"/>
            <rFont val="Times New Roman"/>
            <family val="18"/>
          </rPr>
          <t xml:space="preserve"> [ML 1806]</t>
        </r>
        <r>
          <rPr>
            <sz val="14"/>
            <color rgb="FF000000"/>
            <rFont val="Calibri"/>
            <family val="34"/>
          </rPr>
          <t xml:space="preserve">
</t>
        </r>
        <r>
          <rPr>
            <sz val="14"/>
            <color rgb="FF000000"/>
            <rFont val="Times New Roman"/>
            <family val="18"/>
          </rPr>
          <t>29/08/1803 Muster: IR 59 Haupt Eiselberg Komp. Nr. 90 [</t>
        </r>
        <r>
          <rPr>
            <i/>
            <sz val="14"/>
            <color rgb="FF000000"/>
            <rFont val="Times New Roman"/>
            <family val="18"/>
          </rPr>
          <t>Unbestimt 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03/09/1804 Muster: IR 59 Haupt Eiselberg Komp. Nr. 84</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verbliebene unwissend verloren</t>
        </r>
        <r>
          <rPr>
            <sz val="14"/>
            <color rgb="FF000000"/>
            <rFont val="Times New Roman"/>
            <family val="18"/>
          </rPr>
          <t xml:space="preserve"> [ML 1807]</t>
        </r>
        <r>
          <rPr>
            <sz val="14"/>
            <color rgb="FF000000"/>
            <rFont val="Calibri"/>
            <family val="34"/>
          </rPr>
          <t xml:space="preserve">
</t>
        </r>
      </text>
    </comment>
    <comment ref="BG401" authorId="0" shapeId="0" xr:uid="{F3338E09-2B63-6E4D-B6E8-A30EC6EA258E}">
      <text>
        <r>
          <rPr>
            <sz val="14"/>
            <color rgb="FF000000"/>
            <rFont val="Times New Roman"/>
            <family val="18"/>
          </rPr>
          <t>ML 5015 IR 59 ‘Jordis’ (1803) – Haupt. Eiselberg Komp. Nr. 90 (Enns 29/08/1803)</t>
        </r>
        <r>
          <rPr>
            <sz val="14"/>
            <color rgb="FF000000"/>
            <rFont val="Calibri"/>
            <family val="34"/>
          </rPr>
          <t xml:space="preserve">
</t>
        </r>
        <r>
          <rPr>
            <sz val="14"/>
            <color rgb="FF000000"/>
            <rFont val="Times New Roman"/>
            <family val="18"/>
          </rPr>
          <t>ML 5015 IR 59 (1804) –Haupt. Eiselberg Komp. Nr. 84 (Innsbruck 03/09/1804)</t>
        </r>
        <r>
          <rPr>
            <sz val="14"/>
            <color rgb="FF000000"/>
            <rFont val="Calibri"/>
            <family val="34"/>
          </rPr>
          <t xml:space="preserve">
</t>
        </r>
        <r>
          <rPr>
            <sz val="14"/>
            <color rgb="FF000000"/>
            <rFont val="Times New Roman"/>
            <family val="18"/>
          </rPr>
          <t>ML 5017/8 IR 59 (1806) – Cons. ‚Unwissend verlohren‘ Nr. 154 (Linz 10/07/1807)</t>
        </r>
        <r>
          <rPr>
            <sz val="14"/>
            <color rgb="FF000000"/>
            <rFont val="Calibri"/>
            <family val="34"/>
          </rPr>
          <t xml:space="preserve">
</t>
        </r>
      </text>
    </comment>
    <comment ref="BH401" authorId="0" shapeId="0" xr:uid="{20A5F804-A7EA-5D42-8FB2-8AEEC7C586AB}">
      <text>
        <r>
          <rPr>
            <sz val="14"/>
            <color rgb="FF000000"/>
            <rFont val="Calibri"/>
            <family val="34"/>
          </rPr>
          <t>IR 43 (1800-1806)</t>
        </r>
      </text>
    </comment>
    <comment ref="BF402" authorId="0" shapeId="0" xr:uid="{FC19383B-07C4-E74A-B0FF-F0A6B8DA2B48}">
      <text>
        <r>
          <rPr>
            <sz val="14"/>
            <color rgb="FF000000"/>
            <rFont val="Times New Roman"/>
            <family val="18"/>
          </rPr>
          <t xml:space="preserve">06/08/1800 </t>
        </r>
        <r>
          <rPr>
            <i/>
            <sz val="14"/>
            <color rgb="FF000000"/>
            <rFont val="Times New Roman"/>
            <family val="18"/>
          </rPr>
          <t>Zum EH Rudolph Inf.</t>
        </r>
        <r>
          <rPr>
            <sz val="14"/>
            <color rgb="FF000000"/>
            <rFont val="Times New Roman"/>
            <family val="18"/>
          </rPr>
          <t xml:space="preserve"> </t>
        </r>
        <r>
          <rPr>
            <b/>
            <sz val="14"/>
            <color rgb="FF000000"/>
            <rFont val="Times New Roman"/>
            <family val="18"/>
          </rPr>
          <t>[IR 16]</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1810]</t>
        </r>
        <r>
          <rPr>
            <sz val="14"/>
            <color rgb="FF000000"/>
            <rFont val="Calibri"/>
            <family val="34"/>
          </rPr>
          <t xml:space="preserve">
</t>
        </r>
        <r>
          <rPr>
            <sz val="14"/>
            <color rgb="FF000000"/>
            <rFont val="Times New Roman"/>
            <family val="18"/>
          </rPr>
          <t>01/11/1802</t>
        </r>
        <r>
          <rPr>
            <i/>
            <sz val="14"/>
            <color rgb="FF000000"/>
            <rFont val="Times New Roman"/>
            <family val="18"/>
          </rPr>
          <t xml:space="preserve"> Zum Carlstädter GAD Kroatien transferiert </t>
        </r>
        <r>
          <rPr>
            <sz val="14"/>
            <color rgb="FF000000"/>
            <rFont val="Times New Roman"/>
            <family val="18"/>
          </rPr>
          <t>[ML 1810]</t>
        </r>
        <r>
          <rPr>
            <sz val="14"/>
            <color rgb="FF000000"/>
            <rFont val="Calibri"/>
            <family val="34"/>
          </rPr>
          <t xml:space="preserve">
</t>
        </r>
        <r>
          <rPr>
            <sz val="14"/>
            <color rgb="FF000000"/>
            <rFont val="Times New Roman"/>
            <family val="18"/>
          </rPr>
          <t xml:space="preserve">01/03/1810 </t>
        </r>
        <r>
          <rPr>
            <i/>
            <sz val="14"/>
            <color rgb="FF000000"/>
            <rFont val="Times New Roman"/>
            <family val="18"/>
          </rPr>
          <t>Von da anherro</t>
        </r>
        <r>
          <rPr>
            <sz val="14"/>
            <color rgb="FF000000"/>
            <rFont val="Times New Roman"/>
            <family val="18"/>
          </rPr>
          <t xml:space="preserve"> [GAD Slavonia] </t>
        </r>
        <r>
          <rPr>
            <i/>
            <sz val="14"/>
            <color rgb="FF000000"/>
            <rFont val="Times New Roman"/>
            <family val="18"/>
          </rPr>
          <t>transferiert</t>
        </r>
        <r>
          <rPr>
            <sz val="14"/>
            <color rgb="FF000000"/>
            <rFont val="Times New Roman"/>
            <family val="18"/>
          </rPr>
          <t xml:space="preserve"> [ML 1810]</t>
        </r>
        <r>
          <rPr>
            <sz val="14"/>
            <color rgb="FF000000"/>
            <rFont val="Calibri"/>
            <family val="34"/>
          </rPr>
          <t xml:space="preserve">
</t>
        </r>
        <r>
          <rPr>
            <sz val="14"/>
            <color rgb="FF000000"/>
            <rFont val="Times New Roman"/>
            <family val="18"/>
          </rPr>
          <t>18/06/1810 GAD 9 Slavonia Posto Esseg Zeug Personale Nr. 134</t>
        </r>
        <r>
          <rPr>
            <sz val="14"/>
            <color rgb="FF000000"/>
            <rFont val="Calibri"/>
            <family val="34"/>
          </rPr>
          <t xml:space="preserve">
</t>
        </r>
        <r>
          <rPr>
            <sz val="14"/>
            <color rgb="FF000000"/>
            <rFont val="Times New Roman"/>
            <family val="18"/>
          </rPr>
          <t>21/05/1811 GAD 9 Slavonia Posto Esseg Zeug Personale Nr. 91</t>
        </r>
        <r>
          <rPr>
            <sz val="14"/>
            <color rgb="FF000000"/>
            <rFont val="Calibri"/>
            <family val="34"/>
          </rPr>
          <t xml:space="preserve">
</t>
        </r>
        <r>
          <rPr>
            <sz val="14"/>
            <color rgb="FF000000"/>
            <rFont val="Times New Roman"/>
            <family val="18"/>
          </rPr>
          <t xml:space="preserve">15/03/1812 </t>
        </r>
        <r>
          <rPr>
            <i/>
            <sz val="14"/>
            <color rgb="FF000000"/>
            <rFont val="Times New Roman"/>
            <family val="18"/>
          </rPr>
          <t>Zum Lemberger District transferiert</t>
        </r>
        <r>
          <rPr>
            <sz val="14"/>
            <color rgb="FF000000"/>
            <rFont val="Times New Roman"/>
            <family val="18"/>
          </rPr>
          <t xml:space="preserve"> [ML 1812]</t>
        </r>
        <r>
          <rPr>
            <sz val="14"/>
            <color rgb="FF000000"/>
            <rFont val="Calibri"/>
            <family val="34"/>
          </rPr>
          <t xml:space="preserve">
</t>
        </r>
        <r>
          <rPr>
            <sz val="14"/>
            <color rgb="FF000000"/>
            <rFont val="Times New Roman"/>
            <family val="18"/>
          </rPr>
          <t xml:space="preserve">10/05/1817 </t>
        </r>
        <r>
          <rPr>
            <i/>
            <sz val="14"/>
            <color rgb="FF000000"/>
            <rFont val="Times New Roman"/>
            <family val="18"/>
          </rPr>
          <t>Als Westgalizier mit Abschied entlassen</t>
        </r>
        <r>
          <rPr>
            <sz val="14"/>
            <color rgb="FF000000"/>
            <rFont val="Times New Roman"/>
            <family val="18"/>
          </rPr>
          <t xml:space="preserve"> [ML 1817]</t>
        </r>
        <r>
          <rPr>
            <sz val="14"/>
            <color rgb="FF000000"/>
            <rFont val="Calibri"/>
            <family val="34"/>
          </rPr>
          <t xml:space="preserve">
</t>
        </r>
      </text>
    </comment>
    <comment ref="BG402" authorId="0" shapeId="0" xr:uid="{4180F7AE-BB79-F54B-BA59-7931086F065B}">
      <text>
        <r>
          <rPr>
            <sz val="14"/>
            <color rgb="FF000000"/>
            <rFont val="Times New Roman"/>
            <family val="18"/>
          </rPr>
          <t>ML 8384 GAD Slavonia (1810-15) – Posto Essegg Zeug Personale Nr. 134 (Peterwardein 18/06/1810); Posto Essegg Zeug Personale Nr. 91 (Peterwardein 21/05/1811); Posto Essegg Zeug Personale Abgang (Peterwardein 19/05/1812)</t>
        </r>
        <r>
          <rPr>
            <sz val="14"/>
            <color rgb="FF000000"/>
            <rFont val="Calibri"/>
            <family val="34"/>
          </rPr>
          <t xml:space="preserve">
</t>
        </r>
        <r>
          <rPr>
            <sz val="14"/>
            <color rgb="FF000000"/>
            <rFont val="Times New Roman"/>
            <family val="18"/>
          </rPr>
          <t>ML 8333 GAD Galizien (1810-17) – Post Lemberg, Zeug Personale Abgang (Lemberg 29/09/1817)</t>
        </r>
        <r>
          <rPr>
            <sz val="14"/>
            <color rgb="FF000000"/>
            <rFont val="Calibri"/>
            <family val="34"/>
          </rPr>
          <t xml:space="preserve">
</t>
        </r>
      </text>
    </comment>
    <comment ref="BH402" authorId="0" shapeId="0" xr:uid="{65D48D14-0818-E049-A202-0FB7793A4B6D}">
      <text>
        <r>
          <rPr>
            <sz val="14"/>
            <color rgb="FF000000"/>
            <rFont val="Calibri"/>
            <family val="34"/>
          </rPr>
          <t xml:space="preserve">IR 16 (1800-1802)
</t>
        </r>
        <r>
          <rPr>
            <sz val="14"/>
            <color rgb="FF000000"/>
            <rFont val="Calibri"/>
            <family val="34"/>
          </rPr>
          <t xml:space="preserve">GAD Kroat (1802-1810)
</t>
        </r>
        <r>
          <rPr>
            <sz val="14"/>
            <color rgb="FF000000"/>
            <rFont val="Calibri"/>
            <family val="34"/>
          </rPr>
          <t xml:space="preserve">GAD Slavon (1810-1812)
</t>
        </r>
        <r>
          <rPr>
            <sz val="14"/>
            <color rgb="FF000000"/>
            <rFont val="Calibri"/>
            <family val="34"/>
          </rPr>
          <t>GAD Galiz (1812-1817)</t>
        </r>
      </text>
    </comment>
    <comment ref="I403" authorId="0" shapeId="0" xr:uid="{59A6E7C6-019A-F343-958D-4CE6275ED2E6}">
      <text>
        <r>
          <rPr>
            <sz val="14"/>
            <color rgb="FF000000"/>
            <rFont val="Calibri"/>
            <family val="34"/>
          </rPr>
          <t xml:space="preserve">1788 [12 (AL 1800)]
</t>
        </r>
        <r>
          <rPr>
            <sz val="14"/>
            <color rgb="FF000000"/>
            <rFont val="Calibri"/>
            <family val="34"/>
          </rPr>
          <t xml:space="preserve">OR 
</t>
        </r>
        <r>
          <rPr>
            <sz val="14"/>
            <color rgb="FF000000"/>
            <rFont val="Calibri"/>
            <family val="34"/>
          </rPr>
          <t>1787 [15 (ML 1802)]</t>
        </r>
      </text>
    </comment>
    <comment ref="BF403" authorId="0" shapeId="0" xr:uid="{0611A982-67E0-1540-9FFB-C9C9A206FD35}">
      <text>
        <r>
          <rPr>
            <sz val="14"/>
            <color rgb="FF000000"/>
            <rFont val="Times New Roman"/>
            <family val="18"/>
          </rPr>
          <t xml:space="preserve">15/08/1800 </t>
        </r>
        <r>
          <rPr>
            <i/>
            <sz val="14"/>
            <color rgb="FF000000"/>
            <rFont val="Times New Roman"/>
            <family val="18"/>
          </rPr>
          <t xml:space="preserve">In loco Ancona ohne entgeld des k.k. Areray als Spillmann in der Obrist Komp. neu ersetzt </t>
        </r>
        <r>
          <rPr>
            <sz val="14"/>
            <color rgb="FF000000"/>
            <rFont val="Times New Roman"/>
            <family val="18"/>
          </rPr>
          <t>[AL June 1800]</t>
        </r>
        <r>
          <rPr>
            <sz val="14"/>
            <color rgb="FF000000"/>
            <rFont val="Calibri"/>
            <family val="34"/>
          </rPr>
          <t xml:space="preserve">
</t>
        </r>
        <r>
          <rPr>
            <sz val="14"/>
            <color rgb="FF000000"/>
            <rFont val="Times New Roman"/>
            <family val="18"/>
          </rPr>
          <t xml:space="preserve">01/05/1801 </t>
        </r>
        <r>
          <rPr>
            <i/>
            <sz val="14"/>
            <color rgb="FF000000"/>
            <rFont val="Times New Roman"/>
            <family val="18"/>
          </rPr>
          <t>Krank auswärts</t>
        </r>
        <r>
          <rPr>
            <sz val="14"/>
            <color rgb="FF000000"/>
            <rFont val="Times New Roman"/>
            <family val="18"/>
          </rPr>
          <t xml:space="preserve"> [ST Mai 1801]</t>
        </r>
        <r>
          <rPr>
            <sz val="14"/>
            <color rgb="FF000000"/>
            <rFont val="Calibri"/>
            <family val="34"/>
          </rPr>
          <t xml:space="preserve">
</t>
        </r>
        <r>
          <rPr>
            <sz val="14"/>
            <color rgb="FF000000"/>
            <rFont val="Times New Roman"/>
            <family val="18"/>
          </rPr>
          <t xml:space="preserve">31/07/1801 </t>
        </r>
        <r>
          <rPr>
            <i/>
            <sz val="14"/>
            <color rgb="FF000000"/>
            <rFont val="Times New Roman"/>
            <family val="18"/>
          </rPr>
          <t>Rekonvalesziert und ins Verpflegung eingerückt</t>
        </r>
        <r>
          <rPr>
            <sz val="14"/>
            <color rgb="FF000000"/>
            <rFont val="Times New Roman"/>
            <family val="18"/>
          </rPr>
          <t xml:space="preserve"> [ST Aug 1801]</t>
        </r>
        <r>
          <rPr>
            <sz val="14"/>
            <color rgb="FF000000"/>
            <rFont val="Calibri"/>
            <family val="34"/>
          </rPr>
          <t xml:space="preserve">
</t>
        </r>
        <r>
          <rPr>
            <sz val="14"/>
            <color rgb="FF000000"/>
            <rFont val="Times New Roman"/>
            <family val="18"/>
          </rPr>
          <t>11/09/1802 Muster: IR 43 Obrist Komp Nr. 15 [</t>
        </r>
        <r>
          <rPr>
            <i/>
            <sz val="14"/>
            <color rgb="FF000000"/>
            <rFont val="Times New Roman"/>
            <family val="18"/>
          </rPr>
          <t>Real Invalid</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Als Reale Invalid gegen Renuncierung auf alle Militär Beneficien in folge hohe Militar Commando Verordnung det. Zara von 23. Okt 1802 mit Abschied entlassen</t>
        </r>
        <r>
          <rPr>
            <sz val="14"/>
            <color rgb="FF000000"/>
            <rFont val="Times New Roman"/>
            <family val="18"/>
          </rPr>
          <t xml:space="preserve"> [ST Oct 1802 &amp; ML 1803]</t>
        </r>
        <r>
          <rPr>
            <sz val="14"/>
            <color rgb="FF000000"/>
            <rFont val="Calibri"/>
            <family val="34"/>
          </rPr>
          <t xml:space="preserve">
</t>
        </r>
      </text>
    </comment>
    <comment ref="BG403" authorId="0" shapeId="0" xr:uid="{2C390E79-0C16-A048-96E7-5BCAC110B912}">
      <text>
        <r>
          <rPr>
            <sz val="14"/>
            <color rgb="FF000000"/>
            <rFont val="Times New Roman"/>
            <family val="18"/>
          </rPr>
          <t>ML 10.272 IR 43 (1802) – Obrist Comp. Nr. 15 (Zara 11/09/1802)</t>
        </r>
        <r>
          <rPr>
            <sz val="14"/>
            <color rgb="FF000000"/>
            <rFont val="Calibri"/>
            <family val="34"/>
          </rPr>
          <t xml:space="preserve">
</t>
        </r>
        <r>
          <rPr>
            <sz val="14"/>
            <color rgb="FF000000"/>
            <rFont val="Times New Roman"/>
            <family val="18"/>
          </rPr>
          <t>ML 10.273 IR 43 (1803) – Obrist Comp. Abgang (Zara 28/09/1803)</t>
        </r>
        <r>
          <rPr>
            <sz val="14"/>
            <color rgb="FF000000"/>
            <rFont val="Calibri"/>
            <family val="34"/>
          </rPr>
          <t xml:space="preserve">
</t>
        </r>
        <r>
          <rPr>
            <sz val="14"/>
            <color rgb="FF000000"/>
            <rFont val="Times New Roman"/>
            <family val="18"/>
          </rPr>
          <t>ML 10.310 IR 43 (1800) – AL IR 43 Nr. 1 (Ancona 16/08/1800)</t>
        </r>
        <r>
          <rPr>
            <sz val="14"/>
            <color rgb="FF000000"/>
            <rFont val="Calibri"/>
            <family val="34"/>
          </rPr>
          <t xml:space="preserve">
</t>
        </r>
        <r>
          <rPr>
            <sz val="14"/>
            <color rgb="FF000000"/>
            <rFont val="Times New Roman"/>
            <family val="18"/>
          </rPr>
          <t>ML 10.311 IR 43 (1801) – ST Mai (10/03/1805), Aug (13/07/1805)</t>
        </r>
        <r>
          <rPr>
            <sz val="14"/>
            <color rgb="FF000000"/>
            <rFont val="Calibri"/>
            <family val="34"/>
          </rPr>
          <t xml:space="preserve">
</t>
        </r>
        <r>
          <rPr>
            <sz val="14"/>
            <color rgb="FF000000"/>
            <rFont val="Times New Roman"/>
            <family val="18"/>
          </rPr>
          <t>ML 10.312 IR 43 (1802) – ST Oct (15/11/1802)</t>
        </r>
        <r>
          <rPr>
            <sz val="14"/>
            <color rgb="FF000000"/>
            <rFont val="Calibri"/>
            <family val="34"/>
          </rPr>
          <t xml:space="preserve">
</t>
        </r>
      </text>
    </comment>
    <comment ref="BH403" authorId="0" shapeId="0" xr:uid="{7A64FDCE-2164-7941-927D-705C0580161D}">
      <text>
        <r>
          <rPr>
            <sz val="14"/>
            <color rgb="FF000000"/>
            <rFont val="Calibri"/>
            <family val="34"/>
          </rPr>
          <t>IR 43 (1800-1802)</t>
        </r>
      </text>
    </comment>
    <comment ref="BF404" authorId="0" shapeId="0" xr:uid="{3CF2D0FD-E7BA-A442-A46F-7E88C6FBAD46}">
      <text>
        <r>
          <rPr>
            <sz val="14"/>
            <color rgb="FF000000"/>
            <rFont val="Times New Roman"/>
            <family val="18"/>
          </rPr>
          <t xml:space="preserve">09/09/1800 </t>
        </r>
        <r>
          <rPr>
            <i/>
            <sz val="14"/>
            <color rgb="FF000000"/>
            <rFont val="Times New Roman"/>
            <family val="18"/>
          </rPr>
          <t>auf Kriegsdauer assentiert</t>
        </r>
        <r>
          <rPr>
            <sz val="14"/>
            <color rgb="FF000000"/>
            <rFont val="Times New Roman"/>
            <family val="18"/>
          </rPr>
          <t xml:space="preserve"> </t>
        </r>
        <r>
          <rPr>
            <sz val="14"/>
            <color rgb="FF000000"/>
            <rFont val="Times New Roman"/>
            <family val="18"/>
          </rPr>
          <t>[ML 1803]</t>
        </r>
        <r>
          <rPr>
            <sz val="14"/>
            <color rgb="FF000000"/>
            <rFont val="Calibri"/>
            <family val="34"/>
          </rPr>
          <t xml:space="preserve">
</t>
        </r>
        <r>
          <rPr>
            <sz val="14"/>
            <color rgb="FF000000"/>
            <rFont val="Times New Roman"/>
            <family val="18"/>
          </rPr>
          <t>12/08/1803 Muster: Haupt Seyn Comp. Nr. 37 [</t>
        </r>
        <r>
          <rPr>
            <i/>
            <sz val="14"/>
            <color rgb="FF000000"/>
            <rFont val="Times New Roman"/>
            <family val="18"/>
          </rPr>
          <t>Beurlaubt zu Dreynof in West Galizien &amp; Ausgedienter Capitulant</t>
        </r>
        <r>
          <rPr>
            <sz val="14"/>
            <color rgb="FF000000"/>
            <rFont val="Times New Roman"/>
            <family val="18"/>
          </rPr>
          <t>] [ML 1803]</t>
        </r>
        <r>
          <rPr>
            <sz val="14"/>
            <color rgb="FF000000"/>
            <rFont val="Calibri"/>
            <family val="34"/>
          </rPr>
          <t xml:space="preserve">
</t>
        </r>
        <r>
          <rPr>
            <sz val="14"/>
            <color rgb="FF000000"/>
            <rFont val="Times New Roman"/>
            <family val="18"/>
          </rPr>
          <t xml:space="preserve">??/11/1803 </t>
        </r>
        <r>
          <rPr>
            <i/>
            <sz val="14"/>
            <color rgb="FF000000"/>
            <rFont val="Times New Roman"/>
            <family val="18"/>
          </rPr>
          <t xml:space="preserve">Nach Aussegnung des Radzyner Wehrbezirk commando von Urlaub emigriert </t>
        </r>
        <r>
          <rPr>
            <sz val="14"/>
            <color rgb="FF000000"/>
            <rFont val="Times New Roman"/>
            <family val="18"/>
          </rPr>
          <t>[ML 1804]</t>
        </r>
        <r>
          <rPr>
            <sz val="14"/>
            <color rgb="FF000000"/>
            <rFont val="Calibri"/>
            <family val="34"/>
          </rPr>
          <t xml:space="preserve">
</t>
        </r>
      </text>
    </comment>
    <comment ref="BG404" authorId="0" shapeId="0" xr:uid="{742D18E6-84BD-B444-88D9-B80ECE85F5D3}">
      <text>
        <r>
          <rPr>
            <sz val="14"/>
            <color rgb="FF000000"/>
            <rFont val="Times New Roman"/>
            <family val="18"/>
          </rPr>
          <t>ML 2630 IR 30 (1803) – Haupt Seyn Komp. Nr. 37 (Lemberg 12/08/1803)</t>
        </r>
        <r>
          <rPr>
            <sz val="14"/>
            <color rgb="FF000000"/>
            <rFont val="Calibri"/>
            <family val="34"/>
          </rPr>
          <t xml:space="preserve">
</t>
        </r>
        <r>
          <rPr>
            <sz val="14"/>
            <color rgb="FF000000"/>
            <rFont val="Times New Roman"/>
            <family val="18"/>
          </rPr>
          <t xml:space="preserve">ML 2631 IR 30 (1804) – Haupt Seyn Komp. Abgang (Lemberg 19/09/1804) </t>
        </r>
        <r>
          <rPr>
            <sz val="14"/>
            <color rgb="FF000000"/>
            <rFont val="Calibri"/>
            <family val="34"/>
          </rPr>
          <t xml:space="preserve">
</t>
        </r>
      </text>
    </comment>
    <comment ref="BH404" authorId="0" shapeId="0" xr:uid="{C5FDB01A-5700-F144-A0AA-01E192191546}">
      <text>
        <r>
          <rPr>
            <sz val="14"/>
            <color rgb="FF000000"/>
            <rFont val="Calibri"/>
            <family val="34"/>
          </rPr>
          <t>IR 43 (1800-1803)</t>
        </r>
      </text>
    </comment>
    <comment ref="BF405" authorId="0" shapeId="0" xr:uid="{4CAD9D3D-5022-EE4D-A7A8-6008003C855E}">
      <text>
        <r>
          <rPr>
            <sz val="14"/>
            <color rgb="FF000000"/>
            <rFont val="Times New Roman"/>
            <family val="18"/>
          </rPr>
          <t xml:space="preserve">10/09/1800 </t>
        </r>
        <r>
          <rPr>
            <i/>
            <sz val="14"/>
            <color rgb="FF000000"/>
            <rFont val="Times New Roman"/>
            <family val="18"/>
          </rPr>
          <t>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Haupt Raimonval Comp. Nr. 93 [</t>
        </r>
        <r>
          <rPr>
            <i/>
            <sz val="14"/>
            <color rgb="FF000000"/>
            <rFont val="Times New Roman"/>
            <family val="18"/>
          </rPr>
          <t>Beulraubt in Medzyrzuce</t>
        </r>
        <r>
          <rPr>
            <sz val="14"/>
            <color rgb="FF000000"/>
            <rFont val="Times New Roman"/>
            <family val="18"/>
          </rPr>
          <t>] [ML 1803]</t>
        </r>
        <r>
          <rPr>
            <sz val="14"/>
            <color rgb="FF000000"/>
            <rFont val="Calibri"/>
            <family val="34"/>
          </rPr>
          <t xml:space="preserve">
</t>
        </r>
        <r>
          <rPr>
            <sz val="14"/>
            <color rgb="FF000000"/>
            <rFont val="Times New Roman"/>
            <family val="18"/>
          </rPr>
          <t xml:space="preserve">??/04/1804 </t>
        </r>
        <r>
          <rPr>
            <i/>
            <sz val="14"/>
            <color rgb="FF000000"/>
            <rFont val="Times New Roman"/>
            <family val="18"/>
          </rPr>
          <t>von Urlaub emigriert</t>
        </r>
        <r>
          <rPr>
            <sz val="14"/>
            <color rgb="FF000000"/>
            <rFont val="Times New Roman"/>
            <family val="18"/>
          </rPr>
          <t xml:space="preserve"> [ML 1804]</t>
        </r>
        <r>
          <rPr>
            <sz val="14"/>
            <color rgb="FF000000"/>
            <rFont val="Calibri"/>
            <family val="34"/>
          </rPr>
          <t xml:space="preserve">
</t>
        </r>
      </text>
    </comment>
    <comment ref="BG405" authorId="0" shapeId="0" xr:uid="{33C4121A-9A42-504B-BDF4-0E39252A7C93}">
      <text>
        <r>
          <rPr>
            <sz val="14"/>
            <color rgb="FF000000"/>
            <rFont val="Times New Roman"/>
            <family val="18"/>
          </rPr>
          <t xml:space="preserve">ML 2630 IR 30 (1803) – Haupt Raimonval Komp. Nr. 93 (Lemberg 12/08/1803)
</t>
        </r>
        <r>
          <rPr>
            <sz val="14"/>
            <color rgb="FF000000"/>
            <rFont val="Times New Roman"/>
            <family val="18"/>
          </rPr>
          <t xml:space="preserve">ML 2631 IR 30 (1804) – Haupt Raimonval Komp. Abgang (Lemberg 19/09/1804) 
</t>
        </r>
      </text>
    </comment>
    <comment ref="BH405" authorId="0" shapeId="0" xr:uid="{7D469F66-E921-4344-BC93-FD6DE073FA6E}">
      <text>
        <r>
          <rPr>
            <sz val="14"/>
            <color rgb="FF000000"/>
            <rFont val="Calibri"/>
            <family val="34"/>
          </rPr>
          <t>IR 43 (1800-1804)</t>
        </r>
      </text>
    </comment>
    <comment ref="BF406" authorId="0" shapeId="0" xr:uid="{F7303011-5CDB-4C46-A7AD-984C1AD79FF2}">
      <text>
        <r>
          <rPr>
            <sz val="14"/>
            <color rgb="FF000000"/>
            <rFont val="Times New Roman"/>
            <family val="18"/>
          </rPr>
          <t xml:space="preserve">26/09/1800 </t>
        </r>
        <r>
          <rPr>
            <i/>
            <sz val="14"/>
            <color rgb="FF000000"/>
            <rFont val="Times New Roman"/>
            <family val="18"/>
          </rPr>
          <t>von Kreis Radom gestellt</t>
        </r>
        <r>
          <rPr>
            <sz val="14"/>
            <color rgb="FF000000"/>
            <rFont val="Times New Roman"/>
            <family val="18"/>
          </rPr>
          <t xml:space="preserve"> [ML 1803]</t>
        </r>
        <r>
          <rPr>
            <sz val="14"/>
            <color rgb="FF000000"/>
            <rFont val="Calibri"/>
            <family val="34"/>
          </rPr>
          <t xml:space="preserve">
</t>
        </r>
        <r>
          <rPr>
            <sz val="14"/>
            <color rgb="FF000000"/>
            <rFont val="Times New Roman"/>
            <family val="18"/>
          </rPr>
          <t>12/08/1803 Muster: IR 30 Haupt Schmitt Komp. Nr. 99 [</t>
        </r>
        <r>
          <rPr>
            <i/>
            <sz val="14"/>
            <color rgb="FF000000"/>
            <rFont val="Times New Roman"/>
            <family val="18"/>
          </rPr>
          <t>Auf Urlaub zu Koszenitz in West Galizien</t>
        </r>
        <r>
          <rPr>
            <sz val="14"/>
            <color rgb="FF000000"/>
            <rFont val="Times New Roman"/>
            <family val="18"/>
          </rPr>
          <t>] [ML 1803]</t>
        </r>
        <r>
          <rPr>
            <sz val="14"/>
            <color rgb="FF000000"/>
            <rFont val="Calibri"/>
            <family val="34"/>
          </rPr>
          <t xml:space="preserve">
</t>
        </r>
        <r>
          <rPr>
            <sz val="14"/>
            <color rgb="FF000000"/>
            <rFont val="Times New Roman"/>
            <family val="18"/>
          </rPr>
          <t xml:space="preserve">30/08/1803 </t>
        </r>
        <r>
          <rPr>
            <i/>
            <sz val="14"/>
            <color rgb="FF000000"/>
            <rFont val="Times New Roman"/>
            <family val="18"/>
          </rPr>
          <t xml:space="preserve">Nach Ausserung des Radomer Werb bezierk von Urlaub emigriert </t>
        </r>
        <r>
          <rPr>
            <sz val="14"/>
            <color rgb="FF000000"/>
            <rFont val="Times New Roman"/>
            <family val="18"/>
          </rPr>
          <t>[ML 1804]</t>
        </r>
        <r>
          <rPr>
            <sz val="14"/>
            <color rgb="FF000000"/>
            <rFont val="Calibri"/>
            <family val="34"/>
          </rPr>
          <t xml:space="preserve">
</t>
        </r>
      </text>
    </comment>
    <comment ref="BG406" authorId="0" shapeId="0" xr:uid="{BEB9BB86-4EAB-A54E-A0F1-DD3872DD7152}">
      <text>
        <r>
          <rPr>
            <sz val="14"/>
            <color rgb="FF000000"/>
            <rFont val="Times New Roman"/>
            <family val="18"/>
          </rPr>
          <t>ML 2630 IR 30 (1803) –Haupt Schmitt Komp. Nr. 99 (Lemberg 12/08/1803)</t>
        </r>
        <r>
          <rPr>
            <sz val="14"/>
            <color rgb="FF000000"/>
            <rFont val="Calibri"/>
            <family val="34"/>
          </rPr>
          <t xml:space="preserve">
</t>
        </r>
        <r>
          <rPr>
            <sz val="14"/>
            <color rgb="FF000000"/>
            <rFont val="Times New Roman"/>
            <family val="18"/>
          </rPr>
          <t xml:space="preserve">ML 2631 IR 30 (1804) – Haupt Schmitt Komp.  – Abgang (Lemberg 19/09/1804) </t>
        </r>
        <r>
          <rPr>
            <sz val="14"/>
            <color rgb="FF000000"/>
            <rFont val="Calibri"/>
            <family val="34"/>
          </rPr>
          <t xml:space="preserve">
</t>
        </r>
      </text>
    </comment>
    <comment ref="BH406" authorId="0" shapeId="0" xr:uid="{AFD7EE5B-5F04-6649-8909-94EF76E142DC}">
      <text>
        <r>
          <rPr>
            <sz val="14"/>
            <color rgb="FF000000"/>
            <rFont val="Calibri"/>
            <family val="34"/>
          </rPr>
          <t>IR 43 (1800-1803)</t>
        </r>
      </text>
    </comment>
    <comment ref="BF407" authorId="0" shapeId="0" xr:uid="{8EDA0F7B-4DB3-E348-8E8C-5B647669A84D}">
      <text>
        <r>
          <rPr>
            <sz val="14"/>
            <color rgb="FF000000"/>
            <rFont val="Times New Roman"/>
            <family val="18"/>
          </rPr>
          <t xml:space="preserve">29/09/1800 </t>
        </r>
        <r>
          <rPr>
            <i/>
            <sz val="14"/>
            <color rgb="FF000000"/>
            <rFont val="Times New Roman"/>
            <family val="18"/>
          </rPr>
          <t>Als Ersatz Mann fur Boruch JACUBOWICH Von Dominen Ausgehoben und a 3Fl zu Sandomierz Assentiert und seitdem auf Anhero Marsch mit Friedensgebühr</t>
        </r>
        <r>
          <rPr>
            <sz val="14"/>
            <color rgb="FF000000"/>
            <rFont val="Times New Roman"/>
            <family val="18"/>
          </rPr>
          <t xml:space="preserve"> [AL &amp; ST Sept 1800]</t>
        </r>
        <r>
          <rPr>
            <sz val="14"/>
            <color rgb="FF000000"/>
            <rFont val="Calibri"/>
            <family val="34"/>
          </rPr>
          <t xml:space="preserve">
</t>
        </r>
        <r>
          <rPr>
            <sz val="14"/>
            <color rgb="FF000000"/>
            <rFont val="Times New Roman"/>
            <family val="18"/>
          </rPr>
          <t xml:space="preserve">15/11/1800 </t>
        </r>
        <r>
          <rPr>
            <i/>
            <sz val="14"/>
            <color rgb="FF000000"/>
            <rFont val="Times New Roman"/>
            <family val="18"/>
          </rPr>
          <t xml:space="preserve">Gegen Stellung eines anderen Mannes untauglichkeitshalber mit Laufpaß entlassen </t>
        </r>
        <r>
          <rPr>
            <sz val="14"/>
            <color rgb="FF000000"/>
            <rFont val="Times New Roman"/>
            <family val="18"/>
          </rPr>
          <t>[ST Nov 1800]</t>
        </r>
        <r>
          <rPr>
            <sz val="14"/>
            <color rgb="FF000000"/>
            <rFont val="Calibri"/>
            <family val="34"/>
          </rPr>
          <t xml:space="preserve">
</t>
        </r>
      </text>
    </comment>
    <comment ref="BG407" authorId="0" shapeId="0" xr:uid="{05F28ED3-8452-6C4B-96B5-9A249983ED60}">
      <text>
        <r>
          <rPr>
            <sz val="14"/>
            <color rgb="FF000000"/>
            <rFont val="Times New Roman"/>
            <family val="18"/>
          </rPr>
          <t>ML 10.309 IR 43 (1800) – ST Sept (21/01/1804), Nov (02/04/1804)</t>
        </r>
        <r>
          <rPr>
            <sz val="14"/>
            <color rgb="FF000000"/>
            <rFont val="Calibri"/>
            <family val="34"/>
          </rPr>
          <t xml:space="preserve">
</t>
        </r>
        <r>
          <rPr>
            <sz val="14"/>
            <color rgb="FF000000"/>
            <rFont val="Times New Roman"/>
            <family val="18"/>
          </rPr>
          <t>ML 10.310 IR 43 (1800) – AL Nr.1 (Sandomierz 30/09/1800)</t>
        </r>
        <r>
          <rPr>
            <sz val="14"/>
            <color rgb="FF000000"/>
            <rFont val="Calibri"/>
            <family val="34"/>
          </rPr>
          <t xml:space="preserve">
</t>
        </r>
        <r>
          <rPr>
            <sz val="14"/>
            <color rgb="FF000000"/>
            <rFont val="Times New Roman"/>
            <family val="18"/>
          </rPr>
          <t xml:space="preserve">
</t>
        </r>
      </text>
    </comment>
    <comment ref="BH407" authorId="0" shapeId="0" xr:uid="{59D3C53F-46E9-C34B-9C68-4B09BAE2DEF8}">
      <text>
        <r>
          <rPr>
            <sz val="14"/>
            <color rgb="FF000000"/>
            <rFont val="Calibri"/>
            <family val="34"/>
          </rPr>
          <t>IR 43 (1800)</t>
        </r>
      </text>
    </comment>
    <comment ref="BF408" authorId="0" shapeId="0" xr:uid="{5B4B1764-3EC8-EA4A-9EEA-DFC2901A7F84}">
      <text>
        <r>
          <rPr>
            <sz val="14"/>
            <color rgb="FF000000"/>
            <rFont val="Times New Roman"/>
            <family val="18"/>
          </rPr>
          <t xml:space="preserve">10/11/1800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10/11/1800 [circa] </t>
        </r>
        <r>
          <rPr>
            <i/>
            <sz val="14"/>
            <color rgb="FF000000"/>
            <rFont val="Times New Roman"/>
            <family val="18"/>
          </rPr>
          <t>Gegen Stellung des Recroutes Hirsch SCHWARZENBERG entlassen</t>
        </r>
        <r>
          <rPr>
            <sz val="14"/>
            <color rgb="FF000000"/>
            <rFont val="Times New Roman"/>
            <family val="18"/>
          </rPr>
          <t xml:space="preserve"> [ML 1802]</t>
        </r>
        <r>
          <rPr>
            <sz val="14"/>
            <color rgb="FF000000"/>
            <rFont val="Calibri"/>
            <family val="34"/>
          </rPr>
          <t xml:space="preserve">
</t>
        </r>
      </text>
    </comment>
    <comment ref="BG408" authorId="0" shapeId="0" xr:uid="{8B4B6CC2-005D-134B-A81E-5BC4C0B94A04}">
      <text>
        <r>
          <rPr>
            <sz val="14"/>
            <color rgb="FF000000"/>
            <rFont val="Times New Roman"/>
            <family val="18"/>
          </rPr>
          <t>ML 1937 IR 24 (1802) – Haupt Ebner Abgang (Vienna 16/09/1802)</t>
        </r>
        <r>
          <rPr>
            <sz val="14"/>
            <color rgb="FF000000"/>
            <rFont val="Calibri"/>
            <family val="34"/>
          </rPr>
          <t xml:space="preserve">
</t>
        </r>
      </text>
    </comment>
    <comment ref="BH408" authorId="0" shapeId="0" xr:uid="{C0F82AF3-4898-A64D-B16E-7DF5EF366490}">
      <text>
        <r>
          <rPr>
            <sz val="14"/>
            <color rgb="FF000000"/>
            <rFont val="Calibri"/>
            <family val="34"/>
          </rPr>
          <t>IR 24 (1800)</t>
        </r>
      </text>
    </comment>
    <comment ref="BF409" authorId="0" shapeId="0" xr:uid="{8963B8D7-DEAC-254A-A369-39926E8CE34D}">
      <text>
        <r>
          <rPr>
            <sz val="14"/>
            <color rgb="FF000000"/>
            <rFont val="Times New Roman"/>
            <family val="18"/>
          </rPr>
          <t xml:space="preserve">16/11/1800 </t>
        </r>
        <r>
          <rPr>
            <i/>
            <sz val="14"/>
            <color rgb="FF000000"/>
            <rFont val="Times New Roman"/>
            <family val="18"/>
          </rPr>
          <t>Von der Reserve Division zur Haupt Gebhart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24/11/1800 </t>
        </r>
        <r>
          <rPr>
            <i/>
            <sz val="14"/>
            <color rgb="FF000000"/>
            <rFont val="Times New Roman"/>
            <family val="18"/>
          </rPr>
          <t>zu Verona gestorben</t>
        </r>
        <r>
          <rPr>
            <sz val="14"/>
            <color rgb="FF000000"/>
            <rFont val="Times New Roman"/>
            <family val="18"/>
          </rPr>
          <t xml:space="preserve"> [ML 1802]</t>
        </r>
      </text>
    </comment>
    <comment ref="BG409" authorId="0" shapeId="0" xr:uid="{952AC125-C61F-0745-B61E-022C5402E17B}">
      <text>
        <r>
          <rPr>
            <sz val="14"/>
            <color rgb="FF000000"/>
            <rFont val="Times New Roman"/>
            <family val="18"/>
          </rPr>
          <t>ML 1937 IR 24 (1802) – Haupt Gebhard Komp. Nr. Abgang (Vienna 16/09/1802)</t>
        </r>
        <r>
          <rPr>
            <sz val="14"/>
            <color rgb="FF000000"/>
            <rFont val="Calibri"/>
            <family val="34"/>
          </rPr>
          <t xml:space="preserve">
</t>
        </r>
      </text>
    </comment>
    <comment ref="BH409" authorId="0" shapeId="0" xr:uid="{F3AFBFA2-A480-8741-921E-000DA8DB7DA5}">
      <text>
        <r>
          <rPr>
            <sz val="14"/>
            <color rgb="FF000000"/>
            <rFont val="Calibri"/>
            <family val="34"/>
          </rPr>
          <t>IR 24 (1800)</t>
        </r>
      </text>
    </comment>
    <comment ref="BF410" authorId="0" shapeId="0" xr:uid="{D0BA36C9-20F8-B744-8DC9-A0C301F8EE7A}">
      <text>
        <r>
          <rPr>
            <sz val="14"/>
            <color rgb="FF000000"/>
            <rFont val="Times New Roman"/>
            <family val="18"/>
          </rPr>
          <t xml:space="preserve">28/11/1800 </t>
        </r>
        <r>
          <rPr>
            <i/>
            <sz val="14"/>
            <color rgb="FF000000"/>
            <rFont val="Times New Roman"/>
            <family val="18"/>
          </rPr>
          <t>A 3Fl von gallizischen Ständen gestellt</t>
        </r>
        <r>
          <rPr>
            <sz val="14"/>
            <color rgb="FF000000"/>
            <rFont val="Times New Roman"/>
            <family val="18"/>
          </rPr>
          <t xml:space="preserve"> [ML 1803]
</t>
        </r>
        <r>
          <rPr>
            <sz val="14"/>
            <color rgb="FF000000"/>
            <rFont val="Times New Roman"/>
            <family val="18"/>
          </rPr>
          <t xml:space="preserve">01/11/1802 </t>
        </r>
        <r>
          <rPr>
            <i/>
            <sz val="14"/>
            <color rgb="FF000000"/>
            <rFont val="Times New Roman"/>
            <family val="18"/>
          </rPr>
          <t>Von Haupt Spiedel zum Haupt Settinger Komp.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16/08/1803 </t>
        </r>
        <r>
          <rPr>
            <i/>
            <sz val="14"/>
            <color rgb="FF000000"/>
            <rFont val="Times New Roman"/>
            <family val="18"/>
          </rPr>
          <t xml:space="preserve">Von Haupt Settinger zum Haupt Drohn Komp. transferiert </t>
        </r>
        <r>
          <rPr>
            <sz val="14"/>
            <color rgb="FF000000"/>
            <rFont val="Times New Roman"/>
            <family val="18"/>
          </rPr>
          <t>[ML 1803]</t>
        </r>
        <r>
          <rPr>
            <sz val="14"/>
            <color rgb="FF000000"/>
            <rFont val="Calibri"/>
            <family val="34"/>
          </rPr>
          <t xml:space="preserve">
</t>
        </r>
        <r>
          <rPr>
            <sz val="14"/>
            <color rgb="FF000000"/>
            <rFont val="Times New Roman"/>
            <family val="18"/>
          </rPr>
          <t>30/08/1803 Muster: IR 59 Haupt Drohn Komp. Nr. 109 [</t>
        </r>
        <r>
          <rPr>
            <i/>
            <sz val="14"/>
            <color rgb="FF000000"/>
            <rFont val="Times New Roman"/>
            <family val="18"/>
          </rPr>
          <t>Krank in loco</t>
        </r>
        <r>
          <rPr>
            <sz val="14"/>
            <color rgb="FF000000"/>
            <rFont val="Times New Roman"/>
            <family val="18"/>
          </rPr>
          <t>]</t>
        </r>
        <r>
          <rPr>
            <sz val="14"/>
            <color rgb="FF000000"/>
            <rFont val="Calibri"/>
            <family val="34"/>
          </rPr>
          <t xml:space="preserve">
</t>
        </r>
        <r>
          <rPr>
            <sz val="14"/>
            <color rgb="FF000000"/>
            <rFont val="Times New Roman"/>
            <family val="18"/>
          </rPr>
          <t>05/09/1804 Muster: IR 59 Haupt Drohn Komp. Nr. 97 [</t>
        </r>
        <r>
          <rPr>
            <i/>
            <sz val="14"/>
            <color rgb="FF000000"/>
            <rFont val="Times New Roman"/>
            <family val="18"/>
          </rPr>
          <t>Beurlaubt in seinem Geburtort bis zur Exercierzeit</t>
        </r>
        <r>
          <rPr>
            <sz val="14"/>
            <color rgb="FF000000"/>
            <rFont val="Times New Roman"/>
            <family val="18"/>
          </rPr>
          <t>]</t>
        </r>
        <r>
          <rPr>
            <sz val="14"/>
            <color rgb="FF000000"/>
            <rFont val="Calibri"/>
            <family val="34"/>
          </rPr>
          <t xml:space="preserve">
</t>
        </r>
        <r>
          <rPr>
            <sz val="14"/>
            <color rgb="FF000000"/>
            <rFont val="Times New Roman"/>
            <family val="18"/>
          </rPr>
          <t xml:space="preserve">31/12/1805 </t>
        </r>
        <r>
          <rPr>
            <i/>
            <sz val="14"/>
            <color rgb="FF000000"/>
            <rFont val="Times New Roman"/>
            <family val="18"/>
          </rPr>
          <t xml:space="preserve">Als Real Invalid gegen Renuncuerung mit Abschied entlassen </t>
        </r>
        <r>
          <rPr>
            <sz val="14"/>
            <color rgb="FF000000"/>
            <rFont val="Times New Roman"/>
            <family val="18"/>
          </rPr>
          <t>[ML 1806]</t>
        </r>
        <r>
          <rPr>
            <sz val="14"/>
            <color rgb="FF000000"/>
            <rFont val="Calibri"/>
            <family val="34"/>
          </rPr>
          <t xml:space="preserve">
</t>
        </r>
      </text>
    </comment>
    <comment ref="BG410" authorId="0" shapeId="0" xr:uid="{F22DD13B-EE6B-4841-B780-6B606BD1F55D}">
      <text>
        <r>
          <rPr>
            <sz val="14"/>
            <color rgb="FF000000"/>
            <rFont val="Times New Roman"/>
            <family val="18"/>
          </rPr>
          <t>ML 5015 IR 59 (1803) – Haupt. Drohn Komp. Nr. 109 (Wells 30/08/1803)</t>
        </r>
        <r>
          <rPr>
            <sz val="14"/>
            <color rgb="FF000000"/>
            <rFont val="Calibri"/>
            <family val="34"/>
          </rPr>
          <t xml:space="preserve">
</t>
        </r>
        <r>
          <rPr>
            <sz val="14"/>
            <color rgb="FF000000"/>
            <rFont val="Times New Roman"/>
            <family val="18"/>
          </rPr>
          <t>ML 5016 IR 59 (1804) – Haupt. Drohn Komp. Nr. 99 (Wells 05/09/1804)</t>
        </r>
        <r>
          <rPr>
            <sz val="14"/>
            <color rgb="FF000000"/>
            <rFont val="Calibri"/>
            <family val="34"/>
          </rPr>
          <t xml:space="preserve">
</t>
        </r>
        <r>
          <rPr>
            <sz val="14"/>
            <color rgb="FF000000"/>
            <rFont val="Times New Roman"/>
            <family val="18"/>
          </rPr>
          <t>ML 5017/8 IR 59 (1806) – 16. Fus. Komp. Abgang (Freistadt 22/12/1806)</t>
        </r>
        <r>
          <rPr>
            <sz val="14"/>
            <color rgb="FF000000"/>
            <rFont val="Calibri"/>
            <family val="34"/>
          </rPr>
          <t xml:space="preserve">
</t>
        </r>
      </text>
    </comment>
    <comment ref="BH410" authorId="0" shapeId="0" xr:uid="{78EE8C2B-FE8B-9A4D-8E8F-448CC26E3FB3}">
      <text>
        <r>
          <rPr>
            <sz val="14"/>
            <color rgb="FF000000"/>
            <rFont val="Calibri"/>
            <family val="34"/>
          </rPr>
          <t>IR 59 (1800-1805)</t>
        </r>
      </text>
    </comment>
    <comment ref="BF411" authorId="0" shapeId="0" xr:uid="{A7D7556F-A4FF-E144-BB34-0D149C45329D}">
      <text>
        <r>
          <rPr>
            <sz val="14"/>
            <color rgb="FF000000"/>
            <rFont val="Times New Roman"/>
            <family val="18"/>
          </rPr>
          <t xml:space="preserve">23/12/1800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23/12/1800 [circa] </t>
        </r>
        <r>
          <rPr>
            <i/>
            <sz val="14"/>
            <color rgb="FF000000"/>
            <rFont val="Times New Roman"/>
            <family val="18"/>
          </rPr>
          <t>Gegen Stellung des Recroutes Jankel BARTA entlassen</t>
        </r>
        <r>
          <rPr>
            <sz val="14"/>
            <color rgb="FF000000"/>
            <rFont val="Times New Roman"/>
            <family val="18"/>
          </rPr>
          <t xml:space="preserve"> [ML 1802]</t>
        </r>
        <r>
          <rPr>
            <sz val="14"/>
            <color rgb="FF000000"/>
            <rFont val="Calibri"/>
            <family val="34"/>
          </rPr>
          <t xml:space="preserve">
</t>
        </r>
      </text>
    </comment>
    <comment ref="BG411" authorId="0" shapeId="0" xr:uid="{A631CE05-D838-7440-9150-2D23222647B2}">
      <text>
        <r>
          <rPr>
            <sz val="14"/>
            <color rgb="FF000000"/>
            <rFont val="Times New Roman"/>
            <family val="18"/>
          </rPr>
          <t>ML 1937 IR 24 (1802) – Haupt Weisenwoelf Abgang (Vienna 16/09/1802)</t>
        </r>
        <r>
          <rPr>
            <sz val="14"/>
            <color rgb="FF000000"/>
            <rFont val="Calibri"/>
            <family val="34"/>
          </rPr>
          <t xml:space="preserve">
</t>
        </r>
      </text>
    </comment>
    <comment ref="BH411" authorId="0" shapeId="0" xr:uid="{275AB264-6661-7440-956E-1DE6AC778432}">
      <text>
        <r>
          <rPr>
            <sz val="14"/>
            <color rgb="FF000000"/>
            <rFont val="Calibri"/>
            <family val="34"/>
          </rPr>
          <t>IR 24 (1800)</t>
        </r>
      </text>
    </comment>
    <comment ref="BF412" authorId="0" shapeId="0" xr:uid="{ED74AC8B-41C5-1346-B13E-E99684D95918}">
      <text>
        <r>
          <rPr>
            <sz val="14"/>
            <color rgb="FF000000"/>
            <rFont val="Times New Roman"/>
            <family val="18"/>
          </rPr>
          <t xml:space="preserve">29/12/1800 </t>
        </r>
        <r>
          <rPr>
            <i/>
            <sz val="14"/>
            <color rgb="FF000000"/>
            <rFont val="Times New Roman"/>
            <family val="18"/>
          </rPr>
          <t xml:space="preserve">Von Landständen gestellt und a 3Fl Handgeld auf Beständig zu Kerpen Infant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 xml:space="preserve">Von da </t>
        </r>
        <r>
          <rPr>
            <b/>
            <sz val="14"/>
            <color rgb="FF000000"/>
            <rFont val="Times New Roman"/>
            <family val="18"/>
          </rPr>
          <t>[IR 49]</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16/09/1802 Muster: IR 23 Haupt Pappius Komp Nr. 153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31/10/1802 </t>
        </r>
        <r>
          <rPr>
            <i/>
            <sz val="14"/>
            <color rgb="FF000000"/>
            <rFont val="Times New Roman"/>
            <family val="18"/>
          </rPr>
          <t>Auf Urlaub in Polen desertiert</t>
        </r>
        <r>
          <rPr>
            <sz val="14"/>
            <color rgb="FF000000"/>
            <rFont val="Times New Roman"/>
            <family val="18"/>
          </rPr>
          <t xml:space="preserve"> [ML 1802]</t>
        </r>
        <r>
          <rPr>
            <sz val="14"/>
            <color rgb="FF000000"/>
            <rFont val="Calibri"/>
            <family val="2"/>
            <scheme val="minor"/>
          </rPr>
          <t xml:space="preserve"> </t>
        </r>
      </text>
    </comment>
    <comment ref="BG412" authorId="0" shapeId="0" xr:uid="{276DDA0D-76EB-1D4B-AB25-EFC372249543}">
      <text>
        <r>
          <rPr>
            <sz val="14"/>
            <color rgb="FF000000"/>
            <rFont val="Times New Roman"/>
            <family val="18"/>
          </rPr>
          <t>ML 10.124 IR 23 (1802) – Haupt Pappius Komp. Nr. 153 (Vienna 16/09/1802)</t>
        </r>
        <r>
          <rPr>
            <sz val="14"/>
            <color rgb="FF000000"/>
            <rFont val="Calibri"/>
            <family val="34"/>
          </rPr>
          <t xml:space="preserve">
</t>
        </r>
        <r>
          <rPr>
            <sz val="14"/>
            <color rgb="FF000000"/>
            <rFont val="Times New Roman"/>
            <family val="18"/>
          </rPr>
          <t>ML 10.125 IR 23 (1803) – Haupt Pappius Komp. Abgang (Vienna 13/09/1803)</t>
        </r>
        <r>
          <rPr>
            <sz val="14"/>
            <color rgb="FF000000"/>
            <rFont val="Calibri"/>
            <family val="34"/>
          </rPr>
          <t xml:space="preserve">
</t>
        </r>
      </text>
    </comment>
    <comment ref="BH412" authorId="0" shapeId="0" xr:uid="{9143D6C9-D8BD-A047-8BE2-202D0D1F7FC1}">
      <text>
        <r>
          <rPr>
            <sz val="14"/>
            <color rgb="FF000000"/>
            <rFont val="Calibri"/>
            <family val="34"/>
          </rPr>
          <t xml:space="preserve">IR 49 (1800-1802)
</t>
        </r>
        <r>
          <rPr>
            <sz val="14"/>
            <color rgb="FF000000"/>
            <rFont val="Calibri"/>
            <family val="34"/>
          </rPr>
          <t>IR 23 (1802)</t>
        </r>
      </text>
    </comment>
    <comment ref="B413" authorId="0" shapeId="0" xr:uid="{42841082-F884-0345-9031-27BD09C7203C}">
      <text>
        <r>
          <rPr>
            <sz val="14"/>
            <color rgb="FF000000"/>
            <rFont val="Calibri"/>
            <family val="34"/>
          </rPr>
          <t xml:space="preserve">Ignatz MORAWSKY (1801-1809)
</t>
        </r>
        <r>
          <rPr>
            <sz val="14"/>
            <color rgb="FF000000"/>
            <rFont val="Calibri"/>
            <family val="34"/>
          </rPr>
          <t>Joseph MAZOVSKY (1810)</t>
        </r>
      </text>
    </comment>
    <comment ref="I413" authorId="0" shapeId="0" xr:uid="{13B4E57A-4D21-FF4D-9B23-35587D5979B3}">
      <text>
        <r>
          <rPr>
            <sz val="14"/>
            <color rgb="FF000000"/>
            <rFont val="Calibri"/>
            <family val="34"/>
          </rPr>
          <t xml:space="preserve">1778 [38 (1816)]
</t>
        </r>
        <r>
          <rPr>
            <sz val="14"/>
            <color rgb="FF000000"/>
            <rFont val="Calibri"/>
            <family val="34"/>
          </rPr>
          <t xml:space="preserve">OR 
</t>
        </r>
        <r>
          <rPr>
            <sz val="14"/>
            <color rgb="FF000000"/>
            <rFont val="Calibri"/>
            <family val="34"/>
          </rPr>
          <t>1782 [22 (1804)]</t>
        </r>
      </text>
    </comment>
    <comment ref="J413" authorId="0" shapeId="0" xr:uid="{444763C7-C1BE-0F4E-906F-D20A426F86A2}">
      <text>
        <r>
          <rPr>
            <sz val="14"/>
            <color rgb="FF000000"/>
            <rFont val="Calibri"/>
            <family val="34"/>
          </rPr>
          <t xml:space="preserve">Ledig (1802-3/1809-16)
</t>
        </r>
        <r>
          <rPr>
            <sz val="14"/>
            <color rgb="FF000000"/>
            <rFont val="Calibri"/>
            <family val="34"/>
          </rPr>
          <t>Veheiratet (1804-6)</t>
        </r>
      </text>
    </comment>
    <comment ref="T413" authorId="0" shapeId="0" xr:uid="{35955DA3-D3A5-2F44-AD06-29647F0BFDAB}">
      <text>
        <r>
          <rPr>
            <sz val="14"/>
            <color rgb="FF000000"/>
            <rFont val="Calibri"/>
            <family val="34"/>
          </rPr>
          <t xml:space="preserve">161.07 (1802-3)
</t>
        </r>
        <r>
          <rPr>
            <sz val="14"/>
            <color rgb="FF000000"/>
            <rFont val="Calibri"/>
            <family val="34"/>
          </rPr>
          <t xml:space="preserve">168.96 (1804-6)
</t>
        </r>
        <r>
          <rPr>
            <sz val="14"/>
            <color rgb="FF000000"/>
            <rFont val="Calibri"/>
            <family val="34"/>
          </rPr>
          <t>163.26 (1809)</t>
        </r>
      </text>
    </comment>
    <comment ref="BF413" authorId="0" shapeId="0" xr:uid="{4E89D226-CE0E-9049-8366-930D44D1C66F}">
      <text>
        <r>
          <rPr>
            <sz val="14"/>
            <color rgb="FF000000"/>
            <rFont val="Times New Roman"/>
            <family val="18"/>
          </rPr>
          <t xml:space="preserve">06/01/1801 </t>
        </r>
        <r>
          <rPr>
            <i/>
            <sz val="14"/>
            <color rgb="FF000000"/>
            <rFont val="Times New Roman"/>
            <family val="18"/>
          </rPr>
          <t>Zu Tarnopol von Ständen gestellt und seitdem auf anhero Marsch</t>
        </r>
        <r>
          <rPr>
            <sz val="14"/>
            <color rgb="FF000000"/>
            <rFont val="Times New Roman"/>
            <family val="18"/>
          </rPr>
          <t xml:space="preserve"> [ST Jan 1801]</t>
        </r>
        <r>
          <rPr>
            <sz val="14"/>
            <color rgb="FF000000"/>
            <rFont val="Calibri"/>
            <family val="34"/>
          </rPr>
          <t xml:space="preserve">
</t>
        </r>
        <r>
          <rPr>
            <sz val="14"/>
            <color rgb="FF000000"/>
            <rFont val="Times New Roman"/>
            <family val="18"/>
          </rPr>
          <t>11/09/1802 Muster: IR 43 Haupt Barbo Komp. Nr. 129</t>
        </r>
        <r>
          <rPr>
            <sz val="14"/>
            <color rgb="FF000000"/>
            <rFont val="Calibri"/>
            <family val="34"/>
          </rPr>
          <t xml:space="preserve">
</t>
        </r>
        <r>
          <rPr>
            <sz val="14"/>
            <color rgb="FF000000"/>
            <rFont val="Times New Roman"/>
            <family val="18"/>
          </rPr>
          <t>28/09/1802 Muster: IR 43 Haupt Römer Komp. Nr. 117</t>
        </r>
        <r>
          <rPr>
            <sz val="14"/>
            <color rgb="FF000000"/>
            <rFont val="Calibri"/>
            <family val="34"/>
          </rPr>
          <t xml:space="preserve">
</t>
        </r>
        <r>
          <rPr>
            <sz val="14"/>
            <color rgb="FF000000"/>
            <rFont val="Times New Roman"/>
            <family val="18"/>
          </rPr>
          <t>06/10/1804 Muster: IR 43 Haupt Prati Komp. Nr. 111</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Prati zum 14. Fus Komp transferiert</t>
        </r>
        <r>
          <rPr>
            <sz val="14"/>
            <color rgb="FF000000"/>
            <rFont val="Times New Roman"/>
            <family val="18"/>
          </rPr>
          <t xml:space="preserve"> [ST Aug 1805]</t>
        </r>
        <r>
          <rPr>
            <sz val="14"/>
            <color rgb="FF000000"/>
            <rFont val="Calibri"/>
            <family val="34"/>
          </rPr>
          <t xml:space="preserve">
</t>
        </r>
        <r>
          <rPr>
            <sz val="14"/>
            <color rgb="FF000000"/>
            <rFont val="Times New Roman"/>
            <family val="18"/>
          </rPr>
          <t>01/10/1805 Muster: IR 43 14. Fus. Komp. Nr. 131</t>
        </r>
        <r>
          <rPr>
            <sz val="14"/>
            <color rgb="FF000000"/>
            <rFont val="Calibri"/>
            <family val="34"/>
          </rPr>
          <t xml:space="preserve">
</t>
        </r>
        <r>
          <rPr>
            <sz val="14"/>
            <color rgb="FF000000"/>
            <rFont val="Times New Roman"/>
            <family val="18"/>
          </rPr>
          <t>01/12/1806 Muster: IR 43 4. Fus. Komp. Nr. 85</t>
        </r>
        <r>
          <rPr>
            <sz val="14"/>
            <color rgb="FF000000"/>
            <rFont val="Calibri"/>
            <family val="34"/>
          </rPr>
          <t xml:space="preserve">
</t>
        </r>
        <r>
          <rPr>
            <sz val="14"/>
            <color rgb="FF000000"/>
            <rFont val="Times New Roman"/>
            <family val="18"/>
          </rPr>
          <t xml:space="preserve">21/06/1807 </t>
        </r>
        <r>
          <rPr>
            <i/>
            <sz val="14"/>
            <color rgb="FF000000"/>
            <rFont val="Times New Roman"/>
            <family val="18"/>
          </rPr>
          <t>Auf Ritt nach Triest</t>
        </r>
        <r>
          <rPr>
            <sz val="14"/>
            <color rgb="FF000000"/>
            <rFont val="Times New Roman"/>
            <family val="18"/>
          </rPr>
          <t xml:space="preserve"> [ST July 1807]</t>
        </r>
        <r>
          <rPr>
            <sz val="14"/>
            <color rgb="FF000000"/>
            <rFont val="Calibri"/>
            <family val="34"/>
          </rPr>
          <t xml:space="preserve">
</t>
        </r>
        <r>
          <rPr>
            <sz val="14"/>
            <color rgb="FF000000"/>
            <rFont val="Times New Roman"/>
            <family val="18"/>
          </rPr>
          <t xml:space="preserve">10/07/1807 </t>
        </r>
        <r>
          <rPr>
            <i/>
            <sz val="14"/>
            <color rgb="FF000000"/>
            <rFont val="Times New Roman"/>
            <family val="18"/>
          </rPr>
          <t>Wieder zurück in Companie</t>
        </r>
        <r>
          <rPr>
            <sz val="14"/>
            <color rgb="FF000000"/>
            <rFont val="Times New Roman"/>
            <family val="18"/>
          </rPr>
          <t xml:space="preserve"> [ST July 1807]</t>
        </r>
        <r>
          <rPr>
            <sz val="14"/>
            <color rgb="FF000000"/>
            <rFont val="Calibri"/>
            <family val="34"/>
          </rPr>
          <t xml:space="preserve">
</t>
        </r>
        <r>
          <rPr>
            <sz val="14"/>
            <color rgb="FF000000"/>
            <rFont val="Times New Roman"/>
            <family val="18"/>
          </rPr>
          <t>06/09/1808 Revision: 4. Fus. Komp. Nr. 71</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43 2. Fus. zum 9. Corps Staabs Inf Comp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01/10/1809 </t>
        </r>
        <r>
          <rPr>
            <i/>
            <sz val="14"/>
            <color rgb="FF000000"/>
            <rFont val="Times New Roman"/>
            <family val="18"/>
          </rPr>
          <t>Von Staabs Inf zum 12. Fus Comp ohne Zuwachs Dokument eingerückt</t>
        </r>
        <r>
          <rPr>
            <sz val="14"/>
            <color rgb="FF000000"/>
            <rFont val="Times New Roman"/>
            <family val="18"/>
          </rPr>
          <t xml:space="preserve"> [ST October 1809]</t>
        </r>
        <r>
          <rPr>
            <sz val="14"/>
            <color rgb="FF000000"/>
            <rFont val="Calibri"/>
            <family val="34"/>
          </rPr>
          <t xml:space="preserve">
</t>
        </r>
        <r>
          <rPr>
            <sz val="14"/>
            <color rgb="FF000000"/>
            <rFont val="Times New Roman"/>
            <family val="18"/>
          </rPr>
          <t xml:space="preserve">25/10/1810 Dissolvierung: IR 43 12. Fus. Komp. Nr. 126 </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12. Fus Komp des Dissolvierte IR 43 zum IR 9 Czartoryski transferiert</t>
        </r>
        <r>
          <rPr>
            <sz val="14"/>
            <color rgb="FF000000"/>
            <rFont val="Times New Roman"/>
            <family val="18"/>
          </rPr>
          <t xml:space="preserve"> [ST March 1810 &amp; TL 1810]</t>
        </r>
        <r>
          <rPr>
            <sz val="14"/>
            <color rgb="FF000000"/>
            <rFont val="Calibri"/>
            <family val="34"/>
          </rPr>
          <t xml:space="preserve">
</t>
        </r>
        <r>
          <rPr>
            <sz val="14"/>
            <color rgb="FF000000"/>
            <rFont val="Times New Roman"/>
            <family val="18"/>
          </rPr>
          <t xml:space="preserve">15/08/1811 </t>
        </r>
        <r>
          <rPr>
            <i/>
            <sz val="14"/>
            <color rgb="FF000000"/>
            <rFont val="Times New Roman"/>
            <family val="18"/>
          </rPr>
          <t>Von IR 9 1. Komp. zum 1. Garrsion Battalion 2.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05/10/1812 Revision GB 1 2. Komp. Nr. 165</t>
        </r>
        <r>
          <rPr>
            <sz val="14"/>
            <color rgb="FF000000"/>
            <rFont val="Calibri"/>
            <family val="34"/>
          </rPr>
          <t xml:space="preserve">
</t>
        </r>
        <r>
          <rPr>
            <sz val="14"/>
            <color rgb="FF000000"/>
            <rFont val="Times New Roman"/>
            <family val="18"/>
          </rPr>
          <t xml:space="preserve">16/02/1814 </t>
        </r>
        <r>
          <rPr>
            <i/>
            <sz val="14"/>
            <color rgb="FF000000"/>
            <rFont val="Times New Roman"/>
            <family val="18"/>
          </rPr>
          <t>Von GB 1 2, Komp. zur 2. Bucoviener FB mittels Einverständnis transferiert und zur 5. Komp. eingeheilt</t>
        </r>
        <r>
          <rPr>
            <sz val="14"/>
            <color rgb="FF000000"/>
            <rFont val="Times New Roman"/>
            <family val="18"/>
          </rPr>
          <t xml:space="preserve"> [ST Feb 1814]</t>
        </r>
        <r>
          <rPr>
            <sz val="14"/>
            <color rgb="FF000000"/>
            <rFont val="Calibri"/>
            <family val="34"/>
          </rPr>
          <t xml:space="preserve">
</t>
        </r>
        <r>
          <rPr>
            <sz val="14"/>
            <color rgb="FF000000"/>
            <rFont val="Times New Roman"/>
            <family val="18"/>
          </rPr>
          <t xml:space="preserve">01/03/1814 </t>
        </r>
        <r>
          <rPr>
            <i/>
            <sz val="14"/>
            <color rgb="FF000000"/>
            <rFont val="Times New Roman"/>
            <family val="18"/>
          </rPr>
          <t>Von Gemeiner zur Corporal avanciert</t>
        </r>
        <r>
          <rPr>
            <sz val="14"/>
            <color rgb="FF000000"/>
            <rFont val="Times New Roman"/>
            <family val="18"/>
          </rPr>
          <t xml:space="preserve"> [TL Jan 1816]</t>
        </r>
        <r>
          <rPr>
            <sz val="14"/>
            <color rgb="FF000000"/>
            <rFont val="Calibri"/>
            <family val="34"/>
          </rPr>
          <t xml:space="preserve">
</t>
        </r>
        <r>
          <rPr>
            <sz val="14"/>
            <color rgb="FF000000"/>
            <rFont val="Times New Roman"/>
            <family val="18"/>
          </rPr>
          <t xml:space="preserve">21/01/1816 </t>
        </r>
        <r>
          <rPr>
            <i/>
            <sz val="14"/>
            <color rgb="FF000000"/>
            <rFont val="Times New Roman"/>
            <family val="18"/>
          </rPr>
          <t>Von 2. Bucovianer FB 5. Komp. zum GB 1 transferiert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Ins Bataillon eingerückt zum zur 1. Komp eingeteilt</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15/07/1816 </t>
        </r>
        <r>
          <rPr>
            <i/>
            <sz val="14"/>
            <color rgb="FF000000"/>
            <rFont val="Times New Roman"/>
            <family val="18"/>
          </rPr>
          <t>Zu Folge hoher Rescripts dt. 25. April a:c: K 1992 und galliz. General Commando Verordnung vom. 5 May R. 4424 mit Abschied entlassen</t>
        </r>
        <r>
          <rPr>
            <sz val="14"/>
            <color rgb="FF000000"/>
            <rFont val="Times New Roman"/>
            <family val="18"/>
          </rPr>
          <t xml:space="preserve"> [ST Juli 1816]</t>
        </r>
        <r>
          <rPr>
            <sz val="14"/>
            <color rgb="FF000000"/>
            <rFont val="Calibri"/>
            <family val="34"/>
          </rPr>
          <t xml:space="preserve">
</t>
        </r>
      </text>
    </comment>
    <comment ref="BG413" authorId="0" shapeId="0" xr:uid="{9545937D-D9AD-6A45-8736-B73E80F851B3}">
      <text>
        <r>
          <rPr>
            <sz val="14"/>
            <color rgb="FF000000"/>
            <rFont val="Times New Roman"/>
            <family val="18"/>
          </rPr>
          <t>ML 10.272 IR 43 (1802) – Haupt Barbo Komp. Nr. 129 (Zara 11/09/1802)</t>
        </r>
        <r>
          <rPr>
            <sz val="14"/>
            <color rgb="FF000000"/>
            <rFont val="Calibri"/>
            <family val="34"/>
          </rPr>
          <t xml:space="preserve">
</t>
        </r>
        <r>
          <rPr>
            <sz val="14"/>
            <color rgb="FF000000"/>
            <rFont val="Times New Roman"/>
            <family val="18"/>
          </rPr>
          <t>ML 10.273 IR 43 (1803) – Haupt Römer Komp. Nr. 117 (Zara 28/09/1803)</t>
        </r>
        <r>
          <rPr>
            <sz val="14"/>
            <color rgb="FF000000"/>
            <rFont val="Calibri"/>
            <family val="34"/>
          </rPr>
          <t xml:space="preserve">
</t>
        </r>
        <r>
          <rPr>
            <sz val="14"/>
            <color rgb="FF000000"/>
            <rFont val="Times New Roman"/>
            <family val="18"/>
          </rPr>
          <t>ML 10.274 IR 43 (1804) – Haupt Prati Komp. Nr. 111 (Budua 06/10/1804)</t>
        </r>
        <r>
          <rPr>
            <sz val="14"/>
            <color rgb="FF000000"/>
            <rFont val="Calibri"/>
            <family val="34"/>
          </rPr>
          <t xml:space="preserve">
</t>
        </r>
        <r>
          <rPr>
            <sz val="14"/>
            <color rgb="FF000000"/>
            <rFont val="Times New Roman"/>
            <family val="18"/>
          </rPr>
          <t>ML 10.275/6 IR 43 (1805) – IR 43 14. Fus Komp. Nr. 131 (Zara 01/10/1805)</t>
        </r>
        <r>
          <rPr>
            <sz val="14"/>
            <color rgb="FF000000"/>
            <rFont val="Calibri"/>
            <family val="34"/>
          </rPr>
          <t xml:space="preserve">
</t>
        </r>
        <r>
          <rPr>
            <sz val="14"/>
            <color rgb="FF000000"/>
            <rFont val="Times New Roman"/>
            <family val="18"/>
          </rPr>
          <t>ML 10.277/8 IR 43 (1806) – IR 43 4. Fus Komp. Nr. 85 (Laibach 01/12/1806)</t>
        </r>
        <r>
          <rPr>
            <sz val="14"/>
            <color rgb="FF000000"/>
            <rFont val="Calibri"/>
            <family val="34"/>
          </rPr>
          <t xml:space="preserve">
</t>
        </r>
        <r>
          <rPr>
            <sz val="14"/>
            <color rgb="FF000000"/>
            <rFont val="Times New Roman"/>
            <family val="18"/>
          </rPr>
          <t>ML 10.279 IR 43 (1808-10) – RL 4. Fus Komp. Nr. 71 (Laibach 06/09/1808) &amp; DL (Vordenberg 25/02/1810)</t>
        </r>
        <r>
          <rPr>
            <sz val="14"/>
            <color rgb="FF000000"/>
            <rFont val="Calibri"/>
            <family val="34"/>
          </rPr>
          <t xml:space="preserve">
</t>
        </r>
        <r>
          <rPr>
            <sz val="14"/>
            <color rgb="FF000000"/>
            <rFont val="Times New Roman"/>
            <family val="18"/>
          </rPr>
          <t>ML 10.311 IR 43 (1801) – ST Jänner (23/08/1804)</t>
        </r>
        <r>
          <rPr>
            <sz val="14"/>
            <color rgb="FF000000"/>
            <rFont val="Calibri"/>
            <family val="34"/>
          </rPr>
          <t xml:space="preserve">
</t>
        </r>
        <r>
          <rPr>
            <sz val="14"/>
            <color rgb="FF000000"/>
            <rFont val="Times New Roman"/>
            <family val="18"/>
          </rPr>
          <t>ML 10.315 IR 43 (1805) – ST August (15/09/1805)</t>
        </r>
        <r>
          <rPr>
            <sz val="14"/>
            <color rgb="FF000000"/>
            <rFont val="Calibri"/>
            <family val="34"/>
          </rPr>
          <t xml:space="preserve">
</t>
        </r>
        <r>
          <rPr>
            <sz val="14"/>
            <color rgb="FF000000"/>
            <rFont val="Times New Roman"/>
            <family val="18"/>
          </rPr>
          <t>ML 10.319 IR 43 (1807) – ST Juli (13/08/1807)</t>
        </r>
        <r>
          <rPr>
            <sz val="14"/>
            <color rgb="FF000000"/>
            <rFont val="Calibri"/>
            <family val="34"/>
          </rPr>
          <t xml:space="preserve">
</t>
        </r>
        <r>
          <rPr>
            <sz val="14"/>
            <color rgb="FF000000"/>
            <rFont val="Times New Roman"/>
            <family val="18"/>
          </rPr>
          <t>ML 10.323 IR 43 (1809) – ST März (??/??/1810) und Oktober (02/01/1811)</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634 IR 9 (1811) – 1. Fus Komp. – Abgang (Eperies 09/09/1811)</t>
        </r>
        <r>
          <rPr>
            <sz val="14"/>
            <color rgb="FF000000"/>
            <rFont val="Calibri"/>
            <family val="34"/>
          </rPr>
          <t xml:space="preserve">
</t>
        </r>
        <r>
          <rPr>
            <sz val="14"/>
            <color rgb="FF000000"/>
            <rFont val="Times New Roman"/>
            <family val="18"/>
          </rPr>
          <t>ML 6335 GB 1 (1812) – 2. Komp. Nr. 163 (Goreblastie 5/10/1812)</t>
        </r>
        <r>
          <rPr>
            <sz val="14"/>
            <color rgb="FF000000"/>
            <rFont val="Calibri"/>
            <family val="34"/>
          </rPr>
          <t xml:space="preserve">
</t>
        </r>
        <r>
          <rPr>
            <sz val="14"/>
            <color rgb="FF000000"/>
            <rFont val="Times New Roman"/>
            <family val="18"/>
          </rPr>
          <t>ML 6336 GB 1 (1813-14) – ST Feb (Lemberg 19/03/1814)</t>
        </r>
        <r>
          <rPr>
            <sz val="14"/>
            <color rgb="FF000000"/>
            <rFont val="Calibri"/>
            <family val="34"/>
          </rPr>
          <t xml:space="preserve">
</t>
        </r>
        <r>
          <rPr>
            <sz val="14"/>
            <color rgb="FF000000"/>
            <rFont val="Times New Roman"/>
            <family val="18"/>
          </rPr>
          <t>ML 10.867 FK Bukivianer 2. Bat (1813-14) – ST Feb (Czernowitz 15/08/1814)</t>
        </r>
        <r>
          <rPr>
            <sz val="14"/>
            <color rgb="FF000000"/>
            <rFont val="Calibri"/>
            <family val="34"/>
          </rPr>
          <t xml:space="preserve">
</t>
        </r>
        <r>
          <rPr>
            <sz val="14"/>
            <color rgb="FF000000"/>
            <rFont val="Times New Roman"/>
            <family val="18"/>
          </rPr>
          <t>ML 10.868 FK Bukovianer 2. Bat. (1815-16) – TL FK 2. Bukovianer FB-&gt; GB 1 Nr. 4 (Czernowitz 31/01/1816); ST 1816 Jän (Czernowitz 31/03/1816)</t>
        </r>
        <r>
          <rPr>
            <sz val="14"/>
            <color rgb="FF000000"/>
            <rFont val="Calibri"/>
            <family val="34"/>
          </rPr>
          <t xml:space="preserve">
</t>
        </r>
        <r>
          <rPr>
            <sz val="14"/>
            <color rgb="FF000000"/>
            <rFont val="Times New Roman"/>
            <family val="18"/>
          </rPr>
          <t xml:space="preserve">ML 6338 GB 1 (1816) – ST Jän (Suczawa 28/02/1816), Juli (Suczawa 20/01/1817) </t>
        </r>
        <r>
          <rPr>
            <sz val="14"/>
            <color rgb="FF000000"/>
            <rFont val="Calibri"/>
            <family val="34"/>
          </rPr>
          <t xml:space="preserve">
</t>
        </r>
      </text>
    </comment>
    <comment ref="BH413" authorId="0" shapeId="0" xr:uid="{7C15B876-E323-C746-A8EC-17D855AD16E9}">
      <text>
        <r>
          <rPr>
            <sz val="14"/>
            <color rgb="FF000000"/>
            <rFont val="Calibri"/>
            <family val="34"/>
          </rPr>
          <t xml:space="preserve">IR 43 (1801-1809)
</t>
        </r>
        <r>
          <rPr>
            <sz val="14"/>
            <color rgb="FF000000"/>
            <rFont val="Calibri"/>
            <family val="34"/>
          </rPr>
          <t xml:space="preserve">9. StaabsInf (1809)
</t>
        </r>
        <r>
          <rPr>
            <sz val="14"/>
            <color rgb="FF000000"/>
            <rFont val="Calibri"/>
            <family val="34"/>
          </rPr>
          <t xml:space="preserve">IR 43 (1809)
</t>
        </r>
        <r>
          <rPr>
            <sz val="14"/>
            <color rgb="FF000000"/>
            <rFont val="Calibri"/>
            <family val="34"/>
          </rPr>
          <t xml:space="preserve">IR 9 (1810-1811)
</t>
        </r>
        <r>
          <rPr>
            <sz val="14"/>
            <color rgb="FF000000"/>
            <rFont val="Calibri"/>
            <family val="34"/>
          </rPr>
          <t xml:space="preserve">GB 1 (1811-1814)
</t>
        </r>
        <r>
          <rPr>
            <sz val="14"/>
            <color rgb="FF000000"/>
            <rFont val="Calibri"/>
            <family val="34"/>
          </rPr>
          <t xml:space="preserve">Bukow. FK 2. Bat (1814-1816)
</t>
        </r>
        <r>
          <rPr>
            <sz val="14"/>
            <color rgb="FF000000"/>
            <rFont val="Calibri"/>
            <family val="34"/>
          </rPr>
          <t>GB 1 (1814-1816)</t>
        </r>
      </text>
    </comment>
    <comment ref="BI413" authorId="0" shapeId="0" xr:uid="{4B8CAB8F-64A9-494C-8FB1-21F6BB098634}">
      <text>
        <r>
          <rPr>
            <i/>
            <sz val="14"/>
            <color rgb="FF000000"/>
            <rFont val="Times New Roman"/>
            <family val="18"/>
          </rPr>
          <t>Gut</t>
        </r>
        <r>
          <rPr>
            <sz val="14"/>
            <color rgb="FF000000"/>
            <rFont val="Times New Roman"/>
            <family val="18"/>
          </rPr>
          <t xml:space="preserve"> (TL March 1810)
</t>
        </r>
        <r>
          <rPr>
            <i/>
            <sz val="14"/>
            <color rgb="FF000000"/>
            <rFont val="Times New Roman"/>
            <family val="18"/>
          </rPr>
          <t>Der Trunk zuweilen ergeben</t>
        </r>
        <r>
          <rPr>
            <sz val="14"/>
            <color rgb="FF000000"/>
            <rFont val="Times New Roman"/>
            <family val="18"/>
          </rPr>
          <t xml:space="preserve"> (TL Jan 1816)</t>
        </r>
      </text>
    </comment>
    <comment ref="CR413" authorId="0" shapeId="0" xr:uid="{195BE742-DDB7-3F49-971A-5A6FF7B874D5}">
      <text>
        <r>
          <rPr>
            <sz val="14"/>
            <color rgb="FF000000"/>
            <rFont val="Calibri"/>
            <family val="34"/>
          </rPr>
          <t xml:space="preserve">1802-3/09/16: Altglaubisch
</t>
        </r>
        <r>
          <rPr>
            <sz val="14"/>
            <color rgb="FF000000"/>
            <rFont val="Calibri"/>
            <family val="34"/>
          </rPr>
          <t>1804-6: Jüdisch</t>
        </r>
      </text>
    </comment>
    <comment ref="BF414" authorId="0" shapeId="0" xr:uid="{F407411A-64D3-184F-BA81-ED1EAAE449CB}">
      <text>
        <r>
          <rPr>
            <sz val="14"/>
            <color rgb="FF000000"/>
            <rFont val="Times New Roman"/>
            <family val="18"/>
          </rPr>
          <t xml:space="preserve">03/02/1801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18/03/1801 </t>
        </r>
        <r>
          <rPr>
            <i/>
            <sz val="14"/>
            <color rgb="FF000000"/>
            <rFont val="Times New Roman"/>
            <family val="18"/>
          </rPr>
          <t>In dem Feldspital zu Görz gestorben</t>
        </r>
        <r>
          <rPr>
            <sz val="14"/>
            <color rgb="FF000000"/>
            <rFont val="Times New Roman"/>
            <family val="18"/>
          </rPr>
          <t xml:space="preserve"> [ML 1802]</t>
        </r>
        <r>
          <rPr>
            <sz val="14"/>
            <color rgb="FF000000"/>
            <rFont val="Calibri"/>
            <family val="34"/>
          </rPr>
          <t xml:space="preserve">
</t>
        </r>
      </text>
    </comment>
    <comment ref="BG414" authorId="0" shapeId="0" xr:uid="{0D2876BB-B1D0-6C41-B609-F2BCB0520BE3}">
      <text>
        <r>
          <rPr>
            <sz val="14"/>
            <color rgb="FF000000"/>
            <rFont val="Times New Roman"/>
            <family val="18"/>
          </rPr>
          <t>ML 10.124 IR 23 (1802) – Haupt Rauch Komp. Abgang (Vienna 16/09/1802)</t>
        </r>
        <r>
          <rPr>
            <sz val="14"/>
            <color rgb="FF000000"/>
            <rFont val="Calibri"/>
            <family val="34"/>
          </rPr>
          <t xml:space="preserve">
</t>
        </r>
      </text>
    </comment>
    <comment ref="BH414" authorId="0" shapeId="0" xr:uid="{ECFFCEAE-71A3-8D42-971A-272278226787}">
      <text>
        <r>
          <rPr>
            <sz val="14"/>
            <color rgb="FF000000"/>
            <rFont val="Calibri"/>
            <family val="34"/>
          </rPr>
          <t>IR 23 (1801)</t>
        </r>
      </text>
    </comment>
    <comment ref="BF415" authorId="0" shapeId="0" xr:uid="{4828C12D-F0E6-274F-B180-FB5CD4FA6BDF}">
      <text>
        <r>
          <rPr>
            <sz val="14"/>
            <color rgb="FF000000"/>
            <rFont val="Times New Roman"/>
            <family val="18"/>
          </rPr>
          <t xml:space="preserve">09/02/1801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415" authorId="0" shapeId="0" xr:uid="{423E4983-E2F6-2943-99DE-AAB702486F19}">
      <text>
        <r>
          <rPr>
            <sz val="14"/>
            <color rgb="FF000000"/>
            <rFont val="Times New Roman"/>
            <family val="18"/>
          </rPr>
          <t>ML 10.311 IR 43 (1801) – ST Feb (28/09/1804), Oct (21/07/1805)</t>
        </r>
        <r>
          <rPr>
            <sz val="14"/>
            <color rgb="FF000000"/>
            <rFont val="Calibri"/>
            <family val="34"/>
          </rPr>
          <t xml:space="preserve">
</t>
        </r>
        <r>
          <rPr>
            <sz val="14"/>
            <color rgb="FF000000"/>
            <rFont val="Times New Roman"/>
            <family val="18"/>
          </rPr>
          <t xml:space="preserve">
</t>
        </r>
      </text>
    </comment>
    <comment ref="BH415" authorId="0" shapeId="0" xr:uid="{5B05A5EF-AFCC-804B-ADCD-3A67AFC61466}">
      <text>
        <r>
          <rPr>
            <sz val="14"/>
            <color rgb="FF000000"/>
            <rFont val="Calibri"/>
            <family val="34"/>
          </rPr>
          <t>IR 43 (1801)</t>
        </r>
      </text>
    </comment>
    <comment ref="BF416" authorId="0" shapeId="0" xr:uid="{F4301938-252C-DA4F-AE63-F19ACC8F3533}">
      <text>
        <r>
          <rPr>
            <sz val="14"/>
            <color rgb="FF000000"/>
            <rFont val="Times New Roman"/>
            <family val="18"/>
          </rPr>
          <t xml:space="preserve">09/02/1801 </t>
        </r>
        <r>
          <rPr>
            <i/>
            <sz val="14"/>
            <color rgb="FF000000"/>
            <rFont val="Times New Roman"/>
            <family val="18"/>
          </rPr>
          <t>Von Ständen gestellt und seitdem auf anhero Marsch</t>
        </r>
        <r>
          <rPr>
            <i/>
            <sz val="14"/>
            <color rgb="FF000000"/>
            <rFont val="Times New Roman"/>
            <family val="18"/>
          </rPr>
          <t xml:space="preserve">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31/08/1801 </t>
        </r>
        <r>
          <rPr>
            <i/>
            <sz val="14"/>
            <color rgb="FF000000"/>
            <rFont val="Times New Roman"/>
            <family val="18"/>
          </rPr>
          <t>Mit Laufpass entlassen</t>
        </r>
        <r>
          <rPr>
            <sz val="14"/>
            <color rgb="FF000000"/>
            <rFont val="Times New Roman"/>
            <family val="18"/>
          </rPr>
          <t xml:space="preserve"> [ST Aug 1801]</t>
        </r>
        <r>
          <rPr>
            <sz val="14"/>
            <color rgb="FF000000"/>
            <rFont val="Calibri"/>
            <family val="34"/>
          </rPr>
          <t xml:space="preserve">
</t>
        </r>
      </text>
    </comment>
    <comment ref="BG416" authorId="0" shapeId="0" xr:uid="{7D258161-DF0E-E94A-BF3C-9E379D299F5A}">
      <text>
        <r>
          <rPr>
            <sz val="14"/>
            <color rgb="FF000000"/>
            <rFont val="Times New Roman"/>
            <family val="18"/>
          </rPr>
          <t>ML 10.311 IR 43 (1801) – ST Feb (28/09/1804), Juni (20/06/1805), Aug (27/12/1803)</t>
        </r>
        <r>
          <rPr>
            <sz val="14"/>
            <color rgb="FF000000"/>
            <rFont val="Calibri"/>
            <family val="34"/>
          </rPr>
          <t xml:space="preserve">
</t>
        </r>
      </text>
    </comment>
    <comment ref="BH416" authorId="0" shapeId="0" xr:uid="{E4F103A6-5DAF-A545-8F57-33244C9F3427}">
      <text>
        <r>
          <rPr>
            <sz val="14"/>
            <color rgb="FF000000"/>
            <rFont val="Calibri"/>
            <family val="34"/>
          </rPr>
          <t>IR 43 (1801)</t>
        </r>
      </text>
    </comment>
    <comment ref="B417" authorId="0" shapeId="0" xr:uid="{7B47D702-5453-C34D-BE64-C8AD9CF33EF0}">
      <text>
        <r>
          <rPr>
            <sz val="10"/>
            <color rgb="FF000000"/>
            <rFont val="Tahoma"/>
            <family val="2"/>
          </rPr>
          <t xml:space="preserve">Jankel LOWY (1801-4/9)
</t>
        </r>
        <r>
          <rPr>
            <sz val="10"/>
            <color rgb="FF000000"/>
            <rFont val="Tahoma"/>
            <family val="2"/>
          </rPr>
          <t>Moises ALBEI (1808): Flase identity as deserters?</t>
        </r>
      </text>
    </comment>
    <comment ref="BF417" authorId="0" shapeId="0" xr:uid="{B1990954-7A2B-B641-99B5-24F5F0127985}">
      <text>
        <r>
          <rPr>
            <sz val="14"/>
            <color rgb="FF000000"/>
            <rFont val="+mn-lt"/>
            <charset val="1"/>
          </rPr>
          <t xml:space="preserve">09/02/1801 von Ständen gestellt und seitdem auf anhero Marsch mit Friedensgebühr [ST Feb 1801]
</t>
        </r>
        <r>
          <rPr>
            <sz val="14"/>
            <color rgb="FF000000"/>
            <rFont val="+mn-lt"/>
            <charset val="1"/>
          </rPr>
          <t xml:space="preserve">31/05/1801 In die Reserve Division eingerückt [ST Juni 1801]
</t>
        </r>
        <r>
          <rPr>
            <sz val="14"/>
            <color rgb="FF000000"/>
            <rFont val="+mn-lt"/>
            <charset val="1"/>
          </rPr>
          <t xml:space="preserve">??/??/1801 von Reserve Division ins Haupt Barbo companie Transferiert [?? 180] 
</t>
        </r>
        <r>
          <rPr>
            <sz val="14"/>
            <color rgb="FF000000"/>
            <rFont val="+mn-lt"/>
            <charset val="1"/>
          </rPr>
          <t xml:space="preserve">11/09/1802 Musterung: IR 43 Haupt Barbo Comp Nr. 128
</t>
        </r>
        <r>
          <rPr>
            <sz val="14"/>
            <color rgb="FF000000"/>
            <rFont val="+mn-lt"/>
            <charset val="1"/>
          </rPr>
          <t xml:space="preserve">08/11/1802 Auf dem Marsch mit Urlaub und Auswärtiger Verpflegung ins Galizien [ST Nov 1802]
</t>
        </r>
        <r>
          <rPr>
            <sz val="14"/>
            <color rgb="FF000000"/>
            <rFont val="+mn-lt"/>
            <charset val="1"/>
          </rPr>
          <t xml:space="preserve">28/02/1803 Als unbestimmt Beurlaubt in Galizien eingerückt [ST March 1803]
</t>
        </r>
        <r>
          <rPr>
            <sz val="14"/>
            <color rgb="FF000000"/>
            <rFont val="+mn-lt"/>
            <charset val="1"/>
          </rPr>
          <t xml:space="preserve">28/09/1803 Musterung: IR 43 Haupt Römer Comp Nr. 116 [Mit Urlaub bis zur Einberufung in seinem Geburtsort]
</t>
        </r>
        <r>
          <rPr>
            <sz val="14"/>
            <color rgb="FF000000"/>
            <rFont val="+mn-lt"/>
            <charset val="1"/>
          </rPr>
          <t xml:space="preserve">23/11/1803 von Urlaub aus Galizien desertiert [ST Jan 1804 &amp; ML 1804]
</t>
        </r>
        <r>
          <rPr>
            <sz val="14"/>
            <color rgb="FF000000"/>
            <rFont val="+mn-lt"/>
            <charset val="1"/>
          </rPr>
          <t xml:space="preserve">21/12/1808 zu Lemberg Ohne Taglia attrapiert und seitdem auf anhero Marsch [ST April 1809]
</t>
        </r>
        <r>
          <rPr>
            <sz val="14"/>
            <color rgb="FF000000"/>
            <rFont val="+mn-lt"/>
            <charset val="1"/>
          </rPr>
          <t xml:space="preserve">11/04/1809 Ins Regiment eingerückt, zum 2. Depot Companie Eingeheilt und in Arrest genommen [ST April 1809]
</t>
        </r>
        <r>
          <rPr>
            <sz val="14"/>
            <color rgb="FF000000"/>
            <rFont val="+mn-lt"/>
            <charset val="1"/>
          </rPr>
          <t xml:space="preserve">14/04/1809 Befreit [ST April 1809]
</t>
        </r>
        <r>
          <rPr>
            <sz val="14"/>
            <color rgb="FF000000"/>
            <rFont val="+mn-lt"/>
            <charset val="1"/>
          </rPr>
          <t xml:space="preserve">21/05/1809 von 2. Depot zum 8. Fusilier Comp transferiert [ST Mai 1809]
</t>
        </r>
        <r>
          <rPr>
            <sz val="14"/>
            <color rgb="FF000000"/>
            <rFont val="+mn-lt"/>
            <charset val="1"/>
          </rPr>
          <t>18/05/1809 Beim Affraire zum Podgary vermisst (ST Mai 1809)</t>
        </r>
      </text>
    </comment>
    <comment ref="BG417" authorId="0" shapeId="0" xr:uid="{D2DBCA70-849C-9E4C-9DCA-EF9AF0B15301}">
      <text>
        <r>
          <rPr>
            <sz val="14"/>
            <color rgb="FF000000"/>
            <rFont val="Calibri"/>
            <family val="34"/>
          </rPr>
          <t xml:space="preserve">ML 10.272 IR 43 (1802) – Haupt Barbo Nr. 128 (Zara 11/09/1802)
</t>
        </r>
        <r>
          <rPr>
            <sz val="14"/>
            <color rgb="FF000000"/>
            <rFont val="Calibri"/>
            <family val="34"/>
          </rPr>
          <t xml:space="preserve">ML 10.273 IR 43 (1803) – Haupt Römer Comp Nr. 116 (Zara 28/09/1803)
</t>
        </r>
        <r>
          <rPr>
            <sz val="14"/>
            <color rgb="FF000000"/>
            <rFont val="Calibri"/>
            <family val="34"/>
          </rPr>
          <t xml:space="preserve">ML 10.274 IR 43 (1804) – Haupt Prati – abgang (Budua 06/10/1804)
</t>
        </r>
        <r>
          <rPr>
            <sz val="14"/>
            <color rgb="FF000000"/>
            <rFont val="Calibri"/>
            <family val="34"/>
          </rPr>
          <t xml:space="preserve">ML 10.311 IR 43 (1801) – ST Feb (??/28/09/1804), Juni (??/06/1805)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10.314 IR 43 (1804) – ST Jänner (15/02/1804)
</t>
        </r>
        <r>
          <rPr>
            <sz val="14"/>
            <color rgb="FF000000"/>
            <rFont val="Calibri"/>
            <family val="34"/>
          </rPr>
          <t xml:space="preserve">ML 10.323 IR 43 (1809) – ST April (11/10/1810) und Mai (02/11/1810)
</t>
        </r>
      </text>
    </comment>
    <comment ref="BH417" authorId="0" shapeId="0" xr:uid="{365D47E4-95F3-E644-9E82-18CB24C1C22B}">
      <text>
        <r>
          <rPr>
            <sz val="14"/>
            <color rgb="FF000000"/>
            <rFont val="Calibri"/>
            <family val="34"/>
          </rPr>
          <t>IR 43 (1801-1809)</t>
        </r>
      </text>
    </comment>
    <comment ref="BF418" authorId="0" shapeId="0" xr:uid="{1387E4CE-331B-0D45-8AE5-D40188D97167}">
      <text>
        <r>
          <rPr>
            <sz val="14"/>
            <color rgb="FF000000"/>
            <rFont val="Times New Roman"/>
            <family val="18"/>
          </rPr>
          <t xml:space="preserve">11/02/1801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Schoerr Comp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11/08/1801 </t>
        </r>
        <r>
          <rPr>
            <i/>
            <sz val="14"/>
            <color rgb="FF000000"/>
            <rFont val="Times New Roman"/>
            <family val="18"/>
          </rPr>
          <t>In loco Zara gestorben</t>
        </r>
        <r>
          <rPr>
            <sz val="14"/>
            <color rgb="FF000000"/>
            <rFont val="Times New Roman"/>
            <family val="18"/>
          </rPr>
          <t xml:space="preserve"> [ST August 1801]</t>
        </r>
        <r>
          <rPr>
            <sz val="14"/>
            <color rgb="FF000000"/>
            <rFont val="Calibri"/>
            <family val="34"/>
          </rPr>
          <t xml:space="preserve">
</t>
        </r>
      </text>
    </comment>
    <comment ref="BG418" authorId="0" shapeId="0" xr:uid="{26ED1443-E065-F74F-B600-DAEC99E470FD}">
      <text>
        <r>
          <rPr>
            <sz val="14"/>
            <color rgb="FF000000"/>
            <rFont val="Times New Roman"/>
            <family val="18"/>
          </rPr>
          <t>ML 10.311 IR 43 (1801) – Feb (28/09/1804), Juni (20/06/1805), Aug (13/07/1805)</t>
        </r>
        <r>
          <rPr>
            <sz val="14"/>
            <color rgb="FF000000"/>
            <rFont val="Calibri"/>
            <family val="34"/>
          </rPr>
          <t xml:space="preserve">
</t>
        </r>
        <r>
          <rPr>
            <sz val="14"/>
            <color rgb="FF000000"/>
            <rFont val="Times New Roman"/>
            <family val="18"/>
          </rPr>
          <t xml:space="preserve">
</t>
        </r>
      </text>
    </comment>
    <comment ref="BH418" authorId="0" shapeId="0" xr:uid="{CDBC4620-AF6F-8C49-B5FC-CE6967453DD7}">
      <text>
        <r>
          <rPr>
            <sz val="14"/>
            <color rgb="FF000000"/>
            <rFont val="Calibri"/>
            <family val="34"/>
          </rPr>
          <t>IR 43 (1801)</t>
        </r>
      </text>
    </comment>
    <comment ref="BF419" authorId="0" shapeId="0" xr:uid="{9785E213-D609-5841-86AF-B645AF72B030}">
      <text>
        <r>
          <rPr>
            <sz val="14"/>
            <color rgb="FF000000"/>
            <rFont val="Times New Roman"/>
            <family val="18"/>
          </rPr>
          <t xml:space="preserve">11/02/1801 von Ständen gestellt und seitdem auf anhero Marsch mit Friedensgebühr [ST Feb 1801]
</t>
        </r>
        <r>
          <rPr>
            <sz val="14"/>
            <color rgb="FF000000"/>
            <rFont val="Times New Roman"/>
            <family val="18"/>
          </rPr>
          <t xml:space="preserve">31/05/1801 in die Reserve Division eingerückt [ST Juni 1801]
</t>
        </r>
        <r>
          <rPr>
            <sz val="14"/>
            <color rgb="FF000000"/>
            <rFont val="Times New Roman"/>
            <family val="18"/>
          </rPr>
          <t xml:space="preserve">10/06/1801 Krank auswärts [ST Juni 1801]
</t>
        </r>
        <r>
          <rPr>
            <sz val="14"/>
            <color rgb="FF000000"/>
            <rFont val="Times New Roman"/>
            <family val="18"/>
          </rPr>
          <t xml:space="preserve">30/09/1801 als als über ½ Jahr auswärts und deren Existenz gänzlich unbewusst als Unwissend Verlohren gegangen [ST Oct 1801]
</t>
        </r>
      </text>
    </comment>
    <comment ref="BG419" authorId="0" shapeId="0" xr:uid="{69BCE42A-D9D8-BE43-B4D3-4834C6EB1368}">
      <text>
        <r>
          <rPr>
            <sz val="14"/>
            <color rgb="FF000000"/>
            <rFont val="Times New Roman"/>
            <family val="18"/>
          </rPr>
          <t>ML 10.311 IR 43 (1801) – ST Feb (28/09/1804), Juni (20/06/1805), Oct (21/07/1805)</t>
        </r>
        <r>
          <rPr>
            <sz val="14"/>
            <color rgb="FF000000"/>
            <rFont val="Calibri"/>
            <family val="34"/>
          </rPr>
          <t xml:space="preserve">
</t>
        </r>
        <r>
          <rPr>
            <sz val="14"/>
            <color rgb="FF000000"/>
            <rFont val="Times New Roman"/>
            <family val="18"/>
          </rPr>
          <t xml:space="preserve">
</t>
        </r>
      </text>
    </comment>
    <comment ref="BH419" authorId="0" shapeId="0" xr:uid="{703D3735-4742-2840-B923-6801AE5BA42F}">
      <text>
        <r>
          <rPr>
            <sz val="14"/>
            <color rgb="FF000000"/>
            <rFont val="Calibri"/>
            <family val="34"/>
          </rPr>
          <t>IR 43 (1801)</t>
        </r>
      </text>
    </comment>
    <comment ref="BF420" authorId="0" shapeId="0" xr:uid="{3CFE3D82-F979-984F-8B22-7E2B4010A056}">
      <text>
        <r>
          <rPr>
            <sz val="14"/>
            <color rgb="FF000000"/>
            <rFont val="Times New Roman"/>
            <family val="18"/>
          </rPr>
          <t xml:space="preserve">11/02/1801 </t>
        </r>
        <r>
          <rPr>
            <i/>
            <sz val="14"/>
            <color rgb="FF000000"/>
            <rFont val="Times New Roman"/>
            <family val="18"/>
          </rPr>
          <t>Von galizischen Ständen gestellt und a 3Fl für Beständig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Kerpen Inf Regiment</t>
        </r>
        <r>
          <rPr>
            <sz val="14"/>
            <color rgb="FF000000"/>
            <rFont val="Times New Roman"/>
            <family val="18"/>
          </rPr>
          <t xml:space="preserve"> [IR 49] </t>
        </r>
        <r>
          <rPr>
            <i/>
            <sz val="14"/>
            <color rgb="FF000000"/>
            <rFont val="Times New Roman"/>
            <family val="18"/>
          </rPr>
          <t>Anhero</t>
        </r>
        <r>
          <rPr>
            <sz val="14"/>
            <color rgb="FF000000"/>
            <rFont val="Times New Roman"/>
            <family val="18"/>
          </rPr>
          <t xml:space="preserve"> [IR 23] </t>
        </r>
        <r>
          <rPr>
            <i/>
            <sz val="14"/>
            <color rgb="FF000000"/>
            <rFont val="Times New Roman"/>
            <family val="18"/>
          </rPr>
          <t>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16/09/1802 Muster: IR 23 Haupt Balbus Nr. 155 [</t>
        </r>
        <r>
          <rPr>
            <i/>
            <sz val="14"/>
            <color rgb="FF000000"/>
            <rFont val="Times New Roman"/>
            <family val="18"/>
          </rPr>
          <t>Beurlaubt in Gallizien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30/11/1802 </t>
        </r>
        <r>
          <rPr>
            <i/>
            <sz val="14"/>
            <color rgb="FF000000"/>
            <rFont val="Times New Roman"/>
            <family val="18"/>
          </rPr>
          <t>Von Urlaub in Polen desertiert</t>
        </r>
        <r>
          <rPr>
            <sz val="14"/>
            <color rgb="FF000000"/>
            <rFont val="Times New Roman"/>
            <family val="18"/>
          </rPr>
          <t xml:space="preserve"> [ML 1803] </t>
        </r>
      </text>
    </comment>
    <comment ref="BG420" authorId="0" shapeId="0" xr:uid="{F8CE85FE-73C3-8B47-A2CB-9E6872495300}">
      <text>
        <r>
          <rPr>
            <sz val="14"/>
            <color rgb="FF000000"/>
            <rFont val="Times New Roman"/>
            <family val="18"/>
          </rPr>
          <t>ML 10.124 IR 23 (1802) – Haupt Balbus Komp. Nr. 155 (Vienna 16/09/1802)</t>
        </r>
        <r>
          <rPr>
            <sz val="14"/>
            <color rgb="FF000000"/>
            <rFont val="Calibri"/>
            <family val="34"/>
          </rPr>
          <t xml:space="preserve">
</t>
        </r>
        <r>
          <rPr>
            <sz val="14"/>
            <color rgb="FF000000"/>
            <rFont val="Times New Roman"/>
            <family val="18"/>
          </rPr>
          <t>ML 10.125 IR 23 (1803) – Haupt Balbus Komp. Abgang (Vienna 13/09/1803)</t>
        </r>
        <r>
          <rPr>
            <sz val="14"/>
            <color rgb="FF000000"/>
            <rFont val="Calibri"/>
            <family val="34"/>
          </rPr>
          <t xml:space="preserve">
</t>
        </r>
        <r>
          <rPr>
            <sz val="14"/>
            <color rgb="FF000000"/>
            <rFont val="Times New Roman"/>
            <family val="18"/>
          </rPr>
          <t xml:space="preserve">
</t>
        </r>
      </text>
    </comment>
    <comment ref="BH420" authorId="0" shapeId="0" xr:uid="{F0F18481-3FFD-8946-AE86-E5EDAB3EBDF0}">
      <text>
        <r>
          <rPr>
            <sz val="14"/>
            <color rgb="FF000000"/>
            <rFont val="Calibri"/>
            <family val="34"/>
          </rPr>
          <t xml:space="preserve">IR 49 (1800-1802)
</t>
        </r>
        <r>
          <rPr>
            <sz val="14"/>
            <color rgb="FF000000"/>
            <rFont val="Calibri"/>
            <family val="34"/>
          </rPr>
          <t>IR 23 (1802)</t>
        </r>
      </text>
    </comment>
    <comment ref="BF421" authorId="0" shapeId="0" xr:uid="{A34CF82D-DC03-2F40-B60F-C8B973BD7CA0}">
      <text>
        <r>
          <rPr>
            <sz val="14"/>
            <color rgb="FFFF0000"/>
            <rFont val="Times New Roman"/>
            <family val="18"/>
          </rPr>
          <t xml:space="preserve">01/02/1801 </t>
        </r>
        <r>
          <rPr>
            <i/>
            <sz val="14"/>
            <color rgb="FFFF0000"/>
            <rFont val="Times New Roman"/>
            <family val="18"/>
          </rPr>
          <t>von Ständen a 3Fl Handgeld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12/02/1801 </t>
        </r>
        <r>
          <rPr>
            <i/>
            <sz val="14"/>
            <color rgb="FF000000"/>
            <rFont val="Times New Roman"/>
            <family val="18"/>
          </rPr>
          <t>in Galizien ausgehoben a 3Fl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 Lieb Companie transferiert</t>
        </r>
        <r>
          <rPr>
            <sz val="14"/>
            <color rgb="FF000000"/>
            <rFont val="Times New Roman"/>
            <family val="18"/>
          </rPr>
          <t xml:space="preserve"> [ST June 1801]</t>
        </r>
        <r>
          <rPr>
            <sz val="14"/>
            <color rgb="FF000000"/>
            <rFont val="Calibri"/>
            <family val="34"/>
          </rPr>
          <t xml:space="preserve">
</t>
        </r>
        <r>
          <rPr>
            <sz val="14"/>
            <color rgb="FFFF0000"/>
            <rFont val="Times New Roman"/>
            <family val="18"/>
          </rPr>
          <t xml:space="preserve">01/08/1801 </t>
        </r>
        <r>
          <rPr>
            <i/>
            <sz val="14"/>
            <color rgb="FFFF0000"/>
            <rFont val="Times New Roman"/>
            <family val="18"/>
          </rPr>
          <t xml:space="preserve">Von Reserve Division zum Lieb Komp transferiert </t>
        </r>
        <r>
          <rPr>
            <sz val="14"/>
            <color rgb="FFFF0000"/>
            <rFont val="Times New Roman"/>
            <family val="18"/>
          </rPr>
          <t>[ST Aug 1801]</t>
        </r>
        <r>
          <rPr>
            <sz val="14"/>
            <color rgb="FF000000"/>
            <rFont val="Calibri"/>
            <family val="34"/>
          </rPr>
          <t xml:space="preserve">
</t>
        </r>
        <r>
          <rPr>
            <sz val="14"/>
            <color rgb="FF000000"/>
            <rFont val="Times New Roman"/>
            <family val="18"/>
          </rPr>
          <t>28/08/1802 Muster: IR 43 Lieb Komp. Nr. 140</t>
        </r>
        <r>
          <rPr>
            <sz val="14"/>
            <color rgb="FF000000"/>
            <rFont val="Calibri"/>
            <family val="34"/>
          </rPr>
          <t xml:space="preserve">
</t>
        </r>
        <r>
          <rPr>
            <sz val="14"/>
            <color rgb="FF000000"/>
            <rFont val="Times New Roman"/>
            <family val="18"/>
          </rPr>
          <t xml:space="preserve">06/09/1802 </t>
        </r>
        <r>
          <rPr>
            <i/>
            <sz val="14"/>
            <color rgb="FF000000"/>
            <rFont val="Times New Roman"/>
            <family val="18"/>
          </rPr>
          <t>Ex loco Cattaro desertiert</t>
        </r>
        <r>
          <rPr>
            <sz val="14"/>
            <color rgb="FF000000"/>
            <rFont val="Times New Roman"/>
            <family val="18"/>
          </rPr>
          <t xml:space="preserve"> [ML 1803]</t>
        </r>
        <r>
          <rPr>
            <sz val="14"/>
            <color rgb="FF000000"/>
            <rFont val="Calibri"/>
            <family val="34"/>
          </rPr>
          <t xml:space="preserve">
</t>
        </r>
      </text>
    </comment>
    <comment ref="BG421" authorId="0" shapeId="0" xr:uid="{60A5B0D9-2022-9442-8E61-605066B58BC3}">
      <text>
        <r>
          <rPr>
            <sz val="14"/>
            <color rgb="FF000000"/>
            <rFont val="Times New Roman"/>
            <family val="18"/>
          </rPr>
          <t>ML 10.272 IR 43 (1802) – Leib Comp. Nr. 140 (Cattaro 28/08/1802)</t>
        </r>
        <r>
          <rPr>
            <sz val="14"/>
            <color rgb="FF000000"/>
            <rFont val="Calibri"/>
            <family val="34"/>
          </rPr>
          <t xml:space="preserve">
</t>
        </r>
        <r>
          <rPr>
            <sz val="14"/>
            <color rgb="FF000000"/>
            <rFont val="Times New Roman"/>
            <family val="18"/>
          </rPr>
          <t>ML 10.273 IR 43 (1803) – Lieb Comp. Abgang (Scardona 30/09/1803)</t>
        </r>
        <r>
          <rPr>
            <sz val="14"/>
            <color rgb="FF000000"/>
            <rFont val="Calibri"/>
            <family val="34"/>
          </rPr>
          <t xml:space="preserve">
</t>
        </r>
        <r>
          <rPr>
            <sz val="14"/>
            <color rgb="FF000000"/>
            <rFont val="Times New Roman"/>
            <family val="18"/>
          </rPr>
          <t>ML 10.311 IR 43 (1801) – ST Feb (28/09/1804), Juni (20/06/1805)</t>
        </r>
        <r>
          <rPr>
            <sz val="14"/>
            <color rgb="FF000000"/>
            <rFont val="Calibri"/>
            <family val="34"/>
          </rPr>
          <t xml:space="preserve">
</t>
        </r>
      </text>
    </comment>
    <comment ref="BH421" authorId="0" shapeId="0" xr:uid="{2508ECF3-5B67-0748-9BAD-727BCB0650F8}">
      <text>
        <r>
          <rPr>
            <sz val="14"/>
            <color rgb="FF000000"/>
            <rFont val="Calibri"/>
            <family val="34"/>
          </rPr>
          <t>IR 43 (1801-1802)</t>
        </r>
      </text>
    </comment>
    <comment ref="I422" authorId="0" shapeId="0" xr:uid="{15CE8EE8-F45E-B94B-9B71-8CF5390B9A94}">
      <text>
        <r>
          <rPr>
            <sz val="14"/>
            <color rgb="FF000000"/>
            <rFont val="Calibri"/>
            <family val="34"/>
          </rPr>
          <t xml:space="preserve">1783 [23 (1806)]
</t>
        </r>
        <r>
          <rPr>
            <sz val="14"/>
            <color rgb="FF000000"/>
            <rFont val="Calibri"/>
            <family val="34"/>
          </rPr>
          <t xml:space="preserve">OR 
</t>
        </r>
        <r>
          <rPr>
            <sz val="14"/>
            <color rgb="FF000000"/>
            <rFont val="Calibri"/>
            <family val="34"/>
          </rPr>
          <t xml:space="preserve">1782 [20 (1802)]
</t>
        </r>
        <r>
          <rPr>
            <sz val="14"/>
            <color rgb="FF000000"/>
            <rFont val="Calibri"/>
            <family val="34"/>
          </rPr>
          <t xml:space="preserve">OR
</t>
        </r>
        <r>
          <rPr>
            <sz val="14"/>
            <color rgb="FF000000"/>
            <rFont val="Calibri"/>
            <family val="34"/>
          </rPr>
          <t>1781 [30 (1811)]</t>
        </r>
      </text>
    </comment>
    <comment ref="T422" authorId="0" shapeId="0" xr:uid="{F4804376-C5FE-5048-9B3F-8F52C9B28909}">
      <text>
        <r>
          <rPr>
            <sz val="14"/>
            <color rgb="FF000000"/>
            <rFont val="Calibri"/>
            <family val="34"/>
          </rPr>
          <t xml:space="preserve">165.89 (1802)
</t>
        </r>
        <r>
          <rPr>
            <sz val="14"/>
            <color rgb="FF000000"/>
            <rFont val="Calibri"/>
            <family val="34"/>
          </rPr>
          <t xml:space="preserve">166.33 (1803-6)
</t>
        </r>
        <r>
          <rPr>
            <sz val="14"/>
            <color rgb="FF000000"/>
            <rFont val="Calibri"/>
            <family val="34"/>
          </rPr>
          <t>163.7 (1811)</t>
        </r>
      </text>
    </comment>
    <comment ref="BF422" authorId="0" shapeId="0" xr:uid="{B2CA28B8-B09A-E04A-BCE3-D93D38EC757B}">
      <text>
        <r>
          <rPr>
            <sz val="14"/>
            <color rgb="FF000000"/>
            <rFont val="Times New Roman"/>
            <family val="18"/>
          </rPr>
          <t xml:space="preserve">12/02/1801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FF0000"/>
            <rFont val="Times New Roman"/>
            <family val="18"/>
          </rPr>
          <t>15/03/1801</t>
        </r>
        <r>
          <rPr>
            <i/>
            <sz val="14"/>
            <color rgb="FFFF0000"/>
            <rFont val="Times New Roman"/>
            <family val="18"/>
          </rPr>
          <t xml:space="preserve"> von Ständen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Köpf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28/08/1802 Musterung:  IR 43 Haupt Köpf Nr. 123]</t>
        </r>
        <r>
          <rPr>
            <sz val="14"/>
            <color rgb="FF000000"/>
            <rFont val="Calibri"/>
            <family val="34"/>
          </rPr>
          <t xml:space="preserve">
</t>
        </r>
        <r>
          <rPr>
            <sz val="14"/>
            <color rgb="FF000000"/>
            <rFont val="Times New Roman"/>
            <family val="18"/>
          </rPr>
          <t>04/11/1803 Musterung: IR 43 Haupt Köpf Nr. 111 [</t>
        </r>
        <r>
          <rPr>
            <i/>
            <sz val="14"/>
            <color rgb="FF000000"/>
            <rFont val="Times New Roman"/>
            <family val="18"/>
          </rPr>
          <t>auf Commando zu Ostrowiza</t>
        </r>
        <r>
          <rPr>
            <sz val="14"/>
            <color rgb="FF000000"/>
            <rFont val="Times New Roman"/>
            <family val="18"/>
          </rPr>
          <t>]</t>
        </r>
        <r>
          <rPr>
            <sz val="14"/>
            <color rgb="FF000000"/>
            <rFont val="Calibri"/>
            <family val="34"/>
          </rPr>
          <t xml:space="preserve">
</t>
        </r>
        <r>
          <rPr>
            <sz val="14"/>
            <color rgb="FF000000"/>
            <rFont val="Times New Roman"/>
            <family val="18"/>
          </rPr>
          <t>15/09/1804 Musterung: IR 43 Haupt Sassi Nr. 104</t>
        </r>
        <r>
          <rPr>
            <sz val="14"/>
            <color rgb="FF000000"/>
            <rFont val="Calibri"/>
            <family val="34"/>
          </rPr>
          <t xml:space="preserve">
</t>
        </r>
        <r>
          <rPr>
            <sz val="14"/>
            <color rgb="FF000000"/>
            <rFont val="Times New Roman"/>
            <family val="18"/>
          </rPr>
          <t>01/10/1805 Musterung: IR 43 14. Fus Comp Nr. 72</t>
        </r>
        <r>
          <rPr>
            <sz val="14"/>
            <color rgb="FF000000"/>
            <rFont val="Calibri"/>
            <family val="34"/>
          </rPr>
          <t xml:space="preserve">
</t>
        </r>
        <r>
          <rPr>
            <sz val="14"/>
            <color rgb="FF000000"/>
            <rFont val="Times New Roman"/>
            <family val="18"/>
          </rPr>
          <t>01/12/1806 Musterung: 4. Fus Comp Nr. 53 [</t>
        </r>
        <r>
          <rPr>
            <i/>
            <sz val="14"/>
            <color rgb="FF000000"/>
            <rFont val="Times New Roman"/>
            <family val="18"/>
          </rPr>
          <t>Auf Exekution zu Flöding</t>
        </r>
        <r>
          <rPr>
            <sz val="14"/>
            <color rgb="FF000000"/>
            <rFont val="Times New Roman"/>
            <family val="18"/>
          </rPr>
          <t>]</t>
        </r>
        <r>
          <rPr>
            <sz val="14"/>
            <color rgb="FF000000"/>
            <rFont val="Calibri"/>
            <family val="34"/>
          </rPr>
          <t xml:space="preserve">
</t>
        </r>
        <r>
          <rPr>
            <sz val="14"/>
            <color rgb="FF000000"/>
            <rFont val="Times New Roman"/>
            <family val="18"/>
          </rPr>
          <t>06/09/1808 Revision: 4. Fus Comp Nr. 50</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Gemeiner zum Gefreyter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10/08/1809 </t>
        </r>
        <r>
          <rPr>
            <i/>
            <sz val="14"/>
            <color rgb="FF000000"/>
            <rFont val="Times New Roman"/>
            <family val="18"/>
          </rPr>
          <t>von 4. zum 10. Fus Comp transferiert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25/02/1810 Dissolvierung: 10. Fus Comp Nr. 33 [</t>
        </r>
        <r>
          <rPr>
            <i/>
            <sz val="14"/>
            <color rgb="FF000000"/>
            <rFont val="Times New Roman"/>
            <family val="18"/>
          </rPr>
          <t>zu IR 24 Strauch eingeteilt</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 xml:space="preserve">Von dissolvierte IR 43 10. Fus Comp. zum IR 24 ‚Strauch transferiert, seitdem auf Anhero Marsch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10/04/1810 </t>
        </r>
        <r>
          <rPr>
            <i/>
            <sz val="14"/>
            <color rgb="FF000000"/>
            <rFont val="Times New Roman"/>
            <family val="18"/>
          </rPr>
          <t>Ins Regiment eingerückt und zur 4. Fus. Komp. eingeteilt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??/05/1811 </t>
        </r>
        <r>
          <rPr>
            <i/>
            <sz val="14"/>
            <color rgb="FF000000"/>
            <rFont val="Times New Roman"/>
            <family val="18"/>
          </rPr>
          <t>Auf weitere 10 Jahr gegen 20Fl Handgeld reengagiert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23/09/1811 Muster: IR 24 4. Fus Komp. Nr. 38 [</t>
        </r>
        <r>
          <rPr>
            <i/>
            <sz val="14"/>
            <color rgb="FF000000"/>
            <rFont val="Times New Roman"/>
            <family val="18"/>
          </rPr>
          <t>Krank in Commorn</t>
        </r>
        <r>
          <rPr>
            <sz val="14"/>
            <color rgb="FF000000"/>
            <rFont val="Times New Roman"/>
            <family val="18"/>
          </rPr>
          <t>]</t>
        </r>
        <r>
          <rPr>
            <sz val="14"/>
            <color rgb="FF000000"/>
            <rFont val="Calibri"/>
            <family val="34"/>
          </rPr>
          <t xml:space="preserve">
</t>
        </r>
        <r>
          <rPr>
            <sz val="14"/>
            <color rgb="FF000000"/>
            <rFont val="Times New Roman"/>
            <family val="18"/>
          </rPr>
          <t>17/09/1812 Revision: IR 24 4. Fus. Komp. Nr. 21</t>
        </r>
        <r>
          <rPr>
            <sz val="14"/>
            <color rgb="FF000000"/>
            <rFont val="Calibri"/>
            <family val="34"/>
          </rPr>
          <t xml:space="preserve">
</t>
        </r>
        <r>
          <rPr>
            <sz val="14"/>
            <color rgb="FF000000"/>
            <rFont val="Times New Roman"/>
            <family val="18"/>
          </rPr>
          <t xml:space="preserve">01/03/1813 </t>
        </r>
        <r>
          <rPr>
            <i/>
            <sz val="14"/>
            <color rgb="FF000000"/>
            <rFont val="Times New Roman"/>
            <family val="18"/>
          </rPr>
          <t>Auf 3 Monat zum Gemeiner Degradiert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06/07/1813 </t>
        </r>
        <r>
          <rPr>
            <i/>
            <sz val="14"/>
            <color rgb="FF000000"/>
            <rFont val="Times New Roman"/>
            <family val="18"/>
          </rPr>
          <t>Von 4. Zur 13. Fus. Komp. transferiert</t>
        </r>
        <r>
          <rPr>
            <sz val="14"/>
            <color rgb="FF000000"/>
            <rFont val="Times New Roman"/>
            <family val="18"/>
          </rPr>
          <t xml:space="preserve"> [ST June 1813)</t>
        </r>
        <r>
          <rPr>
            <sz val="14"/>
            <color rgb="FF000000"/>
            <rFont val="Calibri"/>
            <family val="34"/>
          </rPr>
          <t xml:space="preserve">
</t>
        </r>
        <r>
          <rPr>
            <sz val="14"/>
            <color rgb="FF000000"/>
            <rFont val="Times New Roman"/>
            <family val="18"/>
          </rPr>
          <t xml:space="preserve">21/07/1817 </t>
        </r>
        <r>
          <rPr>
            <i/>
            <sz val="14"/>
            <color rgb="FF000000"/>
            <rFont val="Times New Roman"/>
            <family val="18"/>
          </rPr>
          <t>Von 13. Zum 9. Fus. Komp.</t>
        </r>
        <r>
          <rPr>
            <sz val="14"/>
            <color rgb="FF000000"/>
            <rFont val="Times New Roman"/>
            <family val="18"/>
          </rPr>
          <t xml:space="preserve"> transferiert [ML 1817]</t>
        </r>
        <r>
          <rPr>
            <sz val="14"/>
            <color rgb="FF000000"/>
            <rFont val="Calibri"/>
            <family val="34"/>
          </rPr>
          <t xml:space="preserve">
</t>
        </r>
        <r>
          <rPr>
            <sz val="14"/>
            <color rgb="FF000000"/>
            <rFont val="Times New Roman"/>
            <family val="18"/>
          </rPr>
          <t>15/09/1817 Revision: IR 24 9. Fus. Komp. Nr. 23</t>
        </r>
        <r>
          <rPr>
            <sz val="14"/>
            <color rgb="FF000000"/>
            <rFont val="Calibri"/>
            <family val="34"/>
          </rPr>
          <t xml:space="preserve">
</t>
        </r>
        <r>
          <rPr>
            <sz val="14"/>
            <color rgb="FF000000"/>
            <rFont val="Times New Roman"/>
            <family val="18"/>
          </rPr>
          <t>14/09/1818 Muster: IR 24 9. Fus. Komp. Nr. 21</t>
        </r>
        <r>
          <rPr>
            <sz val="14"/>
            <color rgb="FF000000"/>
            <rFont val="Calibri"/>
            <family val="34"/>
          </rPr>
          <t xml:space="preserve">
</t>
        </r>
        <r>
          <rPr>
            <sz val="14"/>
            <color rgb="FF000000"/>
            <rFont val="Times New Roman"/>
            <family val="18"/>
          </rPr>
          <t>28/09/1819 Muster: IR 24 9. Fus. Komp. Nr. 16 [</t>
        </r>
        <r>
          <rPr>
            <i/>
            <sz val="14"/>
            <color rgb="FF000000"/>
            <rFont val="Times New Roman"/>
            <family val="18"/>
          </rPr>
          <t>Halb Invalid</t>
        </r>
        <r>
          <rPr>
            <sz val="14"/>
            <color rgb="FF000000"/>
            <rFont val="Times New Roman"/>
            <family val="18"/>
          </rPr>
          <t>]</t>
        </r>
        <r>
          <rPr>
            <sz val="14"/>
            <color rgb="FF000000"/>
            <rFont val="Calibri"/>
            <family val="34"/>
          </rPr>
          <t xml:space="preserve">
</t>
        </r>
        <r>
          <rPr>
            <sz val="14"/>
            <color rgb="FF000000"/>
            <rFont val="Times New Roman"/>
            <family val="18"/>
          </rPr>
          <t xml:space="preserve">21/12/1819 </t>
        </r>
        <r>
          <rPr>
            <i/>
            <sz val="14"/>
            <color rgb="FF000000"/>
            <rFont val="Times New Roman"/>
            <family val="18"/>
          </rPr>
          <t>Von IR 24 9 Fus. Komp. zum 2. GB transferiert und zum 6. Komp. zugeteilt</t>
        </r>
        <r>
          <rPr>
            <sz val="14"/>
            <color rgb="FF000000"/>
            <rFont val="Times New Roman"/>
            <family val="18"/>
          </rPr>
          <t xml:space="preserve"> [ML 1820]</t>
        </r>
        <r>
          <rPr>
            <sz val="14"/>
            <color rgb="FF000000"/>
            <rFont val="Calibri"/>
            <family val="34"/>
          </rPr>
          <t xml:space="preserve">
</t>
        </r>
        <r>
          <rPr>
            <sz val="14"/>
            <color rgb="FF000000"/>
            <rFont val="Times New Roman"/>
            <family val="18"/>
          </rPr>
          <t>09/09/1820 Muster: GB 2 6. Komp Nr. 31</t>
        </r>
      </text>
    </comment>
    <comment ref="BG422" authorId="0" shapeId="0" xr:uid="{233655F9-59E0-F745-82E3-54F2BCFBC948}">
      <text>
        <r>
          <rPr>
            <sz val="14"/>
            <color rgb="FF000000"/>
            <rFont val="Times New Roman"/>
            <family val="18"/>
          </rPr>
          <t>ML 10.272 IR 43 (1802) – ObristLt Comp Nr. 72 (28/08/1802)</t>
        </r>
        <r>
          <rPr>
            <sz val="14"/>
            <color rgb="FF000000"/>
            <rFont val="Calibri"/>
            <family val="34"/>
          </rPr>
          <t xml:space="preserve">
</t>
        </r>
        <r>
          <rPr>
            <sz val="14"/>
            <color rgb="FF000000"/>
            <rFont val="Times New Roman"/>
            <family val="18"/>
          </rPr>
          <t>ML 10.273 IR 43 (1803) – Haupt Köpf Nr. 111 (04/11/1803)</t>
        </r>
        <r>
          <rPr>
            <sz val="14"/>
            <color rgb="FF000000"/>
            <rFont val="Calibri"/>
            <family val="34"/>
          </rPr>
          <t xml:space="preserve">
</t>
        </r>
        <r>
          <rPr>
            <sz val="14"/>
            <color rgb="FF000000"/>
            <rFont val="Times New Roman"/>
            <family val="18"/>
          </rPr>
          <t>ML 10.274 IR 43 (1804) – Haupt Sassi Nr. 104 (15/09/1804)</t>
        </r>
        <r>
          <rPr>
            <sz val="14"/>
            <color rgb="FF000000"/>
            <rFont val="Calibri"/>
            <family val="34"/>
          </rPr>
          <t xml:space="preserve">
</t>
        </r>
        <r>
          <rPr>
            <sz val="14"/>
            <color rgb="FF000000"/>
            <rFont val="Times New Roman"/>
            <family val="18"/>
          </rPr>
          <t>ML 10.275/6 IR 43 (1805) – 14. Fus Comp Nr. 72 (01/10/1805)</t>
        </r>
        <r>
          <rPr>
            <sz val="14"/>
            <color rgb="FF000000"/>
            <rFont val="Calibri"/>
            <family val="34"/>
          </rPr>
          <t xml:space="preserve">
</t>
        </r>
        <r>
          <rPr>
            <sz val="14"/>
            <color rgb="FF000000"/>
            <rFont val="Times New Roman"/>
            <family val="18"/>
          </rPr>
          <t>ML 10.277/8 IR 43 (1806) – 4. Fus Comp Nr. 53 (Laibach 01/12/1806)</t>
        </r>
        <r>
          <rPr>
            <sz val="14"/>
            <color rgb="FF000000"/>
            <rFont val="Calibri"/>
            <family val="34"/>
          </rPr>
          <t xml:space="preserve">
</t>
        </r>
        <r>
          <rPr>
            <sz val="14"/>
            <color rgb="FF000000"/>
            <rFont val="Times New Roman"/>
            <family val="18"/>
          </rPr>
          <t>ML 10.279 IR 43 (1808-10) – RL 4. Fus Comp Nr. 50 (Laibach 06/09/1808) &amp; DL 10. Fus Comp Nr. 33 (Vordenberg 25/02/1810)</t>
        </r>
        <r>
          <rPr>
            <sz val="14"/>
            <color rgb="FF000000"/>
            <rFont val="Calibri"/>
            <family val="34"/>
          </rPr>
          <t xml:space="preserve">
</t>
        </r>
        <r>
          <rPr>
            <sz val="14"/>
            <color rgb="FF000000"/>
            <rFont val="Times New Roman"/>
            <family val="18"/>
          </rPr>
          <t>ML 10.311 IR 43 (1801) – ST Feb (??/09/1804) und Juni (??/??/1805)</t>
        </r>
        <r>
          <rPr>
            <sz val="14"/>
            <color rgb="FF000000"/>
            <rFont val="Calibri"/>
            <family val="34"/>
          </rPr>
          <t xml:space="preserve">
</t>
        </r>
        <r>
          <rPr>
            <sz val="14"/>
            <color rgb="FF000000"/>
            <rFont val="Times New Roman"/>
            <family val="18"/>
          </rPr>
          <t>ML 10.323 IR 43 (1809) – ST Feb (25/08/1810) und August (12/12/1810)</t>
        </r>
        <r>
          <rPr>
            <sz val="14"/>
            <color rgb="FF000000"/>
            <rFont val="Calibri"/>
            <family val="34"/>
          </rPr>
          <t xml:space="preserve">
</t>
        </r>
        <r>
          <rPr>
            <sz val="14"/>
            <color rgb="FF000000"/>
            <rFont val="Times New Roman"/>
            <family val="18"/>
          </rPr>
          <t xml:space="preserve">ML 10.325 IR 43 (1810) – ST März (11/03/1811) </t>
        </r>
        <r>
          <rPr>
            <sz val="14"/>
            <color rgb="FF000000"/>
            <rFont val="Calibri"/>
            <family val="34"/>
          </rPr>
          <t xml:space="preserve">
</t>
        </r>
        <r>
          <rPr>
            <sz val="14"/>
            <color rgb="FF000000"/>
            <rFont val="Times New Roman"/>
            <family val="18"/>
          </rPr>
          <t>ML 1942 IR 24 (1811) – 4. Fus. Komp. Nr. 38 (Mostan, 23/09/1811)</t>
        </r>
        <r>
          <rPr>
            <sz val="14"/>
            <color rgb="FF000000"/>
            <rFont val="Calibri"/>
            <family val="34"/>
          </rPr>
          <t xml:space="preserve">
</t>
        </r>
        <r>
          <rPr>
            <sz val="14"/>
            <color rgb="FF000000"/>
            <rFont val="Times New Roman"/>
            <family val="18"/>
          </rPr>
          <t>ML 1943 IR 24 (1812) – 4. Fus. Komp. Nr. 21 (Ofen 17/09/1812)</t>
        </r>
        <r>
          <rPr>
            <sz val="14"/>
            <color rgb="FF000000"/>
            <rFont val="Calibri"/>
            <family val="34"/>
          </rPr>
          <t xml:space="preserve">
</t>
        </r>
        <r>
          <rPr>
            <sz val="14"/>
            <color rgb="FF000000"/>
            <rFont val="Times New Roman"/>
            <family val="18"/>
          </rPr>
          <t xml:space="preserve">ML 1944 IR 24 (1816-7) – 9. Fus. Komp. Nr. 23 (Padua 15/09/1817) </t>
        </r>
        <r>
          <rPr>
            <sz val="14"/>
            <color rgb="FF000000"/>
            <rFont val="Calibri"/>
            <family val="34"/>
          </rPr>
          <t xml:space="preserve">
</t>
        </r>
        <r>
          <rPr>
            <sz val="14"/>
            <color rgb="FF000000"/>
            <rFont val="Times New Roman"/>
            <family val="18"/>
          </rPr>
          <t>ML 1945/6 IR 24 (1818) – 9. Fus. Komp. Nr. 21 (Großwardein 14/09/1818)</t>
        </r>
        <r>
          <rPr>
            <sz val="14"/>
            <color rgb="FF000000"/>
            <rFont val="Calibri"/>
            <family val="34"/>
          </rPr>
          <t xml:space="preserve">
</t>
        </r>
        <r>
          <rPr>
            <sz val="14"/>
            <color rgb="FF000000"/>
            <rFont val="Times New Roman"/>
            <family val="18"/>
          </rPr>
          <t>ML 1947/8 IR 24 (1819) – 9. Fus. Komp. Nr. 16 (Karlsburg 28/09/1819)</t>
        </r>
        <r>
          <rPr>
            <sz val="14"/>
            <color rgb="FF000000"/>
            <rFont val="Calibri"/>
            <family val="34"/>
          </rPr>
          <t xml:space="preserve">
</t>
        </r>
        <r>
          <rPr>
            <sz val="14"/>
            <color rgb="FF000000"/>
            <rFont val="Times New Roman"/>
            <family val="18"/>
          </rPr>
          <t>ML 1949/50 IR 24 (1820) – 9. Fus. Komp. Nr. 16 (Karlsburg 11/09/1820)</t>
        </r>
        <r>
          <rPr>
            <sz val="14"/>
            <color rgb="FF000000"/>
            <rFont val="Calibri"/>
            <family val="34"/>
          </rPr>
          <t xml:space="preserve">
</t>
        </r>
        <r>
          <rPr>
            <sz val="14"/>
            <color rgb="FF000000"/>
            <rFont val="Times New Roman"/>
            <family val="18"/>
          </rPr>
          <t>ML 2000 IR 24 (1810) – April (Raab 10/06/1812)</t>
        </r>
        <r>
          <rPr>
            <sz val="14"/>
            <color rgb="FF000000"/>
            <rFont val="Calibri"/>
            <family val="34"/>
          </rPr>
          <t xml:space="preserve">
</t>
        </r>
        <r>
          <rPr>
            <sz val="14"/>
            <color rgb="FF000000"/>
            <rFont val="Times New Roman"/>
            <family val="18"/>
          </rPr>
          <t>ML 2006 IR 24 (1813) I – Juli (Lemberg 05/08/1814)</t>
        </r>
        <r>
          <rPr>
            <sz val="14"/>
            <color rgb="FF000000"/>
            <rFont val="Calibri"/>
            <family val="34"/>
          </rPr>
          <t xml:space="preserve">
</t>
        </r>
        <r>
          <rPr>
            <sz val="14"/>
            <color rgb="FF000000"/>
            <rFont val="Times New Roman"/>
            <family val="18"/>
          </rPr>
          <t>ML 6347/8 GB 2 (1820) – 6. Komp. Nr. 31 (Brood 09/09/1820)</t>
        </r>
      </text>
    </comment>
    <comment ref="BH422" authorId="0" shapeId="0" xr:uid="{3AF7AD3B-1E31-4A44-8F63-CA7D72333EBD}">
      <text>
        <r>
          <rPr>
            <sz val="14"/>
            <color rgb="FF000000"/>
            <rFont val="Calibri"/>
            <family val="34"/>
          </rPr>
          <t xml:space="preserve">IR 43 (1801-1810)
</t>
        </r>
        <r>
          <rPr>
            <sz val="14"/>
            <color rgb="FF000000"/>
            <rFont val="Calibri"/>
            <family val="34"/>
          </rPr>
          <t xml:space="preserve">IR 24 (1810-1819)
</t>
        </r>
        <r>
          <rPr>
            <sz val="14"/>
            <color rgb="FF000000"/>
            <rFont val="Calibri"/>
            <family val="34"/>
          </rPr>
          <t>GB 2 (1819-1820)</t>
        </r>
      </text>
    </comment>
    <comment ref="CR422" authorId="0" shapeId="0" xr:uid="{7D084531-7E7B-EE40-994D-2F7798EF06B1}">
      <text>
        <r>
          <rPr>
            <sz val="14"/>
            <color rgb="FF000000"/>
            <rFont val="Calibri"/>
            <family val="34"/>
          </rPr>
          <t xml:space="preserve">1802-5: Jüdisch
</t>
        </r>
        <r>
          <rPr>
            <sz val="14"/>
            <color rgb="FF000000"/>
            <rFont val="Calibri"/>
            <family val="34"/>
          </rPr>
          <t xml:space="preserve">1806: Katolisch
</t>
        </r>
        <r>
          <rPr>
            <sz val="14"/>
            <color rgb="FF000000"/>
            <rFont val="Calibri"/>
            <family val="34"/>
          </rPr>
          <t xml:space="preserve">1811: Altglaubisch </t>
        </r>
      </text>
    </comment>
    <comment ref="BF423" authorId="0" shapeId="0" xr:uid="{811E194C-0671-C540-BB3B-08B65F3465E8}">
      <text>
        <r>
          <rPr>
            <sz val="14"/>
            <color rgb="FFFF0000"/>
            <rFont val="Times New Roman"/>
            <family val="18"/>
          </rPr>
          <t xml:space="preserve">??/02/1801 </t>
        </r>
        <r>
          <rPr>
            <i/>
            <sz val="14"/>
            <color rgb="FFFF0000"/>
            <rFont val="Times New Roman"/>
            <family val="18"/>
          </rPr>
          <t>Gegen 3Fl auf Beständig 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12/02/1801 </t>
        </r>
        <r>
          <rPr>
            <i/>
            <sz val="14"/>
            <color rgb="FF000000"/>
            <rFont val="Times New Roman"/>
            <family val="18"/>
          </rPr>
          <t>von Ständen gestellt und seitdem auf anhero</t>
        </r>
        <r>
          <rPr>
            <sz val="14"/>
            <color rgb="FF000000"/>
            <rFont val="Times New Roman"/>
            <family val="18"/>
          </rPr>
          <t xml:space="preserve"> Marsch [ST Feb 1801]</t>
        </r>
        <r>
          <rPr>
            <sz val="14"/>
            <color rgb="FF000000"/>
            <rFont val="Calibri"/>
            <family val="34"/>
          </rPr>
          <t xml:space="preserve">
</t>
        </r>
        <r>
          <rPr>
            <sz val="14"/>
            <color rgb="FF000000"/>
            <rFont val="Times New Roman"/>
            <family val="18"/>
          </rPr>
          <t xml:space="preserve">10/06/1801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16/06/1801 [seit] Krank auswärts [ST Juni 1801]</t>
        </r>
        <r>
          <rPr>
            <sz val="14"/>
            <color rgb="FF000000"/>
            <rFont val="Calibri"/>
            <family val="34"/>
          </rPr>
          <t xml:space="preserve">
</t>
        </r>
        <r>
          <rPr>
            <sz val="14"/>
            <color rgb="FF000000"/>
            <rFont val="Times New Roman"/>
            <family val="18"/>
          </rPr>
          <t xml:space="preserve">14/08/1802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Geistler Komp zum IR 44 transferiert und zur Richter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IR 44: Haupt Richter Nr. 105 [</t>
        </r>
        <r>
          <rPr>
            <i/>
            <sz val="14"/>
            <color rgb="FF000000"/>
            <rFont val="Times New Roman"/>
            <family val="18"/>
          </rPr>
          <t>Krank in Padua</t>
        </r>
        <r>
          <rPr>
            <sz val="14"/>
            <color rgb="FF000000"/>
            <rFont val="Times New Roman"/>
            <family val="18"/>
          </rPr>
          <t>]</t>
        </r>
        <r>
          <rPr>
            <sz val="14"/>
            <color rgb="FF000000"/>
            <rFont val="Calibri"/>
            <family val="34"/>
          </rPr>
          <t xml:space="preserve">
</t>
        </r>
        <r>
          <rPr>
            <sz val="14"/>
            <color rgb="FF000000"/>
            <rFont val="Times New Roman"/>
            <family val="18"/>
          </rPr>
          <t>12/05/1804 IR 44: Haupt Richter Nr. 94 [</t>
        </r>
        <r>
          <rPr>
            <i/>
            <sz val="14"/>
            <color rgb="FF000000"/>
            <rFont val="Times New Roman"/>
            <family val="18"/>
          </rPr>
          <t>Beurlaubt in Gallizien zi Zaleszik</t>
        </r>
        <r>
          <rPr>
            <sz val="14"/>
            <color rgb="FF000000"/>
            <rFont val="Times New Roman"/>
            <family val="18"/>
          </rPr>
          <t xml:space="preserve"> </t>
        </r>
        <r>
          <rPr>
            <b/>
            <sz val="14"/>
            <color rgb="FF000000"/>
            <rFont val="Times New Roman"/>
            <family val="18"/>
          </rPr>
          <t>[</t>
        </r>
        <r>
          <rPr>
            <b/>
            <u/>
            <sz val="14"/>
            <color rgb="FF0563C1"/>
            <rFont val="Times New Roman"/>
            <family val="18"/>
          </rPr>
          <t>Zalishchyky, Ukraine</t>
        </r>
        <r>
          <rPr>
            <b/>
            <sz val="14"/>
            <color rgb="FF000000"/>
            <rFont val="Times New Roman"/>
            <family val="18"/>
          </rPr>
          <t>]</t>
        </r>
        <r>
          <rPr>
            <i/>
            <sz val="14"/>
            <color rgb="FF000000"/>
            <rFont val="Times New Roman"/>
            <family val="18"/>
          </rPr>
          <t xml:space="preserve"> Zlocower Kreis auf Bestimmte Zeit</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t>
        </r>
        <r>
          <rPr>
            <sz val="14"/>
            <color rgb="FF000000"/>
            <rFont val="Times New Roman"/>
            <family val="18"/>
          </rPr>
          <t xml:space="preserve"> [ML 1806]</t>
        </r>
        <r>
          <rPr>
            <sz val="14"/>
            <color rgb="FF000000"/>
            <rFont val="Calibri"/>
            <family val="34"/>
          </rPr>
          <t xml:space="preserve">
</t>
        </r>
      </text>
    </comment>
    <comment ref="BG423" authorId="0" shapeId="0" xr:uid="{B1A3213B-A134-3943-87F0-B4921CF7F862}">
      <text>
        <r>
          <rPr>
            <sz val="14"/>
            <color rgb="FF000000"/>
            <rFont val="Times New Roman"/>
            <family val="18"/>
          </rPr>
          <t xml:space="preserve">ML 10.311 IR 43 (1801) – ST Feb (28/09/1804), Juni (20/06/1805), </t>
        </r>
        <r>
          <rPr>
            <sz val="14"/>
            <color rgb="FF000000"/>
            <rFont val="Calibri"/>
            <family val="34"/>
          </rPr>
          <t xml:space="preserve">
</t>
        </r>
        <r>
          <rPr>
            <sz val="14"/>
            <color rgb="FF000000"/>
            <rFont val="Times New Roman"/>
            <family val="18"/>
          </rPr>
          <t>ML 10.312 IR 43 (1802) – ST Aug (15/09/1802)</t>
        </r>
        <r>
          <rPr>
            <sz val="14"/>
            <color rgb="FF000000"/>
            <rFont val="Calibri"/>
            <family val="34"/>
          </rPr>
          <t xml:space="preserve">
</t>
        </r>
        <r>
          <rPr>
            <sz val="14"/>
            <color rgb="FF000000"/>
            <rFont val="Times New Roman"/>
            <family val="18"/>
          </rPr>
          <t>ML 3908 IR 44 (1803) – Haupt Richter Komp. Nr. 105 (Venice 19/09/1803)</t>
        </r>
        <r>
          <rPr>
            <sz val="14"/>
            <color rgb="FF000000"/>
            <rFont val="Calibri"/>
            <family val="34"/>
          </rPr>
          <t xml:space="preserve">
</t>
        </r>
        <r>
          <rPr>
            <sz val="14"/>
            <color rgb="FF000000"/>
            <rFont val="Times New Roman"/>
            <family val="18"/>
          </rPr>
          <t>ML 3909 IR 44 (1804) – Haupt Richter Komp. Nr. 94 (Vincenza 12/05/1804)</t>
        </r>
        <r>
          <rPr>
            <sz val="14"/>
            <color rgb="FF000000"/>
            <rFont val="Calibri"/>
            <family val="34"/>
          </rPr>
          <t xml:space="preserve">
</t>
        </r>
        <r>
          <rPr>
            <sz val="14"/>
            <color rgb="FF000000"/>
            <rFont val="Times New Roman"/>
            <family val="18"/>
          </rPr>
          <t>ML 3910 IR 44 (1806) – CaptLt Schick Komp. Abgang (Fiume 10/12/1806)</t>
        </r>
        <r>
          <rPr>
            <sz val="14"/>
            <color rgb="FF000000"/>
            <rFont val="Calibri"/>
            <family val="34"/>
          </rPr>
          <t xml:space="preserve">
</t>
        </r>
        <r>
          <rPr>
            <sz val="14"/>
            <color rgb="FF000000"/>
            <rFont val="Times New Roman"/>
            <family val="18"/>
          </rPr>
          <t>ML 3946 IR 44 (1802) – AL IR 43-&gt; IR 43 Nr. 67 (Zara 14/08/1802)</t>
        </r>
      </text>
    </comment>
    <comment ref="BH423" authorId="0" shapeId="0" xr:uid="{B7ED1939-22DD-CA48-92D8-AB43D95B3F7E}">
      <text>
        <r>
          <rPr>
            <sz val="14"/>
            <color rgb="FF000000"/>
            <rFont val="Calibri"/>
            <family val="34"/>
          </rPr>
          <t xml:space="preserve">IR 43 (1801-1802)
</t>
        </r>
        <r>
          <rPr>
            <sz val="14"/>
            <color rgb="FF000000"/>
            <rFont val="Calibri"/>
            <family val="34"/>
          </rPr>
          <t>IR 44 (1802-1806)</t>
        </r>
      </text>
    </comment>
    <comment ref="BI423" authorId="0" shapeId="0" xr:uid="{6061ADF0-E5A8-294A-A36D-9CB483D904DF}">
      <text>
        <r>
          <rPr>
            <sz val="14"/>
            <color rgb="FF000000"/>
            <rFont val="Calibri"/>
            <family val="34"/>
          </rPr>
          <t>Gut [TL Aug 1802]</t>
        </r>
      </text>
    </comment>
    <comment ref="T424" authorId="0" shapeId="0" xr:uid="{518472B5-B0E8-6F4A-B0C1-9DC59E9A6A8E}">
      <text>
        <r>
          <rPr>
            <sz val="14"/>
            <color rgb="FF000000"/>
            <rFont val="Calibri"/>
            <family val="34"/>
          </rPr>
          <t xml:space="preserve">158.66 (1802-4)
</t>
        </r>
        <r>
          <rPr>
            <sz val="14"/>
            <color rgb="FF000000"/>
            <rFont val="Calibri"/>
            <family val="34"/>
          </rPr>
          <t>161.29 (1805)</t>
        </r>
      </text>
    </comment>
    <comment ref="BF424" authorId="0" shapeId="0" xr:uid="{6F1378C7-D52B-A141-848D-217827197E5B}">
      <text>
        <r>
          <rPr>
            <sz val="14"/>
            <color rgb="FF000000"/>
            <rFont val="Times New Roman"/>
            <family val="18"/>
          </rPr>
          <t xml:space="preserve">12/02/1801 </t>
        </r>
        <r>
          <rPr>
            <i/>
            <sz val="14"/>
            <color rgb="FF000000"/>
            <rFont val="Times New Roman"/>
            <family val="18"/>
          </rPr>
          <t>von Ständen a 3Fl Handgeld gestellt und seitdem auf anhero Marsch</t>
        </r>
        <r>
          <rPr>
            <sz val="14"/>
            <color rgb="FF000000"/>
            <rFont val="Times New Roman"/>
            <family val="18"/>
          </rPr>
          <t xml:space="preserve"> [ST Feb 1801]
</t>
        </r>
        <r>
          <rPr>
            <sz val="14"/>
            <color rgb="FF000000"/>
            <rFont val="Times New Roman"/>
            <family val="18"/>
          </rPr>
          <t xml:space="preserve">15/06/1801 </t>
        </r>
        <r>
          <rPr>
            <i/>
            <sz val="14"/>
            <color rgb="FF000000"/>
            <rFont val="Times New Roman"/>
            <family val="18"/>
          </rPr>
          <t>in Reserve Division eingerückt</t>
        </r>
        <r>
          <rPr>
            <sz val="14"/>
            <color rgb="FF000000"/>
            <rFont val="Times New Roman"/>
            <family val="18"/>
          </rPr>
          <t xml:space="preserve"> [ST Juni 1801] 
</t>
        </r>
        <r>
          <rPr>
            <sz val="14"/>
            <color rgb="FF000000"/>
            <rFont val="Times New Roman"/>
            <family val="18"/>
          </rPr>
          <t xml:space="preserve">11/07/1801 </t>
        </r>
        <r>
          <rPr>
            <i/>
            <sz val="14"/>
            <color rgb="FF000000"/>
            <rFont val="Times New Roman"/>
            <family val="18"/>
          </rPr>
          <t>Von Reserve Division ins Haupt Oberburg Comp. Transferiert</t>
        </r>
        <r>
          <rPr>
            <sz val="14"/>
            <color rgb="FF000000"/>
            <rFont val="Times New Roman"/>
            <family val="18"/>
          </rPr>
          <t xml:space="preserve"> [ST Juli 1801]
</t>
        </r>
        <r>
          <rPr>
            <sz val="14"/>
            <color rgb="FF000000"/>
            <rFont val="Times New Roman"/>
            <family val="18"/>
          </rPr>
          <t xml:space="preserve">21/07/1801 </t>
        </r>
        <r>
          <rPr>
            <i/>
            <sz val="14"/>
            <color rgb="FF000000"/>
            <rFont val="Times New Roman"/>
            <family val="18"/>
          </rPr>
          <t>von Haupt Oberburg Comp zum Obrist Comp transferiert</t>
        </r>
        <r>
          <rPr>
            <sz val="14"/>
            <color rgb="FF000000"/>
            <rFont val="Times New Roman"/>
            <family val="18"/>
          </rPr>
          <t xml:space="preserve"> [ST Juli 1801]
</t>
        </r>
        <r>
          <rPr>
            <sz val="14"/>
            <color rgb="FF000000"/>
            <rFont val="Times New Roman"/>
            <family val="18"/>
          </rPr>
          <t xml:space="preserve">11/09/1802 Musterung: IR 43 Obrist Comp. Nr. 144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
</t>
        </r>
        <r>
          <rPr>
            <sz val="14"/>
            <color rgb="FF000000"/>
            <rFont val="Times New Roman"/>
            <family val="18"/>
          </rPr>
          <t>28/09/1803 Musterung: IR 43 Obrist Comp. Nr. 120 [</t>
        </r>
        <r>
          <rPr>
            <i/>
            <sz val="14"/>
            <color rgb="FF000000"/>
            <rFont val="Times New Roman"/>
            <family val="18"/>
          </rPr>
          <t>Beurlaubt in Zloczow in Galizien</t>
        </r>
        <r>
          <rPr>
            <sz val="14"/>
            <color rgb="FF000000"/>
            <rFont val="Times New Roman"/>
            <family val="18"/>
          </rPr>
          <t xml:space="preserve">]
</t>
        </r>
        <r>
          <rPr>
            <sz val="14"/>
            <color rgb="FF000000"/>
            <rFont val="Times New Roman"/>
            <family val="18"/>
          </rPr>
          <t>07/10/1804 Musterung: IR 43  Obrist Comp Nr. 108. [</t>
        </r>
        <r>
          <rPr>
            <i/>
            <sz val="14"/>
            <color rgb="FF000000"/>
            <rFont val="Times New Roman"/>
            <family val="18"/>
          </rPr>
          <t>Bis zur Einberufung Beurlaubt zu seinem Geburtsort</t>
        </r>
        <r>
          <rPr>
            <sz val="14"/>
            <color rgb="FF000000"/>
            <rFont val="Times New Roman"/>
            <family val="18"/>
          </rPr>
          <t xml:space="preserve">]
</t>
        </r>
        <r>
          <rPr>
            <sz val="14"/>
            <color rgb="FF000000"/>
            <rFont val="Times New Roman"/>
            <family val="18"/>
          </rPr>
          <t>01/10/1805 Musterung: IR 43 8. Fus Comp Nr. 83 [</t>
        </r>
        <r>
          <rPr>
            <i/>
            <sz val="14"/>
            <color rgb="FF000000"/>
            <rFont val="Times New Roman"/>
            <family val="18"/>
          </rPr>
          <t>Beurlaubt in seinem Geburtsort bis zur Einberufung</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Als auf Urlaub verbliebene von 12. Fus Comp als unwissend verloren in Abgang</t>
        </r>
        <r>
          <rPr>
            <sz val="14"/>
            <color rgb="FF000000"/>
            <rFont val="Times New Roman"/>
            <family val="18"/>
          </rPr>
          <t xml:space="preserve"> [ST Oct 1806 &amp; ML 1806]
</t>
        </r>
      </text>
    </comment>
    <comment ref="BG424" authorId="0" shapeId="0" xr:uid="{64B0BE89-37E6-5749-9487-024A267EC098}">
      <text>
        <r>
          <rPr>
            <sz val="14"/>
            <color rgb="FF000000"/>
            <rFont val="Calibri"/>
            <family val="34"/>
          </rPr>
          <t xml:space="preserve">ML 10.272 IR 43 (1802) – Heft von Obrist Comp. Nr. 144 (Zara 11/09/1802)
</t>
        </r>
        <r>
          <rPr>
            <sz val="14"/>
            <color rgb="FF000000"/>
            <rFont val="Calibri"/>
            <family val="34"/>
          </rPr>
          <t xml:space="preserve">ML 10.273 IR 43 (1803) – Heft von Obrist Comp. Nr. 120 (Zara 28/09/1803)
</t>
        </r>
        <r>
          <rPr>
            <sz val="14"/>
            <color rgb="FF000000"/>
            <rFont val="Calibri"/>
            <family val="34"/>
          </rPr>
          <t xml:space="preserve">ML 10.274 IR 43 (1804) – Heft von Obrist Comp. Nr. 108 (Cattaro 07/10/1804)
</t>
        </r>
        <r>
          <rPr>
            <sz val="14"/>
            <color rgb="FF000000"/>
            <rFont val="Calibri"/>
            <family val="34"/>
          </rPr>
          <t xml:space="preserve">ML 10.275/6 IR 43 (1805) – Heft von 8. Fus Comp. Nr. 83 (Zara (01/10/1805)
</t>
        </r>
        <r>
          <rPr>
            <sz val="14"/>
            <color rgb="FF000000"/>
            <rFont val="Calibri"/>
            <family val="34"/>
          </rPr>
          <t xml:space="preserve">ML 10/277/8 IR 43 (1806) – Heft von 12. Fus Comp. Abgang (Neustadt 05/12/1806)
</t>
        </r>
        <r>
          <rPr>
            <sz val="14"/>
            <color rgb="FF000000"/>
            <rFont val="Calibri"/>
            <family val="34"/>
          </rPr>
          <t xml:space="preserve">ML 10.311 IR 43 (1801) – ST Juni (20/06/1805) und Juli (08/07/1805)
</t>
        </r>
        <r>
          <rPr>
            <sz val="14"/>
            <color rgb="FF000000"/>
            <rFont val="Calibri"/>
            <family val="34"/>
          </rPr>
          <t xml:space="preserve">ML 10.312 IR 43 (1802) – ST Nov (15/12/1802)
</t>
        </r>
        <r>
          <rPr>
            <sz val="14"/>
            <color rgb="FF000000"/>
            <rFont val="Calibri"/>
            <family val="34"/>
          </rPr>
          <t xml:space="preserve">ML 10.313 IR 43 (1803) – ST März (15/04/1803) 
</t>
        </r>
        <r>
          <rPr>
            <sz val="14"/>
            <color rgb="FF000000"/>
            <rFont val="Calibri"/>
            <family val="34"/>
          </rPr>
          <t xml:space="preserve">ML 10.317 IR 43 (1806) – ST Oktober (27/11/1806) </t>
        </r>
      </text>
    </comment>
    <comment ref="BH424" authorId="0" shapeId="0" xr:uid="{2E34A9A9-1480-3D42-B45C-DADB9F72E460}">
      <text>
        <r>
          <rPr>
            <sz val="14"/>
            <color rgb="FF000000"/>
            <rFont val="Calibri"/>
            <family val="34"/>
          </rPr>
          <t>IR 43 (1801-1806)</t>
        </r>
      </text>
    </comment>
    <comment ref="CR424" authorId="0" shapeId="0" xr:uid="{01BEDC66-4C0B-F242-A6D7-3671CC537142}">
      <text>
        <r>
          <rPr>
            <sz val="14"/>
            <color rgb="FF000000"/>
            <rFont val="Calibri"/>
            <family val="34"/>
          </rPr>
          <t xml:space="preserve">1802: Hebreer
</t>
        </r>
        <r>
          <rPr>
            <sz val="14"/>
            <color rgb="FF000000"/>
            <rFont val="Calibri"/>
            <family val="34"/>
          </rPr>
          <t xml:space="preserve">1803-4: Griechisch
</t>
        </r>
        <r>
          <rPr>
            <sz val="14"/>
            <color rgb="FF000000"/>
            <rFont val="Calibri"/>
            <family val="34"/>
          </rPr>
          <t xml:space="preserve">1805: Jüdisch </t>
        </r>
      </text>
    </comment>
    <comment ref="BF425" authorId="0" shapeId="0" xr:uid="{17316076-B8F6-0D48-8E62-C32980C6570A}">
      <text>
        <r>
          <rPr>
            <sz val="14"/>
            <color rgb="FF000000"/>
            <rFont val="+mn-lt"/>
            <charset val="1"/>
          </rPr>
          <t xml:space="preserve">12/02/1801 Von Ständen gestellt und seitdem Auf Anhero Marsch mit Friedensgebühr [ML 1802 &amp; ST Feb 1801]
</t>
        </r>
        <r>
          <rPr>
            <sz val="14"/>
            <color rgb="FFFF0000"/>
            <rFont val="+mn-lt"/>
            <charset val="1"/>
          </rPr>
          <t xml:space="preserve">20/12/1801 als ständischer Recrout [ML 1802-5]
</t>
        </r>
        <r>
          <rPr>
            <sz val="14"/>
            <color rgb="FF000000"/>
            <rFont val="+mn-lt"/>
            <charset val="1"/>
          </rPr>
          <t xml:space="preserve">30/06/1801 In die Reserve Division eingerückt [ST Juni 1801]
</t>
        </r>
        <r>
          <rPr>
            <sz val="14"/>
            <color rgb="FF000000"/>
            <rFont val="+mn-lt"/>
            <charset val="1"/>
          </rPr>
          <t xml:space="preserve">11/07/1802 Von Reserve Division ins Haupt Geistler Comp transferiert [ST Juli 1801]
</t>
        </r>
        <r>
          <rPr>
            <sz val="14"/>
            <color rgb="FF000000"/>
            <rFont val="+mn-lt"/>
            <charset val="1"/>
          </rPr>
          <t xml:space="preserve">28/08/1802 Musterung: IR 43 Haupt Geistler Nr. 152
</t>
        </r>
        <r>
          <rPr>
            <sz val="14"/>
            <color rgb="FF000000"/>
            <rFont val="+mn-lt"/>
            <charset val="1"/>
          </rPr>
          <t xml:space="preserve">06/01/1803 Auf den Marsch mit Urlaub und auswertigen Verpflegung ins Galizien mit Ungarischen Gebühr bis incl. 10. huj. Vepflegt [ST Jan 1803]
</t>
        </r>
        <r>
          <rPr>
            <sz val="14"/>
            <color rgb="FF000000"/>
            <rFont val="+mn-lt"/>
            <charset val="1"/>
          </rPr>
          <t xml:space="preserve">28/02/1803 Als Unbestimmt Beurlaubte in Galizien eingerückt [ST March 1803]
</t>
        </r>
        <r>
          <rPr>
            <sz val="14"/>
            <color rgb="FF000000"/>
            <rFont val="+mn-lt"/>
            <charset val="1"/>
          </rPr>
          <t xml:space="preserve">02/11/1803 Musterung: IR 43 Haupt Geistler Comp. Nr. 127 [Auf Unbestimmte Urlaub zu Tischowitz]
</t>
        </r>
        <r>
          <rPr>
            <sz val="14"/>
            <color rgb="FF000000"/>
            <rFont val="+mn-lt"/>
            <charset val="1"/>
          </rPr>
          <t xml:space="preserve">05/10/1804 Musterung: IR 43 Haupt Geistler Comp Nr. 123 [Beurlaubt bis zur Einberufung in seinem Geburtsort]
</t>
        </r>
        <r>
          <rPr>
            <sz val="14"/>
            <color rgb="FF000000"/>
            <rFont val="+mn-lt"/>
            <charset val="1"/>
          </rPr>
          <t xml:space="preserve">23/10/1805 Musterung:  IR 43 10. Fus Comp Nr. 103 [Beurlaubt bis zur Einberufung in seinem Geburtsort]
</t>
        </r>
        <r>
          <rPr>
            <sz val="14"/>
            <color rgb="FF000000"/>
            <rFont val="+mn-lt"/>
            <charset val="1"/>
          </rPr>
          <t xml:space="preserve">31/10/1806 Als auf Urlaub verbliebene von 14. Fus Comp als unwissend verloren in Abgang [ST Oct 1806 &amp; ML 1806]
</t>
        </r>
      </text>
    </comment>
    <comment ref="BG425" authorId="0" shapeId="0" xr:uid="{74300FB8-9332-2A4E-A7F2-1732E545A48D}">
      <text>
        <r>
          <rPr>
            <sz val="14"/>
            <color rgb="FF000000"/>
            <rFont val="Calibri"/>
            <family val="34"/>
          </rPr>
          <t xml:space="preserve">ML 10.272 IR 43 (1802) – Heft von Haupt Geistler. Comp. Nr. 152 (Cattaro 28/08/1802)
</t>
        </r>
        <r>
          <rPr>
            <sz val="14"/>
            <color rgb="FF000000"/>
            <rFont val="Calibri"/>
            <family val="34"/>
          </rPr>
          <t xml:space="preserve">ML 10.273 IR 43 (1803) – Heft von Haupt Geistler Nr. 127 (Cattaro 02/11/1803)
</t>
        </r>
        <r>
          <rPr>
            <sz val="14"/>
            <color rgb="FF000000"/>
            <rFont val="Calibri"/>
            <family val="34"/>
          </rPr>
          <t xml:space="preserve">ML 10.274 IR 43 (1804) – Heft von Haupt Geistler Comp. Nr. 123 (Theodo 05/10/1804)
</t>
        </r>
        <r>
          <rPr>
            <sz val="14"/>
            <color rgb="FF000000"/>
            <rFont val="Calibri"/>
            <family val="34"/>
          </rPr>
          <t xml:space="preserve">ML 10.275/6 IR 43 (1805) – Heft von 10. Fus Comp. Nr. 103 (Spalato (23/10/1805)
</t>
        </r>
        <r>
          <rPr>
            <sz val="14"/>
            <color rgb="FF000000"/>
            <rFont val="Calibri"/>
            <family val="34"/>
          </rPr>
          <t xml:space="preserve">ML 10/277/8 IR 43 (1806) – Heft von 14. Fus Comp. Abgang (Laibach 01/12/1806)
</t>
        </r>
        <r>
          <rPr>
            <sz val="14"/>
            <color rgb="FF000000"/>
            <rFont val="Calibri"/>
            <family val="34"/>
          </rPr>
          <t xml:space="preserve">ML 10.311 IR 43 (1801) – ST Feb (28/09/1804) und Juni (20/06/1805)
</t>
        </r>
        <r>
          <rPr>
            <sz val="14"/>
            <color rgb="FF000000"/>
            <rFont val="Calibri"/>
            <family val="34"/>
          </rPr>
          <t xml:space="preserve">ML 10.313 IR 43 (1803) – ST Jänner (15/02/1803) und März (15/04/1803)
</t>
        </r>
        <r>
          <rPr>
            <sz val="14"/>
            <color rgb="FF000000"/>
            <rFont val="Calibri"/>
            <family val="34"/>
          </rPr>
          <t xml:space="preserve">ML 10.317 IR 43 (1806) – ST Oktober (27/11/1806) </t>
        </r>
      </text>
    </comment>
    <comment ref="BH425" authorId="0" shapeId="0" xr:uid="{E6CA375D-C00B-E342-A531-A3AB61F61F44}">
      <text>
        <r>
          <rPr>
            <sz val="14"/>
            <color rgb="FF000000"/>
            <rFont val="Calibri"/>
            <family val="34"/>
          </rPr>
          <t>IR 43 (1801-1806)</t>
        </r>
      </text>
    </comment>
    <comment ref="BF426" authorId="0" shapeId="0" xr:uid="{805A39F4-0A5A-F346-B2F9-D6D257D8E030}">
      <text>
        <r>
          <rPr>
            <sz val="14"/>
            <color rgb="FF000000"/>
            <rFont val="Times New Roman"/>
            <family val="18"/>
          </rPr>
          <t xml:space="preserve">13/02/1801 </t>
        </r>
        <r>
          <rPr>
            <i/>
            <sz val="14"/>
            <color rgb="FF000000"/>
            <rFont val="Times New Roman"/>
            <family val="18"/>
          </rPr>
          <t>A 3Fl zu Kerpen inf</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zum IR 59 Jordis Haupt Drohns Companie transferiert und seitdem unbestimmt beurlaubt in seinem Geburtort</t>
        </r>
        <r>
          <rPr>
            <sz val="14"/>
            <color rgb="FF000000"/>
            <rFont val="Times New Roman"/>
            <family val="18"/>
          </rPr>
          <t xml:space="preserve"> [ML 1803]</t>
        </r>
        <r>
          <rPr>
            <sz val="14"/>
            <color rgb="FF000000"/>
            <rFont val="Calibri"/>
            <family val="34"/>
          </rPr>
          <t xml:space="preserve">
</t>
        </r>
        <r>
          <rPr>
            <sz val="14"/>
            <color rgb="FF000000"/>
            <rFont val="Times New Roman"/>
            <family val="18"/>
          </rPr>
          <t>29/08/1803 Muster: IR 59 Haupt Drohn Nr. 133 [</t>
        </r>
        <r>
          <rPr>
            <i/>
            <sz val="14"/>
            <color rgb="FF000000"/>
            <rFont val="Times New Roman"/>
            <family val="18"/>
          </rPr>
          <t>In seinem Geburtsort unbestimmt beurlaubt</t>
        </r>
        <r>
          <rPr>
            <sz val="14"/>
            <color rgb="FF000000"/>
            <rFont val="Times New Roman"/>
            <family val="18"/>
          </rPr>
          <t>]</t>
        </r>
        <r>
          <rPr>
            <sz val="14"/>
            <color rgb="FF000000"/>
            <rFont val="Calibri"/>
            <family val="34"/>
          </rPr>
          <t xml:space="preserve">
</t>
        </r>
        <r>
          <rPr>
            <sz val="14"/>
            <color rgb="FF000000"/>
            <rFont val="Times New Roman"/>
            <family val="18"/>
          </rPr>
          <t>03/09/1804 Muster: IR 59 Haupt Drohn [</t>
        </r>
        <r>
          <rPr>
            <i/>
            <sz val="14"/>
            <color rgb="FF000000"/>
            <rFont val="Times New Roman"/>
            <family val="18"/>
          </rPr>
          <t>Beurlaubt in seinem Geburtsort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426" authorId="0" shapeId="0" xr:uid="{723B0D11-1F33-B14A-8D93-1444B622F201}">
      <text>
        <r>
          <rPr>
            <sz val="14"/>
            <color rgb="FF000000"/>
            <rFont val="Times New Roman"/>
            <family val="18"/>
          </rPr>
          <t>ML 5015 IR 59 (1803) – Heft von Haupt. Drohn Comp. nr. 133 (Enns 29/08/1803)</t>
        </r>
        <r>
          <rPr>
            <sz val="14"/>
            <color rgb="FF000000"/>
            <rFont val="Calibri"/>
            <family val="34"/>
          </rPr>
          <t xml:space="preserve">
</t>
        </r>
        <r>
          <rPr>
            <sz val="14"/>
            <color rgb="FF000000"/>
            <rFont val="Times New Roman"/>
            <family val="18"/>
          </rPr>
          <t>ML 5015 IR 59 (1804) – Heft von Haupt. Drohn Comp nr. 120 (Innsbruck 03/09/1804)</t>
        </r>
        <r>
          <rPr>
            <sz val="14"/>
            <color rgb="FF000000"/>
            <rFont val="Calibri"/>
            <family val="34"/>
          </rPr>
          <t xml:space="preserve">
</t>
        </r>
        <r>
          <rPr>
            <sz val="14"/>
            <color rgb="FF000000"/>
            <rFont val="Times New Roman"/>
            <family val="18"/>
          </rPr>
          <t>ML 5017/8 IR 59 (1806) – Heft ‚Unwissend verlohren‘ Nr. 677 (Linz 10/07/1807)</t>
        </r>
        <r>
          <rPr>
            <sz val="14"/>
            <color rgb="FF000000"/>
            <rFont val="Calibri"/>
            <family val="34"/>
          </rPr>
          <t xml:space="preserve">
</t>
        </r>
      </text>
    </comment>
    <comment ref="BH426" authorId="0" shapeId="0" xr:uid="{121DC9F0-C91F-4846-9699-1823B1A3494B}">
      <text>
        <r>
          <rPr>
            <sz val="14"/>
            <color rgb="FF000000"/>
            <rFont val="Calibri"/>
            <family val="34"/>
          </rPr>
          <t xml:space="preserve">IR 49 (1801-1802)
</t>
        </r>
        <r>
          <rPr>
            <sz val="14"/>
            <color rgb="FF000000"/>
            <rFont val="Calibri"/>
            <family val="34"/>
          </rPr>
          <t>IR 59 (1802-1806)</t>
        </r>
      </text>
    </comment>
    <comment ref="BF427" authorId="0" shapeId="0" xr:uid="{B55B3150-15F6-A14E-85F1-9CC7CC24374E}">
      <text>
        <r>
          <rPr>
            <sz val="14"/>
            <color rgb="FFFF0000"/>
            <rFont val="Times New Roman"/>
            <family val="18"/>
          </rPr>
          <t xml:space="preserve">22/12/1800 </t>
        </r>
        <r>
          <rPr>
            <i/>
            <sz val="14"/>
            <color rgb="FFFF0000"/>
            <rFont val="Times New Roman"/>
            <family val="18"/>
          </rPr>
          <t xml:space="preserve">Als Gellizische ständischen Recrout a 3Fl Handgeld Gestellt </t>
        </r>
        <r>
          <rPr>
            <sz val="14"/>
            <color rgb="FFFF0000"/>
            <rFont val="Times New Roman"/>
            <family val="18"/>
          </rPr>
          <t>[ML 1802]</t>
        </r>
        <r>
          <rPr>
            <sz val="14"/>
            <color rgb="FF000000"/>
            <rFont val="Calibri"/>
            <family val="34"/>
          </rPr>
          <t xml:space="preserve">
</t>
        </r>
        <r>
          <rPr>
            <sz val="14"/>
            <color rgb="FF000000"/>
            <rFont val="Times New Roman"/>
            <family val="18"/>
          </rPr>
          <t xml:space="preserve">13/02/1801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11/07/1801 </t>
        </r>
        <r>
          <rPr>
            <i/>
            <sz val="14"/>
            <color rgb="FF000000"/>
            <rFont val="Times New Roman"/>
            <family val="18"/>
          </rPr>
          <t>Von Reserve Division ins Haupt Basta Comp transferiert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21/08/1802 Muster: IR 43 Haupt Basta Komp. Nr. 133</t>
        </r>
        <r>
          <rPr>
            <sz val="14"/>
            <color rgb="FF000000"/>
            <rFont val="Calibri"/>
            <family val="34"/>
          </rPr>
          <t xml:space="preserve">
</t>
        </r>
        <r>
          <rPr>
            <sz val="14"/>
            <color rgb="FF000000"/>
            <rFont val="Times New Roman"/>
            <family val="18"/>
          </rPr>
          <t xml:space="preserve">13/11/1802 </t>
        </r>
        <r>
          <rPr>
            <i/>
            <sz val="14"/>
            <color rgb="FF000000"/>
            <rFont val="Times New Roman"/>
            <family val="18"/>
          </rPr>
          <t xml:space="preserve">Desertiert </t>
        </r>
        <r>
          <rPr>
            <sz val="14"/>
            <color rgb="FF000000"/>
            <rFont val="Times New Roman"/>
            <family val="18"/>
          </rPr>
          <t>[ST Dec 1802]</t>
        </r>
        <r>
          <rPr>
            <sz val="14"/>
            <color rgb="FF000000"/>
            <rFont val="Calibri"/>
            <family val="34"/>
          </rPr>
          <t xml:space="preserve">
</t>
        </r>
        <r>
          <rPr>
            <sz val="14"/>
            <color rgb="FF000000"/>
            <rFont val="Times New Roman"/>
            <family val="18"/>
          </rPr>
          <t xml:space="preserve">13/11/1802 </t>
        </r>
        <r>
          <rPr>
            <i/>
            <sz val="14"/>
            <color rgb="FF000000"/>
            <rFont val="Times New Roman"/>
            <family val="18"/>
          </rPr>
          <t>Von Landmann attrappiert und gegen 24Fl Taglia zu Zara Präsentiert; seitdem in Arrest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30/11/1802 </t>
        </r>
        <r>
          <rPr>
            <i/>
            <sz val="14"/>
            <color rgb="FF000000"/>
            <rFont val="Times New Roman"/>
            <family val="18"/>
          </rPr>
          <t>Befreit</t>
        </r>
        <r>
          <rPr>
            <sz val="14"/>
            <color rgb="FF000000"/>
            <rFont val="Times New Roman"/>
            <family val="18"/>
          </rPr>
          <t xml:space="preserve"> [ST Dec 1802]</t>
        </r>
        <r>
          <rPr>
            <sz val="14"/>
            <color rgb="FF000000"/>
            <rFont val="Calibri"/>
            <family val="34"/>
          </rPr>
          <t xml:space="preserve">
</t>
        </r>
        <r>
          <rPr>
            <sz val="14"/>
            <color rgb="FF000000"/>
            <rFont val="Times New Roman"/>
            <family val="18"/>
          </rPr>
          <t xml:space="preserve">03/02/1803 </t>
        </r>
        <r>
          <rPr>
            <i/>
            <sz val="14"/>
            <color rgb="FF000000"/>
            <rFont val="Times New Roman"/>
            <family val="18"/>
          </rPr>
          <t>Auf den Marsch mit Urlaub ins Galizien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25/04/1803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08/11/1803 Muster: IR 43 Haupt Ellison Nr. 150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Lichtenberg Nr. 128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30/09/1805 Muster IR 43 2. Fus Komp. Nr. 97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Von unbestimmte Urlaub desertiert</t>
        </r>
        <r>
          <rPr>
            <sz val="14"/>
            <color rgb="FF000000"/>
            <rFont val="Times New Roman"/>
            <family val="18"/>
          </rPr>
          <t xml:space="preserve"> [ST Dec 1805 &amp; ML 1806]</t>
        </r>
        <r>
          <rPr>
            <sz val="14"/>
            <color rgb="FF000000"/>
            <rFont val="Calibri"/>
            <family val="34"/>
          </rPr>
          <t xml:space="preserve">
</t>
        </r>
      </text>
    </comment>
    <comment ref="BG427" authorId="0" shapeId="0" xr:uid="{AA5ECFB9-F82B-9546-BB4E-209F49A28884}">
      <text>
        <r>
          <rPr>
            <sz val="14"/>
            <color rgb="FF000000"/>
            <rFont val="Times New Roman"/>
            <family val="18"/>
          </rPr>
          <t>ML 10.272 IR 43 (1802) – Heft von Haupt Baste Comp. Nr. 133 (Risano 21/08/1802)</t>
        </r>
        <r>
          <rPr>
            <sz val="14"/>
            <color rgb="FF000000"/>
            <rFont val="Calibri"/>
            <family val="34"/>
          </rPr>
          <t xml:space="preserve">
</t>
        </r>
        <r>
          <rPr>
            <sz val="14"/>
            <color rgb="FF000000"/>
            <rFont val="Times New Roman"/>
            <family val="18"/>
          </rPr>
          <t>ML 10.273 IR 43 (1803) – Heft von Haupt von Niedles Nr. 150 (Sign 08/11/1803)</t>
        </r>
        <r>
          <rPr>
            <sz val="14"/>
            <color rgb="FF000000"/>
            <rFont val="Calibri"/>
            <family val="34"/>
          </rPr>
          <t xml:space="preserve">
</t>
        </r>
        <r>
          <rPr>
            <sz val="14"/>
            <color rgb="FF000000"/>
            <rFont val="Times New Roman"/>
            <family val="18"/>
          </rPr>
          <t>ML 10.274 IR 43 (1804) – Heft von Haupt Lichtenberg Comp. Nr 128 (Zara 15/09/1804)</t>
        </r>
        <r>
          <rPr>
            <sz val="14"/>
            <color rgb="FF000000"/>
            <rFont val="Calibri"/>
            <family val="34"/>
          </rPr>
          <t xml:space="preserve">
</t>
        </r>
        <r>
          <rPr>
            <sz val="14"/>
            <color rgb="FF000000"/>
            <rFont val="Times New Roman"/>
            <family val="18"/>
          </rPr>
          <t>ML 10.275/6 IR 43 (1805) – Heft von 2. Fus Comp. Nr. 97 (Cattaro 30/09/1805)</t>
        </r>
        <r>
          <rPr>
            <sz val="14"/>
            <color rgb="FF000000"/>
            <rFont val="Calibri"/>
            <family val="34"/>
          </rPr>
          <t xml:space="preserve">
</t>
        </r>
        <r>
          <rPr>
            <sz val="14"/>
            <color rgb="FF000000"/>
            <rFont val="Times New Roman"/>
            <family val="18"/>
          </rPr>
          <t>ML 10/277/8 (1806) – Heft von 2. Fus Comp. Abgang (Laibach 01/12/1806)</t>
        </r>
        <r>
          <rPr>
            <sz val="14"/>
            <color rgb="FF000000"/>
            <rFont val="Calibri"/>
            <family val="34"/>
          </rPr>
          <t xml:space="preserve">
</t>
        </r>
        <r>
          <rPr>
            <sz val="14"/>
            <color rgb="FF000000"/>
            <rFont val="Times New Roman"/>
            <family val="18"/>
          </rPr>
          <t>ML 10.311 IR 43 (1801) – ST März (10/10/1804); Juli (08/07/1805)</t>
        </r>
        <r>
          <rPr>
            <sz val="14"/>
            <color rgb="FF000000"/>
            <rFont val="Calibri"/>
            <family val="34"/>
          </rPr>
          <t xml:space="preserve">
</t>
        </r>
        <r>
          <rPr>
            <sz val="14"/>
            <color rgb="FF000000"/>
            <rFont val="Times New Roman"/>
            <family val="18"/>
          </rPr>
          <t>ML 10.312 IR 43 (1802) – ST Dez (15/01/1803)</t>
        </r>
        <r>
          <rPr>
            <sz val="14"/>
            <color rgb="FF000000"/>
            <rFont val="Calibri"/>
            <family val="34"/>
          </rPr>
          <t xml:space="preserve">
</t>
        </r>
        <r>
          <rPr>
            <sz val="14"/>
            <color rgb="FF000000"/>
            <rFont val="Times New Roman"/>
            <family val="18"/>
          </rPr>
          <t>ML 10.313 IR 43 (1803) – ST Feb (15/03/1803) April (15/05/1803)</t>
        </r>
        <r>
          <rPr>
            <sz val="14"/>
            <color rgb="FF000000"/>
            <rFont val="Calibri"/>
            <family val="34"/>
          </rPr>
          <t xml:space="preserve">
</t>
        </r>
        <r>
          <rPr>
            <sz val="14"/>
            <color rgb="FF000000"/>
            <rFont val="Times New Roman"/>
            <family val="18"/>
          </rPr>
          <t>ML 10.315 IR 43 (1805) – ST Dez (13/07/1806)</t>
        </r>
      </text>
    </comment>
    <comment ref="BH427" authorId="0" shapeId="0" xr:uid="{E6A2B006-591D-6C48-8E3C-F130CB3ED4D1}">
      <text>
        <r>
          <rPr>
            <sz val="14"/>
            <color rgb="FF000000"/>
            <rFont val="Calibri"/>
            <family val="34"/>
          </rPr>
          <t>IR 43 (1801-1805)</t>
        </r>
      </text>
    </comment>
    <comment ref="I428" authorId="0" shapeId="0" xr:uid="{693DA66F-3B9D-7245-BAD3-DCD0E5EDF73E}">
      <text>
        <r>
          <rPr>
            <sz val="14"/>
            <color rgb="FF000000"/>
            <rFont val="Calibri"/>
            <family val="34"/>
          </rPr>
          <t xml:space="preserve">1780 [24 (1804)]
</t>
        </r>
        <r>
          <rPr>
            <sz val="14"/>
            <color rgb="FF000000"/>
            <rFont val="Calibri"/>
            <family val="34"/>
          </rPr>
          <t xml:space="preserve">OR 
</t>
        </r>
        <r>
          <rPr>
            <sz val="14"/>
            <color rgb="FF000000"/>
            <rFont val="Calibri"/>
            <family val="34"/>
          </rPr>
          <t>1783 [19 (1802)]</t>
        </r>
      </text>
    </comment>
    <comment ref="BF428" authorId="0" shapeId="0" xr:uid="{35426433-293E-6943-AEE2-2E05A91E7D30}">
      <text>
        <r>
          <rPr>
            <sz val="14"/>
            <color rgb="FF000000"/>
            <rFont val="Times New Roman"/>
            <family val="18"/>
          </rPr>
          <t xml:space="preserve">13/02/1801 </t>
        </r>
        <r>
          <rPr>
            <i/>
            <sz val="14"/>
            <color rgb="FF000000"/>
            <rFont val="Times New Roman"/>
            <family val="18"/>
          </rPr>
          <t>von Ständen gestellt und seitdem auf anhero Marsch</t>
        </r>
        <r>
          <rPr>
            <sz val="14"/>
            <color rgb="FF000000"/>
            <rFont val="Times New Roman"/>
            <family val="18"/>
          </rPr>
          <t xml:space="preserve"> [ST Feb 1801]</t>
        </r>
        <r>
          <rPr>
            <sz val="14"/>
            <color rgb="FF000000"/>
            <rFont val="Calibri"/>
            <family val="34"/>
          </rPr>
          <t xml:space="preserve">
</t>
        </r>
        <r>
          <rPr>
            <sz val="14"/>
            <color rgb="FFFF0000"/>
            <rFont val="Times New Roman"/>
            <family val="18"/>
          </rPr>
          <t xml:space="preserve">31/05/1801 </t>
        </r>
        <r>
          <rPr>
            <i/>
            <sz val="14"/>
            <color rgb="FFFF0000"/>
            <rFont val="Times New Roman"/>
            <family val="18"/>
          </rPr>
          <t>Gestorben in Caschau</t>
        </r>
        <r>
          <rPr>
            <sz val="14"/>
            <color rgb="FFFF0000"/>
            <rFont val="Times New Roman"/>
            <family val="18"/>
          </rPr>
          <t xml:space="preserve"> </t>
        </r>
        <r>
          <rPr>
            <b/>
            <sz val="14"/>
            <color rgb="FFFF0000"/>
            <rFont val="Times New Roman"/>
            <family val="18"/>
          </rPr>
          <t xml:space="preserve">[Sic!] </t>
        </r>
        <r>
          <rPr>
            <sz val="14"/>
            <color rgb="FFFF0000"/>
            <rFont val="Times New Roman"/>
            <family val="18"/>
          </rPr>
          <t>[ST May 1801]</t>
        </r>
        <r>
          <rPr>
            <sz val="14"/>
            <color rgb="FF000000"/>
            <rFont val="Calibri"/>
            <family val="34"/>
          </rPr>
          <t xml:space="preserve">
</t>
        </r>
        <r>
          <rPr>
            <sz val="14"/>
            <color rgb="FFFF0000"/>
            <rFont val="Times New Roman"/>
            <family val="18"/>
          </rPr>
          <t xml:space="preserve">27/07/1801 </t>
        </r>
        <r>
          <rPr>
            <i/>
            <sz val="14"/>
            <color rgb="FFFF0000"/>
            <rFont val="Times New Roman"/>
            <family val="18"/>
          </rPr>
          <t>Von die Ständen a 3Fl Handgeld gestellt</t>
        </r>
        <r>
          <rPr>
            <sz val="14"/>
            <color rgb="FFFF0000"/>
            <rFont val="Times New Roman"/>
            <family val="18"/>
          </rPr>
          <t xml:space="preserve"> [ML 1802]</t>
        </r>
        <r>
          <rPr>
            <sz val="14"/>
            <color rgb="FF000000"/>
            <rFont val="Calibri"/>
            <family val="34"/>
          </rPr>
          <t xml:space="preserve">
</t>
        </r>
        <r>
          <rPr>
            <sz val="14"/>
            <color rgb="FF000000"/>
            <rFont val="Times New Roman"/>
            <family val="18"/>
          </rPr>
          <t>24/08/1802 Muster: IR 43 Haupt Selmbach Komp. Nr. 146 [</t>
        </r>
        <r>
          <rPr>
            <i/>
            <sz val="14"/>
            <color rgb="FF000000"/>
            <rFont val="Times New Roman"/>
            <family val="18"/>
          </rPr>
          <t>Commanidert zu Bratza</t>
        </r>
        <r>
          <rPr>
            <sz val="14"/>
            <color rgb="FF000000"/>
            <rFont val="Times New Roman"/>
            <family val="18"/>
          </rPr>
          <t>]</t>
        </r>
        <r>
          <rPr>
            <sz val="14"/>
            <color rgb="FF000000"/>
            <rFont val="Calibri"/>
            <family val="34"/>
          </rPr>
          <t xml:space="preserve">
</t>
        </r>
        <r>
          <rPr>
            <sz val="14"/>
            <color rgb="FF000000"/>
            <rFont val="Times New Roman"/>
            <family val="18"/>
          </rPr>
          <t xml:space="preserve">06/01/1803 </t>
        </r>
        <r>
          <rPr>
            <i/>
            <sz val="14"/>
            <color rgb="FF000000"/>
            <rFont val="Times New Roman"/>
            <family val="18"/>
          </rPr>
          <t>Auf den Marsch mit Urlaub und auswertigen Verpflegung ins Galizien mit Ungarischen Gebühr bis incl. 10. huj. Verpflegt</t>
        </r>
        <r>
          <rPr>
            <sz val="14"/>
            <color rgb="FF000000"/>
            <rFont val="Times New Roman"/>
            <family val="18"/>
          </rPr>
          <t xml:space="preserve"> [ST Jan 1803]</t>
        </r>
        <r>
          <rPr>
            <sz val="14"/>
            <color rgb="FF000000"/>
            <rFont val="Calibri"/>
            <family val="34"/>
          </rPr>
          <t xml:space="preserve">
</t>
        </r>
        <r>
          <rPr>
            <sz val="14"/>
            <color rgb="FF000000"/>
            <rFont val="Times New Roman"/>
            <family val="18"/>
          </rPr>
          <t xml:space="preserve">15/02/1803 </t>
        </r>
        <r>
          <rPr>
            <i/>
            <sz val="14"/>
            <color rgb="FF000000"/>
            <rFont val="Times New Roman"/>
            <family val="18"/>
          </rPr>
          <t>Krank in Spital in Wien</t>
        </r>
        <r>
          <rPr>
            <sz val="14"/>
            <color rgb="FF000000"/>
            <rFont val="Times New Roman"/>
            <family val="18"/>
          </rPr>
          <t xml:space="preserve"> [ST Feb 1803]</t>
        </r>
        <r>
          <rPr>
            <sz val="14"/>
            <color rgb="FF000000"/>
            <rFont val="Calibri"/>
            <family val="34"/>
          </rPr>
          <t xml:space="preserve">
</t>
        </r>
        <r>
          <rPr>
            <sz val="14"/>
            <color rgb="FF000000"/>
            <rFont val="Times New Roman"/>
            <family val="18"/>
          </rPr>
          <t xml:space="preserve">15/03/1803 </t>
        </r>
        <r>
          <rPr>
            <i/>
            <sz val="14"/>
            <color rgb="FF000000"/>
            <rFont val="Times New Roman"/>
            <family val="18"/>
          </rPr>
          <t>Rekonvalesziert und wieder auf dem Marsch mit Urlaub nach Galizien</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 xml:space="preserve">28/04/1803 </t>
        </r>
        <r>
          <rPr>
            <i/>
            <sz val="14"/>
            <color rgb="FF000000"/>
            <rFont val="Times New Roman"/>
            <family val="18"/>
          </rPr>
          <t>Als unbestimmt Beurlaubte in Galizien eingerückt</t>
        </r>
        <r>
          <rPr>
            <sz val="14"/>
            <color rgb="FF000000"/>
            <rFont val="Times New Roman"/>
            <family val="18"/>
          </rPr>
          <t xml:space="preserve"> [ST April 1803]</t>
        </r>
        <r>
          <rPr>
            <sz val="14"/>
            <color rgb="FF000000"/>
            <rFont val="Calibri"/>
            <family val="34"/>
          </rPr>
          <t xml:space="preserve">
</t>
        </r>
        <r>
          <rPr>
            <sz val="14"/>
            <color rgb="FF000000"/>
            <rFont val="Times New Roman"/>
            <family val="18"/>
          </rPr>
          <t>04/11/1803 Muster: IR 43 Haupt. Selmbach Komp. Nr. 131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15/09/1804 Muster: IR 43 Haupt. Selmbach Komp. Nr. 122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01/10/1805 IR 43 13. Fus Komp. Nr. 98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Urlaub verbliebene von 3. Fus Komp. als unwissend Verloren in Abgang</t>
        </r>
        <r>
          <rPr>
            <sz val="14"/>
            <color rgb="FF000000"/>
            <rFont val="Times New Roman"/>
            <family val="18"/>
          </rPr>
          <t xml:space="preserve"> [ST Oct 1806 &amp; ML 1806]</t>
        </r>
        <r>
          <rPr>
            <sz val="14"/>
            <color rgb="FF000000"/>
            <rFont val="Calibri"/>
            <family val="34"/>
          </rPr>
          <t xml:space="preserve">
</t>
        </r>
      </text>
    </comment>
    <comment ref="BG428" authorId="0" shapeId="0" xr:uid="{89539936-D489-D344-8129-46EBB493DA05}">
      <text>
        <r>
          <rPr>
            <sz val="14"/>
            <color rgb="FF000000"/>
            <rFont val="Times New Roman"/>
            <family val="18"/>
          </rPr>
          <t>ML 10.272 IR 43 (1802) – Heft von Haupt Selmbach Comp. Nr. 145 (Budua 24/08/1802)</t>
        </r>
        <r>
          <rPr>
            <sz val="14"/>
            <color rgb="FF000000"/>
            <rFont val="Calibri"/>
            <family val="34"/>
          </rPr>
          <t xml:space="preserve">
</t>
        </r>
        <r>
          <rPr>
            <sz val="14"/>
            <color rgb="FF000000"/>
            <rFont val="Times New Roman"/>
            <family val="18"/>
          </rPr>
          <t>ML 10.273 IR 43 (1803) – Heft von Haupt Selmbach Nr. 131 (Knin 04/11/1803)</t>
        </r>
        <r>
          <rPr>
            <sz val="14"/>
            <color rgb="FF000000"/>
            <rFont val="Calibri"/>
            <family val="34"/>
          </rPr>
          <t xml:space="preserve">
</t>
        </r>
        <r>
          <rPr>
            <sz val="14"/>
            <color rgb="FF000000"/>
            <rFont val="Times New Roman"/>
            <family val="18"/>
          </rPr>
          <t>ML 10.274 IR 43 (1804) – Heft von Haupt Selmbach Comp. Nr. 122 (Zara 15/09/1804)</t>
        </r>
        <r>
          <rPr>
            <sz val="14"/>
            <color rgb="FF000000"/>
            <rFont val="Calibri"/>
            <family val="34"/>
          </rPr>
          <t xml:space="preserve">
</t>
        </r>
        <r>
          <rPr>
            <sz val="14"/>
            <color rgb="FF000000"/>
            <rFont val="Times New Roman"/>
            <family val="18"/>
          </rPr>
          <t>ML 10.275/6 IR 43 (1805) – Heft von 13. Fus Comp. Nr. 98 (Zara 01/10/1805)</t>
        </r>
        <r>
          <rPr>
            <sz val="14"/>
            <color rgb="FF000000"/>
            <rFont val="Calibri"/>
            <family val="34"/>
          </rPr>
          <t xml:space="preserve">
</t>
        </r>
        <r>
          <rPr>
            <sz val="14"/>
            <color rgb="FF000000"/>
            <rFont val="Times New Roman"/>
            <family val="18"/>
          </rPr>
          <t>ML 10/277/8 (1806) – Heft von 3. Fus Comp. Abgang (Laibach 01/12/1806)</t>
        </r>
        <r>
          <rPr>
            <sz val="14"/>
            <color rgb="FF000000"/>
            <rFont val="Calibri"/>
            <family val="34"/>
          </rPr>
          <t xml:space="preserve">
</t>
        </r>
        <r>
          <rPr>
            <sz val="14"/>
            <color rgb="FF000000"/>
            <rFont val="Times New Roman"/>
            <family val="18"/>
          </rPr>
          <t>ML 10.313 IR 43 (1803) – ST Jan (15/02/1803), Feb. (15/03/1803), März (15/04/1803), April (20/05/1803)</t>
        </r>
        <r>
          <rPr>
            <sz val="14"/>
            <color rgb="FF000000"/>
            <rFont val="Calibri"/>
            <family val="34"/>
          </rPr>
          <t xml:space="preserve">
</t>
        </r>
        <r>
          <rPr>
            <sz val="14"/>
            <color rgb="FF000000"/>
            <rFont val="Times New Roman"/>
            <family val="18"/>
          </rPr>
          <t>ML 10.317 IR 43 (1806) – ST Okt. (27/11/1806)</t>
        </r>
      </text>
    </comment>
    <comment ref="BH428" authorId="0" shapeId="0" xr:uid="{8E13760A-DD3A-3A4D-875D-FD41A85F2977}">
      <text>
        <r>
          <rPr>
            <sz val="14"/>
            <color rgb="FF000000"/>
            <rFont val="Calibri"/>
            <family val="34"/>
          </rPr>
          <t>IR 43 (1801-1806)</t>
        </r>
      </text>
    </comment>
    <comment ref="CR428" authorId="0" shapeId="0" xr:uid="{B469FDA8-F14B-AF40-B49D-4B77D822F55C}">
      <text>
        <r>
          <rPr>
            <sz val="14"/>
            <color rgb="FF000000"/>
            <rFont val="Calibri"/>
            <family val="34"/>
          </rPr>
          <t>1802-3: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1804-5: Katolisch </t>
        </r>
      </text>
    </comment>
    <comment ref="BF429" authorId="0" shapeId="0" xr:uid="{1124AAE6-8A84-604C-871F-1EF2ECAA8F32}">
      <text>
        <r>
          <rPr>
            <sz val="14"/>
            <color rgb="FF000000"/>
            <rFont val="Times New Roman"/>
            <family val="18"/>
          </rPr>
          <t xml:space="preserve">13/02/1801 </t>
        </r>
        <r>
          <rPr>
            <i/>
            <sz val="14"/>
            <color rgb="FF000000"/>
            <rFont val="Times New Roman"/>
            <family val="18"/>
          </rPr>
          <t xml:space="preserve">von Ständen gestellt und seitdem auf anhero Marsch mit Friedensgebühr </t>
        </r>
        <r>
          <rPr>
            <sz val="14"/>
            <color rgb="FF000000"/>
            <rFont val="Times New Roman"/>
            <family val="18"/>
          </rPr>
          <t>[ST Feb 1801]</t>
        </r>
        <r>
          <rPr>
            <sz val="14"/>
            <color rgb="FF000000"/>
            <rFont val="Calibri"/>
            <family val="34"/>
          </rPr>
          <t xml:space="preserve">
</t>
        </r>
        <r>
          <rPr>
            <sz val="14"/>
            <color rgb="FF000000"/>
            <rFont val="Times New Roman"/>
            <family val="18"/>
          </rPr>
          <t xml:space="preserve">31/05/1801 </t>
        </r>
        <r>
          <rPr>
            <i/>
            <sz val="14"/>
            <color rgb="FF000000"/>
            <rFont val="Times New Roman"/>
            <family val="18"/>
          </rPr>
          <t>In die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01/06/1801 </t>
        </r>
        <r>
          <rPr>
            <i/>
            <sz val="14"/>
            <color rgb="FF000000"/>
            <rFont val="Times New Roman"/>
            <family val="18"/>
          </rPr>
          <t>Von Reserve Division ins Haupt Schoerr Comp transferiert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11/09/1802 Muster: IR 43 Haupt Schoerr Komp. Nr. 47]</t>
        </r>
        <r>
          <rPr>
            <sz val="14"/>
            <color rgb="FF000000"/>
            <rFont val="Calibri"/>
            <family val="34"/>
          </rPr>
          <t xml:space="preserve">
</t>
        </r>
        <r>
          <rPr>
            <sz val="14"/>
            <color rgb="FF000000"/>
            <rFont val="Times New Roman"/>
            <family val="18"/>
          </rPr>
          <t xml:space="preserve">08/11/1802 </t>
        </r>
        <r>
          <rPr>
            <i/>
            <sz val="14"/>
            <color rgb="FF000000"/>
            <rFont val="Times New Roman"/>
            <family val="18"/>
          </rPr>
          <t>Auf dem Marsch mit Urlaub und Auswärtiger Verpflegung ins Galizien</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28/02/1803 </t>
        </r>
        <r>
          <rPr>
            <i/>
            <sz val="14"/>
            <color rgb="FF000000"/>
            <rFont val="Times New Roman"/>
            <family val="18"/>
          </rPr>
          <t>Als unbestimmt Beurlaubte in Galizien eingerückt</t>
        </r>
        <r>
          <rPr>
            <sz val="14"/>
            <color rgb="FF000000"/>
            <rFont val="Times New Roman"/>
            <family val="18"/>
          </rPr>
          <t xml:space="preserve"> [ST March 1803]</t>
        </r>
        <r>
          <rPr>
            <sz val="14"/>
            <color rgb="FF000000"/>
            <rFont val="Calibri"/>
            <family val="34"/>
          </rPr>
          <t xml:space="preserve">
</t>
        </r>
        <r>
          <rPr>
            <sz val="14"/>
            <color rgb="FF000000"/>
            <rFont val="Times New Roman"/>
            <family val="18"/>
          </rPr>
          <t>28/09/1803 Muster: IR 43 Haupt Schoer Komp. Nr. 44 [</t>
        </r>
        <r>
          <rPr>
            <i/>
            <sz val="14"/>
            <color rgb="FF000000"/>
            <rFont val="Times New Roman"/>
            <family val="18"/>
          </rPr>
          <t>bis zur Einberufung zu Kalusch in Gallizien beurlaubt</t>
        </r>
        <r>
          <rPr>
            <sz val="14"/>
            <color rgb="FF000000"/>
            <rFont val="Times New Roman"/>
            <family val="18"/>
          </rPr>
          <t>]</t>
        </r>
        <r>
          <rPr>
            <sz val="14"/>
            <color rgb="FF000000"/>
            <rFont val="Calibri"/>
            <family val="34"/>
          </rPr>
          <t xml:space="preserve">
</t>
        </r>
        <r>
          <rPr>
            <sz val="14"/>
            <color rgb="FF000000"/>
            <rFont val="Times New Roman"/>
            <family val="18"/>
          </rPr>
          <t>07/10/1804 Muster: IR 43 Haupt Schoer Komp. Nr. 45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10/08/1805 </t>
        </r>
        <r>
          <rPr>
            <i/>
            <sz val="14"/>
            <color rgb="FF000000"/>
            <rFont val="Times New Roman"/>
            <family val="18"/>
          </rPr>
          <t>Von unbestimmte Urlaub Zurück und seitdem auf Anhero Marsch</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09/09/1805 </t>
        </r>
        <r>
          <rPr>
            <i/>
            <sz val="14"/>
            <color rgb="FF000000"/>
            <rFont val="Times New Roman"/>
            <family val="18"/>
          </rPr>
          <t>Eingerückt und zu Laibach mit Tägl. ½ Teuerung und 1Xr Fleischbeitrag Beim Reserve Bataillon zugeheilt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01/10/1805 Muster: IR 43 6. Fus Komp. Nr. 45 [</t>
        </r>
        <r>
          <rPr>
            <i/>
            <sz val="14"/>
            <color rgb="FF000000"/>
            <rFont val="Times New Roman"/>
            <family val="18"/>
          </rPr>
          <t>Zu Laibach Passiert</t>
        </r>
        <r>
          <rPr>
            <sz val="14"/>
            <color rgb="FF000000"/>
            <rFont val="Times New Roman"/>
            <family val="18"/>
          </rPr>
          <t>]</t>
        </r>
        <r>
          <rPr>
            <sz val="14"/>
            <color rgb="FF000000"/>
            <rFont val="Calibri"/>
            <family val="34"/>
          </rPr>
          <t xml:space="preserve">
</t>
        </r>
        <r>
          <rPr>
            <sz val="14"/>
            <color rgb="FF000000"/>
            <rFont val="Times New Roman"/>
            <family val="18"/>
          </rPr>
          <t xml:space="preserve">25/09/1805 </t>
        </r>
        <r>
          <rPr>
            <i/>
            <sz val="14"/>
            <color rgb="FF000000"/>
            <rFont val="Times New Roman"/>
            <family val="18"/>
          </rPr>
          <t>In Folge General Commando Veordnung Det Graz 20 May 805 Lit X: Nr. 779 nach vorher gehaltenen Superarbietrierung als untaglich mit Abschied entlassen</t>
        </r>
        <r>
          <rPr>
            <sz val="14"/>
            <color rgb="FF000000"/>
            <rFont val="Times New Roman"/>
            <family val="18"/>
          </rPr>
          <t xml:space="preserve"> [ST Oct 1805 &amp; ML 1806 </t>
        </r>
        <r>
          <rPr>
            <sz val="14"/>
            <color rgb="FF000000"/>
            <rFont val="Calibri"/>
            <family val="34"/>
          </rPr>
          <t xml:space="preserve">
</t>
        </r>
        <r>
          <rPr>
            <sz val="14"/>
            <color rgb="FF000000"/>
            <rFont val="Times New Roman"/>
            <family val="18"/>
          </rPr>
          <t xml:space="preserve">02/10/1805 [bis] </t>
        </r>
        <r>
          <rPr>
            <i/>
            <sz val="14"/>
            <color rgb="FF000000"/>
            <rFont val="Times New Roman"/>
            <family val="18"/>
          </rPr>
          <t>von den Löbl KriegsComissariat zu Laibach mit tgl. 5 Xr Lohnung und 2Xr Brotgeld Verpflegt</t>
        </r>
        <r>
          <rPr>
            <sz val="14"/>
            <color rgb="FF000000"/>
            <rFont val="Times New Roman"/>
            <family val="18"/>
          </rPr>
          <t xml:space="preserve"> [ST Oct 1805]</t>
        </r>
        <r>
          <rPr>
            <sz val="14"/>
            <color rgb="FF000000"/>
            <rFont val="Calibri"/>
            <family val="34"/>
          </rPr>
          <t xml:space="preserve">
</t>
        </r>
      </text>
    </comment>
    <comment ref="BG429" authorId="0" shapeId="0" xr:uid="{B11D9C4F-4F1C-4A4F-9F96-F0EE791B3FCE}">
      <text>
        <r>
          <rPr>
            <sz val="14"/>
            <color rgb="FF000000"/>
            <rFont val="Times New Roman"/>
            <family val="18"/>
          </rPr>
          <t>ML 10.272 IR 43 (1802) – Haupt Schoer. Komp. Nr. 47 (Zara 11/09/1802)</t>
        </r>
        <r>
          <rPr>
            <sz val="14"/>
            <color rgb="FF000000"/>
            <rFont val="Calibri"/>
            <family val="34"/>
          </rPr>
          <t xml:space="preserve">
</t>
        </r>
        <r>
          <rPr>
            <sz val="14"/>
            <color rgb="FF000000"/>
            <rFont val="Times New Roman"/>
            <family val="18"/>
          </rPr>
          <t>ML 10.273 IR 43 (1803) –Haupt Schoer Komp. Nr. 44 (Zara 28/09/1803)</t>
        </r>
        <r>
          <rPr>
            <sz val="14"/>
            <color rgb="FF000000"/>
            <rFont val="Calibri"/>
            <family val="34"/>
          </rPr>
          <t xml:space="preserve">
</t>
        </r>
        <r>
          <rPr>
            <sz val="14"/>
            <color rgb="FF000000"/>
            <rFont val="Times New Roman"/>
            <family val="18"/>
          </rPr>
          <t>ML 10.274 IR 43 (1804) –Haupt Schoer Komp. Nr. 45 (Cattaro 07/10/1804)</t>
        </r>
        <r>
          <rPr>
            <sz val="14"/>
            <color rgb="FF000000"/>
            <rFont val="Calibri"/>
            <family val="34"/>
          </rPr>
          <t xml:space="preserve">
</t>
        </r>
        <r>
          <rPr>
            <sz val="14"/>
            <color rgb="FF000000"/>
            <rFont val="Times New Roman"/>
            <family val="18"/>
          </rPr>
          <t>ML 10.275/6 IR 43 (1805) –6. Fus Komp. Nr. 45 (Zara 01/10/1805)</t>
        </r>
        <r>
          <rPr>
            <sz val="14"/>
            <color rgb="FF000000"/>
            <rFont val="Calibri"/>
            <family val="34"/>
          </rPr>
          <t xml:space="preserve">
</t>
        </r>
        <r>
          <rPr>
            <sz val="14"/>
            <color rgb="FF000000"/>
            <rFont val="Times New Roman"/>
            <family val="18"/>
          </rPr>
          <t>ML 10/277/8 IR 43 (1806) – 7. Fus. Komp. Abgang (Neustadt (05/12/1806)</t>
        </r>
        <r>
          <rPr>
            <sz val="14"/>
            <color rgb="FF000000"/>
            <rFont val="Calibri"/>
            <family val="34"/>
          </rPr>
          <t xml:space="preserve">
</t>
        </r>
        <r>
          <rPr>
            <sz val="14"/>
            <color rgb="FF000000"/>
            <rFont val="Times New Roman"/>
            <family val="18"/>
          </rPr>
          <t>ML 10.311 IR 43 (1801) – ST Feb (28/09/1804), Juni (20/06/1805)</t>
        </r>
        <r>
          <rPr>
            <sz val="14"/>
            <color rgb="FF000000"/>
            <rFont val="Calibri"/>
            <family val="34"/>
          </rPr>
          <t xml:space="preserve">
</t>
        </r>
        <r>
          <rPr>
            <sz val="14"/>
            <color rgb="FF000000"/>
            <rFont val="Times New Roman"/>
            <family val="18"/>
          </rPr>
          <t>ML 10.312 IR 43 (1802) – ST Nov (15/12/1802)</t>
        </r>
        <r>
          <rPr>
            <sz val="14"/>
            <color rgb="FF000000"/>
            <rFont val="Calibri"/>
            <family val="34"/>
          </rPr>
          <t xml:space="preserve">
</t>
        </r>
        <r>
          <rPr>
            <sz val="14"/>
            <color rgb="FF000000"/>
            <rFont val="Times New Roman"/>
            <family val="18"/>
          </rPr>
          <t>ML 10.313 IR 43 (1803) – ST März (15/04/1803)</t>
        </r>
        <r>
          <rPr>
            <sz val="14"/>
            <color rgb="FF000000"/>
            <rFont val="Calibri"/>
            <family val="34"/>
          </rPr>
          <t xml:space="preserve">
</t>
        </r>
        <r>
          <rPr>
            <sz val="14"/>
            <color rgb="FF000000"/>
            <rFont val="Times New Roman"/>
            <family val="18"/>
          </rPr>
          <t>ML 10.315 IR 43 (1805) – ST Sept (15/11/1805), Okt (22/05/1806)</t>
        </r>
      </text>
    </comment>
    <comment ref="BH429" authorId="0" shapeId="0" xr:uid="{025D3211-12C5-174B-8FEA-24DA8410E184}">
      <text>
        <r>
          <rPr>
            <sz val="14"/>
            <color rgb="FF000000"/>
            <rFont val="Calibri"/>
            <family val="34"/>
          </rPr>
          <t>IR 43 (1801-1805)</t>
        </r>
      </text>
    </comment>
    <comment ref="BF430" authorId="0" shapeId="0" xr:uid="{794D521C-B321-4545-8870-67196E426DD6}">
      <text>
        <r>
          <rPr>
            <sz val="14"/>
            <color rgb="FFFF0000"/>
            <rFont val="Times New Roman"/>
            <family val="18"/>
          </rPr>
          <t xml:space="preserve">??/01/1801 </t>
        </r>
        <r>
          <rPr>
            <i/>
            <sz val="14"/>
            <color rgb="FFFF0000"/>
            <rFont val="Times New Roman"/>
            <family val="18"/>
          </rPr>
          <t>gegen 3Fl Handgeld auf Beständig zu Thurn Inf</t>
        </r>
        <r>
          <rPr>
            <sz val="14"/>
            <color rgb="FFFF0000"/>
            <rFont val="Times New Roman"/>
            <family val="18"/>
          </rPr>
          <t xml:space="preserve"> </t>
        </r>
        <r>
          <rPr>
            <b/>
            <sz val="14"/>
            <color rgb="FFFF0000"/>
            <rFont val="Times New Roman"/>
            <family val="18"/>
          </rPr>
          <t>[IR 43]</t>
        </r>
        <r>
          <rPr>
            <sz val="14"/>
            <color rgb="FFFF0000"/>
            <rFont val="Times New Roman"/>
            <family val="18"/>
          </rPr>
          <t xml:space="preserve"> </t>
        </r>
        <r>
          <rPr>
            <i/>
            <sz val="14"/>
            <color rgb="FFFF0000"/>
            <rFont val="Times New Roman"/>
            <family val="18"/>
          </rPr>
          <t>assentiert</t>
        </r>
        <r>
          <rPr>
            <sz val="14"/>
            <color rgb="FFFF0000"/>
            <rFont val="Times New Roman"/>
            <family val="18"/>
          </rPr>
          <t xml:space="preserve"> [TL Aug 1802]</t>
        </r>
        <r>
          <rPr>
            <sz val="14"/>
            <color rgb="FF000000"/>
            <rFont val="Calibri"/>
            <family val="34"/>
          </rPr>
          <t xml:space="preserve">
</t>
        </r>
        <r>
          <rPr>
            <sz val="14"/>
            <color rgb="FF000000"/>
            <rFont val="Times New Roman"/>
            <family val="18"/>
          </rPr>
          <t xml:space="preserve">13/02/1801 </t>
        </r>
        <r>
          <rPr>
            <i/>
            <sz val="14"/>
            <color rgb="FF000000"/>
            <rFont val="Times New Roman"/>
            <family val="18"/>
          </rPr>
          <t>von Ständen gestellt und seitdem auf anhero Marsch mit Friedensgebühr</t>
        </r>
        <r>
          <rPr>
            <sz val="14"/>
            <color rgb="FF000000"/>
            <rFont val="Times New Roman"/>
            <family val="18"/>
          </rPr>
          <t xml:space="preserve"> [ST Feb 1801]</t>
        </r>
        <r>
          <rPr>
            <sz val="14"/>
            <color rgb="FF000000"/>
            <rFont val="Calibri"/>
            <family val="34"/>
          </rPr>
          <t xml:space="preserve">
</t>
        </r>
        <r>
          <rPr>
            <sz val="14"/>
            <color rgb="FF000000"/>
            <rFont val="Times New Roman"/>
            <family val="18"/>
          </rPr>
          <t xml:space="preserve">10/06/1801 </t>
        </r>
        <r>
          <rPr>
            <i/>
            <sz val="14"/>
            <color rgb="FF000000"/>
            <rFont val="Times New Roman"/>
            <family val="18"/>
          </rPr>
          <t>In the Reserve Division eingerückt</t>
        </r>
        <r>
          <rPr>
            <sz val="14"/>
            <color rgb="FF000000"/>
            <rFont val="Times New Roman"/>
            <family val="18"/>
          </rPr>
          <t xml:space="preserve"> [ST Juni 1801]</t>
        </r>
        <r>
          <rPr>
            <sz val="14"/>
            <color rgb="FF000000"/>
            <rFont val="Calibri"/>
            <family val="34"/>
          </rPr>
          <t xml:space="preserve">
</t>
        </r>
        <r>
          <rPr>
            <sz val="14"/>
            <color rgb="FF000000"/>
            <rFont val="Times New Roman"/>
            <family val="18"/>
          </rPr>
          <t xml:space="preserve">11/07/1801 </t>
        </r>
        <r>
          <rPr>
            <i/>
            <sz val="14"/>
            <color rgb="FF000000"/>
            <rFont val="Times New Roman"/>
            <family val="18"/>
          </rPr>
          <t>Von Reserve Division ins Haupt Oberburg Komp transferiert</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15/08/1802 </t>
        </r>
        <r>
          <rPr>
            <i/>
            <sz val="14"/>
            <color rgb="FF000000"/>
            <rFont val="Times New Roman"/>
            <family val="18"/>
          </rPr>
          <t>Von Thurn Inf</t>
        </r>
        <r>
          <rPr>
            <sz val="14"/>
            <color rgb="FF000000"/>
            <rFont val="Times New Roman"/>
            <family val="18"/>
          </rPr>
          <t xml:space="preserve"> </t>
        </r>
        <r>
          <rPr>
            <b/>
            <sz val="14"/>
            <color rgb="FF000000"/>
            <rFont val="Times New Roman"/>
            <family val="18"/>
          </rPr>
          <t xml:space="preserve">[IR 43] </t>
        </r>
        <r>
          <rPr>
            <i/>
            <sz val="14"/>
            <color rgb="FF000000"/>
            <rFont val="Times New Roman"/>
            <family val="18"/>
          </rPr>
          <t xml:space="preserve">Frintlos Komp zum IR 44 transferiert und zur Vassy Komp. eingeheilt </t>
        </r>
        <r>
          <rPr>
            <sz val="14"/>
            <color rgb="FF000000"/>
            <rFont val="Times New Roman"/>
            <family val="18"/>
          </rPr>
          <t>[TL Aug 1802]</t>
        </r>
        <r>
          <rPr>
            <sz val="14"/>
            <color rgb="FF000000"/>
            <rFont val="Calibri"/>
            <family val="34"/>
          </rPr>
          <t xml:space="preserve">
</t>
        </r>
        <r>
          <rPr>
            <sz val="14"/>
            <color rgb="FF000000"/>
            <rFont val="Times New Roman"/>
            <family val="18"/>
          </rPr>
          <t>19/09/1803 Muster: IR 44 Haupt Gilleta Nr. 104 [</t>
        </r>
        <r>
          <rPr>
            <i/>
            <sz val="14"/>
            <color rgb="FF000000"/>
            <rFont val="Times New Roman"/>
            <family val="18"/>
          </rPr>
          <t>Auf unbestimmte Urlaub zu Lemberg in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Haupt Gilleta Nr. 92 [</t>
        </r>
        <r>
          <rPr>
            <i/>
            <sz val="14"/>
            <color rgb="FF000000"/>
            <rFont val="Times New Roman"/>
            <family val="18"/>
          </rPr>
          <t>Beurlaubt in Rastan in Ost Galizien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Als unwissend Verloren in abgang</t>
        </r>
        <r>
          <rPr>
            <sz val="14"/>
            <color rgb="FF000000"/>
            <rFont val="Times New Roman"/>
            <family val="18"/>
          </rPr>
          <t xml:space="preserve"> [ML 1806]</t>
        </r>
        <r>
          <rPr>
            <sz val="14"/>
            <color rgb="FF000000"/>
            <rFont val="Calibri"/>
            <family val="34"/>
          </rPr>
          <t xml:space="preserve">
</t>
        </r>
      </text>
    </comment>
    <comment ref="BG430" authorId="0" shapeId="0" xr:uid="{4580DAC8-80AB-274D-A558-1F6DFE46B3E9}">
      <text>
        <r>
          <rPr>
            <sz val="14"/>
            <color rgb="FF000000"/>
            <rFont val="Times New Roman"/>
            <family val="18"/>
          </rPr>
          <t xml:space="preserve">ML 10.311 IR 43 (1801) – ST Feb (28/09/1804), Juni (20/06/1805), Juli (08/07/1805)
</t>
        </r>
        <r>
          <rPr>
            <sz val="14"/>
            <color rgb="FF000000"/>
            <rFont val="Times New Roman"/>
            <family val="18"/>
          </rPr>
          <t xml:space="preserve">ML 10.312 IR 43 (1802) – ST Aug (15/09/1802)
</t>
        </r>
        <r>
          <rPr>
            <sz val="14"/>
            <color rgb="FF000000"/>
            <rFont val="Times New Roman"/>
            <family val="18"/>
          </rPr>
          <t xml:space="preserve">ML 3908 IR 44 (1803) – Haupt Gilleta Komp. Nr. 104 (Venice 19/09/1803)
</t>
        </r>
        <r>
          <rPr>
            <sz val="14"/>
            <color rgb="FF000000"/>
            <rFont val="Times New Roman"/>
            <family val="18"/>
          </rPr>
          <t xml:space="preserve">ML 3909 IR 44 (1804) – Haupt Gilleta Komp. Nr. 92 (Vicenza 12/05/1804)
</t>
        </r>
        <r>
          <rPr>
            <sz val="14"/>
            <color rgb="FF000000"/>
            <rFont val="Times New Roman"/>
            <family val="18"/>
          </rPr>
          <t xml:space="preserve">ML 3910 IR 44 (1806) – CaptLt. Czwich Abgang (Fiume 10/12/1806)
</t>
        </r>
        <r>
          <rPr>
            <sz val="14"/>
            <color rgb="FF000000"/>
            <rFont val="Times New Roman"/>
            <family val="18"/>
          </rPr>
          <t>ML 3946 IR 44 (1802) – AL IR 43-&gt; IR 43 Nr. 56 (Zara 14/08/1802)</t>
        </r>
      </text>
    </comment>
    <comment ref="BH430" authorId="0" shapeId="0" xr:uid="{462599D0-1BFF-574E-998B-BB314FB82061}">
      <text>
        <r>
          <rPr>
            <sz val="14"/>
            <color rgb="FF000000"/>
            <rFont val="Calibri"/>
            <family val="34"/>
          </rPr>
          <t xml:space="preserve">IR 43 (1801-1802)
</t>
        </r>
        <r>
          <rPr>
            <sz val="14"/>
            <color rgb="FF000000"/>
            <rFont val="Calibri"/>
            <family val="34"/>
          </rPr>
          <t>IR 44 (1802-1806)</t>
        </r>
      </text>
    </comment>
    <comment ref="BI430" authorId="0" shapeId="0" xr:uid="{5F61BD46-849A-1D4F-8216-531A158446BF}">
      <text>
        <r>
          <rPr>
            <sz val="14"/>
            <color rgb="FF000000"/>
            <rFont val="Calibri"/>
            <family val="34"/>
          </rPr>
          <t>Gut [TL Aug 1802]</t>
        </r>
      </text>
    </comment>
    <comment ref="BF431" authorId="0" shapeId="0" xr:uid="{4ECE6782-F6FC-7745-BF30-53C149D2AE04}">
      <text>
        <r>
          <rPr>
            <sz val="14"/>
            <color rgb="FF000000"/>
            <rFont val="Times New Roman"/>
            <family val="18"/>
          </rPr>
          <t xml:space="preserve">14/02/1801 </t>
        </r>
        <r>
          <rPr>
            <i/>
            <sz val="14"/>
            <color rgb="FF000000"/>
            <rFont val="Times New Roman"/>
            <family val="18"/>
          </rPr>
          <t>In die IR 43 assentiert ohne Capitulation</t>
        </r>
        <r>
          <rPr>
            <sz val="14"/>
            <color rgb="FF000000"/>
            <rFont val="Times New Roman"/>
            <family val="18"/>
          </rPr>
          <t xml:space="preserve"> [ML 1804]</t>
        </r>
        <r>
          <rPr>
            <sz val="14"/>
            <color rgb="FF000000"/>
            <rFont val="Calibri"/>
            <family val="34"/>
          </rPr>
          <t xml:space="preserve">
</t>
        </r>
        <r>
          <rPr>
            <sz val="14"/>
            <color rgb="FF000000"/>
            <rFont val="Times New Roman"/>
            <family val="18"/>
          </rPr>
          <t xml:space="preserve">18/05/1801 </t>
        </r>
        <r>
          <rPr>
            <i/>
            <sz val="14"/>
            <color rgb="FF000000"/>
            <rFont val="Times New Roman"/>
            <family val="18"/>
          </rPr>
          <t xml:space="preserve">Von IR 43 ‚Reserve Division‘ ins IR 45 Lattermann transferiert </t>
        </r>
        <r>
          <rPr>
            <sz val="14"/>
            <color rgb="FF000000"/>
            <rFont val="Times New Roman"/>
            <family val="18"/>
          </rPr>
          <t>[ST May 1801]</t>
        </r>
        <r>
          <rPr>
            <sz val="14"/>
            <color rgb="FF000000"/>
            <rFont val="Calibri"/>
            <family val="34"/>
          </rPr>
          <t xml:space="preserve">
</t>
        </r>
        <r>
          <rPr>
            <sz val="14"/>
            <color rgb="FF000000"/>
            <rFont val="Times New Roman"/>
            <family val="18"/>
          </rPr>
          <t>16/08/1802 Musterung: IR 45 Haupt Fischer Nr. 108 [</t>
        </r>
        <r>
          <rPr>
            <i/>
            <sz val="14"/>
            <color rgb="FF000000"/>
            <rFont val="Times New Roman"/>
            <family val="18"/>
          </rPr>
          <t>Auf Anhero Marsch aus Neumarkt</t>
        </r>
        <r>
          <rPr>
            <sz val="14"/>
            <color rgb="FF000000"/>
            <rFont val="Times New Roman"/>
            <family val="18"/>
          </rPr>
          <t>]</t>
        </r>
        <r>
          <rPr>
            <sz val="14"/>
            <color rgb="FF000000"/>
            <rFont val="Calibri"/>
            <family val="34"/>
          </rPr>
          <t xml:space="preserve">
</t>
        </r>
        <r>
          <rPr>
            <sz val="14"/>
            <color rgb="FF000000"/>
            <rFont val="Times New Roman"/>
            <family val="18"/>
          </rPr>
          <t>23/09/1804 Musterung: IR 45 Haupt Fischer Nr. 81 [</t>
        </r>
        <r>
          <rPr>
            <i/>
            <sz val="14"/>
            <color rgb="FF000000"/>
            <rFont val="Times New Roman"/>
            <family val="18"/>
          </rPr>
          <t>Beurlaubt bis Zur Einberufung nach Olesko Zloczower Kreis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30/11/1804 </t>
        </r>
        <r>
          <rPr>
            <i/>
            <sz val="14"/>
            <color rgb="FF000000"/>
            <rFont val="Times New Roman"/>
            <family val="18"/>
          </rPr>
          <t>Von Urlaub ohne Feuergewehr von Unbestimmte Urlaub desertiert, und hat selber vermög Schreibens des Coburgischen Werb Commando keine Vermögen zurück gelassen</t>
        </r>
        <r>
          <rPr>
            <sz val="14"/>
            <color rgb="FF000000"/>
            <rFont val="Times New Roman"/>
            <family val="18"/>
          </rPr>
          <t xml:space="preserve"> [ST Jan 1805 &amp; ML 1806] </t>
        </r>
      </text>
    </comment>
    <comment ref="BG431" authorId="0" shapeId="0" xr:uid="{D5345BE9-33C7-F94F-8A1A-0641D8CE6A16}">
      <text>
        <r>
          <rPr>
            <sz val="14"/>
            <color rgb="FF000000"/>
            <rFont val="Times New Roman"/>
            <family val="18"/>
          </rPr>
          <t>ML 10.311 IR 43 (1801) – ST Mai (10/03/1805)</t>
        </r>
        <r>
          <rPr>
            <sz val="14"/>
            <color rgb="FF000000"/>
            <rFont val="Calibri"/>
            <family val="34"/>
          </rPr>
          <t xml:space="preserve">
</t>
        </r>
        <r>
          <rPr>
            <sz val="14"/>
            <color rgb="FF000000"/>
            <rFont val="Times New Roman"/>
            <family val="18"/>
          </rPr>
          <t>ML 10.344 IR 45 (1802) – Haupt Fischer Nr. 108 (Zara 16/08/1802)</t>
        </r>
        <r>
          <rPr>
            <sz val="14"/>
            <color rgb="FF000000"/>
            <rFont val="Calibri"/>
            <family val="34"/>
          </rPr>
          <t xml:space="preserve">
</t>
        </r>
        <r>
          <rPr>
            <sz val="14"/>
            <color rgb="FF000000"/>
            <rFont val="Times New Roman"/>
            <family val="18"/>
          </rPr>
          <t>ML 10.345 IR 45 (1804) – Haupt Fischer Nr. 81 (Macarska 23/09/1804)</t>
        </r>
        <r>
          <rPr>
            <sz val="14"/>
            <color rgb="FF000000"/>
            <rFont val="Calibri"/>
            <family val="34"/>
          </rPr>
          <t xml:space="preserve">
</t>
        </r>
        <r>
          <rPr>
            <sz val="14"/>
            <color rgb="FF000000"/>
            <rFont val="Times New Roman"/>
            <family val="18"/>
          </rPr>
          <t>ML 10.346/7 IR 45 (1806) – Dissolvierte Haupt Fischer Komp. Abgang (Leoben 18/12/1806)</t>
        </r>
        <r>
          <rPr>
            <sz val="14"/>
            <color rgb="FF000000"/>
            <rFont val="Calibri"/>
            <family val="34"/>
          </rPr>
          <t xml:space="preserve">
</t>
        </r>
        <r>
          <rPr>
            <sz val="14"/>
            <color rgb="FF000000"/>
            <rFont val="Times New Roman"/>
            <family val="18"/>
          </rPr>
          <t>ML 10.372 IR 45 (1805) – ST Jän (Graz 29/03/1805)</t>
        </r>
        <r>
          <rPr>
            <sz val="14"/>
            <color rgb="FF000000"/>
            <rFont val="Calibri"/>
            <family val="34"/>
          </rPr>
          <t xml:space="preserve">
</t>
        </r>
      </text>
    </comment>
    <comment ref="BH431" authorId="0" shapeId="0" xr:uid="{BCE245B9-4B15-CA46-9EA4-485D57634541}">
      <text>
        <r>
          <rPr>
            <sz val="14"/>
            <color rgb="FF000000"/>
            <rFont val="Calibri"/>
            <family val="34"/>
          </rPr>
          <t xml:space="preserve">IR 43 (1801)
</t>
        </r>
        <r>
          <rPr>
            <sz val="14"/>
            <color rgb="FF000000"/>
            <rFont val="Calibri"/>
            <family val="34"/>
          </rPr>
          <t>IR 44 (1802-1804)</t>
        </r>
      </text>
    </comment>
    <comment ref="BF432" authorId="0" shapeId="0" xr:uid="{C23B57D3-1275-734E-A1D7-1E6CB5A5920D}">
      <text>
        <r>
          <rPr>
            <sz val="14"/>
            <color rgb="FF000000"/>
            <rFont val="Times New Roman"/>
            <family val="18"/>
          </rPr>
          <t xml:space="preserve">15/02/1801 </t>
        </r>
        <r>
          <rPr>
            <i/>
            <sz val="14"/>
            <color rgb="FF000000"/>
            <rFont val="Times New Roman"/>
            <family val="18"/>
          </rPr>
          <t>Zu Sanok a 3Fl für beständig zu Kerpen</t>
        </r>
        <r>
          <rPr>
            <sz val="14"/>
            <color rgb="FF000000"/>
            <rFont val="Times New Roman"/>
            <family val="18"/>
          </rPr>
          <t xml:space="preserve"> </t>
        </r>
        <r>
          <rPr>
            <b/>
            <sz val="14"/>
            <color rgb="FF000000"/>
            <rFont val="Times New Roman"/>
            <family val="18"/>
          </rPr>
          <t>[IR 49]</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01/04/1802 </t>
        </r>
        <r>
          <rPr>
            <i/>
            <sz val="14"/>
            <color rgb="FF000000"/>
            <rFont val="Times New Roman"/>
            <family val="18"/>
          </rPr>
          <t>Auf unbestimmte Urlaub</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01/08/1802 </t>
        </r>
        <r>
          <rPr>
            <i/>
            <sz val="14"/>
            <color rgb="FF000000"/>
            <rFont val="Times New Roman"/>
            <family val="18"/>
          </rPr>
          <t>Von IR 49 Kerpen zum IR 59 transferiert</t>
        </r>
        <r>
          <rPr>
            <sz val="14"/>
            <color rgb="FF000000"/>
            <rFont val="Times New Roman"/>
            <family val="18"/>
          </rPr>
          <t xml:space="preserve"> [ML 1803]</t>
        </r>
        <r>
          <rPr>
            <sz val="14"/>
            <color rgb="FF000000"/>
            <rFont val="Calibri"/>
            <family val="34"/>
          </rPr>
          <t xml:space="preserve">
</t>
        </r>
        <r>
          <rPr>
            <sz val="14"/>
            <color rgb="FF000000"/>
            <rFont val="Times New Roman"/>
            <family val="18"/>
          </rPr>
          <t>30/08/1803 Muster: IR 59 Haupt Lebzelten Nr. 129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05/09/1804 Muster: IR 59 Haupt Lebzelten Nr. 116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Urlaub ausgebliebene als unwissend verloren in Abgang</t>
        </r>
        <r>
          <rPr>
            <sz val="14"/>
            <color rgb="FF000000"/>
            <rFont val="Times New Roman"/>
            <family val="18"/>
          </rPr>
          <t xml:space="preserve"> [ML 1806]</t>
        </r>
        <r>
          <rPr>
            <sz val="14"/>
            <color rgb="FF000000"/>
            <rFont val="Calibri"/>
            <family val="34"/>
          </rPr>
          <t xml:space="preserve">
</t>
        </r>
      </text>
    </comment>
    <comment ref="BG432" authorId="0" shapeId="0" xr:uid="{30A23E03-AE7E-3047-AA56-B69FB5246369}">
      <text>
        <r>
          <rPr>
            <sz val="14"/>
            <color rgb="FF000000"/>
            <rFont val="Times New Roman"/>
            <family val="18"/>
          </rPr>
          <t>ML 5015 IR 59 (1803) – Haupt. Lebzelten Komp. Nr. 129 (Wells 30/08/1803)</t>
        </r>
        <r>
          <rPr>
            <sz val="14"/>
            <color rgb="FF000000"/>
            <rFont val="Calibri"/>
            <family val="34"/>
          </rPr>
          <t xml:space="preserve">
</t>
        </r>
        <r>
          <rPr>
            <sz val="14"/>
            <color rgb="FF000000"/>
            <rFont val="Times New Roman"/>
            <family val="18"/>
          </rPr>
          <t>ML 5015 IR 59 (1804) – Haupt. Lebzelten Komp. Nr. 116 (Mills bei Hall 05/09/1804)</t>
        </r>
        <r>
          <rPr>
            <sz val="14"/>
            <color rgb="FF000000"/>
            <rFont val="Calibri"/>
            <family val="34"/>
          </rPr>
          <t xml:space="preserve">
</t>
        </r>
        <r>
          <rPr>
            <sz val="14"/>
            <color rgb="FF000000"/>
            <rFont val="Times New Roman"/>
            <family val="18"/>
          </rPr>
          <t>ML 5017/8 IR 59 (1806) – 15. Fus. Komp. (Freistadt 22/12/1806), Cons.Unwissend verlohren Nr. 338 (Linz 10/07/1807)</t>
        </r>
        <r>
          <rPr>
            <sz val="14"/>
            <color rgb="FF000000"/>
            <rFont val="Calibri"/>
            <family val="34"/>
          </rPr>
          <t xml:space="preserve">
</t>
        </r>
      </text>
    </comment>
    <comment ref="BH432" authorId="0" shapeId="0" xr:uid="{64D475BA-F3A0-A245-8551-CD07B4289781}">
      <text>
        <r>
          <rPr>
            <sz val="14"/>
            <color rgb="FF000000"/>
            <rFont val="Calibri"/>
            <family val="34"/>
          </rPr>
          <t xml:space="preserve">IR 49 (1801-1802)
</t>
        </r>
        <r>
          <rPr>
            <sz val="14"/>
            <color rgb="FF000000"/>
            <rFont val="Calibri"/>
            <family val="34"/>
          </rPr>
          <t>IR 59 (1802-1806)</t>
        </r>
      </text>
    </comment>
    <comment ref="BF433" authorId="0" shapeId="0" xr:uid="{160BE4EC-3DC7-4C41-A81C-8C99D97396BA}">
      <text>
        <r>
          <rPr>
            <sz val="14"/>
            <color rgb="FF000000"/>
            <rFont val="Times New Roman"/>
            <family val="18"/>
          </rPr>
          <t xml:space="preserve">18/02/1801 </t>
        </r>
        <r>
          <rPr>
            <i/>
            <sz val="14"/>
            <color rgb="FF000000"/>
            <rFont val="Times New Roman"/>
            <family val="18"/>
          </rPr>
          <t>Auf Beständig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bestimmte Urlaub desertiert</t>
        </r>
        <r>
          <rPr>
            <sz val="14"/>
            <color rgb="FF000000"/>
            <rFont val="Times New Roman"/>
            <family val="18"/>
          </rPr>
          <t xml:space="preserve"> [ML 1803] </t>
        </r>
      </text>
    </comment>
    <comment ref="BG433" authorId="0" shapeId="0" xr:uid="{FAD9C148-5A10-EC44-B206-C0B84846D62A}">
      <text>
        <r>
          <rPr>
            <sz val="14"/>
            <color rgb="FF000000"/>
            <rFont val="Times New Roman"/>
            <family val="18"/>
          </rPr>
          <t>30/08/1803 Muster: IR 59 Haupt Lebzelten Komp. Abgang (Wells, 30/08/1803)</t>
        </r>
        <r>
          <rPr>
            <sz val="14"/>
            <color rgb="FF000000"/>
            <rFont val="Calibri"/>
            <family val="34"/>
          </rPr>
          <t xml:space="preserve">
</t>
        </r>
      </text>
    </comment>
    <comment ref="BH433" authorId="0" shapeId="0" xr:uid="{68CB170B-385C-184B-A2D0-3B5B3317E4F0}">
      <text>
        <r>
          <rPr>
            <sz val="14"/>
            <color rgb="FF000000"/>
            <rFont val="Calibri"/>
            <family val="34"/>
          </rPr>
          <t>IR 59 (1801-1803)</t>
        </r>
      </text>
    </comment>
    <comment ref="B434" authorId="0" shapeId="0" xr:uid="{698A9BA1-60FD-1D4C-A156-03D89B643037}">
      <text>
        <r>
          <rPr>
            <sz val="14"/>
            <color rgb="FF000000"/>
            <rFont val="+mn-lt"/>
            <charset val="1"/>
          </rPr>
          <t xml:space="preserve">Pinkas/Primu/ Binko SICHER/STÖHR/STEHER </t>
        </r>
      </text>
    </comment>
    <comment ref="T434" authorId="0" shapeId="0" xr:uid="{983DBAA2-9E20-304E-A10F-22F81514A513}">
      <text>
        <r>
          <rPr>
            <sz val="14"/>
            <color rgb="FF000000"/>
            <rFont val="Calibri"/>
            <family val="34"/>
          </rPr>
          <t xml:space="preserve">166.33 (1802)
</t>
        </r>
        <r>
          <rPr>
            <sz val="14"/>
            <color rgb="FF000000"/>
            <rFont val="Calibri"/>
            <family val="34"/>
          </rPr>
          <t>166.5 (1803-17)</t>
        </r>
      </text>
    </comment>
    <comment ref="BF434" authorId="0" shapeId="0" xr:uid="{A9475E54-E211-E740-87B2-9A3796D566A1}">
      <text>
        <r>
          <rPr>
            <sz val="14"/>
            <color rgb="FFFF0000"/>
            <rFont val="Times New Roman"/>
            <family val="18"/>
          </rPr>
          <t xml:space="preserve">11/02/1801 </t>
        </r>
        <r>
          <rPr>
            <i/>
            <sz val="14"/>
            <color rgb="FFFF0000"/>
            <rFont val="Times New Roman"/>
            <family val="18"/>
          </rPr>
          <t>Von Ständen a 3Fl Handgeld gestellt</t>
        </r>
        <r>
          <rPr>
            <sz val="14"/>
            <color rgb="FFFF0000"/>
            <rFont val="Times New Roman"/>
            <family val="18"/>
          </rPr>
          <t xml:space="preserve"> [ML 1802-6]</t>
        </r>
        <r>
          <rPr>
            <sz val="14"/>
            <color rgb="FF000000"/>
            <rFont val="Calibri"/>
            <family val="34"/>
          </rPr>
          <t xml:space="preserve">
</t>
        </r>
        <r>
          <rPr>
            <sz val="14"/>
            <color rgb="FF000000"/>
            <rFont val="Times New Roman"/>
            <family val="18"/>
          </rPr>
          <t xml:space="preserve">21/02/1801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Reserve Division in Haupt Basta Comp. Transferiert</t>
        </r>
        <r>
          <rPr>
            <sz val="14"/>
            <color rgb="FF000000"/>
            <rFont val="Times New Roman"/>
            <family val="18"/>
          </rPr>
          <t xml:space="preserve"> [ST Oct 1801]</t>
        </r>
        <r>
          <rPr>
            <sz val="14"/>
            <color rgb="FF000000"/>
            <rFont val="Calibri"/>
            <family val="34"/>
          </rPr>
          <t xml:space="preserve">
</t>
        </r>
        <r>
          <rPr>
            <sz val="14"/>
            <color rgb="FF000000"/>
            <rFont val="Times New Roman"/>
            <family val="18"/>
          </rPr>
          <t>21/08/1802 Muster: IR 43 Haupt Basta Nr. 163</t>
        </r>
        <r>
          <rPr>
            <sz val="14"/>
            <color rgb="FF000000"/>
            <rFont val="Calibri"/>
            <family val="34"/>
          </rPr>
          <t xml:space="preserve">
</t>
        </r>
        <r>
          <rPr>
            <sz val="14"/>
            <color rgb="FF000000"/>
            <rFont val="Times New Roman"/>
            <family val="18"/>
          </rPr>
          <t>08/11/1803 Muster: IR 43 Haupt Ellison Nr. 141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 xml:space="preserve">31/10/1803 </t>
        </r>
        <r>
          <rPr>
            <i/>
            <sz val="14"/>
            <color rgb="FF000000"/>
            <rFont val="Times New Roman"/>
            <family val="18"/>
          </rPr>
          <t>Von Haupt Ellison zum Haupt Rugieri Comp transferiert</t>
        </r>
        <r>
          <rPr>
            <sz val="14"/>
            <color rgb="FF000000"/>
            <rFont val="Times New Roman"/>
            <family val="18"/>
          </rPr>
          <t xml:space="preserve"> [ST Nov 1803]</t>
        </r>
        <r>
          <rPr>
            <sz val="14"/>
            <color rgb="FF000000"/>
            <rFont val="Calibri"/>
            <family val="34"/>
          </rPr>
          <t xml:space="preserve">
</t>
        </r>
        <r>
          <rPr>
            <sz val="14"/>
            <color rgb="FF000000"/>
            <rFont val="Times New Roman"/>
            <family val="18"/>
          </rPr>
          <t>05/10/1804 Muster: IR 43 Haupt Raina Comp Nr. 156 [</t>
        </r>
        <r>
          <rPr>
            <i/>
            <sz val="14"/>
            <color rgb="FF000000"/>
            <rFont val="Times New Roman"/>
            <family val="18"/>
          </rPr>
          <t>Zu Cattaro Passiert</t>
        </r>
        <r>
          <rPr>
            <sz val="14"/>
            <color rgb="FF000000"/>
            <rFont val="Times New Roman"/>
            <family val="18"/>
          </rPr>
          <t>]</t>
        </r>
        <r>
          <rPr>
            <sz val="14"/>
            <color rgb="FF000000"/>
            <rFont val="Calibri"/>
            <family val="34"/>
          </rPr>
          <t xml:space="preserve">
</t>
        </r>
        <r>
          <rPr>
            <sz val="14"/>
            <color rgb="FF000000"/>
            <rFont val="Times New Roman"/>
            <family val="18"/>
          </rPr>
          <t>25/10/1805 Muster: IR 43 11. Fus Comp Nr. 143</t>
        </r>
        <r>
          <rPr>
            <sz val="14"/>
            <color rgb="FF000000"/>
            <rFont val="Calibri"/>
            <family val="34"/>
          </rPr>
          <t xml:space="preserve">
</t>
        </r>
        <r>
          <rPr>
            <sz val="14"/>
            <color rgb="FF000000"/>
            <rFont val="Times New Roman"/>
            <family val="18"/>
          </rPr>
          <t>01/12/1806 Musterung: IR 43 15. Fus Comp Nr. 95</t>
        </r>
        <r>
          <rPr>
            <sz val="14"/>
            <color rgb="FF000000"/>
            <rFont val="Calibri"/>
            <family val="34"/>
          </rPr>
          <t xml:space="preserve">
</t>
        </r>
        <r>
          <rPr>
            <sz val="14"/>
            <color rgb="FF000000"/>
            <rFont val="Times New Roman"/>
            <family val="18"/>
          </rPr>
          <t xml:space="preserve">06/08/1807 </t>
        </r>
        <r>
          <rPr>
            <i/>
            <sz val="14"/>
            <color rgb="FF000000"/>
            <rFont val="Times New Roman"/>
            <family val="18"/>
          </rPr>
          <t>Auf Ritt Nach Graz</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15/08/1807 </t>
        </r>
        <r>
          <rPr>
            <i/>
            <sz val="14"/>
            <color rgb="FF000000"/>
            <rFont val="Times New Roman"/>
            <family val="18"/>
          </rPr>
          <t>Wieder Zurück</t>
        </r>
        <r>
          <rPr>
            <sz val="14"/>
            <color rgb="FF000000"/>
            <rFont val="Times New Roman"/>
            <family val="18"/>
          </rPr>
          <t xml:space="preserve"> [ST Aug 1807]</t>
        </r>
        <r>
          <rPr>
            <sz val="14"/>
            <color rgb="FF000000"/>
            <rFont val="Calibri"/>
            <family val="34"/>
          </rPr>
          <t xml:space="preserve">
</t>
        </r>
        <r>
          <rPr>
            <sz val="14"/>
            <color rgb="FF000000"/>
            <rFont val="Times New Roman"/>
            <family val="18"/>
          </rPr>
          <t xml:space="preserve">31/01/1808 </t>
        </r>
        <r>
          <rPr>
            <i/>
            <sz val="14"/>
            <color rgb="FF000000"/>
            <rFont val="Times New Roman"/>
            <family val="18"/>
          </rPr>
          <t xml:space="preserve">Transferiert von IR 43 zum Krain-kärntische Grenzcordon </t>
        </r>
        <r>
          <rPr>
            <sz val="14"/>
            <color rgb="FF000000"/>
            <rFont val="Times New Roman"/>
            <family val="18"/>
          </rPr>
          <t>[ST Feb 1808 &amp; ML 1808]</t>
        </r>
        <r>
          <rPr>
            <sz val="14"/>
            <color rgb="FF000000"/>
            <rFont val="Calibri"/>
            <family val="34"/>
          </rPr>
          <t xml:space="preserve">
</t>
        </r>
        <r>
          <rPr>
            <sz val="14"/>
            <color rgb="FF000000"/>
            <rFont val="Times New Roman"/>
            <family val="18"/>
          </rPr>
          <t xml:space="preserve">21/05/1809 </t>
        </r>
        <r>
          <rPr>
            <i/>
            <sz val="14"/>
            <color rgb="FF000000"/>
            <rFont val="Times New Roman"/>
            <family val="18"/>
          </rPr>
          <t>In die Feindliche Kriegsgefangenschaft gefallen</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26/10/1814 </t>
        </r>
        <r>
          <rPr>
            <i/>
            <sz val="14"/>
            <color rgb="FF000000"/>
            <rFont val="Times New Roman"/>
            <family val="18"/>
          </rPr>
          <t>Aus der Kriegsgefangenschaft zurückgelegt in Zuwachs genommen und zum Innerösterreichische Militär Grenz Kordon zugeteilt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01/07/1816 </t>
        </r>
        <r>
          <rPr>
            <i/>
            <sz val="14"/>
            <color rgb="FF000000"/>
            <rFont val="Times New Roman"/>
            <family val="18"/>
          </rPr>
          <t>Ohne entgeltlich des allerhöchstens Arary auf Beständig reengagiert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13/09/1817 Muster: GK IÖ 6. Comp Nr. 90</t>
        </r>
        <r>
          <rPr>
            <sz val="14"/>
            <color rgb="FF000000"/>
            <rFont val="Calibri"/>
            <family val="34"/>
          </rPr>
          <t xml:space="preserve">
</t>
        </r>
        <r>
          <rPr>
            <sz val="14"/>
            <color rgb="FF000000"/>
            <rFont val="Times New Roman"/>
            <family val="18"/>
          </rPr>
          <t>22/09/1818 Muster: GK IÖ 6. Comp Nr. 79</t>
        </r>
        <r>
          <rPr>
            <sz val="14"/>
            <color rgb="FF000000"/>
            <rFont val="Calibri"/>
            <family val="34"/>
          </rPr>
          <t xml:space="preserve">
</t>
        </r>
        <r>
          <rPr>
            <sz val="14"/>
            <color rgb="FF000000"/>
            <rFont val="Times New Roman"/>
            <family val="18"/>
          </rPr>
          <t>18/10/1819 Muster: GK IÖ 6. Comp Nr. 75</t>
        </r>
        <r>
          <rPr>
            <sz val="14"/>
            <color rgb="FF000000"/>
            <rFont val="Calibri"/>
            <family val="34"/>
          </rPr>
          <t xml:space="preserve">
</t>
        </r>
        <r>
          <rPr>
            <sz val="14"/>
            <color rgb="FF000000"/>
            <rFont val="Times New Roman"/>
            <family val="18"/>
          </rPr>
          <t>21/07/1820 Muster: GK IÖ 6. Comp Nr. 59</t>
        </r>
        <r>
          <rPr>
            <sz val="14"/>
            <color rgb="FF000000"/>
            <rFont val="Calibri"/>
            <family val="34"/>
          </rPr>
          <t xml:space="preserve">
</t>
        </r>
      </text>
    </comment>
    <comment ref="BG434" authorId="0" shapeId="0" xr:uid="{4D86E313-6B42-434E-A5FA-2BD6E154F475}">
      <text>
        <r>
          <rPr>
            <sz val="14"/>
            <color rgb="FF000000"/>
            <rFont val="Times New Roman"/>
            <family val="18"/>
          </rPr>
          <t>ML 10.272 IR 43 (1802) – Haupt Basta Nr. 162 (Risano 21/08/1802)</t>
        </r>
        <r>
          <rPr>
            <sz val="14"/>
            <color rgb="FF000000"/>
            <rFont val="Calibri"/>
            <family val="34"/>
          </rPr>
          <t xml:space="preserve">
</t>
        </r>
        <r>
          <rPr>
            <sz val="14"/>
            <color rgb="FF000000"/>
            <rFont val="Times New Roman"/>
            <family val="18"/>
          </rPr>
          <t>ML 10.273 IR 43 (1803) – Haupt Ellison Nr. 141 (Sign 08/11/1803)</t>
        </r>
        <r>
          <rPr>
            <sz val="14"/>
            <color rgb="FF000000"/>
            <rFont val="Calibri"/>
            <family val="34"/>
          </rPr>
          <t xml:space="preserve">
</t>
        </r>
        <r>
          <rPr>
            <sz val="14"/>
            <color rgb="FF000000"/>
            <rFont val="Times New Roman"/>
            <family val="18"/>
          </rPr>
          <t>ML 10.274 IR 43 (1804) – Haupt Raina Comp Nr. 156 (Theodo 05/10/1804)</t>
        </r>
        <r>
          <rPr>
            <sz val="14"/>
            <color rgb="FF000000"/>
            <rFont val="Calibri"/>
            <family val="34"/>
          </rPr>
          <t xml:space="preserve">
</t>
        </r>
        <r>
          <rPr>
            <sz val="14"/>
            <color rgb="FF000000"/>
            <rFont val="Times New Roman"/>
            <family val="18"/>
          </rPr>
          <t>ML 10.275/6 IR 43 (1805) – 11. Fus Comp Nr. 143 (Lesina 25/10/1805)</t>
        </r>
        <r>
          <rPr>
            <sz val="14"/>
            <color rgb="FF000000"/>
            <rFont val="Calibri"/>
            <family val="34"/>
          </rPr>
          <t xml:space="preserve">
</t>
        </r>
        <r>
          <rPr>
            <sz val="14"/>
            <color rgb="FF000000"/>
            <rFont val="Times New Roman"/>
            <family val="18"/>
          </rPr>
          <t>ML 10.277/8 IR 43 (1806) – 15. Fus Comp Nr. 95 (Laibach 01/12/1806)</t>
        </r>
        <r>
          <rPr>
            <sz val="14"/>
            <color rgb="FF000000"/>
            <rFont val="Calibri"/>
            <family val="34"/>
          </rPr>
          <t xml:space="preserve">
</t>
        </r>
        <r>
          <rPr>
            <sz val="14"/>
            <color rgb="FF000000"/>
            <rFont val="Times New Roman"/>
            <family val="18"/>
          </rPr>
          <t>ML 10.279 IR 43 (1808-10) – RL 15. Fus Comp – Abgang (Laibach 06/09/1808)</t>
        </r>
        <r>
          <rPr>
            <sz val="14"/>
            <color rgb="FF000000"/>
            <rFont val="Calibri"/>
            <family val="34"/>
          </rPr>
          <t xml:space="preserve">
</t>
        </r>
        <r>
          <rPr>
            <sz val="14"/>
            <color rgb="FF000000"/>
            <rFont val="Times New Roman"/>
            <family val="18"/>
          </rPr>
          <t>ML 10.311 IR 43 (1801) – ST März (10/10/1804) und Oktober (21/07/1805)</t>
        </r>
        <r>
          <rPr>
            <sz val="14"/>
            <color rgb="FF000000"/>
            <rFont val="Calibri"/>
            <family val="34"/>
          </rPr>
          <t xml:space="preserve">
</t>
        </r>
        <r>
          <rPr>
            <sz val="14"/>
            <color rgb="FF000000"/>
            <rFont val="Times New Roman"/>
            <family val="18"/>
          </rPr>
          <t>ML 10.313 IR 43 (1803) – ST November (15/12/1803)</t>
        </r>
        <r>
          <rPr>
            <sz val="14"/>
            <color rgb="FF000000"/>
            <rFont val="Calibri"/>
            <family val="34"/>
          </rPr>
          <t xml:space="preserve">
</t>
        </r>
        <r>
          <rPr>
            <sz val="14"/>
            <color rgb="FF000000"/>
            <rFont val="Times New Roman"/>
            <family val="18"/>
          </rPr>
          <t>ML 10.319 IR 43 (1807) – ST August (12/09/1897)</t>
        </r>
        <r>
          <rPr>
            <sz val="14"/>
            <color rgb="FF000000"/>
            <rFont val="Calibri"/>
            <family val="34"/>
          </rPr>
          <t xml:space="preserve">
</t>
        </r>
        <r>
          <rPr>
            <sz val="14"/>
            <color rgb="FF000000"/>
            <rFont val="Times New Roman"/>
            <family val="18"/>
          </rPr>
          <t>ML 10.321 IR 43 (1808) – ST Februar (11/03/1808)</t>
        </r>
        <r>
          <rPr>
            <sz val="14"/>
            <color rgb="FF000000"/>
            <rFont val="Calibri"/>
            <family val="34"/>
          </rPr>
          <t xml:space="preserve">
</t>
        </r>
        <r>
          <rPr>
            <sz val="14"/>
            <color rgb="FF000000"/>
            <rFont val="Times New Roman"/>
            <family val="18"/>
          </rPr>
          <t>ML 8784 GK IÖ (1817) – 6. Comp. Nr. 90 (Pettau 13/09/1817)</t>
        </r>
        <r>
          <rPr>
            <sz val="14"/>
            <color rgb="FF000000"/>
            <rFont val="Calibri"/>
            <family val="34"/>
          </rPr>
          <t xml:space="preserve">
</t>
        </r>
        <r>
          <rPr>
            <sz val="14"/>
            <color rgb="FF000000"/>
            <rFont val="Times New Roman"/>
            <family val="18"/>
          </rPr>
          <t>ML 8785 GK IÖ (1818) – 6. Comp. Nr. 79 (Cilly 22/09/1818)</t>
        </r>
        <r>
          <rPr>
            <sz val="14"/>
            <color rgb="FF000000"/>
            <rFont val="Calibri"/>
            <family val="34"/>
          </rPr>
          <t xml:space="preserve">
</t>
        </r>
        <r>
          <rPr>
            <sz val="14"/>
            <color rgb="FF000000"/>
            <rFont val="Times New Roman"/>
            <family val="18"/>
          </rPr>
          <t>ML 8785 GK IÖ (1819) – 6. Comp. Nr. 75 (Cilly 18/10/1819)</t>
        </r>
        <r>
          <rPr>
            <sz val="14"/>
            <color rgb="FF000000"/>
            <rFont val="Calibri"/>
            <family val="34"/>
          </rPr>
          <t xml:space="preserve">
</t>
        </r>
        <r>
          <rPr>
            <sz val="14"/>
            <color rgb="FF000000"/>
            <rFont val="Times New Roman"/>
            <family val="18"/>
          </rPr>
          <t>ML 8785 GK IÖ (1820) – 6. Comp. Nr. 59 (Cilly 21/07/1820)</t>
        </r>
        <r>
          <rPr>
            <sz val="14"/>
            <color rgb="FF000000"/>
            <rFont val="Calibri"/>
            <family val="34"/>
          </rPr>
          <t xml:space="preserve">
</t>
        </r>
      </text>
    </comment>
    <comment ref="BH434" authorId="0" shapeId="0" xr:uid="{557F500E-9D2A-A843-ACE6-1C50F552895C}">
      <text>
        <r>
          <rPr>
            <sz val="14"/>
            <color rgb="FF000000"/>
            <rFont val="Calibri"/>
            <family val="34"/>
          </rPr>
          <t xml:space="preserve">IR 43 (1801-1808)
</t>
        </r>
        <r>
          <rPr>
            <sz val="14"/>
            <color rgb="FF000000"/>
            <rFont val="Calibri"/>
            <family val="34"/>
          </rPr>
          <t xml:space="preserve">GK KrKär (1808-9)
</t>
        </r>
        <r>
          <rPr>
            <sz val="14"/>
            <color rgb="FF000000"/>
            <rFont val="Calibri"/>
            <family val="34"/>
          </rPr>
          <t>GK IÖ (1814-20)</t>
        </r>
      </text>
    </comment>
    <comment ref="CR434" authorId="0" shapeId="0" xr:uid="{59B44F43-AFD4-DC4C-B768-B75F512F1512}">
      <text>
        <r>
          <rPr>
            <sz val="14"/>
            <color rgb="FF000000"/>
            <rFont val="Calibri"/>
            <family val="34"/>
          </rPr>
          <t>1801-17: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1818-20: Katolisch [Mit Namens Anderung] </t>
        </r>
      </text>
    </comment>
    <comment ref="BF435" authorId="0" shapeId="0" xr:uid="{B7915438-D3CE-2249-8995-F340837FF92E}">
      <text>
        <r>
          <rPr>
            <sz val="14"/>
            <color rgb="FF000000"/>
            <rFont val="Times New Roman"/>
            <family val="18"/>
          </rPr>
          <t xml:space="preserve">26/02/1801 </t>
        </r>
        <r>
          <rPr>
            <i/>
            <sz val="14"/>
            <color rgb="FF000000"/>
            <rFont val="Times New Roman"/>
            <family val="18"/>
          </rPr>
          <t>Zu Zaleszik</t>
        </r>
        <r>
          <rPr>
            <sz val="14"/>
            <color rgb="FF000000"/>
            <rFont val="Times New Roman"/>
            <family val="18"/>
          </rPr>
          <t xml:space="preserve"> </t>
        </r>
        <r>
          <rPr>
            <b/>
            <sz val="14"/>
            <color rgb="FF000000"/>
            <rFont val="Times New Roman"/>
            <family val="18"/>
          </rPr>
          <t>[</t>
        </r>
        <r>
          <rPr>
            <b/>
            <u/>
            <sz val="14"/>
            <color rgb="FF0563C1"/>
            <rFont val="Times New Roman"/>
            <family val="18"/>
          </rPr>
          <t>Zaleszczyki, Ukraine</t>
        </r>
        <r>
          <rPr>
            <b/>
            <sz val="14"/>
            <color rgb="FF000000"/>
            <rFont val="Times New Roman"/>
            <family val="18"/>
          </rPr>
          <t>]</t>
        </r>
        <r>
          <rPr>
            <sz val="14"/>
            <color rgb="FF000000"/>
            <rFont val="Times New Roman"/>
            <family val="18"/>
          </rPr>
          <t xml:space="preserve"> </t>
        </r>
        <r>
          <rPr>
            <i/>
            <sz val="14"/>
            <color rgb="FF000000"/>
            <rFont val="Times New Roman"/>
            <family val="18"/>
          </rPr>
          <t>gegen 3Fl auf Beständig assentiert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 xml:space="preserve">21/07/1802 </t>
        </r>
        <r>
          <rPr>
            <i/>
            <sz val="14"/>
            <color rgb="FF000000"/>
            <rFont val="Times New Roman"/>
            <family val="18"/>
          </rPr>
          <t>Von Strassoldo</t>
        </r>
        <r>
          <rPr>
            <sz val="14"/>
            <color rgb="FF000000"/>
            <rFont val="Times New Roman"/>
            <family val="18"/>
          </rPr>
          <t xml:space="preserve"> </t>
        </r>
        <r>
          <rPr>
            <b/>
            <sz val="14"/>
            <color rgb="FF000000"/>
            <rFont val="Times New Roman"/>
            <family val="18"/>
          </rPr>
          <t>[IR 27]</t>
        </r>
        <r>
          <rPr>
            <sz val="14"/>
            <color rgb="FF000000"/>
            <rFont val="Times New Roman"/>
            <family val="18"/>
          </rPr>
          <t xml:space="preserve"> </t>
        </r>
        <r>
          <rPr>
            <i/>
            <sz val="14"/>
            <color rgb="FF000000"/>
            <rFont val="Times New Roman"/>
            <family val="18"/>
          </rPr>
          <t>1. Major Komp. zum IR 44 Leib Komp. transferiert</t>
        </r>
        <r>
          <rPr>
            <sz val="14"/>
            <color rgb="FF000000"/>
            <rFont val="Times New Roman"/>
            <family val="18"/>
          </rPr>
          <t xml:space="preserve"> [TL Aug 1802]</t>
        </r>
        <r>
          <rPr>
            <sz val="14"/>
            <color rgb="FF000000"/>
            <rFont val="Calibri"/>
            <family val="34"/>
          </rPr>
          <t xml:space="preserve">
</t>
        </r>
        <r>
          <rPr>
            <sz val="14"/>
            <color rgb="FF000000"/>
            <rFont val="Times New Roman"/>
            <family val="18"/>
          </rPr>
          <t>19/09/1803 Muster: IR 44 Lieb Komp. Nr. 98 [</t>
        </r>
        <r>
          <rPr>
            <i/>
            <sz val="14"/>
            <color rgb="FF000000"/>
            <rFont val="Times New Roman"/>
            <family val="18"/>
          </rPr>
          <t>Auf unbestimmte Urlaub zu Brody in Galizien</t>
        </r>
        <r>
          <rPr>
            <sz val="14"/>
            <color rgb="FF000000"/>
            <rFont val="Times New Roman"/>
            <family val="18"/>
          </rPr>
          <t>]</t>
        </r>
        <r>
          <rPr>
            <sz val="14"/>
            <color rgb="FF000000"/>
            <rFont val="Calibri"/>
            <family val="34"/>
          </rPr>
          <t xml:space="preserve">
</t>
        </r>
        <r>
          <rPr>
            <sz val="14"/>
            <color rgb="FF000000"/>
            <rFont val="Times New Roman"/>
            <family val="18"/>
          </rPr>
          <t>12/05/1804 Muster: IR 44 Lieb Komp. Nr. 77 [</t>
        </r>
        <r>
          <rPr>
            <i/>
            <sz val="14"/>
            <color rgb="FF000000"/>
            <rFont val="Times New Roman"/>
            <family val="18"/>
          </rPr>
          <t>Beurlaubt bis zur Einberufung zu Brodi in Ost Galizien</t>
        </r>
        <r>
          <rPr>
            <sz val="14"/>
            <color rgb="FF000000"/>
            <rFont val="Times New Roman"/>
            <family val="18"/>
          </rPr>
          <t>]</t>
        </r>
        <r>
          <rPr>
            <sz val="14"/>
            <color rgb="FF000000"/>
            <rFont val="Calibri"/>
            <family val="34"/>
          </rPr>
          <t xml:space="preserve">
</t>
        </r>
        <r>
          <rPr>
            <sz val="14"/>
            <color rgb="FF000000"/>
            <rFont val="Times New Roman"/>
            <family val="18"/>
          </rPr>
          <t xml:space="preserve">30/09/1806 </t>
        </r>
        <r>
          <rPr>
            <i/>
            <sz val="14"/>
            <color rgb="FF000000"/>
            <rFont val="Times New Roman"/>
            <family val="18"/>
          </rPr>
          <t>In Folge hoher Verordnung als unwissend Verloren</t>
        </r>
        <r>
          <rPr>
            <sz val="14"/>
            <color rgb="FF000000"/>
            <rFont val="Times New Roman"/>
            <family val="18"/>
          </rPr>
          <t xml:space="preserve"> [ML 1806]</t>
        </r>
        <r>
          <rPr>
            <sz val="14"/>
            <color rgb="FF000000"/>
            <rFont val="Calibri"/>
            <family val="34"/>
          </rPr>
          <t xml:space="preserve">
</t>
        </r>
      </text>
    </comment>
    <comment ref="BG435" authorId="0" shapeId="0" xr:uid="{7C3B792B-A791-0F4C-BEDC-D3A641F9C251}">
      <text>
        <r>
          <rPr>
            <sz val="14"/>
            <color rgb="FF000000"/>
            <rFont val="Times New Roman"/>
            <family val="18"/>
          </rPr>
          <t>ML 3908 IR 44 (1803) – Lieb Komp. Nr. 98 (Venice 19/09/1803)</t>
        </r>
        <r>
          <rPr>
            <sz val="14"/>
            <color rgb="FF000000"/>
            <rFont val="Calibri"/>
            <family val="34"/>
          </rPr>
          <t xml:space="preserve">
</t>
        </r>
        <r>
          <rPr>
            <sz val="14"/>
            <color rgb="FF000000"/>
            <rFont val="Times New Roman"/>
            <family val="18"/>
          </rPr>
          <t>ML 3909 IR 44 (1804) – Lieb Komp. Nr. 77 (Vicenza 12/05/1804)</t>
        </r>
        <r>
          <rPr>
            <sz val="14"/>
            <color rgb="FF000000"/>
            <rFont val="Calibri"/>
            <family val="34"/>
          </rPr>
          <t xml:space="preserve">
</t>
        </r>
        <r>
          <rPr>
            <sz val="14"/>
            <color rgb="FF000000"/>
            <rFont val="Times New Roman"/>
            <family val="18"/>
          </rPr>
          <t>ML 3910 IR 44 (1806) – Mayer Komp. Abgang (Fiume 10/12/1806)</t>
        </r>
        <r>
          <rPr>
            <sz val="14"/>
            <color rgb="FF000000"/>
            <rFont val="Calibri"/>
            <family val="34"/>
          </rPr>
          <t xml:space="preserve">
</t>
        </r>
        <r>
          <rPr>
            <sz val="14"/>
            <color rgb="FF000000"/>
            <rFont val="Times New Roman"/>
            <family val="18"/>
          </rPr>
          <t>ML 3946 IR 44 (1802) – AL IR 27-&gt; IR 44 Nr. 47 (Graz 10/08/1802)</t>
        </r>
        <r>
          <rPr>
            <sz val="14"/>
            <color rgb="FF000000"/>
            <rFont val="Calibri"/>
            <family val="34"/>
          </rPr>
          <t xml:space="preserve">
</t>
        </r>
      </text>
    </comment>
    <comment ref="BH435" authorId="0" shapeId="0" xr:uid="{538B20DE-E1C6-644C-A305-B6876D5CD73D}">
      <text>
        <r>
          <rPr>
            <sz val="14"/>
            <color rgb="FF000000"/>
            <rFont val="Calibri"/>
            <family val="34"/>
          </rPr>
          <t xml:space="preserve">IR 27 (1801-1802)
</t>
        </r>
        <r>
          <rPr>
            <sz val="14"/>
            <color rgb="FF000000"/>
            <rFont val="Calibri"/>
            <family val="34"/>
          </rPr>
          <t>IR 44 (1802-1806</t>
        </r>
      </text>
    </comment>
    <comment ref="B436" authorId="0" shapeId="0" xr:uid="{38429DB3-9C26-B048-9E30-F2F888A2FDB6}">
      <text>
        <r>
          <rPr>
            <sz val="14"/>
            <color rgb="FF000000"/>
            <rFont val="+mn-lt"/>
            <charset val="1"/>
          </rPr>
          <t xml:space="preserve">Joska BRINDEL/HRINDEL/BRÜNDEL 
</t>
        </r>
        <r>
          <rPr>
            <sz val="14"/>
            <color rgb="FF000000"/>
            <rFont val="+mn-lt"/>
            <charset val="1"/>
          </rPr>
          <t xml:space="preserve">Joseph GRINDEL/ 
</t>
        </r>
        <r>
          <rPr>
            <sz val="14"/>
            <color rgb="FF000000"/>
            <rFont val="+mn-lt"/>
            <charset val="1"/>
          </rPr>
          <t xml:space="preserve">Johann BRIMSLER
</t>
        </r>
      </text>
    </comment>
    <comment ref="T436" authorId="0" shapeId="0" xr:uid="{C0BDE8C2-8E1E-054C-B399-13D07718BB88}">
      <text>
        <r>
          <rPr>
            <sz val="14"/>
            <color rgb="FF000000"/>
            <rFont val="Calibri"/>
            <family val="34"/>
          </rPr>
          <t xml:space="preserve">166.33 (1802-6)
</t>
        </r>
        <r>
          <rPr>
            <sz val="14"/>
            <color rgb="FF000000"/>
            <rFont val="Calibri"/>
            <family val="34"/>
          </rPr>
          <t>169.18 (1810)</t>
        </r>
      </text>
    </comment>
    <comment ref="BF436" authorId="0" shapeId="0" xr:uid="{B7336AFE-6FDE-ED44-A7F2-C92FF5A2BE0F}">
      <text>
        <r>
          <rPr>
            <sz val="14"/>
            <color rgb="FFFF0000"/>
            <rFont val="Times New Roman"/>
            <family val="18"/>
          </rPr>
          <t xml:space="preserve">14/02/1801 </t>
        </r>
        <r>
          <rPr>
            <i/>
            <sz val="14"/>
            <color rgb="FFFF0000"/>
            <rFont val="Times New Roman"/>
            <family val="18"/>
          </rPr>
          <t>Von Ständen gestellt</t>
        </r>
        <r>
          <rPr>
            <sz val="14"/>
            <color rgb="FFFF0000"/>
            <rFont val="Times New Roman"/>
            <family val="18"/>
          </rPr>
          <t xml:space="preserve"> [ML 1802-6]</t>
        </r>
        <r>
          <rPr>
            <sz val="14"/>
            <color rgb="FF000000"/>
            <rFont val="Calibri"/>
            <family val="34"/>
          </rPr>
          <t xml:space="preserve">
</t>
        </r>
        <r>
          <rPr>
            <sz val="14"/>
            <color rgb="FF000000"/>
            <rFont val="Times New Roman"/>
            <family val="18"/>
          </rPr>
          <t xml:space="preserve">01/03/1801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01/10/1801 </t>
        </r>
        <r>
          <rPr>
            <i/>
            <sz val="14"/>
            <color rgb="FF000000"/>
            <rFont val="Times New Roman"/>
            <family val="18"/>
          </rPr>
          <t>Von Reserve Division in Haupt Basta Komp. transferiert</t>
        </r>
        <r>
          <rPr>
            <sz val="14"/>
            <color rgb="FF000000"/>
            <rFont val="Times New Roman"/>
            <family val="18"/>
          </rPr>
          <t xml:space="preserve"> [ST Oct 1801]</t>
        </r>
        <r>
          <rPr>
            <sz val="14"/>
            <color rgb="FF000000"/>
            <rFont val="Calibri"/>
            <family val="34"/>
          </rPr>
          <t xml:space="preserve">
</t>
        </r>
        <r>
          <rPr>
            <sz val="14"/>
            <color rgb="FF000000"/>
            <rFont val="Times New Roman"/>
            <family val="18"/>
          </rPr>
          <t>21/08/1802 Muster: IR 43 Haupt Basta Komp. Nr. 161</t>
        </r>
        <r>
          <rPr>
            <sz val="14"/>
            <color rgb="FF000000"/>
            <rFont val="Calibri"/>
            <family val="34"/>
          </rPr>
          <t xml:space="preserve">
</t>
        </r>
        <r>
          <rPr>
            <sz val="14"/>
            <color rgb="FF000000"/>
            <rFont val="Times New Roman"/>
            <family val="18"/>
          </rPr>
          <t>08/11/1803 Muster: IR 43 Haupt Ellison Komp. Nr. 140 [Krank in Loco Spital]</t>
        </r>
        <r>
          <rPr>
            <sz val="14"/>
            <color rgb="FF000000"/>
            <rFont val="Calibri"/>
            <family val="34"/>
          </rPr>
          <t xml:space="preserve">
</t>
        </r>
        <r>
          <rPr>
            <sz val="14"/>
            <color rgb="FF000000"/>
            <rFont val="Times New Roman"/>
            <family val="18"/>
          </rPr>
          <t>15/09/1804 Muster: IR 43 Haupt Lichtenberg Komp. Nr. 123</t>
        </r>
        <r>
          <rPr>
            <sz val="14"/>
            <color rgb="FF000000"/>
            <rFont val="Calibri"/>
            <family val="34"/>
          </rPr>
          <t xml:space="preserve">
</t>
        </r>
        <r>
          <rPr>
            <sz val="14"/>
            <color rgb="FF000000"/>
            <rFont val="Times New Roman"/>
            <family val="18"/>
          </rPr>
          <t xml:space="preserve">15/07/1805 </t>
        </r>
        <r>
          <rPr>
            <i/>
            <sz val="14"/>
            <color rgb="FF000000"/>
            <rFont val="Times New Roman"/>
            <family val="18"/>
          </rPr>
          <t>Auf Fortifikation Arbeit mit Loco Service Gebühr</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20/07/1805 </t>
        </r>
        <r>
          <rPr>
            <i/>
            <sz val="14"/>
            <color rgb="FF000000"/>
            <rFont val="Times New Roman"/>
            <family val="18"/>
          </rPr>
          <t>Wieder in Kompanie</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30/09/1805 Muster: IR 43 2. Fus. Komp Nr. 96</t>
        </r>
        <r>
          <rPr>
            <sz val="14"/>
            <color rgb="FF000000"/>
            <rFont val="Calibri"/>
            <family val="34"/>
          </rPr>
          <t xml:space="preserve">
</t>
        </r>
        <r>
          <rPr>
            <sz val="14"/>
            <color rgb="FF000000"/>
            <rFont val="Times New Roman"/>
            <family val="18"/>
          </rPr>
          <t>01/12/1806 Muster: IR 43 2. Fus. Komp. Nr. 83</t>
        </r>
        <r>
          <rPr>
            <sz val="14"/>
            <color rgb="FF000000"/>
            <rFont val="Calibri"/>
            <family val="34"/>
          </rPr>
          <t xml:space="preserve">
</t>
        </r>
        <r>
          <rPr>
            <sz val="14"/>
            <color rgb="FF000000"/>
            <rFont val="Times New Roman"/>
            <family val="18"/>
          </rPr>
          <t>06/09/1808 Revision: 2. Fus. Komp. Nr. 62 [</t>
        </r>
        <r>
          <rPr>
            <i/>
            <sz val="14"/>
            <color rgb="FF000000"/>
            <rFont val="Times New Roman"/>
            <family val="18"/>
          </rPr>
          <t>Bei Arbeitung der Landwehr</t>
        </r>
        <r>
          <rPr>
            <sz val="14"/>
            <color rgb="FF000000"/>
            <rFont val="Times New Roman"/>
            <family val="18"/>
          </rPr>
          <t>]</t>
        </r>
        <r>
          <rPr>
            <sz val="14"/>
            <color rgb="FF000000"/>
            <rFont val="Calibri"/>
            <family val="34"/>
          </rPr>
          <t xml:space="preserve">
</t>
        </r>
        <r>
          <rPr>
            <sz val="14"/>
            <color rgb="FF000000"/>
            <rFont val="Times New Roman"/>
            <family val="18"/>
          </rPr>
          <t xml:space="preserve">16/02/1809 </t>
        </r>
        <r>
          <rPr>
            <i/>
            <sz val="14"/>
            <color rgb="FF000000"/>
            <rFont val="Times New Roman"/>
            <family val="18"/>
          </rPr>
          <t>Von 2. Fus zum Neue 16. Fus Komp. transferiert und von Gemeiner zum Gefreyter avanciert</t>
        </r>
        <r>
          <rPr>
            <sz val="14"/>
            <color rgb="FF000000"/>
            <rFont val="Times New Roman"/>
            <family val="18"/>
          </rPr>
          <t xml:space="preserve"> [ST Feb 1809 von 2. UND 16. Fus Komp. &amp; TL 1810]</t>
        </r>
        <r>
          <rPr>
            <sz val="14"/>
            <color rgb="FF000000"/>
            <rFont val="Calibri"/>
            <family val="34"/>
          </rPr>
          <t xml:space="preserve">
</t>
        </r>
        <r>
          <rPr>
            <sz val="14"/>
            <color rgb="FF000000"/>
            <rFont val="Times New Roman"/>
            <family val="18"/>
          </rPr>
          <t xml:space="preserve">21/09/1809 </t>
        </r>
        <r>
          <rPr>
            <i/>
            <sz val="14"/>
            <color rgb="FF000000"/>
            <rFont val="Times New Roman"/>
            <family val="18"/>
          </rPr>
          <t>Krank in Armee Spitälern</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20/12/1809 Rekonvalesziert [ST Dec 1809] </t>
        </r>
        <r>
          <rPr>
            <sz val="14"/>
            <color rgb="FF000000"/>
            <rFont val="Calibri"/>
            <family val="34"/>
          </rPr>
          <t xml:space="preserve">
</t>
        </r>
        <r>
          <rPr>
            <sz val="14"/>
            <color rgb="FF000000"/>
            <rFont val="Times New Roman"/>
            <family val="18"/>
          </rPr>
          <t>25/02/1810 Dissolvierung: 16. Fus Komp. Nr. 34 [</t>
        </r>
        <r>
          <rPr>
            <i/>
            <sz val="14"/>
            <color rgb="FF000000"/>
            <rFont val="Times New Roman"/>
            <family val="18"/>
          </rPr>
          <t>Zu Beullieu IR 58 eingeteilt</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16. Fus Komp. des Dissolvierte IR 43 zum IR 58 Beaullieu transferiert und zum 4. Fus. Komp. eingeheilt</t>
        </r>
        <r>
          <rPr>
            <sz val="14"/>
            <color rgb="FF000000"/>
            <rFont val="Times New Roman"/>
            <family val="18"/>
          </rPr>
          <t xml:space="preserve"> [ST March 1810 &amp; ST May 1810]</t>
        </r>
        <r>
          <rPr>
            <sz val="14"/>
            <color rgb="FF000000"/>
            <rFont val="Calibri"/>
            <family val="34"/>
          </rPr>
          <t xml:space="preserve">
</t>
        </r>
        <r>
          <rPr>
            <sz val="14"/>
            <color rgb="FF000000"/>
            <rFont val="Times New Roman"/>
            <family val="18"/>
          </rPr>
          <t xml:space="preserve">30/06/1811 </t>
        </r>
        <r>
          <rPr>
            <i/>
            <sz val="14"/>
            <color rgb="FF000000"/>
            <rFont val="Times New Roman"/>
            <family val="18"/>
          </rPr>
          <t>Von 4.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31/03/1812 </t>
        </r>
        <r>
          <rPr>
            <i/>
            <sz val="14"/>
            <color rgb="FF000000"/>
            <rFont val="Times New Roman"/>
            <family val="18"/>
          </rPr>
          <t>Von 14. Zum 4. Fus. Komp. transferiert</t>
        </r>
        <r>
          <rPr>
            <sz val="14"/>
            <color rgb="FF000000"/>
            <rFont val="Times New Roman"/>
            <family val="18"/>
          </rPr>
          <t xml:space="preserve"> [ML 1812]</t>
        </r>
        <r>
          <rPr>
            <sz val="14"/>
            <color rgb="FF000000"/>
            <rFont val="Calibri"/>
            <family val="34"/>
          </rPr>
          <t xml:space="preserve">
</t>
        </r>
        <r>
          <rPr>
            <sz val="14"/>
            <color rgb="FF000000"/>
            <rFont val="Times New Roman"/>
            <family val="18"/>
          </rPr>
          <t xml:space="preserve">28/11/1812 </t>
        </r>
        <r>
          <rPr>
            <i/>
            <sz val="14"/>
            <color rgb="FF000000"/>
            <rFont val="Times New Roman"/>
            <family val="18"/>
          </rPr>
          <t>Zum Kriegsgefangenschaft gefallen</t>
        </r>
        <r>
          <rPr>
            <sz val="14"/>
            <color rgb="FF000000"/>
            <rFont val="Times New Roman"/>
            <family val="18"/>
          </rPr>
          <t xml:space="preserve"> [ST Nov 1812]</t>
        </r>
      </text>
    </comment>
    <comment ref="BG436" authorId="0" shapeId="0" xr:uid="{499598DF-5A09-DB4F-807F-F28711B6BFDD}">
      <text>
        <r>
          <rPr>
            <sz val="14"/>
            <color rgb="FF000000"/>
            <rFont val="Times New Roman"/>
            <family val="18"/>
          </rPr>
          <t>ML 10.272 IR 43 (1802) – Haupt Basta Nr. 161 (21/08/1802)</t>
        </r>
        <r>
          <rPr>
            <sz val="14"/>
            <color rgb="FF000000"/>
            <rFont val="Calibri"/>
            <family val="34"/>
          </rPr>
          <t xml:space="preserve">
</t>
        </r>
        <r>
          <rPr>
            <sz val="14"/>
            <color rgb="FF000000"/>
            <rFont val="Times New Roman"/>
            <family val="18"/>
          </rPr>
          <t>ML 10.273 IR 43 (1803) – Haupt Ellison Nr. 140 (08/11/1803)</t>
        </r>
        <r>
          <rPr>
            <sz val="14"/>
            <color rgb="FF000000"/>
            <rFont val="Calibri"/>
            <family val="34"/>
          </rPr>
          <t xml:space="preserve">
</t>
        </r>
        <r>
          <rPr>
            <sz val="14"/>
            <color rgb="FF000000"/>
            <rFont val="Times New Roman"/>
            <family val="18"/>
          </rPr>
          <t>ML 10.274 IR 43 (1804) – Haupt Lichtenberg Nr. 123 (15/09/1804)</t>
        </r>
        <r>
          <rPr>
            <sz val="14"/>
            <color rgb="FF000000"/>
            <rFont val="Calibri"/>
            <family val="34"/>
          </rPr>
          <t xml:space="preserve">
</t>
        </r>
        <r>
          <rPr>
            <sz val="14"/>
            <color rgb="FF000000"/>
            <rFont val="Times New Roman"/>
            <family val="18"/>
          </rPr>
          <t>ML 10.275/6 IR 43 (1805) – 2. Fus Comp Nr. 96 (30/09/1805)</t>
        </r>
        <r>
          <rPr>
            <sz val="14"/>
            <color rgb="FF000000"/>
            <rFont val="Calibri"/>
            <family val="34"/>
          </rPr>
          <t xml:space="preserve">
</t>
        </r>
        <r>
          <rPr>
            <sz val="14"/>
            <color rgb="FF000000"/>
            <rFont val="Times New Roman"/>
            <family val="18"/>
          </rPr>
          <t>ML 10.277/8 IR 43 (1806) – 2. Fus Comp. Nr. 83 (Laibach 01/12/1806)</t>
        </r>
        <r>
          <rPr>
            <sz val="14"/>
            <color rgb="FF000000"/>
            <rFont val="Calibri"/>
            <family val="34"/>
          </rPr>
          <t xml:space="preserve">
</t>
        </r>
        <r>
          <rPr>
            <sz val="14"/>
            <color rgb="FF000000"/>
            <rFont val="Times New Roman"/>
            <family val="18"/>
          </rPr>
          <t>ML 10.279 IR 43 (1808-10) – Revision: 2. Fus Comp Nr. 62 (Laibach 06/09/1808) &amp; Dissolvierung: 16. Fus Comp Nr. 34 (Vordenberg 25/02/1810)</t>
        </r>
        <r>
          <rPr>
            <sz val="14"/>
            <color rgb="FF000000"/>
            <rFont val="Calibri"/>
            <family val="34"/>
          </rPr>
          <t xml:space="preserve">
</t>
        </r>
        <r>
          <rPr>
            <sz val="14"/>
            <color rgb="FF000000"/>
            <rFont val="Times New Roman"/>
            <family val="18"/>
          </rPr>
          <t>ML 10.311 IR 43 (1801) – ST März (10/10/1804) und Oktober (21/07/1805)</t>
        </r>
        <r>
          <rPr>
            <sz val="14"/>
            <color rgb="FF000000"/>
            <rFont val="Calibri"/>
            <family val="34"/>
          </rPr>
          <t xml:space="preserve">
</t>
        </r>
        <r>
          <rPr>
            <sz val="14"/>
            <color rgb="FF000000"/>
            <rFont val="Times New Roman"/>
            <family val="18"/>
          </rPr>
          <t>ML 10.315 IR 43 (1805) – ST Juli (15/08/1805)</t>
        </r>
        <r>
          <rPr>
            <sz val="14"/>
            <color rgb="FF000000"/>
            <rFont val="Calibri"/>
            <family val="34"/>
          </rPr>
          <t xml:space="preserve">
</t>
        </r>
        <r>
          <rPr>
            <sz val="14"/>
            <color rgb="FF000000"/>
            <rFont val="Times New Roman"/>
            <family val="18"/>
          </rPr>
          <t>ML 10.323 IR 43 (1809) – ST Febuar (25/08/1810), September (25/12/1810), und Dezember (18/01/1811)</t>
        </r>
        <r>
          <rPr>
            <sz val="14"/>
            <color rgb="FF000000"/>
            <rFont val="Calibri"/>
            <family val="34"/>
          </rPr>
          <t xml:space="preserve">
</t>
        </r>
        <r>
          <rPr>
            <sz val="14"/>
            <color rgb="FF000000"/>
            <rFont val="Times New Roman"/>
            <family val="18"/>
          </rPr>
          <t>ML 10.325 IR 43 (1810) – ST März (11/03/1811)</t>
        </r>
        <r>
          <rPr>
            <sz val="14"/>
            <color rgb="FF000000"/>
            <rFont val="Calibri"/>
            <family val="34"/>
          </rPr>
          <t xml:space="preserve">
</t>
        </r>
        <r>
          <rPr>
            <sz val="14"/>
            <color rgb="FF000000"/>
            <rFont val="Times New Roman"/>
            <family val="18"/>
          </rPr>
          <t>ML 10.326 IR 43 (1810) – AL/TL TL IR 43 -&gt; IR 58 (Klagenfurt 31/05/1810)</t>
        </r>
        <r>
          <rPr>
            <sz val="14"/>
            <color rgb="FF000000"/>
            <rFont val="Calibri"/>
            <family val="34"/>
          </rPr>
          <t xml:space="preserve">
</t>
        </r>
        <r>
          <rPr>
            <sz val="14"/>
            <color rgb="FF000000"/>
            <rFont val="Times New Roman"/>
            <family val="18"/>
          </rPr>
          <t>ML 4967/8 IR 58 (1810) – ST Mai (14/06/1811)</t>
        </r>
        <r>
          <rPr>
            <sz val="14"/>
            <color rgb="FF000000"/>
            <rFont val="Calibri"/>
            <family val="34"/>
          </rPr>
          <t xml:space="preserve">
</t>
        </r>
        <r>
          <rPr>
            <sz val="14"/>
            <color rgb="FF000000"/>
            <rFont val="Times New Roman"/>
            <family val="18"/>
          </rPr>
          <t>IR 58 4920/2(1811) – 14. Fus. Komp. Nr. 15 (Przemisl  28/09/1811)</t>
        </r>
        <r>
          <rPr>
            <sz val="14"/>
            <color rgb="FF000000"/>
            <rFont val="Calibri"/>
            <family val="34"/>
          </rPr>
          <t xml:space="preserve">
</t>
        </r>
        <r>
          <rPr>
            <sz val="14"/>
            <color rgb="FF000000"/>
            <rFont val="Times New Roman"/>
            <family val="18"/>
          </rPr>
          <t>IR 58 4923 (1812/16) – 14. Fus. Komp. Abgang (24/09/1812)</t>
        </r>
        <r>
          <rPr>
            <sz val="14"/>
            <color rgb="FF000000"/>
            <rFont val="Calibri"/>
            <family val="34"/>
          </rPr>
          <t xml:space="preserve">
</t>
        </r>
        <r>
          <rPr>
            <sz val="14"/>
            <color rgb="FF000000"/>
            <rFont val="Times New Roman"/>
            <family val="18"/>
          </rPr>
          <t>IR 58 4973 (1812) – ST April (Stanislau 16/08/1812), Nov (Stanislau 26/04/1812)</t>
        </r>
        <r>
          <rPr>
            <sz val="14"/>
            <color rgb="FF000000"/>
            <rFont val="Calibri"/>
            <family val="34"/>
          </rPr>
          <t xml:space="preserve">
</t>
        </r>
      </text>
    </comment>
    <comment ref="BH436" authorId="0" shapeId="0" xr:uid="{95E6EB0F-2436-A841-8D97-2386E51817E2}">
      <text>
        <r>
          <rPr>
            <sz val="14"/>
            <color rgb="FF000000"/>
            <rFont val="Calibri"/>
            <family val="34"/>
          </rPr>
          <t xml:space="preserve">IR 43 (1801-1810)
</t>
        </r>
        <r>
          <rPr>
            <sz val="14"/>
            <color rgb="FF000000"/>
            <rFont val="Calibri"/>
            <family val="34"/>
          </rPr>
          <t>IR 58 (1810-1812)</t>
        </r>
      </text>
    </comment>
    <comment ref="BI436" authorId="0" shapeId="0" xr:uid="{6A29A53B-165E-0149-A6BF-8102F68A1BCC}">
      <text>
        <r>
          <rPr>
            <sz val="14"/>
            <color rgb="FF000000"/>
            <rFont val="Calibri"/>
            <family val="34"/>
          </rPr>
          <t>1810: Gut</t>
        </r>
      </text>
    </comment>
    <comment ref="I437" authorId="0" shapeId="0" xr:uid="{2B63BE71-7D22-FB4B-B118-273C5F728BAC}">
      <text>
        <r>
          <rPr>
            <sz val="14"/>
            <color rgb="FF000000"/>
            <rFont val="Calibri"/>
            <family val="34"/>
          </rPr>
          <t xml:space="preserve">1754 [51 (1805)]
</t>
        </r>
        <r>
          <rPr>
            <sz val="14"/>
            <color rgb="FF000000"/>
            <rFont val="Calibri"/>
            <family val="34"/>
          </rPr>
          <t xml:space="preserve">OR
</t>
        </r>
        <r>
          <rPr>
            <sz val="14"/>
            <color rgb="FF000000"/>
            <rFont val="Calibri"/>
            <family val="34"/>
          </rPr>
          <t xml:space="preserve">1758 [45 (1804)]
</t>
        </r>
        <r>
          <rPr>
            <sz val="14"/>
            <color rgb="FF000000"/>
            <rFont val="Calibri"/>
            <family val="34"/>
          </rPr>
          <t xml:space="preserve">OR 
</t>
        </r>
        <r>
          <rPr>
            <sz val="14"/>
            <color rgb="FF000000"/>
            <rFont val="Calibri"/>
            <family val="34"/>
          </rPr>
          <t>1764 [41 (1802)]</t>
        </r>
      </text>
    </comment>
    <comment ref="K437" authorId="0" shapeId="0" xr:uid="{7724225A-032E-5148-A99B-7406DACAA2F5}">
      <text>
        <r>
          <rPr>
            <sz val="14"/>
            <color rgb="FF000000"/>
            <rFont val="Calibri"/>
            <family val="34"/>
          </rPr>
          <t xml:space="preserve">Ohne  (1802)
</t>
        </r>
        <r>
          <rPr>
            <sz val="14"/>
            <color rgb="FF000000"/>
            <rFont val="Calibri"/>
            <family val="34"/>
          </rPr>
          <t>Kirschner (1803-1805)</t>
        </r>
      </text>
    </comment>
    <comment ref="T437" authorId="0" shapeId="0" xr:uid="{7FD31EB6-6F51-264C-B414-F4127350C495}">
      <text>
        <r>
          <rPr>
            <sz val="14"/>
            <color rgb="FF000000"/>
            <rFont val="Calibri"/>
            <family val="34"/>
          </rPr>
          <t xml:space="preserve">166.33 [5.4 (1802)]
</t>
        </r>
        <r>
          <rPr>
            <sz val="14"/>
            <color rgb="FF000000"/>
            <rFont val="Calibri"/>
            <family val="34"/>
          </rPr>
          <t>169.2 [5.4.3 169.18 (1803-4)</t>
        </r>
      </text>
    </comment>
    <comment ref="BF437" authorId="0" shapeId="0" xr:uid="{0FBA87DA-ABC6-C541-977D-027531695064}">
      <text>
        <r>
          <rPr>
            <sz val="14"/>
            <color rgb="FF000000"/>
            <rFont val="Times New Roman"/>
            <family val="18"/>
          </rPr>
          <t xml:space="preserve">01/03/1801 </t>
        </r>
        <r>
          <rPr>
            <i/>
            <sz val="14"/>
            <color rgb="FF000000"/>
            <rFont val="Times New Roman"/>
            <family val="18"/>
          </rPr>
          <t>Von ständen a 3Fl Handgeld gestellt und zu Zamosc Assentiert; seitdem auf anhero Marsch</t>
        </r>
        <r>
          <rPr>
            <sz val="14"/>
            <color rgb="FF000000"/>
            <rFont val="Times New Roman"/>
            <family val="18"/>
          </rPr>
          <t xml:space="preserve"> [ST March 1801]</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Reserve Division in Haupt Barbo Comp. Transferiert</t>
        </r>
        <r>
          <rPr>
            <sz val="14"/>
            <color rgb="FF000000"/>
            <rFont val="Times New Roman"/>
            <family val="18"/>
          </rPr>
          <t xml:space="preserve"> [ST August 1801]</t>
        </r>
        <r>
          <rPr>
            <sz val="14"/>
            <color rgb="FF000000"/>
            <rFont val="Calibri"/>
            <family val="34"/>
          </rPr>
          <t xml:space="preserve">
</t>
        </r>
        <r>
          <rPr>
            <sz val="14"/>
            <color rgb="FF000000"/>
            <rFont val="Times New Roman"/>
            <family val="18"/>
          </rPr>
          <t xml:space="preserve">20/05/1802 </t>
        </r>
        <r>
          <rPr>
            <i/>
            <sz val="14"/>
            <color rgb="FF000000"/>
            <rFont val="Times New Roman"/>
            <family val="18"/>
          </rPr>
          <t>Auf bestimmte Zeit beurlaubt; ist mit Verpflegung bis seine Heimat mit taglich zu machen 3 Meilen nach Ost Gallizien auf bestimmte Urlaub abgegangen und bis in die Licoa auf unterstehende</t>
        </r>
        <r>
          <rPr>
            <sz val="14"/>
            <color rgb="FF000000"/>
            <rFont val="Times New Roman"/>
            <family val="18"/>
          </rPr>
          <t xml:space="preserve"> Art Verpflegt [ST May 1802]</t>
        </r>
        <r>
          <rPr>
            <sz val="14"/>
            <color rgb="FF000000"/>
            <rFont val="Calibri"/>
            <family val="34"/>
          </rPr>
          <t xml:space="preserve">
</t>
        </r>
        <r>
          <rPr>
            <sz val="14"/>
            <color rgb="FF000000"/>
            <rFont val="Times New Roman"/>
            <family val="18"/>
          </rPr>
          <t>11/09/1802 Muster: IR 43 Haupt Barbo Nr. 151 [</t>
        </r>
        <r>
          <rPr>
            <i/>
            <sz val="14"/>
            <color rgb="FF000000"/>
            <rFont val="Times New Roman"/>
            <family val="18"/>
          </rPr>
          <t>Auf Urlaub]</t>
        </r>
        <r>
          <rPr>
            <sz val="14"/>
            <color rgb="FF000000"/>
            <rFont val="Calibri"/>
            <family val="34"/>
          </rPr>
          <t xml:space="preserve">
</t>
        </r>
        <r>
          <rPr>
            <sz val="14"/>
            <color rgb="FF000000"/>
            <rFont val="Times New Roman"/>
            <family val="18"/>
          </rPr>
          <t xml:space="preserve">??/11/1802 </t>
        </r>
        <r>
          <rPr>
            <i/>
            <sz val="14"/>
            <color rgb="FF000000"/>
            <rFont val="Times New Roman"/>
            <family val="18"/>
          </rPr>
          <t>Von Bestimmt zum unbestimmten Urlaub übersetzt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 xml:space="preserve">31/03/1803 </t>
        </r>
        <r>
          <rPr>
            <i/>
            <sz val="14"/>
            <color rgb="FF000000"/>
            <rFont val="Times New Roman"/>
            <family val="18"/>
          </rPr>
          <t>Von Haupt Barbo zum Haupt Civarini Comp. Transferiert</t>
        </r>
        <r>
          <rPr>
            <sz val="14"/>
            <color rgb="FF000000"/>
            <rFont val="Times New Roman"/>
            <family val="18"/>
          </rPr>
          <t xml:space="preserve"> [ST April 1803 &amp; ML 1803]</t>
        </r>
        <r>
          <rPr>
            <sz val="14"/>
            <color rgb="FF000000"/>
            <rFont val="Calibri"/>
            <family val="34"/>
          </rPr>
          <t xml:space="preserve">
</t>
        </r>
        <r>
          <rPr>
            <sz val="14"/>
            <color rgb="FF000000"/>
            <rFont val="Times New Roman"/>
            <family val="18"/>
          </rPr>
          <t>28/09/1803 Muster: IR 43 Haupt Civarini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06/10/1804 Muster: IR 43 Haupt Civarini Comp Nr. 148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 xml:space="preserve">Von dissolvierte Civarini zum 15. Fusilier Comp transferiert </t>
        </r>
        <r>
          <rPr>
            <sz val="14"/>
            <color rgb="FF000000"/>
            <rFont val="Times New Roman"/>
            <family val="18"/>
          </rPr>
          <t>[ST Aug 1805]</t>
        </r>
        <r>
          <rPr>
            <sz val="14"/>
            <color rgb="FF000000"/>
            <rFont val="Calibri"/>
            <family val="34"/>
          </rPr>
          <t xml:space="preserve">
</t>
        </r>
        <r>
          <rPr>
            <sz val="14"/>
            <color rgb="FF000000"/>
            <rFont val="Times New Roman"/>
            <family val="18"/>
          </rPr>
          <t>10/11/1805 Muster: 15. Fus Comp Nr. 155 [</t>
        </r>
        <r>
          <rPr>
            <i/>
            <sz val="14"/>
            <color rgb="FF000000"/>
            <rFont val="Times New Roman"/>
            <family val="18"/>
          </rPr>
          <t>Beurlaubt bis zur Einberufung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31/10/1805 </t>
        </r>
        <r>
          <rPr>
            <i/>
            <sz val="14"/>
            <color rgb="FF000000"/>
            <rFont val="Times New Roman"/>
            <family val="18"/>
          </rPr>
          <t>In Folge hoher Lemberger General Commando Verordnung von 25. dicti R. 8326 gegen Renuncierung alle Militar Beneficien wegen der Real Invaliditat sich machenden mit Abschied entlassen</t>
        </r>
        <r>
          <rPr>
            <sz val="14"/>
            <color rgb="FF000000"/>
            <rFont val="Times New Roman"/>
            <family val="18"/>
          </rPr>
          <t xml:space="preserve"> [ST Nov 1805 &amp; ML 1805]</t>
        </r>
        <r>
          <rPr>
            <sz val="14"/>
            <color rgb="FF000000"/>
            <rFont val="Calibri"/>
            <family val="34"/>
          </rPr>
          <t xml:space="preserve">
</t>
        </r>
      </text>
    </comment>
    <comment ref="BG437" authorId="0" shapeId="0" xr:uid="{618B4D9C-024C-044E-A53B-A5EE2DA8BF2B}">
      <text>
        <r>
          <rPr>
            <sz val="14"/>
            <color rgb="FF000000"/>
            <rFont val="Times New Roman"/>
            <family val="18"/>
          </rPr>
          <t>ML 10.272 IR 43 (1802) – Heft von Haupt Barbo Nr. 151 (Zara 11/09/1802)</t>
        </r>
        <r>
          <rPr>
            <sz val="14"/>
            <color rgb="FF000000"/>
            <rFont val="Calibri"/>
            <family val="34"/>
          </rPr>
          <t xml:space="preserve">
</t>
        </r>
        <r>
          <rPr>
            <sz val="14"/>
            <color rgb="FF000000"/>
            <rFont val="Times New Roman"/>
            <family val="18"/>
          </rPr>
          <t>ML 10.273 IR 43 (1803) – Heft von Haupt Cevarini Nr. 148 (Zara 28/09/1803)</t>
        </r>
        <r>
          <rPr>
            <sz val="14"/>
            <color rgb="FF000000"/>
            <rFont val="Calibri"/>
            <family val="34"/>
          </rPr>
          <t xml:space="preserve">
</t>
        </r>
        <r>
          <rPr>
            <sz val="14"/>
            <color rgb="FF000000"/>
            <rFont val="Times New Roman"/>
            <family val="18"/>
          </rPr>
          <t>ML 10.274 IR 43 (1804) – Heft von Haupt Cevarini Comp. Nr. 133 (Budua 05/10/1804)</t>
        </r>
        <r>
          <rPr>
            <sz val="14"/>
            <color rgb="FF000000"/>
            <rFont val="Calibri"/>
            <family val="34"/>
          </rPr>
          <t xml:space="preserve">
</t>
        </r>
        <r>
          <rPr>
            <sz val="14"/>
            <color rgb="FF000000"/>
            <rFont val="Times New Roman"/>
            <family val="18"/>
          </rPr>
          <t>ML 10.275/6 IR 43 (1805) – Heft von 15. Fus Comp. Nr. 155 (Macarsca (10/11/1805)</t>
        </r>
        <r>
          <rPr>
            <sz val="14"/>
            <color rgb="FF000000"/>
            <rFont val="Calibri"/>
            <family val="34"/>
          </rPr>
          <t xml:space="preserve">
</t>
        </r>
        <r>
          <rPr>
            <sz val="14"/>
            <color rgb="FF000000"/>
            <rFont val="Times New Roman"/>
            <family val="18"/>
          </rPr>
          <t>ML 10/277/8 IR 43 (1806) – Heft von 9. Fus Comp. Abgang (Neustadt 05/12/1806)</t>
        </r>
        <r>
          <rPr>
            <sz val="14"/>
            <color rgb="FF000000"/>
            <rFont val="Calibri"/>
            <family val="34"/>
          </rPr>
          <t xml:space="preserve">
</t>
        </r>
        <r>
          <rPr>
            <sz val="14"/>
            <color rgb="FF000000"/>
            <rFont val="Times New Roman"/>
            <family val="18"/>
          </rPr>
          <t>ML 10.311 IR 43 (1801) – ST März (10/10/1804), August (21/07/1805)</t>
        </r>
        <r>
          <rPr>
            <sz val="14"/>
            <color rgb="FF000000"/>
            <rFont val="Calibri"/>
            <family val="34"/>
          </rPr>
          <t xml:space="preserve">
</t>
        </r>
        <r>
          <rPr>
            <sz val="14"/>
            <color rgb="FF000000"/>
            <rFont val="Times New Roman"/>
            <family val="18"/>
          </rPr>
          <t>ML 10.312 IR 43 (1802) – ST Mai (15/06/1802), Nov (15/02/1802)</t>
        </r>
        <r>
          <rPr>
            <sz val="14"/>
            <color rgb="FF000000"/>
            <rFont val="Calibri"/>
            <family val="34"/>
          </rPr>
          <t xml:space="preserve">
</t>
        </r>
        <r>
          <rPr>
            <sz val="14"/>
            <color rgb="FF000000"/>
            <rFont val="Times New Roman"/>
            <family val="18"/>
          </rPr>
          <t>ML 10.313 IR 43 (1803) – ST April (15/05/1803)</t>
        </r>
        <r>
          <rPr>
            <sz val="14"/>
            <color rgb="FF000000"/>
            <rFont val="Calibri"/>
            <family val="34"/>
          </rPr>
          <t xml:space="preserve">
</t>
        </r>
        <r>
          <rPr>
            <sz val="14"/>
            <color rgb="FF000000"/>
            <rFont val="Times New Roman"/>
            <family val="18"/>
          </rPr>
          <t>ML 10.315 IR 43 (1805) – ST August (15/09/1805), November (16/06/1805)</t>
        </r>
        <r>
          <rPr>
            <sz val="14"/>
            <color rgb="FF000000"/>
            <rFont val="Calibri"/>
            <family val="34"/>
          </rPr>
          <t xml:space="preserve">
</t>
        </r>
      </text>
    </comment>
    <comment ref="BH437" authorId="0" shapeId="0" xr:uid="{4394E144-2641-8945-99CB-77AC44F27290}">
      <text>
        <r>
          <rPr>
            <sz val="14"/>
            <color rgb="FF000000"/>
            <rFont val="Calibri"/>
            <family val="34"/>
          </rPr>
          <t>IR 43 (1801-1805)</t>
        </r>
      </text>
    </comment>
    <comment ref="CR437" authorId="0" shapeId="0" xr:uid="{DD19A6BA-AA74-DD47-8A03-6B31BB8844BF}">
      <text>
        <r>
          <rPr>
            <sz val="14"/>
            <color rgb="FF000000"/>
            <rFont val="Calibri"/>
            <family val="34"/>
          </rPr>
          <t>1802/5: Jüdisch</t>
        </r>
        <r>
          <rPr>
            <sz val="14"/>
            <color rgb="FF000000"/>
            <rFont val="Calibri"/>
            <family val="2"/>
          </rPr>
          <t xml:space="preserve"> </t>
        </r>
        <r>
          <rPr>
            <sz val="14"/>
            <color rgb="FF000000"/>
            <rFont val="Calibri"/>
            <family val="34"/>
          </rPr>
          <t xml:space="preserve">
</t>
        </r>
        <r>
          <rPr>
            <sz val="14"/>
            <color rgb="FF000000"/>
            <rFont val="Calibri"/>
            <family val="34"/>
          </rPr>
          <t xml:space="preserve">1803/4: Altglaubisch  </t>
        </r>
      </text>
    </comment>
    <comment ref="BF438" authorId="0" shapeId="0" xr:uid="{F53F148C-8BDB-2543-89EE-94A4390800B8}">
      <text>
        <r>
          <rPr>
            <sz val="14"/>
            <color rgb="FF000000"/>
            <rFont val="Times New Roman"/>
            <family val="18"/>
          </rPr>
          <t xml:space="preserve">16/03/1801 </t>
        </r>
        <r>
          <rPr>
            <i/>
            <sz val="14"/>
            <color rgb="FF000000"/>
            <rFont val="Times New Roman"/>
            <family val="18"/>
          </rPr>
          <t>Auf Beständig bei der Staabs Infanterie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 xml:space="preserve">01/08/1801 </t>
        </r>
        <r>
          <rPr>
            <i/>
            <sz val="14"/>
            <color rgb="FF000000"/>
            <rFont val="Times New Roman"/>
            <family val="18"/>
          </rPr>
          <t>Von Staabs Infanterie zum IR 30 Regiment transferiert</t>
        </r>
        <r>
          <rPr>
            <sz val="14"/>
            <color rgb="FF000000"/>
            <rFont val="Times New Roman"/>
            <family val="18"/>
          </rPr>
          <t xml:space="preserve"> [ML 1803] </t>
        </r>
        <r>
          <rPr>
            <sz val="14"/>
            <color rgb="FF000000"/>
            <rFont val="Calibri"/>
            <family val="34"/>
          </rPr>
          <t xml:space="preserve">
</t>
        </r>
        <r>
          <rPr>
            <sz val="14"/>
            <color rgb="FF000000"/>
            <rFont val="Times New Roman"/>
            <family val="18"/>
          </rPr>
          <t>12/08/1803 Muster: Obrist Comp. Nr. 70 [</t>
        </r>
        <r>
          <rPr>
            <i/>
            <sz val="14"/>
            <color rgb="FF000000"/>
            <rFont val="Times New Roman"/>
            <family val="18"/>
          </rPr>
          <t>Beurlaubt in loco</t>
        </r>
        <r>
          <rPr>
            <sz val="14"/>
            <color rgb="FF000000"/>
            <rFont val="Times New Roman"/>
            <family val="18"/>
          </rPr>
          <t>] [ML 1803]</t>
        </r>
        <r>
          <rPr>
            <sz val="14"/>
            <color rgb="FF000000"/>
            <rFont val="Calibri"/>
            <family val="34"/>
          </rPr>
          <t xml:space="preserve">
</t>
        </r>
        <r>
          <rPr>
            <sz val="14"/>
            <color rgb="FF000000"/>
            <rFont val="Times New Roman"/>
            <family val="18"/>
          </rPr>
          <t xml:space="preserve">04/06/1804 </t>
        </r>
        <r>
          <rPr>
            <i/>
            <sz val="14"/>
            <color rgb="FF000000"/>
            <rFont val="Times New Roman"/>
            <family val="18"/>
          </rPr>
          <t>von Urlaub emigriert</t>
        </r>
        <r>
          <rPr>
            <sz val="14"/>
            <color rgb="FF000000"/>
            <rFont val="Times New Roman"/>
            <family val="18"/>
          </rPr>
          <t xml:space="preserve"> [ML 1804]</t>
        </r>
      </text>
    </comment>
    <comment ref="BG438" authorId="0" shapeId="0" xr:uid="{BA8CDA71-E8DF-284B-871E-CF9EF4EE6D29}">
      <text>
        <r>
          <rPr>
            <sz val="14"/>
            <color rgb="FF000000"/>
            <rFont val="Times New Roman"/>
            <family val="18"/>
          </rPr>
          <t>ML 2630 IR 30 (1803) – Heft von Obrist Comp. Nr. 70 (Lemberg 12/08/1803)</t>
        </r>
        <r>
          <rPr>
            <sz val="14"/>
            <color rgb="FF000000"/>
            <rFont val="Calibri"/>
            <family val="34"/>
          </rPr>
          <t xml:space="preserve">
</t>
        </r>
        <r>
          <rPr>
            <sz val="14"/>
            <color rgb="FF000000"/>
            <rFont val="Times New Roman"/>
            <family val="18"/>
          </rPr>
          <t xml:space="preserve">ML 2631 IR 30 (1804) – Heft von Obrist Comp. – Abgang (Lemberg 19/09/1804) </t>
        </r>
        <r>
          <rPr>
            <sz val="14"/>
            <color rgb="FF000000"/>
            <rFont val="Calibri"/>
            <family val="34"/>
          </rPr>
          <t xml:space="preserve">
</t>
        </r>
      </text>
    </comment>
    <comment ref="BH438" authorId="0" shapeId="0" xr:uid="{552051DB-DE8C-2947-9887-8AD484F20F4E}">
      <text>
        <r>
          <rPr>
            <sz val="14"/>
            <color rgb="FF000000"/>
            <rFont val="Calibri"/>
            <family val="34"/>
          </rPr>
          <t xml:space="preserve">SInf (1801)
</t>
        </r>
        <r>
          <rPr>
            <sz val="14"/>
            <color rgb="FF000000"/>
            <rFont val="Calibri"/>
            <family val="34"/>
          </rPr>
          <t>IR 30 (1801-1804)</t>
        </r>
      </text>
    </comment>
    <comment ref="BF439" authorId="0" shapeId="0" xr:uid="{13DB4B65-9BE0-E54E-A347-AA2055C16198}">
      <text>
        <r>
          <rPr>
            <sz val="14"/>
            <color rgb="FF000000"/>
            <rFont val="Times New Roman"/>
            <family val="18"/>
          </rPr>
          <t xml:space="preserve">16/05/1801 </t>
        </r>
        <r>
          <rPr>
            <i/>
            <sz val="14"/>
            <color rgb="FF000000"/>
            <rFont val="Times New Roman"/>
            <family val="18"/>
          </rPr>
          <t>Von ausgeloster Reserve Division 1. Abt zur Haupt Wiessenstein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01/10/1801 </t>
        </r>
        <r>
          <rPr>
            <i/>
            <sz val="14"/>
            <color rgb="FF000000"/>
            <rFont val="Times New Roman"/>
            <family val="18"/>
          </rPr>
          <t>Laut besondere Verordnung entlassen</t>
        </r>
        <r>
          <rPr>
            <sz val="14"/>
            <color rgb="FF000000"/>
            <rFont val="Times New Roman"/>
            <family val="18"/>
          </rPr>
          <t xml:space="preserve"> [ML 1802]</t>
        </r>
        <r>
          <rPr>
            <sz val="14"/>
            <color rgb="FF000000"/>
            <rFont val="Calibri"/>
            <family val="34"/>
          </rPr>
          <t xml:space="preserve">
</t>
        </r>
      </text>
    </comment>
    <comment ref="BG439" authorId="0" shapeId="0" xr:uid="{5D96FF57-CC96-2944-B2C7-72D85771AAFF}">
      <text>
        <r>
          <rPr>
            <sz val="14"/>
            <color rgb="FF000000"/>
            <rFont val="Times New Roman"/>
            <family val="18"/>
          </rPr>
          <t>ML 1937 IR 24 (1802) – Haupt Weissenstein Abgang (Vienna 16/09/1802)</t>
        </r>
        <r>
          <rPr>
            <sz val="14"/>
            <color rgb="FF000000"/>
            <rFont val="Calibri"/>
            <family val="2"/>
            <scheme val="minor"/>
          </rPr>
          <t xml:space="preserve"> </t>
        </r>
      </text>
    </comment>
    <comment ref="BH439" authorId="0" shapeId="0" xr:uid="{76D80295-6C75-034B-A06D-E9A019CB6977}">
      <text>
        <r>
          <rPr>
            <sz val="14"/>
            <color rgb="FF000000"/>
            <rFont val="Calibri"/>
            <family val="34"/>
          </rPr>
          <t>IR 24 (1801)</t>
        </r>
      </text>
    </comment>
    <comment ref="BF440" authorId="0" shapeId="0" xr:uid="{2CD6D29E-DD4D-9C41-B86C-DEC39A8999BA}">
      <text>
        <r>
          <rPr>
            <sz val="14"/>
            <color rgb="FF000000"/>
            <rFont val="Times New Roman"/>
            <family val="18"/>
          </rPr>
          <t xml:space="preserve">28/07/1801 </t>
        </r>
        <r>
          <rPr>
            <i/>
            <sz val="14"/>
            <color rgb="FF000000"/>
            <rFont val="Times New Roman"/>
            <family val="18"/>
          </rPr>
          <t>Zu Sandomierz von Ständen a 3Fl gestellt und seitdem auf anhero Marsch mit Friedensgebühr</t>
        </r>
        <r>
          <rPr>
            <sz val="14"/>
            <color rgb="FF000000"/>
            <rFont val="Times New Roman"/>
            <family val="18"/>
          </rPr>
          <t xml:space="preserve"> [ST Juli 1801]</t>
        </r>
        <r>
          <rPr>
            <sz val="14"/>
            <color rgb="FF000000"/>
            <rFont val="Calibri"/>
            <family val="34"/>
          </rPr>
          <t xml:space="preserve">
</t>
        </r>
        <r>
          <rPr>
            <sz val="14"/>
            <color rgb="FF000000"/>
            <rFont val="Times New Roman"/>
            <family val="18"/>
          </rPr>
          <t xml:space="preserve">30/09/1801 </t>
        </r>
        <r>
          <rPr>
            <i/>
            <sz val="14"/>
            <color rgb="FF000000"/>
            <rFont val="Times New Roman"/>
            <family val="18"/>
          </rPr>
          <t>Als als über ½ Jahr auswärts und deren Existenz gänzlich unbewusst als Unwissend Verlohren gegangen</t>
        </r>
        <r>
          <rPr>
            <sz val="14"/>
            <color rgb="FF000000"/>
            <rFont val="Times New Roman"/>
            <family val="18"/>
          </rPr>
          <t xml:space="preserve"> [ST Oct 1801]</t>
        </r>
        <r>
          <rPr>
            <sz val="14"/>
            <color rgb="FF000000"/>
            <rFont val="Calibri"/>
            <family val="34"/>
          </rPr>
          <t xml:space="preserve">
</t>
        </r>
      </text>
    </comment>
    <comment ref="BG440" authorId="0" shapeId="0" xr:uid="{902833F1-D5CC-C244-AC67-0C52094D0B81}">
      <text>
        <r>
          <rPr>
            <sz val="14"/>
            <color rgb="FF000000"/>
            <rFont val="Times New Roman"/>
            <family val="18"/>
          </rPr>
          <t xml:space="preserve">ML 10.311 IR 43 (1801) – ST Juli (08/07/1805), Oct (21/07/1805)
</t>
        </r>
        <r>
          <rPr>
            <sz val="14"/>
            <color rgb="FF000000"/>
            <rFont val="Times New Roman"/>
            <family val="18"/>
          </rPr>
          <t xml:space="preserve">
</t>
        </r>
      </text>
    </comment>
    <comment ref="BH440" authorId="0" shapeId="0" xr:uid="{0B0292A2-AAC1-4346-BC9A-3272FC84F7CA}">
      <text>
        <r>
          <rPr>
            <sz val="14"/>
            <color rgb="FF000000"/>
            <rFont val="Calibri"/>
            <family val="34"/>
          </rPr>
          <t>IR 43 (1801)</t>
        </r>
      </text>
    </comment>
    <comment ref="BF441" authorId="0" shapeId="0" xr:uid="{301E3BDA-6562-2644-B812-802A28DA3B95}">
      <text>
        <r>
          <rPr>
            <sz val="14"/>
            <color rgb="FF000000"/>
            <rFont val="Times New Roman"/>
            <family val="18"/>
          </rPr>
          <t xml:space="preserve">01/09/1801 </t>
        </r>
        <r>
          <rPr>
            <i/>
            <sz val="14"/>
            <color rgb="FF000000"/>
            <rFont val="Times New Roman"/>
            <family val="18"/>
          </rPr>
          <t>Als sich selbst ranzioniert zum Tamesvar präsentiert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31/11/1801 </t>
        </r>
        <r>
          <rPr>
            <i/>
            <sz val="14"/>
            <color rgb="FF000000"/>
            <rFont val="Times New Roman"/>
            <family val="18"/>
          </rPr>
          <t>Von Haupt Szombathely zum Haupt Kacskovics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31/05/1802 </t>
        </r>
        <r>
          <rPr>
            <i/>
            <sz val="14"/>
            <color rgb="FF000000"/>
            <rFont val="Times New Roman"/>
            <family val="18"/>
          </rPr>
          <t xml:space="preserve">Laut Besondere Verordnung unentgeltlich mit Abschied entlassen </t>
        </r>
        <r>
          <rPr>
            <sz val="14"/>
            <color rgb="FF000000"/>
            <rFont val="Times New Roman"/>
            <family val="18"/>
          </rPr>
          <t>[ML 1802]</t>
        </r>
        <r>
          <rPr>
            <sz val="14"/>
            <color rgb="FF000000"/>
            <rFont val="Calibri"/>
            <family val="34"/>
          </rPr>
          <t xml:space="preserve">
</t>
        </r>
      </text>
    </comment>
    <comment ref="BG441" authorId="0" shapeId="0" xr:uid="{0A947005-48F2-1F40-9022-CE1275BF30BF}">
      <text>
        <r>
          <rPr>
            <sz val="14"/>
            <color rgb="FF000000"/>
            <rFont val="Times New Roman"/>
            <family val="18"/>
          </rPr>
          <t>ML 5102-4 IR 60 (1802) – Haupt Szombathely Abgang (Tamesvar 15/09/1802), Haupt Kacskovics Komp. Zuwachs &amp; Abgang (Petervardein 20/09/1802)</t>
        </r>
        <r>
          <rPr>
            <sz val="14"/>
            <color rgb="FF000000"/>
            <rFont val="Calibri"/>
            <family val="34"/>
          </rPr>
          <t xml:space="preserve">
</t>
        </r>
      </text>
    </comment>
    <comment ref="BH441" authorId="0" shapeId="0" xr:uid="{E6BAA83E-2B0F-244D-988D-A3A3DDA68120}">
      <text>
        <r>
          <rPr>
            <sz val="14"/>
            <color rgb="FF000000"/>
            <rFont val="Calibri"/>
            <family val="34"/>
          </rPr>
          <t>IR 60 (1801-1802)</t>
        </r>
      </text>
    </comment>
    <comment ref="T442" authorId="0" shapeId="0" xr:uid="{15BEADEB-249E-B046-9047-50F8BE06C4EE}">
      <text>
        <r>
          <rPr>
            <sz val="14"/>
            <color rgb="FF000000"/>
            <rFont val="Calibri"/>
            <family val="34"/>
          </rPr>
          <t xml:space="preserve">163.37 (1806/11)
</t>
        </r>
        <r>
          <rPr>
            <sz val="14"/>
            <color rgb="FF000000"/>
            <rFont val="Calibri"/>
            <family val="34"/>
          </rPr>
          <t>165.89 [5.3 (1818/20)]</t>
        </r>
      </text>
    </comment>
    <comment ref="BF442" authorId="0" shapeId="0" xr:uid="{48725A8B-EF29-DF43-8881-67E63D2DE6D7}">
      <text>
        <r>
          <rPr>
            <sz val="14"/>
            <color rgb="FF000000"/>
            <rFont val="Times New Roman"/>
            <family val="18"/>
          </rPr>
          <t xml:space="preserve">26/11/1801 </t>
        </r>
        <r>
          <rPr>
            <i/>
            <sz val="14"/>
            <color rgb="FF000000"/>
            <rFont val="Times New Roman"/>
            <family val="18"/>
          </rPr>
          <t>Zu Höxter auf 10 Jahr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21/07/1802 </t>
        </r>
        <r>
          <rPr>
            <i/>
            <sz val="14"/>
            <color rgb="FF000000"/>
            <rFont val="Times New Roman"/>
            <family val="18"/>
          </rPr>
          <t xml:space="preserve">Von Strassoldo Infantrie Nro 27 am IR 44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01/09/1805 </t>
        </r>
        <r>
          <rPr>
            <i/>
            <sz val="14"/>
            <color rgb="FF000000"/>
            <rFont val="Times New Roman"/>
            <family val="18"/>
          </rPr>
          <t xml:space="preserve">Von Gemeiner zum Corporal avanciert </t>
        </r>
        <r>
          <rPr>
            <sz val="14"/>
            <color rgb="FF000000"/>
            <rFont val="Times New Roman"/>
            <family val="18"/>
          </rPr>
          <t>[ML 1806]</t>
        </r>
        <r>
          <rPr>
            <sz val="14"/>
            <color rgb="FF000000"/>
            <rFont val="Calibri"/>
            <family val="34"/>
          </rPr>
          <t xml:space="preserve">
</t>
        </r>
        <r>
          <rPr>
            <sz val="14"/>
            <color rgb="FF000000"/>
            <rFont val="Times New Roman"/>
            <family val="18"/>
          </rPr>
          <t>10/12/1806 Muster: IR 44 Haupt Trivulzi Komp. Nr. 15</t>
        </r>
        <r>
          <rPr>
            <sz val="14"/>
            <color rgb="FF000000"/>
            <rFont val="Calibri"/>
            <family val="34"/>
          </rPr>
          <t xml:space="preserve">
</t>
        </r>
        <r>
          <rPr>
            <sz val="14"/>
            <color rgb="FF000000"/>
            <rFont val="Times New Roman"/>
            <family val="18"/>
          </rPr>
          <t>18/09/1811 Muster: IR 44 2, Fus. Komp. Nr. 18</t>
        </r>
        <r>
          <rPr>
            <sz val="14"/>
            <color rgb="FF000000"/>
            <rFont val="Calibri"/>
            <family val="34"/>
          </rPr>
          <t xml:space="preserve">
</t>
        </r>
        <r>
          <rPr>
            <sz val="14"/>
            <color rgb="FF000000"/>
            <rFont val="Times New Roman"/>
            <family val="18"/>
          </rPr>
          <t xml:space="preserve">08/04/1813 </t>
        </r>
        <r>
          <rPr>
            <i/>
            <sz val="14"/>
            <color rgb="FF000000"/>
            <rFont val="Times New Roman"/>
            <family val="18"/>
          </rPr>
          <t>Gegen 32 Fl auf fernere 6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20/11/1817 </t>
        </r>
        <r>
          <rPr>
            <i/>
            <sz val="14"/>
            <color rgb="FF000000"/>
            <rFont val="Times New Roman"/>
            <family val="18"/>
          </rPr>
          <t>Gegen 32 Fl auf Fernere 6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15. Fus. Komp. Nr. 7</t>
        </r>
        <r>
          <rPr>
            <sz val="14"/>
            <color rgb="FF000000"/>
            <rFont val="Calibri"/>
            <family val="34"/>
          </rPr>
          <t xml:space="preserve">
</t>
        </r>
        <r>
          <rPr>
            <sz val="14"/>
            <color rgb="FF000000"/>
            <rFont val="Times New Roman"/>
            <family val="18"/>
          </rPr>
          <t>24/10/1818 Muster: IR 44 15. Fus. Komp. Nr. 7</t>
        </r>
        <r>
          <rPr>
            <sz val="14"/>
            <color rgb="FF000000"/>
            <rFont val="Calibri"/>
            <family val="34"/>
          </rPr>
          <t xml:space="preserve">
</t>
        </r>
        <r>
          <rPr>
            <sz val="14"/>
            <color rgb="FF000000"/>
            <rFont val="Times New Roman"/>
            <family val="18"/>
          </rPr>
          <t>18/10/1819 Muster: IR 44 15. Fus. Komp. Nr. 6 [</t>
        </r>
        <r>
          <rPr>
            <i/>
            <sz val="14"/>
            <color rgb="FF000000"/>
            <rFont val="Times New Roman"/>
            <family val="18"/>
          </rPr>
          <t>Wache &amp; Halb Invalid</t>
        </r>
        <r>
          <rPr>
            <sz val="14"/>
            <color rgb="FF000000"/>
            <rFont val="Times New Roman"/>
            <family val="18"/>
          </rPr>
          <t>]</t>
        </r>
        <r>
          <rPr>
            <sz val="14"/>
            <color rgb="FF000000"/>
            <rFont val="Calibri"/>
            <family val="34"/>
          </rPr>
          <t xml:space="preserve">
</t>
        </r>
        <r>
          <rPr>
            <sz val="14"/>
            <color rgb="FF000000"/>
            <rFont val="Times New Roman"/>
            <family val="18"/>
          </rPr>
          <t>27/09/1820 Muster: IR 44 15. Fus. Komp. Nr. 6 [</t>
        </r>
        <r>
          <rPr>
            <i/>
            <sz val="14"/>
            <color rgb="FF000000"/>
            <rFont val="Times New Roman"/>
            <family val="18"/>
          </rPr>
          <t>Halb Invalid</t>
        </r>
        <r>
          <rPr>
            <sz val="14"/>
            <color rgb="FF000000"/>
            <rFont val="Times New Roman"/>
            <family val="18"/>
          </rPr>
          <t>]</t>
        </r>
        <r>
          <rPr>
            <sz val="14"/>
            <color rgb="FF000000"/>
            <rFont val="Calibri"/>
            <family val="34"/>
          </rPr>
          <t xml:space="preserve">
</t>
        </r>
      </text>
    </comment>
    <comment ref="BG442" authorId="0" shapeId="0" xr:uid="{88F11E0A-1C45-8747-AA53-A5A5A7D9B382}">
      <text>
        <r>
          <rPr>
            <sz val="14"/>
            <color rgb="FF000000"/>
            <rFont val="Times New Roman"/>
            <family val="18"/>
          </rPr>
          <t>ML 3910 IR 44 (1806) – Haupt Trivulzi Komp. Nr. 15 (Fiume 10/12/1806)</t>
        </r>
        <r>
          <rPr>
            <sz val="14"/>
            <color rgb="FF000000"/>
            <rFont val="Calibri"/>
            <family val="34"/>
          </rPr>
          <t xml:space="preserve">
</t>
        </r>
        <r>
          <rPr>
            <sz val="14"/>
            <color rgb="FF000000"/>
            <rFont val="Times New Roman"/>
            <family val="18"/>
          </rPr>
          <t>ML 3912/3 IR 44 (1811) – 2. Fus. Komp. Nr. 18 (Pappa 18/09/1811)</t>
        </r>
        <r>
          <rPr>
            <sz val="14"/>
            <color rgb="FF000000"/>
            <rFont val="Calibri"/>
            <family val="34"/>
          </rPr>
          <t xml:space="preserve">
</t>
        </r>
        <r>
          <rPr>
            <sz val="14"/>
            <color rgb="FF000000"/>
            <rFont val="Times New Roman"/>
            <family val="18"/>
          </rPr>
          <t>ML 3915/6 IR 44 (1818) – 15. Fus. Komp. Nr. 7 (Pavia 05/01/1818); 15. Fus. Komp. Nr. 7 (Pavia 24/10/1818)</t>
        </r>
        <r>
          <rPr>
            <sz val="14"/>
            <color rgb="FF000000"/>
            <rFont val="Calibri"/>
            <family val="34"/>
          </rPr>
          <t xml:space="preserve">
</t>
        </r>
        <r>
          <rPr>
            <sz val="14"/>
            <color rgb="FF000000"/>
            <rFont val="Times New Roman"/>
            <family val="18"/>
          </rPr>
          <t>ML 3918/9 IR 44 (1819) – 15. Fus. Komp. Nr. 6 (Pavia 18/10/1819)</t>
        </r>
        <r>
          <rPr>
            <sz val="14"/>
            <color rgb="FF000000"/>
            <rFont val="Calibri"/>
            <family val="34"/>
          </rPr>
          <t xml:space="preserve">
</t>
        </r>
        <r>
          <rPr>
            <sz val="14"/>
            <color rgb="FF000000"/>
            <rFont val="Times New Roman"/>
            <family val="18"/>
          </rPr>
          <t>ML 3920 IR 44 (1820) – 15. Fus. Komp. Nr. 6 (Como 27/09/1820)</t>
        </r>
        <r>
          <rPr>
            <sz val="14"/>
            <color rgb="FF000000"/>
            <rFont val="Calibri"/>
            <family val="34"/>
          </rPr>
          <t xml:space="preserve">
</t>
        </r>
      </text>
    </comment>
    <comment ref="BH442" authorId="0" shapeId="0" xr:uid="{EFBBCE90-297C-944A-BCA3-8636951DC972}">
      <text>
        <r>
          <rPr>
            <sz val="14"/>
            <color rgb="FF000000"/>
            <rFont val="Calibri"/>
            <family val="34"/>
          </rPr>
          <t xml:space="preserve">IR 27 (1801-1802)
</t>
        </r>
        <r>
          <rPr>
            <sz val="14"/>
            <color rgb="FF000000"/>
            <rFont val="Calibri"/>
            <family val="34"/>
          </rPr>
          <t>IR 44 (1802-1820)</t>
        </r>
      </text>
    </comment>
    <comment ref="CR442" authorId="0" shapeId="0" xr:uid="{C4E5ADE1-0E8F-E445-829A-149D90A77BC9}">
      <text>
        <r>
          <rPr>
            <sz val="14"/>
            <color rgb="FF000000"/>
            <rFont val="Calibri"/>
            <family val="34"/>
          </rPr>
          <t xml:space="preserve">1806/11 Katolisch
</t>
        </r>
        <r>
          <rPr>
            <sz val="14"/>
            <color rgb="FF000000"/>
            <rFont val="Calibri"/>
            <family val="34"/>
          </rPr>
          <t>1818-20: Jüdisch</t>
        </r>
        <r>
          <rPr>
            <sz val="14"/>
            <color rgb="FF000000"/>
            <rFont val="Calibri"/>
            <family val="2"/>
          </rPr>
          <t xml:space="preserve"> </t>
        </r>
      </text>
    </comment>
    <comment ref="C443" authorId="0" shapeId="0" xr:uid="{B6F20F00-D282-2E4C-9432-7F1F13AABC84}">
      <text>
        <r>
          <rPr>
            <b/>
            <u/>
            <sz val="14"/>
            <color rgb="FF0563C1"/>
            <rFont val="Times New Roman"/>
            <family val="18"/>
          </rPr>
          <t>Stare Davydkovo</t>
        </r>
        <r>
          <rPr>
            <sz val="14"/>
            <color rgb="FF000000"/>
            <rFont val="Times New Roman"/>
            <family val="18"/>
          </rPr>
          <t xml:space="preserve"> 
</t>
        </r>
        <r>
          <rPr>
            <b/>
            <sz val="14"/>
            <color rgb="FF000000"/>
            <rFont val="Times New Roman"/>
            <family val="18"/>
          </rPr>
          <t xml:space="preserve">or
</t>
        </r>
        <r>
          <rPr>
            <b/>
            <u/>
            <sz val="14"/>
            <color rgb="FF0563C1"/>
            <rFont val="Times New Roman"/>
            <family val="18"/>
          </rPr>
          <t>Nove Davydkovo</t>
        </r>
        <r>
          <rPr>
            <sz val="14"/>
            <color rgb="FF000000"/>
            <rFont val="Calibri"/>
            <family val="2"/>
            <scheme val="minor"/>
          </rPr>
          <t xml:space="preserve"> </t>
        </r>
      </text>
    </comment>
    <comment ref="T443" authorId="0" shapeId="0" xr:uid="{7E39ECEC-F9AC-9A4E-89A5-A6E58CD70F83}">
      <text>
        <r>
          <rPr>
            <sz val="14"/>
            <color rgb="FF000000"/>
            <rFont val="Calibri"/>
            <family val="34"/>
          </rPr>
          <t xml:space="preserve">5.4.1 [168.74 (1803)]
</t>
        </r>
        <r>
          <rPr>
            <sz val="14"/>
            <color rgb="FF000000"/>
            <rFont val="Calibri"/>
            <family val="34"/>
          </rPr>
          <t>5.1.4 [161.51 (1804)]</t>
        </r>
      </text>
    </comment>
    <comment ref="BF443" authorId="0" shapeId="0" xr:uid="{23461B46-287D-4244-9B7A-A0793E04872C}">
      <text>
        <r>
          <rPr>
            <sz val="14"/>
            <color rgb="FF000000"/>
            <rFont val="Times New Roman"/>
            <family val="18"/>
          </rPr>
          <t xml:space="preserve">06/12/1801 </t>
        </r>
        <r>
          <rPr>
            <i/>
            <sz val="14"/>
            <color rgb="FF000000"/>
            <rFont val="Times New Roman"/>
            <family val="18"/>
          </rPr>
          <t>Als Regiments Rekrut a 10Fl Werbgeld zu Munkats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 xml:space="preserve">21/05/1802 </t>
        </r>
        <r>
          <rPr>
            <i/>
            <sz val="14"/>
            <color rgb="FF000000"/>
            <rFont val="Times New Roman"/>
            <family val="18"/>
          </rPr>
          <t>Von Haupt Werklian zum Haupt Worben Komp. transferiert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21/09/1802 Muster: IR 62 Haupt Wöber Komp. Nr. 165</t>
        </r>
        <r>
          <rPr>
            <sz val="14"/>
            <color rgb="FF000000"/>
            <rFont val="Calibri"/>
            <family val="34"/>
          </rPr>
          <t xml:space="preserve">
</t>
        </r>
        <r>
          <rPr>
            <sz val="14"/>
            <color rgb="FF000000"/>
            <rFont val="Times New Roman"/>
            <family val="18"/>
          </rPr>
          <t>03/08/1803 Muster: IR 62 Haupt Wöber Komp. Nr. 151</t>
        </r>
        <r>
          <rPr>
            <sz val="14"/>
            <color rgb="FF000000"/>
            <rFont val="Calibri"/>
            <family val="34"/>
          </rPr>
          <t xml:space="preserve">
</t>
        </r>
        <r>
          <rPr>
            <sz val="14"/>
            <color rgb="FF000000"/>
            <rFont val="Times New Roman"/>
            <family val="18"/>
          </rPr>
          <t>10/09/1804 Muster: IR 62 Haupt Wöber Komp. Nr. 137</t>
        </r>
        <r>
          <rPr>
            <sz val="14"/>
            <color rgb="FF000000"/>
            <rFont val="Calibri"/>
            <family val="34"/>
          </rPr>
          <t xml:space="preserve">
</t>
        </r>
      </text>
    </comment>
    <comment ref="BG443" authorId="0" shapeId="0" xr:uid="{13E47B3C-31DE-3D45-80B0-690B86BA80C7}">
      <text>
        <r>
          <rPr>
            <sz val="14"/>
            <color rgb="FF000000"/>
            <rFont val="Times New Roman"/>
            <family val="18"/>
          </rPr>
          <t>ML 5205 IR 62 (1802) – Haupt Wöber Komp. Nr. 165 (Staszow 21/09/1802)</t>
        </r>
        <r>
          <rPr>
            <sz val="14"/>
            <color rgb="FF000000"/>
            <rFont val="Calibri"/>
            <family val="34"/>
          </rPr>
          <t xml:space="preserve">
</t>
        </r>
        <r>
          <rPr>
            <sz val="14"/>
            <color rgb="FF000000"/>
            <rFont val="Times New Roman"/>
            <family val="18"/>
          </rPr>
          <t>ML 5206 IR 62 (1803) – Haupt Wöber Komp. Nr. 151 (Staszow 03/08/1803)</t>
        </r>
        <r>
          <rPr>
            <sz val="14"/>
            <color rgb="FF000000"/>
            <rFont val="Calibri"/>
            <family val="34"/>
          </rPr>
          <t xml:space="preserve">
</t>
        </r>
        <r>
          <rPr>
            <sz val="14"/>
            <color rgb="FF000000"/>
            <rFont val="Times New Roman"/>
            <family val="18"/>
          </rPr>
          <t>ML 5207 IR 62 (1804) – Haupt Wöber Komp. Nr. 137 (Staszow 10/09/1804)</t>
        </r>
        <r>
          <rPr>
            <sz val="14"/>
            <color rgb="FF000000"/>
            <rFont val="Calibri"/>
            <family val="34"/>
          </rPr>
          <t xml:space="preserve">
</t>
        </r>
      </text>
    </comment>
    <comment ref="BH443" authorId="0" shapeId="0" xr:uid="{494CAEBB-ED94-154D-9012-FDDB495FC22A}">
      <text>
        <r>
          <rPr>
            <sz val="14"/>
            <color rgb="FF000000"/>
            <rFont val="Calibri"/>
            <family val="34"/>
          </rPr>
          <t>IR 62 (1801-1804)</t>
        </r>
      </text>
    </comment>
    <comment ref="T444" authorId="0" shapeId="0" xr:uid="{89D75047-FB9E-7742-B0F4-7947646E9F54}">
      <text>
        <r>
          <rPr>
            <sz val="14"/>
            <color rgb="FF000000"/>
            <rFont val="Calibri"/>
            <family val="34"/>
          </rPr>
          <t xml:space="preserve">5.4 [168.52 (1802)]
</t>
        </r>
        <r>
          <rPr>
            <sz val="14"/>
            <color rgb="FF000000"/>
            <rFont val="Calibri"/>
            <family val="34"/>
          </rPr>
          <t>5.5.2 [171.59 (1803)]</t>
        </r>
      </text>
    </comment>
    <comment ref="BF444" authorId="0" shapeId="0" xr:uid="{382A7E3F-0DF9-0641-9C0E-569442D5CF4A}">
      <text>
        <r>
          <rPr>
            <sz val="14"/>
            <color rgb="FF000000"/>
            <rFont val="Times New Roman"/>
            <family val="18"/>
          </rPr>
          <t xml:space="preserve">09/01/1802 </t>
        </r>
        <r>
          <rPr>
            <i/>
            <sz val="14"/>
            <color rgb="FF000000"/>
            <rFont val="Times New Roman"/>
            <family val="18"/>
          </rPr>
          <t>Gegen 26Fl Handgeld und 6 Jährige Capitulation zu Günzburg Assentiert</t>
        </r>
        <r>
          <rPr>
            <sz val="14"/>
            <color rgb="FF000000"/>
            <rFont val="Times New Roman"/>
            <family val="18"/>
          </rPr>
          <t xml:space="preserve"> [ML 1802]</t>
        </r>
        <r>
          <rPr>
            <sz val="14"/>
            <color rgb="FF000000"/>
            <rFont val="Calibri"/>
            <family val="34"/>
          </rPr>
          <t xml:space="preserve">
</t>
        </r>
        <r>
          <rPr>
            <sz val="14"/>
            <color rgb="FF000000"/>
            <rFont val="Times New Roman"/>
            <family val="18"/>
          </rPr>
          <t>27/09/1802 Muster: IR 41 Haupt Tirou Komp. Nr. 150</t>
        </r>
        <r>
          <rPr>
            <sz val="14"/>
            <color rgb="FF000000"/>
            <rFont val="Calibri"/>
            <family val="34"/>
          </rPr>
          <t xml:space="preserve">
</t>
        </r>
        <r>
          <rPr>
            <sz val="14"/>
            <color rgb="FF000000"/>
            <rFont val="Times New Roman"/>
            <family val="18"/>
          </rPr>
          <t>20/09/1803 Muter: IR 41 Haupt Tirou Komp. Nr. 120</t>
        </r>
        <r>
          <rPr>
            <sz val="14"/>
            <color rgb="FF000000"/>
            <rFont val="Calibri"/>
            <family val="34"/>
          </rPr>
          <t xml:space="preserve">
</t>
        </r>
        <r>
          <rPr>
            <sz val="14"/>
            <color rgb="FF000000"/>
            <rFont val="Times New Roman"/>
            <family val="18"/>
          </rPr>
          <t xml:space="preserve">15/01/1804 </t>
        </r>
        <r>
          <rPr>
            <i/>
            <sz val="14"/>
            <color rgb="FF000000"/>
            <rFont val="Times New Roman"/>
            <family val="18"/>
          </rPr>
          <t>Ex loco desertiert</t>
        </r>
        <r>
          <rPr>
            <sz val="14"/>
            <color rgb="FF000000"/>
            <rFont val="Times New Roman"/>
            <family val="18"/>
          </rPr>
          <t xml:space="preserve"> [ML 1804]</t>
        </r>
        <r>
          <rPr>
            <sz val="14"/>
            <color rgb="FF000000"/>
            <rFont val="Calibri"/>
            <family val="34"/>
          </rPr>
          <t xml:space="preserve">
</t>
        </r>
      </text>
    </comment>
    <comment ref="BG444" authorId="0" shapeId="0" xr:uid="{CE48AE10-C83B-2142-8240-0F56ED68AFDE}">
      <text>
        <r>
          <rPr>
            <sz val="14"/>
            <color rgb="FF000000"/>
            <rFont val="Times New Roman"/>
            <family val="18"/>
          </rPr>
          <t>ML 3677 IR 41 (1802) – Haupt Tirou Coy, Nr. 150 (Innsbruck 27/9/1802)</t>
        </r>
        <r>
          <rPr>
            <sz val="14"/>
            <color rgb="FF000000"/>
            <rFont val="Calibri"/>
            <family val="34"/>
          </rPr>
          <t xml:space="preserve">
</t>
        </r>
        <r>
          <rPr>
            <sz val="14"/>
            <color rgb="FF000000"/>
            <rFont val="Times New Roman"/>
            <family val="18"/>
          </rPr>
          <t>ML 3678 IR 41 (1803) – Haupt Tirou Coy. Nr. 120 (Harth 20/09/1803)</t>
        </r>
        <r>
          <rPr>
            <sz val="14"/>
            <color rgb="FF000000"/>
            <rFont val="Calibri"/>
            <family val="34"/>
          </rPr>
          <t xml:space="preserve">
</t>
        </r>
        <r>
          <rPr>
            <sz val="14"/>
            <color rgb="FF000000"/>
            <rFont val="Times New Roman"/>
            <family val="18"/>
          </rPr>
          <t>ML 3679 IR 41 (1804) – Haupt Tirou Coy Abgang 15/01/1804 (27/08/1804)</t>
        </r>
        <r>
          <rPr>
            <sz val="14"/>
            <color rgb="FF000000"/>
            <rFont val="Calibri"/>
            <family val="34"/>
          </rPr>
          <t xml:space="preserve">
</t>
        </r>
      </text>
    </comment>
    <comment ref="BH444" authorId="0" shapeId="0" xr:uid="{5B2B6AF4-231B-5443-BCF9-F5B1355E1632}">
      <text>
        <r>
          <rPr>
            <sz val="14"/>
            <color rgb="FF000000"/>
            <rFont val="Calibri"/>
            <family val="34"/>
          </rPr>
          <t>IR 41 (1802-1804)</t>
        </r>
      </text>
    </comment>
    <comment ref="CR444" authorId="0" shapeId="0" xr:uid="{D08FAA68-4FA0-A94E-8DE9-C8F7526F1F96}">
      <text>
        <r>
          <rPr>
            <sz val="14"/>
            <color rgb="FF000000"/>
            <rFont val="Calibri"/>
            <family val="34"/>
          </rPr>
          <t>1802: war Jüdisch ist Katolisch</t>
        </r>
        <r>
          <rPr>
            <sz val="14"/>
            <color rgb="FF000000"/>
            <rFont val="Calibri"/>
            <family val="2"/>
          </rPr>
          <t xml:space="preserve"> </t>
        </r>
        <r>
          <rPr>
            <sz val="14"/>
            <color rgb="FF000000"/>
            <rFont val="Calibri"/>
            <family val="34"/>
          </rPr>
          <t xml:space="preserve">
</t>
        </r>
        <r>
          <rPr>
            <sz val="14"/>
            <color rgb="FF000000"/>
            <rFont val="Calibri"/>
            <family val="34"/>
          </rPr>
          <t xml:space="preserve">1803: Katolisch  </t>
        </r>
      </text>
    </comment>
    <comment ref="BF445" authorId="0" shapeId="0" xr:uid="{CF83D8EC-17E1-6741-A509-DAFE82BC107E}">
      <text>
        <r>
          <rPr>
            <sz val="14"/>
            <color rgb="FF000000"/>
            <rFont val="Times New Roman"/>
            <family val="18"/>
          </rPr>
          <t xml:space="preserve">30/05/1802 </t>
        </r>
        <r>
          <rPr>
            <i/>
            <sz val="14"/>
            <color rgb="FF000000"/>
            <rFont val="Times New Roman"/>
            <family val="18"/>
          </rPr>
          <t>Als Regiments Rekrut gegen 10Fl Werbgeld</t>
        </r>
        <r>
          <rPr>
            <sz val="14"/>
            <color rgb="FF000000"/>
            <rFont val="Times New Roman"/>
            <family val="18"/>
          </rPr>
          <t xml:space="preserve"> [Handgeld 3Fl; Anbringsgeld 2Fl; Unkosten 4Fl und Ersatz 1Fl] </t>
        </r>
        <r>
          <rPr>
            <i/>
            <sz val="14"/>
            <color rgb="FF000000"/>
            <rFont val="Times New Roman"/>
            <family val="18"/>
          </rPr>
          <t>auf Beständig zum IR 39 in</t>
        </r>
        <r>
          <rPr>
            <sz val="14"/>
            <color rgb="FF000000"/>
            <rFont val="Times New Roman"/>
            <family val="18"/>
          </rPr>
          <t xml:space="preserve"> </t>
        </r>
        <r>
          <rPr>
            <i/>
            <sz val="14"/>
            <color rgb="FF000000"/>
            <rFont val="Times New Roman"/>
            <family val="18"/>
          </rPr>
          <t>Bartfeld</t>
        </r>
        <r>
          <rPr>
            <sz val="14"/>
            <color rgb="FF000000"/>
            <rFont val="Times New Roman"/>
            <family val="18"/>
          </rPr>
          <t xml:space="preserve"> </t>
        </r>
        <r>
          <rPr>
            <b/>
            <sz val="14"/>
            <color rgb="FF000000"/>
            <rFont val="Times New Roman"/>
            <family val="18"/>
          </rPr>
          <t>[</t>
        </r>
        <r>
          <rPr>
            <b/>
            <u/>
            <sz val="14"/>
            <color rgb="FF0563C1"/>
            <rFont val="Times New Roman"/>
            <family val="18"/>
          </rPr>
          <t>Bardejov, Slovakia</t>
        </r>
        <r>
          <rPr>
            <b/>
            <sz val="14"/>
            <color rgb="FF000000"/>
            <rFont val="Times New Roman"/>
            <family val="18"/>
          </rPr>
          <t xml:space="preserve">] </t>
        </r>
        <r>
          <rPr>
            <i/>
            <sz val="14"/>
            <color rgb="FF000000"/>
            <rFont val="Times New Roman"/>
            <family val="18"/>
          </rPr>
          <t>freiwillig angeworben und seitdem bei Abrichtungsdepot mit ungarischen Loco Gebühr kommandiert [</t>
        </r>
        <r>
          <rPr>
            <sz val="14"/>
            <color rgb="FF000000"/>
            <rFont val="Times New Roman"/>
            <family val="18"/>
          </rPr>
          <t>AL Juni 1802 &amp; ST Juli 1802]</t>
        </r>
        <r>
          <rPr>
            <sz val="14"/>
            <color rgb="FF000000"/>
            <rFont val="Calibri"/>
            <family val="34"/>
          </rPr>
          <t xml:space="preserve">
</t>
        </r>
        <r>
          <rPr>
            <sz val="14"/>
            <color rgb="FF000000"/>
            <rFont val="Times New Roman"/>
            <family val="18"/>
          </rPr>
          <t xml:space="preserve">16/06/1802 </t>
        </r>
        <r>
          <rPr>
            <i/>
            <sz val="14"/>
            <color rgb="FF000000"/>
            <rFont val="Times New Roman"/>
            <family val="18"/>
          </rPr>
          <t>In Arrest a 3Xr</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05/10/1802 </t>
        </r>
        <r>
          <rPr>
            <i/>
            <sz val="14"/>
            <color rgb="FF000000"/>
            <rFont val="Times New Roman"/>
            <family val="18"/>
          </rPr>
          <t>Befreit und wieder in Ungarn mit loco Gebühr kommandiert</t>
        </r>
        <r>
          <rPr>
            <sz val="14"/>
            <color rgb="FF000000"/>
            <rFont val="Times New Roman"/>
            <family val="18"/>
          </rPr>
          <t xml:space="preserve"> [ST Nov 1802]</t>
        </r>
        <r>
          <rPr>
            <sz val="14"/>
            <color rgb="FF000000"/>
            <rFont val="Calibri"/>
            <family val="34"/>
          </rPr>
          <t xml:space="preserve">
</t>
        </r>
        <r>
          <rPr>
            <sz val="14"/>
            <color rgb="FF000000"/>
            <rFont val="Times New Roman"/>
            <family val="18"/>
          </rPr>
          <t>11/10/1802</t>
        </r>
        <r>
          <rPr>
            <i/>
            <sz val="14"/>
            <color rgb="FF000000"/>
            <rFont val="Times New Roman"/>
            <family val="18"/>
          </rPr>
          <t xml:space="preserve"> Auf Bestimmte Zeit beurlaubt </t>
        </r>
        <r>
          <rPr>
            <sz val="14"/>
            <color rgb="FF000000"/>
            <rFont val="Times New Roman"/>
            <family val="18"/>
          </rPr>
          <t>[ST Nov 1802]</t>
        </r>
        <r>
          <rPr>
            <sz val="14"/>
            <color rgb="FF000000"/>
            <rFont val="Calibri"/>
            <family val="34"/>
          </rPr>
          <t xml:space="preserve">
</t>
        </r>
        <r>
          <rPr>
            <sz val="14"/>
            <color rgb="FF000000"/>
            <rFont val="Times New Roman"/>
            <family val="18"/>
          </rPr>
          <t>09/09/1803 Muster: IR 39 ObristLt. Komp. Nr. 165 [</t>
        </r>
        <r>
          <rPr>
            <i/>
            <sz val="14"/>
            <color rgb="FF000000"/>
            <rFont val="Times New Roman"/>
            <family val="18"/>
          </rPr>
          <t>Im Anhero Marsche</t>
        </r>
        <r>
          <rPr>
            <sz val="14"/>
            <color rgb="FF000000"/>
            <rFont val="Times New Roman"/>
            <family val="18"/>
          </rPr>
          <t>]</t>
        </r>
        <r>
          <rPr>
            <sz val="14"/>
            <color rgb="FF000000"/>
            <rFont val="Calibri"/>
            <family val="34"/>
          </rPr>
          <t xml:space="preserve">
</t>
        </r>
        <r>
          <rPr>
            <sz val="14"/>
            <color rgb="FF000000"/>
            <rFont val="Times New Roman"/>
            <family val="18"/>
          </rPr>
          <t>24/05/1804 Muster: IR 39 ObristLt. Komp. Nr. 142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27/05/1805 </t>
        </r>
        <r>
          <rPr>
            <i/>
            <sz val="14"/>
            <color rgb="FF000000"/>
            <rFont val="Times New Roman"/>
            <family val="18"/>
          </rPr>
          <t>Von unbestimmte Urlaub selbst eingerückt und ab sofort in Arrest a 3Xr</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21/06/1805 </t>
        </r>
        <r>
          <rPr>
            <i/>
            <sz val="14"/>
            <color rgb="FF000000"/>
            <rFont val="Times New Roman"/>
            <family val="18"/>
          </rPr>
          <t>Zum Abrichtungsdepot abgegangen</t>
        </r>
        <r>
          <rPr>
            <sz val="14"/>
            <color rgb="FF000000"/>
            <rFont val="Times New Roman"/>
            <family val="18"/>
          </rPr>
          <t xml:space="preserve"> [ST Juli 1805]</t>
        </r>
        <r>
          <rPr>
            <sz val="14"/>
            <color rgb="FF000000"/>
            <rFont val="Calibri"/>
            <family val="34"/>
          </rPr>
          <t xml:space="preserve">
</t>
        </r>
        <r>
          <rPr>
            <sz val="14"/>
            <color rgb="FF000000"/>
            <rFont val="Times New Roman"/>
            <family val="18"/>
          </rPr>
          <t xml:space="preserve">13/08/1805 </t>
        </r>
        <r>
          <rPr>
            <i/>
            <sz val="14"/>
            <color rgb="FF000000"/>
            <rFont val="Times New Roman"/>
            <family val="18"/>
          </rPr>
          <t>In Arrest in Caschau gestorben</t>
        </r>
        <r>
          <rPr>
            <sz val="14"/>
            <color rgb="FF000000"/>
            <rFont val="Times New Roman"/>
            <family val="18"/>
          </rPr>
          <t xml:space="preserve"> [ST Sept 1805]</t>
        </r>
        <r>
          <rPr>
            <sz val="14"/>
            <color rgb="FF000000"/>
            <rFont val="Calibri"/>
            <family val="34"/>
          </rPr>
          <t xml:space="preserve">
</t>
        </r>
      </text>
    </comment>
    <comment ref="BG445" authorId="0" shapeId="0" xr:uid="{DDC5E6EF-7BD2-2140-BAA1-5532232248DC}">
      <text>
        <r>
          <rPr>
            <sz val="14"/>
            <color rgb="FF000000"/>
            <rFont val="Times New Roman"/>
            <family val="18"/>
          </rPr>
          <t>ML 3497 IR 39 (1803) – ObristLt Komp. Nr. 165 (Venice 09/09/1803)</t>
        </r>
        <r>
          <rPr>
            <sz val="14"/>
            <color rgb="FF000000"/>
            <rFont val="Calibri"/>
            <family val="34"/>
          </rPr>
          <t xml:space="preserve">
</t>
        </r>
        <r>
          <rPr>
            <sz val="14"/>
            <color rgb="FF000000"/>
            <rFont val="Times New Roman"/>
            <family val="18"/>
          </rPr>
          <t>ML 3498 IR 39 (1804) – ObristLt Komp. Nr. 142 (Lido 24/05/1804)</t>
        </r>
        <r>
          <rPr>
            <sz val="14"/>
            <color rgb="FF000000"/>
            <rFont val="Calibri"/>
            <family val="34"/>
          </rPr>
          <t xml:space="preserve">
</t>
        </r>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3543 IR 39 (1802) – AL Nr. 5 (Bartfeld 30/06/1802); ST Juli (16/08/1802); ST Aug (15/09/1802); ST Nov (15/12/1802)</t>
        </r>
        <r>
          <rPr>
            <sz val="14"/>
            <color rgb="FF000000"/>
            <rFont val="Calibri"/>
            <family val="34"/>
          </rPr>
          <t xml:space="preserve">
</t>
        </r>
        <r>
          <rPr>
            <sz val="14"/>
            <color rgb="FF000000"/>
            <rFont val="Times New Roman"/>
            <family val="18"/>
          </rPr>
          <t>ML 3546 IR 39 (1805) – ST Juli (Pergine 28/08/1805), ST Sept (Stuhlweißenburg 15/07/1806)</t>
        </r>
        <r>
          <rPr>
            <sz val="14"/>
            <color rgb="FF000000"/>
            <rFont val="Calibri"/>
            <family val="34"/>
          </rPr>
          <t xml:space="preserve">
</t>
        </r>
      </text>
    </comment>
    <comment ref="BH445" authorId="0" shapeId="0" xr:uid="{0FDB8B9D-E9B7-3940-BC76-A18790B428DA}">
      <text>
        <r>
          <rPr>
            <sz val="14"/>
            <color rgb="FF000000"/>
            <rFont val="Calibri"/>
            <family val="34"/>
          </rPr>
          <t>IR 39 (1802-1805)</t>
        </r>
      </text>
    </comment>
    <comment ref="BF446" authorId="0" shapeId="0" xr:uid="{CC138693-6D18-6848-B227-34632751C03E}">
      <text>
        <r>
          <rPr>
            <sz val="14"/>
            <color rgb="FF000000"/>
            <rFont val="Times New Roman"/>
            <family val="18"/>
          </rPr>
          <t>30/05/1802 z</t>
        </r>
        <r>
          <rPr>
            <i/>
            <sz val="14"/>
            <color rgb="FF000000"/>
            <rFont val="Times New Roman"/>
            <family val="18"/>
          </rPr>
          <t xml:space="preserve">u IR 3 EH Carl mit 12-Jähriger Capitulation assentiert </t>
        </r>
        <r>
          <rPr>
            <sz val="14"/>
            <color rgb="FF000000"/>
            <rFont val="Times New Roman"/>
            <family val="18"/>
          </rPr>
          <t>[ML 1804]</t>
        </r>
        <r>
          <rPr>
            <sz val="14"/>
            <color rgb="FF000000"/>
            <rFont val="Calibri"/>
            <family val="34"/>
          </rPr>
          <t xml:space="preserve">
</t>
        </r>
        <r>
          <rPr>
            <sz val="14"/>
            <color rgb="FF000000"/>
            <rFont val="Times New Roman"/>
            <family val="18"/>
          </rPr>
          <t xml:space="preserve">21/10/1803 </t>
        </r>
        <r>
          <rPr>
            <i/>
            <sz val="14"/>
            <color rgb="FF000000"/>
            <rFont val="Times New Roman"/>
            <family val="18"/>
          </rPr>
          <t xml:space="preserve">von IR 3 EH Carl zum 2. Feld Artillerie Regiment 5. Ordinaire transferiert </t>
        </r>
        <r>
          <rPr>
            <sz val="14"/>
            <color rgb="FF000000"/>
            <rFont val="Times New Roman"/>
            <family val="18"/>
          </rPr>
          <t>[ML 1804]</t>
        </r>
        <r>
          <rPr>
            <sz val="14"/>
            <color rgb="FF000000"/>
            <rFont val="Calibri"/>
            <family val="34"/>
          </rPr>
          <t xml:space="preserve">
</t>
        </r>
        <r>
          <rPr>
            <sz val="14"/>
            <color rgb="FF000000"/>
            <rFont val="Times New Roman"/>
            <family val="18"/>
          </rPr>
          <t xml:space="preserve">01/06/1804 </t>
        </r>
        <r>
          <rPr>
            <i/>
            <sz val="14"/>
            <color rgb="FF000000"/>
            <rFont val="Times New Roman"/>
            <family val="18"/>
          </rPr>
          <t>von 5. zum 7. Ordinaire transferiert und zum Cannonier avanciert</t>
        </r>
        <r>
          <rPr>
            <sz val="14"/>
            <color rgb="FF000000"/>
            <rFont val="Times New Roman"/>
            <family val="18"/>
          </rPr>
          <t xml:space="preserve"> [ML 1804]</t>
        </r>
        <r>
          <rPr>
            <sz val="14"/>
            <color rgb="FF000000"/>
            <rFont val="Calibri"/>
            <family val="34"/>
          </rPr>
          <t xml:space="preserve">
</t>
        </r>
        <r>
          <rPr>
            <sz val="14"/>
            <color rgb="FF000000"/>
            <rFont val="Times New Roman"/>
            <family val="18"/>
          </rPr>
          <t>06/08/1804 Musterung: FAR 2 7. Ordinaire Nr. 110</t>
        </r>
        <r>
          <rPr>
            <sz val="14"/>
            <color rgb="FF000000"/>
            <rFont val="Calibri"/>
            <family val="34"/>
          </rPr>
          <t xml:space="preserve">
</t>
        </r>
        <r>
          <rPr>
            <sz val="14"/>
            <color rgb="FF000000"/>
            <rFont val="Times New Roman"/>
            <family val="18"/>
          </rPr>
          <t xml:space="preserve">11/05/1805 </t>
        </r>
        <r>
          <rPr>
            <i/>
            <sz val="14"/>
            <color rgb="FF000000"/>
            <rFont val="Times New Roman"/>
            <family val="18"/>
          </rPr>
          <t>Krank in Wien Garnison Spital Hier ohne Service</t>
        </r>
        <r>
          <rPr>
            <sz val="14"/>
            <color rgb="FF000000"/>
            <rFont val="Times New Roman"/>
            <family val="18"/>
          </rPr>
          <t xml:space="preserve"> [ST Mai 1805]</t>
        </r>
        <r>
          <rPr>
            <sz val="14"/>
            <color rgb="FF000000"/>
            <rFont val="Calibri"/>
            <family val="34"/>
          </rPr>
          <t xml:space="preserve">
</t>
        </r>
        <r>
          <rPr>
            <sz val="14"/>
            <color rgb="FF000000"/>
            <rFont val="Times New Roman"/>
            <family val="18"/>
          </rPr>
          <t xml:space="preserve">20/07/1805 </t>
        </r>
        <r>
          <rPr>
            <i/>
            <sz val="14"/>
            <color rgb="FF000000"/>
            <rFont val="Times New Roman"/>
            <family val="18"/>
          </rPr>
          <t>Reconvalesicert</t>
        </r>
        <r>
          <rPr>
            <sz val="14"/>
            <color rgb="FF000000"/>
            <rFont val="Times New Roman"/>
            <family val="18"/>
          </rPr>
          <t xml:space="preserve"> [ST July 1805]</t>
        </r>
        <r>
          <rPr>
            <sz val="14"/>
            <color rgb="FF000000"/>
            <rFont val="Calibri"/>
            <family val="34"/>
          </rPr>
          <t xml:space="preserve">
</t>
        </r>
        <r>
          <rPr>
            <sz val="14"/>
            <color rgb="FF000000"/>
            <rFont val="Times New Roman"/>
            <family val="18"/>
          </rPr>
          <t xml:space="preserve">07/08/1805 </t>
        </r>
        <r>
          <rPr>
            <i/>
            <sz val="14"/>
            <color rgb="FF000000"/>
            <rFont val="Times New Roman"/>
            <family val="18"/>
          </rPr>
          <t>Von 7. Zum 10 Ordinaire transferiert</t>
        </r>
        <r>
          <rPr>
            <sz val="14"/>
            <color rgb="FF000000"/>
            <rFont val="Times New Roman"/>
            <family val="18"/>
          </rPr>
          <t xml:space="preserve"> [St Aug 1805]</t>
        </r>
        <r>
          <rPr>
            <sz val="14"/>
            <color rgb="FF000000"/>
            <rFont val="Calibri"/>
            <family val="34"/>
          </rPr>
          <t xml:space="preserve">
</t>
        </r>
        <r>
          <rPr>
            <sz val="14"/>
            <color rgb="FF000000"/>
            <rFont val="Times New Roman"/>
            <family val="18"/>
          </rPr>
          <t xml:space="preserve">15/08/1805 </t>
        </r>
        <r>
          <rPr>
            <i/>
            <sz val="14"/>
            <color rgb="FF000000"/>
            <rFont val="Times New Roman"/>
            <family val="18"/>
          </rPr>
          <t>Vermog General Commando Verordnung det 10 dicti Gegen Erhaltung des Dienst Gratiale 5Fl 10Xr und Entlassung auf sonstige Beneficien</t>
        </r>
        <r>
          <rPr>
            <sz val="14"/>
            <color rgb="FF000000"/>
            <rFont val="Times New Roman"/>
            <family val="18"/>
          </rPr>
          <t xml:space="preserve"> [ST 1805]</t>
        </r>
      </text>
    </comment>
    <comment ref="BG446" authorId="0" shapeId="0" xr:uid="{F40366E7-B5FC-1D4D-A36A-C0EA1151E78E}">
      <text>
        <r>
          <rPr>
            <sz val="14"/>
            <color rgb="FF000000"/>
            <rFont val="Times New Roman"/>
            <family val="18"/>
          </rPr>
          <t xml:space="preserve">ML 274 IR 3 (1801/2) AL/TL – AL Nr. 1 (Vienna 30/05/1802)
</t>
        </r>
        <r>
          <rPr>
            <sz val="14"/>
            <color rgb="FF000000"/>
            <rFont val="Times New Roman"/>
            <family val="18"/>
          </rPr>
          <t>ML 8056 FAR 2 (1804) – 5. Ord. Comp. – Zuwachs &amp; Abgang (Wien Rennweg 06/08/1804) und 7. Ord. Comp. Nr. 110 (Wien Rennweg 06/08/1804)</t>
        </r>
        <r>
          <rPr>
            <sz val="14"/>
            <color rgb="FF000000"/>
            <rFont val="Calibri"/>
            <family val="34"/>
          </rPr>
          <t xml:space="preserve">
</t>
        </r>
        <r>
          <rPr>
            <sz val="14"/>
            <color rgb="FF000000"/>
            <rFont val="Times New Roman"/>
            <family val="18"/>
          </rPr>
          <t>ML 8057 FAR (1806) – 7. Ord. Comp. – Abgang (Wien Rennweg 22/12/1806) &amp; 10. Ord. Comp. – Abgang</t>
        </r>
        <r>
          <rPr>
            <sz val="14"/>
            <color rgb="FF000000"/>
            <rFont val="Calibri"/>
            <family val="34"/>
          </rPr>
          <t xml:space="preserve">
</t>
        </r>
        <r>
          <rPr>
            <sz val="14"/>
            <color rgb="FF000000"/>
            <rFont val="Times New Roman"/>
            <family val="18"/>
          </rPr>
          <t>ML 8090 FAR 2 (1805) – ST Mai (15/06/1805), Juli (15/08/1805) und Aug (20/09/1805)</t>
        </r>
        <r>
          <rPr>
            <sz val="14"/>
            <color rgb="FF000000"/>
            <rFont val="Calibri"/>
            <family val="34"/>
          </rPr>
          <t xml:space="preserve">
</t>
        </r>
      </text>
    </comment>
    <comment ref="BH446" authorId="0" shapeId="0" xr:uid="{19955B25-B7F6-1B4A-B7E0-2B3F9C3FA1BF}">
      <text>
        <r>
          <rPr>
            <sz val="14"/>
            <color rgb="FF000000"/>
            <rFont val="Calibri"/>
            <family val="34"/>
          </rPr>
          <t xml:space="preserve">IR 3 (1802-1803)
</t>
        </r>
        <r>
          <rPr>
            <sz val="14"/>
            <color rgb="FF000000"/>
            <rFont val="Calibri"/>
            <family val="34"/>
          </rPr>
          <t>FAR 2 (1803-1805)</t>
        </r>
      </text>
    </comment>
    <comment ref="BF447" authorId="0" shapeId="0" xr:uid="{01D5A9BE-3D83-CC4D-8110-694E3E8E1EC9}">
      <text>
        <r>
          <rPr>
            <sz val="14"/>
            <color rgb="FF000000"/>
            <rFont val="Times New Roman"/>
            <family val="18"/>
          </rPr>
          <t xml:space="preserve">22/09/1802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31/07/1803 </t>
        </r>
        <r>
          <rPr>
            <i/>
            <sz val="14"/>
            <color rgb="FF000000"/>
            <rFont val="Times New Roman"/>
            <family val="18"/>
          </rPr>
          <t>während der Urlaub desertiert</t>
        </r>
        <r>
          <rPr>
            <sz val="14"/>
            <color rgb="FF000000"/>
            <rFont val="Times New Roman"/>
            <family val="18"/>
          </rPr>
          <t xml:space="preserve"> [ML 1803]</t>
        </r>
        <r>
          <rPr>
            <sz val="14"/>
            <color rgb="FF000000"/>
            <rFont val="Calibri"/>
            <family val="34"/>
          </rPr>
          <t xml:space="preserve">
</t>
        </r>
      </text>
    </comment>
    <comment ref="BG447" authorId="0" shapeId="0" xr:uid="{A54FDB56-39D7-6C4F-8F2C-BCA82D27B0A1}">
      <text>
        <r>
          <rPr>
            <sz val="14"/>
            <color rgb="FF000000"/>
            <rFont val="Times New Roman"/>
            <family val="18"/>
          </rPr>
          <t>ML 5015 IR 59 (1803) – Haupt Richter Komp. Nr. 128 (Enns 29/08/1803)</t>
        </r>
        <r>
          <rPr>
            <sz val="14"/>
            <color rgb="FF000000"/>
            <rFont val="Calibri"/>
            <family val="34"/>
          </rPr>
          <t xml:space="preserve">
</t>
        </r>
        <r>
          <rPr>
            <sz val="14"/>
            <color rgb="FF000000"/>
            <rFont val="Times New Roman"/>
            <family val="18"/>
          </rPr>
          <t>ML 5016 IR 59 (1804) – Haupt Richter Komp. Abgang (Innsbruck 03/09/1804)</t>
        </r>
        <r>
          <rPr>
            <sz val="14"/>
            <color rgb="FF000000"/>
            <rFont val="Calibri"/>
            <family val="34"/>
          </rPr>
          <t xml:space="preserve">
</t>
        </r>
      </text>
    </comment>
    <comment ref="BH447" authorId="0" shapeId="0" xr:uid="{D0C7BF74-68CF-4C45-AF6C-288AFB26BA64}">
      <text>
        <r>
          <rPr>
            <sz val="14"/>
            <color rgb="FF000000"/>
            <rFont val="Calibri"/>
            <family val="34"/>
          </rPr>
          <t xml:space="preserve">IR 49 (1802)
</t>
        </r>
        <r>
          <rPr>
            <sz val="14"/>
            <color rgb="FF000000"/>
            <rFont val="Calibri"/>
            <family val="34"/>
          </rPr>
          <t>IR 59 (1802-1803)</t>
        </r>
      </text>
    </comment>
    <comment ref="BF448" authorId="0" shapeId="0" xr:uid="{5E1001FE-88B7-0248-9D3B-72BEFFCA51BD}">
      <text>
        <r>
          <rPr>
            <sz val="14"/>
            <color rgb="FF000000"/>
            <rFont val="Times New Roman"/>
            <family val="18"/>
          </rPr>
          <t xml:space="preserve">03/09/1802 </t>
        </r>
        <r>
          <rPr>
            <i/>
            <sz val="14"/>
            <color rgb="FF000000"/>
            <rFont val="Times New Roman"/>
            <family val="18"/>
          </rPr>
          <t>Dient seit mindestens am IR 30 2. Grenadier Komp.</t>
        </r>
        <r>
          <rPr>
            <sz val="14"/>
            <color rgb="FF000000"/>
            <rFont val="Calibri"/>
            <family val="34"/>
          </rPr>
          <t xml:space="preserve">
</t>
        </r>
        <r>
          <rPr>
            <sz val="14"/>
            <color rgb="FF000000"/>
            <rFont val="Times New Roman"/>
            <family val="18"/>
          </rPr>
          <t xml:space="preserve">23/11/1802 </t>
        </r>
        <r>
          <rPr>
            <i/>
            <sz val="14"/>
            <color rgb="FF000000"/>
            <rFont val="Times New Roman"/>
            <family val="18"/>
          </rPr>
          <t>Ex loco einzig Ohne Feuergewehr desertiert</t>
        </r>
        <r>
          <rPr>
            <sz val="14"/>
            <color rgb="FF000000"/>
            <rFont val="Times New Roman"/>
            <family val="18"/>
          </rPr>
          <t xml:space="preserve"> [ML 1803]</t>
        </r>
        <r>
          <rPr>
            <sz val="14"/>
            <color rgb="FF000000"/>
            <rFont val="Calibri"/>
            <family val="34"/>
          </rPr>
          <t xml:space="preserve">
</t>
        </r>
      </text>
    </comment>
    <comment ref="BG448" authorId="0" shapeId="0" xr:uid="{E5D4BE69-D5A2-A247-B003-EDF322BB80FD}">
      <text>
        <r>
          <rPr>
            <sz val="14"/>
            <color rgb="FF000000"/>
            <rFont val="Times New Roman"/>
            <family val="18"/>
          </rPr>
          <t>ML 2630 IR 30 (1803) – 2. Major Komp. Abgang (Lemberg 12/08/1803)</t>
        </r>
        <r>
          <rPr>
            <sz val="14"/>
            <color rgb="FF000000"/>
            <rFont val="Calibri"/>
            <family val="34"/>
          </rPr>
          <t xml:space="preserve">
</t>
        </r>
      </text>
    </comment>
    <comment ref="BH448" authorId="0" shapeId="0" xr:uid="{0C8EE964-D1E9-0144-B76D-C49B852E0FF6}">
      <text>
        <r>
          <rPr>
            <sz val="14"/>
            <color rgb="FF000000"/>
            <rFont val="Calibri"/>
            <family val="34"/>
          </rPr>
          <t>IR 30 (1802)</t>
        </r>
      </text>
    </comment>
    <comment ref="BF449" authorId="0" shapeId="0" xr:uid="{8111E2B8-149A-F84E-A400-59AD8734B1AE}">
      <text>
        <r>
          <rPr>
            <sz val="14"/>
            <color rgb="FF000000"/>
            <rFont val="Times New Roman"/>
            <family val="18"/>
          </rPr>
          <t xml:space="preserve">03/09/1802 </t>
        </r>
        <r>
          <rPr>
            <i/>
            <sz val="14"/>
            <color rgb="FF000000"/>
            <rFont val="Times New Roman"/>
            <family val="18"/>
          </rPr>
          <t>Dient seit mindestens am IR 30 2. Major Komp.</t>
        </r>
        <r>
          <rPr>
            <sz val="14"/>
            <color rgb="FF000000"/>
            <rFont val="Calibri"/>
            <family val="34"/>
          </rPr>
          <t xml:space="preserve">
</t>
        </r>
        <r>
          <rPr>
            <sz val="14"/>
            <color rgb="FF000000"/>
            <rFont val="Times New Roman"/>
            <family val="18"/>
          </rPr>
          <t xml:space="preserve">30/08/1802 </t>
        </r>
        <r>
          <rPr>
            <i/>
            <sz val="14"/>
            <color rgb="FF000000"/>
            <rFont val="Times New Roman"/>
            <family val="18"/>
          </rPr>
          <t xml:space="preserve">Über Urlaub desertiert </t>
        </r>
        <r>
          <rPr>
            <sz val="14"/>
            <color rgb="FF000000"/>
            <rFont val="Times New Roman"/>
            <family val="18"/>
          </rPr>
          <t>[ML 1803]</t>
        </r>
        <r>
          <rPr>
            <sz val="14"/>
            <color rgb="FF000000"/>
            <rFont val="Calibri"/>
            <family val="34"/>
          </rPr>
          <t xml:space="preserve">
</t>
        </r>
      </text>
    </comment>
    <comment ref="BG449" authorId="0" shapeId="0" xr:uid="{10F983CB-246E-604D-9A49-850561892726}">
      <text>
        <r>
          <rPr>
            <sz val="14"/>
            <color rgb="FF000000"/>
            <rFont val="Times New Roman"/>
            <family val="18"/>
          </rPr>
          <t>ML 2630 IR 30 (1803) – 2. Gren. Komp. Abgang (Lemberg 12/08/1803)</t>
        </r>
        <r>
          <rPr>
            <sz val="14"/>
            <color rgb="FF000000"/>
            <rFont val="Calibri"/>
            <family val="34"/>
          </rPr>
          <t xml:space="preserve">
</t>
        </r>
      </text>
    </comment>
    <comment ref="BH449" authorId="0" shapeId="0" xr:uid="{A2D2EA51-99F3-9443-872E-53A8B4F9CBFC}">
      <text>
        <r>
          <rPr>
            <sz val="14"/>
            <color rgb="FF000000"/>
            <rFont val="Calibri"/>
            <family val="34"/>
          </rPr>
          <t>IR 30 (1802)</t>
        </r>
      </text>
    </comment>
    <comment ref="BF450" authorId="0" shapeId="0" xr:uid="{529E97E1-9D3E-A649-9AF6-B051CC4594E0}">
      <text>
        <r>
          <rPr>
            <sz val="14"/>
            <color rgb="FF000000"/>
            <rFont val="Times New Roman"/>
            <family val="18"/>
          </rPr>
          <t xml:space="preserve">03/09/1802 </t>
        </r>
        <r>
          <rPr>
            <i/>
            <sz val="14"/>
            <color rgb="FF000000"/>
            <rFont val="Times New Roman"/>
            <family val="18"/>
          </rPr>
          <t>Dient seit mindestens am IR 30 Groenvink Komp.</t>
        </r>
        <r>
          <rPr>
            <sz val="14"/>
            <color rgb="FF000000"/>
            <rFont val="Calibri"/>
            <family val="34"/>
          </rPr>
          <t xml:space="preserve">
</t>
        </r>
        <r>
          <rPr>
            <sz val="14"/>
            <color rgb="FF000000"/>
            <rFont val="Times New Roman"/>
            <family val="18"/>
          </rPr>
          <t xml:space="preserve">21/09/1802 </t>
        </r>
        <r>
          <rPr>
            <i/>
            <sz val="14"/>
            <color rgb="FF000000"/>
            <rFont val="Times New Roman"/>
            <family val="18"/>
          </rPr>
          <t>Ex loco ausser dinest ohne Fueregewehr mit complette</t>
        </r>
        <r>
          <rPr>
            <sz val="14"/>
            <color rgb="FF000000"/>
            <rFont val="Times New Roman"/>
            <family val="18"/>
          </rPr>
          <t xml:space="preserve"> </t>
        </r>
        <r>
          <rPr>
            <b/>
            <sz val="14"/>
            <color rgb="FF000000"/>
            <rFont val="Times New Roman"/>
            <family val="18"/>
          </rPr>
          <t xml:space="preserve">[mit 4 andere]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450" authorId="0" shapeId="0" xr:uid="{968234F4-A4FA-C24F-88CB-B175D424C362}">
      <text>
        <r>
          <rPr>
            <sz val="14"/>
            <color rgb="FF000000"/>
            <rFont val="Times New Roman"/>
            <family val="18"/>
          </rPr>
          <t>ML 2630 IR 30 (1803) – Haupt. Groenvink Komp. Abgang (Lemberg 12/08/1803)</t>
        </r>
        <r>
          <rPr>
            <sz val="14"/>
            <color rgb="FF000000"/>
            <rFont val="Calibri"/>
            <family val="34"/>
          </rPr>
          <t xml:space="preserve">
</t>
        </r>
      </text>
    </comment>
    <comment ref="BH450" authorId="0" shapeId="0" xr:uid="{16C003F5-2020-F847-AAE7-447F588CA459}">
      <text>
        <r>
          <rPr>
            <sz val="14"/>
            <color rgb="FF000000"/>
            <rFont val="Calibri"/>
            <family val="34"/>
          </rPr>
          <t>IR 30 (1802)</t>
        </r>
      </text>
    </comment>
    <comment ref="BF451" authorId="0" shapeId="0" xr:uid="{D86D95A7-DCFF-534D-9AD7-F262E1C043C0}">
      <text>
        <r>
          <rPr>
            <sz val="14"/>
            <color rgb="FF000000"/>
            <rFont val="Times New Roman"/>
            <family val="18"/>
          </rPr>
          <t xml:space="preserve">03/09/1802 </t>
        </r>
        <r>
          <rPr>
            <i/>
            <sz val="14"/>
            <color rgb="FF000000"/>
            <rFont val="Times New Roman"/>
            <family val="18"/>
          </rPr>
          <t>Dient seit mindestens am IR 30 Groenvink Komp.</t>
        </r>
        <r>
          <rPr>
            <sz val="14"/>
            <color rgb="FF000000"/>
            <rFont val="Calibri"/>
            <family val="34"/>
          </rPr>
          <t xml:space="preserve">
</t>
        </r>
        <r>
          <rPr>
            <sz val="14"/>
            <color rgb="FF000000"/>
            <rFont val="Times New Roman"/>
            <family val="18"/>
          </rPr>
          <t xml:space="preserve">22/09/1802 </t>
        </r>
        <r>
          <rPr>
            <i/>
            <sz val="14"/>
            <color rgb="FF000000"/>
            <rFont val="Times New Roman"/>
            <family val="18"/>
          </rPr>
          <t>Ex loco ausser dinest ohne Fueregewehr einsichtig</t>
        </r>
        <r>
          <rPr>
            <sz val="14"/>
            <color rgb="FF000000"/>
            <rFont val="Times New Roman"/>
            <family val="18"/>
          </rPr>
          <t xml:space="preserve"> </t>
        </r>
        <r>
          <rPr>
            <i/>
            <sz val="14"/>
            <color rgb="FF000000"/>
            <rFont val="Times New Roman"/>
            <family val="18"/>
          </rPr>
          <t>desertiert</t>
        </r>
        <r>
          <rPr>
            <sz val="14"/>
            <color rgb="FF000000"/>
            <rFont val="Times New Roman"/>
            <family val="18"/>
          </rPr>
          <t xml:space="preserve"> [ML 1803]</t>
        </r>
        <r>
          <rPr>
            <sz val="14"/>
            <color rgb="FF000000"/>
            <rFont val="Calibri"/>
            <family val="34"/>
          </rPr>
          <t xml:space="preserve">
</t>
        </r>
      </text>
    </comment>
    <comment ref="BG451" authorId="0" shapeId="0" xr:uid="{C0AF4354-F56E-6A49-8836-57AE9AD18977}">
      <text>
        <r>
          <rPr>
            <sz val="14"/>
            <color rgb="FF000000"/>
            <rFont val="Times New Roman"/>
            <family val="18"/>
          </rPr>
          <t>ML 2630 IR 30 (1803) – Haupt. Groenvink Komp. Abgang (Lemberg 12/08/1803)</t>
        </r>
        <r>
          <rPr>
            <sz val="14"/>
            <color rgb="FF000000"/>
            <rFont val="Calibri"/>
            <family val="34"/>
          </rPr>
          <t xml:space="preserve">
</t>
        </r>
      </text>
    </comment>
    <comment ref="BH451" authorId="0" shapeId="0" xr:uid="{CDC4D301-ED2F-B94C-B351-125421EE3B2F}">
      <text>
        <r>
          <rPr>
            <sz val="14"/>
            <color rgb="FF000000"/>
            <rFont val="Calibri"/>
            <family val="34"/>
          </rPr>
          <t>IR 30 (1802)</t>
        </r>
      </text>
    </comment>
    <comment ref="BF452" authorId="0" shapeId="0" xr:uid="{6DEBC61E-BC46-E749-AD53-98CD7C476F6C}">
      <text>
        <r>
          <rPr>
            <sz val="14"/>
            <color rgb="FF000000"/>
            <rFont val="Times New Roman"/>
            <family val="18"/>
          </rPr>
          <t xml:space="preserve">03/09/1802 </t>
        </r>
        <r>
          <rPr>
            <i/>
            <sz val="14"/>
            <color rgb="FF000000"/>
            <rFont val="Times New Roman"/>
            <family val="18"/>
          </rPr>
          <t>Dient seit mindestens am IR 30 La Fontaine Komp.</t>
        </r>
        <r>
          <rPr>
            <sz val="14"/>
            <color rgb="FF000000"/>
            <rFont val="Calibri"/>
            <family val="34"/>
          </rPr>
          <t xml:space="preserve">
</t>
        </r>
        <r>
          <rPr>
            <sz val="14"/>
            <color rgb="FF000000"/>
            <rFont val="Times New Roman"/>
            <family val="18"/>
          </rPr>
          <t xml:space="preserve">30/06/1803 </t>
        </r>
        <r>
          <rPr>
            <i/>
            <sz val="14"/>
            <color rgb="FF000000"/>
            <rFont val="Times New Roman"/>
            <family val="18"/>
          </rPr>
          <t xml:space="preserve">Statt zu W. Colloredo gestellte Recrout Ivan BIALOMOF &amp; Matwei Muchalowsky entlaassen </t>
        </r>
        <r>
          <rPr>
            <sz val="14"/>
            <color rgb="FF000000"/>
            <rFont val="Times New Roman"/>
            <family val="18"/>
          </rPr>
          <t>[ML 1803]</t>
        </r>
        <r>
          <rPr>
            <sz val="14"/>
            <color rgb="FF000000"/>
            <rFont val="Calibri"/>
            <family val="34"/>
          </rPr>
          <t xml:space="preserve">
</t>
        </r>
      </text>
    </comment>
    <comment ref="BG452" authorId="0" shapeId="0" xr:uid="{F01D81B1-B3BF-6C4B-A69E-1B6BB1EB3E38}">
      <text>
        <r>
          <rPr>
            <sz val="14"/>
            <color rgb="FF000000"/>
            <rFont val="Times New Roman"/>
            <family val="18"/>
          </rPr>
          <t>ML 2630 IR 30 (1803) – Haupt. La Fontaine Komp. Abgang (Lemberg 12/08/1803)</t>
        </r>
        <r>
          <rPr>
            <sz val="14"/>
            <color rgb="FF000000"/>
            <rFont val="Calibri"/>
            <family val="34"/>
          </rPr>
          <t xml:space="preserve">
</t>
        </r>
      </text>
    </comment>
    <comment ref="BH452" authorId="0" shapeId="0" xr:uid="{D0D769D2-9487-564D-86B3-289DA1CD0F8A}">
      <text>
        <r>
          <rPr>
            <sz val="14"/>
            <color rgb="FF000000"/>
            <rFont val="Calibri"/>
            <family val="34"/>
          </rPr>
          <t>IR 30 (1802-1803)</t>
        </r>
      </text>
    </comment>
    <comment ref="BF453" authorId="0" shapeId="0" xr:uid="{BA9A3BA3-1010-0843-9BF8-BD08D679D5E5}">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453" authorId="0" shapeId="0" xr:uid="{2E7FB343-86B9-6742-B940-3E0767822707}">
      <text>
        <r>
          <rPr>
            <sz val="14"/>
            <color rgb="FF000000"/>
            <rFont val="Times New Roman"/>
            <family val="18"/>
          </rPr>
          <t>ML 5015 IR 59 (1803) – Haupt Harnack Komp. Abgang (Enns 29/03/1803)</t>
        </r>
        <r>
          <rPr>
            <sz val="14"/>
            <color rgb="FF000000"/>
            <rFont val="Calibri"/>
            <family val="34"/>
          </rPr>
          <t xml:space="preserve">
</t>
        </r>
      </text>
    </comment>
    <comment ref="BH453" authorId="0" shapeId="0" xr:uid="{D0EB15DA-8B3A-554D-8D61-28FC5852E18E}">
      <text>
        <r>
          <rPr>
            <sz val="14"/>
            <color rgb="FF000000"/>
            <rFont val="Calibri"/>
            <family val="34"/>
          </rPr>
          <t>IR 59 (1802-1803)</t>
        </r>
      </text>
    </comment>
    <comment ref="BF454" authorId="0" shapeId="0" xr:uid="{9A4C8314-6920-6142-86DA-2B61B1160141}">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454" authorId="0" shapeId="0" xr:uid="{052D7846-F06D-934C-9C17-B63C747D9B19}">
      <text>
        <r>
          <rPr>
            <sz val="14"/>
            <color rgb="FF000000"/>
            <rFont val="Times New Roman"/>
            <family val="18"/>
          </rPr>
          <t>ML 5015 IR 59 (1803) – 2. Major Komp. Abgang (Enns 29/03/1803)</t>
        </r>
        <r>
          <rPr>
            <sz val="14"/>
            <color rgb="FF000000"/>
            <rFont val="Calibri"/>
            <family val="34"/>
          </rPr>
          <t xml:space="preserve">
</t>
        </r>
      </text>
    </comment>
    <comment ref="BH454" authorId="0" shapeId="0" xr:uid="{4599BC3C-7AEF-7D44-9D2C-7F59DCC87A2E}">
      <text>
        <r>
          <rPr>
            <sz val="14"/>
            <color rgb="FF000000"/>
            <rFont val="Calibri"/>
            <family val="34"/>
          </rPr>
          <t>IR 59 (1802-1803)</t>
        </r>
      </text>
    </comment>
    <comment ref="BF455" authorId="0" shapeId="0" xr:uid="{9B60DB96-5984-8844-AD1A-9249407264B1}">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05/08/1803 </t>
        </r>
        <r>
          <rPr>
            <i/>
            <sz val="14"/>
            <color rgb="FF000000"/>
            <rFont val="Times New Roman"/>
            <family val="18"/>
          </rPr>
          <t>Vermog Concentrations Protokoll Erledigung gegen Stellung andere mit Abschied entlassen</t>
        </r>
        <r>
          <rPr>
            <sz val="14"/>
            <color rgb="FF000000"/>
            <rFont val="Times New Roman"/>
            <family val="18"/>
          </rPr>
          <t xml:space="preserve"> [ML 1803]</t>
        </r>
      </text>
    </comment>
    <comment ref="BG455" authorId="0" shapeId="0" xr:uid="{56106EE8-606E-C744-B939-AA4026C1847B}">
      <text>
        <r>
          <rPr>
            <sz val="14"/>
            <color rgb="FF000000"/>
            <rFont val="Times New Roman"/>
            <family val="18"/>
          </rPr>
          <t>ML 5015 IR 59 (1803) – Haupt Harnack Komp. Abgang (Enns 29/03/1803)</t>
        </r>
        <r>
          <rPr>
            <sz val="14"/>
            <color rgb="FF000000"/>
            <rFont val="Calibri"/>
            <family val="34"/>
          </rPr>
          <t xml:space="preserve">
</t>
        </r>
      </text>
    </comment>
    <comment ref="BH455" authorId="0" shapeId="0" xr:uid="{5905D5B4-0037-A94C-AAAB-2385B4FC9C40}">
      <text>
        <r>
          <rPr>
            <sz val="14"/>
            <color rgb="FF000000"/>
            <rFont val="Calibri"/>
            <family val="34"/>
          </rPr>
          <t>IR 59 (1802-1803)</t>
        </r>
      </text>
    </comment>
    <comment ref="BF456" authorId="0" shapeId="0" xr:uid="{4845F3CE-A59A-2F4A-8C06-7AE0EAE27A98}">
      <text>
        <r>
          <rPr>
            <sz val="14"/>
            <color rgb="FF000000"/>
            <rFont val="Times New Roman"/>
            <family val="18"/>
          </rPr>
          <t xml:space="preserve">20/09/1802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30/06/1803 </t>
        </r>
        <r>
          <rPr>
            <i/>
            <sz val="14"/>
            <color rgb="FF000000"/>
            <rFont val="Times New Roman"/>
            <family val="18"/>
          </rPr>
          <t>Vermog Concert Protocols Erledigung des Lubliner Kreisamtes als Kriegscapitulant von unbestimmte Urlaub mit Abschied entlassen</t>
        </r>
        <r>
          <rPr>
            <sz val="14"/>
            <color rgb="FF000000"/>
            <rFont val="Times New Roman"/>
            <family val="18"/>
          </rPr>
          <t xml:space="preserve"> [ML 1803 &amp; ST Juli 1803]</t>
        </r>
      </text>
    </comment>
    <comment ref="BG456" authorId="0" shapeId="0" xr:uid="{DE09A9A4-38DB-F64F-B8F7-C52B4291E95E}">
      <text>
        <r>
          <rPr>
            <sz val="14"/>
            <color rgb="FF000000"/>
            <rFont val="Times New Roman"/>
            <family val="18"/>
          </rPr>
          <t>ML 5015 IR 59 (1803) – Haupt. Gollner Komp. Abgang (Enns 29/08/1803)</t>
        </r>
        <r>
          <rPr>
            <sz val="14"/>
            <color rgb="FF000000"/>
            <rFont val="Calibri"/>
            <family val="34"/>
          </rPr>
          <t xml:space="preserve">
</t>
        </r>
        <r>
          <rPr>
            <sz val="14"/>
            <color rgb="FF000000"/>
            <rFont val="Times New Roman"/>
            <family val="18"/>
          </rPr>
          <t>ML 5062 IR 59 (1803) – ST Juli (18/08/1803)</t>
        </r>
        <r>
          <rPr>
            <sz val="14"/>
            <color rgb="FF000000"/>
            <rFont val="Calibri"/>
            <family val="34"/>
          </rPr>
          <t xml:space="preserve">
</t>
        </r>
      </text>
    </comment>
    <comment ref="BH456" authorId="0" shapeId="0" xr:uid="{D746B196-1319-164E-A899-4F9B211E28BF}">
      <text>
        <r>
          <rPr>
            <sz val="14"/>
            <color rgb="FF000000"/>
            <rFont val="Calibri"/>
            <family val="34"/>
          </rPr>
          <t>IR 59 (1802-1803)</t>
        </r>
      </text>
    </comment>
    <comment ref="BF457" authorId="0" shapeId="0" xr:uid="{482ED811-A118-DF47-AD3B-B629BE0393B6}">
      <text>
        <r>
          <rPr>
            <sz val="14"/>
            <color rgb="FF000000"/>
            <rFont val="Times New Roman"/>
            <family val="18"/>
          </rPr>
          <t xml:space="preserve">20/09/1803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457" authorId="0" shapeId="0" xr:uid="{ACF7B356-2C44-B047-AEE6-715C53B44376}">
      <text>
        <r>
          <rPr>
            <sz val="14"/>
            <color rgb="FF000000"/>
            <rFont val="Times New Roman"/>
            <family val="18"/>
          </rPr>
          <t>ML 5015 IR 59 (1803) – 1. Major Komp. Abgang (Enns 29/03/1803)</t>
        </r>
        <r>
          <rPr>
            <sz val="14"/>
            <color rgb="FF000000"/>
            <rFont val="Calibri"/>
            <family val="34"/>
          </rPr>
          <t xml:space="preserve">
</t>
        </r>
      </text>
    </comment>
    <comment ref="BH457" authorId="0" shapeId="0" xr:uid="{D49F6C6D-B5BE-C043-9125-D5AD61FC575C}">
      <text>
        <r>
          <rPr>
            <sz val="14"/>
            <color rgb="FF000000"/>
            <rFont val="Calibri"/>
            <family val="34"/>
          </rPr>
          <t>IR 59 (1802-1803)</t>
        </r>
      </text>
    </comment>
    <comment ref="BF458" authorId="0" shapeId="0" xr:uid="{A37873DA-1F45-C447-BDFC-8DC8411A9870}">
      <text>
        <r>
          <rPr>
            <sz val="14"/>
            <color rgb="FF000000"/>
            <rFont val="Times New Roman"/>
            <family val="18"/>
          </rPr>
          <t xml:space="preserve">21/09/1803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05/08/1803 </t>
        </r>
        <r>
          <rPr>
            <i/>
            <sz val="14"/>
            <color rgb="FF000000"/>
            <rFont val="Times New Roman"/>
            <family val="18"/>
          </rPr>
          <t xml:space="preserve">Gegen Stellung anderer mit Abschied entlassen </t>
        </r>
        <r>
          <rPr>
            <sz val="14"/>
            <color rgb="FF000000"/>
            <rFont val="Times New Roman"/>
            <family val="18"/>
          </rPr>
          <t>[ML 1803]</t>
        </r>
      </text>
    </comment>
    <comment ref="BG458" authorId="0" shapeId="0" xr:uid="{30BE2B1A-BF3B-1940-AB23-03077ECB662C}">
      <text>
        <r>
          <rPr>
            <sz val="14"/>
            <color rgb="FF000000"/>
            <rFont val="Times New Roman"/>
            <family val="18"/>
          </rPr>
          <t xml:space="preserve">ML 5015 IR 59 (1803) – Haupt Straka Komp. Abgang (Enns 29/03/1803)
</t>
        </r>
      </text>
    </comment>
    <comment ref="BH458" authorId="0" shapeId="0" xr:uid="{11A44DB1-4AAC-A04A-BE86-A61408C555E4}">
      <text>
        <r>
          <rPr>
            <sz val="14"/>
            <color rgb="FF000000"/>
            <rFont val="Calibri"/>
            <family val="34"/>
          </rPr>
          <t>IR 59 (1802-1803)</t>
        </r>
      </text>
    </comment>
    <comment ref="BF459" authorId="0" shapeId="0" xr:uid="{B65E1196-34E9-FD47-8024-E980100BBF18}">
      <text>
        <r>
          <rPr>
            <sz val="14"/>
            <color rgb="FF000000"/>
            <rFont val="Times New Roman"/>
            <family val="18"/>
          </rPr>
          <t xml:space="preserve">21/09/1803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31/07/1803 </t>
        </r>
        <r>
          <rPr>
            <i/>
            <sz val="14"/>
            <color rgb="FF000000"/>
            <rFont val="Times New Roman"/>
            <family val="18"/>
          </rPr>
          <t>Von Urlaub desertiert</t>
        </r>
        <r>
          <rPr>
            <sz val="14"/>
            <color rgb="FF000000"/>
            <rFont val="Times New Roman"/>
            <family val="18"/>
          </rPr>
          <t xml:space="preserve"> [ML 1803]</t>
        </r>
      </text>
    </comment>
    <comment ref="BG459" authorId="0" shapeId="0" xr:uid="{18EB19E7-2528-DE43-9675-15899D06613D}">
      <text>
        <r>
          <rPr>
            <sz val="14"/>
            <color rgb="FF000000"/>
            <rFont val="Times New Roman"/>
            <family val="18"/>
          </rPr>
          <t xml:space="preserve">ML 5015 IR 59 (1803) – Haupt Straka Komp. Abgang (Enns 29/03/1803)
</t>
        </r>
      </text>
    </comment>
    <comment ref="BH459" authorId="0" shapeId="0" xr:uid="{ED8445A0-EB8D-0C4A-AD1E-A02D487862E5}">
      <text>
        <r>
          <rPr>
            <sz val="14"/>
            <color rgb="FF000000"/>
            <rFont val="Calibri"/>
            <family val="34"/>
          </rPr>
          <t>IR 59 (1802-1803)</t>
        </r>
      </text>
    </comment>
    <comment ref="BF460" authorId="0" shapeId="0" xr:uid="{F21FD811-92D9-3548-91DA-597978B67D3C}">
      <text>
        <r>
          <rPr>
            <sz val="14"/>
            <color rgb="FF000000"/>
            <rFont val="Times New Roman"/>
            <family val="18"/>
          </rPr>
          <t xml:space="preserve">20/09/1802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30/06/1803 </t>
        </r>
        <r>
          <rPr>
            <i/>
            <sz val="14"/>
            <color rgb="FF000000"/>
            <rFont val="Times New Roman"/>
            <family val="18"/>
          </rPr>
          <t>Vermog Concert Protocols Erledigung des Lubliner Kreisamtes als Kriegscapitulant von unbestimmte Urlaub mit Abschied entlassen</t>
        </r>
        <r>
          <rPr>
            <sz val="14"/>
            <color rgb="FF000000"/>
            <rFont val="Times New Roman"/>
            <family val="18"/>
          </rPr>
          <t xml:space="preserve"> [ML 1803 &amp; ST Juli 1803]</t>
        </r>
      </text>
    </comment>
    <comment ref="BG460" authorId="0" shapeId="0" xr:uid="{9F18C027-2FFD-4B46-8C9E-45F2C1813CDA}">
      <text>
        <r>
          <rPr>
            <sz val="14"/>
            <color rgb="FF000000"/>
            <rFont val="Times New Roman"/>
            <family val="18"/>
          </rPr>
          <t>ML 5015 IR 59 ‘Jordis’ (1803) – Haupt. Kappaun Komp. Abgang (Wells 30/09/1803)</t>
        </r>
        <r>
          <rPr>
            <sz val="14"/>
            <color rgb="FF000000"/>
            <rFont val="Calibri"/>
            <family val="34"/>
          </rPr>
          <t xml:space="preserve">
</t>
        </r>
      </text>
    </comment>
    <comment ref="BH460" authorId="0" shapeId="0" xr:uid="{0946873A-113A-4C4F-8659-69D59C8A3064}">
      <text>
        <r>
          <rPr>
            <sz val="14"/>
            <color rgb="FF000000"/>
            <rFont val="Calibri"/>
            <family val="34"/>
          </rPr>
          <t>IR 39 (1802-1803)</t>
        </r>
      </text>
    </comment>
    <comment ref="BF461" authorId="0" shapeId="0" xr:uid="{E8933013-E8EC-D545-8464-B99D3E79E451}">
      <text>
        <r>
          <rPr>
            <sz val="14"/>
            <color rgb="FF000000"/>
            <rFont val="Times New Roman"/>
            <family val="18"/>
          </rPr>
          <t xml:space="preserve">23/09/1802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15/07/1803 </t>
        </r>
        <r>
          <rPr>
            <i/>
            <sz val="14"/>
            <color rgb="FF000000"/>
            <rFont val="Times New Roman"/>
            <family val="18"/>
          </rPr>
          <t>Als Ausgedienter Capitulant mit Abschied entlassen</t>
        </r>
        <r>
          <rPr>
            <sz val="14"/>
            <color rgb="FF000000"/>
            <rFont val="Times New Roman"/>
            <family val="18"/>
          </rPr>
          <t xml:space="preserve"> [ML 1803]</t>
        </r>
      </text>
    </comment>
    <comment ref="BG461" authorId="0" shapeId="0" xr:uid="{2CF66296-046D-F948-898B-291B487388C0}">
      <text>
        <r>
          <rPr>
            <sz val="14"/>
            <color rgb="FF000000"/>
            <rFont val="Times New Roman"/>
            <family val="18"/>
          </rPr>
          <t>ML 5015 IR 59 ‘Jordis’ (1803) – Haupt. Lebzelten Komp. Abgang (Wells 30/09/1803)</t>
        </r>
        <r>
          <rPr>
            <sz val="14"/>
            <color rgb="FF000000"/>
            <rFont val="Calibri"/>
            <family val="34"/>
          </rPr>
          <t xml:space="preserve">
</t>
        </r>
      </text>
    </comment>
    <comment ref="BH461" authorId="0" shapeId="0" xr:uid="{F9438CBC-E93C-0546-977A-1F41D14912F0}">
      <text>
        <r>
          <rPr>
            <sz val="14"/>
            <color rgb="FF000000"/>
            <rFont val="Calibri"/>
            <family val="34"/>
          </rPr>
          <t>IR 39 (1802-1803)</t>
        </r>
      </text>
    </comment>
    <comment ref="BF462" authorId="0" shapeId="0" xr:uid="{F8041E61-803A-5E45-968F-BA7C93D9300A}">
      <text>
        <r>
          <rPr>
            <sz val="14"/>
            <color rgb="FF000000"/>
            <rFont val="Times New Roman"/>
            <family val="18"/>
          </rPr>
          <t xml:space="preserve">23/09/1802 [Bevor] </t>
        </r>
        <r>
          <rPr>
            <i/>
            <sz val="14"/>
            <color rgb="FF000000"/>
            <rFont val="Times New Roman"/>
            <family val="18"/>
          </rPr>
          <t>Assentiert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01/11/1802 </t>
        </r>
        <r>
          <rPr>
            <i/>
            <sz val="14"/>
            <color rgb="FF000000"/>
            <rFont val="Times New Roman"/>
            <family val="18"/>
          </rPr>
          <t xml:space="preserve">Von Haupt Lebzelten zum Haupt Jordis Komp transferiert </t>
        </r>
        <r>
          <rPr>
            <sz val="14"/>
            <color rgb="FF000000"/>
            <rFont val="Times New Roman"/>
            <family val="18"/>
          </rPr>
          <t>[ML 1803]</t>
        </r>
        <r>
          <rPr>
            <sz val="14"/>
            <color rgb="FF000000"/>
            <rFont val="Calibri"/>
            <family val="34"/>
          </rPr>
          <t xml:space="preserve">
</t>
        </r>
        <r>
          <rPr>
            <sz val="14"/>
            <color rgb="FF000000"/>
            <rFont val="Times New Roman"/>
            <family val="18"/>
          </rPr>
          <t xml:space="preserve">31/07/1803 </t>
        </r>
        <r>
          <rPr>
            <i/>
            <sz val="14"/>
            <color rgb="FF000000"/>
            <rFont val="Times New Roman"/>
            <family val="18"/>
          </rPr>
          <t>Während des Urlaubs desertiert</t>
        </r>
        <r>
          <rPr>
            <sz val="14"/>
            <color rgb="FF000000"/>
            <rFont val="Times New Roman"/>
            <family val="18"/>
          </rPr>
          <t xml:space="preserve"> [ML 1803]</t>
        </r>
        <r>
          <rPr>
            <sz val="14"/>
            <color rgb="FF000000"/>
            <rFont val="Calibri"/>
            <family val="34"/>
          </rPr>
          <t xml:space="preserve">
</t>
        </r>
      </text>
    </comment>
    <comment ref="BG462" authorId="0" shapeId="0" xr:uid="{65BDBC39-A784-7E42-88E4-1AE46113273C}">
      <text>
        <r>
          <rPr>
            <sz val="14"/>
            <color rgb="FF000000"/>
            <rFont val="Times New Roman"/>
            <family val="18"/>
          </rPr>
          <t>ML 5015 IR 59 ‘Jordis’ (1803) – Haupt. Jordis Komp. Abgang (Enns 29/09/1803)</t>
        </r>
        <r>
          <rPr>
            <sz val="14"/>
            <color rgb="FF000000"/>
            <rFont val="Calibri"/>
            <family val="34"/>
          </rPr>
          <t xml:space="preserve">
</t>
        </r>
      </text>
    </comment>
    <comment ref="BH462" authorId="0" shapeId="0" xr:uid="{BC107BF4-D5BB-3C46-A43E-D05A7E7B22FF}">
      <text>
        <r>
          <rPr>
            <sz val="14"/>
            <color rgb="FF000000"/>
            <rFont val="Calibri"/>
            <family val="34"/>
          </rPr>
          <t>IR 39 (1802-1803)</t>
        </r>
      </text>
    </comment>
    <comment ref="BF463" authorId="0" shapeId="0" xr:uid="{0249E23F-CFF8-2846-A1E1-55D6F8EFF565}">
      <text>
        <r>
          <rPr>
            <sz val="14"/>
            <color rgb="FF000000"/>
            <rFont val="Times New Roman"/>
            <family val="18"/>
          </rPr>
          <t xml:space="preserve">26/01/1803 </t>
        </r>
        <r>
          <rPr>
            <i/>
            <sz val="14"/>
            <color rgb="FF000000"/>
            <rFont val="Times New Roman"/>
            <family val="18"/>
          </rPr>
          <t>Statt den bey Stuart</t>
        </r>
        <r>
          <rPr>
            <sz val="14"/>
            <color rgb="FF000000"/>
            <rFont val="Times New Roman"/>
            <family val="18"/>
          </rPr>
          <t xml:space="preserve"> </t>
        </r>
        <r>
          <rPr>
            <b/>
            <sz val="14"/>
            <color rgb="FF000000"/>
            <rFont val="Times New Roman"/>
            <family val="18"/>
          </rPr>
          <t>[IR 18]</t>
        </r>
        <r>
          <rPr>
            <sz val="14"/>
            <color rgb="FF000000"/>
            <rFont val="Times New Roman"/>
            <family val="18"/>
          </rPr>
          <t xml:space="preserve"> </t>
        </r>
        <r>
          <rPr>
            <i/>
            <sz val="14"/>
            <color rgb="FF000000"/>
            <rFont val="Times New Roman"/>
            <family val="18"/>
          </rPr>
          <t xml:space="preserve">entlassenen Gemeiner Giacomb di Mathia zu Vendig auf 6 Jahr assentiert </t>
        </r>
        <r>
          <rPr>
            <sz val="14"/>
            <color rgb="FF000000"/>
            <rFont val="Times New Roman"/>
            <family val="18"/>
          </rPr>
          <t>[ML 1803]</t>
        </r>
        <r>
          <rPr>
            <sz val="14"/>
            <color rgb="FF000000"/>
            <rFont val="Calibri"/>
            <family val="34"/>
          </rPr>
          <t xml:space="preserve">
</t>
        </r>
        <r>
          <rPr>
            <sz val="14"/>
            <color rgb="FF000000"/>
            <rFont val="Times New Roman"/>
            <family val="18"/>
          </rPr>
          <t>19/09/1803 Muster: IR 44 Haupt Trivulzi Nr. 118</t>
        </r>
        <r>
          <rPr>
            <sz val="14"/>
            <color rgb="FF000000"/>
            <rFont val="Calibri"/>
            <family val="34"/>
          </rPr>
          <t xml:space="preserve">
</t>
        </r>
        <r>
          <rPr>
            <sz val="14"/>
            <color rgb="FF000000"/>
            <rFont val="Times New Roman"/>
            <family val="18"/>
          </rPr>
          <t>12/05/1804 Muster: IR 44 Haupt Trivulzi Nr. 99</t>
        </r>
        <r>
          <rPr>
            <sz val="14"/>
            <color rgb="FF000000"/>
            <rFont val="Calibri"/>
            <family val="34"/>
          </rPr>
          <t xml:space="preserve">
</t>
        </r>
        <r>
          <rPr>
            <sz val="14"/>
            <color rgb="FF000000"/>
            <rFont val="Times New Roman"/>
            <family val="18"/>
          </rPr>
          <t xml:space="preserve">07/04/1806 </t>
        </r>
        <r>
          <rPr>
            <i/>
            <sz val="14"/>
            <color rgb="FF000000"/>
            <rFont val="Times New Roman"/>
            <family val="18"/>
          </rPr>
          <t>Gegen 18Fl auf 6 Jahr reengagiert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 IR 44 Haupt Trivulzi Komp. Nr. 65</t>
        </r>
        <r>
          <rPr>
            <sz val="14"/>
            <color rgb="FF000000"/>
            <rFont val="Calibri"/>
            <family val="34"/>
          </rPr>
          <t xml:space="preserve">
</t>
        </r>
        <r>
          <rPr>
            <sz val="14"/>
            <color rgb="FF000000"/>
            <rFont val="Times New Roman"/>
            <family val="18"/>
          </rPr>
          <t>19/09/1808 Muster: IR 44 Haupt Trivulzi Komp. Nr. 51</t>
        </r>
        <r>
          <rPr>
            <sz val="14"/>
            <color rgb="FF000000"/>
            <rFont val="Calibri"/>
            <family val="34"/>
          </rPr>
          <t xml:space="preserve">
</t>
        </r>
        <r>
          <rPr>
            <sz val="14"/>
            <color rgb="FF000000"/>
            <rFont val="Times New Roman"/>
            <family val="18"/>
          </rPr>
          <t xml:space="preserve">11/12/1808 </t>
        </r>
        <r>
          <rPr>
            <i/>
            <sz val="14"/>
            <color rgb="FF000000"/>
            <rFont val="Times New Roman"/>
            <family val="18"/>
          </rPr>
          <t>Krank in Afnahme Spital zu Komorn</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9. Zum 2.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26/09/1809 </t>
        </r>
        <r>
          <rPr>
            <i/>
            <sz val="14"/>
            <color rgb="FF000000"/>
            <rFont val="Times New Roman"/>
            <family val="18"/>
          </rPr>
          <t>Von 2.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ungehöriger von 2. Fus. Komp. als unwissend verloren in Abgang gebracht</t>
        </r>
        <r>
          <rPr>
            <sz val="14"/>
            <color rgb="FF000000"/>
            <rFont val="Times New Roman"/>
            <family val="18"/>
          </rPr>
          <t xml:space="preserve"> [ML 1811]</t>
        </r>
      </text>
    </comment>
    <comment ref="BG463" authorId="0" shapeId="0" xr:uid="{B6B7EE8E-F564-D046-85AC-B0036F557856}">
      <text>
        <r>
          <rPr>
            <sz val="14"/>
            <color rgb="FF000000"/>
            <rFont val="Times New Roman"/>
            <family val="18"/>
          </rPr>
          <t>ML 3908 IR 44 (1803) – Haupt Trivulzi Komp. Nr. 118 (Venice 19/09/1803)</t>
        </r>
        <r>
          <rPr>
            <sz val="14"/>
            <color rgb="FF000000"/>
            <rFont val="Calibri"/>
            <family val="34"/>
          </rPr>
          <t xml:space="preserve">
</t>
        </r>
        <r>
          <rPr>
            <sz val="14"/>
            <color rgb="FF000000"/>
            <rFont val="Times New Roman"/>
            <family val="18"/>
          </rPr>
          <t>ML 3909 R 44 (1804) – Haupt Trivulzi Komp. Nr. 99 (Vicenza 12/05/1804)</t>
        </r>
        <r>
          <rPr>
            <sz val="14"/>
            <color rgb="FF000000"/>
            <rFont val="Calibri"/>
            <family val="34"/>
          </rPr>
          <t xml:space="preserve">
</t>
        </r>
        <r>
          <rPr>
            <sz val="14"/>
            <color rgb="FF000000"/>
            <rFont val="Times New Roman"/>
            <family val="18"/>
          </rPr>
          <t>ML 3910 IR 44 (1806) – Haupt Trivulzi Komp. Nr. 65 (Fiume 10/12/1806)</t>
        </r>
        <r>
          <rPr>
            <sz val="14"/>
            <color rgb="FF000000"/>
            <rFont val="Calibri"/>
            <family val="34"/>
          </rPr>
          <t xml:space="preserve">
</t>
        </r>
        <r>
          <rPr>
            <sz val="14"/>
            <color rgb="FF000000"/>
            <rFont val="Times New Roman"/>
            <family val="18"/>
          </rPr>
          <t>ML 3911 IR 44 (1808-10) – Haupt Trivulzi [9. Fus.] Komp. Nr. 51 (Comorn 19/09/1808)</t>
        </r>
        <r>
          <rPr>
            <sz val="14"/>
            <color rgb="FF000000"/>
            <rFont val="Calibri"/>
            <family val="34"/>
          </rPr>
          <t xml:space="preserve">
</t>
        </r>
        <r>
          <rPr>
            <sz val="14"/>
            <color rgb="FF000000"/>
            <rFont val="Times New Roman"/>
            <family val="18"/>
          </rPr>
          <t>ML 3912-3 IR 44 (1811) – 2. Fus. Komp. – Abgang (Pappa 18/09/1811)</t>
        </r>
        <r>
          <rPr>
            <sz val="14"/>
            <color rgb="FF000000"/>
            <rFont val="Calibri"/>
            <family val="34"/>
          </rPr>
          <t xml:space="preserve">
</t>
        </r>
        <r>
          <rPr>
            <sz val="14"/>
            <color rgb="FF000000"/>
            <rFont val="Times New Roman"/>
            <family val="18"/>
          </rPr>
          <t>ML 3958 IR 44 (1808) – Dez (28/03/1809)</t>
        </r>
        <r>
          <rPr>
            <sz val="14"/>
            <color rgb="FF000000"/>
            <rFont val="Calibri"/>
            <family val="34"/>
          </rPr>
          <t xml:space="preserve">
</t>
        </r>
      </text>
    </comment>
    <comment ref="BH463" authorId="0" shapeId="0" xr:uid="{954AC341-718C-A149-9F1F-5C475B071122}">
      <text>
        <r>
          <rPr>
            <sz val="14"/>
            <color rgb="FF000000"/>
            <rFont val="Calibri"/>
            <family val="34"/>
          </rPr>
          <t>IR 44 (1803-1810)</t>
        </r>
      </text>
    </comment>
    <comment ref="T464" authorId="0" shapeId="0" xr:uid="{7640493A-5839-4B4A-8C9D-94B6EBB47E50}">
      <text>
        <r>
          <rPr>
            <sz val="14"/>
            <color rgb="FF000000"/>
            <rFont val="Calibri"/>
            <family val="34"/>
          </rPr>
          <t xml:space="preserve">166.11 [5.3.1 (ML 1803)]
</t>
        </r>
        <r>
          <rPr>
            <sz val="14"/>
            <color rgb="FF000000"/>
            <rFont val="Calibri"/>
            <family val="34"/>
          </rPr>
          <t>168.52 [5.4 (ML 1804)]</t>
        </r>
      </text>
    </comment>
    <comment ref="BF464" authorId="0" shapeId="0" xr:uid="{689CB02E-CB05-E344-A61B-F4E796A8A0BA}">
      <text>
        <r>
          <rPr>
            <sz val="14"/>
            <color rgb="FF000000"/>
            <rFont val="Times New Roman"/>
            <family val="18"/>
          </rPr>
          <t xml:space="preserve">13/06/1803 </t>
        </r>
        <r>
          <rPr>
            <i/>
            <sz val="14"/>
            <color rgb="FF000000"/>
            <rFont val="Times New Roman"/>
            <family val="18"/>
          </rPr>
          <t>Statt des entlassenen Regiments Gemeiner Jonas SEELIG von galizischen Ständen gestellt und a 3Fl Handgeld assentiert</t>
        </r>
        <r>
          <rPr>
            <sz val="14"/>
            <color rgb="FF000000"/>
            <rFont val="Times New Roman"/>
            <family val="18"/>
          </rPr>
          <t xml:space="preserve"> [ML 1803]</t>
        </r>
        <r>
          <rPr>
            <sz val="14"/>
            <color rgb="FF000000"/>
            <rFont val="Calibri"/>
            <family val="34"/>
          </rPr>
          <t xml:space="preserve">
</t>
        </r>
        <r>
          <rPr>
            <sz val="14"/>
            <color rgb="FF000000"/>
            <rFont val="Times New Roman"/>
            <family val="18"/>
          </rPr>
          <t>13/09/1803 Muster: IR 23 Haupt Rauch Nr. 118 [</t>
        </r>
        <r>
          <rPr>
            <i/>
            <sz val="14"/>
            <color rgb="FF000000"/>
            <rFont val="Times New Roman"/>
            <family val="18"/>
          </rPr>
          <t>Auf Kassen Wache</t>
        </r>
        <r>
          <rPr>
            <sz val="14"/>
            <color rgb="FF000000"/>
            <rFont val="Times New Roman"/>
            <family val="18"/>
          </rPr>
          <t>]</t>
        </r>
        <r>
          <rPr>
            <sz val="14"/>
            <color rgb="FF000000"/>
            <rFont val="Calibri"/>
            <family val="34"/>
          </rPr>
          <t xml:space="preserve">
</t>
        </r>
        <r>
          <rPr>
            <sz val="14"/>
            <color rgb="FF000000"/>
            <rFont val="Times New Roman"/>
            <family val="18"/>
          </rPr>
          <t>06/09/1804 Muster: IR 23 Haupt Rauch Nr. 136 [</t>
        </r>
        <r>
          <rPr>
            <i/>
            <sz val="14"/>
            <color rgb="FF000000"/>
            <rFont val="Times New Roman"/>
            <family val="18"/>
          </rPr>
          <t>Beurlaubt bis zur Exercierszeit in seinem Geburtsort in Polen</t>
        </r>
        <r>
          <rPr>
            <sz val="14"/>
            <color rgb="FF000000"/>
            <rFont val="Times New Roman"/>
            <family val="18"/>
          </rPr>
          <t>]</t>
        </r>
        <r>
          <rPr>
            <sz val="14"/>
            <color rgb="FF000000"/>
            <rFont val="Calibri"/>
            <family val="34"/>
          </rPr>
          <t xml:space="preserve">
</t>
        </r>
        <r>
          <rPr>
            <sz val="14"/>
            <color rgb="FF000000"/>
            <rFont val="Times New Roman"/>
            <family val="18"/>
          </rPr>
          <t xml:space="preserve">01/08/1805 </t>
        </r>
        <r>
          <rPr>
            <i/>
            <sz val="14"/>
            <color rgb="FF000000"/>
            <rFont val="Times New Roman"/>
            <family val="18"/>
          </rPr>
          <t>Von dissolvierte Rauch zum Haupt Böhm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30/06/1806 </t>
        </r>
        <r>
          <rPr>
            <i/>
            <sz val="14"/>
            <color rgb="FF000000"/>
            <rFont val="Times New Roman"/>
            <family val="18"/>
          </rPr>
          <t>Gegen Stellung 2en Ausländer Rekruten auf Steuerbare Wirtschaft mit Abschied entlassen</t>
        </r>
        <r>
          <rPr>
            <sz val="14"/>
            <color rgb="FF000000"/>
            <rFont val="Times New Roman"/>
            <family val="18"/>
          </rPr>
          <t xml:space="preserve"> [ML 1807] </t>
        </r>
      </text>
    </comment>
    <comment ref="BG464" authorId="0" shapeId="0" xr:uid="{9B560947-F008-6342-8B66-434FFA11C504}">
      <text>
        <r>
          <rPr>
            <sz val="14"/>
            <color rgb="FF000000"/>
            <rFont val="Times New Roman"/>
            <family val="18"/>
          </rPr>
          <t>ML 10.125 IR 23 (1803) – Haupt Rauch Komp. Nr. 152 (Vienna 16/09/1803)</t>
        </r>
        <r>
          <rPr>
            <sz val="14"/>
            <color rgb="FF000000"/>
            <rFont val="Calibri"/>
            <family val="34"/>
          </rPr>
          <t xml:space="preserve">
</t>
        </r>
        <r>
          <rPr>
            <sz val="14"/>
            <color rgb="FF000000"/>
            <rFont val="Times New Roman"/>
            <family val="18"/>
          </rPr>
          <t>ML 10.126 IR 23 (1804) – Haupt Rauch Komp. Nr. 136 (Krems 06/09/1804)</t>
        </r>
        <r>
          <rPr>
            <sz val="14"/>
            <color rgb="FF000000"/>
            <rFont val="Calibri"/>
            <family val="34"/>
          </rPr>
          <t xml:space="preserve">
</t>
        </r>
        <r>
          <rPr>
            <sz val="14"/>
            <color rgb="FF000000"/>
            <rFont val="Times New Roman"/>
            <family val="18"/>
          </rPr>
          <t>ML 10.127/8 IR 23 (1807) – Haupt Böhm Abgang (Korneuburg 24/01/1807)</t>
        </r>
        <r>
          <rPr>
            <sz val="14"/>
            <color rgb="FF000000"/>
            <rFont val="Calibri"/>
            <family val="34"/>
          </rPr>
          <t xml:space="preserve">
</t>
        </r>
      </text>
    </comment>
    <comment ref="BH464" authorId="0" shapeId="0" xr:uid="{DFC0A5B8-C8B3-BD43-8A82-C389B36BD5B2}">
      <text>
        <r>
          <rPr>
            <sz val="14"/>
            <color rgb="FF000000"/>
            <rFont val="Calibri"/>
            <family val="34"/>
          </rPr>
          <t>IR 23 (1803-1806)</t>
        </r>
      </text>
    </comment>
    <comment ref="BF465" authorId="0" shapeId="0" xr:uid="{71270BFE-D1D1-BA45-92A4-D8C7DBEABCD8}">
      <text>
        <r>
          <rPr>
            <sz val="14"/>
            <color rgb="FF000000"/>
            <rFont val="Times New Roman"/>
            <family val="18"/>
          </rPr>
          <t>??/08/1803 [Diente in ‘Vogelsang’ Infanterie 6 Jahr und 7 Monat] [ML 1811]</t>
        </r>
        <r>
          <rPr>
            <sz val="14"/>
            <color rgb="FF000000"/>
            <rFont val="Calibri"/>
            <family val="34"/>
          </rPr>
          <t xml:space="preserve">
</t>
        </r>
        <r>
          <rPr>
            <sz val="14"/>
            <color rgb="FF000000"/>
            <rFont val="Times New Roman"/>
            <family val="18"/>
          </rPr>
          <t xml:space="preserve">15/03/1810 </t>
        </r>
        <r>
          <rPr>
            <i/>
            <sz val="14"/>
            <color rgb="FF000000"/>
            <rFont val="Times New Roman"/>
            <family val="18"/>
          </rPr>
          <t xml:space="preserve">Mit Rang von Corporal von regiment entlassen und zur InvH zur Versorgung übersetzt </t>
        </r>
        <r>
          <rPr>
            <sz val="14"/>
            <color rgb="FF000000"/>
            <rFont val="Times New Roman"/>
            <family val="18"/>
          </rPr>
          <t>[ML 1811</t>
        </r>
        <r>
          <rPr>
            <sz val="14"/>
            <color rgb="FF000000"/>
            <rFont val="Calibri"/>
            <family val="34"/>
          </rPr>
          <t xml:space="preserve">
</t>
        </r>
        <r>
          <rPr>
            <sz val="14"/>
            <color rgb="FF000000"/>
            <rFont val="Times New Roman"/>
            <family val="18"/>
          </rPr>
          <t>24/06/1811 Muster: InvH Prag 9. &amp; 10. Chambre Nr. 27 [</t>
        </r>
        <r>
          <rPr>
            <i/>
            <sz val="14"/>
            <color rgb="FF000000"/>
            <rFont val="Times New Roman"/>
            <family val="18"/>
          </rPr>
          <t>Commandiert in Prag</t>
        </r>
        <r>
          <rPr>
            <sz val="14"/>
            <color rgb="FF000000"/>
            <rFont val="Times New Roman"/>
            <family val="18"/>
          </rPr>
          <t>]</t>
        </r>
      </text>
    </comment>
    <comment ref="BG465" authorId="0" shapeId="0" xr:uid="{10E698AF-C5D2-1447-B85D-420E376727F4}">
      <text>
        <r>
          <rPr>
            <sz val="14"/>
            <color rgb="FF000000"/>
            <rFont val="Times New Roman"/>
            <family val="18"/>
          </rPr>
          <t>ML 9664 InvH Prag (1811) – Heft von 9. &amp; 10. Chambre Nr. 27 (Prag 24/06/1811)</t>
        </r>
        <r>
          <rPr>
            <sz val="14"/>
            <color rgb="FF000000"/>
            <rFont val="Calibri"/>
            <family val="34"/>
          </rPr>
          <t xml:space="preserve">
</t>
        </r>
      </text>
    </comment>
    <comment ref="BH465" authorId="0" shapeId="0" xr:uid="{4A4C148F-50F0-B24F-B369-9025C1306A4F}">
      <text>
        <r>
          <rPr>
            <sz val="14"/>
            <color rgb="FF000000"/>
            <rFont val="Calibri"/>
            <family val="34"/>
          </rPr>
          <t xml:space="preserve">IR 47 (1803-1810)
</t>
        </r>
        <r>
          <rPr>
            <sz val="14"/>
            <color rgb="FF000000"/>
            <rFont val="Calibri"/>
            <family val="34"/>
          </rPr>
          <t>InvH Prag (1810-1811)</t>
        </r>
      </text>
    </comment>
    <comment ref="BJ465" authorId="0" shapeId="0" xr:uid="{3E1450DE-26AC-4A4D-B9B5-E280BD2767C6}">
      <text>
        <r>
          <rPr>
            <i/>
            <sz val="14"/>
            <color rgb="FF000000"/>
            <rFont val="Times New Roman"/>
            <family val="18"/>
          </rPr>
          <t>Mangel von Oberschneid und Back Zahnen</t>
        </r>
        <r>
          <rPr>
            <sz val="14"/>
            <color rgb="FF000000"/>
            <rFont val="Times New Roman"/>
            <family val="18"/>
          </rPr>
          <t xml:space="preserve"> </t>
        </r>
        <r>
          <rPr>
            <sz val="14"/>
            <color rgb="FF000000"/>
            <rFont val="Times New Roman"/>
            <family val="18"/>
          </rPr>
          <t>[ML 1811]</t>
        </r>
        <r>
          <rPr>
            <sz val="14"/>
            <color rgb="FF000000"/>
            <rFont val="Calibri"/>
            <family val="2"/>
          </rPr>
          <t xml:space="preserve"> </t>
        </r>
      </text>
    </comment>
    <comment ref="BF466" authorId="0" shapeId="0" xr:uid="{144A3753-10DB-0244-BBC8-7678EBABCE0B}">
      <text>
        <r>
          <rPr>
            <sz val="14"/>
            <color rgb="FF000000"/>
            <rFont val="Times New Roman"/>
            <family val="18"/>
          </rPr>
          <t xml:space="preserve">28/03/1804 </t>
        </r>
        <r>
          <rPr>
            <i/>
            <sz val="14"/>
            <color rgb="FF000000"/>
            <rFont val="Times New Roman"/>
            <family val="18"/>
          </rPr>
          <t>a 3Fl Handgeld landständisch gestellt</t>
        </r>
        <r>
          <rPr>
            <sz val="14"/>
            <color rgb="FF000000"/>
            <rFont val="Times New Roman"/>
            <family val="18"/>
          </rPr>
          <t xml:space="preserve"> [TL Juli 1809]</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CL 5 1. Major 2. Esk zum Stabs Dragoner Corps transferiert</t>
        </r>
        <r>
          <rPr>
            <sz val="14"/>
            <color rgb="FF000000"/>
            <rFont val="Times New Roman"/>
            <family val="18"/>
          </rPr>
          <t xml:space="preserve"> [TL Juli 1809]</t>
        </r>
        <r>
          <rPr>
            <sz val="14"/>
            <color rgb="FF000000"/>
            <rFont val="Calibri"/>
            <family val="34"/>
          </rPr>
          <t xml:space="preserve">
</t>
        </r>
      </text>
    </comment>
    <comment ref="BG466" authorId="0" shapeId="0" xr:uid="{205B0841-3AED-C34C-81C4-BA7F0F7C13C0}">
      <text>
        <r>
          <rPr>
            <sz val="14"/>
            <color rgb="FF000000"/>
            <rFont val="Times New Roman"/>
            <family val="18"/>
          </rPr>
          <t>ML 7234 CL 5 (1809) – TL CL 5-&gt;StabD Nr. 20 (Pardubitz 10//07/1809)</t>
        </r>
        <r>
          <rPr>
            <sz val="14"/>
            <color rgb="FF000000"/>
            <rFont val="Calibri"/>
            <family val="34"/>
          </rPr>
          <t xml:space="preserve">
</t>
        </r>
      </text>
    </comment>
    <comment ref="BH466" authorId="0" shapeId="0" xr:uid="{EEA36D30-6238-884E-A26B-A971A0142B0A}">
      <text>
        <r>
          <rPr>
            <sz val="14"/>
            <color rgb="FF000000"/>
            <rFont val="Calibri"/>
            <family val="34"/>
          </rPr>
          <t xml:space="preserve">CL 5 (1804-1809)
</t>
        </r>
        <r>
          <rPr>
            <sz val="14"/>
            <color rgb="FF000000"/>
            <rFont val="Calibri"/>
            <family val="34"/>
          </rPr>
          <t>StabDr (1809)</t>
        </r>
      </text>
    </comment>
    <comment ref="BI466" authorId="0" shapeId="0" xr:uid="{1B9DF6A5-8ABF-2A49-84EC-DA52CA2E4850}">
      <text>
        <r>
          <rPr>
            <sz val="14"/>
            <color rgb="FF000000"/>
            <rFont val="Calibri"/>
            <family val="34"/>
          </rPr>
          <t>1809: Gut</t>
        </r>
      </text>
    </comment>
    <comment ref="BF467" authorId="0" shapeId="0" xr:uid="{C89A7D33-77CC-2445-B5F6-B616938B5612}">
      <text>
        <r>
          <rPr>
            <sz val="14"/>
            <color rgb="FF000000"/>
            <rFont val="Times New Roman"/>
            <family val="18"/>
          </rPr>
          <t xml:space="preserve">30/03/1804 </t>
        </r>
        <r>
          <rPr>
            <i/>
            <sz val="14"/>
            <color rgb="FF000000"/>
            <rFont val="Times New Roman"/>
            <family val="18"/>
          </rPr>
          <t>Von den Ständen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16/09/1811 Muster: CL 6 Obrist 1. Esk. Nr. 38 [</t>
        </r>
        <r>
          <rPr>
            <i/>
            <sz val="14"/>
            <color rgb="FF000000"/>
            <rFont val="Times New Roman"/>
            <family val="18"/>
          </rPr>
          <t>Beurlaubt zu Drosau Klattauer Kreis, in Böhmen</t>
        </r>
        <r>
          <rPr>
            <sz val="14"/>
            <color rgb="FF000000"/>
            <rFont val="Times New Roman"/>
            <family val="18"/>
          </rPr>
          <t>]</t>
        </r>
        <r>
          <rPr>
            <sz val="14"/>
            <color rgb="FF000000"/>
            <rFont val="Calibri"/>
            <family val="34"/>
          </rPr>
          <t xml:space="preserve">
</t>
        </r>
        <r>
          <rPr>
            <sz val="14"/>
            <color rgb="FF000000"/>
            <rFont val="Times New Roman"/>
            <family val="18"/>
          </rPr>
          <t xml:space="preserve">15/01/1812 </t>
        </r>
        <r>
          <rPr>
            <i/>
            <sz val="14"/>
            <color rgb="FF000000"/>
            <rFont val="Times New Roman"/>
            <family val="18"/>
          </rPr>
          <t>Zu Eger Invaliden Haus als Reale Invalid</t>
        </r>
        <r>
          <rPr>
            <sz val="14"/>
            <color rgb="FF000000"/>
            <rFont val="Times New Roman"/>
            <family val="18"/>
          </rPr>
          <t xml:space="preserve"> </t>
        </r>
      </text>
    </comment>
    <comment ref="BG467" authorId="0" shapeId="0" xr:uid="{78EC8D3D-A5C1-8A4F-9A41-10D1C5D5B391}">
      <text>
        <r>
          <rPr>
            <sz val="14"/>
            <color rgb="FF000000"/>
            <rFont val="Times New Roman"/>
            <family val="18"/>
          </rPr>
          <t>ML 7250 CL 6 (1811-12) –ML 1811 Obrist 1. Esk Nr. 38 (Ketschkemet 16/09/1811) 12/9/1811); RL 1812 Obrist 1. Esk. Abgang (Ketschkemet 29/08/1811)</t>
        </r>
        <r>
          <rPr>
            <sz val="14"/>
            <color rgb="FF000000"/>
            <rFont val="Calibri"/>
            <family val="34"/>
          </rPr>
          <t xml:space="preserve">
</t>
        </r>
      </text>
    </comment>
    <comment ref="BH467" authorId="0" shapeId="0" xr:uid="{6CD0B88C-DC48-FB47-817A-600085056D66}">
      <text>
        <r>
          <rPr>
            <sz val="14"/>
            <color rgb="FF000000"/>
            <rFont val="Calibri"/>
            <family val="34"/>
          </rPr>
          <t xml:space="preserve">CL 6 (1804-1812)
</t>
        </r>
        <r>
          <rPr>
            <sz val="14"/>
            <color rgb="FF000000"/>
            <rFont val="Calibri"/>
            <family val="34"/>
          </rPr>
          <t>InvH Eger (1812)</t>
        </r>
      </text>
    </comment>
    <comment ref="BF468" authorId="0" shapeId="0" xr:uid="{19188EC6-796E-7248-BD29-2BB30374F24E}">
      <text>
        <r>
          <rPr>
            <sz val="14"/>
            <color rgb="FF000000"/>
            <rFont val="Times New Roman"/>
            <family val="18"/>
          </rPr>
          <t xml:space="preserve">30/03/1804 </t>
        </r>
        <r>
          <rPr>
            <i/>
            <sz val="14"/>
            <color rgb="FF000000"/>
            <rFont val="Times New Roman"/>
            <family val="18"/>
          </rPr>
          <t>dient seit als landständischen Recrout a 3Fl Handgeld</t>
        </r>
        <r>
          <rPr>
            <sz val="14"/>
            <color rgb="FF000000"/>
            <rFont val="Times New Roman"/>
            <family val="18"/>
          </rPr>
          <t xml:space="preserve"> [ML 1806]</t>
        </r>
        <r>
          <rPr>
            <sz val="14"/>
            <color rgb="FF000000"/>
            <rFont val="Calibri"/>
            <family val="34"/>
          </rPr>
          <t xml:space="preserve">
</t>
        </r>
        <r>
          <rPr>
            <sz val="14"/>
            <color rgb="FF000000"/>
            <rFont val="Times New Roman"/>
            <family val="18"/>
          </rPr>
          <t>[</t>
        </r>
        <r>
          <rPr>
            <i/>
            <sz val="14"/>
            <color rgb="FF000000"/>
            <rFont val="Times New Roman"/>
            <family val="18"/>
          </rPr>
          <t>Kriegsgefangen</t>
        </r>
        <r>
          <rPr>
            <sz val="14"/>
            <color rgb="FF000000"/>
            <rFont val="Times New Roman"/>
            <family val="18"/>
          </rPr>
          <t>]</t>
        </r>
        <r>
          <rPr>
            <sz val="14"/>
            <color rgb="FF000000"/>
            <rFont val="Calibri"/>
            <family val="34"/>
          </rPr>
          <t xml:space="preserve">
</t>
        </r>
        <r>
          <rPr>
            <sz val="14"/>
            <color rgb="FF000000"/>
            <rFont val="Times New Roman"/>
            <family val="18"/>
          </rPr>
          <t xml:space="preserve">03/06/1806 </t>
        </r>
        <r>
          <rPr>
            <i/>
            <sz val="14"/>
            <color rgb="FF000000"/>
            <rFont val="Times New Roman"/>
            <family val="18"/>
          </rPr>
          <t>Als Selbst ranzionierte presentiert</t>
        </r>
        <r>
          <rPr>
            <sz val="14"/>
            <color rgb="FF000000"/>
            <rFont val="Times New Roman"/>
            <family val="18"/>
          </rPr>
          <t xml:space="preserve"> </t>
        </r>
        <r>
          <rPr>
            <b/>
            <sz val="14"/>
            <color rgb="FF000000"/>
            <rFont val="Times New Roman"/>
            <family val="18"/>
          </rPr>
          <t>[docierung only]</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3. Fus. Komp. Nr. 67[</t>
        </r>
        <r>
          <rPr>
            <i/>
            <sz val="14"/>
            <color rgb="FF000000"/>
            <rFont val="Times New Roman"/>
            <family val="18"/>
          </rPr>
          <t>Beurlaubt bis zur Einberufung</t>
        </r>
        <r>
          <rPr>
            <sz val="14"/>
            <color rgb="FF000000"/>
            <rFont val="Times New Roman"/>
            <family val="18"/>
          </rPr>
          <t>]</t>
        </r>
        <r>
          <rPr>
            <sz val="14"/>
            <color rgb="FF000000"/>
            <rFont val="Calibri"/>
            <family val="34"/>
          </rPr>
          <t xml:space="preserve">
</t>
        </r>
        <r>
          <rPr>
            <sz val="14"/>
            <color rgb="FF000000"/>
            <rFont val="Times New Roman"/>
            <family val="18"/>
          </rPr>
          <t xml:space="preserve">31/03/1808 </t>
        </r>
        <r>
          <rPr>
            <i/>
            <sz val="14"/>
            <color rgb="FF000000"/>
            <rFont val="Times New Roman"/>
            <family val="18"/>
          </rPr>
          <t>Ins Prager Invaliden House zur Verosrgung</t>
        </r>
        <r>
          <rPr>
            <sz val="14"/>
            <color rgb="FF000000"/>
            <rFont val="Times New Roman"/>
            <family val="18"/>
          </rPr>
          <t xml:space="preserve"> [RL 1808]</t>
        </r>
        <r>
          <rPr>
            <sz val="14"/>
            <color rgb="FF000000"/>
            <rFont val="Calibri"/>
            <family val="34"/>
          </rPr>
          <t xml:space="preserve">
</t>
        </r>
      </text>
    </comment>
    <comment ref="BG468" authorId="0" shapeId="0" xr:uid="{2976FFAE-31F9-2143-AA83-C4DEE53BE610}">
      <text>
        <r>
          <rPr>
            <sz val="14"/>
            <color rgb="FF000000"/>
            <rFont val="Times New Roman"/>
            <family val="18"/>
          </rPr>
          <t>ML 3772 IR 42 (1806) – 3. Fus. Komp Nr. 67 &amp; Zuwachs (Theresienstadt 22/12/1806)</t>
        </r>
        <r>
          <rPr>
            <sz val="14"/>
            <color rgb="FF000000"/>
            <rFont val="Calibri"/>
            <family val="34"/>
          </rPr>
          <t xml:space="preserve">
</t>
        </r>
        <r>
          <rPr>
            <sz val="14"/>
            <color rgb="FF000000"/>
            <rFont val="Times New Roman"/>
            <family val="18"/>
          </rPr>
          <t>ML 3773 IR 42 (1808) – 3. Fus. Komp. Abgang (Lobositz 16/09/1808)</t>
        </r>
        <r>
          <rPr>
            <sz val="14"/>
            <color rgb="FF000000"/>
            <rFont val="Calibri"/>
            <family val="34"/>
          </rPr>
          <t xml:space="preserve">
</t>
        </r>
        <r>
          <rPr>
            <sz val="14"/>
            <color rgb="FF000000"/>
            <rFont val="Times New Roman"/>
            <family val="18"/>
          </rPr>
          <t>ML 3833 IR 42 (1808) – SUP Nr. 1 (Eger 15/03/1808); TL IR 42-&gt; InvH Prag Nr. 1 (Eger 31/03/1808)</t>
        </r>
        <r>
          <rPr>
            <sz val="14"/>
            <color rgb="FF000000"/>
            <rFont val="Calibri"/>
            <family val="34"/>
          </rPr>
          <t xml:space="preserve">
</t>
        </r>
      </text>
    </comment>
    <comment ref="BH468" authorId="0" shapeId="0" xr:uid="{8736FC2E-67D8-554D-B566-C10DF04317F6}">
      <text>
        <r>
          <rPr>
            <sz val="14"/>
            <color rgb="FF000000"/>
            <rFont val="Calibri"/>
            <family val="34"/>
          </rPr>
          <t xml:space="preserve">IR 42 (1804-1808)
</t>
        </r>
        <r>
          <rPr>
            <sz val="14"/>
            <color rgb="FF000000"/>
            <rFont val="Calibri"/>
            <family val="34"/>
          </rPr>
          <t>InvH Prag (1808)</t>
        </r>
      </text>
    </comment>
    <comment ref="BI468" authorId="0" shapeId="0" xr:uid="{20002338-7481-7141-B25A-445BE1828EAC}">
      <text>
        <r>
          <rPr>
            <sz val="14"/>
            <color rgb="FF000000"/>
            <rFont val="Calibri"/>
            <family val="34"/>
          </rPr>
          <t>Gut [TL March 1808]</t>
        </r>
      </text>
    </comment>
    <comment ref="BJ468" authorId="0" shapeId="0" xr:uid="{107EE742-AD2B-F348-B2E3-43DEC32C4C8A}">
      <text>
        <r>
          <rPr>
            <i/>
            <sz val="14"/>
            <color rgb="FF000000"/>
            <rFont val="Times New Roman"/>
            <family val="18"/>
          </rPr>
          <t xml:space="preserve">Starken Brust Defekt und Blöde Augen </t>
        </r>
        <r>
          <rPr>
            <sz val="14"/>
            <color rgb="FF000000"/>
            <rFont val="Times New Roman"/>
            <family val="18"/>
          </rPr>
          <t xml:space="preserve"> [SUP March 1806]</t>
        </r>
        <r>
          <rPr>
            <sz val="14"/>
            <color rgb="FF000000"/>
            <rFont val="Calibri"/>
            <family val="2"/>
          </rPr>
          <t xml:space="preserve"> </t>
        </r>
      </text>
    </comment>
    <comment ref="BF469" authorId="0" shapeId="0" xr:uid="{57A7D859-9D4F-D34A-BBAA-A968DEEBAC41}">
      <text>
        <r>
          <rPr>
            <sz val="14"/>
            <color rgb="FF000000"/>
            <rFont val="Times New Roman"/>
            <family val="18"/>
          </rPr>
          <t xml:space="preserve">07/06/1804 [bevor] </t>
        </r>
        <r>
          <rPr>
            <i/>
            <sz val="14"/>
            <color rgb="FF000000"/>
            <rFont val="Times New Roman"/>
            <family val="18"/>
          </rPr>
          <t xml:space="preserve">Assentiert </t>
        </r>
        <r>
          <rPr>
            <sz val="14"/>
            <color rgb="FF000000"/>
            <rFont val="Calibri"/>
            <family val="34"/>
          </rPr>
          <t xml:space="preserve">
</t>
        </r>
        <r>
          <rPr>
            <sz val="14"/>
            <color rgb="FF000000"/>
            <rFont val="Times New Roman"/>
            <family val="18"/>
          </rPr>
          <t xml:space="preserve">07/06/1804 </t>
        </r>
        <r>
          <rPr>
            <i/>
            <sz val="14"/>
            <color rgb="FF000000"/>
            <rFont val="Times New Roman"/>
            <family val="18"/>
          </rPr>
          <t>Superarbietrierung: Mit Laufpass zu entlassen</t>
        </r>
        <r>
          <rPr>
            <sz val="14"/>
            <color rgb="FF000000"/>
            <rFont val="Times New Roman"/>
            <family val="18"/>
          </rPr>
          <t xml:space="preserve"> [AL Okt 1804]</t>
        </r>
        <r>
          <rPr>
            <sz val="14"/>
            <color rgb="FF000000"/>
            <rFont val="Calibri"/>
            <family val="34"/>
          </rPr>
          <t xml:space="preserve">
</t>
        </r>
        <r>
          <rPr>
            <sz val="14"/>
            <color rgb="FF000000"/>
            <rFont val="Times New Roman"/>
            <family val="18"/>
          </rPr>
          <t xml:space="preserve">01/10/1804 </t>
        </r>
        <r>
          <rPr>
            <i/>
            <sz val="14"/>
            <color rgb="FF000000"/>
            <rFont val="Times New Roman"/>
            <family val="18"/>
          </rPr>
          <t>2. Ersatzt Mann Ignatz Kuczerek von Judengemeinde Opatow für 34Fl gestellt</t>
        </r>
        <r>
          <rPr>
            <sz val="14"/>
            <color rgb="FF000000"/>
            <rFont val="Times New Roman"/>
            <family val="18"/>
          </rPr>
          <t xml:space="preserve"> [AL Okt 1804]</t>
        </r>
        <r>
          <rPr>
            <sz val="14"/>
            <color rgb="FF000000"/>
            <rFont val="Calibri"/>
            <family val="34"/>
          </rPr>
          <t xml:space="preserve">
</t>
        </r>
      </text>
    </comment>
    <comment ref="BG469" authorId="0" shapeId="0" xr:uid="{318E95F6-76E5-734D-86EF-5D6D03E53F6A}">
      <text>
        <r>
          <rPr>
            <sz val="14"/>
            <color rgb="FF000000"/>
            <rFont val="Times New Roman"/>
            <family val="18"/>
          </rPr>
          <t>ML 10.314 IR 43 (1804) – AL of Ignatz Kuczerek (Opatow, 01/10/1810), ST Okt (08/12/1804)</t>
        </r>
        <r>
          <rPr>
            <sz val="14"/>
            <color rgb="FF000000"/>
            <rFont val="Calibri"/>
            <family val="34"/>
          </rPr>
          <t xml:space="preserve">
</t>
        </r>
      </text>
    </comment>
    <comment ref="BH469" authorId="0" shapeId="0" xr:uid="{7ECA0987-A0C4-9547-8CCA-8EE1E247C744}">
      <text>
        <r>
          <rPr>
            <sz val="14"/>
            <color rgb="FF000000"/>
            <rFont val="Calibri"/>
            <family val="34"/>
          </rPr>
          <t>IR 43 (1804)</t>
        </r>
      </text>
    </comment>
    <comment ref="J470" authorId="0" shapeId="0" xr:uid="{B3F0A304-A703-674F-99A4-2BAA7D14BEFC}">
      <text>
        <r>
          <rPr>
            <sz val="14"/>
            <color rgb="FF000000"/>
            <rFont val="Calibri"/>
            <family val="34"/>
          </rPr>
          <t xml:space="preserve">Ledig (1804) 'hat mit seinem Frau geschieden' 
</t>
        </r>
        <r>
          <rPr>
            <sz val="14"/>
            <color rgb="FF000000"/>
            <rFont val="Calibri"/>
            <family val="34"/>
          </rPr>
          <t>Veheiratet (1804-6)</t>
        </r>
      </text>
    </comment>
    <comment ref="BF470" authorId="0" shapeId="0" xr:uid="{B24BAFD6-5C90-BF44-B4C6-6203177CBEBE}">
      <text>
        <r>
          <rPr>
            <sz val="14"/>
            <color rgb="FF000000"/>
            <rFont val="Times New Roman"/>
            <family val="18"/>
          </rPr>
          <t xml:space="preserve">22/06/1804 </t>
        </r>
        <r>
          <rPr>
            <i/>
            <sz val="14"/>
            <color rgb="FF000000"/>
            <rFont val="Times New Roman"/>
            <family val="18"/>
          </rPr>
          <t>Hat sich gegen 3 Fl Handgeld und 10 Jährigen Capitulation freiwillig zu Opatow gestellt und ins IR 43 assentiert</t>
        </r>
        <r>
          <rPr>
            <sz val="14"/>
            <color rgb="FF000000"/>
            <rFont val="Times New Roman"/>
            <family val="18"/>
          </rPr>
          <t xml:space="preserve"> [AL 1804]</t>
        </r>
        <r>
          <rPr>
            <sz val="14"/>
            <color rgb="FF000000"/>
            <rFont val="Calibri"/>
            <family val="34"/>
          </rPr>
          <t xml:space="preserve">
</t>
        </r>
        <r>
          <rPr>
            <sz val="14"/>
            <color rgb="FF000000"/>
            <rFont val="Times New Roman"/>
            <family val="18"/>
          </rPr>
          <t xml:space="preserve">25/07/1804 </t>
        </r>
        <r>
          <rPr>
            <i/>
            <sz val="14"/>
            <color rgb="FF000000"/>
            <rFont val="Times New Roman"/>
            <family val="18"/>
          </rPr>
          <t>Vermog West Galizischen General Commando Verordnung det. Krakau den 27 Juli nach abgehaltenen Superarbietrierung als Dienst untauglich gegen Erlag der Unkosten mit Laufpaß entlassen</t>
        </r>
        <r>
          <rPr>
            <sz val="14"/>
            <color rgb="FF000000"/>
            <rFont val="Times New Roman"/>
            <family val="18"/>
          </rPr>
          <t xml:space="preserve"> [ST Aug 1804]</t>
        </r>
        <r>
          <rPr>
            <sz val="14"/>
            <color rgb="FF000000"/>
            <rFont val="Calibri"/>
            <family val="34"/>
          </rPr>
          <t xml:space="preserve">
</t>
        </r>
      </text>
    </comment>
    <comment ref="BG470" authorId="0" shapeId="0" xr:uid="{78901538-1BF4-884A-B31C-1F62F2DDE684}">
      <text>
        <r>
          <rPr>
            <sz val="14"/>
            <color rgb="FF000000"/>
            <rFont val="Times New Roman"/>
            <family val="18"/>
          </rPr>
          <t xml:space="preserve">22/06/1804 </t>
        </r>
        <r>
          <rPr>
            <i/>
            <sz val="14"/>
            <color rgb="FF000000"/>
            <rFont val="Times New Roman"/>
            <family val="18"/>
          </rPr>
          <t>Hat sich gegen 3 Fl Handgeld und 10 Jährigen Capitulation freiwillig zu Opatow gestellt und ins IR 43 assentiert</t>
        </r>
        <r>
          <rPr>
            <sz val="14"/>
            <color rgb="FF000000"/>
            <rFont val="Times New Roman"/>
            <family val="18"/>
          </rPr>
          <t xml:space="preserve"> [AL 1804]</t>
        </r>
        <r>
          <rPr>
            <sz val="14"/>
            <color rgb="FF000000"/>
            <rFont val="Calibri"/>
            <family val="34"/>
          </rPr>
          <t xml:space="preserve">
</t>
        </r>
        <r>
          <rPr>
            <sz val="14"/>
            <color rgb="FF000000"/>
            <rFont val="Times New Roman"/>
            <family val="18"/>
          </rPr>
          <t xml:space="preserve">25/07/1804 </t>
        </r>
        <r>
          <rPr>
            <i/>
            <sz val="14"/>
            <color rgb="FF000000"/>
            <rFont val="Times New Roman"/>
            <family val="18"/>
          </rPr>
          <t>Vermog West Galizischen General Commando Verordnung det. Krakau den 27 Juli nach abgehaltenen Superarbietrierung als Dienst untauglich gegen Erlag der Unkosten mit Laufpaß entlassen</t>
        </r>
        <r>
          <rPr>
            <sz val="14"/>
            <color rgb="FF000000"/>
            <rFont val="Times New Roman"/>
            <family val="18"/>
          </rPr>
          <t xml:space="preserve"> [ST Aug 1804]</t>
        </r>
        <r>
          <rPr>
            <sz val="14"/>
            <color rgb="FF000000"/>
            <rFont val="Calibri"/>
            <family val="34"/>
          </rPr>
          <t xml:space="preserve">
</t>
        </r>
      </text>
    </comment>
    <comment ref="BH470" authorId="0" shapeId="0" xr:uid="{016DFBAC-0800-BD4B-AD30-41120DE6CF69}">
      <text>
        <r>
          <rPr>
            <sz val="14"/>
            <color rgb="FF000000"/>
            <rFont val="Calibri"/>
            <family val="34"/>
          </rPr>
          <t>IR 43 (1804)</t>
        </r>
      </text>
    </comment>
    <comment ref="BF471" authorId="0" shapeId="0" xr:uid="{7A60EE65-4A20-C24F-9A15-C4118B789645}">
      <text>
        <r>
          <rPr>
            <sz val="14"/>
            <color rgb="FF000000"/>
            <rFont val="Times New Roman"/>
            <family val="18"/>
          </rPr>
          <t xml:space="preserve">03/07/1805 </t>
        </r>
        <r>
          <rPr>
            <i/>
            <sz val="14"/>
            <color rgb="FF000000"/>
            <rFont val="Times New Roman"/>
            <family val="18"/>
          </rPr>
          <t>Von Dominien gestellt und zum IR 59 assentiert und zur Hamsa Komp. eingeteilt</t>
        </r>
        <r>
          <rPr>
            <sz val="14"/>
            <color rgb="FF000000"/>
            <rFont val="Times New Roman"/>
            <family val="18"/>
          </rPr>
          <t xml:space="preserve"> [AL July 1805]</t>
        </r>
        <r>
          <rPr>
            <sz val="14"/>
            <color rgb="FF000000"/>
            <rFont val="Calibri"/>
            <family val="34"/>
          </rPr>
          <t xml:space="preserve">
</t>
        </r>
        <r>
          <rPr>
            <sz val="14"/>
            <color rgb="FF000000"/>
            <rFont val="Times New Roman"/>
            <family val="18"/>
          </rPr>
          <t xml:space="preserve">01/10/1805 </t>
        </r>
        <r>
          <rPr>
            <i/>
            <sz val="14"/>
            <color rgb="FF000000"/>
            <rFont val="Times New Roman"/>
            <family val="18"/>
          </rPr>
          <t xml:space="preserve">Von 6. Zum 11.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NÖ Gen. Comdo Verodgnung vom 7. Aug Lit R Nr 3178 als zu Feldkriegsdienst unfähig und gegen Renuncierug aud alle milit. Beneficien mit Abschied entlassen</t>
        </r>
        <r>
          <rPr>
            <sz val="14"/>
            <color rgb="FF000000"/>
            <rFont val="Times New Roman"/>
            <family val="18"/>
          </rPr>
          <t xml:space="preserve"> [ML 1806] </t>
        </r>
      </text>
    </comment>
    <comment ref="BG471" authorId="0" shapeId="0" xr:uid="{0ECFB3B8-6DEB-B142-A818-8107EB5E00E8}">
      <text>
        <r>
          <rPr>
            <sz val="14"/>
            <color rgb="FF000000"/>
            <rFont val="Times New Roman"/>
            <family val="18"/>
          </rPr>
          <t>ML 5017/8 IR 59 (1806) – 15. Fus. Komp. Abgang. (Freistadt 22/12/1806)</t>
        </r>
        <r>
          <rPr>
            <sz val="14"/>
            <color rgb="FF000000"/>
            <rFont val="Calibri"/>
            <family val="34"/>
          </rPr>
          <t xml:space="preserve">
</t>
        </r>
        <r>
          <rPr>
            <sz val="14"/>
            <color rgb="FF000000"/>
            <rFont val="Times New Roman"/>
            <family val="18"/>
          </rPr>
          <t>ML 5067 IR 59 (1805) – AL. Nr. 56 (Siedlce 14/07/1805)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471" authorId="0" shapeId="0" xr:uid="{A893121D-1CEC-9345-A8FA-B65AAE1C62CC}">
      <text>
        <r>
          <rPr>
            <sz val="14"/>
            <color rgb="FF000000"/>
            <rFont val="Calibri"/>
            <family val="34"/>
          </rPr>
          <t>IR 59 (1805-1806)</t>
        </r>
      </text>
    </comment>
    <comment ref="BF472" authorId="0" shapeId="0" xr:uid="{70773290-2DB8-5B45-886E-F3F3978F2B89}">
      <text>
        <r>
          <rPr>
            <sz val="14"/>
            <color rgb="FF000000"/>
            <rFont val="Times New Roman"/>
            <family val="18"/>
          </rPr>
          <t xml:space="preserve">04/07/1805 </t>
        </r>
        <r>
          <rPr>
            <i/>
            <sz val="14"/>
            <color rgb="FF000000"/>
            <rFont val="Times New Roman"/>
            <family val="18"/>
          </rPr>
          <t>Von Dominien gestellt und zum IR 59 assentiert und zur Harnach Komp. eingeteilt</t>
        </r>
        <r>
          <rPr>
            <sz val="14"/>
            <color rgb="FF000000"/>
            <rFont val="Times New Roman"/>
            <family val="18"/>
          </rPr>
          <t xml:space="preserve"> [AL July 1805]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2"/>
          </rPr>
          <t xml:space="preserve"> </t>
        </r>
      </text>
    </comment>
    <comment ref="BG472" authorId="0" shapeId="0" xr:uid="{8828ECE6-4F08-E147-A316-1D244E53888F}">
      <text>
        <r>
          <rPr>
            <sz val="14"/>
            <color rgb="FF000000"/>
            <rFont val="Times New Roman"/>
            <family val="18"/>
          </rPr>
          <t>ML 5017/8 IR 59 (1806) –Reserve Division Zuwachs &amp; Abgang (Wells 06/07/1807) &amp; Cons. Unwissend verlohren‘ Nr. 413 (Linz 10/07/1807)</t>
        </r>
        <r>
          <rPr>
            <sz val="14"/>
            <color rgb="FF000000"/>
            <rFont val="Calibri"/>
            <family val="34"/>
          </rPr>
          <t xml:space="preserve">
</t>
        </r>
        <r>
          <rPr>
            <sz val="14"/>
            <color rgb="FF000000"/>
            <rFont val="Times New Roman"/>
            <family val="18"/>
          </rPr>
          <t>ML 5067 IR 59 (1805) – AL. Nr. 124 (Siedlce 20/08/1805)</t>
        </r>
        <r>
          <rPr>
            <sz val="14"/>
            <color rgb="FF000000"/>
            <rFont val="Calibri"/>
            <family val="34"/>
          </rPr>
          <t xml:space="preserve">
</t>
        </r>
      </text>
    </comment>
    <comment ref="BH472" authorId="0" shapeId="0" xr:uid="{95C3B2D1-A2CF-D94B-8D86-FA40A1AFBE39}">
      <text>
        <r>
          <rPr>
            <sz val="14"/>
            <color rgb="FF000000"/>
            <rFont val="Calibri"/>
            <family val="34"/>
          </rPr>
          <t>IR 59 (1805-1806)</t>
        </r>
      </text>
    </comment>
    <comment ref="BF473" authorId="0" shapeId="0" xr:uid="{A1DE7FD2-779B-6C45-B97B-73A32D746ED5}">
      <text>
        <r>
          <rPr>
            <sz val="14"/>
            <color rgb="FF000000"/>
            <rFont val="Times New Roman"/>
            <family val="18"/>
          </rPr>
          <t xml:space="preserve">05/07/1805 </t>
        </r>
        <r>
          <rPr>
            <i/>
            <sz val="14"/>
            <color rgb="FF000000"/>
            <rFont val="Times New Roman"/>
            <family val="18"/>
          </rPr>
          <t>Zu Stain Inf</t>
        </r>
        <r>
          <rPr>
            <sz val="14"/>
            <color rgb="FF000000"/>
            <rFont val="Times New Roman"/>
            <family val="18"/>
          </rPr>
          <t xml:space="preserve"> </t>
        </r>
        <r>
          <rPr>
            <b/>
            <sz val="14"/>
            <color rgb="FF000000"/>
            <rFont val="Times New Roman"/>
            <family val="18"/>
          </rPr>
          <t>[IR 50]</t>
        </r>
        <r>
          <rPr>
            <sz val="14"/>
            <color rgb="FF000000"/>
            <rFont val="Times New Roman"/>
            <family val="18"/>
          </rPr>
          <t xml:space="preserve"> </t>
        </r>
        <r>
          <rPr>
            <i/>
            <sz val="14"/>
            <color rgb="FF000000"/>
            <rFont val="Times New Roman"/>
            <family val="18"/>
          </rPr>
          <t>auf 10 Jahr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IR 50 Stein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7. Fus Komp. Nr. 187</t>
        </r>
        <r>
          <rPr>
            <sz val="14"/>
            <color rgb="FF000000"/>
            <rFont val="Calibri"/>
            <family val="34"/>
          </rPr>
          <t xml:space="preserve">
</t>
        </r>
        <r>
          <rPr>
            <sz val="14"/>
            <color rgb="FF000000"/>
            <rFont val="Times New Roman"/>
            <family val="18"/>
          </rPr>
          <t xml:space="preserve">20/09/1817 </t>
        </r>
        <r>
          <rPr>
            <i/>
            <sz val="14"/>
            <color rgb="FF000000"/>
            <rFont val="Times New Roman"/>
            <family val="18"/>
          </rPr>
          <t xml:space="preserve">zu Folge hoher General Commando Verordnung det Wien von 16. July 1816 R 15578 in das Tyrnauer Invaliden Haus zur Versorgung </t>
        </r>
        <r>
          <rPr>
            <sz val="14"/>
            <color rgb="FF000000"/>
            <rFont val="Times New Roman"/>
            <family val="18"/>
          </rPr>
          <t>[ML 1817]</t>
        </r>
      </text>
    </comment>
    <comment ref="BG473" authorId="0" shapeId="0" xr:uid="{2EDC83E7-098D-2E47-9E62-4C9A7CFFB947}">
      <text>
        <r>
          <rPr>
            <sz val="14"/>
            <color rgb="FF000000"/>
            <rFont val="Times New Roman"/>
            <family val="18"/>
          </rPr>
          <t>ML 2633 IR 30 (1811) – 7. Komp. Nr. 187 (Czernowitz 11/09/1811)</t>
        </r>
        <r>
          <rPr>
            <sz val="14"/>
            <color rgb="FF000000"/>
            <rFont val="Calibri"/>
            <family val="34"/>
          </rPr>
          <t xml:space="preserve">
</t>
        </r>
        <r>
          <rPr>
            <sz val="14"/>
            <color rgb="FF000000"/>
            <rFont val="Times New Roman"/>
            <family val="18"/>
          </rPr>
          <t>ML 2635 IR 30 (1817) – 7. Fus Komp. – Abgang (Lemberg 15/10/1817)</t>
        </r>
        <r>
          <rPr>
            <sz val="14"/>
            <color rgb="FF000000"/>
            <rFont val="Calibri"/>
            <family val="34"/>
          </rPr>
          <t xml:space="preserve">
</t>
        </r>
      </text>
    </comment>
    <comment ref="BH473" authorId="0" shapeId="0" xr:uid="{4F5F71B6-91EF-6446-9126-FC9EDC74DA60}">
      <text>
        <r>
          <rPr>
            <sz val="14"/>
            <color rgb="FF000000"/>
            <rFont val="Calibri"/>
            <family val="34"/>
          </rPr>
          <t xml:space="preserve">IR 50 (1805-1810)
</t>
        </r>
        <r>
          <rPr>
            <sz val="14"/>
            <color rgb="FF000000"/>
            <rFont val="Calibri"/>
            <family val="34"/>
          </rPr>
          <t xml:space="preserve">IR 30 (1810-1817)
</t>
        </r>
        <r>
          <rPr>
            <sz val="14"/>
            <color rgb="FF000000"/>
            <rFont val="Calibri"/>
            <family val="34"/>
          </rPr>
          <t>InvH Tyrnau (1817)</t>
        </r>
      </text>
    </comment>
    <comment ref="BF474" authorId="0" shapeId="0" xr:uid="{62A6D754-41A2-C64C-8719-1A19D22F571E}">
      <text>
        <r>
          <rPr>
            <sz val="14"/>
            <color rgb="FF000000"/>
            <rFont val="Times New Roman"/>
            <family val="18"/>
          </rPr>
          <t xml:space="preserve">06/07/1805 </t>
        </r>
        <r>
          <rPr>
            <i/>
            <sz val="14"/>
            <color rgb="FF000000"/>
            <rFont val="Times New Roman"/>
            <family val="18"/>
          </rPr>
          <t xml:space="preserve">Auf 6 Jahr zu Moduva </t>
        </r>
        <r>
          <rPr>
            <b/>
            <sz val="14"/>
            <color rgb="FF000000"/>
            <rFont val="Times New Roman"/>
            <family val="18"/>
          </rPr>
          <t>[?]</t>
        </r>
        <r>
          <rPr>
            <sz val="14"/>
            <color rgb="FF000000"/>
            <rFont val="Times New Roman"/>
            <family val="18"/>
          </rPr>
          <t xml:space="preserve"> </t>
        </r>
        <r>
          <rPr>
            <i/>
            <sz val="14"/>
            <color rgb="FF000000"/>
            <rFont val="Times New Roman"/>
            <family val="18"/>
          </rPr>
          <t>in Galizien gegen 15Fl Handgeld</t>
        </r>
        <r>
          <rPr>
            <sz val="14"/>
            <color rgb="FF000000"/>
            <rFont val="Times New Roman"/>
            <family val="18"/>
          </rPr>
          <t xml:space="preserve"> </t>
        </r>
        <r>
          <rPr>
            <i/>
            <sz val="14"/>
            <color rgb="FF000000"/>
            <rFont val="Times New Roman"/>
            <family val="18"/>
          </rPr>
          <t>assentiert und zum Obrist Komp eingeheilt</t>
        </r>
        <r>
          <rPr>
            <sz val="14"/>
            <color rgb="FF000000"/>
            <rFont val="Times New Roman"/>
            <family val="18"/>
          </rPr>
          <t xml:space="preserve"> [ML 1806]</t>
        </r>
        <r>
          <rPr>
            <sz val="14"/>
            <color rgb="FF000000"/>
            <rFont val="Calibri"/>
            <family val="34"/>
          </rPr>
          <t xml:space="preserve">
</t>
        </r>
        <r>
          <rPr>
            <sz val="14"/>
            <color rgb="FF000000"/>
            <rFont val="Times New Roman"/>
            <family val="18"/>
          </rPr>
          <t>10/12/1806 Muster: IR 44 Haupt Kurz Komp. Nr. 70</t>
        </r>
        <r>
          <rPr>
            <sz val="14"/>
            <color rgb="FF000000"/>
            <rFont val="Calibri"/>
            <family val="34"/>
          </rPr>
          <t xml:space="preserve">
</t>
        </r>
        <r>
          <rPr>
            <sz val="14"/>
            <color rgb="FF000000"/>
            <rFont val="Times New Roman"/>
            <family val="18"/>
          </rPr>
          <t>19/09/1808 Revision: IR 44 Haupt Kurz [12. Fus.] Komp. Nr. 54</t>
        </r>
        <r>
          <rPr>
            <sz val="14"/>
            <color rgb="FF000000"/>
            <rFont val="Calibri"/>
            <family val="34"/>
          </rPr>
          <t xml:space="preserve">
</t>
        </r>
        <r>
          <rPr>
            <sz val="14"/>
            <color rgb="FF000000"/>
            <rFont val="Times New Roman"/>
            <family val="18"/>
          </rPr>
          <t xml:space="preserve">01/03/1809 </t>
        </r>
        <r>
          <rPr>
            <i/>
            <sz val="14"/>
            <color rgb="FF000000"/>
            <rFont val="Times New Roman"/>
            <family val="18"/>
          </rPr>
          <t>Beym Regiment Depot Kommandiert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31/03/1809 </t>
        </r>
        <r>
          <rPr>
            <i/>
            <sz val="14"/>
            <color rgb="FF000000"/>
            <rFont val="Times New Roman"/>
            <family val="18"/>
          </rPr>
          <t>Wieder in Kompanie</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21/04/1809 </t>
        </r>
        <r>
          <rPr>
            <i/>
            <sz val="14"/>
            <color rgb="FF000000"/>
            <rFont val="Times New Roman"/>
            <family val="18"/>
          </rPr>
          <t>Kommandiert zu Wien, dann am Marsch zur Regiment</t>
        </r>
        <r>
          <rPr>
            <sz val="14"/>
            <color rgb="FF000000"/>
            <rFont val="Times New Roman"/>
            <family val="18"/>
          </rPr>
          <t xml:space="preserve"> [ST April 1809 &amp; June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12. Zum 6.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 xml:space="preserve">31/08/1810 </t>
        </r>
        <r>
          <rPr>
            <i/>
            <sz val="14"/>
            <color rgb="FF000000"/>
            <rFont val="Times New Roman"/>
            <family val="18"/>
          </rPr>
          <t>Als aus Marsch verbliebene als unwissend Verloren in Abgang gebracht</t>
        </r>
        <r>
          <rPr>
            <sz val="14"/>
            <color rgb="FF000000"/>
            <rFont val="Times New Roman"/>
            <family val="18"/>
          </rPr>
          <t xml:space="preserve"> [ML 1811]</t>
        </r>
        <r>
          <rPr>
            <sz val="14"/>
            <color rgb="FF000000"/>
            <rFont val="Calibri"/>
            <family val="34"/>
          </rPr>
          <t xml:space="preserve">
</t>
        </r>
      </text>
    </comment>
    <comment ref="BG474" authorId="0" shapeId="0" xr:uid="{080DE497-EAAB-A044-852F-AEA4BD83FE78}">
      <text>
        <r>
          <rPr>
            <sz val="14"/>
            <color rgb="FF000000"/>
            <rFont val="Times New Roman"/>
            <family val="18"/>
          </rPr>
          <t>ML 3910 IR 44 (1806) – Haupt Kurz Nr. 70 (Fiume 10/12/1806)</t>
        </r>
        <r>
          <rPr>
            <sz val="14"/>
            <color rgb="FF000000"/>
            <rFont val="Calibri"/>
            <family val="34"/>
          </rPr>
          <t xml:space="preserve">
</t>
        </r>
        <r>
          <rPr>
            <sz val="14"/>
            <color rgb="FF000000"/>
            <rFont val="Times New Roman"/>
            <family val="18"/>
          </rPr>
          <t>ML 3912/3 IR 44 (1811) – 6. Fus. Komp. Abgang (Pappa 18/09/1811)</t>
        </r>
        <r>
          <rPr>
            <sz val="14"/>
            <color rgb="FF000000"/>
            <rFont val="Calibri"/>
            <family val="34"/>
          </rPr>
          <t xml:space="preserve">
</t>
        </r>
        <r>
          <rPr>
            <sz val="14"/>
            <color rgb="FF000000"/>
            <rFont val="Times New Roman"/>
            <family val="18"/>
          </rPr>
          <t>ML 3911 IR 44 (1808-10) – RL Haupt Kurz [12. Fus. ] Nr. 54 (Comorn 19/09/1806)</t>
        </r>
        <r>
          <rPr>
            <sz val="14"/>
            <color rgb="FF000000"/>
            <rFont val="Calibri"/>
            <family val="34"/>
          </rPr>
          <t xml:space="preserve">
</t>
        </r>
        <r>
          <rPr>
            <sz val="14"/>
            <color rgb="FF000000"/>
            <rFont val="Times New Roman"/>
            <family val="18"/>
          </rPr>
          <t>ML 3960 IR 44 (1809) – März (Ofen 14/03/1811), April (Ofen 06/02/1811), June (Ofen 08/04/1811)</t>
        </r>
        <r>
          <rPr>
            <sz val="14"/>
            <color rgb="FF000000"/>
            <rFont val="Calibri"/>
            <family val="34"/>
          </rPr>
          <t xml:space="preserve">
</t>
        </r>
      </text>
    </comment>
    <comment ref="BH474" authorId="0" shapeId="0" xr:uid="{31AE1AE0-D2E7-3443-86D9-7B2BBC0A67F5}">
      <text>
        <r>
          <rPr>
            <sz val="14"/>
            <color rgb="FF000000"/>
            <rFont val="Calibri"/>
            <family val="34"/>
          </rPr>
          <t>IR 44 (1805-1810)</t>
        </r>
      </text>
    </comment>
    <comment ref="BF475" authorId="0" shapeId="0" xr:uid="{6AF48F57-EDCF-1A42-B806-60174316E116}">
      <text>
        <r>
          <rPr>
            <sz val="14"/>
            <color rgb="FF000000"/>
            <rFont val="Times New Roman"/>
            <family val="18"/>
          </rPr>
          <t xml:space="preserve">09/07/1805 </t>
        </r>
        <r>
          <rPr>
            <i/>
            <sz val="14"/>
            <color rgb="FF000000"/>
            <rFont val="Times New Roman"/>
            <family val="18"/>
          </rPr>
          <t>Zum IR 20 beim vakante [19. Fus] Comp. a 3Fl Handgeld als Landständische Werbbezirk Recrout gestellt</t>
        </r>
        <r>
          <rPr>
            <sz val="14"/>
            <color rgb="FF000000"/>
            <rFont val="Times New Roman"/>
            <family val="18"/>
          </rPr>
          <t xml:space="preserve"> [AL July 1805]
</t>
        </r>
        <r>
          <rPr>
            <sz val="14"/>
            <color rgb="FF000000"/>
            <rFont val="Times New Roman"/>
            <family val="18"/>
          </rPr>
          <t xml:space="preserve">03/01/1806 </t>
        </r>
        <r>
          <rPr>
            <i/>
            <sz val="14"/>
            <color rgb="FF000000"/>
            <rFont val="Times New Roman"/>
            <family val="18"/>
          </rPr>
          <t>Von 19. zum 16. Fus. Comp.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Während den Anmärschen und in Auswärtigen Spitalern unwissend verloren</t>
        </r>
        <r>
          <rPr>
            <sz val="14"/>
            <color rgb="FF000000"/>
            <rFont val="Times New Roman"/>
            <family val="18"/>
          </rPr>
          <t xml:space="preserve"> [ML 1806]
</t>
        </r>
      </text>
    </comment>
    <comment ref="BG475" authorId="0" shapeId="0" xr:uid="{8AC4808B-D98F-0041-B192-CD402080B9F0}">
      <text>
        <r>
          <rPr>
            <sz val="14"/>
            <color rgb="FF000000"/>
            <rFont val="Times New Roman"/>
            <family val="18"/>
          </rPr>
          <t xml:space="preserve">ML 1623-5 IR 20 (1806) –16. und 19. Fus. Komp., Zuwachs &amp; Abgang (Olmütz 15/12/1806)
</t>
        </r>
        <r>
          <rPr>
            <sz val="14"/>
            <color rgb="FF000000"/>
            <rFont val="Times New Roman"/>
            <family val="18"/>
          </rPr>
          <t xml:space="preserve">ML 1659 IR 20 (1805) – AL/TL pro Monat Sept Nr. 35 (Tarnopol 09/07/1805)
</t>
        </r>
      </text>
    </comment>
    <comment ref="BH475" authorId="0" shapeId="0" xr:uid="{E5BE9FCC-06CD-494A-9260-CB26B3608958}">
      <text>
        <r>
          <rPr>
            <sz val="14"/>
            <color rgb="FF000000"/>
            <rFont val="Calibri"/>
            <family val="34"/>
          </rPr>
          <t>IR 44 (1805-1806)</t>
        </r>
      </text>
    </comment>
    <comment ref="BF476" authorId="0" shapeId="0" xr:uid="{80CB92E7-3030-BC44-8AB3-235F4E9E2956}">
      <text>
        <r>
          <rPr>
            <sz val="14"/>
            <color rgb="FF000000"/>
            <rFont val="Times New Roman"/>
            <family val="18"/>
          </rPr>
          <t xml:space="preserve">14/07/1805 </t>
        </r>
        <r>
          <rPr>
            <i/>
            <sz val="14"/>
            <color rgb="FF000000"/>
            <rFont val="Times New Roman"/>
            <family val="18"/>
          </rPr>
          <t>Landständischer Rekrut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dissovierte 19. zur 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23/07/1808 Superarbietriert: </t>
        </r>
        <r>
          <rPr>
            <i/>
            <sz val="14"/>
            <color rgb="FF000000"/>
            <rFont val="Times New Roman"/>
            <family val="18"/>
          </rPr>
          <t xml:space="preserve">Beständig Kränklich, ins Invaliden Haus anzugeben und Patentmassig anzuweisen </t>
        </r>
        <r>
          <rPr>
            <sz val="14"/>
            <color rgb="FF000000"/>
            <rFont val="Times New Roman"/>
            <family val="18"/>
          </rPr>
          <t>[SUP July 1808]</t>
        </r>
        <r>
          <rPr>
            <sz val="14"/>
            <color rgb="FF000000"/>
            <rFont val="Calibri"/>
            <family val="34"/>
          </rPr>
          <t xml:space="preserve">
</t>
        </r>
        <r>
          <rPr>
            <sz val="14"/>
            <color rgb="FF000000"/>
            <rFont val="Times New Roman"/>
            <family val="18"/>
          </rPr>
          <t xml:space="preserve">31/07/1808 </t>
        </r>
        <r>
          <rPr>
            <i/>
            <sz val="14"/>
            <color rgb="FF000000"/>
            <rFont val="Times New Roman"/>
            <family val="18"/>
          </rPr>
          <t>Als Reale Invalid zu Prager Invalidenhaus in die Versorgung</t>
        </r>
        <r>
          <rPr>
            <sz val="14"/>
            <color rgb="FF000000"/>
            <rFont val="Times New Roman"/>
            <family val="18"/>
          </rPr>
          <t xml:space="preserve"> [RL 1808]</t>
        </r>
        <r>
          <rPr>
            <sz val="14"/>
            <color rgb="FF000000"/>
            <rFont val="Calibri"/>
            <family val="34"/>
          </rPr>
          <t xml:space="preserve">
</t>
        </r>
      </text>
    </comment>
    <comment ref="BG476" authorId="0" shapeId="0" xr:uid="{7C5947C6-CE9D-9746-A4BD-D148BD97A99F}">
      <text>
        <r>
          <rPr>
            <sz val="14"/>
            <color rgb="FF000000"/>
            <rFont val="Times New Roman"/>
            <family val="18"/>
          </rPr>
          <t>ML 3772 IR 42 ‘Erbach’ (1806) – 2nd Fus Nr. 140 &amp; Zuwachs (Theresienstadt 22/12/1806)</t>
        </r>
        <r>
          <rPr>
            <sz val="14"/>
            <color rgb="FF000000"/>
            <rFont val="Calibri"/>
            <family val="34"/>
          </rPr>
          <t xml:space="preserve">
</t>
        </r>
        <r>
          <rPr>
            <sz val="14"/>
            <color rgb="FF000000"/>
            <rFont val="Times New Roman"/>
            <family val="18"/>
          </rPr>
          <t>ML 3833 IR 42 (1808) – SUP Nr. 2 (Saatz 23/07/1808); TL IR 42-&gt; InvH Prag Nr. 2 (Saatz 15/08/1808)</t>
        </r>
        <r>
          <rPr>
            <sz val="14"/>
            <color rgb="FF000000"/>
            <rFont val="Calibri"/>
            <family val="34"/>
          </rPr>
          <t xml:space="preserve">
</t>
        </r>
        <r>
          <rPr>
            <sz val="14"/>
            <color rgb="FF000000"/>
            <rFont val="Times New Roman"/>
            <family val="18"/>
          </rPr>
          <t>ML 3774 IR 42 (1808) – 2. Fus. Komp. Abgang (Lobositz 16/09/1808)</t>
        </r>
        <r>
          <rPr>
            <sz val="14"/>
            <color rgb="FF000000"/>
            <rFont val="Calibri"/>
            <family val="34"/>
          </rPr>
          <t xml:space="preserve">
</t>
        </r>
      </text>
    </comment>
    <comment ref="BH476" authorId="0" shapeId="0" xr:uid="{1615D918-2C91-1E4C-B4EB-2ED6731CD2E4}">
      <text>
        <r>
          <rPr>
            <sz val="14"/>
            <color rgb="FF000000"/>
            <rFont val="Calibri"/>
            <family val="34"/>
          </rPr>
          <t xml:space="preserve">IR 42 (1805-1808)
</t>
        </r>
        <r>
          <rPr>
            <sz val="14"/>
            <color rgb="FF000000"/>
            <rFont val="Calibri"/>
            <family val="34"/>
          </rPr>
          <t>InvH Prag (1808)</t>
        </r>
      </text>
    </comment>
    <comment ref="BI476" authorId="0" shapeId="0" xr:uid="{D5F860FB-40B6-C84E-866D-F8E8584C2F71}">
      <text>
        <r>
          <rPr>
            <sz val="14"/>
            <color rgb="FF000000"/>
            <rFont val="Calibri"/>
            <family val="34"/>
          </rPr>
          <t>Gut [TL Aug 1808]</t>
        </r>
      </text>
    </comment>
    <comment ref="BJ476" authorId="0" shapeId="0" xr:uid="{6F24AE64-A184-6942-931A-3059B1CBB47A}">
      <text>
        <r>
          <rPr>
            <i/>
            <sz val="14"/>
            <color rgb="FF000000"/>
            <rFont val="Times New Roman"/>
            <family val="18"/>
          </rPr>
          <t xml:space="preserve">Beständig Kränklich </t>
        </r>
        <r>
          <rPr>
            <sz val="14"/>
            <color rgb="FF000000"/>
            <rFont val="Times New Roman"/>
            <family val="18"/>
          </rPr>
          <t xml:space="preserve">(1808); </t>
        </r>
        <r>
          <rPr>
            <i/>
            <sz val="14"/>
            <color rgb="FF000000"/>
            <rFont val="Times New Roman"/>
            <family val="18"/>
          </rPr>
          <t>einer Schwund am rechten Oberschenkel und mit einem Schleich und erfieber behaltet zeitlicher Reale Invalid; in Folge eines am 22. April d.J. erlittenen Fall während Dienstzeit, ohne Verschulde</t>
        </r>
        <r>
          <rPr>
            <sz val="14"/>
            <color rgb="FF000000"/>
            <rFont val="Times New Roman"/>
            <family val="18"/>
          </rPr>
          <t xml:space="preserve"> [SUP July 1808]</t>
        </r>
        <r>
          <rPr>
            <sz val="14"/>
            <color rgb="FF000000"/>
            <rFont val="Calibri"/>
            <family val="2"/>
            <scheme val="minor"/>
          </rPr>
          <t xml:space="preserve"> </t>
        </r>
      </text>
    </comment>
    <comment ref="BF477" authorId="0" shapeId="0" xr:uid="{94E84ACB-D054-D443-87E8-E5E6E179EB4F}">
      <text>
        <r>
          <rPr>
            <sz val="14"/>
            <color rgb="FF000000"/>
            <rFont val="Times New Roman"/>
            <family val="18"/>
          </rPr>
          <t xml:space="preserve">29/07/1805 </t>
        </r>
        <r>
          <rPr>
            <i/>
            <sz val="14"/>
            <color rgb="FF000000"/>
            <rFont val="Times New Roman"/>
            <family val="18"/>
          </rPr>
          <t xml:space="preserve">Statt den entlassenen Cannonier Jakob Wallinger sich freiwillig gestellt und zum 7. Ordinaire zugeteilt; empfangt von Entlassengswerber an Handgeld 40 Fl </t>
        </r>
        <r>
          <rPr>
            <sz val="14"/>
            <color rgb="FF000000"/>
            <rFont val="Times New Roman"/>
            <family val="18"/>
          </rPr>
          <t>[AL 1805 &amp; ST Juli 1805]</t>
        </r>
        <r>
          <rPr>
            <sz val="14"/>
            <color rgb="FF000000"/>
            <rFont val="Calibri"/>
            <family val="34"/>
          </rPr>
          <t xml:space="preserve">
</t>
        </r>
        <r>
          <rPr>
            <sz val="14"/>
            <color rgb="FF000000"/>
            <rFont val="Times New Roman"/>
            <family val="18"/>
          </rPr>
          <t xml:space="preserve">14/12/1805 </t>
        </r>
        <r>
          <rPr>
            <i/>
            <sz val="14"/>
            <color rgb="FF000000"/>
            <rFont val="Times New Roman"/>
            <family val="18"/>
          </rPr>
          <t>Krank in the Armee Spitaler hierort ohne Verpflegung</t>
        </r>
        <r>
          <rPr>
            <sz val="14"/>
            <color rgb="FF000000"/>
            <rFont val="Times New Roman"/>
            <family val="18"/>
          </rPr>
          <t xml:space="preserve"> [ST Dec 1805]</t>
        </r>
        <r>
          <rPr>
            <sz val="14"/>
            <color rgb="FF000000"/>
            <rFont val="Calibri"/>
            <family val="34"/>
          </rPr>
          <t xml:space="preserve">
</t>
        </r>
        <r>
          <rPr>
            <sz val="14"/>
            <color rgb="FF000000"/>
            <rFont val="Times New Roman"/>
            <family val="18"/>
          </rPr>
          <t xml:space="preserve">14/01/1806 </t>
        </r>
        <r>
          <rPr>
            <i/>
            <sz val="14"/>
            <color rgb="FF000000"/>
            <rFont val="Times New Roman"/>
            <family val="18"/>
          </rPr>
          <t>Gestorben</t>
        </r>
        <r>
          <rPr>
            <sz val="14"/>
            <color rgb="FF000000"/>
            <rFont val="Times New Roman"/>
            <family val="18"/>
          </rPr>
          <t xml:space="preserve"> [ML 1806] </t>
        </r>
      </text>
    </comment>
    <comment ref="BG477" authorId="0" shapeId="0" xr:uid="{BE352566-0B72-D54D-BD99-5A8E4C1526DA}">
      <text>
        <r>
          <rPr>
            <sz val="14"/>
            <color rgb="FF000000"/>
            <rFont val="Calibri"/>
            <family val="34"/>
          </rPr>
          <t xml:space="preserve">ML 8057 FAR 2 (1806) – 7. Ord. comp. Zuwachs &amp; Abgang (Wien Reenewg 22/10/1806)
</t>
        </r>
        <r>
          <rPr>
            <sz val="14"/>
            <color rgb="FF000000"/>
            <rFont val="Calibri"/>
            <family val="34"/>
          </rPr>
          <t xml:space="preserve">ML 8080 FAR 2 (1805) – ST Juli (15/08/1805) und Dez (15/06/1806)
</t>
        </r>
        <r>
          <rPr>
            <sz val="14"/>
            <color rgb="FF000000"/>
            <rFont val="Calibri"/>
            <family val="34"/>
          </rPr>
          <t xml:space="preserve">ML 8090 FAR 2 (1805) – AL Nr. 1 (Wien 29/07/1805)
</t>
        </r>
      </text>
    </comment>
    <comment ref="BH477" authorId="0" shapeId="0" xr:uid="{034455EA-13E8-F247-BD4E-D9C1C56725E1}">
      <text>
        <r>
          <rPr>
            <sz val="14"/>
            <color rgb="FF000000"/>
            <rFont val="Calibri"/>
            <family val="34"/>
          </rPr>
          <t>FAR 2 (1805-1806)</t>
        </r>
      </text>
    </comment>
    <comment ref="BF478" authorId="0" shapeId="0" xr:uid="{567F3E07-7D10-F841-8ECE-822D40C4C9C9}">
      <text>
        <r>
          <rPr>
            <sz val="14"/>
            <color rgb="FF000000"/>
            <rFont val="Times New Roman"/>
            <family val="18"/>
          </rPr>
          <t xml:space="preserve">03/08/1805 </t>
        </r>
        <r>
          <rPr>
            <i/>
            <sz val="14"/>
            <color rgb="FF000000"/>
            <rFont val="Times New Roman"/>
            <family val="18"/>
          </rPr>
          <t>Als Landständischer Recrout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Von19. Zu5 2.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2. Fus. Komp. Nr. 139</t>
        </r>
        <r>
          <rPr>
            <sz val="14"/>
            <color rgb="FF000000"/>
            <rFont val="Calibri"/>
            <family val="34"/>
          </rPr>
          <t xml:space="preserve">
</t>
        </r>
        <r>
          <rPr>
            <sz val="14"/>
            <color rgb="FF000000"/>
            <rFont val="Times New Roman"/>
            <family val="18"/>
          </rPr>
          <t xml:space="preserve">25/01/1808 Superarbitriert: </t>
        </r>
        <r>
          <rPr>
            <i/>
            <sz val="14"/>
            <color rgb="FF000000"/>
            <rFont val="Times New Roman"/>
            <family val="18"/>
          </rPr>
          <t>Steifheit in die Kniegelenke, nach Assentierung auf Urlaub, danach drei Monaten in Regimentspital von IR 36 in Prag</t>
        </r>
        <r>
          <rPr>
            <sz val="14"/>
            <color rgb="FF000000"/>
            <rFont val="Calibri"/>
            <family val="34"/>
          </rPr>
          <t xml:space="preserve">
</t>
        </r>
        <r>
          <rPr>
            <sz val="14"/>
            <color rgb="FF000000"/>
            <rFont val="Times New Roman"/>
            <family val="18"/>
          </rPr>
          <t xml:space="preserve">10/02/1808 </t>
        </r>
        <r>
          <rPr>
            <i/>
            <sz val="14"/>
            <color rgb="FF000000"/>
            <rFont val="Times New Roman"/>
            <family val="18"/>
          </rPr>
          <t>Von IR 42 2. Fus. Komp. zur Prager Invaliden Haus zur Versorgung übersetzt</t>
        </r>
        <r>
          <rPr>
            <sz val="14"/>
            <color rgb="FF000000"/>
            <rFont val="Times New Roman"/>
            <family val="18"/>
          </rPr>
          <t xml:space="preserve"> [ML 1808]</t>
        </r>
        <r>
          <rPr>
            <sz val="14"/>
            <color rgb="FF000000"/>
            <rFont val="Calibri"/>
            <family val="34"/>
          </rPr>
          <t xml:space="preserve">
</t>
        </r>
      </text>
    </comment>
    <comment ref="BG478" authorId="0" shapeId="0" xr:uid="{9CEEC058-6B01-2C43-B9E4-B8350D514916}">
      <text>
        <r>
          <rPr>
            <sz val="14"/>
            <color rgb="FF000000"/>
            <rFont val="Times New Roman"/>
            <family val="18"/>
          </rPr>
          <t>ML 3772 IR 42(1806) – 2. Fus. Komp. Nr. 139 &amp; Zuwachs (Theresienstadt 22/12/1806)</t>
        </r>
        <r>
          <rPr>
            <sz val="14"/>
            <color rgb="FF000000"/>
            <rFont val="Calibri"/>
            <family val="34"/>
          </rPr>
          <t xml:space="preserve">
</t>
        </r>
        <r>
          <rPr>
            <sz val="14"/>
            <color rgb="FF000000"/>
            <rFont val="Times New Roman"/>
            <family val="18"/>
          </rPr>
          <t>ML 3774 IR 42 (1808) – 2. Fus. Komp. – Abgang (Lobositz 16/09/1808)</t>
        </r>
        <r>
          <rPr>
            <sz val="14"/>
            <color rgb="FF000000"/>
            <rFont val="Calibri"/>
            <family val="34"/>
          </rPr>
          <t xml:space="preserve">
</t>
        </r>
        <r>
          <rPr>
            <sz val="14"/>
            <color rgb="FF000000"/>
            <rFont val="Times New Roman"/>
            <family val="18"/>
          </rPr>
          <t>ML 3833 IR 42 (1808) – SUP Nr. 1 (Lobositz 25/01/1808); TL IR 42-&gt; InvH Prag Nr.1  (Eger 22/02/1808)</t>
        </r>
        <r>
          <rPr>
            <sz val="14"/>
            <color rgb="FF000000"/>
            <rFont val="Calibri"/>
            <family val="34"/>
          </rPr>
          <t xml:space="preserve">
</t>
        </r>
      </text>
    </comment>
    <comment ref="BH478" authorId="0" shapeId="0" xr:uid="{B0760876-CBFD-5D45-9995-1C7E771E7CB8}">
      <text>
        <r>
          <rPr>
            <sz val="14"/>
            <color rgb="FF000000"/>
            <rFont val="Calibri"/>
            <family val="34"/>
          </rPr>
          <t xml:space="preserve">IR 42 (1805-1808)
</t>
        </r>
        <r>
          <rPr>
            <sz val="14"/>
            <color rgb="FF000000"/>
            <rFont val="Calibri"/>
            <family val="34"/>
          </rPr>
          <t>InvH Prag (1808)</t>
        </r>
      </text>
    </comment>
    <comment ref="BI478" authorId="0" shapeId="0" xr:uid="{BD1E0D8E-B444-6144-81D1-A4F826A2EC80}">
      <text>
        <r>
          <rPr>
            <sz val="14"/>
            <color rgb="FF000000"/>
            <rFont val="Calibri"/>
            <family val="34"/>
          </rPr>
          <t>Gut [TL Feb 1808]</t>
        </r>
      </text>
    </comment>
    <comment ref="BJ478" authorId="0" shapeId="0" xr:uid="{D44571D2-D097-B847-BF6A-7910B1EC081D}">
      <text>
        <r>
          <rPr>
            <i/>
            <sz val="14"/>
            <color rgb="FF000000"/>
            <rFont val="Times New Roman"/>
            <family val="18"/>
          </rPr>
          <t>Hat einen gänzliche Steifheit an beiden Kniegelenken und Lähmung an untere Gliedermassen vor eine gewaltige Quetschung in das Heil- und Steißbein</t>
        </r>
        <r>
          <rPr>
            <sz val="14"/>
            <color rgb="FF000000"/>
            <rFont val="Times New Roman"/>
            <family val="18"/>
          </rPr>
          <t xml:space="preserve"> [SUP Jan 1806]</t>
        </r>
        <r>
          <rPr>
            <sz val="14"/>
            <color rgb="FF000000"/>
            <rFont val="Calibri"/>
            <family val="2"/>
          </rPr>
          <t xml:space="preserve"> </t>
        </r>
      </text>
    </comment>
    <comment ref="BF479" authorId="0" shapeId="0" xr:uid="{D6E723E3-50A7-3548-9661-3371C4558A43}">
      <text>
        <r>
          <rPr>
            <sz val="14"/>
            <color rgb="FF000000"/>
            <rFont val="Times New Roman"/>
            <family val="18"/>
          </rPr>
          <t xml:space="preserve">06/08/1805 </t>
        </r>
        <r>
          <rPr>
            <i/>
            <sz val="14"/>
            <color rgb="FF000000"/>
            <rFont val="Times New Roman"/>
            <family val="18"/>
          </rPr>
          <t>Auf 6 Jahr zu Eger Als Reichrekrut auf 40 Fl Werbgeld gegen 12Fl Handgeld zum IR 44 assentiert und zur Haupt Gilleta Komp. eingeheilt</t>
        </r>
        <r>
          <rPr>
            <sz val="14"/>
            <color rgb="FF000000"/>
            <rFont val="Times New Roman"/>
            <family val="18"/>
          </rPr>
          <t xml:space="preserve"> [ML 1806]</t>
        </r>
        <r>
          <rPr>
            <sz val="14"/>
            <color rgb="FF000000"/>
            <rFont val="Calibri"/>
            <family val="34"/>
          </rPr>
          <t xml:space="preserve">
</t>
        </r>
        <r>
          <rPr>
            <sz val="14"/>
            <color rgb="FF000000"/>
            <rFont val="Times New Roman"/>
            <family val="18"/>
          </rPr>
          <t>19/09/1808 Muster: IR 44 Haupt Gilleta [Fus. 44] Nr. 74</t>
        </r>
        <r>
          <rPr>
            <sz val="14"/>
            <color rgb="FF000000"/>
            <rFont val="Calibri"/>
            <family val="34"/>
          </rPr>
          <t xml:space="preserve">
</t>
        </r>
        <r>
          <rPr>
            <sz val="14"/>
            <color rgb="FF000000"/>
            <rFont val="Times New Roman"/>
            <family val="18"/>
          </rPr>
          <t xml:space="preserve">15/02/1809 </t>
        </r>
        <r>
          <rPr>
            <i/>
            <sz val="14"/>
            <color rgb="FF000000"/>
            <rFont val="Times New Roman"/>
            <family val="18"/>
          </rPr>
          <t>Von Gemeiner zum Corporal avanciert</t>
        </r>
        <r>
          <rPr>
            <sz val="14"/>
            <color rgb="FF000000"/>
            <rFont val="Times New Roman"/>
            <family val="18"/>
          </rPr>
          <t xml:space="preserve"> [ST Feb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 xml:space="preserve">Krank in Aufname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05/07/1809 </t>
        </r>
        <r>
          <rPr>
            <i/>
            <sz val="14"/>
            <color rgb="FF000000"/>
            <rFont val="Times New Roman"/>
            <family val="18"/>
          </rPr>
          <t>Rekonvalesziert</t>
        </r>
        <r>
          <rPr>
            <sz val="14"/>
            <color rgb="FF000000"/>
            <rFont val="Times New Roman"/>
            <family val="18"/>
          </rPr>
          <t xml:space="preserve"> [ST Juli]</t>
        </r>
        <r>
          <rPr>
            <sz val="14"/>
            <color rgb="FF000000"/>
            <rFont val="Calibri"/>
            <family val="34"/>
          </rPr>
          <t xml:space="preserve">
</t>
        </r>
        <r>
          <rPr>
            <sz val="14"/>
            <color rgb="FF000000"/>
            <rFont val="Times New Roman"/>
            <family val="18"/>
          </rPr>
          <t xml:space="preserve">19/07/1809 </t>
        </r>
        <r>
          <rPr>
            <i/>
            <sz val="14"/>
            <color rgb="FF000000"/>
            <rFont val="Times New Roman"/>
            <family val="18"/>
          </rPr>
          <t xml:space="preserve">Von Corporal zum Feldwebel avanciert </t>
        </r>
        <r>
          <rPr>
            <sz val="14"/>
            <color rgb="FF000000"/>
            <rFont val="Times New Roman"/>
            <family val="18"/>
          </rPr>
          <t>[ST July 1809]</t>
        </r>
        <r>
          <rPr>
            <sz val="14"/>
            <color rgb="FF000000"/>
            <rFont val="Calibri"/>
            <family val="34"/>
          </rPr>
          <t xml:space="preserve">
</t>
        </r>
        <r>
          <rPr>
            <sz val="14"/>
            <color rgb="FF000000"/>
            <rFont val="Times New Roman"/>
            <family val="18"/>
          </rPr>
          <t>25/09/1810 Revision: IR 44 4. Fus. Komp. Nr. 15</t>
        </r>
        <r>
          <rPr>
            <sz val="14"/>
            <color rgb="FF000000"/>
            <rFont val="Calibri"/>
            <family val="34"/>
          </rPr>
          <t xml:space="preserve">
</t>
        </r>
        <r>
          <rPr>
            <sz val="14"/>
            <color rgb="FF000000"/>
            <rFont val="Times New Roman"/>
            <family val="18"/>
          </rPr>
          <t xml:space="preserve">25/07/1811 </t>
        </r>
        <r>
          <rPr>
            <i/>
            <sz val="14"/>
            <color rgb="FF000000"/>
            <rFont val="Times New Roman"/>
            <family val="18"/>
          </rPr>
          <t>Als ausgedienter Capitulant mit Abschied entlassen</t>
        </r>
        <r>
          <rPr>
            <sz val="14"/>
            <color rgb="FF000000"/>
            <rFont val="Times New Roman"/>
            <family val="18"/>
          </rPr>
          <t xml:space="preserve"> [ML 1811]</t>
        </r>
      </text>
    </comment>
    <comment ref="BG479" authorId="0" shapeId="0" xr:uid="{539DA343-EBAD-6649-83E2-FCB5E2B27415}">
      <text>
        <r>
          <rPr>
            <sz val="14"/>
            <color rgb="FF000000"/>
            <rFont val="Times New Roman"/>
            <family val="18"/>
          </rPr>
          <t>ML 3910 IR 44 (1806) – Haupt Gilleta Komp. Nr. 102 (Fiume 10/12/1806)</t>
        </r>
        <r>
          <rPr>
            <sz val="14"/>
            <color rgb="FF000000"/>
            <rFont val="Calibri"/>
            <family val="34"/>
          </rPr>
          <t xml:space="preserve">
</t>
        </r>
        <r>
          <rPr>
            <sz val="14"/>
            <color rgb="FF000000"/>
            <rFont val="Times New Roman"/>
            <family val="18"/>
          </rPr>
          <t>ML 3911 IR 44 (1808-10) – RL Haupt Gilleta [16. Fus.] Komp. Nr. 74 (Sambor 19/09/1808),  4. Fus. Komp. Nr. 15 (Sthulweissenburg 25/09/1810)</t>
        </r>
        <r>
          <rPr>
            <sz val="14"/>
            <color rgb="FF000000"/>
            <rFont val="Calibri"/>
            <family val="34"/>
          </rPr>
          <t xml:space="preserve">
</t>
        </r>
        <r>
          <rPr>
            <sz val="14"/>
            <color rgb="FF000000"/>
            <rFont val="Times New Roman"/>
            <family val="18"/>
          </rPr>
          <t>ML 3912-3 IR 44 (1811) – 4. Fus. Komp. Abgang (Pappa 18/09/1811)</t>
        </r>
        <r>
          <rPr>
            <sz val="14"/>
            <color rgb="FF000000"/>
            <rFont val="Calibri"/>
            <family val="34"/>
          </rPr>
          <t xml:space="preserve">
</t>
        </r>
        <r>
          <rPr>
            <sz val="14"/>
            <color rgb="FF000000"/>
            <rFont val="Times New Roman"/>
            <family val="18"/>
          </rPr>
          <t>ML 3960 IR 44 (1809) – ST Feb (Ofen 31/10/1810), May (Ofen 08/04/1811), Juli (Ofen 08/04/1811)</t>
        </r>
        <r>
          <rPr>
            <sz val="14"/>
            <color rgb="FF000000"/>
            <rFont val="Calibri"/>
            <family val="34"/>
          </rPr>
          <t xml:space="preserve">
</t>
        </r>
      </text>
    </comment>
    <comment ref="BH479" authorId="0" shapeId="0" xr:uid="{918A486E-34D3-A146-9F49-0C27A1A478C5}">
      <text>
        <r>
          <rPr>
            <sz val="14"/>
            <color rgb="FF000000"/>
            <rFont val="Calibri"/>
            <family val="34"/>
          </rPr>
          <t>IR 44 (1805-1811)</t>
        </r>
      </text>
    </comment>
    <comment ref="BF480" authorId="0" shapeId="0" xr:uid="{10533F39-2CC8-9345-813B-42BE2E4253E2}">
      <text>
        <r>
          <rPr>
            <sz val="14"/>
            <color rgb="FF000000"/>
            <rFont val="Times New Roman"/>
            <family val="18"/>
          </rPr>
          <t xml:space="preserve">08/08/1805 </t>
        </r>
        <r>
          <rPr>
            <i/>
            <sz val="14"/>
            <color rgb="FF000000"/>
            <rFont val="Times New Roman"/>
            <family val="18"/>
          </rPr>
          <t>Von Land gestellt a 3Fl und zu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27/02/1806 </t>
        </r>
        <r>
          <rPr>
            <i/>
            <sz val="14"/>
            <color rgb="FF000000"/>
            <rFont val="Times New Roman"/>
            <family val="18"/>
          </rPr>
          <t>Von Reserve Division zum 1.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 </t>
        </r>
      </text>
    </comment>
    <comment ref="BG480" authorId="0" shapeId="0" xr:uid="{C0AA3B15-2C0F-974E-93C8-37F041623326}">
      <text>
        <r>
          <rPr>
            <sz val="14"/>
            <color rgb="FF000000"/>
            <rFont val="Times New Roman"/>
            <family val="18"/>
          </rPr>
          <t>ML 5017/8 IR 59 (1806) – 1. Fus. Komp. Abgang (Wells 06/07/1807); Dissolvierte Reserve Div. Zuwachs &amp; Abgang (Wells 06/07/1806)</t>
        </r>
        <r>
          <rPr>
            <sz val="14"/>
            <color rgb="FF000000"/>
            <rFont val="Calibri"/>
            <family val="34"/>
          </rPr>
          <t xml:space="preserve">
</t>
        </r>
        <r>
          <rPr>
            <sz val="14"/>
            <color rgb="FF000000"/>
            <rFont val="Times New Roman"/>
            <family val="18"/>
          </rPr>
          <t>ML 5067 IR 59 (1805) – AL. Nr. 2 (Siedlce 20/08/1805)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480" authorId="0" shapeId="0" xr:uid="{47CA6174-A47C-2D45-9D00-687804186775}">
      <text>
        <r>
          <rPr>
            <sz val="14"/>
            <color rgb="FF000000"/>
            <rFont val="Calibri"/>
            <family val="34"/>
          </rPr>
          <t>IR 59 (1805-1806)</t>
        </r>
      </text>
    </comment>
    <comment ref="BF481" authorId="0" shapeId="0" xr:uid="{5F2E0542-4A9B-C242-AEDD-B4EB797007BD}">
      <text>
        <r>
          <rPr>
            <sz val="14"/>
            <color rgb="FF000000"/>
            <rFont val="Times New Roman"/>
            <family val="18"/>
          </rPr>
          <t xml:space="preserve">08/08/1805 </t>
        </r>
        <r>
          <rPr>
            <i/>
            <sz val="14"/>
            <color rgb="FF000000"/>
            <rFont val="Times New Roman"/>
            <family val="18"/>
          </rPr>
          <t>Von Land gestellt a 3Fl und zu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3.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2"/>
          </rPr>
          <t xml:space="preserve"> </t>
        </r>
      </text>
    </comment>
    <comment ref="BG481" authorId="0" shapeId="0" xr:uid="{63C5D063-347C-3E47-BCE3-86E5CA180064}">
      <text>
        <r>
          <rPr>
            <sz val="14"/>
            <color rgb="FF000000"/>
            <rFont val="Times New Roman"/>
            <family val="18"/>
          </rPr>
          <t>ML 5017/8 IR 59 (1806) – 3. Fus. Komp. Abgang (Florian 27/12/1806), Dissolvierte Reserve Div. Zuwachs &amp; Abgang (Wells 06/07/1806)</t>
        </r>
        <r>
          <rPr>
            <sz val="14"/>
            <color rgb="FF000000"/>
            <rFont val="Calibri"/>
            <family val="34"/>
          </rPr>
          <t xml:space="preserve">
</t>
        </r>
        <r>
          <rPr>
            <sz val="14"/>
            <color rgb="FF000000"/>
            <rFont val="Times New Roman"/>
            <family val="18"/>
          </rPr>
          <t>ML 5067 IR 59 (1805) – AL. Nr. 1 (Siedlce 20/08/1805)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481" authorId="0" shapeId="0" xr:uid="{D8D4546C-449C-C34D-A503-7CE90DF7ADDF}">
      <text>
        <r>
          <rPr>
            <sz val="14"/>
            <color rgb="FF000000"/>
            <rFont val="Calibri"/>
            <family val="34"/>
          </rPr>
          <t>IR 59 (1805-1806)</t>
        </r>
      </text>
    </comment>
    <comment ref="BF482" authorId="0" shapeId="0" xr:uid="{FEB47F1C-329F-A944-BE98-A1A6697A9902}">
      <text>
        <r>
          <rPr>
            <sz val="14"/>
            <color rgb="FF000000"/>
            <rFont val="Times New Roman"/>
            <family val="18"/>
          </rPr>
          <t xml:space="preserve">10/08/1805 </t>
        </r>
        <r>
          <rPr>
            <i/>
            <sz val="14"/>
            <color rgb="FF000000"/>
            <rFont val="Times New Roman"/>
            <family val="18"/>
          </rPr>
          <t>Von Land gestellt a 3Fl und zu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[ML 1806]</t>
        </r>
        <r>
          <rPr>
            <sz val="14"/>
            <color rgb="FF000000"/>
            <rFont val="Calibri"/>
            <family val="34"/>
          </rPr>
          <t xml:space="preserve">
</t>
        </r>
      </text>
    </comment>
    <comment ref="BG482" authorId="0" shapeId="0" xr:uid="{A8E3F5F3-6B81-FF45-B549-AF820B387309}">
      <text>
        <r>
          <rPr>
            <sz val="14"/>
            <color rgb="FF000000"/>
            <rFont val="Times New Roman"/>
            <family val="18"/>
          </rPr>
          <t>ML 5017/8 IR 59 (1806) – Dissolvierte Reserve Div. Zuwachs &amp; Abgang (Wells 06/07/1807)</t>
        </r>
        <r>
          <rPr>
            <sz val="14"/>
            <color rgb="FF000000"/>
            <rFont val="Calibri"/>
            <family val="34"/>
          </rPr>
          <t xml:space="preserve">
</t>
        </r>
        <r>
          <rPr>
            <sz val="14"/>
            <color rgb="FF000000"/>
            <rFont val="Times New Roman"/>
            <family val="18"/>
          </rPr>
          <t>ML 5067 IR 59 (1805) – AL. Nr. 70 (Siedlce 20/08/1805)</t>
        </r>
        <r>
          <rPr>
            <sz val="14"/>
            <color rgb="FF000000"/>
            <rFont val="Calibri"/>
            <family val="34"/>
          </rPr>
          <t xml:space="preserve">
</t>
        </r>
      </text>
    </comment>
    <comment ref="BH482" authorId="0" shapeId="0" xr:uid="{6626E881-8F6A-2348-A575-BEF60463557D}">
      <text>
        <r>
          <rPr>
            <sz val="14"/>
            <color rgb="FF000000"/>
            <rFont val="Calibri"/>
            <family val="34"/>
          </rPr>
          <t>IR 59 (1805-1806)</t>
        </r>
      </text>
    </comment>
    <comment ref="BF483" authorId="0" shapeId="0" xr:uid="{88B425B7-BE2D-B446-AB9A-D7EB26733ED6}">
      <text>
        <r>
          <rPr>
            <sz val="14"/>
            <color rgb="FF000000"/>
            <rFont val="Times New Roman"/>
            <family val="18"/>
          </rPr>
          <t xml:space="preserve">11/08/1805 </t>
        </r>
        <r>
          <rPr>
            <i/>
            <sz val="14"/>
            <color rgb="FF000000"/>
            <rFont val="Times New Roman"/>
            <family val="18"/>
          </rPr>
          <t>Zu Siedlice a 3Fl mit 10 jähriger Capitulation von Domenien gestellt und in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483" authorId="0" shapeId="0" xr:uid="{67245458-87AF-B04F-B2C5-32AF787CA590}">
      <text>
        <r>
          <rPr>
            <sz val="14"/>
            <color rgb="FF000000"/>
            <rFont val="Times New Roman"/>
            <family val="18"/>
          </rPr>
          <t>ML 5017/8 IR 59 (1806) –Reserve Division Zuwachs &amp; Abgang (Wells 06/07/1807) &amp; Cons. Unwissend verlohren‘ Nr. 413 (Linz 10/07/1807)</t>
        </r>
        <r>
          <rPr>
            <sz val="14"/>
            <color rgb="FF000000"/>
            <rFont val="Calibri"/>
            <family val="34"/>
          </rPr>
          <t xml:space="preserve">
</t>
        </r>
        <r>
          <rPr>
            <sz val="14"/>
            <color rgb="FF000000"/>
            <rFont val="Times New Roman"/>
            <family val="18"/>
          </rPr>
          <t>ML 5067 IR 59 (1805) – AL. Nr. 124 (Siedlce 20/08/1805)</t>
        </r>
        <r>
          <rPr>
            <sz val="14"/>
            <color rgb="FF000000"/>
            <rFont val="Calibri"/>
            <family val="34"/>
          </rPr>
          <t xml:space="preserve">
</t>
        </r>
      </text>
    </comment>
    <comment ref="BH483" authorId="0" shapeId="0" xr:uid="{39993F21-1464-D641-9FD8-45D311D0D494}">
      <text>
        <r>
          <rPr>
            <sz val="14"/>
            <color rgb="FF000000"/>
            <rFont val="Calibri"/>
            <family val="34"/>
          </rPr>
          <t>IR 59 (1805-1806)</t>
        </r>
      </text>
    </comment>
    <comment ref="BF484" authorId="0" shapeId="0" xr:uid="{041B247A-0FCC-DE4A-81AE-AA16455A73F6}">
      <text>
        <r>
          <rPr>
            <sz val="14"/>
            <color rgb="FF000000"/>
            <rFont val="Times New Roman"/>
            <family val="18"/>
          </rPr>
          <t xml:space="preserve">11/08/1805 </t>
        </r>
        <r>
          <rPr>
            <i/>
            <sz val="14"/>
            <color rgb="FF000000"/>
            <rFont val="Times New Roman"/>
            <family val="18"/>
          </rPr>
          <t>Zu Siedlice a 3Fl mit 10 jähriger Capitulation von Domenien gestellt und zum IR 59 Reserve Division gestellt</t>
        </r>
        <r>
          <rPr>
            <sz val="14"/>
            <color rgb="FF000000"/>
            <rFont val="Times New Roman"/>
            <family val="18"/>
          </rPr>
          <t xml:space="preserve"> [AL ST Aug]</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31/08/1806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484" authorId="0" shapeId="0" xr:uid="{4583500C-AB43-5241-9082-39144CED9D39}">
      <text>
        <r>
          <rPr>
            <sz val="14"/>
            <color rgb="FF000000"/>
            <rFont val="Times New Roman"/>
            <family val="18"/>
          </rPr>
          <t>ML 5017/8 IR 59  (1806) – Reserve Division‘ Zuwachs &amp; Abgang (Wells 06/07/1807) &amp; Cons. Unwissend verlohren Nr. 429 (Linz 10/07/1807)</t>
        </r>
        <r>
          <rPr>
            <sz val="14"/>
            <color rgb="FF000000"/>
            <rFont val="Calibri"/>
            <family val="34"/>
          </rPr>
          <t xml:space="preserve">
</t>
        </r>
        <r>
          <rPr>
            <sz val="14"/>
            <color rgb="FF000000"/>
            <rFont val="Times New Roman"/>
            <family val="18"/>
          </rPr>
          <t>ML 5067 IR 59 (1805) – AL. Nr. 106 (Siedlce 20/08/1805)</t>
        </r>
        <r>
          <rPr>
            <sz val="14"/>
            <color rgb="FF000000"/>
            <rFont val="Calibri"/>
            <family val="34"/>
          </rPr>
          <t xml:space="preserve">
</t>
        </r>
      </text>
    </comment>
    <comment ref="BH484" authorId="0" shapeId="0" xr:uid="{575D7B35-4E5E-2049-80ED-7AF3098FFB0A}">
      <text>
        <r>
          <rPr>
            <sz val="14"/>
            <color rgb="FF000000"/>
            <rFont val="Calibri"/>
            <family val="34"/>
          </rPr>
          <t>IR 59 (1805-1806)</t>
        </r>
      </text>
    </comment>
    <comment ref="BF485" authorId="0" shapeId="0" xr:uid="{46D940EA-E918-4C4F-8F0C-C16B1214DF72}">
      <text>
        <r>
          <rPr>
            <sz val="14"/>
            <color rgb="FF000000"/>
            <rFont val="Times New Roman"/>
            <family val="18"/>
          </rPr>
          <t xml:space="preserve">13/09/1805 </t>
        </r>
        <r>
          <rPr>
            <i/>
            <sz val="14"/>
            <color rgb="FF000000"/>
            <rFont val="Times New Roman"/>
            <family val="18"/>
          </rPr>
          <t xml:space="preserve">Zu Zaleszczyk </t>
        </r>
        <r>
          <rPr>
            <i/>
            <sz val="14"/>
            <color rgb="FF000000"/>
            <rFont val="Times New Roman"/>
            <family val="18"/>
          </rPr>
          <t>in Galizien als inländische Werbbzirk Recrout</t>
        </r>
        <r>
          <rPr>
            <i/>
            <sz val="14"/>
            <color rgb="FF000000"/>
            <rFont val="Times New Roman"/>
            <family val="18"/>
          </rPr>
          <t xml:space="preserve"> in IR 20 ‘Reserve Division’ a 3Fl Handgled mit Capitulation auf 10 Jahren gestellt</t>
        </r>
        <r>
          <rPr>
            <sz val="14"/>
            <color rgb="FF000000"/>
            <rFont val="Times New Roman"/>
            <family val="18"/>
          </rPr>
          <t xml:space="preserve"> [AL Sept 1805]</t>
        </r>
        <r>
          <rPr>
            <sz val="14"/>
            <color rgb="FF000000"/>
            <rFont val="Times New Roman"/>
            <family val="18"/>
          </rPr>
          <t xml:space="preserve">
</t>
        </r>
        <r>
          <rPr>
            <sz val="14"/>
            <color rgb="FF000000"/>
            <rFont val="Times New Roman"/>
            <family val="18"/>
          </rPr>
          <t xml:space="preserve">01/02/1806 </t>
        </r>
        <r>
          <rPr>
            <i/>
            <sz val="14"/>
            <color rgb="FF000000"/>
            <rFont val="Times New Roman"/>
            <family val="18"/>
          </rPr>
          <t>Von Reserve Division zum 16. Fus Comp.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31/10/1806 </t>
        </r>
        <r>
          <rPr>
            <i/>
            <sz val="14"/>
            <color rgb="FF000000"/>
            <rFont val="Times New Roman"/>
            <family val="18"/>
          </rPr>
          <t>In auswärtigen Spitalern und während den March zum Regiment als unwissend Verloren in Abgang</t>
        </r>
        <r>
          <rPr>
            <sz val="14"/>
            <color rgb="FF000000"/>
            <rFont val="Times New Roman"/>
            <family val="18"/>
          </rPr>
          <t xml:space="preserve"> [ML 1806]</t>
        </r>
        <r>
          <rPr>
            <sz val="14"/>
            <color rgb="FF000000"/>
            <rFont val="Times New Roman"/>
            <family val="18"/>
          </rPr>
          <t xml:space="preserve">
</t>
        </r>
      </text>
    </comment>
    <comment ref="BG485" authorId="0" shapeId="0" xr:uid="{F20FDDCC-AF4D-C646-B2AB-5CE7BA696BE5}">
      <text>
        <r>
          <rPr>
            <sz val="14"/>
            <color rgb="FF000000"/>
            <rFont val="Times New Roman"/>
            <family val="18"/>
          </rPr>
          <t xml:space="preserve">ML 1623-5 IR 20 (1806) – ML Heft von 16. Fus. Comp. und Reserve Division, Zuwachs &amp; Abgang (Olmütz 15/12/1806)
</t>
        </r>
        <r>
          <rPr>
            <sz val="14"/>
            <color rgb="FF000000"/>
            <rFont val="Times New Roman"/>
            <family val="18"/>
          </rPr>
          <t xml:space="preserve">ML 1659 IR 20 (1805) – AL/TL pro Monat Oct Nr. 47 (Zaleszczyk 17/09/1805)
</t>
        </r>
      </text>
    </comment>
    <comment ref="BH485" authorId="0" shapeId="0" xr:uid="{B3106860-8D42-9547-AA2B-EB8D9587420B}">
      <text>
        <r>
          <rPr>
            <sz val="14"/>
            <color rgb="FF000000"/>
            <rFont val="Calibri"/>
            <family val="34"/>
          </rPr>
          <t>IR 20 (1805-1806)</t>
        </r>
      </text>
    </comment>
    <comment ref="BF486" authorId="0" shapeId="0" xr:uid="{392ED8F6-98C6-694E-82AB-6B68A160619C}">
      <text>
        <r>
          <rPr>
            <sz val="14"/>
            <color rgb="FF000000"/>
            <rFont val="Times New Roman"/>
            <family val="18"/>
          </rPr>
          <t xml:space="preserve">14/08/1805 </t>
        </r>
        <r>
          <rPr>
            <i/>
            <sz val="14"/>
            <color rgb="FF000000"/>
            <rFont val="Times New Roman"/>
            <family val="18"/>
          </rPr>
          <t>zu Reuss Greiz Inf</t>
        </r>
        <r>
          <rPr>
            <sz val="14"/>
            <color rgb="FF000000"/>
            <rFont val="Times New Roman"/>
            <family val="18"/>
          </rPr>
          <t xml:space="preserve"> </t>
        </r>
        <r>
          <rPr>
            <b/>
            <sz val="14"/>
            <color rgb="FF000000"/>
            <rFont val="Times New Roman"/>
            <family val="18"/>
          </rPr>
          <t>[IR 55]</t>
        </r>
        <r>
          <rPr>
            <sz val="14"/>
            <color rgb="FF000000"/>
            <rFont val="Times New Roman"/>
            <family val="18"/>
          </rPr>
          <t xml:space="preserve"> </t>
        </r>
        <r>
          <rPr>
            <i/>
            <sz val="14"/>
            <color rgb="FF000000"/>
            <rFont val="Times New Roman"/>
            <family val="18"/>
          </rPr>
          <t>auf 10 Jahr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21/02/1810 </t>
        </r>
        <r>
          <rPr>
            <i/>
            <sz val="14"/>
            <color rgb="FF000000"/>
            <rFont val="Times New Roman"/>
            <family val="18"/>
          </rPr>
          <t xml:space="preserve">von Dissolvierte Reuss-Greiz </t>
        </r>
        <r>
          <rPr>
            <b/>
            <sz val="14"/>
            <color rgb="FF000000"/>
            <rFont val="Times New Roman"/>
            <family val="18"/>
          </rPr>
          <t xml:space="preserve">[IR 55] </t>
        </r>
        <r>
          <rPr>
            <i/>
            <sz val="14"/>
            <color rgb="FF000000"/>
            <rFont val="Times New Roman"/>
            <family val="18"/>
          </rPr>
          <t xml:space="preserve">zum </t>
        </r>
        <r>
          <rPr>
            <b/>
            <i/>
            <sz val="14"/>
            <color rgb="FF000000"/>
            <rFont val="Times New Roman"/>
            <family val="18"/>
          </rPr>
          <t>IR 30</t>
        </r>
        <r>
          <rPr>
            <i/>
            <sz val="14"/>
            <color rgb="FF000000"/>
            <rFont val="Times New Roman"/>
            <family val="18"/>
          </rPr>
          <t xml:space="preserve">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11/09/1811 Muster: IR 30 12. Fus Komp. Nr. 239 [</t>
        </r>
        <r>
          <rPr>
            <i/>
            <sz val="14"/>
            <color rgb="FF000000"/>
            <rFont val="Times New Roman"/>
            <family val="18"/>
          </rPr>
          <t>Auf Wache in Waszkowitz</t>
        </r>
        <r>
          <rPr>
            <sz val="14"/>
            <color rgb="FF000000"/>
            <rFont val="Times New Roman"/>
            <family val="18"/>
          </rPr>
          <t>]</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text>
    </comment>
    <comment ref="BG486" authorId="0" shapeId="0" xr:uid="{50C3CD69-3F65-3D40-830A-1057AEC08516}">
      <text>
        <r>
          <rPr>
            <sz val="14"/>
            <color rgb="FF000000"/>
            <rFont val="Times New Roman"/>
            <family val="18"/>
          </rPr>
          <t>ML 2633 IR 30 (1811) – 12. Komp. Nr. 239 (Czernowitz 11/09/1811)</t>
        </r>
        <r>
          <rPr>
            <sz val="14"/>
            <color rgb="FF000000"/>
            <rFont val="Calibri"/>
            <family val="34"/>
          </rPr>
          <t xml:space="preserve">
</t>
        </r>
        <r>
          <rPr>
            <sz val="14"/>
            <color rgb="FF000000"/>
            <rFont val="Times New Roman"/>
            <family val="18"/>
          </rPr>
          <t>ML 2635 IR 30 (1817) – 12. Fus Komp. – Abgang (Lemberg 15/10/1817)</t>
        </r>
        <r>
          <rPr>
            <sz val="14"/>
            <color rgb="FF000000"/>
            <rFont val="Calibri"/>
            <family val="34"/>
          </rPr>
          <t xml:space="preserve">
</t>
        </r>
      </text>
    </comment>
    <comment ref="BH486" authorId="0" shapeId="0" xr:uid="{2DA4EE5F-6555-B248-801B-BD33A33692CF}">
      <text>
        <r>
          <rPr>
            <sz val="14"/>
            <color rgb="FF000000"/>
            <rFont val="Calibri"/>
            <family val="34"/>
          </rPr>
          <t xml:space="preserve">IR 55 (1805-1810)
</t>
        </r>
        <r>
          <rPr>
            <sz val="14"/>
            <color rgb="FF000000"/>
            <rFont val="Calibri"/>
            <family val="34"/>
          </rPr>
          <t>IR 30 (1810-1817)</t>
        </r>
      </text>
    </comment>
    <comment ref="BF487" authorId="0" shapeId="0" xr:uid="{A05E2D05-ECB3-824E-BAF0-09044F9F2AEA}">
      <text>
        <r>
          <rPr>
            <sz val="14"/>
            <color rgb="FF000000"/>
            <rFont val="Times New Roman"/>
            <family val="18"/>
          </rPr>
          <t xml:space="preserve">14/08/1805 </t>
        </r>
        <r>
          <rPr>
            <i/>
            <sz val="14"/>
            <color rgb="FF000000"/>
            <rFont val="Times New Roman"/>
            <family val="18"/>
          </rPr>
          <t>Zum IR 20 beim 20. Fus. Komp. a 3Fl Handgeld als Landständische Werbbezirk Recrout gestellt und zu Zaleszczyk assentiert</t>
        </r>
        <r>
          <rPr>
            <sz val="14"/>
            <color rgb="FF000000"/>
            <rFont val="Times New Roman"/>
            <family val="18"/>
          </rPr>
          <t xml:space="preserve"> [AL Aug 1805]
</t>
        </r>
        <r>
          <rPr>
            <sz val="14"/>
            <color rgb="FF000000"/>
            <rFont val="Times New Roman"/>
            <family val="18"/>
          </rPr>
          <t xml:space="preserve">25/11/1805 </t>
        </r>
        <r>
          <rPr>
            <i/>
            <sz val="14"/>
            <color rgb="FF000000"/>
            <rFont val="Times New Roman"/>
            <family val="18"/>
          </rPr>
          <t>Vor dem Feind vermisst</t>
        </r>
        <r>
          <rPr>
            <sz val="14"/>
            <color rgb="FF000000"/>
            <rFont val="Times New Roman"/>
            <family val="18"/>
          </rPr>
          <t xml:space="preserve"> [ML 1806]</t>
        </r>
      </text>
    </comment>
    <comment ref="BG487" authorId="0" shapeId="0" xr:uid="{409C3237-0399-1044-8DCC-0293AF62553A}">
      <text>
        <r>
          <rPr>
            <sz val="14"/>
            <color rgb="FF000000"/>
            <rFont val="Times New Roman"/>
            <family val="18"/>
          </rPr>
          <t xml:space="preserve">ML 1623-5 IR 20 (1806) – ML Heft von 20. Fus. Comp., Zuwachs &amp; Abgang (Olmütz 15/12/1806)
</t>
        </r>
        <r>
          <rPr>
            <sz val="14"/>
            <color rgb="FF000000"/>
            <rFont val="Times New Roman"/>
            <family val="18"/>
          </rPr>
          <t xml:space="preserve">ML 1659 IR 20 (1805) – AL/TL pro Monat Oct Nr. 96 (Zaleszczyk 20/08/1805)
</t>
        </r>
        <r>
          <rPr>
            <sz val="14"/>
            <color rgb="FF000000"/>
            <rFont val="Times New Roman"/>
            <family val="18"/>
          </rPr>
          <t>)</t>
        </r>
        <r>
          <rPr>
            <sz val="14"/>
            <color rgb="FF000000"/>
            <rFont val="Calibri"/>
            <family val="34"/>
          </rPr>
          <t xml:space="preserve">
</t>
        </r>
      </text>
    </comment>
    <comment ref="BH487" authorId="0" shapeId="0" xr:uid="{EE563112-E010-B447-AD2E-A55F67FB9BE1}">
      <text>
        <r>
          <rPr>
            <sz val="14"/>
            <color rgb="FF000000"/>
            <rFont val="Calibri"/>
            <family val="34"/>
          </rPr>
          <t>IR 20 (1805)</t>
        </r>
      </text>
    </comment>
    <comment ref="BF488" authorId="0" shapeId="0" xr:uid="{DD9A3550-4CEE-654C-95F5-E757C9D95116}">
      <text>
        <r>
          <rPr>
            <sz val="14"/>
            <color rgb="FF000000"/>
            <rFont val="Times New Roman"/>
            <family val="18"/>
          </rPr>
          <t xml:space="preserve">14/08/1805 </t>
        </r>
        <r>
          <rPr>
            <i/>
            <sz val="14"/>
            <color rgb="FF000000"/>
            <rFont val="Times New Roman"/>
            <family val="18"/>
          </rPr>
          <t>Zum IR 20 beim 20. Fus. Komp. a 3Fl Handgeld als landständische Werbbezirk Recrout gestellt und zu Zaleszczyk assentiert</t>
        </r>
        <r>
          <rPr>
            <sz val="14"/>
            <color rgb="FF000000"/>
            <rFont val="Times New Roman"/>
            <family val="18"/>
          </rPr>
          <t xml:space="preserve"> [AL Aug 1805]
</t>
        </r>
        <r>
          <rPr>
            <sz val="14"/>
            <color rgb="FF000000"/>
            <rFont val="Times New Roman"/>
            <family val="18"/>
          </rPr>
          <t xml:space="preserve">01/12/1805 </t>
        </r>
        <r>
          <rPr>
            <i/>
            <sz val="14"/>
            <color rgb="FF000000"/>
            <rFont val="Times New Roman"/>
            <family val="18"/>
          </rPr>
          <t>Von 20. zum. 11 Fus. Comp. transferiert</t>
        </r>
        <r>
          <rPr>
            <sz val="14"/>
            <color rgb="FF000000"/>
            <rFont val="Times New Roman"/>
            <family val="18"/>
          </rPr>
          <t xml:space="preserve"> [ML 1806]
</t>
        </r>
        <r>
          <rPr>
            <sz val="14"/>
            <color rgb="FF000000"/>
            <rFont val="Times New Roman"/>
            <family val="18"/>
          </rPr>
          <t xml:space="preserve">31/10/1806 </t>
        </r>
        <r>
          <rPr>
            <i/>
            <sz val="14"/>
            <color rgb="FF000000"/>
            <rFont val="Times New Roman"/>
            <family val="18"/>
          </rPr>
          <t>In den auswärtigen Spitalern unwissend verloren</t>
        </r>
        <r>
          <rPr>
            <sz val="14"/>
            <color rgb="FF000000"/>
            <rFont val="Times New Roman"/>
            <family val="18"/>
          </rPr>
          <t xml:space="preserve"> [ML 1806]</t>
        </r>
      </text>
    </comment>
    <comment ref="BG488" authorId="0" shapeId="0" xr:uid="{1106CF41-989F-4C42-A1E9-89C33F8E2557}">
      <text>
        <r>
          <rPr>
            <sz val="14"/>
            <color rgb="FF000000"/>
            <rFont val="Times New Roman"/>
            <family val="18"/>
          </rPr>
          <t xml:space="preserve">ML 1623-5 IR 20 (1806) – ML 11. und 20. Fus. Komp., Zuwachs &amp; Abgang (Olmütz 15/12/1806)
</t>
        </r>
        <r>
          <rPr>
            <sz val="14"/>
            <color rgb="FF000000"/>
            <rFont val="Times New Roman"/>
            <family val="18"/>
          </rPr>
          <t xml:space="preserve">ML 1659 IR 20 (1805) – AL/TL pro Monat Oct Nr. 95 (Zaleszczyk 20/08/1805)
</t>
        </r>
      </text>
    </comment>
    <comment ref="BH488" authorId="0" shapeId="0" xr:uid="{5C47B25D-3A28-524E-8B77-94B4BB2960AE}">
      <text>
        <r>
          <rPr>
            <sz val="14"/>
            <color rgb="FF000000"/>
            <rFont val="Calibri"/>
            <family val="34"/>
          </rPr>
          <t>IR 20 (1805-1806)</t>
        </r>
      </text>
    </comment>
    <comment ref="BF489" authorId="0" shapeId="0" xr:uid="{63509083-ACDE-FF4C-837A-0C43E10E4F1B}">
      <text>
        <r>
          <rPr>
            <sz val="14"/>
            <color rgb="FF000000"/>
            <rFont val="Times New Roman"/>
            <family val="18"/>
          </rPr>
          <t xml:space="preserve">15/08/1805 </t>
        </r>
        <r>
          <rPr>
            <i/>
            <sz val="14"/>
            <color rgb="FF000000"/>
            <rFont val="Times New Roman"/>
            <family val="18"/>
          </rPr>
          <t>gegen 3Fl Handgeld und 10 Jähriger Capitulation assentiert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??/11/1806 </t>
        </r>
        <r>
          <rPr>
            <i/>
            <sz val="14"/>
            <color rgb="FF000000"/>
            <rFont val="Times New Roman"/>
            <family val="18"/>
          </rPr>
          <t>Von Urlaub desertiert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20/11/1807 </t>
        </r>
        <r>
          <rPr>
            <i/>
            <sz val="14"/>
            <color rgb="FF000000"/>
            <rFont val="Times New Roman"/>
            <family val="18"/>
          </rPr>
          <t>Von Laudonischen Regiment [transferiert] Hat Vermog Hofkriegsratlichen Sentetz 5 Jahr Uber die bestimmte Capitulation Zeit zu Dienen</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01/04/1809 Von IR 1 ‚Kaiser‘ </t>
        </r>
        <r>
          <rPr>
            <i/>
            <sz val="14"/>
            <color rgb="FF000000"/>
            <rFont val="Times New Roman"/>
            <family val="18"/>
          </rPr>
          <t xml:space="preserve">depot </t>
        </r>
        <r>
          <rPr>
            <sz val="14"/>
            <color rgb="FF000000"/>
            <rFont val="Times New Roman"/>
            <family val="18"/>
          </rPr>
          <t xml:space="preserve">Division </t>
        </r>
        <r>
          <rPr>
            <i/>
            <sz val="14"/>
            <color rgb="FF000000"/>
            <rFont val="Times New Roman"/>
            <family val="18"/>
          </rPr>
          <t>zum Galizischen Freibataillon Nr. 2 transferiert und zum 4. Kompanie eingeteilt</t>
        </r>
        <r>
          <rPr>
            <sz val="14"/>
            <color rgb="FF000000"/>
            <rFont val="Times New Roman"/>
            <family val="18"/>
          </rPr>
          <t xml:space="preserve"> [TL Dec 1809 &amp; ST April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Galizischen Freibataillon Nr. 2 3. Kompanie zum IR 1 Zurück transferiert</t>
        </r>
        <r>
          <rPr>
            <sz val="14"/>
            <color rgb="FF000000"/>
            <rFont val="Times New Roman"/>
            <family val="18"/>
          </rPr>
          <t xml:space="preserve"> [TL 1810 &amp; ST Jan 1810]</t>
        </r>
      </text>
    </comment>
    <comment ref="BG489" authorId="0" shapeId="0" xr:uid="{C4D72C11-9A3B-634B-AEBE-C9AD09F4D93D}">
      <text>
        <r>
          <rPr>
            <sz val="14"/>
            <color rgb="FF000000"/>
            <rFont val="Times New Roman"/>
            <family val="18"/>
          </rPr>
          <t>ML 31/2 IR 1 (1806) – 14. Fus Komp. Nr. 180 (Prosnitz 17/12/1806)</t>
        </r>
        <r>
          <rPr>
            <sz val="14"/>
            <color rgb="FF000000"/>
            <rFont val="Calibri"/>
            <family val="34"/>
          </rPr>
          <t xml:space="preserve">
</t>
        </r>
        <r>
          <rPr>
            <sz val="14"/>
            <color rgb="FF000000"/>
            <rFont val="Times New Roman"/>
            <family val="18"/>
          </rPr>
          <t>ML 10.831 WGal FB 2 (1809-10) – TL IR 1-&gt; WGal FB 2 Nr. 4 (Prossnitz 01/12/1809) &amp; TL WGal FB 2-&gt; IR 1 Nr. 4 (Leitmoschil 20/01/1810), ST April (Politzka 13/07/1810), ST 1810 Jan (Tichnowitz 03/03/1811)</t>
        </r>
        <r>
          <rPr>
            <sz val="14"/>
            <color rgb="FF000000"/>
            <rFont val="Calibri"/>
            <family val="34"/>
          </rPr>
          <t xml:space="preserve">
</t>
        </r>
      </text>
    </comment>
    <comment ref="BH489" authorId="0" shapeId="0" xr:uid="{1985C395-D807-8E4D-8BDE-F98F4C4DB3C8}">
      <text>
        <r>
          <rPr>
            <sz val="14"/>
            <color rgb="FF000000"/>
            <rFont val="Calibri"/>
            <family val="34"/>
          </rPr>
          <t xml:space="preserve">IR 1 (1805-9)
</t>
        </r>
        <r>
          <rPr>
            <sz val="14"/>
            <color rgb="FF000000"/>
            <rFont val="Calibri"/>
            <family val="34"/>
          </rPr>
          <t xml:space="preserve">WGal FB 2 (1809-10)
</t>
        </r>
        <r>
          <rPr>
            <sz val="14"/>
            <color rgb="FF000000"/>
            <rFont val="Calibri"/>
            <family val="34"/>
          </rPr>
          <t>IR 1 (1810)</t>
        </r>
      </text>
    </comment>
    <comment ref="BF490" authorId="0" shapeId="0" xr:uid="{C493D403-DF80-794B-89C6-C23E3EA5183B}">
      <text>
        <r>
          <rPr>
            <sz val="14"/>
            <color rgb="FF000000"/>
            <rFont val="Times New Roman"/>
            <family val="18"/>
          </rPr>
          <t xml:space="preserve">22/08/1805 </t>
        </r>
        <r>
          <rPr>
            <i/>
            <sz val="14"/>
            <color rgb="FF000000"/>
            <rFont val="Times New Roman"/>
            <family val="18"/>
          </rPr>
          <t xml:space="preserve">Auf 10 jähriger Capitulation zu Coburg Inf. assentiert </t>
        </r>
        <r>
          <rPr>
            <sz val="14"/>
            <color rgb="FF000000"/>
            <rFont val="Times New Roman"/>
            <family val="18"/>
          </rPr>
          <t>[ML 1811]</t>
        </r>
        <r>
          <rPr>
            <sz val="14"/>
            <color rgb="FF000000"/>
            <rFont val="Calibri"/>
            <family val="34"/>
          </rPr>
          <t xml:space="preserve">
</t>
        </r>
        <r>
          <rPr>
            <sz val="14"/>
            <color rgb="FF000000"/>
            <rFont val="Times New Roman"/>
            <family val="18"/>
          </rPr>
          <t xml:space="preserve">??/??/18[09] </t>
        </r>
        <r>
          <rPr>
            <i/>
            <sz val="14"/>
            <color rgb="FF000000"/>
            <rFont val="Times New Roman"/>
            <family val="18"/>
          </rPr>
          <t>Zum Staab Infanterie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01/03/1810 </t>
        </r>
        <r>
          <rPr>
            <i/>
            <sz val="14"/>
            <color rgb="FF000000"/>
            <rFont val="Times New Roman"/>
            <family val="18"/>
          </rPr>
          <t>Von ausgelosten Staabs inf Companie zum GK Gal. 4. Abt.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06/10/1810 Revision: GK Gal. 4. Abt. 2. Komp. Nr. 153 [</t>
        </r>
        <r>
          <rPr>
            <i/>
            <sz val="14"/>
            <color rgb="FF000000"/>
            <rFont val="Times New Roman"/>
            <family val="18"/>
          </rPr>
          <t>Zu Station Szucin</t>
        </r>
        <r>
          <rPr>
            <sz val="14"/>
            <color rgb="FF000000"/>
            <rFont val="Times New Roman"/>
            <family val="18"/>
          </rPr>
          <t xml:space="preserve">] </t>
        </r>
        <r>
          <rPr>
            <sz val="14"/>
            <color rgb="FF000000"/>
            <rFont val="Calibri"/>
            <family val="34"/>
          </rPr>
          <t xml:space="preserve">
</t>
        </r>
        <r>
          <rPr>
            <sz val="14"/>
            <color rgb="FF000000"/>
            <rFont val="Times New Roman"/>
            <family val="18"/>
          </rPr>
          <t>02/09/1811 Muster: GK Gal. 4. Abt. Nr. 134 [</t>
        </r>
        <r>
          <rPr>
            <i/>
            <sz val="14"/>
            <color rgb="FF000000"/>
            <rFont val="Times New Roman"/>
            <family val="18"/>
          </rPr>
          <t>Zu Ulscie Jesuizka bey Zollamts Kassa 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22/04/1812 </t>
        </r>
        <r>
          <rPr>
            <i/>
            <sz val="14"/>
            <color rgb="FF000000"/>
            <rFont val="Times New Roman"/>
            <family val="18"/>
          </rPr>
          <t>Von. 2. zur 3. Gartner Komp.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 xml:space="preserve">30/06/1812 </t>
        </r>
        <r>
          <rPr>
            <i/>
            <sz val="14"/>
            <color rgb="FF000000"/>
            <rFont val="Times New Roman"/>
            <family val="18"/>
          </rPr>
          <t xml:space="preserve">Von 3. zur 4. Jekel Komp transferiert </t>
        </r>
        <r>
          <rPr>
            <sz val="14"/>
            <color rgb="FF000000"/>
            <rFont val="Times New Roman"/>
            <family val="18"/>
          </rPr>
          <t>[RL 1812]</t>
        </r>
        <r>
          <rPr>
            <sz val="14"/>
            <color rgb="FF000000"/>
            <rFont val="Calibri"/>
            <family val="34"/>
          </rPr>
          <t xml:space="preserve">
</t>
        </r>
        <r>
          <rPr>
            <sz val="14"/>
            <color rgb="FF000000"/>
            <rFont val="Times New Roman"/>
            <family val="18"/>
          </rPr>
          <t>30/09/1812 Revision: GK Gal. 4. Abt. 4. Komp. Nr. 245 [</t>
        </r>
        <r>
          <rPr>
            <i/>
            <sz val="14"/>
            <color rgb="FF000000"/>
            <rFont val="Times New Roman"/>
            <family val="18"/>
          </rPr>
          <t>Present</t>
        </r>
        <r>
          <rPr>
            <sz val="14"/>
            <color rgb="FF000000"/>
            <rFont val="Times New Roman"/>
            <family val="18"/>
          </rPr>
          <t>]</t>
        </r>
        <r>
          <rPr>
            <sz val="14"/>
            <color rgb="FF000000"/>
            <rFont val="Calibri"/>
            <family val="34"/>
          </rPr>
          <t xml:space="preserve">
</t>
        </r>
        <r>
          <rPr>
            <sz val="14"/>
            <color rgb="FF000000"/>
            <rFont val="Times New Roman"/>
            <family val="18"/>
          </rPr>
          <t xml:space="preserve">25/12/1816 </t>
        </r>
        <r>
          <rPr>
            <i/>
            <sz val="14"/>
            <color rgb="FF000000"/>
            <rFont val="Times New Roman"/>
            <family val="18"/>
          </rPr>
          <t>Als Veteran mit Abschied</t>
        </r>
        <r>
          <rPr>
            <sz val="14"/>
            <color rgb="FF000000"/>
            <rFont val="Times New Roman"/>
            <family val="18"/>
          </rPr>
          <t xml:space="preserve"> </t>
        </r>
        <r>
          <rPr>
            <i/>
            <sz val="14"/>
            <color rgb="FF000000"/>
            <rFont val="Times New Roman"/>
            <family val="18"/>
          </rPr>
          <t>entlassen</t>
        </r>
        <r>
          <rPr>
            <sz val="14"/>
            <color rgb="FF000000"/>
            <rFont val="Times New Roman"/>
            <family val="18"/>
          </rPr>
          <t xml:space="preserve"> [ML 1817]</t>
        </r>
      </text>
    </comment>
    <comment ref="BG490" authorId="0" shapeId="0" xr:uid="{10D97444-E84B-984E-96FB-2A869B85E084}">
      <text>
        <r>
          <rPr>
            <sz val="14"/>
            <color rgb="FF000000"/>
            <rFont val="Times New Roman"/>
            <family val="18"/>
          </rPr>
          <t>ML 8835 GK Gal. 4. Abt. (1808-17) – RL Haupt. Siewerth 2. Komp. Nr. 153 (Ulscie Jesuizka 06/10/1810); ML Haupt. Siewerth 2. Komp. Nr.134 (Ulscie Jesuizka 02/09/1811); RL Haupt. Jekel 4. Komp. Nr. 245 (Mogillany 30/09/1812); Haupt. Jekel 4. Komp. Abgang (Oswienczim 25/09/1817)</t>
        </r>
        <r>
          <rPr>
            <sz val="14"/>
            <color rgb="FF000000"/>
            <rFont val="Calibri"/>
            <family val="34"/>
          </rPr>
          <t xml:space="preserve">
</t>
        </r>
      </text>
    </comment>
    <comment ref="BH490" authorId="0" shapeId="0" xr:uid="{1AC4B4E3-A2ED-D84A-9A0D-1CF5CA502F8B}">
      <text>
        <r>
          <rPr>
            <sz val="14"/>
            <color rgb="FF000000"/>
            <rFont val="Calibri"/>
            <family val="34"/>
          </rPr>
          <t xml:space="preserve">IR 22 (1805-1809)
</t>
        </r>
        <r>
          <rPr>
            <sz val="14"/>
            <color rgb="FF000000"/>
            <rFont val="Calibri"/>
            <family val="34"/>
          </rPr>
          <t xml:space="preserve">SInf (1809-1810)
</t>
        </r>
        <r>
          <rPr>
            <sz val="14"/>
            <color rgb="FF000000"/>
            <rFont val="Calibri"/>
            <family val="34"/>
          </rPr>
          <t>GK Gal 4. Abt (1810-1816)</t>
        </r>
      </text>
    </comment>
    <comment ref="BF491" authorId="0" shapeId="0" xr:uid="{3F412A66-A5B8-8546-81D1-11C0660B73F3}">
      <text>
        <r>
          <rPr>
            <sz val="14"/>
            <color rgb="FF000000"/>
            <rFont val="Times New Roman"/>
            <family val="18"/>
          </rPr>
          <t xml:space="preserve">26/08/1805 </t>
        </r>
        <r>
          <rPr>
            <i/>
            <sz val="14"/>
            <color rgb="FF000000"/>
            <rFont val="Times New Roman"/>
            <family val="18"/>
          </rPr>
          <t>Zu EH Rainer Infanterie</t>
        </r>
        <r>
          <rPr>
            <sz val="14"/>
            <color rgb="FF000000"/>
            <rFont val="Times New Roman"/>
            <family val="18"/>
          </rPr>
          <t xml:space="preserve"> </t>
        </r>
        <r>
          <rPr>
            <b/>
            <sz val="14"/>
            <color rgb="FF000000"/>
            <rFont val="Times New Roman"/>
            <family val="18"/>
          </rPr>
          <t xml:space="preserve">[IR 11]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11/10/1808 </t>
        </r>
        <r>
          <rPr>
            <i/>
            <sz val="14"/>
            <color rgb="FF000000"/>
            <rFont val="Times New Roman"/>
            <family val="18"/>
          </rPr>
          <t>Zum Krainer-Kärntischer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01/04/1809 </t>
        </r>
        <r>
          <rPr>
            <i/>
            <sz val="14"/>
            <color rgb="FF000000"/>
            <rFont val="Times New Roman"/>
            <family val="18"/>
          </rPr>
          <t>Zur 8. Sanitäts-Companie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16/04/1810 </t>
        </r>
        <r>
          <rPr>
            <i/>
            <sz val="14"/>
            <color rgb="FF000000"/>
            <rFont val="Times New Roman"/>
            <family val="18"/>
          </rPr>
          <t>Zur Innen-Österreichischen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20/09/1810 Revision: GK IÖ 6. Komp. Nr. 158</t>
        </r>
        <r>
          <rPr>
            <sz val="14"/>
            <color rgb="FF000000"/>
            <rFont val="Calibri"/>
            <family val="34"/>
          </rPr>
          <t xml:space="preserve">
</t>
        </r>
        <r>
          <rPr>
            <sz val="14"/>
            <color rgb="FF000000"/>
            <rFont val="Times New Roman"/>
            <family val="18"/>
          </rPr>
          <t>10/09/1811 Muster: GK IÖ 6. Komp. Nr. 53</t>
        </r>
        <r>
          <rPr>
            <sz val="14"/>
            <color rgb="FF000000"/>
            <rFont val="Calibri"/>
            <family val="34"/>
          </rPr>
          <t xml:space="preserve">
</t>
        </r>
        <r>
          <rPr>
            <sz val="14"/>
            <color rgb="FF000000"/>
            <rFont val="Times New Roman"/>
            <family val="18"/>
          </rPr>
          <t>14/09/1812 Revision: GK IÖ 6. Komp. Nr. 101</t>
        </r>
        <r>
          <rPr>
            <sz val="14"/>
            <color rgb="FF000000"/>
            <rFont val="Calibri"/>
            <family val="34"/>
          </rPr>
          <t xml:space="preserve">
</t>
        </r>
        <r>
          <rPr>
            <sz val="14"/>
            <color rgb="FF000000"/>
            <rFont val="Times New Roman"/>
            <family val="18"/>
          </rPr>
          <t xml:space="preserve">31/08/1817 </t>
        </r>
        <r>
          <rPr>
            <i/>
            <sz val="14"/>
            <color rgb="FF000000"/>
            <rFont val="Times New Roman"/>
            <family val="18"/>
          </rPr>
          <t>In Folge höhe Kriegsratlichen Reskript deto Wien anf 25/04/1816 litt nr. 1992 und hohe Illyrischen Innen-Österreichischen commando detto Mai 1816 Lit. K Nr. 3974 als Ausgedienter Inländischer Capitulanten mit Abschied entlassen</t>
        </r>
        <r>
          <rPr>
            <sz val="14"/>
            <color rgb="FF000000"/>
            <rFont val="Times New Roman"/>
            <family val="18"/>
          </rPr>
          <t xml:space="preserve"> [ML 1817]</t>
        </r>
      </text>
    </comment>
    <comment ref="BG491" authorId="0" shapeId="0" xr:uid="{1986A82F-5486-4644-AFAB-07FA4A29FB94}">
      <text>
        <r>
          <rPr>
            <sz val="14"/>
            <color rgb="FF000000"/>
            <rFont val="Times New Roman"/>
            <family val="18"/>
          </rPr>
          <t>ML 8750 GK IÖ (1810) – 6. Komp. [Haupt. Vischerall] 6. Nr. 158 (Marburg 20/09/1810)</t>
        </r>
        <r>
          <rPr>
            <sz val="14"/>
            <color rgb="FF000000"/>
            <rFont val="Calibri"/>
            <family val="34"/>
          </rPr>
          <t xml:space="preserve">
</t>
        </r>
        <r>
          <rPr>
            <sz val="14"/>
            <color rgb="FF000000"/>
            <rFont val="Times New Roman"/>
            <family val="18"/>
          </rPr>
          <t>ML 8750 GK IÖ (1811) – 6 Komp. [Haupt. Vischerall] Nr. 53 &amp; Zuwachs (Marburg 10/09/1811)</t>
        </r>
        <r>
          <rPr>
            <sz val="14"/>
            <color rgb="FF000000"/>
            <rFont val="Calibri"/>
            <family val="34"/>
          </rPr>
          <t xml:space="preserve">
</t>
        </r>
        <r>
          <rPr>
            <sz val="14"/>
            <color rgb="FF000000"/>
            <rFont val="Times New Roman"/>
            <family val="18"/>
          </rPr>
          <t>ML 8750 GK IÖ (1812) – 6. Komp. [Haupt. Vischerall] Nr, 101 (Pettau 14/09/1812)</t>
        </r>
        <r>
          <rPr>
            <sz val="14"/>
            <color rgb="FF000000"/>
            <rFont val="Calibri"/>
            <family val="34"/>
          </rPr>
          <t xml:space="preserve">
</t>
        </r>
        <r>
          <rPr>
            <sz val="14"/>
            <color rgb="FF000000"/>
            <rFont val="Times New Roman"/>
            <family val="18"/>
          </rPr>
          <t>ML 8750 GK IÖ (1817) – 6. Komp [Haupt. Rang] Abgang (Pettau 13/09/1817)</t>
        </r>
        <r>
          <rPr>
            <sz val="14"/>
            <color rgb="FF000000"/>
            <rFont val="Calibri"/>
            <family val="34"/>
          </rPr>
          <t xml:space="preserve">
</t>
        </r>
      </text>
    </comment>
    <comment ref="BH491" authorId="0" shapeId="0" xr:uid="{AD732EA5-EF60-8244-BE9A-EFB4491082F6}">
      <text>
        <r>
          <rPr>
            <sz val="14"/>
            <color rgb="FF000000"/>
            <rFont val="Calibri"/>
            <family val="34"/>
          </rPr>
          <t xml:space="preserve">IR 11 (1805-1808)
</t>
        </r>
        <r>
          <rPr>
            <sz val="14"/>
            <color rgb="FF000000"/>
            <rFont val="Calibri"/>
            <family val="34"/>
          </rPr>
          <t xml:space="preserve">GK Kr-Kär (1808-1809)
</t>
        </r>
        <r>
          <rPr>
            <sz val="14"/>
            <color rgb="FF000000"/>
            <rFont val="Calibri"/>
            <family val="34"/>
          </rPr>
          <t xml:space="preserve">8. SänC (1809-1810)
</t>
        </r>
        <r>
          <rPr>
            <sz val="14"/>
            <color rgb="FF000000"/>
            <rFont val="Calibri"/>
            <family val="34"/>
          </rPr>
          <t>GK IÖ (1810-1817)</t>
        </r>
      </text>
    </comment>
    <comment ref="BF492" authorId="0" shapeId="0" xr:uid="{1ED1AC90-05FC-784C-B2CF-627452EB98DD}">
      <text>
        <r>
          <rPr>
            <sz val="14"/>
            <color rgb="FF000000"/>
            <rFont val="Times New Roman"/>
            <family val="18"/>
          </rPr>
          <t>??/10/1805 Kriegsgefangenen und auf Parole entlassen [Schmidl]</t>
        </r>
        <r>
          <rPr>
            <sz val="14"/>
            <color rgb="FF000000"/>
            <rFont val="Calibri"/>
            <family val="34"/>
          </rPr>
          <t xml:space="preserve">
</t>
        </r>
        <r>
          <rPr>
            <sz val="14"/>
            <color rgb="FF000000"/>
            <rFont val="Times New Roman"/>
            <family val="18"/>
          </rPr>
          <t>01/10/1810 Revision: HR 4 ObristLt 2. Esk Nr. 6 [</t>
        </r>
        <r>
          <rPr>
            <i/>
            <sz val="14"/>
            <color rgb="FF000000"/>
            <rFont val="Times New Roman"/>
            <family val="18"/>
          </rPr>
          <t>Supernumeraire OberLt</t>
        </r>
        <r>
          <rPr>
            <sz val="14"/>
            <color rgb="FF000000"/>
            <rFont val="Times New Roman"/>
            <family val="18"/>
          </rPr>
          <t>]</t>
        </r>
        <r>
          <rPr>
            <sz val="14"/>
            <color rgb="FF000000"/>
            <rFont val="Calibri"/>
            <family val="34"/>
          </rPr>
          <t xml:space="preserve">
</t>
        </r>
        <r>
          <rPr>
            <sz val="14"/>
            <color rgb="FF000000"/>
            <rFont val="Times New Roman"/>
            <family val="18"/>
          </rPr>
          <t>31/12/1810 Von ObristLt 2. zum 2. Major 1. Esk transferiert [ML 1811]</t>
        </r>
        <r>
          <rPr>
            <sz val="14"/>
            <color rgb="FF000000"/>
            <rFont val="Calibri"/>
            <family val="34"/>
          </rPr>
          <t xml:space="preserve">
</t>
        </r>
        <r>
          <rPr>
            <sz val="14"/>
            <color rgb="FF000000"/>
            <rFont val="Times New Roman"/>
            <family val="18"/>
          </rPr>
          <t>01/05/1811 Von 2. Major 1. zum 2. Major 2. Esk. transferiert [ML 1811]</t>
        </r>
        <r>
          <rPr>
            <sz val="14"/>
            <color rgb="FF000000"/>
            <rFont val="Calibri"/>
            <family val="34"/>
          </rPr>
          <t xml:space="preserve">
</t>
        </r>
        <r>
          <rPr>
            <sz val="14"/>
            <color rgb="FF000000"/>
            <rFont val="Times New Roman"/>
            <family val="18"/>
          </rPr>
          <t>16/09/1811 Musterung: HR 4 2. Major 2. Esk Nr. 6 [</t>
        </r>
        <r>
          <rPr>
            <i/>
            <sz val="14"/>
            <color rgb="FF000000"/>
            <rFont val="Times New Roman"/>
            <family val="18"/>
          </rPr>
          <t>Supernumeraire OberLt &amp; Ist dessen Nationale sowohl als die Dienstzeit aus Mangel den Assent Lista unbewusst</t>
        </r>
        <r>
          <rPr>
            <sz val="14"/>
            <color rgb="FF000000"/>
            <rFont val="Times New Roman"/>
            <family val="18"/>
          </rPr>
          <t>]</t>
        </r>
        <r>
          <rPr>
            <sz val="14"/>
            <color rgb="FF000000"/>
            <rFont val="Calibri"/>
            <family val="34"/>
          </rPr>
          <t xml:space="preserve">
</t>
        </r>
        <r>
          <rPr>
            <sz val="14"/>
            <color rgb="FF000000"/>
            <rFont val="Times New Roman"/>
            <family val="18"/>
          </rPr>
          <t>10/09/1812 Revision: HR 4 2. Major 1. Esk Nr. 3 [</t>
        </r>
        <r>
          <rPr>
            <i/>
            <sz val="14"/>
            <color rgb="FF000000"/>
            <rFont val="Times New Roman"/>
            <family val="18"/>
          </rPr>
          <t>Präsent</t>
        </r>
        <r>
          <rPr>
            <sz val="14"/>
            <color rgb="FF000000"/>
            <rFont val="Times New Roman"/>
            <family val="18"/>
          </rPr>
          <t>]</t>
        </r>
        <r>
          <rPr>
            <sz val="14"/>
            <color rgb="FF000000"/>
            <rFont val="Calibri"/>
            <family val="34"/>
          </rPr>
          <t xml:space="preserve">
</t>
        </r>
        <r>
          <rPr>
            <sz val="14"/>
            <color rgb="FF000000"/>
            <rFont val="Times New Roman"/>
            <family val="18"/>
          </rPr>
          <t>??/12/1813 Vor Feind Geblieben [Schmidl]</t>
        </r>
      </text>
    </comment>
    <comment ref="BG492" authorId="0" shapeId="0" xr:uid="{1A7CA7DB-C0F2-0E49-91CE-C3651B8D24E8}">
      <text>
        <r>
          <rPr>
            <sz val="14"/>
            <color rgb="FF000000"/>
            <rFont val="Calibri"/>
            <family val="34"/>
          </rPr>
          <t xml:space="preserve">ML 7467 HR 4 (1805) – TL MFWK -&gt; HR 4 Nr. 6 (Linz 09/10/1805) &amp; ST Oct (23/06/1806) und ST Dezember (24/07/1806)
</t>
        </r>
        <r>
          <rPr>
            <sz val="14"/>
            <color rgb="FF000000"/>
            <rFont val="Calibri"/>
            <family val="34"/>
          </rPr>
          <t xml:space="preserve">ML 7468 HR 4 (1806) – ST Mai (19/02/1807)
</t>
        </r>
      </text>
    </comment>
    <comment ref="BH492" authorId="0" shapeId="0" xr:uid="{F2D625C1-35EB-034D-B9AE-B6CF3C01D837}">
      <text>
        <r>
          <rPr>
            <sz val="14"/>
            <color rgb="FF000000"/>
            <rFont val="Calibri"/>
            <family val="34"/>
          </rPr>
          <t>MFWK (1805-6)</t>
        </r>
      </text>
    </comment>
    <comment ref="BF493" authorId="0" shapeId="0" xr:uid="{0570EE94-C9B4-0A4D-80A8-C49C6869CAB6}">
      <text>
        <r>
          <rPr>
            <sz val="14"/>
            <color rgb="FF000000"/>
            <rFont val="Times New Roman"/>
            <family val="18"/>
          </rPr>
          <t xml:space="preserve">11/09/1805 </t>
        </r>
        <r>
          <rPr>
            <i/>
            <sz val="14"/>
            <color rgb="FF000000"/>
            <rFont val="Times New Roman"/>
            <family val="18"/>
          </rPr>
          <t>Auf 3 Fl Handgeld und 10-jähriger Capitulation von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4. Vacante Kompanie eingeteilt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01/07/1809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Galizischen Freibataillon Nr. 2 3. Kompanie zum IR 24 transferiert</t>
        </r>
        <r>
          <rPr>
            <sz val="14"/>
            <color rgb="FF000000"/>
            <rFont val="Times New Roman"/>
            <family val="18"/>
          </rPr>
          <t xml:space="preserve"> [TL 1810 &amp; ST Jan 1810]</t>
        </r>
        <r>
          <rPr>
            <sz val="14"/>
            <color rgb="FF000000"/>
            <rFont val="Calibri"/>
            <family val="34"/>
          </rPr>
          <t xml:space="preserve">
</t>
        </r>
        <r>
          <rPr>
            <sz val="14"/>
            <color rgb="FF000000"/>
            <rFont val="Times New Roman"/>
            <family val="18"/>
          </rPr>
          <t xml:space="preserve">31/01/1810 </t>
        </r>
        <r>
          <rPr>
            <i/>
            <sz val="14"/>
            <color rgb="FF000000"/>
            <rFont val="Times New Roman"/>
            <family val="18"/>
          </rPr>
          <t>Auf dem Marsch bis Dorf Komorowitz desertiert</t>
        </r>
        <r>
          <rPr>
            <sz val="14"/>
            <color rgb="FF000000"/>
            <rFont val="Times New Roman"/>
            <family val="18"/>
          </rPr>
          <t xml:space="preserve"> [TL Jan 1810]</t>
        </r>
      </text>
    </comment>
    <comment ref="BG493" authorId="0" shapeId="0" xr:uid="{F49EE754-75AA-4C41-AF0D-2F62FF8C083D}">
      <text>
        <r>
          <rPr>
            <sz val="14"/>
            <color rgb="FF000000"/>
            <rFont val="Times New Roman"/>
            <family val="18"/>
          </rPr>
          <t>ML 10.831 WGal FB 2 (1809-10) – TL IR 24-&gt; WGal FB 2 Nr. 68 (Csakowar 02/12/1809),TL WGal FB 2-&gt; IR 24 Nr. 68 (Leitmoschil 20/01/1810), ST March (Braddczy bei Caschau 10/08/1809), ST July (Brünn 20/12/1810), ST 1810 Jan (Tichnowitz 03/03/1811)</t>
        </r>
        <r>
          <rPr>
            <sz val="14"/>
            <color rgb="FF000000"/>
            <rFont val="Calibri"/>
            <family val="34"/>
          </rPr>
          <t xml:space="preserve">
</t>
        </r>
      </text>
    </comment>
    <comment ref="BH493" authorId="0" shapeId="0" xr:uid="{8F3315E1-C34F-7547-8B52-E1CDADCFBEFF}">
      <text>
        <r>
          <rPr>
            <sz val="14"/>
            <color rgb="FF000000"/>
            <rFont val="Calibri"/>
            <family val="34"/>
          </rPr>
          <t xml:space="preserve">IR 24 (1805-9)
</t>
        </r>
        <r>
          <rPr>
            <sz val="14"/>
            <color rgb="FF000000"/>
            <rFont val="Calibri"/>
            <family val="34"/>
          </rPr>
          <t xml:space="preserve">WGal FB 2 (1809-10)
</t>
        </r>
        <r>
          <rPr>
            <sz val="14"/>
            <color rgb="FF000000"/>
            <rFont val="Calibri"/>
            <family val="34"/>
          </rPr>
          <t>IR 24 (1810)</t>
        </r>
      </text>
    </comment>
    <comment ref="BF494" authorId="0" shapeId="0" xr:uid="{01D77CCA-6F93-4F4A-BAF1-8B6F83B68A69}">
      <text>
        <r>
          <rPr>
            <sz val="14"/>
            <color rgb="FF000000"/>
            <rFont val="Times New Roman"/>
            <family val="18"/>
          </rPr>
          <t xml:space="preserve">12/09/1805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 </t>
        </r>
      </text>
    </comment>
    <comment ref="BG494" authorId="0" shapeId="0" xr:uid="{E8C33D5E-4F92-C241-8781-61E20DB05017}">
      <text>
        <r>
          <rPr>
            <sz val="14"/>
            <color rgb="FF000000"/>
            <rFont val="Times New Roman"/>
            <family val="18"/>
          </rPr>
          <t>ML 5017/8 IR 59 (1806) – Res. Div. Zuwachs &amp; Abgang (Wells 06/07/1807)</t>
        </r>
        <r>
          <rPr>
            <sz val="14"/>
            <color rgb="FF000000"/>
            <rFont val="Calibri"/>
            <family val="34"/>
          </rPr>
          <t xml:space="preserve">
</t>
        </r>
        <r>
          <rPr>
            <sz val="14"/>
            <color rgb="FF000000"/>
            <rFont val="Times New Roman"/>
            <family val="18"/>
          </rPr>
          <t>ML 5067 IR 59 (1805) – AL. Nr. 82 (Siedlce 30/09/1805)</t>
        </r>
        <r>
          <rPr>
            <sz val="14"/>
            <color rgb="FF000000"/>
            <rFont val="Calibri"/>
            <family val="34"/>
          </rPr>
          <t xml:space="preserve">
</t>
        </r>
      </text>
    </comment>
    <comment ref="BH494" authorId="0" shapeId="0" xr:uid="{6FF13C56-9351-4A45-BC60-75AE0053546D}">
      <text>
        <r>
          <rPr>
            <sz val="14"/>
            <color rgb="FF000000"/>
            <rFont val="Calibri"/>
            <family val="34"/>
          </rPr>
          <t>IR 59 (1805-1806)</t>
        </r>
      </text>
    </comment>
    <comment ref="CR494" authorId="0" shapeId="0" xr:uid="{B4ECC831-3808-5A4A-895A-2141B8179581}">
      <text>
        <r>
          <rPr>
            <sz val="14"/>
            <color rgb="FF000000"/>
            <rFont val="Calibri"/>
            <family val="34"/>
          </rPr>
          <t xml:space="preserve">1805: Jüdisch
</t>
        </r>
        <r>
          <rPr>
            <sz val="14"/>
            <color rgb="FF000000"/>
            <rFont val="Calibri"/>
            <family val="34"/>
          </rPr>
          <t xml:space="preserve">1806: Katolisch </t>
        </r>
        <r>
          <rPr>
            <sz val="14"/>
            <color rgb="FF000000"/>
            <rFont val="Calibri"/>
            <family val="2"/>
          </rPr>
          <t xml:space="preserve">
</t>
        </r>
        <r>
          <rPr>
            <sz val="14"/>
            <color rgb="FF000000"/>
            <rFont val="Calibri"/>
            <family val="2"/>
          </rPr>
          <t xml:space="preserve"> </t>
        </r>
      </text>
    </comment>
    <comment ref="I495" authorId="0" shapeId="0" xr:uid="{A9A13DE5-BBB4-394D-BFA0-8D6A19D2792D}">
      <text>
        <r>
          <rPr>
            <sz val="14"/>
            <color rgb="FF000000"/>
            <rFont val="Calibri"/>
            <family val="34"/>
          </rPr>
          <t xml:space="preserve">1766 [40 (1806)]
</t>
        </r>
        <r>
          <rPr>
            <sz val="14"/>
            <color rgb="FF000000"/>
            <rFont val="Calibri"/>
            <family val="34"/>
          </rPr>
          <t xml:space="preserve">OR
</t>
        </r>
        <r>
          <rPr>
            <sz val="14"/>
            <color rgb="FF000000"/>
            <rFont val="Calibri"/>
            <family val="34"/>
          </rPr>
          <t xml:space="preserve">1771 [34 (1805)]
</t>
        </r>
      </text>
    </comment>
    <comment ref="BF495" authorId="0" shapeId="0" xr:uid="{C08B2B30-9FBB-884B-8D1D-AE4FE162BE8D}">
      <text>
        <r>
          <rPr>
            <sz val="14"/>
            <color rgb="FF000000"/>
            <rFont val="Times New Roman"/>
            <family val="18"/>
          </rPr>
          <t xml:space="preserve">14/09/1805 </t>
        </r>
        <r>
          <rPr>
            <i/>
            <sz val="14"/>
            <color rgb="FF000000"/>
            <rFont val="Times New Roman"/>
            <family val="18"/>
          </rPr>
          <t>Su Zaleszczyk in Galizien als inländische Werbbzirk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01/12/1805 </t>
        </r>
        <r>
          <rPr>
            <i/>
            <sz val="14"/>
            <color rgb="FF000000"/>
            <rFont val="Times New Roman"/>
            <family val="18"/>
          </rPr>
          <t>Von Reserve Division zum 9. Fus [</t>
        </r>
        <r>
          <rPr>
            <sz val="14"/>
            <color rgb="FF000000"/>
            <rFont val="Times New Roman"/>
            <family val="18"/>
          </rPr>
          <t xml:space="preserve">in 1806 6. Fus] </t>
        </r>
        <r>
          <rPr>
            <i/>
            <sz val="14"/>
            <color rgb="FF000000"/>
            <rFont val="Times New Roman"/>
            <family val="18"/>
          </rPr>
          <t>Komp. Transferiert</t>
        </r>
        <r>
          <rPr>
            <sz val="14"/>
            <color rgb="FF000000"/>
            <rFont val="Times New Roman"/>
            <family val="18"/>
          </rPr>
          <t xml:space="preserve"> [ML 1806]
</t>
        </r>
        <r>
          <rPr>
            <sz val="14"/>
            <color rgb="FF000000"/>
            <rFont val="Times New Roman"/>
            <family val="18"/>
          </rPr>
          <t xml:space="preserve">20/04/1806 </t>
        </r>
        <r>
          <rPr>
            <i/>
            <sz val="14"/>
            <color rgb="FF000000"/>
            <rFont val="Times New Roman"/>
            <family val="18"/>
          </rPr>
          <t>Zu Folge hohe Gen: COMMANDO Verordnung d.d. Brünn 14ten März wegen Schwäche und sonst aufhabenden Defecten mit Laufpaß als Untauglich entlassen</t>
        </r>
        <r>
          <rPr>
            <sz val="14"/>
            <color rgb="FF000000"/>
            <rFont val="Times New Roman"/>
            <family val="18"/>
          </rPr>
          <t xml:space="preserve"> [ML 1806]
</t>
        </r>
      </text>
    </comment>
    <comment ref="BG495" authorId="0" shapeId="0" xr:uid="{8F364ED0-BF55-AE49-A69F-C9C18430C856}">
      <text>
        <r>
          <rPr>
            <sz val="14"/>
            <color rgb="FF000000"/>
            <rFont val="Times New Roman"/>
            <family val="18"/>
          </rPr>
          <t xml:space="preserve">ML 1623-5 IR 20 (1806) – ML Heft von 6. Fus. Comp. und Reserve Division, Zuwachs &amp; Abgang (Olmütz 15/12/1806)
</t>
        </r>
        <r>
          <rPr>
            <sz val="14"/>
            <color rgb="FF000000"/>
            <rFont val="Times New Roman"/>
            <family val="18"/>
          </rPr>
          <t xml:space="preserve">ML 1659 IR 20 (1805) – AL Nr. 91 (Zaleszczyk 17/09/1805)
</t>
        </r>
        <r>
          <rPr>
            <sz val="14"/>
            <color rgb="FF000000"/>
            <rFont val="Times New Roman"/>
            <family val="18"/>
          </rPr>
          <t xml:space="preserve">ML 1661 IR 20 (1806) – SUP Nr. 1 (Troppau 15/04/1806)
</t>
        </r>
      </text>
    </comment>
    <comment ref="BH495" authorId="0" shapeId="0" xr:uid="{3D7D45D1-45B4-F04F-AE9D-97A3D5437F77}">
      <text>
        <r>
          <rPr>
            <sz val="14"/>
            <color rgb="FF000000"/>
            <rFont val="Calibri"/>
            <family val="34"/>
          </rPr>
          <t>IR 20 (1805-1806)</t>
        </r>
      </text>
    </comment>
    <comment ref="BJ495" authorId="0" shapeId="0" xr:uid="{A91766C5-7B31-964F-A992-314DDD65BC03}">
      <text>
        <r>
          <rPr>
            <i/>
            <sz val="14"/>
            <color rgb="FF000000"/>
            <rFont val="Times New Roman"/>
            <family val="18"/>
          </rPr>
          <t>Soroseln und Mangel fen linken Zeigenfinger,</t>
        </r>
        <r>
          <rPr>
            <sz val="14"/>
            <color rgb="FF000000"/>
            <rFont val="Times New Roman"/>
            <family val="18"/>
          </rPr>
          <t xml:space="preserve"> </t>
        </r>
        <r>
          <rPr>
            <i/>
            <sz val="14"/>
            <color rgb="FF000000"/>
            <rFont val="Times New Roman"/>
            <family val="18"/>
          </rPr>
          <t>Der Linken Zeigenfinger mangelt schon seit der Jugend</t>
        </r>
        <r>
          <rPr>
            <sz val="14"/>
            <color rgb="FF000000"/>
            <rFont val="Times New Roman"/>
            <family val="18"/>
          </rPr>
          <t xml:space="preserve"> [SUP April 1806]</t>
        </r>
        <r>
          <rPr>
            <sz val="14"/>
            <color rgb="FF000000"/>
            <rFont val="Calibri"/>
            <family val="2"/>
            <scheme val="minor"/>
          </rPr>
          <t xml:space="preserve"> </t>
        </r>
      </text>
    </comment>
    <comment ref="BF496" authorId="0" shapeId="0" xr:uid="{7D771EBB-C72F-0F47-8DBB-C8EAA27B898A}">
      <text>
        <r>
          <rPr>
            <sz val="14"/>
            <color rgb="FF000000"/>
            <rFont val="Times New Roman"/>
            <family val="18"/>
          </rPr>
          <t xml:space="preserve">15/09/1805 </t>
        </r>
        <r>
          <rPr>
            <i/>
            <sz val="14"/>
            <color rgb="FF000000"/>
            <rFont val="Times New Roman"/>
            <family val="18"/>
          </rPr>
          <t>zu Stry in Galizien als inländische Werbbzirk Recrout in IR 20 ‘Reserve Division’ a 3Fl Handgeld gestellt</t>
        </r>
        <r>
          <rPr>
            <sz val="14"/>
            <color rgb="FF000000"/>
            <rFont val="Times New Roman"/>
            <family val="18"/>
          </rPr>
          <t xml:space="preserve"> [AL Oct 1805]
</t>
        </r>
        <r>
          <rPr>
            <sz val="14"/>
            <color rgb="FF000000"/>
            <rFont val="Times New Roman"/>
            <family val="18"/>
          </rPr>
          <t xml:space="preserve">01/02/1806 </t>
        </r>
        <r>
          <rPr>
            <i/>
            <sz val="14"/>
            <color rgb="FF000000"/>
            <rFont val="Times New Roman"/>
            <family val="18"/>
          </rPr>
          <t>Von Reserve Division zum 13. Füsilier Komp. transferiert</t>
        </r>
        <r>
          <rPr>
            <sz val="14"/>
            <color rgb="FF000000"/>
            <rFont val="Times New Roman"/>
            <family val="18"/>
          </rPr>
          <t xml:space="preserve"> [ML 1806]
</t>
        </r>
        <r>
          <rPr>
            <sz val="14"/>
            <color rgb="FF000000"/>
            <rFont val="Times New Roman"/>
            <family val="18"/>
          </rPr>
          <t xml:space="preserve">19/09/1806 </t>
        </r>
        <r>
          <rPr>
            <i/>
            <sz val="14"/>
            <color rgb="FF000000"/>
            <rFont val="Times New Roman"/>
            <family val="18"/>
          </rPr>
          <t>Von Urlaub, wohin er aus der Krakauer Spital abgeschickt werde, desertiert</t>
        </r>
        <r>
          <rPr>
            <sz val="14"/>
            <color rgb="FF000000"/>
            <rFont val="Times New Roman"/>
            <family val="18"/>
          </rPr>
          <t xml:space="preserve"> [ML 1806]
</t>
        </r>
      </text>
    </comment>
    <comment ref="BG496" authorId="0" shapeId="0" xr:uid="{E4FC8891-70B6-6443-A61C-55AA8CDDD29D}">
      <text>
        <r>
          <rPr>
            <sz val="14"/>
            <color rgb="FF000000"/>
            <rFont val="Times New Roman"/>
            <family val="18"/>
          </rPr>
          <t xml:space="preserve">ML 1623-5 IR 20 (1806) –13. Fus. Komp. und Reserve Division, Zuwachs &amp; Abgang (Olmütz 15/12/1806)
</t>
        </r>
        <r>
          <rPr>
            <sz val="14"/>
            <color rgb="FF000000"/>
            <rFont val="Times New Roman"/>
            <family val="18"/>
          </rPr>
          <t xml:space="preserve">ML 1659 IR 20 (1805) – AL/TL pro Monat Oct Nr. 79 (Stry 30/10/1805)
</t>
        </r>
      </text>
    </comment>
    <comment ref="BH496" authorId="0" shapeId="0" xr:uid="{92793EC4-A5A9-914C-830A-649FCE822522}">
      <text>
        <r>
          <rPr>
            <sz val="14"/>
            <color rgb="FF000000"/>
            <rFont val="Calibri"/>
            <family val="34"/>
          </rPr>
          <t>IR 20 (1805-1806)</t>
        </r>
      </text>
    </comment>
    <comment ref="I497" authorId="0" shapeId="0" xr:uid="{ED9C6D2C-3E84-4545-8820-B0A263F1EAE3}">
      <text>
        <r>
          <rPr>
            <sz val="14"/>
            <color rgb="FF000000"/>
            <rFont val="Calibri"/>
            <family val="34"/>
          </rPr>
          <t xml:space="preserve">1766 [40 (1806)]
</t>
        </r>
        <r>
          <rPr>
            <sz val="14"/>
            <color rgb="FF000000"/>
            <rFont val="Calibri"/>
            <family val="34"/>
          </rPr>
          <t xml:space="preserve">OR
</t>
        </r>
        <r>
          <rPr>
            <sz val="14"/>
            <color rgb="FF000000"/>
            <rFont val="Calibri"/>
            <family val="34"/>
          </rPr>
          <t xml:space="preserve">1771 [34 (1805)]
</t>
        </r>
      </text>
    </comment>
    <comment ref="BF497" authorId="0" shapeId="0" xr:uid="{D9D338F8-7073-6049-A141-ECADE6DAFF27}">
      <text>
        <r>
          <rPr>
            <sz val="14"/>
            <color rgb="FF000000"/>
            <rFont val="Times New Roman"/>
            <family val="18"/>
          </rPr>
          <t xml:space="preserve">15/09/1805 </t>
        </r>
        <r>
          <rPr>
            <i/>
            <sz val="14"/>
            <color rgb="FF000000"/>
            <rFont val="Times New Roman"/>
            <family val="18"/>
          </rPr>
          <t xml:space="preserve">Zu Zaleszczyk </t>
        </r>
        <r>
          <rPr>
            <i/>
            <sz val="14"/>
            <color rgb="FF000000"/>
            <rFont val="Times New Roman"/>
            <family val="18"/>
          </rPr>
          <t>in Galizien als inländische Werbbzirk Recrout</t>
        </r>
        <r>
          <rPr>
            <i/>
            <sz val="14"/>
            <color rgb="FF000000"/>
            <rFont val="Times New Roman"/>
            <family val="18"/>
          </rPr>
          <t xml:space="preserve"> in IR 20 ‘Reserve Division’ a 3Fl Handgled mit Capitulation auf 10 Jahren gestellt</t>
        </r>
        <r>
          <rPr>
            <sz val="14"/>
            <color rgb="FF000000"/>
            <rFont val="Times New Roman"/>
            <family val="18"/>
          </rPr>
          <t xml:space="preserve"> [AL Sept 1805]</t>
        </r>
        <r>
          <rPr>
            <sz val="14"/>
            <color rgb="FF000000"/>
            <rFont val="Times New Roman"/>
            <family val="18"/>
          </rPr>
          <t xml:space="preserve">
</t>
        </r>
        <r>
          <rPr>
            <sz val="14"/>
            <color rgb="FF000000"/>
            <rFont val="Times New Roman"/>
            <family val="18"/>
          </rPr>
          <t xml:space="preserve">01/02/1806 </t>
        </r>
        <r>
          <rPr>
            <i/>
            <sz val="14"/>
            <color rgb="FF000000"/>
            <rFont val="Times New Roman"/>
            <family val="18"/>
          </rPr>
          <t>Von Reserve Division zum 11. Füsilier Komp. transferiert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20/04/1806 Superarbietriert: </t>
        </r>
        <r>
          <rPr>
            <i/>
            <sz val="14"/>
            <color rgb="FF000000"/>
            <rFont val="Times New Roman"/>
            <family val="18"/>
          </rPr>
          <t>Wegen Masschwach und Krankheiten</t>
        </r>
        <r>
          <rPr>
            <sz val="14"/>
            <color rgb="FF000000"/>
            <rFont val="Times New Roman"/>
            <family val="18"/>
          </rPr>
          <t xml:space="preserve">
</t>
        </r>
        <r>
          <rPr>
            <sz val="14"/>
            <color rgb="FF000000"/>
            <rFont val="Times New Roman"/>
            <family val="18"/>
          </rPr>
          <t xml:space="preserve">25/04/1806 </t>
        </r>
        <r>
          <rPr>
            <i/>
            <sz val="14"/>
            <color rgb="FF000000"/>
            <rFont val="Times New Roman"/>
            <family val="18"/>
          </rPr>
          <t>Wegen Schwäche sonstigen aufhabenden Defekten zu Folge Hohe General Commando Verordnung deto Br</t>
        </r>
        <r>
          <rPr>
            <i/>
            <sz val="14"/>
            <color rgb="FF000000"/>
            <rFont val="Times New Roman"/>
            <family val="18"/>
          </rPr>
          <t>ü</t>
        </r>
        <r>
          <rPr>
            <i/>
            <sz val="14"/>
            <color rgb="FF000000"/>
            <rFont val="Times New Roman"/>
            <family val="18"/>
          </rPr>
          <t>nn den 14. Marz 1806 mit Abschied entlassen</t>
        </r>
        <r>
          <rPr>
            <sz val="14"/>
            <color rgb="FF000000"/>
            <rFont val="Times New Roman"/>
            <family val="18"/>
          </rPr>
          <t xml:space="preserve"> [ML 1806]</t>
        </r>
        <r>
          <rPr>
            <sz val="14"/>
            <color rgb="FF000000"/>
            <rFont val="Times New Roman"/>
            <family val="18"/>
          </rPr>
          <t xml:space="preserve">
</t>
        </r>
      </text>
    </comment>
    <comment ref="BG497" authorId="0" shapeId="0" xr:uid="{16A1DA98-843B-CB43-BA64-5DD19779F9CE}">
      <text>
        <r>
          <rPr>
            <sz val="14"/>
            <color rgb="FF000000"/>
            <rFont val="Times New Roman"/>
            <family val="18"/>
          </rPr>
          <t>ML 1623-5 IR 20 (1806) –11. Fus. Komp. und Reserve Division, Zuwachs &amp; Abgang (Olmütz 15/12/1806)</t>
        </r>
        <r>
          <rPr>
            <sz val="14"/>
            <color rgb="FF000000"/>
            <rFont val="Times New Roman"/>
            <family val="18"/>
          </rPr>
          <t xml:space="preserve">
</t>
        </r>
        <r>
          <rPr>
            <sz val="14"/>
            <color rgb="FF000000"/>
            <rFont val="Times New Roman"/>
            <family val="18"/>
          </rPr>
          <t>ML 1659 IR 20 (1805) AL/TL – AL Nr. 96 (Zaleszczyk 17/09/1805)</t>
        </r>
        <r>
          <rPr>
            <sz val="14"/>
            <color rgb="FF000000"/>
            <rFont val="Times New Roman"/>
            <family val="18"/>
          </rPr>
          <t xml:space="preserve">
</t>
        </r>
        <r>
          <rPr>
            <sz val="14"/>
            <color rgb="FF000000"/>
            <rFont val="Times New Roman"/>
            <family val="18"/>
          </rPr>
          <t>ML 1661 IR 20 (1806) AL/TL – SUP Nr. 43 (Troppau 20/04/1806)</t>
        </r>
        <r>
          <rPr>
            <sz val="14"/>
            <color rgb="FF000000"/>
            <rFont val="Times New Roman"/>
            <family val="18"/>
          </rPr>
          <t xml:space="preserve">
</t>
        </r>
      </text>
    </comment>
    <comment ref="BH497" authorId="0" shapeId="0" xr:uid="{F41B64A8-5473-124D-A8E8-CFEEE372E835}">
      <text>
        <r>
          <rPr>
            <sz val="14"/>
            <color rgb="FF000000"/>
            <rFont val="Calibri"/>
            <family val="34"/>
          </rPr>
          <t>IR 20 (1805-1806)</t>
        </r>
      </text>
    </comment>
    <comment ref="BF498" authorId="0" shapeId="0" xr:uid="{9956AA81-9508-2544-B1DD-CEF19DAAD405}">
      <text>
        <r>
          <rPr>
            <sz val="14"/>
            <color rgb="FF000000"/>
            <rFont val="Times New Roman"/>
            <family val="18"/>
          </rPr>
          <t xml:space="preserve">15/09/1805 </t>
        </r>
        <r>
          <rPr>
            <i/>
            <sz val="14"/>
            <color rgb="FF000000"/>
            <rFont val="Times New Roman"/>
            <family val="18"/>
          </rPr>
          <t>Zu Zaleszczyk in Galizien als inländische Werbbezirk Recrout in IR 20 ‘Reserve Division’ a 3Fl Handgled mit Capitulation auf 10 Jahren gestellt</t>
        </r>
        <r>
          <rPr>
            <sz val="14"/>
            <color rgb="FF000000"/>
            <rFont val="Times New Roman"/>
            <family val="18"/>
          </rPr>
          <t xml:space="preserve"> [AL Sept 1805]
</t>
        </r>
        <r>
          <rPr>
            <sz val="14"/>
            <color rgb="FF000000"/>
            <rFont val="Times New Roman"/>
            <family val="18"/>
          </rPr>
          <t xml:space="preserve">01/02/1806 </t>
        </r>
        <r>
          <rPr>
            <i/>
            <sz val="14"/>
            <color rgb="FF000000"/>
            <rFont val="Times New Roman"/>
            <family val="18"/>
          </rPr>
          <t>Von Reserve Division zum 7. Füsilier</t>
        </r>
        <r>
          <rPr>
            <sz val="14"/>
            <color rgb="FF000000"/>
            <rFont val="Times New Roman"/>
            <family val="18"/>
          </rPr>
          <t xml:space="preserve"> [jetzt. 9.] </t>
        </r>
        <r>
          <rPr>
            <i/>
            <sz val="14"/>
            <color rgb="FF000000"/>
            <rFont val="Times New Roman"/>
            <family val="18"/>
          </rPr>
          <t>Komp. Transferiert</t>
        </r>
        <r>
          <rPr>
            <sz val="14"/>
            <color rgb="FF000000"/>
            <rFont val="Times New Roman"/>
            <family val="18"/>
          </rPr>
          <t xml:space="preserve"> [ML 1806]
</t>
        </r>
        <r>
          <rPr>
            <sz val="14"/>
            <color rgb="FF000000"/>
            <rFont val="Times New Roman"/>
            <family val="18"/>
          </rPr>
          <t xml:space="preserve">31/10/1806 in auswärtigen Spitälern unwissend verloren [ML 1806]
</t>
        </r>
      </text>
    </comment>
    <comment ref="BG498" authorId="0" shapeId="0" xr:uid="{A77C68B5-962B-254D-AF9C-C3F17E76BD01}">
      <text>
        <r>
          <rPr>
            <sz val="14"/>
            <color rgb="FF000000"/>
            <rFont val="Times New Roman"/>
            <family val="18"/>
          </rPr>
          <t>ML 1623-5 IR 20 (1806) – 6. Fus. Komp. und Reserve Division, Zuwachs &amp; Abgang (Olmütz 15/12/1806)</t>
        </r>
        <r>
          <rPr>
            <sz val="14"/>
            <color rgb="FF000000"/>
            <rFont val="Times New Roman"/>
            <family val="18"/>
          </rPr>
          <t xml:space="preserve">
</t>
        </r>
        <r>
          <rPr>
            <sz val="14"/>
            <color rgb="FF000000"/>
            <rFont val="Times New Roman"/>
            <family val="18"/>
          </rPr>
          <t>ML 1659 IR 20 (1805) – AL/TL pro Monat Oct Nr. 95 (Zaleszczyk 17/09/1805)</t>
        </r>
        <r>
          <rPr>
            <sz val="14"/>
            <color rgb="FF000000"/>
            <rFont val="Times New Roman"/>
            <family val="18"/>
          </rPr>
          <t xml:space="preserve">
</t>
        </r>
      </text>
    </comment>
    <comment ref="BH498" authorId="0" shapeId="0" xr:uid="{CA31F079-2302-2741-A974-53C01BD20195}">
      <text>
        <r>
          <rPr>
            <sz val="14"/>
            <color rgb="FF000000"/>
            <rFont val="Calibri"/>
            <family val="34"/>
          </rPr>
          <t>IR 20 (1805-1806)</t>
        </r>
      </text>
    </comment>
    <comment ref="BF499" authorId="0" shapeId="0" xr:uid="{A6DB6372-1FEC-3F43-89C7-D9C42F1B9D8E}">
      <text>
        <r>
          <rPr>
            <sz val="14"/>
            <color rgb="FF000000"/>
            <rFont val="Times New Roman"/>
            <family val="18"/>
          </rPr>
          <t xml:space="preserve">16/09/1805 </t>
        </r>
        <r>
          <rPr>
            <i/>
            <sz val="14"/>
            <color rgb="FF000000"/>
            <rFont val="Times New Roman"/>
            <family val="18"/>
          </rPr>
          <t>Als Landständische Recrout a 3Fl Handgeld von Lukawitz Juden Gesellschaft gestellt und zum Neu Sandec assentiert</t>
        </r>
        <r>
          <rPr>
            <sz val="14"/>
            <color rgb="FF000000"/>
            <rFont val="Times New Roman"/>
            <family val="18"/>
          </rPr>
          <t xml:space="preserve"> [AL Sept 1805] </t>
        </r>
        <r>
          <rPr>
            <sz val="14"/>
            <color rgb="FF000000"/>
            <rFont val="Calibri"/>
            <family val="34"/>
          </rPr>
          <t xml:space="preserve">
</t>
        </r>
        <r>
          <rPr>
            <sz val="14"/>
            <color rgb="FF000000"/>
            <rFont val="Times New Roman"/>
            <family val="18"/>
          </rPr>
          <t xml:space="preserve">31/03/1809 Superarbietrierung: </t>
        </r>
        <r>
          <rPr>
            <i/>
            <sz val="14"/>
            <color rgb="FF000000"/>
            <rFont val="Times New Roman"/>
            <family val="18"/>
          </rPr>
          <t>Als Reale Invalid mit Abschied zu entlassen</t>
        </r>
        <r>
          <rPr>
            <sz val="14"/>
            <color rgb="FF000000"/>
            <rFont val="Times New Roman"/>
            <family val="18"/>
          </rPr>
          <t xml:space="preserve"> [SUP March 1809]</t>
        </r>
        <r>
          <rPr>
            <sz val="14"/>
            <color rgb="FF000000"/>
            <rFont val="Calibri"/>
            <family val="34"/>
          </rPr>
          <t xml:space="preserve">
</t>
        </r>
        <r>
          <rPr>
            <sz val="14"/>
            <color rgb="FF000000"/>
            <rFont val="Times New Roman"/>
            <family val="18"/>
          </rPr>
          <t xml:space="preserve">30/04/1809 </t>
        </r>
        <r>
          <rPr>
            <i/>
            <sz val="14"/>
            <color rgb="FF000000"/>
            <rFont val="Times New Roman"/>
            <family val="18"/>
          </rPr>
          <t>Vermog hoher General Commando Verordnung deto 13. Dicti L. R. 4544 wegen Aufhabens des Gebers als Reale Invalid mit Abschied entlassen</t>
        </r>
        <r>
          <rPr>
            <sz val="14"/>
            <color rgb="FF000000"/>
            <rFont val="Times New Roman"/>
            <family val="18"/>
          </rPr>
          <t xml:space="preserve"> [ST May 1809]</t>
        </r>
        <r>
          <rPr>
            <sz val="14"/>
            <color rgb="FF000000"/>
            <rFont val="Calibri"/>
            <family val="34"/>
          </rPr>
          <t xml:space="preserve">
</t>
        </r>
      </text>
    </comment>
    <comment ref="BG499" authorId="0" shapeId="0" xr:uid="{0EF34A19-7A59-3E4F-94B9-47DE096CD602}">
      <text>
        <r>
          <rPr>
            <sz val="14"/>
            <color rgb="FF000000"/>
            <rFont val="Times New Roman"/>
            <family val="18"/>
          </rPr>
          <t>ML 284 IR 3 (1805 AL/TL VIII-XII) – AL Ohne Nummer (Neu Sandez 23/09/1805)</t>
        </r>
        <r>
          <rPr>
            <sz val="14"/>
            <color rgb="FF000000"/>
            <rFont val="Calibri"/>
            <family val="34"/>
          </rPr>
          <t xml:space="preserve">
</t>
        </r>
        <r>
          <rPr>
            <sz val="14"/>
            <color rgb="FF000000"/>
            <rFont val="Times New Roman"/>
            <family val="18"/>
          </rPr>
          <t>ML 293 IR 3 (1809 ST I-VI) – ST 3. Fus. Komp. – Abgang</t>
        </r>
        <r>
          <rPr>
            <sz val="14"/>
            <color rgb="FF000000"/>
            <rFont val="Calibri"/>
            <family val="34"/>
          </rPr>
          <t xml:space="preserve">
</t>
        </r>
        <r>
          <rPr>
            <sz val="14"/>
            <color rgb="FF000000"/>
            <rFont val="Times New Roman"/>
            <family val="18"/>
          </rPr>
          <t>ML 295 IR 3 (1809) – SUP Nr. 3 (Krems 31/03/1809)</t>
        </r>
        <r>
          <rPr>
            <sz val="14"/>
            <color rgb="FF000000"/>
            <rFont val="Calibri"/>
            <family val="34"/>
          </rPr>
          <t xml:space="preserve">
</t>
        </r>
      </text>
    </comment>
    <comment ref="BH499" authorId="0" shapeId="0" xr:uid="{449BC7FE-44A2-624F-9BED-9E2FC1E26A5B}">
      <text>
        <r>
          <rPr>
            <sz val="14"/>
            <color rgb="FF000000"/>
            <rFont val="Calibri"/>
            <family val="34"/>
          </rPr>
          <t>IR 3 (1805-1809)</t>
        </r>
      </text>
    </comment>
    <comment ref="BF500" authorId="0" shapeId="0" xr:uid="{7E11BC19-18E6-844A-AF62-44BA3B587A06}">
      <text>
        <r>
          <rPr>
            <sz val="14"/>
            <color rgb="FF000000"/>
            <rFont val="Times New Roman"/>
            <family val="18"/>
          </rPr>
          <t xml:space="preserve">17/09/1805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Von Szelkowice desertiert</t>
        </r>
        <r>
          <rPr>
            <sz val="14"/>
            <color rgb="FF000000"/>
            <rFont val="Times New Roman"/>
            <family val="18"/>
          </rPr>
          <t xml:space="preserve"> [ML 1806]</t>
        </r>
        <r>
          <rPr>
            <b/>
            <sz val="14"/>
            <color rgb="FF000000"/>
            <rFont val="Times New Roman"/>
            <family val="18"/>
          </rPr>
          <t xml:space="preserve"> </t>
        </r>
      </text>
    </comment>
    <comment ref="BG500" authorId="0" shapeId="0" xr:uid="{43FB3AD7-BEDC-6449-B93F-7C72902B3BE4}">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212 (Siedlce 30/09/1805)</t>
        </r>
        <r>
          <rPr>
            <sz val="14"/>
            <color rgb="FF000000"/>
            <rFont val="Calibri"/>
            <family val="34"/>
          </rPr>
          <t xml:space="preserve">
</t>
        </r>
      </text>
    </comment>
    <comment ref="BH500" authorId="0" shapeId="0" xr:uid="{3044BE57-895B-A14A-A839-E689A72D14A1}">
      <text>
        <r>
          <rPr>
            <sz val="14"/>
            <color rgb="FF000000"/>
            <rFont val="Calibri"/>
            <family val="34"/>
          </rPr>
          <t>IR 59 (1805-1806)</t>
        </r>
      </text>
    </comment>
    <comment ref="BF501" authorId="0" shapeId="0" xr:uid="{15201084-9E27-5340-8156-C3E6EA35515B}">
      <text>
        <r>
          <rPr>
            <sz val="14"/>
            <color rgb="FF000000"/>
            <rFont val="Times New Roman"/>
            <family val="18"/>
          </rPr>
          <t xml:space="preserve">18/09/1805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01/04/1806 </t>
        </r>
        <r>
          <rPr>
            <i/>
            <sz val="14"/>
            <color rgb="FF000000"/>
            <rFont val="Times New Roman"/>
            <family val="18"/>
          </rPr>
          <t>Von Reserve Division zum 16.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aus Galizien verbliebene als unwissend verloren in Abgang gebracht</t>
        </r>
        <r>
          <rPr>
            <sz val="14"/>
            <color rgb="FF000000"/>
            <rFont val="Times New Roman"/>
            <family val="18"/>
          </rPr>
          <t xml:space="preserve"> [ML 1806]</t>
        </r>
        <r>
          <rPr>
            <b/>
            <sz val="14"/>
            <color rgb="FF000000"/>
            <rFont val="Times New Roman"/>
            <family val="18"/>
          </rPr>
          <t xml:space="preserve"> </t>
        </r>
      </text>
    </comment>
    <comment ref="BG501" authorId="0" shapeId="0" xr:uid="{49FFF942-2803-684D-9EE5-C0D3CAED4B6A}">
      <text>
        <r>
          <rPr>
            <sz val="14"/>
            <color rgb="FF000000"/>
            <rFont val="Times New Roman"/>
            <family val="18"/>
          </rPr>
          <t>ML 5017/8 IR 59 (1806) – 16. Fus. Komp. (Freistadt 22/12/1806) &amp; Cons.‚Unwissend verlohren‘ Nr. 550 (Linz 10/07/1807)</t>
        </r>
        <r>
          <rPr>
            <sz val="14"/>
            <color rgb="FF000000"/>
            <rFont val="Calibri"/>
            <family val="34"/>
          </rPr>
          <t xml:space="preserve">
</t>
        </r>
        <r>
          <rPr>
            <sz val="14"/>
            <color rgb="FF000000"/>
            <rFont val="Times New Roman"/>
            <family val="18"/>
          </rPr>
          <t>ML 5067 IR 59 (1805) – AL. Nr. 232 (Siedlce 30/09/1805)</t>
        </r>
        <r>
          <rPr>
            <sz val="14"/>
            <color rgb="FF000000"/>
            <rFont val="Calibri"/>
            <family val="34"/>
          </rPr>
          <t xml:space="preserve">
</t>
        </r>
      </text>
    </comment>
    <comment ref="BH501" authorId="0" shapeId="0" xr:uid="{A5333ABC-618A-D24A-A2D8-1485A02B5C07}">
      <text>
        <r>
          <rPr>
            <sz val="14"/>
            <color rgb="FF000000"/>
            <rFont val="Calibri"/>
            <family val="34"/>
          </rPr>
          <t>IR 59 (1805-1806)</t>
        </r>
      </text>
    </comment>
    <comment ref="CR501" authorId="0" shapeId="0" xr:uid="{322106C4-13EC-5C42-AF9D-1184B68C61FE}">
      <text>
        <r>
          <rPr>
            <sz val="14"/>
            <color rgb="FF000000"/>
            <rFont val="Calibri"/>
            <family val="34"/>
          </rPr>
          <t xml:space="preserve">1805: Jüdisch
</t>
        </r>
        <r>
          <rPr>
            <sz val="14"/>
            <color rgb="FF000000"/>
            <rFont val="Calibri"/>
            <family val="34"/>
          </rPr>
          <t>1806: Katolisch (detto)</t>
        </r>
        <r>
          <rPr>
            <sz val="14"/>
            <color rgb="FF000000"/>
            <rFont val="Calibri"/>
            <family val="2"/>
          </rPr>
          <t xml:space="preserve">
</t>
        </r>
        <r>
          <rPr>
            <sz val="14"/>
            <color rgb="FF000000"/>
            <rFont val="Calibri"/>
            <family val="2"/>
          </rPr>
          <t xml:space="preserve"> </t>
        </r>
      </text>
    </comment>
    <comment ref="BF502" authorId="0" shapeId="0" xr:uid="{FF825A74-F828-D746-A49B-D235FFBDBF11}">
      <text>
        <r>
          <rPr>
            <sz val="14"/>
            <color rgb="FF000000"/>
            <rFont val="Times New Roman"/>
            <family val="18"/>
          </rPr>
          <t xml:space="preserve">20/09/1805 </t>
        </r>
        <r>
          <rPr>
            <i/>
            <sz val="14"/>
            <color rgb="FF000000"/>
            <rFont val="Times New Roman"/>
            <family val="18"/>
          </rPr>
          <t>In Siedlice von Domenien a 3Fl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dem Marsch verbliebene als Unwissend verlohren in Abgang gebracht</t>
        </r>
        <r>
          <rPr>
            <sz val="14"/>
            <color rgb="FF000000"/>
            <rFont val="Times New Roman"/>
            <family val="18"/>
          </rPr>
          <t xml:space="preserve"> [ML 1806]</t>
        </r>
        <r>
          <rPr>
            <sz val="14"/>
            <color rgb="FF000000"/>
            <rFont val="Calibri"/>
            <family val="34"/>
          </rPr>
          <t xml:space="preserve">
</t>
        </r>
      </text>
    </comment>
    <comment ref="BG502" authorId="0" shapeId="0" xr:uid="{8C688D9C-E4B4-8541-A6A3-AF8EF810514B}">
      <text>
        <r>
          <rPr>
            <sz val="14"/>
            <color rgb="FF000000"/>
            <rFont val="Times New Roman"/>
            <family val="18"/>
          </rPr>
          <t xml:space="preserve">ML 5017/8 IR 59 (1806) – Reserve Division Zuwachs &amp; Abgang (Wells 06/07/1807) &amp; Cons. ‚Unwissend verlohren‘ Nr. 534 (Linz 10/07/1807)
</t>
        </r>
        <r>
          <rPr>
            <sz val="14"/>
            <color rgb="FF000000"/>
            <rFont val="Times New Roman"/>
            <family val="18"/>
          </rPr>
          <t>ML 5067 IR 59 (1805) – AL. Nr. 282 (Siedlce 30/09/1805)</t>
        </r>
        <r>
          <rPr>
            <sz val="14"/>
            <color rgb="FF000000"/>
            <rFont val="Calibri"/>
            <family val="34"/>
          </rPr>
          <t xml:space="preserve">
</t>
        </r>
        <r>
          <rPr>
            <sz val="14"/>
            <color rgb="FF000000"/>
            <rFont val="Calibri"/>
            <family val="34"/>
          </rPr>
          <t xml:space="preserve">
</t>
        </r>
      </text>
    </comment>
    <comment ref="BH502" authorId="0" shapeId="0" xr:uid="{60FB57CD-EE4E-5844-A5E5-F1417D7189FE}">
      <text>
        <r>
          <rPr>
            <sz val="14"/>
            <color rgb="FF000000"/>
            <rFont val="Calibri"/>
            <family val="34"/>
          </rPr>
          <t>IR 59 (1805-1806)</t>
        </r>
      </text>
    </comment>
    <comment ref="CR502" authorId="0" shapeId="0" xr:uid="{98C0EF94-24A3-5D48-A0B7-3F565D7FE4AF}">
      <text>
        <r>
          <rPr>
            <sz val="14"/>
            <color rgb="FF000000"/>
            <rFont val="Calibri"/>
            <family val="34"/>
          </rPr>
          <t xml:space="preserve">1805: Katolisch (detto)
</t>
        </r>
        <r>
          <rPr>
            <sz val="14"/>
            <color rgb="FF000000"/>
            <rFont val="Calibri"/>
            <family val="34"/>
          </rPr>
          <t>1806: Jüdisch</t>
        </r>
        <r>
          <rPr>
            <sz val="14"/>
            <color rgb="FF000000"/>
            <rFont val="Calibri"/>
            <family val="2"/>
          </rPr>
          <t xml:space="preserve"> </t>
        </r>
      </text>
    </comment>
    <comment ref="BF503" authorId="0" shapeId="0" xr:uid="{FCB4B4DE-89FF-114D-A5F8-7AC8D6898F4A}">
      <text>
        <r>
          <rPr>
            <sz val="14"/>
            <color rgb="FF000000"/>
            <rFont val="Times New Roman"/>
            <family val="18"/>
          </rPr>
          <t xml:space="preserve">20/09/1805 </t>
        </r>
        <r>
          <rPr>
            <i/>
            <sz val="14"/>
            <color rgb="FF000000"/>
            <rFont val="Times New Roman"/>
            <family val="18"/>
          </rPr>
          <t>Zu Siedlice a 3Fl mit 10 jähriger Capitulation von Dominien gestellt und zum IR 59 Reserve Division gestellt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 </t>
        </r>
      </text>
    </comment>
    <comment ref="BG503" authorId="0" shapeId="0" xr:uid="{EAE2E41C-18FE-2244-88E1-235C2252AF9A}">
      <text>
        <r>
          <rPr>
            <sz val="14"/>
            <color rgb="FF000000"/>
            <rFont val="Times New Roman"/>
            <family val="18"/>
          </rPr>
          <t>ML 5017/8 IR 59 (1806) –Reserve Division Zuwachs &amp; Abgang (Wells 06/07/1807) &amp; Cons.‚Unwissend verlohren‘ Nr. 533 (Linz 10/07/1807)</t>
        </r>
        <r>
          <rPr>
            <sz val="14"/>
            <color rgb="FF000000"/>
            <rFont val="Calibri"/>
            <family val="34"/>
          </rPr>
          <t xml:space="preserve">
</t>
        </r>
        <r>
          <rPr>
            <sz val="14"/>
            <color rgb="FF000000"/>
            <rFont val="Times New Roman"/>
            <family val="18"/>
          </rPr>
          <t>ML 5067 IR 59 (1805) – AL. Nr. 271 (Siedlce 30/09/1805)</t>
        </r>
        <r>
          <rPr>
            <sz val="14"/>
            <color rgb="FF000000"/>
            <rFont val="Calibri"/>
            <family val="34"/>
          </rPr>
          <t xml:space="preserve">
</t>
        </r>
      </text>
    </comment>
    <comment ref="BH503" authorId="0" shapeId="0" xr:uid="{D3CEF0CC-13CF-7D45-ACEC-94F3B5D0B7C8}">
      <text>
        <r>
          <rPr>
            <sz val="14"/>
            <color rgb="FF000000"/>
            <rFont val="Calibri"/>
            <family val="34"/>
          </rPr>
          <t>IR 59 (1805-1806)</t>
        </r>
      </text>
    </comment>
    <comment ref="BF504" authorId="0" shapeId="0" xr:uid="{738188E7-7539-234C-8315-C93827ECF375}">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[ML 1806]</t>
        </r>
        <r>
          <rPr>
            <sz val="14"/>
            <color rgb="FF000000"/>
            <rFont val="Calibri"/>
            <family val="2"/>
          </rPr>
          <t xml:space="preserve"> </t>
        </r>
      </text>
    </comment>
    <comment ref="BG504" authorId="0" shapeId="0" xr:uid="{D3200FDC-7A9D-7540-8363-514624989B7D}">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293 (Siedlce 30/09/1805)</t>
        </r>
        <r>
          <rPr>
            <sz val="14"/>
            <color rgb="FF000000"/>
            <rFont val="Calibri"/>
            <family val="34"/>
          </rPr>
          <t xml:space="preserve">
</t>
        </r>
      </text>
    </comment>
    <comment ref="BH504" authorId="0" shapeId="0" xr:uid="{D6169357-1F0F-0A4E-A715-366B08BBA774}">
      <text>
        <r>
          <rPr>
            <sz val="14"/>
            <color rgb="FF000000"/>
            <rFont val="Calibri"/>
            <family val="34"/>
          </rPr>
          <t>IR 59 (1805-1806)</t>
        </r>
      </text>
    </comment>
    <comment ref="BF505" authorId="0" shapeId="0" xr:uid="{A64E2BFB-4B65-524F-85EA-E115EBF191A2}">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02/02/1806 </t>
        </r>
        <r>
          <rPr>
            <i/>
            <sz val="14"/>
            <color rgb="FF000000"/>
            <rFont val="Times New Roman"/>
            <family val="18"/>
          </rPr>
          <t>Von Szelkowice desertiert</t>
        </r>
        <r>
          <rPr>
            <sz val="14"/>
            <color rgb="FF000000"/>
            <rFont val="Times New Roman"/>
            <family val="18"/>
          </rPr>
          <t xml:space="preserve"> </t>
        </r>
      </text>
    </comment>
    <comment ref="BG505" authorId="0" shapeId="0" xr:uid="{A80CCC1B-EF4F-5341-AE4C-8BFAF8BBE4F8}">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282 (Siedlce 30/09/1805)</t>
        </r>
        <r>
          <rPr>
            <sz val="14"/>
            <color rgb="FF000000"/>
            <rFont val="Calibri"/>
            <family val="34"/>
          </rPr>
          <t xml:space="preserve">
</t>
        </r>
      </text>
    </comment>
    <comment ref="BH505" authorId="0" shapeId="0" xr:uid="{DEA04ED8-8BFF-E442-A54E-E959F505DA78}">
      <text>
        <r>
          <rPr>
            <sz val="14"/>
            <color rgb="FF000000"/>
            <rFont val="Calibri"/>
            <family val="34"/>
          </rPr>
          <t>IR 59 (1805-1806)</t>
        </r>
      </text>
    </comment>
    <comment ref="BF506" authorId="0" shapeId="0" xr:uid="{6F760DA0-0ABC-DF4A-B188-73E3E330C6C9}">
      <text>
        <r>
          <rPr>
            <sz val="14"/>
            <color rgb="FF000000"/>
            <rFont val="Times New Roman"/>
            <family val="18"/>
          </rPr>
          <t xml:space="preserve">21/09/1805 </t>
        </r>
        <r>
          <rPr>
            <i/>
            <sz val="14"/>
            <color rgb="FF000000"/>
            <rFont val="Times New Roman"/>
            <family val="18"/>
          </rPr>
          <t>Von Land gestellt a 3Fl und zu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11/04/1806 </t>
        </r>
        <r>
          <rPr>
            <i/>
            <sz val="14"/>
            <color rgb="FF000000"/>
            <rFont val="Times New Roman"/>
            <family val="18"/>
          </rPr>
          <t>Von Reserve Division zur 15. Fus. Komp.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In Folge hoher NÖ Gen. Comdo Verodgnung vom 7. Aug Lit R Nr 3178 als zu Feldkriegsdienst unfähig und gegen Renuncierug aud alle milit. Beneficien mit Abschied entlassen</t>
        </r>
        <r>
          <rPr>
            <sz val="14"/>
            <color rgb="FF000000"/>
            <rFont val="Times New Roman"/>
            <family val="18"/>
          </rPr>
          <t xml:space="preserve"> [ML 1806] </t>
        </r>
      </text>
    </comment>
    <comment ref="BG506" authorId="0" shapeId="0" xr:uid="{FA3393AE-4675-314B-8AD2-654F1DEBBE86}">
      <text>
        <r>
          <rPr>
            <sz val="14"/>
            <color rgb="FF000000"/>
            <rFont val="Times New Roman"/>
            <family val="18"/>
          </rPr>
          <t>ML 5017/8 IR 59 (1806) – 15. Fus. Komp. Abgang. (Freistadt 22/12/1806)</t>
        </r>
        <r>
          <rPr>
            <sz val="14"/>
            <color rgb="FF000000"/>
            <rFont val="Calibri"/>
            <family val="34"/>
          </rPr>
          <t xml:space="preserve">
</t>
        </r>
        <r>
          <rPr>
            <sz val="14"/>
            <color rgb="FF000000"/>
            <rFont val="Times New Roman"/>
            <family val="18"/>
          </rPr>
          <t>ML 5067 IR 59 (1805) – AL Nr. 289 (Siedlce 30/09/1805)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506" authorId="0" shapeId="0" xr:uid="{2F2B5110-4A7D-344F-AAB6-ED587A8E35FD}">
      <text>
        <r>
          <rPr>
            <sz val="14"/>
            <color rgb="FF000000"/>
            <rFont val="Calibri"/>
            <family val="34"/>
          </rPr>
          <t>IR 59 (1805-1806)</t>
        </r>
      </text>
    </comment>
    <comment ref="BF507" authorId="0" shapeId="0" xr:uid="{9E27D538-A25A-AE41-B19A-9C64ACA32F79}">
      <text>
        <r>
          <rPr>
            <sz val="14"/>
            <color rgb="FF000000"/>
            <rFont val="Times New Roman"/>
            <family val="18"/>
          </rPr>
          <t xml:space="preserve">23/09/1805 </t>
        </r>
        <r>
          <rPr>
            <i/>
            <sz val="14"/>
            <color rgb="FF000000"/>
            <rFont val="Times New Roman"/>
            <family val="18"/>
          </rPr>
          <t>Zu Siedlice a 3Fl mit 10 jähriger Capitulation von Dominien gestellt und zum IR 59 Reserve Division gestellt</t>
        </r>
        <r>
          <rPr>
            <sz val="14"/>
            <color rgb="FF000000"/>
            <rFont val="Times New Roman"/>
            <family val="18"/>
          </rPr>
          <t xml:space="preserve"> [ST Sept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t>
        </r>
        <r>
          <rPr>
            <b/>
            <sz val="14"/>
            <color rgb="FF000000"/>
            <rFont val="Times New Roman"/>
            <family val="18"/>
          </rPr>
          <t xml:space="preserve"> </t>
        </r>
      </text>
    </comment>
    <comment ref="BG507" authorId="0" shapeId="0" xr:uid="{FDB84A75-ACBA-D440-BD9B-850E2F32CAAA}">
      <text>
        <r>
          <rPr>
            <sz val="14"/>
            <color rgb="FF000000"/>
            <rFont val="Times New Roman"/>
            <family val="18"/>
          </rPr>
          <t>ML 5017/8 IR 59 (1806) –Reserve Division Zuwachs &amp; Abgang (Wells 06/07/1807) &amp; Cons. Unwissend verlohren Nr. 541 (Linz 10/07/1807)</t>
        </r>
        <r>
          <rPr>
            <sz val="14"/>
            <color rgb="FF000000"/>
            <rFont val="Calibri"/>
            <family val="34"/>
          </rPr>
          <t xml:space="preserve">
</t>
        </r>
        <r>
          <rPr>
            <sz val="14"/>
            <color rgb="FF000000"/>
            <rFont val="Times New Roman"/>
            <family val="18"/>
          </rPr>
          <t>ML 5067 IR 59 (1805) – AL. Nr. 320 (Siedlce 30/09/1805)</t>
        </r>
      </text>
    </comment>
    <comment ref="BH507" authorId="0" shapeId="0" xr:uid="{E74BE1DB-D941-F046-A28F-80882C5D119E}">
      <text>
        <r>
          <rPr>
            <sz val="14"/>
            <color rgb="FF000000"/>
            <rFont val="Calibri"/>
            <family val="34"/>
          </rPr>
          <t>IR 59 (1805-1806)</t>
        </r>
      </text>
    </comment>
    <comment ref="BF508" authorId="0" shapeId="0" xr:uid="{EFBB3821-9114-E645-8DA8-5ADAA43FE136}">
      <text>
        <r>
          <rPr>
            <sz val="14"/>
            <color rgb="FF000000"/>
            <rFont val="Times New Roman"/>
            <family val="18"/>
          </rPr>
          <t xml:space="preserve">23/09/1805 </t>
        </r>
        <r>
          <rPr>
            <i/>
            <sz val="14"/>
            <color rgb="FF000000"/>
            <rFont val="Times New Roman"/>
            <family val="18"/>
          </rPr>
          <t>Zu Siedlice von Dominien a 3Fl gestellt und zur IR 59 Reserve Division assentiert</t>
        </r>
        <r>
          <rPr>
            <sz val="14"/>
            <color rgb="FF000000"/>
            <rFont val="Times New Roman"/>
            <family val="18"/>
          </rPr>
          <t xml:space="preserve"> [AL Sept 1805]</t>
        </r>
        <r>
          <rPr>
            <sz val="14"/>
            <color rgb="FF000000"/>
            <rFont val="Calibri"/>
            <family val="34"/>
          </rPr>
          <t xml:space="preserve">
</t>
        </r>
        <r>
          <rPr>
            <sz val="14"/>
            <color rgb="FF000000"/>
            <rFont val="Times New Roman"/>
            <family val="18"/>
          </rPr>
          <t xml:space="preserve">01/01/1806 </t>
        </r>
        <r>
          <rPr>
            <i/>
            <sz val="14"/>
            <color rgb="FF000000"/>
            <rFont val="Times New Roman"/>
            <family val="18"/>
          </rPr>
          <t>Krank in Garnison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in auswärtiger Spital verbliebene als Unwissend verlohren in Abgang gebracht</t>
        </r>
      </text>
    </comment>
    <comment ref="BG508" authorId="0" shapeId="0" xr:uid="{82AA6D60-23BC-004E-97D3-E64FFE69F987}">
      <text>
        <r>
          <rPr>
            <sz val="14"/>
            <color rgb="FF000000"/>
            <rFont val="Times New Roman"/>
            <family val="18"/>
          </rPr>
          <t>ML 5017/8 IR 59 (1806) – 16. Fus. Komp. Abgang (22/12/1806), Reserve Division Zuwachs &amp; Abgang (Wells 06/07/1807) &amp; Cons.‚Unwissend verlohren‘ Nr. 751 (Linz 10/07/1807)</t>
        </r>
        <r>
          <rPr>
            <sz val="14"/>
            <color rgb="FF000000"/>
            <rFont val="Calibri"/>
            <family val="34"/>
          </rPr>
          <t xml:space="preserve">
</t>
        </r>
        <r>
          <rPr>
            <sz val="14"/>
            <color rgb="FF000000"/>
            <rFont val="Times New Roman"/>
            <family val="18"/>
          </rPr>
          <t>ML 5067 IR 59 (1805) – AL. Nr. 319 (Siedlce 30/09/1805)</t>
        </r>
        <r>
          <rPr>
            <sz val="14"/>
            <color rgb="FF000000"/>
            <rFont val="Calibri"/>
            <family val="34"/>
          </rPr>
          <t xml:space="preserve">
</t>
        </r>
      </text>
    </comment>
    <comment ref="BH508" authorId="0" shapeId="0" xr:uid="{C796DBBF-CE10-7F45-AD2E-7B31C266E5B8}">
      <text>
        <r>
          <rPr>
            <sz val="14"/>
            <color rgb="FF000000"/>
            <rFont val="Calibri"/>
            <family val="34"/>
          </rPr>
          <t>IR 59 (1805-1806)</t>
        </r>
      </text>
    </comment>
    <comment ref="BF509" authorId="0" shapeId="0" xr:uid="{2179D6B5-7D65-EF43-BE10-4E0ED6651DAB}">
      <text>
        <r>
          <rPr>
            <sz val="14"/>
            <color rgb="FF000000"/>
            <rFont val="Times New Roman"/>
            <family val="18"/>
          </rPr>
          <t xml:space="preserve">02/10/1805 </t>
        </r>
        <r>
          <rPr>
            <i/>
            <sz val="14"/>
            <color rgb="FF000000"/>
            <rFont val="Times New Roman"/>
            <family val="18"/>
          </rPr>
          <t>Als landständischer Recrout für Sedinska Nova Vess</t>
        </r>
        <r>
          <rPr>
            <sz val="14"/>
            <color rgb="FF000000"/>
            <rFont val="Times New Roman"/>
            <family val="18"/>
          </rPr>
          <t xml:space="preserve"> </t>
        </r>
        <r>
          <rPr>
            <b/>
            <sz val="14"/>
            <color rgb="FF000000"/>
            <rFont val="Times New Roman"/>
            <family val="18"/>
          </rPr>
          <t>[</t>
        </r>
        <r>
          <rPr>
            <b/>
            <u/>
            <sz val="14"/>
            <color rgb="FF0563C1"/>
            <rFont val="Times New Roman"/>
            <family val="18"/>
          </rPr>
          <t>Spišská Nová Ves, Slovakia</t>
        </r>
        <r>
          <rPr>
            <b/>
            <sz val="14"/>
            <color rgb="FF000000"/>
            <rFont val="Times New Roman"/>
            <family val="18"/>
          </rPr>
          <t>]</t>
        </r>
        <r>
          <rPr>
            <sz val="14"/>
            <color rgb="FF000000"/>
            <rFont val="Times New Roman"/>
            <family val="18"/>
          </rPr>
          <t xml:space="preserve"> </t>
        </r>
        <r>
          <rPr>
            <i/>
            <sz val="14"/>
            <color rgb="FF000000"/>
            <rFont val="Times New Roman"/>
            <family val="18"/>
          </rPr>
          <t xml:space="preserve"> Saros Komität in gestellt, zum IR 39 assentiert und in 17.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17. Fus. zum 1. Fus.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 xml:space="preserve">11/09/1806 </t>
        </r>
        <r>
          <rPr>
            <i/>
            <sz val="14"/>
            <color rgb="FF000000"/>
            <rFont val="Times New Roman"/>
            <family val="18"/>
          </rPr>
          <t xml:space="preserve">Auf bestimmte Zeit beurlaubt </t>
        </r>
        <r>
          <rPr>
            <sz val="14"/>
            <color rgb="FF000000"/>
            <rFont val="Times New Roman"/>
            <family val="18"/>
          </rPr>
          <t>[ST Sept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In Folge Verordnung dd. Ofen am 21. October a:c: gegen Stellung 2 Mann deren 1. Lau tab: pro Nov: a:c: bei der 3., der 2. Aber bei der 7. Fus. Komp. in zuwachs gebracht und erlag von Doppenten Montur geldes von Urlaub mit Abschied entlassen</t>
        </r>
        <r>
          <rPr>
            <sz val="14"/>
            <color rgb="FF000000"/>
            <rFont val="Times New Roman"/>
            <family val="18"/>
          </rPr>
          <t xml:space="preserve"> [ST Dez 1806]</t>
        </r>
      </text>
    </comment>
    <comment ref="BG509" authorId="0" shapeId="0" xr:uid="{15B04121-156D-CE43-8883-AC7EC2D9AA68}">
      <text>
        <r>
          <rPr>
            <sz val="14"/>
            <color rgb="FF000000"/>
            <rFont val="Times New Roman"/>
            <family val="18"/>
          </rPr>
          <t>ML 3499 IR 39 (1807) – 1. Fus. Komp. Abgang (Letschau 23/01/1807)</t>
        </r>
        <r>
          <rPr>
            <sz val="14"/>
            <color rgb="FF000000"/>
            <rFont val="Calibri"/>
            <family val="34"/>
          </rPr>
          <t xml:space="preserve">
</t>
        </r>
        <r>
          <rPr>
            <sz val="14"/>
            <color rgb="FF000000"/>
            <rFont val="Times New Roman"/>
            <family val="18"/>
          </rPr>
          <t>ML 3546 IR 39 (1805) – AL Nr. 30 ([Eperies] 02/02/1805)</t>
        </r>
        <r>
          <rPr>
            <sz val="14"/>
            <color rgb="FF000000"/>
            <rFont val="Calibri"/>
            <family val="34"/>
          </rPr>
          <t xml:space="preserve">
</t>
        </r>
        <r>
          <rPr>
            <sz val="14"/>
            <color rgb="FF000000"/>
            <rFont val="Times New Roman"/>
            <family val="18"/>
          </rPr>
          <t>ML 3547 IR 39 (1806) – ST Sept (Caschau 02/06/1807), (ST Dez (08/09/1807)</t>
        </r>
        <r>
          <rPr>
            <sz val="14"/>
            <color rgb="FF000000"/>
            <rFont val="Calibri"/>
            <family val="34"/>
          </rPr>
          <t xml:space="preserve">
</t>
        </r>
      </text>
    </comment>
    <comment ref="BH509" authorId="0" shapeId="0" xr:uid="{DE5BC37B-1977-0841-AF2D-5EB2A369B7CD}">
      <text>
        <r>
          <rPr>
            <sz val="14"/>
            <color rgb="FF000000"/>
            <rFont val="Calibri"/>
            <family val="34"/>
          </rPr>
          <t>IR 39 (1805-1806)</t>
        </r>
      </text>
    </comment>
    <comment ref="BF510" authorId="0" shapeId="0" xr:uid="{F31B1861-62E6-E74B-86FC-8D91BD6FD2BA}">
      <text>
        <r>
          <rPr>
            <sz val="14"/>
            <color rgb="FF000000"/>
            <rFont val="Times New Roman"/>
            <family val="18"/>
          </rPr>
          <t xml:space="preserve">02/10/1805 </t>
        </r>
        <r>
          <rPr>
            <i/>
            <sz val="14"/>
            <color rgb="FF000000"/>
            <rFont val="Times New Roman"/>
            <family val="18"/>
          </rPr>
          <t>Als landständischer Recrout für Ploszke</t>
        </r>
        <r>
          <rPr>
            <sz val="14"/>
            <color rgb="FF000000"/>
            <rFont val="Times New Roman"/>
            <family val="18"/>
          </rPr>
          <t xml:space="preserve"> </t>
        </r>
        <r>
          <rPr>
            <b/>
            <sz val="14"/>
            <color rgb="FF000000"/>
            <rFont val="Times New Roman"/>
            <family val="18"/>
          </rPr>
          <t>[</t>
        </r>
        <r>
          <rPr>
            <b/>
            <u/>
            <sz val="14"/>
            <color rgb="FF0563C1"/>
            <rFont val="Times New Roman"/>
            <family val="18"/>
          </rPr>
          <t>Ploské, Slovakia</t>
        </r>
        <r>
          <rPr>
            <b/>
            <sz val="14"/>
            <color rgb="FF000000"/>
            <rFont val="Times New Roman"/>
            <family val="18"/>
          </rPr>
          <t>]</t>
        </r>
        <r>
          <rPr>
            <i/>
            <sz val="14"/>
            <color rgb="FF000000"/>
            <rFont val="Times New Roman"/>
            <family val="18"/>
          </rPr>
          <t xml:space="preserve"> Saros Komität in gestellt, zum IR 39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Fus.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24/01/1807 Revision: IR 39 9. Fus. Komp. Nr. 59</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510" authorId="0" shapeId="0" xr:uid="{EBF6A519-A83A-8148-9B28-7B419A55EDB3}">
      <text>
        <r>
          <rPr>
            <sz val="14"/>
            <color rgb="FF000000"/>
            <rFont val="Times New Roman"/>
            <family val="18"/>
          </rPr>
          <t>ML 3499 IR 39 (1807) – 9. Fus. Komp. Nr. 59 (Kesmark 24/01/1807)</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3546 IR 39 (1805) – AL Nr. 27 ([Eperies] 02/02/1805)</t>
        </r>
        <r>
          <rPr>
            <sz val="14"/>
            <color rgb="FF000000"/>
            <rFont val="Calibri"/>
            <family val="34"/>
          </rPr>
          <t xml:space="preserve">
</t>
        </r>
      </text>
    </comment>
    <comment ref="BH510" authorId="0" shapeId="0" xr:uid="{DCC23681-F224-2A42-BD0E-A6685BFC5DFA}">
      <text>
        <r>
          <rPr>
            <sz val="14"/>
            <color rgb="FF000000"/>
            <rFont val="Calibri"/>
            <family val="34"/>
          </rPr>
          <t>IR 39 (1805-1807)</t>
        </r>
      </text>
    </comment>
    <comment ref="BF511" authorId="0" shapeId="0" xr:uid="{476BBB59-0D03-9245-B2DB-45772D6B37D8}">
      <text>
        <r>
          <rPr>
            <sz val="14"/>
            <color rgb="FF000000"/>
            <rFont val="Times New Roman"/>
            <family val="18"/>
          </rPr>
          <t xml:space="preserve">02/10/1805 Als landständischer Recrout für Nagy Sarof [Veľký Šariš, Slovakia] Saros Komität in gestellt, zum IR 39 assentiert und in 18. Komp. zugeheilt [AL Dez 1805]
</t>
        </r>
        <r>
          <rPr>
            <sz val="14"/>
            <color rgb="FF000000"/>
            <rFont val="Times New Roman"/>
            <family val="18"/>
          </rPr>
          <t xml:space="preserve">11/03/1806 Von dissolvierte 18. Comp zum 8. Fus Komp. Transferiert [RL 1807]
</t>
        </r>
        <r>
          <rPr>
            <sz val="14"/>
            <color rgb="FF000000"/>
            <rFont val="Times New Roman"/>
            <family val="18"/>
          </rPr>
          <t xml:space="preserve">01/11/1806 Auf Bestimmte Zeit beurlaubt [ST Nov 1806]
</t>
        </r>
        <r>
          <rPr>
            <sz val="14"/>
            <color rgb="FF000000"/>
            <rFont val="Times New Roman"/>
            <family val="18"/>
          </rPr>
          <t>31/12/1806 In Folge hoher Verordnung gegen Stellung einen Anderes Mannes so auf Breit Laut Tabella pro Novembri a:C: bei der 10. Fus. Komp. in Zuwachs gebracht und erlag des Montur Geldes von Urlaub mit Abschied entlassen [ST Dez 1806]</t>
        </r>
      </text>
    </comment>
    <comment ref="BG511" authorId="0" shapeId="0" xr:uid="{FF77CD09-C0B1-904F-96FF-D66117177AC6}">
      <text>
        <r>
          <rPr>
            <sz val="14"/>
            <color rgb="FF000000"/>
            <rFont val="Times New Roman"/>
            <family val="18"/>
          </rPr>
          <t>ML 3499 IR 39 (1807) – 8. Fus. Komp. Abgang (Kesmark 24/01/1807)</t>
        </r>
        <r>
          <rPr>
            <sz val="14"/>
            <color rgb="FF000000"/>
            <rFont val="Calibri"/>
            <family val="34"/>
          </rPr>
          <t xml:space="preserve">
</t>
        </r>
        <r>
          <rPr>
            <sz val="14"/>
            <color rgb="FF000000"/>
            <rFont val="Times New Roman"/>
            <family val="18"/>
          </rPr>
          <t>ML 3546 IR 39 (1805) – AL Nr. 7 ([Eperies] 02/02/1805)</t>
        </r>
        <r>
          <rPr>
            <sz val="14"/>
            <color rgb="FF000000"/>
            <rFont val="Calibri"/>
            <family val="34"/>
          </rPr>
          <t xml:space="preserve">
</t>
        </r>
        <r>
          <rPr>
            <sz val="14"/>
            <color rgb="FF000000"/>
            <rFont val="Times New Roman"/>
            <family val="18"/>
          </rPr>
          <t>ML 3547 IR 39 (1806) – ST Nov (Caschau 02/09/1807), ST Dez (08/09/1807)</t>
        </r>
        <r>
          <rPr>
            <sz val="14"/>
            <color rgb="FF000000"/>
            <rFont val="Calibri"/>
            <family val="34"/>
          </rPr>
          <t xml:space="preserve">
</t>
        </r>
      </text>
    </comment>
    <comment ref="BH511" authorId="0" shapeId="0" xr:uid="{5323B0F1-B64E-5343-B1D9-B6D4645AB55F}">
      <text>
        <r>
          <rPr>
            <sz val="14"/>
            <color rgb="FF000000"/>
            <rFont val="Calibri"/>
            <family val="34"/>
          </rPr>
          <t>IR 39 (1805-1806)</t>
        </r>
      </text>
    </comment>
    <comment ref="BF512" authorId="0" shapeId="0" xr:uid="{868E5E89-B8C4-EA42-B6B2-76D7237D93CE}">
      <text>
        <r>
          <rPr>
            <sz val="14"/>
            <color rgb="FF000000"/>
            <rFont val="Times New Roman"/>
            <family val="18"/>
          </rPr>
          <t xml:space="preserve">02/10/1805 </t>
        </r>
        <r>
          <rPr>
            <i/>
            <sz val="14"/>
            <color rgb="FF000000"/>
            <rFont val="Times New Roman"/>
            <family val="18"/>
          </rPr>
          <t>Als landständischer Recrout für Jaromitsz</t>
        </r>
        <r>
          <rPr>
            <sz val="14"/>
            <color rgb="FF000000"/>
            <rFont val="Times New Roman"/>
            <family val="18"/>
          </rPr>
          <t xml:space="preserve"> </t>
        </r>
        <r>
          <rPr>
            <b/>
            <sz val="14"/>
            <color rgb="FF000000"/>
            <rFont val="Times New Roman"/>
            <family val="18"/>
          </rPr>
          <t>[</t>
        </r>
        <r>
          <rPr>
            <b/>
            <u/>
            <sz val="14"/>
            <color rgb="FF0563C1"/>
            <rFont val="Times New Roman"/>
            <family val="18"/>
          </rPr>
          <t>Jarovnice, Slovakia</t>
        </r>
        <r>
          <rPr>
            <b/>
            <sz val="14"/>
            <color rgb="FF000000"/>
            <rFont val="Times New Roman"/>
            <family val="18"/>
          </rPr>
          <t>]</t>
        </r>
        <r>
          <rPr>
            <i/>
            <sz val="14"/>
            <color rgb="FF000000"/>
            <rFont val="Times New Roman"/>
            <family val="18"/>
          </rPr>
          <t xml:space="preserve"> Saros Komität in gestellt, zum IR 39 assentiert und in 17. Fus.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06/03/</t>
        </r>
        <r>
          <rPr>
            <i/>
            <sz val="14"/>
            <color rgb="FF000000"/>
            <rFont val="Times New Roman"/>
            <family val="18"/>
          </rPr>
          <t>1806 Von 17. Fus. zum 2. Gren.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11/04/1806 </t>
        </r>
        <r>
          <rPr>
            <i/>
            <sz val="14"/>
            <color rgb="FF000000"/>
            <rFont val="Times New Roman"/>
            <family val="18"/>
          </rPr>
          <t>Von Dissolvierte 2. Gren. Komp. zum 1. Gren. Komp. transferiert</t>
        </r>
        <r>
          <rPr>
            <sz val="14"/>
            <color rgb="FF000000"/>
            <rFont val="Times New Roman"/>
            <family val="18"/>
          </rPr>
          <t xml:space="preserve"> [ML 1807]</t>
        </r>
        <r>
          <rPr>
            <sz val="14"/>
            <color rgb="FF000000"/>
            <rFont val="Calibri"/>
            <family val="34"/>
          </rPr>
          <t xml:space="preserve">
</t>
        </r>
        <r>
          <rPr>
            <sz val="14"/>
            <color rgb="FF000000"/>
            <rFont val="Times New Roman"/>
            <family val="18"/>
          </rPr>
          <t>23/01/1807 Revision: IR 39 1. Gren. Komp. Nr. 117</t>
        </r>
        <r>
          <rPr>
            <sz val="14"/>
            <color rgb="FF000000"/>
            <rFont val="Calibri"/>
            <family val="34"/>
          </rPr>
          <t xml:space="preserve">
</t>
        </r>
        <r>
          <rPr>
            <sz val="14"/>
            <color rgb="FF000000"/>
            <rFont val="Times New Roman"/>
            <family val="18"/>
          </rPr>
          <t xml:space="preserve">25/04/1808 </t>
        </r>
        <r>
          <rPr>
            <i/>
            <sz val="14"/>
            <color rgb="FF000000"/>
            <rFont val="Times New Roman"/>
            <family val="18"/>
          </rPr>
          <t>Gegen Stellung eines Mannes und Erlag des Monur Geldes Mit Abschied entlassen</t>
        </r>
        <r>
          <rPr>
            <sz val="14"/>
            <color rgb="FF000000"/>
            <rFont val="Times New Roman"/>
            <family val="18"/>
          </rPr>
          <t xml:space="preserve"> [RL 1808]</t>
        </r>
      </text>
    </comment>
    <comment ref="BG512" authorId="0" shapeId="0" xr:uid="{E41BFC03-984E-DB44-A264-61EFB314D37E}">
      <text>
        <r>
          <rPr>
            <sz val="14"/>
            <color rgb="FF000000"/>
            <rFont val="Times New Roman"/>
            <family val="18"/>
          </rPr>
          <t>ML 3499 IR 39 (1807) – 1. Gren. Komp. Nr. 117 (Letschau 23/01/1807)</t>
        </r>
        <r>
          <rPr>
            <sz val="14"/>
            <color rgb="FF000000"/>
            <rFont val="Calibri"/>
            <family val="34"/>
          </rPr>
          <t xml:space="preserve">
</t>
        </r>
        <r>
          <rPr>
            <sz val="14"/>
            <color rgb="FF000000"/>
            <rFont val="Times New Roman"/>
            <family val="18"/>
          </rPr>
          <t>ML 3500 IR 39 (1808-10) – RL 1808 1. Gren. Komp. – Abgang (Comorn 19/09/1808)</t>
        </r>
        <r>
          <rPr>
            <sz val="14"/>
            <color rgb="FF000000"/>
            <rFont val="Calibri"/>
            <family val="34"/>
          </rPr>
          <t xml:space="preserve">
</t>
        </r>
        <r>
          <rPr>
            <sz val="14"/>
            <color rgb="FF000000"/>
            <rFont val="Times New Roman"/>
            <family val="18"/>
          </rPr>
          <t>ML 3546 IR 39 (1805) – AL Nr. 9 ([Eperies] 02/02/1805)</t>
        </r>
        <r>
          <rPr>
            <sz val="14"/>
            <color rgb="FF000000"/>
            <rFont val="Calibri"/>
            <family val="34"/>
          </rPr>
          <t xml:space="preserve">
</t>
        </r>
      </text>
    </comment>
    <comment ref="BH512" authorId="0" shapeId="0" xr:uid="{67C6B0BA-45A2-394B-B9D0-C92F55909C66}">
      <text>
        <r>
          <rPr>
            <sz val="14"/>
            <color rgb="FF000000"/>
            <rFont val="Calibri"/>
            <family val="34"/>
          </rPr>
          <t>IR 39 (1805-1807)</t>
        </r>
      </text>
    </comment>
    <comment ref="BF513" authorId="0" shapeId="0" xr:uid="{E28AFD2C-7657-9E44-A619-65AE05E49119}">
      <text>
        <r>
          <rPr>
            <sz val="14"/>
            <color rgb="FF000000"/>
            <rFont val="Times New Roman"/>
            <family val="18"/>
          </rPr>
          <t xml:space="preserve">03/10/1805 </t>
        </r>
        <r>
          <rPr>
            <i/>
            <sz val="14"/>
            <color rgb="FF000000"/>
            <rFont val="Times New Roman"/>
            <family val="18"/>
          </rPr>
          <t xml:space="preserve">Als landständischer Recrout für Pitrovets </t>
        </r>
        <r>
          <rPr>
            <b/>
            <sz val="14"/>
            <color rgb="FF000000"/>
            <rFont val="Times New Roman"/>
            <family val="18"/>
          </rPr>
          <t>[</t>
        </r>
        <r>
          <rPr>
            <b/>
            <u/>
            <sz val="14"/>
            <color rgb="FF0563C1"/>
            <rFont val="Times New Roman"/>
            <family val="18"/>
          </rPr>
          <t>Petrová,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zum 12.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14/01/1807 Muster: IR 39 12. Fus. Komp. Nr. 66</t>
        </r>
        <r>
          <rPr>
            <sz val="14"/>
            <color rgb="FF000000"/>
            <rFont val="Calibri"/>
            <family val="34"/>
          </rPr>
          <t xml:space="preserve">
</t>
        </r>
        <r>
          <rPr>
            <sz val="14"/>
            <color rgb="FF000000"/>
            <rFont val="Times New Roman"/>
            <family val="18"/>
          </rPr>
          <t xml:space="preserve">25/03/1808 </t>
        </r>
        <r>
          <rPr>
            <i/>
            <sz val="14"/>
            <color rgb="FF000000"/>
            <rFont val="Times New Roman"/>
            <family val="18"/>
          </rPr>
          <t xml:space="preserve">Gegen Stellung eines anderen Mannes und Montur Geld mit Abschied entlassen </t>
        </r>
        <r>
          <rPr>
            <sz val="14"/>
            <color rgb="FF000000"/>
            <rFont val="Times New Roman"/>
            <family val="18"/>
          </rPr>
          <t>[RL 1808]</t>
        </r>
        <r>
          <rPr>
            <sz val="14"/>
            <color rgb="FF000000"/>
            <rFont val="Calibri"/>
            <family val="34"/>
          </rPr>
          <t xml:space="preserve">
</t>
        </r>
      </text>
    </comment>
    <comment ref="BG513" authorId="0" shapeId="0" xr:uid="{D756E42B-6F10-5E4A-82AA-746C66800B69}">
      <text>
        <r>
          <rPr>
            <sz val="14"/>
            <color rgb="FF000000"/>
            <rFont val="Times New Roman"/>
            <family val="18"/>
          </rPr>
          <t>ML 3499 IR 39 (1807) –</t>
        </r>
        <r>
          <rPr>
            <sz val="14"/>
            <color rgb="FF000000"/>
            <rFont val="Times New Roman"/>
            <family val="18"/>
          </rPr>
          <t>12. Fus. Komp. Nr. 66 (Kesmark 24/01/1807)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19 (Eperies 03/10/1805)</t>
        </r>
        <r>
          <rPr>
            <sz val="14"/>
            <color rgb="FF000000"/>
            <rFont val="Calibri"/>
            <family val="34"/>
          </rPr>
          <t xml:space="preserve">
</t>
        </r>
      </text>
    </comment>
    <comment ref="BH513" authorId="0" shapeId="0" xr:uid="{D1DEEDD0-3308-154F-9034-5AEEF103CF80}">
      <text>
        <r>
          <rPr>
            <sz val="14"/>
            <color rgb="FF000000"/>
            <rFont val="Calibri"/>
            <family val="34"/>
          </rPr>
          <t>IR 39 (1805-1808)</t>
        </r>
      </text>
    </comment>
    <comment ref="BF514" authorId="0" shapeId="0" xr:uid="{AB2E6B73-9C9D-2F42-B74B-067AB076F213}">
      <text>
        <r>
          <rPr>
            <sz val="14"/>
            <color rgb="FF000000"/>
            <rFont val="Times New Roman"/>
            <family val="18"/>
          </rPr>
          <t xml:space="preserve">03/10/1805 </t>
        </r>
        <r>
          <rPr>
            <i/>
            <sz val="14"/>
            <color rgb="FF000000"/>
            <rFont val="Times New Roman"/>
            <family val="18"/>
          </rPr>
          <t xml:space="preserve">Als landständischer Recrout für Krize </t>
        </r>
        <r>
          <rPr>
            <b/>
            <sz val="14"/>
            <color rgb="FF000000"/>
            <rFont val="Times New Roman"/>
            <family val="18"/>
          </rPr>
          <t>[</t>
        </r>
        <r>
          <rPr>
            <b/>
            <u/>
            <sz val="14"/>
            <color rgb="FF0563C1"/>
            <rFont val="Times New Roman"/>
            <family val="18"/>
          </rPr>
          <t>Kríže,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11/03/1805 </t>
        </r>
        <r>
          <rPr>
            <i/>
            <sz val="14"/>
            <color rgb="FF000000"/>
            <rFont val="Times New Roman"/>
            <family val="18"/>
          </rPr>
          <t>Von dissolvierte 19 Fus. zum 11. Fus. Komp. transferiert</t>
        </r>
        <r>
          <rPr>
            <sz val="14"/>
            <color rgb="FF000000"/>
            <rFont val="Times New Roman"/>
            <family val="18"/>
          </rPr>
          <t xml:space="preserve"> [RL 1817]</t>
        </r>
        <r>
          <rPr>
            <sz val="14"/>
            <color rgb="FF000000"/>
            <rFont val="Calibri"/>
            <family val="34"/>
          </rPr>
          <t xml:space="preserve">
</t>
        </r>
        <r>
          <rPr>
            <sz val="14"/>
            <color rgb="FF000000"/>
            <rFont val="Times New Roman"/>
            <family val="18"/>
          </rPr>
          <t>24/01/1807 Revision: IR 39 11. Fus. Komp. Nr. 64</t>
        </r>
        <r>
          <rPr>
            <sz val="14"/>
            <color rgb="FF000000"/>
            <rFont val="Calibri"/>
            <family val="34"/>
          </rPr>
          <t xml:space="preserve">
</t>
        </r>
        <r>
          <rPr>
            <sz val="14"/>
            <color rgb="FF000000"/>
            <rFont val="Times New Roman"/>
            <family val="18"/>
          </rPr>
          <t xml:space="preserve">10/05/1808 </t>
        </r>
        <r>
          <rPr>
            <i/>
            <sz val="14"/>
            <color rgb="FF000000"/>
            <rFont val="Times New Roman"/>
            <family val="18"/>
          </rPr>
          <t xml:space="preserve">Gegen Stellung andere Leute mit Abschied entlassen </t>
        </r>
        <r>
          <rPr>
            <sz val="14"/>
            <color rgb="FF000000"/>
            <rFont val="Times New Roman"/>
            <family val="18"/>
          </rPr>
          <t>[RL 1808]</t>
        </r>
      </text>
    </comment>
    <comment ref="BG514" authorId="0" shapeId="0" xr:uid="{4096CEB8-BD63-FF43-8AA0-3F8C23AA7693}">
      <text>
        <r>
          <rPr>
            <sz val="14"/>
            <color rgb="FF000000"/>
            <rFont val="Times New Roman"/>
            <family val="18"/>
          </rPr>
          <t>ML 3499 IR 39 (1807) –</t>
        </r>
        <r>
          <rPr>
            <sz val="14"/>
            <color rgb="FF000000"/>
            <rFont val="Times New Roman"/>
            <family val="18"/>
          </rPr>
          <t>11. Fus. Komp. Nr. 64 (Kesmark 24/01/1807)</t>
        </r>
        <r>
          <rPr>
            <sz val="14"/>
            <color rgb="FF000000"/>
            <rFont val="Calibri"/>
            <family val="34"/>
          </rPr>
          <t xml:space="preserve">
</t>
        </r>
        <r>
          <rPr>
            <sz val="14"/>
            <color rgb="FF000000"/>
            <rFont val="Times New Roman"/>
            <family val="18"/>
          </rPr>
          <t>ML 3500 IR 39 (1808-10) – RL 1808 15. Fus. Komp. – Abgang (Comorn 19/09/1808)</t>
        </r>
        <r>
          <rPr>
            <sz val="14"/>
            <color rgb="FF000000"/>
            <rFont val="Calibri"/>
            <family val="34"/>
          </rPr>
          <t xml:space="preserve">
</t>
        </r>
        <r>
          <rPr>
            <sz val="14"/>
            <color rgb="FF000000"/>
            <rFont val="Times New Roman"/>
            <family val="18"/>
          </rPr>
          <t>ML 3546 IR 39 (1805) – AL Nr. 34 (Eperies 03/10/1805)</t>
        </r>
        <r>
          <rPr>
            <sz val="14"/>
            <color rgb="FF000000"/>
            <rFont val="Calibri"/>
            <family val="34"/>
          </rPr>
          <t xml:space="preserve">
</t>
        </r>
      </text>
    </comment>
    <comment ref="BH514" authorId="0" shapeId="0" xr:uid="{4E984985-7C5E-0940-B022-F728551F0B13}">
      <text>
        <r>
          <rPr>
            <sz val="14"/>
            <color rgb="FF000000"/>
            <rFont val="Calibri"/>
            <family val="34"/>
          </rPr>
          <t>IR 39 (1805-1808)</t>
        </r>
      </text>
    </comment>
    <comment ref="BF515" authorId="0" shapeId="0" xr:uid="{54039D75-896B-D346-B3DB-95BE7BEFC424}">
      <text>
        <r>
          <rPr>
            <sz val="14"/>
            <color rgb="FF000000"/>
            <rFont val="Times New Roman"/>
            <family val="18"/>
          </rPr>
          <t xml:space="preserve">03/10/1805 </t>
        </r>
        <r>
          <rPr>
            <i/>
            <sz val="14"/>
            <color rgb="FF000000"/>
            <rFont val="Times New Roman"/>
            <family val="18"/>
          </rPr>
          <t xml:space="preserve">Als landständischer Recrout für Breczovits </t>
        </r>
        <r>
          <rPr>
            <b/>
            <sz val="14"/>
            <color rgb="FF000000"/>
            <rFont val="Times New Roman"/>
            <family val="18"/>
          </rPr>
          <t>[</t>
        </r>
        <r>
          <rPr>
            <b/>
            <u/>
            <sz val="14"/>
            <color rgb="FF0563C1"/>
            <rFont val="Times New Roman"/>
            <family val="18"/>
          </rPr>
          <t>Brezovica nad Torysou, Slovakia</t>
        </r>
        <r>
          <rPr>
            <b/>
            <sz val="14"/>
            <color rgb="FF000000"/>
            <rFont val="Times New Roman"/>
            <family val="18"/>
          </rPr>
          <t>]</t>
        </r>
        <r>
          <rPr>
            <i/>
            <sz val="14"/>
            <color rgb="FF000000"/>
            <rFont val="Times New Roman"/>
            <family val="18"/>
          </rPr>
          <t>, Saros Komität gestellt, in Eperies zum IR 39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66</t>
        </r>
        <r>
          <rPr>
            <sz val="14"/>
            <color rgb="FF000000"/>
            <rFont val="Calibri"/>
            <family val="34"/>
          </rPr>
          <t xml:space="preserve">
</t>
        </r>
        <r>
          <rPr>
            <sz val="14"/>
            <color rgb="FF000000"/>
            <rFont val="Times New Roman"/>
            <family val="18"/>
          </rPr>
          <t xml:space="preserve">25/05/1808 </t>
        </r>
        <r>
          <rPr>
            <i/>
            <sz val="14"/>
            <color rgb="FF000000"/>
            <rFont val="Times New Roman"/>
            <family val="18"/>
          </rPr>
          <t xml:space="preserve">Gegen Stellung andere Leute mit Abschied entlassen </t>
        </r>
        <r>
          <rPr>
            <sz val="14"/>
            <color rgb="FF000000"/>
            <rFont val="Times New Roman"/>
            <family val="18"/>
          </rPr>
          <t>[RL 1808]</t>
        </r>
      </text>
    </comment>
    <comment ref="BG515" authorId="0" shapeId="0" xr:uid="{2D9B99E8-8392-7546-A1C1-599AFAB2A589}">
      <text>
        <r>
          <rPr>
            <sz val="14"/>
            <color rgb="FF000000"/>
            <rFont val="Times New Roman"/>
            <family val="18"/>
          </rPr>
          <t>ML 3546 IR 39 (1805) – AL Nr. 3 (Eperies 03/10/1805)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3499 IR 39 (1807) – 9. Fus. Komp. Nr. 66 (Kesmark 24/01/1807)</t>
        </r>
        <r>
          <rPr>
            <sz val="14"/>
            <color rgb="FF000000"/>
            <rFont val="Calibri"/>
            <family val="34"/>
          </rPr>
          <t xml:space="preserve">
</t>
        </r>
      </text>
    </comment>
    <comment ref="BH515" authorId="0" shapeId="0" xr:uid="{0C27E368-1209-DE45-8354-1AECBC2038C6}">
      <text>
        <r>
          <rPr>
            <sz val="14"/>
            <color rgb="FF000000"/>
            <rFont val="Calibri"/>
            <family val="34"/>
          </rPr>
          <t>IR 39 (1805-1808)</t>
        </r>
      </text>
    </comment>
    <comment ref="BF516" authorId="0" shapeId="0" xr:uid="{5DABBC72-BE15-6846-89BE-814FA88DC3EA}">
      <text>
        <r>
          <rPr>
            <sz val="14"/>
            <color rgb="FF000000"/>
            <rFont val="Times New Roman"/>
            <family val="18"/>
          </rPr>
          <t xml:space="preserve">03/10/1805 </t>
        </r>
        <r>
          <rPr>
            <i/>
            <sz val="14"/>
            <color rgb="FF000000"/>
            <rFont val="Times New Roman"/>
            <family val="18"/>
          </rPr>
          <t>Als landständischer Recrout für Gombosfalva</t>
        </r>
        <r>
          <rPr>
            <sz val="14"/>
            <color rgb="FF000000"/>
            <rFont val="Times New Roman"/>
            <family val="18"/>
          </rPr>
          <t xml:space="preserve"> </t>
        </r>
        <r>
          <rPr>
            <b/>
            <sz val="14"/>
            <color rgb="FF000000"/>
            <rFont val="Times New Roman"/>
            <family val="18"/>
          </rPr>
          <t>[</t>
        </r>
        <r>
          <rPr>
            <b/>
            <u/>
            <sz val="14"/>
            <color rgb="FF0563C1"/>
            <rFont val="Times New Roman"/>
            <family val="18"/>
          </rPr>
          <t>Hubošovce,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16.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16. Fus. Komp. Nr. 62</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anderer Leute mit Abschied entlassen</t>
        </r>
        <r>
          <rPr>
            <sz val="14"/>
            <color rgb="FF000000"/>
            <rFont val="Times New Roman"/>
            <family val="18"/>
          </rPr>
          <t xml:space="preserve"> [RL 1808]</t>
        </r>
      </text>
    </comment>
    <comment ref="BG516" authorId="0" shapeId="0" xr:uid="{A213900F-51CB-8A45-9D2C-B0C9C5A501D3}">
      <text>
        <r>
          <rPr>
            <sz val="14"/>
            <color rgb="FF000000"/>
            <rFont val="Times New Roman"/>
            <family val="18"/>
          </rPr>
          <t>ML 3499 IR 39 (1807) – 16. Fus. Komp. Nr. 62 (Kesmark 24/01/1807)</t>
        </r>
        <r>
          <rPr>
            <sz val="14"/>
            <color rgb="FF000000"/>
            <rFont val="Calibri"/>
            <family val="34"/>
          </rPr>
          <t xml:space="preserve">
</t>
        </r>
        <r>
          <rPr>
            <sz val="14"/>
            <color rgb="FF000000"/>
            <rFont val="Times New Roman"/>
            <family val="18"/>
          </rPr>
          <t>ML 3500 IR 39 (1808-10) – RL 1808 7. Fus. Komp. – Abgang (Comorn 19/09/1808)</t>
        </r>
        <r>
          <rPr>
            <sz val="14"/>
            <color rgb="FF000000"/>
            <rFont val="Calibri"/>
            <family val="34"/>
          </rPr>
          <t xml:space="preserve">
</t>
        </r>
        <r>
          <rPr>
            <sz val="14"/>
            <color rgb="FF000000"/>
            <rFont val="Times New Roman"/>
            <family val="18"/>
          </rPr>
          <t>ML 3546 IR 39 (1805) – AL Nr. 29 (Eperies 03/10/1805)</t>
        </r>
        <r>
          <rPr>
            <sz val="14"/>
            <color rgb="FF000000"/>
            <rFont val="Calibri"/>
            <family val="34"/>
          </rPr>
          <t xml:space="preserve">
</t>
        </r>
      </text>
    </comment>
    <comment ref="BH516" authorId="0" shapeId="0" xr:uid="{FE9CE590-6727-CA4B-A668-685821E34C63}">
      <text>
        <r>
          <rPr>
            <sz val="14"/>
            <color rgb="FF000000"/>
            <rFont val="Calibri"/>
            <family val="34"/>
          </rPr>
          <t>IR 39 (1805-1807)</t>
        </r>
      </text>
    </comment>
    <comment ref="BF517" authorId="0" shapeId="0" xr:uid="{D094A556-5E21-E349-BE97-DBC2E74F1CD9}">
      <text>
        <r>
          <rPr>
            <sz val="14"/>
            <color rgb="FF000000"/>
            <rFont val="Times New Roman"/>
            <family val="18"/>
          </rPr>
          <t xml:space="preserve">03/10/1805 </t>
        </r>
        <r>
          <rPr>
            <i/>
            <sz val="14"/>
            <color rgb="FF000000"/>
            <rFont val="Times New Roman"/>
            <family val="18"/>
          </rPr>
          <t xml:space="preserve">Als landständischer Recrout für Kozan </t>
        </r>
        <r>
          <rPr>
            <b/>
            <sz val="14"/>
            <color rgb="FF000000"/>
            <rFont val="Times New Roman"/>
            <family val="18"/>
          </rPr>
          <t>[</t>
        </r>
        <r>
          <rPr>
            <b/>
            <u/>
            <sz val="14"/>
            <color rgb="FF0563C1"/>
            <rFont val="Times New Roman"/>
            <family val="18"/>
          </rPr>
          <t>Kožany,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11/03/1806 von dissolvierte 17. Fus. zum 1. Fus. Komp. transferiert [RL 1807]</t>
        </r>
        <r>
          <rPr>
            <sz val="14"/>
            <color rgb="FF000000"/>
            <rFont val="Calibri"/>
            <family val="34"/>
          </rPr>
          <t xml:space="preserve">
</t>
        </r>
        <r>
          <rPr>
            <sz val="14"/>
            <color rgb="FF000000"/>
            <rFont val="Times New Roman"/>
            <family val="18"/>
          </rPr>
          <t>23/01/1807 Revision: IR 39 1. Fus. Komp. Nr. 84 [</t>
        </r>
        <r>
          <rPr>
            <i/>
            <sz val="14"/>
            <color rgb="FF000000"/>
            <rFont val="Times New Roman"/>
            <family val="18"/>
          </rPr>
          <t>vor vorhim Commanidert zu Pest</t>
        </r>
        <r>
          <rPr>
            <sz val="14"/>
            <color rgb="FF000000"/>
            <rFont val="Times New Roman"/>
            <family val="18"/>
          </rPr>
          <t xml:space="preserve">] </t>
        </r>
        <r>
          <rPr>
            <sz val="14"/>
            <color rgb="FF000000"/>
            <rFont val="Calibri"/>
            <family val="34"/>
          </rPr>
          <t xml:space="preserve">
</t>
        </r>
        <r>
          <rPr>
            <sz val="14"/>
            <color rgb="FF000000"/>
            <rFont val="Times New Roman"/>
            <family val="18"/>
          </rPr>
          <t>19/09/1808 Revision: IR 39 1. Fus. Komp. Nr. 65 [</t>
        </r>
        <r>
          <rPr>
            <i/>
            <sz val="14"/>
            <color rgb="FF000000"/>
            <rFont val="Times New Roman"/>
            <family val="18"/>
          </rPr>
          <t>Bestimmt Beurlaubt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31/10/1809 </t>
        </r>
        <r>
          <rPr>
            <i/>
            <sz val="14"/>
            <color rgb="FF000000"/>
            <rFont val="Times New Roman"/>
            <family val="18"/>
          </rPr>
          <t>Als auf Urlaub verbliebene unwissend verloren</t>
        </r>
        <r>
          <rPr>
            <sz val="14"/>
            <color rgb="FF000000"/>
            <rFont val="Times New Roman"/>
            <family val="18"/>
          </rPr>
          <t xml:space="preserve"> [St Oct 1809 ML 1811]</t>
        </r>
      </text>
    </comment>
    <comment ref="BG517" authorId="0" shapeId="0" xr:uid="{78C1E2CF-464E-7047-8B4B-CF6AE8E9A77C}">
      <text>
        <r>
          <rPr>
            <sz val="14"/>
            <color rgb="FF000000"/>
            <rFont val="Times New Roman"/>
            <family val="18"/>
          </rPr>
          <t>ML 3499 IR 39 (1807) – 1. Fus. Komp. Nr. 84 (Letschau 23/01/1807)</t>
        </r>
        <r>
          <rPr>
            <sz val="14"/>
            <color rgb="FF000000"/>
            <rFont val="Calibri"/>
            <family val="34"/>
          </rPr>
          <t xml:space="preserve">
</t>
        </r>
        <r>
          <rPr>
            <sz val="14"/>
            <color rgb="FF000000"/>
            <rFont val="Times New Roman"/>
            <family val="18"/>
          </rPr>
          <t>ML 3500 IR 39 (1808-10) – RL 1808 1. Fus. Komp. Nr. 65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3546 IR 39 (1805) – AL Nr. 61 (Eperies 03/10/1805)</t>
        </r>
        <r>
          <rPr>
            <sz val="14"/>
            <color rgb="FF000000"/>
            <rFont val="Calibri"/>
            <family val="34"/>
          </rPr>
          <t xml:space="preserve">
</t>
        </r>
        <r>
          <rPr>
            <sz val="14"/>
            <color rgb="FF000000"/>
            <rFont val="Times New Roman"/>
            <family val="18"/>
          </rPr>
          <t>ML 3550 IR 39 (1809) – ST Oct (Ofen 25/04/1811)</t>
        </r>
        <r>
          <rPr>
            <sz val="14"/>
            <color rgb="FF000000"/>
            <rFont val="Calibri"/>
            <family val="34"/>
          </rPr>
          <t xml:space="preserve">
</t>
        </r>
      </text>
    </comment>
    <comment ref="BH517" authorId="0" shapeId="0" xr:uid="{63E5299F-2E91-B744-A898-1C0AF01AB5D3}">
      <text>
        <r>
          <rPr>
            <sz val="14"/>
            <color rgb="FF000000"/>
            <rFont val="Calibri"/>
            <family val="34"/>
          </rPr>
          <t>IR 39 (1805-1809)</t>
        </r>
      </text>
    </comment>
    <comment ref="C518" authorId="0" shapeId="0" xr:uid="{C78C5097-68AA-7C4B-9E3D-36EC3EDCCF48}">
      <text>
        <r>
          <rPr>
            <b/>
            <u/>
            <sz val="14"/>
            <color rgb="FF0563C1"/>
            <rFont val="Times New Roman"/>
            <family val="18"/>
          </rPr>
          <t>Uzovské Pekľany, Slovakia</t>
        </r>
        <r>
          <rPr>
            <b/>
            <sz val="14"/>
            <color rgb="FF000000"/>
            <rFont val="Times New Roman"/>
            <family val="18"/>
          </rPr>
          <t xml:space="preserve"> 
</t>
        </r>
        <r>
          <rPr>
            <b/>
            <sz val="14"/>
            <color rgb="FF000000"/>
            <rFont val="Times New Roman"/>
            <family val="18"/>
          </rPr>
          <t xml:space="preserve">or
</t>
        </r>
        <r>
          <rPr>
            <b/>
            <u/>
            <sz val="14"/>
            <color rgb="FF0563C1"/>
            <rFont val="Times New Roman"/>
            <family val="18"/>
          </rPr>
          <t>Ruské Pekľany, Slovakia</t>
        </r>
        <r>
          <rPr>
            <sz val="14"/>
            <color rgb="FF000000"/>
            <rFont val="Calibri"/>
            <family val="2"/>
          </rPr>
          <t xml:space="preserve"> </t>
        </r>
      </text>
    </comment>
    <comment ref="BF518" authorId="0" shapeId="0" xr:uid="{BE33F127-CF0B-EF42-B806-DBC7183AE6CD}">
      <text>
        <r>
          <rPr>
            <sz val="14"/>
            <color rgb="FF000000"/>
            <rFont val="Times New Roman"/>
            <family val="18"/>
          </rPr>
          <t xml:space="preserve">03/10/1805 </t>
        </r>
        <r>
          <rPr>
            <i/>
            <sz val="14"/>
            <color rgb="FF000000"/>
            <rFont val="Times New Roman"/>
            <family val="18"/>
          </rPr>
          <t xml:space="preserve">Als landständischer Recrout für Lutsina </t>
        </r>
        <r>
          <rPr>
            <b/>
            <sz val="14"/>
            <color rgb="FF000000"/>
            <rFont val="Times New Roman"/>
            <family val="18"/>
          </rPr>
          <t>[</t>
        </r>
        <r>
          <rPr>
            <b/>
            <u/>
            <sz val="14"/>
            <color rgb="FF0563C1"/>
            <rFont val="Times New Roman"/>
            <family val="18"/>
          </rPr>
          <t>Ľutina,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17. Fus. zur 12.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Muster: IR 39 12. Fus Komp. Nr. 71</t>
        </r>
        <r>
          <rPr>
            <sz val="14"/>
            <color rgb="FF000000"/>
            <rFont val="Calibri"/>
            <family val="34"/>
          </rPr>
          <t xml:space="preserve">
</t>
        </r>
        <r>
          <rPr>
            <sz val="14"/>
            <color rgb="FF000000"/>
            <rFont val="Times New Roman"/>
            <family val="18"/>
          </rPr>
          <t xml:space="preserve">25/03/1808 </t>
        </r>
        <r>
          <rPr>
            <i/>
            <sz val="14"/>
            <color rgb="FF000000"/>
            <rFont val="Times New Roman"/>
            <family val="18"/>
          </rPr>
          <t xml:space="preserve">Gegen Stellung eines anderen Mannes und Montur Geld mit Abschied entlassen </t>
        </r>
        <r>
          <rPr>
            <sz val="14"/>
            <color rgb="FF000000"/>
            <rFont val="Times New Roman"/>
            <family val="18"/>
          </rPr>
          <t>[RL 1808]</t>
        </r>
      </text>
    </comment>
    <comment ref="BG518" authorId="0" shapeId="0" xr:uid="{95A453F0-807A-6041-AD4F-AFD7110DE587}">
      <text>
        <r>
          <rPr>
            <sz val="14"/>
            <color rgb="FF000000"/>
            <rFont val="Times New Roman"/>
            <family val="18"/>
          </rPr>
          <t>ML 3499 IR 39 (1807) – 12. Fus. Komp. Nr. 71 (Leutschau 23/01/1807)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1 (Eperies 03/10/1805)</t>
        </r>
        <r>
          <rPr>
            <sz val="14"/>
            <color rgb="FF000000"/>
            <rFont val="Calibri"/>
            <family val="34"/>
          </rPr>
          <t xml:space="preserve">
</t>
        </r>
      </text>
    </comment>
    <comment ref="BH518" authorId="0" shapeId="0" xr:uid="{E9DCBBAB-8045-1B41-B667-2A0C8F24EA9F}">
      <text>
        <r>
          <rPr>
            <sz val="14"/>
            <color rgb="FF000000"/>
            <rFont val="Calibri"/>
            <family val="34"/>
          </rPr>
          <t>IR 39 (1805-1808)</t>
        </r>
      </text>
    </comment>
    <comment ref="BF519" authorId="0" shapeId="0" xr:uid="{888A50C9-4BB0-CC47-93B7-396977C15446}">
      <text>
        <r>
          <rPr>
            <sz val="14"/>
            <color rgb="FF000000"/>
            <rFont val="Times New Roman"/>
            <family val="18"/>
          </rPr>
          <t xml:space="preserve">03/10/1805 </t>
        </r>
        <r>
          <rPr>
            <i/>
            <sz val="14"/>
            <color rgb="FF000000"/>
            <rFont val="Times New Roman"/>
            <family val="18"/>
          </rPr>
          <t xml:space="preserve">Als landständischer Recrout für Buclov </t>
        </r>
        <r>
          <rPr>
            <b/>
            <sz val="14"/>
            <color rgb="FF000000"/>
            <rFont val="Times New Roman"/>
            <family val="18"/>
          </rPr>
          <t>[</t>
        </r>
        <r>
          <rPr>
            <b/>
            <u/>
            <sz val="14"/>
            <color rgb="FF0563C1"/>
            <rFont val="Times New Roman"/>
            <family val="18"/>
          </rPr>
          <t>Buclovany,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1805]11/03/1806 </t>
        </r>
        <r>
          <rPr>
            <i/>
            <sz val="14"/>
            <color rgb="FF000000"/>
            <rFont val="Times New Roman"/>
            <family val="18"/>
          </rPr>
          <t>Von 17. dissolvierte 17. Fus. zur 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15/10/1806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Anderer Manner mit Abschied</t>
        </r>
        <r>
          <rPr>
            <sz val="14"/>
            <color rgb="FF000000"/>
            <rFont val="Times New Roman"/>
            <family val="18"/>
          </rPr>
          <t xml:space="preserve"> </t>
        </r>
        <r>
          <rPr>
            <i/>
            <sz val="14"/>
            <color rgb="FF000000"/>
            <rFont val="Times New Roman"/>
            <family val="18"/>
          </rPr>
          <t>entlassen</t>
        </r>
        <r>
          <rPr>
            <sz val="14"/>
            <color rgb="FF000000"/>
            <rFont val="Times New Roman"/>
            <family val="18"/>
          </rPr>
          <t xml:space="preserve"> [RL 1807]</t>
        </r>
        <r>
          <rPr>
            <sz val="14"/>
            <color rgb="FF000000"/>
            <rFont val="Calibri"/>
            <family val="2"/>
          </rPr>
          <t xml:space="preserve"> </t>
        </r>
      </text>
    </comment>
    <comment ref="BG519" authorId="0" shapeId="0" xr:uid="{4A01FF4F-C612-0A40-9C86-570D22DA50DF}">
      <text>
        <r>
          <rPr>
            <sz val="14"/>
            <color rgb="FF000000"/>
            <rFont val="Times New Roman"/>
            <family val="18"/>
          </rPr>
          <t>ML 3499 IR 39 (1807) – 2. Fus. Komp. Nr. 72 &amp; Abgang (Leutschau 23/01/1807)</t>
        </r>
        <r>
          <rPr>
            <sz val="14"/>
            <color rgb="FF000000"/>
            <rFont val="Calibri"/>
            <family val="34"/>
          </rPr>
          <t xml:space="preserve">
</t>
        </r>
        <r>
          <rPr>
            <sz val="14"/>
            <color rgb="FF000000"/>
            <rFont val="Times New Roman"/>
            <family val="18"/>
          </rPr>
          <t>ML 3546 IR 39 (1805) – AL Nr. 60 (Eperies 03/10/1805)</t>
        </r>
        <r>
          <rPr>
            <sz val="14"/>
            <color rgb="FF000000"/>
            <rFont val="Calibri"/>
            <family val="34"/>
          </rPr>
          <t xml:space="preserve">
</t>
        </r>
      </text>
    </comment>
    <comment ref="BH519" authorId="0" shapeId="0" xr:uid="{1E91C9EA-6ECE-B54B-A065-C34057D251EC}">
      <text>
        <r>
          <rPr>
            <sz val="14"/>
            <color rgb="FF000000"/>
            <rFont val="Calibri"/>
            <family val="34"/>
          </rPr>
          <t>IR 39 (1805-1806)</t>
        </r>
      </text>
    </comment>
    <comment ref="BF520" authorId="0" shapeId="0" xr:uid="{DD7EE4C2-CF87-BD4F-9161-FE3F4C356642}">
      <text>
        <r>
          <rPr>
            <sz val="14"/>
            <color rgb="FF000000"/>
            <rFont val="Times New Roman"/>
            <family val="18"/>
          </rPr>
          <t xml:space="preserve">03/10/1805 </t>
        </r>
        <r>
          <rPr>
            <i/>
            <sz val="14"/>
            <color rgb="FF000000"/>
            <rFont val="Times New Roman"/>
            <family val="18"/>
          </rPr>
          <t xml:space="preserve">Als landständischer Recrout für Slavkov </t>
        </r>
        <r>
          <rPr>
            <b/>
            <sz val="14"/>
            <color rgb="FF000000"/>
            <rFont val="Times New Roman"/>
            <family val="18"/>
          </rPr>
          <t>[</t>
        </r>
        <r>
          <rPr>
            <b/>
            <u/>
            <sz val="14"/>
            <color rgb="FF0563C1"/>
            <rFont val="Times New Roman"/>
            <family val="18"/>
          </rPr>
          <t>Veľký Slavkov, Slovakia</t>
        </r>
        <r>
          <rPr>
            <b/>
            <sz val="14"/>
            <color rgb="FF000000"/>
            <rFont val="Times New Roman"/>
            <family val="18"/>
          </rPr>
          <t>]</t>
        </r>
        <r>
          <rPr>
            <i/>
            <sz val="14"/>
            <color rgb="FF000000"/>
            <rFont val="Times New Roman"/>
            <family val="18"/>
          </rPr>
          <t>, Saros Komität gestellt, in Eperies zum IR 39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11/03/1806 Von dissolvierte 17. Fus. Zum 2. Fus. Komp. transferiert [RL 1807] </t>
        </r>
        <r>
          <rPr>
            <sz val="14"/>
            <color rgb="FF000000"/>
            <rFont val="Calibri"/>
            <family val="34"/>
          </rPr>
          <t xml:space="preserve">
</t>
        </r>
        <r>
          <rPr>
            <sz val="14"/>
            <color rgb="FF000000"/>
            <rFont val="Times New Roman"/>
            <family val="18"/>
          </rPr>
          <t xml:space="preserve">21/11/1806 </t>
        </r>
        <r>
          <rPr>
            <i/>
            <sz val="14"/>
            <color rgb="FF000000"/>
            <rFont val="Times New Roman"/>
            <family val="18"/>
          </rPr>
          <t>Nach Stockerau kommandiert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2. Fus. Komp. Nr. 67 [</t>
        </r>
        <r>
          <rPr>
            <i/>
            <sz val="14"/>
            <color rgb="FF000000"/>
            <rFont val="Times New Roman"/>
            <family val="18"/>
          </rPr>
          <t>Von 21 November a Claps zu Stockerau</t>
        </r>
        <r>
          <rPr>
            <sz val="14"/>
            <color rgb="FF000000"/>
            <rFont val="Times New Roman"/>
            <family val="18"/>
          </rPr>
          <t>]</t>
        </r>
        <r>
          <rPr>
            <sz val="14"/>
            <color rgb="FF000000"/>
            <rFont val="Calibri"/>
            <family val="34"/>
          </rPr>
          <t xml:space="preserve">
</t>
        </r>
        <r>
          <rPr>
            <sz val="14"/>
            <color rgb="FF000000"/>
            <rFont val="Times New Roman"/>
            <family val="18"/>
          </rPr>
          <t xml:space="preserve">14/05/1807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20" authorId="0" shapeId="0" xr:uid="{FE0AA537-9236-B748-A386-70DCF1108894}">
      <text>
        <r>
          <rPr>
            <sz val="14"/>
            <color rgb="FF000000"/>
            <rFont val="Times New Roman"/>
            <family val="18"/>
          </rPr>
          <t>ML 3499 IR 39 (1807) – 2. Fus. Komp. Nr. 67 (Leutschau 23/01/1807)</t>
        </r>
        <r>
          <rPr>
            <sz val="14"/>
            <color rgb="FF000000"/>
            <rFont val="Calibri"/>
            <family val="34"/>
          </rPr>
          <t xml:space="preserve">
</t>
        </r>
        <r>
          <rPr>
            <sz val="14"/>
            <color rgb="FF000000"/>
            <rFont val="Times New Roman"/>
            <family val="18"/>
          </rPr>
          <t>ML 3500 IR 39 (1808-10) – RL 1808 4. Fus. Komp. – Abgang (Comorn 19/09/1808)</t>
        </r>
        <r>
          <rPr>
            <sz val="14"/>
            <color rgb="FF000000"/>
            <rFont val="Calibri"/>
            <family val="34"/>
          </rPr>
          <t xml:space="preserve">
</t>
        </r>
        <r>
          <rPr>
            <sz val="14"/>
            <color rgb="FF000000"/>
            <rFont val="Times New Roman"/>
            <family val="18"/>
          </rPr>
          <t>ML 3546 IR 39 (1805) – AL Nr. 2 (Eperies 03/10/1805)</t>
        </r>
        <r>
          <rPr>
            <sz val="14"/>
            <color rgb="FF000000"/>
            <rFont val="Calibri"/>
            <family val="34"/>
          </rPr>
          <t xml:space="preserve">
</t>
        </r>
      </text>
    </comment>
    <comment ref="BH520" authorId="0" shapeId="0" xr:uid="{6E9C4662-7904-824F-9A4C-D3337F05D0D8}">
      <text>
        <r>
          <rPr>
            <sz val="14"/>
            <color rgb="FF000000"/>
            <rFont val="Calibri"/>
            <family val="34"/>
          </rPr>
          <t>IR 39 (1805-1807)</t>
        </r>
      </text>
    </comment>
    <comment ref="BF521" authorId="0" shapeId="0" xr:uid="{501FDDEF-2942-E242-9366-4C39C6BBF101}">
      <text>
        <r>
          <rPr>
            <sz val="14"/>
            <color rgb="FF000000"/>
            <rFont val="Times New Roman"/>
            <family val="18"/>
          </rPr>
          <t xml:space="preserve">03/10/1805 </t>
        </r>
        <r>
          <rPr>
            <i/>
            <sz val="14"/>
            <color rgb="FF000000"/>
            <rFont val="Times New Roman"/>
            <family val="18"/>
          </rPr>
          <t xml:space="preserve">Als landständischer Recrout für Haruaj </t>
        </r>
        <r>
          <rPr>
            <b/>
            <sz val="14"/>
            <color rgb="FF000000"/>
            <rFont val="Times New Roman"/>
            <family val="18"/>
          </rPr>
          <t>[</t>
        </r>
        <r>
          <rPr>
            <b/>
            <u/>
            <sz val="14"/>
            <color rgb="FF0563C1"/>
            <rFont val="Times New Roman"/>
            <family val="18"/>
          </rPr>
          <t>Harhaj,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eines anderen Mannes mit Abschied entlassen</t>
        </r>
        <r>
          <rPr>
            <sz val="14"/>
            <color rgb="FF000000"/>
            <rFont val="Times New Roman"/>
            <family val="18"/>
          </rPr>
          <t xml:space="preserve"> [RL 1808]</t>
        </r>
      </text>
    </comment>
    <comment ref="BG521" authorId="0" shapeId="0" xr:uid="{08F2F70C-F34B-9A4A-B3E1-4CDA7718E1E2}">
      <text>
        <r>
          <rPr>
            <sz val="14"/>
            <color rgb="FF000000"/>
            <rFont val="Times New Roman"/>
            <family val="18"/>
          </rPr>
          <t>ML 3546 IR 39 (1805) – AL Nr. 20 (Eperies 03/10/1805)</t>
        </r>
        <r>
          <rPr>
            <sz val="14"/>
            <color rgb="FF000000"/>
            <rFont val="Calibri"/>
            <family val="34"/>
          </rPr>
          <t xml:space="preserve">
</t>
        </r>
        <r>
          <rPr>
            <sz val="14"/>
            <color rgb="FF000000"/>
            <rFont val="Times New Roman"/>
            <family val="18"/>
          </rPr>
          <t>ML 3500 IR 39 (1808-10) – RL 1808 5. Komp. – Abgang (Comorn 19/09/1808)</t>
        </r>
        <r>
          <rPr>
            <sz val="14"/>
            <color rgb="FF000000"/>
            <rFont val="Calibri"/>
            <family val="34"/>
          </rPr>
          <t xml:space="preserve">
</t>
        </r>
      </text>
    </comment>
    <comment ref="BH521" authorId="0" shapeId="0" xr:uid="{DAD469AA-DE4A-534E-8668-F792B9FE69DE}">
      <text>
        <r>
          <rPr>
            <sz val="14"/>
            <color rgb="FF000000"/>
            <rFont val="Calibri"/>
            <family val="34"/>
          </rPr>
          <t>IR 39 (1805-1806)</t>
        </r>
      </text>
    </comment>
    <comment ref="BF522" authorId="0" shapeId="0" xr:uid="{11115A3C-1265-7C43-9078-4B3B0A539BBF}">
      <text>
        <r>
          <rPr>
            <sz val="14"/>
            <color rgb="FF000000"/>
            <rFont val="Times New Roman"/>
            <family val="18"/>
          </rPr>
          <t xml:space="preserve">04/10/1805 </t>
        </r>
        <r>
          <rPr>
            <i/>
            <sz val="14"/>
            <color rgb="FF000000"/>
            <rFont val="Times New Roman"/>
            <family val="18"/>
          </rPr>
          <t xml:space="preserve">Als landständischer Recrout für Malezov </t>
        </r>
        <r>
          <rPr>
            <b/>
            <sz val="14"/>
            <color rgb="FF000000"/>
            <rFont val="Times New Roman"/>
            <family val="18"/>
          </rPr>
          <t>[</t>
        </r>
        <r>
          <rPr>
            <b/>
            <u/>
            <sz val="14"/>
            <color rgb="FF0563C1"/>
            <rFont val="Times New Roman"/>
            <family val="18"/>
          </rPr>
          <t>Malcov,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10/03/1806 Von 17. Fus. Komp zur 2. Fus. Komp. transferiert [RL 1807]</t>
        </r>
        <r>
          <rPr>
            <sz val="14"/>
            <color rgb="FF000000"/>
            <rFont val="Calibri"/>
            <family val="34"/>
          </rPr>
          <t xml:space="preserve">
</t>
        </r>
        <r>
          <rPr>
            <sz val="14"/>
            <color rgb="FF000000"/>
            <rFont val="Times New Roman"/>
            <family val="18"/>
          </rPr>
          <t xml:space="preserve">16/11/1806 </t>
        </r>
        <r>
          <rPr>
            <i/>
            <sz val="14"/>
            <color rgb="FF000000"/>
            <rFont val="Times New Roman"/>
            <family val="18"/>
          </rPr>
          <t>Zur Stockerau kommandiert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23/01/1807 Revision: IR 39 2. Fus. Komp. Nr. 70 [</t>
        </r>
        <r>
          <rPr>
            <i/>
            <sz val="14"/>
            <color rgb="FF000000"/>
            <rFont val="Times New Roman"/>
            <family val="18"/>
          </rPr>
          <t xml:space="preserve">Auf Kommando in Stockerau </t>
        </r>
        <r>
          <rPr>
            <b/>
            <sz val="14"/>
            <color rgb="FF000000"/>
            <rFont val="Times New Roman"/>
            <family val="18"/>
          </rPr>
          <t>[</t>
        </r>
        <r>
          <rPr>
            <b/>
            <u/>
            <sz val="14"/>
            <color rgb="FF0563C1"/>
            <rFont val="Times New Roman"/>
            <family val="18"/>
          </rPr>
          <t>Stockerau, Austria</t>
        </r>
        <r>
          <rPr>
            <b/>
            <sz val="14"/>
            <color rgb="FF000000"/>
            <rFont val="Times New Roman"/>
            <family val="18"/>
          </rPr>
          <t>]</t>
        </r>
        <r>
          <rPr>
            <sz val="14"/>
            <color rgb="FF000000"/>
            <rFont val="Times New Roman"/>
            <family val="18"/>
          </rPr>
          <t>]</t>
        </r>
        <r>
          <rPr>
            <sz val="14"/>
            <color rgb="FF000000"/>
            <rFont val="Calibri"/>
            <family val="34"/>
          </rPr>
          <t xml:space="preserve">
</t>
        </r>
        <r>
          <rPr>
            <sz val="14"/>
            <color rgb="FF000000"/>
            <rFont val="Times New Roman"/>
            <family val="18"/>
          </rPr>
          <t xml:space="preserve">10/10/1807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22" authorId="0" shapeId="0" xr:uid="{2D18B12E-9920-9B49-9710-8B30540DAEC4}">
      <text>
        <r>
          <rPr>
            <sz val="14"/>
            <color rgb="FF000000"/>
            <rFont val="Times New Roman"/>
            <family val="18"/>
          </rPr>
          <t>ML 3499 IR 39 (1807) – 2. Fus. Komp. Nr. 70 (Leutschau 23/01/1807)</t>
        </r>
        <r>
          <rPr>
            <sz val="14"/>
            <color rgb="FF000000"/>
            <rFont val="Calibri"/>
            <family val="34"/>
          </rPr>
          <t xml:space="preserve">
</t>
        </r>
        <r>
          <rPr>
            <sz val="14"/>
            <color rgb="FF000000"/>
            <rFont val="Times New Roman"/>
            <family val="18"/>
          </rPr>
          <t>ML 3500 IR 39 (1808-10) – RL 1808 4. Fus. Komp. – Abgang (Comorn 19/09/1808)</t>
        </r>
        <r>
          <rPr>
            <sz val="14"/>
            <color rgb="FF000000"/>
            <rFont val="Calibri"/>
            <family val="34"/>
          </rPr>
          <t xml:space="preserve">
</t>
        </r>
        <r>
          <rPr>
            <sz val="14"/>
            <color rgb="FF000000"/>
            <rFont val="Times New Roman"/>
            <family val="18"/>
          </rPr>
          <t>ML 3546 IR 39 (1805) – AL Nr. 26 (Eperies 31/10/1805)</t>
        </r>
        <r>
          <rPr>
            <sz val="14"/>
            <color rgb="FF000000"/>
            <rFont val="Calibri"/>
            <family val="34"/>
          </rPr>
          <t xml:space="preserve">
</t>
        </r>
        <r>
          <rPr>
            <sz val="14"/>
            <color rgb="FF000000"/>
            <rFont val="Times New Roman"/>
            <family val="18"/>
          </rPr>
          <t>ML 3547 IR 39 (1806) – ST Nov (Caschau 02/09/1807)</t>
        </r>
        <r>
          <rPr>
            <sz val="14"/>
            <color rgb="FF000000"/>
            <rFont val="Calibri"/>
            <family val="34"/>
          </rPr>
          <t xml:space="preserve">
</t>
        </r>
      </text>
    </comment>
    <comment ref="BH522" authorId="0" shapeId="0" xr:uid="{858B588C-310E-594B-84B6-206727FC93C6}">
      <text>
        <r>
          <rPr>
            <sz val="14"/>
            <color rgb="FF000000"/>
            <rFont val="Calibri"/>
            <family val="34"/>
          </rPr>
          <t>IR 39 (1805-1807)</t>
        </r>
      </text>
    </comment>
    <comment ref="BF523" authorId="0" shapeId="0" xr:uid="{96D3082F-E4A8-E548-8CAD-6746CBAC54E9}">
      <text>
        <r>
          <rPr>
            <sz val="14"/>
            <color rgb="FF000000"/>
            <rFont val="Times New Roman"/>
            <family val="18"/>
          </rPr>
          <t xml:space="preserve">04/10/1805 </t>
        </r>
        <r>
          <rPr>
            <i/>
            <sz val="14"/>
            <color rgb="FF000000"/>
            <rFont val="Times New Roman"/>
            <family val="18"/>
          </rPr>
          <t xml:space="preserve">Als landständischer Recrout für Petsl Neudorf </t>
        </r>
        <r>
          <rPr>
            <b/>
            <sz val="14"/>
            <color rgb="FF000000"/>
            <rFont val="Times New Roman"/>
            <family val="18"/>
          </rPr>
          <t>[</t>
        </r>
        <r>
          <rPr>
            <b/>
            <u/>
            <sz val="14"/>
            <color rgb="FF0563C1"/>
            <rFont val="Times New Roman"/>
            <family val="18"/>
          </rPr>
          <t>Bardejovská Nová Ves,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78</t>
        </r>
        <r>
          <rPr>
            <sz val="14"/>
            <color rgb="FF000000"/>
            <rFont val="Calibri"/>
            <family val="34"/>
          </rPr>
          <t xml:space="preserve">
</t>
        </r>
        <r>
          <rPr>
            <sz val="14"/>
            <color rgb="FF000000"/>
            <rFont val="Times New Roman"/>
            <family val="18"/>
          </rPr>
          <t xml:space="preserve">15/05/1807 </t>
        </r>
        <r>
          <rPr>
            <i/>
            <sz val="14"/>
            <color rgb="FF000000"/>
            <rFont val="Times New Roman"/>
            <family val="18"/>
          </rPr>
          <t xml:space="preserve">Gegen Stellung andere Leute mit Abschied entlassen </t>
        </r>
        <r>
          <rPr>
            <sz val="14"/>
            <color rgb="FF000000"/>
            <rFont val="Times New Roman"/>
            <family val="18"/>
          </rPr>
          <t>[RL 1808]</t>
        </r>
      </text>
    </comment>
    <comment ref="BG523" authorId="0" shapeId="0" xr:uid="{50E4E8A1-9759-6E4F-96DE-52865CC45DB7}">
      <text>
        <r>
          <rPr>
            <sz val="14"/>
            <color rgb="FF000000"/>
            <rFont val="Times New Roman"/>
            <family val="18"/>
          </rPr>
          <t>ML 3499 IR 39 (1807) – 9. Fus. Komp. Nr. 78 (Kesmark 24/01/1805)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3546 IR 39 (1805) – AL Nr. 12 (Eperies 31/10/1805)</t>
        </r>
        <r>
          <rPr>
            <sz val="14"/>
            <color rgb="FF000000"/>
            <rFont val="Calibri"/>
            <family val="34"/>
          </rPr>
          <t xml:space="preserve">
</t>
        </r>
      </text>
    </comment>
    <comment ref="BH523" authorId="0" shapeId="0" xr:uid="{1FED7D92-982B-5F4B-A37A-281527C8EB51}">
      <text>
        <r>
          <rPr>
            <sz val="14"/>
            <color rgb="FF000000"/>
            <rFont val="Calibri"/>
            <family val="34"/>
          </rPr>
          <t>IR 39 (1805-1807)</t>
        </r>
      </text>
    </comment>
    <comment ref="BF524" authorId="0" shapeId="0" xr:uid="{C79FF975-B2D4-8B45-9A97-AF6735A7AFE5}">
      <text>
        <r>
          <rPr>
            <sz val="14"/>
            <color rgb="FF000000"/>
            <rFont val="Times New Roman"/>
            <family val="18"/>
          </rPr>
          <t xml:space="preserve">04/10/1805 </t>
        </r>
        <r>
          <rPr>
            <i/>
            <sz val="14"/>
            <color rgb="FF000000"/>
            <rFont val="Times New Roman"/>
            <family val="18"/>
          </rPr>
          <t xml:space="preserve">Als landständischer Recrout für Tisinetz </t>
        </r>
        <r>
          <rPr>
            <b/>
            <sz val="14"/>
            <color rgb="FF000000"/>
            <rFont val="Times New Roman"/>
            <family val="18"/>
          </rPr>
          <t>[</t>
        </r>
        <r>
          <rPr>
            <b/>
            <u/>
            <sz val="14"/>
            <color rgb="FF0563C1"/>
            <rFont val="Times New Roman"/>
            <family val="18"/>
          </rPr>
          <t>Tisinec,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09/11/1805 </t>
        </r>
        <r>
          <rPr>
            <i/>
            <sz val="14"/>
            <color rgb="FF000000"/>
            <rFont val="Times New Roman"/>
            <family val="18"/>
          </rPr>
          <t>Krank in Caschau</t>
        </r>
        <r>
          <rPr>
            <sz val="14"/>
            <color rgb="FF000000"/>
            <rFont val="Times New Roman"/>
            <family val="18"/>
          </rPr>
          <t xml:space="preserve"> [ST Nov 1805] </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zur 16 Fus. Komp. transferiert</t>
        </r>
        <r>
          <rPr>
            <sz val="14"/>
            <color rgb="FF000000"/>
            <rFont val="Times New Roman"/>
            <family val="18"/>
          </rPr>
          <t xml:space="preserve"> [RL 1807] </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in Spital unwissend verloren in Abgang gebracht</t>
        </r>
        <r>
          <rPr>
            <sz val="14"/>
            <color rgb="FF000000"/>
            <rFont val="Times New Roman"/>
            <family val="18"/>
          </rPr>
          <t xml:space="preserve"> [RL 1807]</t>
        </r>
      </text>
    </comment>
    <comment ref="BG524" authorId="0" shapeId="0" xr:uid="{B8A55EDB-C926-334C-B63A-48A58CDF9495}">
      <text>
        <r>
          <rPr>
            <sz val="14"/>
            <color rgb="FF000000"/>
            <rFont val="Times New Roman"/>
            <family val="18"/>
          </rPr>
          <t>ML 3499 IR 39 (1807) – 16. Fus. Komp. Abgang (Kesmark 24/01/1807)</t>
        </r>
        <r>
          <rPr>
            <sz val="14"/>
            <color rgb="FF000000"/>
            <rFont val="Calibri"/>
            <family val="34"/>
          </rPr>
          <t xml:space="preserve">
</t>
        </r>
        <r>
          <rPr>
            <sz val="14"/>
            <color rgb="FF000000"/>
            <rFont val="Times New Roman"/>
            <family val="18"/>
          </rPr>
          <t>ML 3546 IR 39 (1805) – AL Nr. 8 (Eperies 31/10/1805), ST Nov (Pest 15/10/1806)</t>
        </r>
        <r>
          <rPr>
            <sz val="14"/>
            <color rgb="FF000000"/>
            <rFont val="Calibri"/>
            <family val="34"/>
          </rPr>
          <t xml:space="preserve">
</t>
        </r>
        <r>
          <rPr>
            <sz val="14"/>
            <color rgb="FF000000"/>
            <rFont val="Times New Roman"/>
            <family val="18"/>
          </rPr>
          <t>ML 3547 IR 39 (1806) – ST Okt (Caschau 02/09/1807)</t>
        </r>
        <r>
          <rPr>
            <sz val="14"/>
            <color rgb="FF000000"/>
            <rFont val="Calibri"/>
            <family val="34"/>
          </rPr>
          <t xml:space="preserve">
</t>
        </r>
      </text>
    </comment>
    <comment ref="BH524" authorId="0" shapeId="0" xr:uid="{53661459-F006-784F-96A9-28468EA31792}">
      <text>
        <r>
          <rPr>
            <sz val="14"/>
            <color rgb="FF000000"/>
            <rFont val="Calibri"/>
            <family val="34"/>
          </rPr>
          <t>IR 39 (1805-1806)</t>
        </r>
      </text>
    </comment>
    <comment ref="BF525" authorId="0" shapeId="0" xr:uid="{CDF6CAEF-69A0-274D-A538-ED248A742D14}">
      <text>
        <r>
          <rPr>
            <sz val="14"/>
            <color rgb="FF000000"/>
            <rFont val="Times New Roman"/>
            <family val="18"/>
          </rPr>
          <t xml:space="preserve">08/10/1805 </t>
        </r>
        <r>
          <rPr>
            <i/>
            <sz val="14"/>
            <color rgb="FF000000"/>
            <rFont val="Times New Roman"/>
            <family val="18"/>
          </rPr>
          <t xml:space="preserve">Als landständischer Recrout für Stuluan </t>
        </r>
        <r>
          <rPr>
            <b/>
            <sz val="14"/>
            <color rgb="FF000000"/>
            <rFont val="Times New Roman"/>
            <family val="18"/>
          </rPr>
          <t>[</t>
        </r>
        <r>
          <rPr>
            <b/>
            <u/>
            <sz val="14"/>
            <color rgb="FF0563C1"/>
            <rFont val="Times New Roman"/>
            <family val="18"/>
          </rPr>
          <t>Stuľany, Slovakia</t>
        </r>
        <r>
          <rPr>
            <b/>
            <sz val="14"/>
            <color rgb="FF000000"/>
            <rFont val="Times New Roman"/>
            <family val="18"/>
          </rPr>
          <t>]</t>
        </r>
        <r>
          <rPr>
            <sz val="14"/>
            <color rgb="FF000000"/>
            <rFont val="Times New Roman"/>
            <family val="18"/>
          </rPr>
          <t>,</t>
        </r>
        <r>
          <rPr>
            <i/>
            <sz val="14"/>
            <color rgb="FF000000"/>
            <rFont val="Times New Roman"/>
            <family val="18"/>
          </rPr>
          <t xml:space="preserve"> Sároser Komität gestellt, in Eperies zum IR 39 a 3Fl assentiert und in 17.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17. Fus. Zu, 4. Fus. Kom.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4. Fus. Komp. Nr. 63</t>
        </r>
        <r>
          <rPr>
            <sz val="14"/>
            <color rgb="FF000000"/>
            <rFont val="Calibri"/>
            <family val="34"/>
          </rPr>
          <t xml:space="preserve">
</t>
        </r>
        <r>
          <rPr>
            <sz val="14"/>
            <color rgb="FF000000"/>
            <rFont val="Times New Roman"/>
            <family val="18"/>
          </rPr>
          <t xml:space="preserve">05/07/1807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25" authorId="0" shapeId="0" xr:uid="{4BC3D061-6C88-D74D-9126-2226DA15E4F9}">
      <text>
        <r>
          <rPr>
            <sz val="14"/>
            <color rgb="FF000000"/>
            <rFont val="Times New Roman"/>
            <family val="18"/>
          </rPr>
          <t>ML 3546 IR 39 (1805) – AL Nr. 42 (Eperies 31/10/1805)</t>
        </r>
        <r>
          <rPr>
            <sz val="14"/>
            <color rgb="FF000000"/>
            <rFont val="Calibri"/>
            <family val="34"/>
          </rPr>
          <t xml:space="preserve">
</t>
        </r>
        <r>
          <rPr>
            <sz val="14"/>
            <color rgb="FF000000"/>
            <rFont val="Times New Roman"/>
            <family val="18"/>
          </rPr>
          <t>ML 3500 IR 39 (1808-10) – RL 1808 2. Fus. Komp. – Abgang (Comorn 19/09/1808)</t>
        </r>
        <r>
          <rPr>
            <sz val="14"/>
            <color rgb="FF000000"/>
            <rFont val="Calibri"/>
            <family val="34"/>
          </rPr>
          <t xml:space="preserve">
</t>
        </r>
        <r>
          <rPr>
            <sz val="14"/>
            <color rgb="FF000000"/>
            <rFont val="Times New Roman"/>
            <family val="18"/>
          </rPr>
          <t>ML 3499 IR 39 (1807) – 4. Fus. Komp. Nr. 63 (Leutschau 23/01/1807)</t>
        </r>
        <r>
          <rPr>
            <sz val="14"/>
            <color rgb="FF000000"/>
            <rFont val="Calibri"/>
            <family val="34"/>
          </rPr>
          <t xml:space="preserve">
</t>
        </r>
      </text>
    </comment>
    <comment ref="BH525" authorId="0" shapeId="0" xr:uid="{3058491E-30A1-484D-9357-03183DFCBCCC}">
      <text>
        <r>
          <rPr>
            <sz val="14"/>
            <color rgb="FF000000"/>
            <rFont val="Calibri"/>
            <family val="34"/>
          </rPr>
          <t>IR 39 (1805-1807)</t>
        </r>
      </text>
    </comment>
    <comment ref="BF526" authorId="0" shapeId="0" xr:uid="{D2C91329-0CBB-884A-B59B-144190390C9A}">
      <text>
        <r>
          <rPr>
            <sz val="14"/>
            <color rgb="FF000000"/>
            <rFont val="Times New Roman"/>
            <family val="18"/>
          </rPr>
          <t xml:space="preserve">11/10/1805 </t>
        </r>
        <r>
          <rPr>
            <i/>
            <sz val="14"/>
            <color rgb="FF000000"/>
            <rFont val="Times New Roman"/>
            <family val="18"/>
          </rPr>
          <t>Auf 3 Fl Handgeld auf 10 Jahr Capitulation von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Teitel Komp. zum Galizischen Freibataillon Nr. 2 transferiert und zum 4. Vacante Komp. eingeheilt</t>
        </r>
        <r>
          <rPr>
            <sz val="14"/>
            <color rgb="FF000000"/>
            <rFont val="Times New Roman"/>
            <family val="18"/>
          </rPr>
          <t xml:space="preserve"> [TL Dec 1809 &amp; ST March 1809]</t>
        </r>
        <r>
          <rPr>
            <sz val="14"/>
            <color rgb="FF000000"/>
            <rFont val="Calibri"/>
            <family val="34"/>
          </rPr>
          <t xml:space="preserve">
</t>
        </r>
        <r>
          <rPr>
            <sz val="14"/>
            <color rgb="FF000000"/>
            <rFont val="Times New Roman"/>
            <family val="18"/>
          </rPr>
          <t xml:space="preserve">18/04/1809 </t>
        </r>
        <r>
          <rPr>
            <i/>
            <sz val="14"/>
            <color rgb="FF000000"/>
            <rFont val="Times New Roman"/>
            <family val="18"/>
          </rPr>
          <t xml:space="preserve">Desertiert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Von Militär a 8Fl Taglia attrappiert und seitdem Im Staabs-Stickhaus zu Cracau mit auswärtiger Verpflegung</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Befreit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21/06/1809 </t>
        </r>
        <r>
          <rPr>
            <i/>
            <sz val="14"/>
            <color rgb="FF000000"/>
            <rFont val="Times New Roman"/>
            <family val="18"/>
          </rPr>
          <t>Desertuert</t>
        </r>
        <r>
          <rPr>
            <sz val="14"/>
            <color rgb="FF000000"/>
            <rFont val="Times New Roman"/>
            <family val="18"/>
          </rPr>
          <t xml:space="preserve"> [ST June 1809] </t>
        </r>
      </text>
    </comment>
    <comment ref="BG526" authorId="0" shapeId="0" xr:uid="{56B3D885-59C5-AA49-9A1A-1FC1340CCB17}">
      <text>
        <r>
          <rPr>
            <sz val="14"/>
            <color rgb="FF000000"/>
            <rFont val="Times New Roman"/>
            <family val="18"/>
          </rPr>
          <t>ML 10.831 WGal FB 2 (1809-10) – TL IR 24-&gt; WGal FB 2 Nr. 47 (Csakowar 30/11/1809), ST March (Braddczy bei Caschau 10/08/1809), ST April (Politzka 13/07/1810), ST May (Tischmanitz 10/10/1810), ST June (Brünn 15/11/1810)</t>
        </r>
        <r>
          <rPr>
            <sz val="14"/>
            <color rgb="FF000000"/>
            <rFont val="Calibri"/>
            <family val="34"/>
          </rPr>
          <t xml:space="preserve">
</t>
        </r>
      </text>
    </comment>
    <comment ref="BH526" authorId="0" shapeId="0" xr:uid="{149AF0E6-C18C-8D4F-A51B-653612DB7CB7}">
      <text>
        <r>
          <rPr>
            <sz val="14"/>
            <color rgb="FF000000"/>
            <rFont val="Calibri"/>
            <family val="34"/>
          </rPr>
          <t xml:space="preserve">IR 24 (1805-9)
</t>
        </r>
        <r>
          <rPr>
            <sz val="14"/>
            <color rgb="FF000000"/>
            <rFont val="Calibri"/>
            <family val="34"/>
          </rPr>
          <t>WGal FB 2 (1809)</t>
        </r>
      </text>
    </comment>
    <comment ref="I527" authorId="0" shapeId="0" xr:uid="{68C20B4D-7BD0-EF4E-83D5-554458BCDA27}">
      <text>
        <r>
          <rPr>
            <sz val="14"/>
            <color rgb="FF000000"/>
            <rFont val="Calibri"/>
            <family val="34"/>
          </rPr>
          <t xml:space="preserve">1783 [22 (AL Dez 1805)]
</t>
        </r>
        <r>
          <rPr>
            <sz val="14"/>
            <color rgb="FF000000"/>
            <rFont val="Calibri"/>
            <family val="34"/>
          </rPr>
          <t xml:space="preserve">OR 
</t>
        </r>
        <r>
          <rPr>
            <sz val="14"/>
            <color rgb="FF000000"/>
            <rFont val="Calibri"/>
            <family val="34"/>
          </rPr>
          <t xml:space="preserve">1784 [24 (TL Mai 1805)]
</t>
        </r>
        <r>
          <rPr>
            <sz val="14"/>
            <color rgb="FF000000"/>
            <rFont val="Calibri"/>
            <family val="34"/>
          </rPr>
          <t xml:space="preserve">OR
</t>
        </r>
        <r>
          <rPr>
            <sz val="14"/>
            <color rgb="FF000000"/>
            <rFont val="Calibri"/>
            <family val="34"/>
          </rPr>
          <t>1785 [32 (ML 1817)]</t>
        </r>
      </text>
    </comment>
    <comment ref="J527" authorId="0" shapeId="0" xr:uid="{30E4F891-FDD7-9D45-8260-137EFF57A47D}">
      <text>
        <r>
          <rPr>
            <sz val="14"/>
            <color rgb="FF000000"/>
            <rFont val="Calibri"/>
            <family val="34"/>
          </rPr>
          <t xml:space="preserve">Ledig (1805-1808)
</t>
        </r>
        <r>
          <rPr>
            <sz val="14"/>
            <color rgb="FF000000"/>
            <rFont val="Calibri"/>
            <family val="34"/>
          </rPr>
          <t>Veheiratet (1811-1818)</t>
        </r>
      </text>
    </comment>
    <comment ref="K527" authorId="0" shapeId="0" xr:uid="{471BD90B-0EEC-8445-AD1C-B462CFEED58D}">
      <text>
        <r>
          <rPr>
            <sz val="14"/>
            <color rgb="FF000000"/>
            <rFont val="Calibri"/>
            <family val="34"/>
          </rPr>
          <t xml:space="preserve">Ohne (1805-1808)
</t>
        </r>
        <r>
          <rPr>
            <sz val="14"/>
            <color rgb="FF000000"/>
            <rFont val="Calibri"/>
            <family val="34"/>
          </rPr>
          <t>Schneider  (1811-1818)</t>
        </r>
      </text>
    </comment>
    <comment ref="T527" authorId="0" shapeId="0" xr:uid="{D5E4DC68-3B21-5C48-ACD9-19D50C76C223}">
      <text>
        <r>
          <rPr>
            <sz val="14"/>
            <color rgb="FF000000"/>
            <rFont val="Calibri"/>
            <family val="34"/>
          </rPr>
          <t xml:space="preserve">163.7 [5.2.2 (AL Dez 1805)]
</t>
        </r>
        <r>
          <rPr>
            <sz val="14"/>
            <color rgb="FF000000"/>
            <rFont val="Calibri"/>
            <family val="34"/>
          </rPr>
          <t>166.11 [5.3.1 (TLMai 1808)]</t>
        </r>
      </text>
    </comment>
    <comment ref="BF527" authorId="0" shapeId="0" xr:uid="{B6E63305-7E0D-2646-A2F9-0A1B19371EFC}">
      <text>
        <r>
          <rPr>
            <sz val="14"/>
            <color rgb="FF000000"/>
            <rFont val="Times New Roman"/>
            <family val="18"/>
          </rPr>
          <t xml:space="preserve">11/10/1805 </t>
        </r>
        <r>
          <rPr>
            <i/>
            <sz val="14"/>
            <color rgb="FF000000"/>
            <rFont val="Times New Roman"/>
            <family val="18"/>
          </rPr>
          <t xml:space="preserve">Als landständischer Recrout für Bodroy Heresztar </t>
        </r>
        <r>
          <rPr>
            <b/>
            <sz val="14"/>
            <color rgb="FF000000"/>
            <rFont val="Times New Roman"/>
            <family val="18"/>
          </rPr>
          <t>[</t>
        </r>
        <r>
          <rPr>
            <b/>
            <u/>
            <sz val="14"/>
            <color rgb="FF0563C1"/>
            <rFont val="Times New Roman"/>
            <family val="18"/>
          </rPr>
          <t>Streda nad Bodrogom, Slovakia</t>
        </r>
        <r>
          <rPr>
            <b/>
            <sz val="14"/>
            <color rgb="FF000000"/>
            <rFont val="Times New Roman"/>
            <family val="18"/>
          </rPr>
          <t>]</t>
        </r>
        <r>
          <rPr>
            <i/>
            <sz val="14"/>
            <color rgb="FF000000"/>
            <rFont val="Times New Roman"/>
            <family val="18"/>
          </rPr>
          <t>,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FF0000"/>
            <rFont val="Times New Roman"/>
            <family val="18"/>
          </rPr>
          <t xml:space="preserve">12/12/1806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10.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128</t>
        </r>
        <r>
          <rPr>
            <sz val="14"/>
            <color rgb="FF000000"/>
            <rFont val="Calibri"/>
            <family val="34"/>
          </rPr>
          <t xml:space="preserve">
</t>
        </r>
        <r>
          <rPr>
            <sz val="14"/>
            <color rgb="FF000000"/>
            <rFont val="Times New Roman"/>
            <family val="18"/>
          </rPr>
          <t xml:space="preserve">21/05/1808 </t>
        </r>
        <r>
          <rPr>
            <i/>
            <sz val="14"/>
            <color rgb="FF000000"/>
            <rFont val="Times New Roman"/>
            <family val="18"/>
          </rPr>
          <t xml:space="preserve">Vermog General Comando Verordnung ddt. Lemberg am 22 März 808 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13.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10/09/1808 Revision: IR 9 13. Fus Komp. Nr. 229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13. Fus. Zum 10. Fus Komp transferiert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19/09/1811 Muster: IR 9 9. Fus. Komp. Nr. 128 [</t>
        </r>
        <r>
          <rPr>
            <i/>
            <sz val="14"/>
            <color rgb="FF000000"/>
            <rFont val="Times New Roman"/>
            <family val="18"/>
          </rPr>
          <t>Beurlaubt in seiner Heymath auf besitmte Zeit</t>
        </r>
        <r>
          <rPr>
            <sz val="14"/>
            <color rgb="FF000000"/>
            <rFont val="Times New Roman"/>
            <family val="18"/>
          </rPr>
          <t>]</t>
        </r>
        <r>
          <rPr>
            <sz val="14"/>
            <color rgb="FF000000"/>
            <rFont val="Calibri"/>
            <family val="34"/>
          </rPr>
          <t xml:space="preserve">
</t>
        </r>
        <r>
          <rPr>
            <sz val="14"/>
            <color rgb="FF000000"/>
            <rFont val="Times New Roman"/>
            <family val="18"/>
          </rPr>
          <t xml:space="preserve">20/04/1812 </t>
        </r>
        <r>
          <rPr>
            <i/>
            <sz val="14"/>
            <color rgb="FF000000"/>
            <rFont val="Times New Roman"/>
            <family val="18"/>
          </rPr>
          <t>Von 9. zum 15. Fus. Komp. transferiert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04/09/1812 </t>
        </r>
        <r>
          <rPr>
            <i/>
            <sz val="14"/>
            <color rgb="FF000000"/>
            <rFont val="Times New Roman"/>
            <family val="18"/>
          </rPr>
          <t>Von unbestimmte Urlaub zurück</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26/09/1812 </t>
        </r>
        <r>
          <rPr>
            <i/>
            <sz val="14"/>
            <color rgb="FF000000"/>
            <rFont val="Times New Roman"/>
            <family val="18"/>
          </rPr>
          <t>Von 15. zum 12. Fus. Komp. transferiert und seitdem auf dem Marsch nach Auxiliar Corps</t>
        </r>
        <r>
          <rPr>
            <sz val="14"/>
            <color rgb="FF000000"/>
            <rFont val="Times New Roman"/>
            <family val="18"/>
          </rPr>
          <t xml:space="preserve"> [ST Sept 1812]</t>
        </r>
        <r>
          <rPr>
            <sz val="14"/>
            <color rgb="FF000000"/>
            <rFont val="Calibri"/>
            <family val="34"/>
          </rPr>
          <t xml:space="preserve">
</t>
        </r>
        <r>
          <rPr>
            <sz val="14"/>
            <color rgb="FF000000"/>
            <rFont val="Times New Roman"/>
            <family val="18"/>
          </rPr>
          <t xml:space="preserve">30/11/1812 </t>
        </r>
        <r>
          <rPr>
            <i/>
            <sz val="14"/>
            <color rgb="FF000000"/>
            <rFont val="Times New Roman"/>
            <family val="18"/>
          </rPr>
          <t>Ins Kompanie eingerückt</t>
        </r>
        <r>
          <rPr>
            <sz val="14"/>
            <color rgb="FF000000"/>
            <rFont val="Times New Roman"/>
            <family val="18"/>
          </rPr>
          <t xml:space="preserve"> [ST Dez 1812]</t>
        </r>
        <r>
          <rPr>
            <sz val="14"/>
            <color rgb="FF000000"/>
            <rFont val="Calibri"/>
            <family val="34"/>
          </rPr>
          <t xml:space="preserve">
</t>
        </r>
        <r>
          <rPr>
            <sz val="14"/>
            <color rgb="FF000000"/>
            <rFont val="Times New Roman"/>
            <family val="18"/>
          </rPr>
          <t xml:space="preserve">21/11/1814 </t>
        </r>
        <r>
          <rPr>
            <i/>
            <sz val="14"/>
            <color rgb="FF000000"/>
            <rFont val="Times New Roman"/>
            <family val="18"/>
          </rPr>
          <t>Auf dem Heimarsch zu ihrer neuen Bestimmung</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10/01/1815 </t>
        </r>
        <r>
          <rPr>
            <i/>
            <sz val="14"/>
            <color rgb="FF000000"/>
            <rFont val="Times New Roman"/>
            <family val="18"/>
          </rPr>
          <t>Zum Regiment Depot eingerückt und dort kommandiert</t>
        </r>
        <r>
          <rPr>
            <sz val="14"/>
            <color rgb="FF000000"/>
            <rFont val="Times New Roman"/>
            <family val="18"/>
          </rPr>
          <t xml:space="preserve"> [ST Jan 1815</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IR 9 12. Fus. Komp. als beim Depot zugeteilte zum Feldspital Nr. 48 als Krankenwärter transferiert</t>
        </r>
        <r>
          <rPr>
            <sz val="14"/>
            <color rgb="FF000000"/>
            <rFont val="Times New Roman"/>
            <family val="18"/>
          </rPr>
          <t xml:space="preserve"> [TL Juli 1815 &amp; ST Mai 1815]</t>
        </r>
        <r>
          <rPr>
            <sz val="14"/>
            <color rgb="FF000000"/>
            <rFont val="Calibri"/>
            <family val="34"/>
          </rPr>
          <t xml:space="preserve">
</t>
        </r>
        <r>
          <rPr>
            <sz val="14"/>
            <color rgb="FF000000"/>
            <rFont val="Times New Roman"/>
            <family val="18"/>
          </rPr>
          <t xml:space="preserve">16/01/1816 </t>
        </r>
        <r>
          <rPr>
            <i/>
            <sz val="14"/>
            <color rgb="FF000000"/>
            <rFont val="Times New Roman"/>
            <family val="18"/>
          </rPr>
          <t>Von dissolvierte HFS 48 zurück zum IR 9 18. Komp. transferiert</t>
        </r>
        <r>
          <rPr>
            <sz val="14"/>
            <color rgb="FF000000"/>
            <rFont val="Times New Roman"/>
            <family val="18"/>
          </rPr>
          <t xml:space="preserve"> [TL April 1816]</t>
        </r>
        <r>
          <rPr>
            <sz val="14"/>
            <color rgb="FF000000"/>
            <rFont val="Calibri"/>
            <family val="34"/>
          </rPr>
          <t xml:space="preserve">
</t>
        </r>
        <r>
          <rPr>
            <sz val="14"/>
            <color rgb="FF000000"/>
            <rFont val="Times New Roman"/>
            <family val="18"/>
          </rPr>
          <t xml:space="preserve">01/06/1816 </t>
        </r>
        <r>
          <rPr>
            <i/>
            <sz val="14"/>
            <color rgb="FF000000"/>
            <rFont val="Times New Roman"/>
            <family val="18"/>
          </rPr>
          <t xml:space="preserve">Von 18. zum 7. Fus. Komp. transferiert </t>
        </r>
        <r>
          <rPr>
            <sz val="14"/>
            <color rgb="FF000000"/>
            <rFont val="Times New Roman"/>
            <family val="18"/>
          </rPr>
          <t>[ST Juni 1816]</t>
        </r>
        <r>
          <rPr>
            <sz val="14"/>
            <color rgb="FF000000"/>
            <rFont val="Calibri"/>
            <family val="34"/>
          </rPr>
          <t xml:space="preserve">
</t>
        </r>
        <r>
          <rPr>
            <sz val="14"/>
            <color rgb="FF000000"/>
            <rFont val="Times New Roman"/>
            <family val="18"/>
          </rPr>
          <t xml:space="preserve">01/07/1816 </t>
        </r>
        <r>
          <rPr>
            <i/>
            <sz val="14"/>
            <color rgb="FF000000"/>
            <rFont val="Times New Roman"/>
            <family val="18"/>
          </rPr>
          <t>Von. 7. zum 13. Fus. Komp. transferiert</t>
        </r>
        <r>
          <rPr>
            <sz val="14"/>
            <color rgb="FF000000"/>
            <rFont val="Times New Roman"/>
            <family val="18"/>
          </rPr>
          <t xml:space="preserve"> [ST Juli 1816]</t>
        </r>
        <r>
          <rPr>
            <sz val="14"/>
            <color rgb="FF000000"/>
            <rFont val="Calibri"/>
            <family val="34"/>
          </rPr>
          <t xml:space="preserve">
</t>
        </r>
        <r>
          <rPr>
            <sz val="14"/>
            <color rgb="FF000000"/>
            <rFont val="Times New Roman"/>
            <family val="18"/>
          </rPr>
          <t>05/01/1818 Muster: IR 9 13. Fus. Komp. Nr. 157 [Beurlaubt bis zur Einberufung in seinem Geburtsort] [ML 1817]</t>
        </r>
        <r>
          <rPr>
            <sz val="14"/>
            <color rgb="FF000000"/>
            <rFont val="Calibri"/>
            <family val="34"/>
          </rPr>
          <t xml:space="preserve">
</t>
        </r>
        <r>
          <rPr>
            <sz val="14"/>
            <color rgb="FF000000"/>
            <rFont val="Times New Roman"/>
            <family val="18"/>
          </rPr>
          <t xml:space="preserve">20/02/1818 </t>
        </r>
        <r>
          <rPr>
            <i/>
            <sz val="14"/>
            <color rgb="FF000000"/>
            <rFont val="Times New Roman"/>
            <family val="18"/>
          </rPr>
          <t>Als ausgedienter Inländische Capitulant mit Abschied entlassen</t>
        </r>
        <r>
          <rPr>
            <sz val="14"/>
            <color rgb="FF000000"/>
            <rFont val="Times New Roman"/>
            <family val="18"/>
          </rPr>
          <t xml:space="preserve"> [ML 1818]</t>
        </r>
      </text>
    </comment>
    <comment ref="BG527" authorId="0" shapeId="0" xr:uid="{3E9CD429-1740-1B4B-89BC-42E8A90B5155}">
      <text>
        <r>
          <rPr>
            <sz val="14"/>
            <color rgb="FF000000"/>
            <rFont val="Times New Roman"/>
            <family val="18"/>
          </rPr>
          <t>ML 3499 IR 39 (1807) – 10. Fus. Komp. Nr. 128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24 (Sátoraljaújhely 12/12/1805)</t>
        </r>
        <r>
          <rPr>
            <sz val="14"/>
            <color rgb="FF000000"/>
            <rFont val="Calibri"/>
            <family val="34"/>
          </rPr>
          <t xml:space="preserve">
</t>
        </r>
        <r>
          <rPr>
            <sz val="14"/>
            <color rgb="FF000000"/>
            <rFont val="Times New Roman"/>
            <family val="18"/>
          </rPr>
          <t>ML 3549 IR 39 (1808) – TL IR 39-&gt;IR 9 Nr. 1 (Neu Sandez 20/05/1808)</t>
        </r>
        <r>
          <rPr>
            <sz val="14"/>
            <color rgb="FF000000"/>
            <rFont val="Calibri"/>
            <family val="34"/>
          </rPr>
          <t xml:space="preserve">
</t>
        </r>
        <r>
          <rPr>
            <sz val="14"/>
            <color rgb="FF000000"/>
            <rFont val="Times New Roman"/>
            <family val="18"/>
          </rPr>
          <t>ML 633 IR 9 (1808) – 13. Fus. Komp. Nr. 229 (Przemysl 10/09/1808)</t>
        </r>
        <r>
          <rPr>
            <sz val="14"/>
            <color rgb="FF000000"/>
            <rFont val="Calibri"/>
            <family val="34"/>
          </rPr>
          <t xml:space="preserve">
</t>
        </r>
        <r>
          <rPr>
            <sz val="14"/>
            <color rgb="FF000000"/>
            <rFont val="Times New Roman"/>
            <family val="18"/>
          </rPr>
          <t>ML 634 IR 9 (1811) – 9. Fus. Komp. Nr. 126 (Caschau 19/09/1811)</t>
        </r>
        <r>
          <rPr>
            <sz val="14"/>
            <color rgb="FF000000"/>
            <rFont val="Calibri"/>
            <family val="34"/>
          </rPr>
          <t xml:space="preserve">
</t>
        </r>
        <r>
          <rPr>
            <sz val="14"/>
            <color rgb="FF000000"/>
            <rFont val="Times New Roman"/>
            <family val="18"/>
          </rPr>
          <t>ML 635/6 IR 9 (1817) – 13. Fus. Komp Nr. 157 (Rzeszow 05/01/1817)</t>
        </r>
        <r>
          <rPr>
            <sz val="14"/>
            <color rgb="FF000000"/>
            <rFont val="Calibri"/>
            <family val="34"/>
          </rPr>
          <t xml:space="preserve">
</t>
        </r>
        <r>
          <rPr>
            <sz val="14"/>
            <color rgb="FF000000"/>
            <rFont val="Times New Roman"/>
            <family val="18"/>
          </rPr>
          <t>ML 637/8 IR 9 (1818) – 13. Fus. Komp. Abgang (Starosol 30/09/1818)</t>
        </r>
        <r>
          <rPr>
            <sz val="14"/>
            <color rgb="FF000000"/>
            <rFont val="Calibri"/>
            <family val="34"/>
          </rPr>
          <t xml:space="preserve">
</t>
        </r>
        <r>
          <rPr>
            <sz val="14"/>
            <color rgb="FF000000"/>
            <rFont val="Times New Roman"/>
            <family val="18"/>
          </rPr>
          <t>ML 669 IR 9 (1808) – ST Juli (Krakau 02/11/1808)</t>
        </r>
        <r>
          <rPr>
            <sz val="14"/>
            <color rgb="FF000000"/>
            <rFont val="Calibri"/>
            <family val="34"/>
          </rPr>
          <t xml:space="preserve">
</t>
        </r>
        <r>
          <rPr>
            <sz val="14"/>
            <color rgb="FF000000"/>
            <rFont val="Times New Roman"/>
            <family val="18"/>
          </rPr>
          <t>ML 671 IR 9 (1809) – ST August (Caschau 15/10/1810)</t>
        </r>
        <r>
          <rPr>
            <sz val="14"/>
            <color rgb="FF000000"/>
            <rFont val="Calibri"/>
            <family val="34"/>
          </rPr>
          <t xml:space="preserve">
</t>
        </r>
        <r>
          <rPr>
            <sz val="14"/>
            <color rgb="FF000000"/>
            <rFont val="Times New Roman"/>
            <family val="18"/>
          </rPr>
          <t>ML 675 IR 9 (1812) – ST April (Przemysl 14/08/1812), ST Sept (Jaroslau 20/01/1813), ST Dez (15/06/1813)</t>
        </r>
        <r>
          <rPr>
            <sz val="14"/>
            <color rgb="FF000000"/>
            <rFont val="Calibri"/>
            <family val="34"/>
          </rPr>
          <t xml:space="preserve">
</t>
        </r>
        <r>
          <rPr>
            <sz val="14"/>
            <color rgb="FF000000"/>
            <rFont val="Times New Roman"/>
            <family val="18"/>
          </rPr>
          <t>ML 680 IR 9 (1814) – ST Nov (15/08/1816), Dez (18/08/1816)</t>
        </r>
        <r>
          <rPr>
            <sz val="14"/>
            <color rgb="FF000000"/>
            <rFont val="Calibri"/>
            <family val="34"/>
          </rPr>
          <t xml:space="preserve">
</t>
        </r>
        <r>
          <rPr>
            <sz val="14"/>
            <color rgb="FF000000"/>
            <rFont val="Times New Roman"/>
            <family val="18"/>
          </rPr>
          <t>ML 682 IR 9 (1815) – ST Jan (30/08/1816), Mai (30/11/1816)</t>
        </r>
        <r>
          <rPr>
            <sz val="14"/>
            <color rgb="FF000000"/>
            <rFont val="Calibri"/>
            <family val="34"/>
          </rPr>
          <t xml:space="preserve">
</t>
        </r>
        <r>
          <rPr>
            <sz val="14"/>
            <color rgb="FF000000"/>
            <rFont val="Times New Roman"/>
            <family val="18"/>
          </rPr>
          <t>ML 684 IR 9 (1816) – ST Jan (Herrmannstadt 18/06/1817), Juni (Klausenburg 09/07/1817), Juli (Kausenburg ??/07/1817)</t>
        </r>
        <r>
          <rPr>
            <sz val="14"/>
            <color rgb="FF000000"/>
            <rFont val="Calibri"/>
            <family val="34"/>
          </rPr>
          <t xml:space="preserve">
</t>
        </r>
        <r>
          <rPr>
            <sz val="14"/>
            <color rgb="FF000000"/>
            <rFont val="Times New Roman"/>
            <family val="18"/>
          </rPr>
          <t>ML 12.018 HFS (1815) – TL IR 9-&gt;HFS 48 Nr. 9 (Lemberg 26/07/1815)</t>
        </r>
        <r>
          <rPr>
            <sz val="14"/>
            <color rgb="FF000000"/>
            <rFont val="Calibri"/>
            <family val="34"/>
          </rPr>
          <t xml:space="preserve">
</t>
        </r>
        <r>
          <rPr>
            <sz val="14"/>
            <color rgb="FF000000"/>
            <rFont val="Times New Roman"/>
            <family val="18"/>
          </rPr>
          <t>ML 12.018 HFS (1816) – TL HFS 48-&gt;IR 9 Nr. 54 (Prague 16/04/1816)</t>
        </r>
        <r>
          <rPr>
            <sz val="14"/>
            <color rgb="FF000000"/>
            <rFont val="Calibri"/>
            <family val="34"/>
          </rPr>
          <t xml:space="preserve">
</t>
        </r>
      </text>
    </comment>
    <comment ref="BH527" authorId="0" shapeId="0" xr:uid="{C78923FF-4F8C-934B-BD62-19001639F557}">
      <text>
        <r>
          <rPr>
            <sz val="14"/>
            <color rgb="FF000000"/>
            <rFont val="Calibri"/>
            <family val="34"/>
          </rPr>
          <t xml:space="preserve">IR 39 (1805-1808)
</t>
        </r>
        <r>
          <rPr>
            <sz val="14"/>
            <color rgb="FF000000"/>
            <rFont val="Calibri"/>
            <family val="34"/>
          </rPr>
          <t xml:space="preserve">IR 9 (1808-1815)
</t>
        </r>
        <r>
          <rPr>
            <sz val="14"/>
            <color rgb="FF000000"/>
            <rFont val="Calibri"/>
            <family val="34"/>
          </rPr>
          <t xml:space="preserve">HFS 48 (1815-1816)
</t>
        </r>
        <r>
          <rPr>
            <sz val="14"/>
            <color rgb="FF000000"/>
            <rFont val="Calibri"/>
            <family val="34"/>
          </rPr>
          <t>IR 9 (1816-1818)</t>
        </r>
      </text>
    </comment>
    <comment ref="C528" authorId="0" shapeId="0" xr:uid="{96F1356A-6D7B-1446-AC3B-9BA35E312D02}">
      <text>
        <r>
          <rPr>
            <b/>
            <u/>
            <sz val="14"/>
            <color rgb="FF0563C1"/>
            <rFont val="Times New Roman"/>
            <family val="18"/>
          </rPr>
          <t>Kurów, Poland</t>
        </r>
        <r>
          <rPr>
            <b/>
            <sz val="14"/>
            <color rgb="FF000000"/>
            <rFont val="Times New Roman"/>
            <family val="18"/>
          </rPr>
          <t xml:space="preserve">, </t>
        </r>
        <r>
          <rPr>
            <i/>
            <sz val="14"/>
            <color rgb="FF000000"/>
            <rFont val="Times New Roman"/>
            <family val="18"/>
          </rPr>
          <t xml:space="preserve">West Galizien 
</t>
        </r>
        <r>
          <rPr>
            <b/>
            <sz val="14"/>
            <color rgb="FF000000"/>
            <rFont val="Times New Roman"/>
            <family val="18"/>
          </rPr>
          <t xml:space="preserve">or
</t>
        </r>
        <r>
          <rPr>
            <b/>
            <u/>
            <sz val="14"/>
            <color rgb="FF0563C1"/>
            <rFont val="Times New Roman"/>
            <family val="18"/>
          </rPr>
          <t>Kurów (Chełmiec), Poland</t>
        </r>
        <r>
          <rPr>
            <sz val="14"/>
            <color rgb="FF000000"/>
            <rFont val="Times New Roman"/>
            <family val="18"/>
          </rPr>
          <t xml:space="preserve"> </t>
        </r>
        <r>
          <rPr>
            <i/>
            <sz val="14"/>
            <color rgb="FF000000"/>
            <rFont val="Times New Roman"/>
            <family val="18"/>
          </rPr>
          <t>Ost Galizien</t>
        </r>
      </text>
    </comment>
    <comment ref="BF528" authorId="0" shapeId="0" xr:uid="{E4827E56-2216-F744-B07F-655ABDB52F63}">
      <text>
        <r>
          <rPr>
            <sz val="14"/>
            <color rgb="FF000000"/>
            <rFont val="Times New Roman"/>
            <family val="18"/>
          </rPr>
          <t>12/10/1805</t>
        </r>
        <r>
          <rPr>
            <i/>
            <sz val="14"/>
            <color rgb="FF000000"/>
            <rFont val="Times New Roman"/>
            <family val="18"/>
          </rPr>
          <t xml:space="preserve"> Als landständischer Recrout für Tolstava </t>
        </r>
        <r>
          <rPr>
            <b/>
            <sz val="14"/>
            <color rgb="FF000000"/>
            <rFont val="Times New Roman"/>
            <family val="18"/>
          </rPr>
          <t>[</t>
        </r>
        <r>
          <rPr>
            <b/>
            <u/>
            <sz val="14"/>
            <color rgb="FF0563C1"/>
            <rFont val="Times New Roman"/>
            <family val="18"/>
          </rPr>
          <t>Tolcsva, Hungary</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Fus. zur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7. Fus. Komp Nr. 103</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r>
          <rPr>
            <sz val="14"/>
            <color rgb="FF000000"/>
            <rFont val="Calibri"/>
            <family val="34"/>
          </rPr>
          <t xml:space="preserve">
</t>
        </r>
      </text>
    </comment>
    <comment ref="BG528" authorId="0" shapeId="0" xr:uid="{3BF4005A-A430-E444-A259-B7E0F0115B31}">
      <text>
        <r>
          <rPr>
            <sz val="14"/>
            <color rgb="FF000000"/>
            <rFont val="Times New Roman"/>
            <family val="18"/>
          </rPr>
          <t xml:space="preserve">ML 3499 IR 39 (1807) – 7. Fus. Komp. Nr. 103 </t>
        </r>
        <r>
          <rPr>
            <sz val="14"/>
            <color rgb="FF000000"/>
            <rFont val="Times New Roman"/>
            <family val="18"/>
          </rPr>
          <t>(Kesmark 24/01/1807)</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3546 IR 39 (1805) – AL Nr. 20 (Sátoraljaújhely 17/10/1805)</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H528" authorId="0" shapeId="0" xr:uid="{390C3339-9B78-8445-A08A-1DA95E4B51AD}">
      <text>
        <r>
          <rPr>
            <sz val="14"/>
            <color rgb="FF000000"/>
            <rFont val="Calibri"/>
            <family val="34"/>
          </rPr>
          <t>IR 39 (1805-1807)</t>
        </r>
      </text>
    </comment>
    <comment ref="BF529" authorId="0" shapeId="0" xr:uid="{39477EE1-741D-D842-AA24-E5BD92E49F05}">
      <text>
        <r>
          <rPr>
            <sz val="14"/>
            <color rgb="FF000000"/>
            <rFont val="Times New Roman"/>
            <family val="18"/>
          </rPr>
          <t>12/10/1805</t>
        </r>
        <r>
          <rPr>
            <i/>
            <sz val="14"/>
            <color rgb="FF000000"/>
            <rFont val="Times New Roman"/>
            <family val="18"/>
          </rPr>
          <t xml:space="preserve"> Als landständischer Recrout für Magiar Jesztrebb </t>
        </r>
        <r>
          <rPr>
            <b/>
            <sz val="14"/>
            <color rgb="FF000000"/>
            <rFont val="Times New Roman"/>
            <family val="18"/>
          </rPr>
          <t>[</t>
        </r>
        <r>
          <rPr>
            <b/>
            <u/>
            <sz val="14"/>
            <color rgb="FF0563C1"/>
            <rFont val="Times New Roman"/>
            <family val="18"/>
          </rPr>
          <t>Zemplínske Jastrabie, Slovakia</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Fus. zur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15. Fus. Komp. Nr. 51</t>
        </r>
        <r>
          <rPr>
            <sz val="14"/>
            <color rgb="FF000000"/>
            <rFont val="Calibri"/>
            <family val="34"/>
          </rPr>
          <t xml:space="preserve">
</t>
        </r>
        <r>
          <rPr>
            <sz val="14"/>
            <color rgb="FF000000"/>
            <rFont val="Times New Roman"/>
            <family val="18"/>
          </rPr>
          <t xml:space="preserve">25/06/1807 </t>
        </r>
        <r>
          <rPr>
            <i/>
            <sz val="14"/>
            <color rgb="FF000000"/>
            <rFont val="Times New Roman"/>
            <family val="18"/>
          </rPr>
          <t xml:space="preserve">Vermog hoh. Verord. Ddt. Ofen am 17. April a:c: gegen Stellung eines Anderen mit Abschied entlassen </t>
        </r>
        <r>
          <rPr>
            <sz val="14"/>
            <color rgb="FF000000"/>
            <rFont val="Times New Roman"/>
            <family val="18"/>
          </rPr>
          <t>[RL 1808]</t>
        </r>
        <r>
          <rPr>
            <sz val="14"/>
            <color rgb="FF000000"/>
            <rFont val="Calibri"/>
            <family val="34"/>
          </rPr>
          <t xml:space="preserve">
</t>
        </r>
      </text>
    </comment>
    <comment ref="BG529" authorId="0" shapeId="0" xr:uid="{93FBFBA5-B688-944A-92D9-84B147E659AB}">
      <text>
        <r>
          <rPr>
            <sz val="14"/>
            <color rgb="FF000000"/>
            <rFont val="Times New Roman"/>
            <family val="18"/>
          </rPr>
          <t>ML 3499 IR 39 (1807) – 15. Fus. Komp. Nr. 51 (Kesmark 24/01/1807)</t>
        </r>
        <r>
          <rPr>
            <sz val="14"/>
            <color rgb="FF000000"/>
            <rFont val="Calibri"/>
            <family val="34"/>
          </rPr>
          <t xml:space="preserve">
</t>
        </r>
        <r>
          <rPr>
            <sz val="14"/>
            <color rgb="FF000000"/>
            <rFont val="Times New Roman"/>
            <family val="18"/>
          </rPr>
          <t>ML 3500 IR 39 (1808-10) – RL 1808 8. Fus. Komp. – Abgang (Comorn 19/09/1808)</t>
        </r>
        <r>
          <rPr>
            <sz val="14"/>
            <color rgb="FF000000"/>
            <rFont val="Calibri"/>
            <family val="34"/>
          </rPr>
          <t xml:space="preserve">
</t>
        </r>
        <r>
          <rPr>
            <sz val="14"/>
            <color rgb="FF000000"/>
            <rFont val="Times New Roman"/>
            <family val="18"/>
          </rPr>
          <t>ML 3546 IR 39 (1805) – AL Nr. 27 (Sátoraljaújhely 17/10/1805)</t>
        </r>
        <r>
          <rPr>
            <sz val="14"/>
            <color rgb="FF000000"/>
            <rFont val="Calibri"/>
            <family val="34"/>
          </rPr>
          <t xml:space="preserve">
</t>
        </r>
        <r>
          <rPr>
            <sz val="14"/>
            <color rgb="FF000000"/>
            <rFont val="Times New Roman"/>
            <family val="18"/>
          </rPr>
          <t>)</t>
        </r>
        <r>
          <rPr>
            <sz val="14"/>
            <color rgb="FF000000"/>
            <rFont val="Calibri"/>
            <family val="34"/>
          </rPr>
          <t xml:space="preserve">
</t>
        </r>
      </text>
    </comment>
    <comment ref="BH529" authorId="0" shapeId="0" xr:uid="{E9EC99DA-1EDA-CE4F-8327-EFA3687C03E9}">
      <text>
        <r>
          <rPr>
            <sz val="14"/>
            <color rgb="FF000000"/>
            <rFont val="Calibri"/>
            <family val="34"/>
          </rPr>
          <t>IR 39 (1805-1807)</t>
        </r>
      </text>
    </comment>
    <comment ref="BF530" authorId="0" shapeId="0" xr:uid="{2C4DEE08-7868-D441-B705-1A3D6D26C052}">
      <text>
        <r>
          <rPr>
            <sz val="14"/>
            <color rgb="FF000000"/>
            <rFont val="Times New Roman"/>
            <family val="18"/>
          </rPr>
          <t>12/10/1805</t>
        </r>
        <r>
          <rPr>
            <i/>
            <sz val="14"/>
            <color rgb="FF000000"/>
            <rFont val="Times New Roman"/>
            <family val="18"/>
          </rPr>
          <t xml:space="preserve"> Als landständischer Recrout für Nagy Hazmer </t>
        </r>
        <r>
          <rPr>
            <b/>
            <sz val="14"/>
            <color rgb="FF000000"/>
            <rFont val="Times New Roman"/>
            <family val="18"/>
          </rPr>
          <t>[?]</t>
        </r>
        <r>
          <rPr>
            <i/>
            <sz val="14"/>
            <color rgb="FF000000"/>
            <rFont val="Times New Roman"/>
            <family val="18"/>
          </rPr>
          <t>, Zempliner Komität in gestellt, in Sátoraljaújhely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05/09/1806 </t>
        </r>
        <r>
          <rPr>
            <i/>
            <sz val="14"/>
            <color rgb="FF000000"/>
            <rFont val="Times New Roman"/>
            <family val="18"/>
          </rPr>
          <t>In Folge hoher Verordnung dd. Ofen 8. July a: c: gegen Stellung eines Anderen Mannes und Erlag des Montur Gelds mit Abschied entlassen</t>
        </r>
        <r>
          <rPr>
            <sz val="14"/>
            <color rgb="FF000000"/>
            <rFont val="Times New Roman"/>
            <family val="18"/>
          </rPr>
          <t xml:space="preserve"> [ST Sept 1806]</t>
        </r>
      </text>
    </comment>
    <comment ref="BG530" authorId="0" shapeId="0" xr:uid="{FA69093B-8E17-0645-8F2C-7313C47D2BC8}">
      <text>
        <r>
          <rPr>
            <sz val="14"/>
            <color rgb="FF000000"/>
            <rFont val="Times New Roman"/>
            <family val="18"/>
          </rPr>
          <t>ML 3499 IR 39 (1807) – 15. Fus. Komp. Abgang (Kesmark 24/01/1807)</t>
        </r>
        <r>
          <rPr>
            <sz val="14"/>
            <color rgb="FF000000"/>
            <rFont val="Calibri"/>
            <family val="34"/>
          </rPr>
          <t xml:space="preserve">
</t>
        </r>
        <r>
          <rPr>
            <sz val="14"/>
            <color rgb="FF000000"/>
            <rFont val="Times New Roman"/>
            <family val="18"/>
          </rPr>
          <t>ML 3546 IR 39 (1805) – AL Nr. 1 (Sátoraljaújhely 17/10/1805), ST Nov (Pest 15/10/1806)</t>
        </r>
        <r>
          <rPr>
            <sz val="14"/>
            <color rgb="FF000000"/>
            <rFont val="Calibri"/>
            <family val="34"/>
          </rPr>
          <t xml:space="preserve">
</t>
        </r>
        <r>
          <rPr>
            <sz val="14"/>
            <color rgb="FF000000"/>
            <rFont val="Times New Roman"/>
            <family val="18"/>
          </rPr>
          <t>ML 3547 IR 39 (1806) – ST Sept (Caschau 04/06/1807)</t>
        </r>
        <r>
          <rPr>
            <sz val="14"/>
            <color rgb="FF000000"/>
            <rFont val="Calibri"/>
            <family val="34"/>
          </rPr>
          <t xml:space="preserve">
</t>
        </r>
      </text>
    </comment>
    <comment ref="BH530" authorId="0" shapeId="0" xr:uid="{4391E375-178B-D046-93DE-7B36975B8252}">
      <text>
        <r>
          <rPr>
            <sz val="14"/>
            <color rgb="FF000000"/>
            <rFont val="Calibri"/>
            <family val="34"/>
          </rPr>
          <t>IR 39 (1805-1806)</t>
        </r>
      </text>
    </comment>
    <comment ref="BF531" authorId="0" shapeId="0" xr:uid="{00D31162-F2D6-6641-BFE9-EBEBEE744CD6}">
      <text>
        <r>
          <rPr>
            <sz val="14"/>
            <color rgb="FF000000"/>
            <rFont val="Times New Roman"/>
            <family val="18"/>
          </rPr>
          <t>12/10/1805</t>
        </r>
        <r>
          <rPr>
            <i/>
            <sz val="14"/>
            <color rgb="FF000000"/>
            <rFont val="Times New Roman"/>
            <family val="18"/>
          </rPr>
          <t xml:space="preserve"> Als landständischer Recrout für Tolstava </t>
        </r>
        <r>
          <rPr>
            <b/>
            <sz val="14"/>
            <color rgb="FF000000"/>
            <rFont val="Times New Roman"/>
            <family val="18"/>
          </rPr>
          <t>[</t>
        </r>
        <r>
          <rPr>
            <b/>
            <u/>
            <sz val="14"/>
            <color rgb="FF0563C1"/>
            <rFont val="Times New Roman"/>
            <family val="18"/>
          </rPr>
          <t>Tolcsva, Hungary</t>
        </r>
        <r>
          <rPr>
            <b/>
            <sz val="14"/>
            <color rgb="FF000000"/>
            <rFont val="Times New Roman"/>
            <family val="18"/>
          </rPr>
          <t>]</t>
        </r>
        <r>
          <rPr>
            <i/>
            <sz val="14"/>
            <color rgb="FF000000"/>
            <rFont val="Times New Roman"/>
            <family val="18"/>
          </rPr>
          <t>, Zempliner Komität in gestellt, in Sátoraljaújhely zum IR 39 a 3 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zur 13.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13. Fus. Komp. Nr. 62</t>
        </r>
        <r>
          <rPr>
            <sz val="14"/>
            <color rgb="FF000000"/>
            <rFont val="Calibri"/>
            <family val="34"/>
          </rPr>
          <t xml:space="preserve">
</t>
        </r>
        <r>
          <rPr>
            <sz val="14"/>
            <color rgb="FF000000"/>
            <rFont val="Times New Roman"/>
            <family val="18"/>
          </rPr>
          <t xml:space="preserve">25/03/1807 </t>
        </r>
        <r>
          <rPr>
            <i/>
            <sz val="14"/>
            <color rgb="FF000000"/>
            <rFont val="Times New Roman"/>
            <family val="18"/>
          </rPr>
          <t>Gegen Stellung Anderer mit Abschied entlassen</t>
        </r>
        <r>
          <rPr>
            <sz val="14"/>
            <color rgb="FF000000"/>
            <rFont val="Times New Roman"/>
            <family val="18"/>
          </rPr>
          <t xml:space="preserve"> [RL 1808]</t>
        </r>
      </text>
    </comment>
    <comment ref="BG531" authorId="0" shapeId="0" xr:uid="{016A0ADC-59F0-4048-B593-EF856DFBD71D}">
      <text>
        <r>
          <rPr>
            <sz val="14"/>
            <color rgb="FF000000"/>
            <rFont val="Times New Roman"/>
            <family val="18"/>
          </rPr>
          <t>ML 3499 IR 39 (1807) – 13. Fus. Komp. Nr. 62 (Letschau 23/01/1807)</t>
        </r>
        <r>
          <rPr>
            <sz val="14"/>
            <color rgb="FF000000"/>
            <rFont val="Calibri"/>
            <family val="34"/>
          </rPr>
          <t xml:space="preserve">
</t>
        </r>
        <r>
          <rPr>
            <sz val="14"/>
            <color rgb="FF000000"/>
            <rFont val="Times New Roman"/>
            <family val="18"/>
          </rPr>
          <t>ML 3500 IR 39 (1808-10) – RL 1808 6. Fus. Komp. – Abgang (Comorn 19/09/1808)</t>
        </r>
        <r>
          <rPr>
            <sz val="14"/>
            <color rgb="FF000000"/>
            <rFont val="Calibri"/>
            <family val="34"/>
          </rPr>
          <t xml:space="preserve">
</t>
        </r>
        <r>
          <rPr>
            <sz val="14"/>
            <color rgb="FF000000"/>
            <rFont val="Times New Roman"/>
            <family val="18"/>
          </rPr>
          <t>ML 3546 IR 39 (1805) – AL Nr. 19 (Sátoraljaújhely 17/10/1805), ST Nov (Pest 15/10/1806)</t>
        </r>
        <r>
          <rPr>
            <sz val="14"/>
            <color rgb="FF000000"/>
            <rFont val="Calibri"/>
            <family val="34"/>
          </rPr>
          <t xml:space="preserve">
</t>
        </r>
      </text>
    </comment>
    <comment ref="BH531" authorId="0" shapeId="0" xr:uid="{702284FC-1CB3-724D-98E1-349175671273}">
      <text>
        <r>
          <rPr>
            <sz val="14"/>
            <color rgb="FF000000"/>
            <rFont val="Calibri"/>
            <family val="34"/>
          </rPr>
          <t>IR 39 (1805-1807)</t>
        </r>
      </text>
    </comment>
    <comment ref="BF532" authorId="0" shapeId="0" xr:uid="{C1A2A3CB-F42A-6F4C-83DB-8FEB61D34D8E}">
      <text>
        <r>
          <rPr>
            <sz val="14"/>
            <color rgb="FF000000"/>
            <rFont val="Times New Roman"/>
            <family val="18"/>
          </rPr>
          <t>12/10/1805</t>
        </r>
        <r>
          <rPr>
            <i/>
            <sz val="14"/>
            <color rgb="FF000000"/>
            <rFont val="Times New Roman"/>
            <family val="18"/>
          </rPr>
          <t xml:space="preserve"> Als landständischer Recrout für Talya </t>
        </r>
        <r>
          <rPr>
            <b/>
            <sz val="14"/>
            <color rgb="FF000000"/>
            <rFont val="Times New Roman"/>
            <family val="18"/>
          </rPr>
          <t>[</t>
        </r>
        <r>
          <rPr>
            <b/>
            <u/>
            <sz val="14"/>
            <color rgb="FF0563C1"/>
            <rFont val="Times New Roman"/>
            <family val="18"/>
          </rPr>
          <t>Tállya, Hungary</t>
        </r>
        <r>
          <rPr>
            <b/>
            <sz val="14"/>
            <color rgb="FF000000"/>
            <rFont val="Times New Roman"/>
            <family val="18"/>
          </rPr>
          <t>]</t>
        </r>
        <r>
          <rPr>
            <i/>
            <sz val="14"/>
            <color rgb="FF000000"/>
            <rFont val="Times New Roman"/>
            <family val="18"/>
          </rPr>
          <t>, Zempliner Komität in gestellt, in Sátoraljaújhely zum IR 39 a 3 Fl assentiert und in 18.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06/12/1805 </t>
        </r>
        <r>
          <rPr>
            <i/>
            <sz val="14"/>
            <color rgb="FF000000"/>
            <rFont val="Times New Roman"/>
            <family val="18"/>
          </rPr>
          <t>Zu Folge hohe Verordnung detto Ofen von 16/11/1805 als untauglich gegen zuleiten den Ersatz alle Unkosten mit Laufpass entlassen</t>
        </r>
        <r>
          <rPr>
            <sz val="14"/>
            <color rgb="FF000000"/>
            <rFont val="Times New Roman"/>
            <family val="18"/>
          </rPr>
          <t xml:space="preserve"> [ST Dez 1805]</t>
        </r>
      </text>
    </comment>
    <comment ref="BG532" authorId="0" shapeId="0" xr:uid="{95DB8D02-C678-7145-8566-AD46A0E917EF}">
      <text>
        <r>
          <rPr>
            <sz val="14"/>
            <color rgb="FF000000"/>
            <rFont val="Times New Roman"/>
            <family val="18"/>
          </rPr>
          <t>ML 3499 IR 39 (1807) – 18. Fus. Komp. Abgang (Letschau 23/01/1807)</t>
        </r>
        <r>
          <rPr>
            <sz val="14"/>
            <color rgb="FF000000"/>
            <rFont val="Calibri"/>
            <family val="34"/>
          </rPr>
          <t xml:space="preserve">
</t>
        </r>
        <r>
          <rPr>
            <sz val="14"/>
            <color rgb="FF000000"/>
            <rFont val="Times New Roman"/>
            <family val="18"/>
          </rPr>
          <t>ML 3546 IR 39 (1805) – AL Nr. 23 (Sátoraljaújhely 17/10/1805), ST Dez (16/10/1806)</t>
        </r>
        <r>
          <rPr>
            <sz val="14"/>
            <color rgb="FF000000"/>
            <rFont val="Calibri"/>
            <family val="34"/>
          </rPr>
          <t xml:space="preserve">
</t>
        </r>
      </text>
    </comment>
    <comment ref="BH532" authorId="0" shapeId="0" xr:uid="{F6593B51-5485-D04C-AD45-3FDCB434B2B6}">
      <text>
        <r>
          <rPr>
            <sz val="14"/>
            <color rgb="FF000000"/>
            <rFont val="Calibri"/>
            <family val="34"/>
          </rPr>
          <t>IR 39 (1805)</t>
        </r>
      </text>
    </comment>
    <comment ref="BF533" authorId="0" shapeId="0" xr:uid="{065CC3DC-505B-9446-B87D-BA041EF2A0D5}">
      <text>
        <r>
          <rPr>
            <sz val="14"/>
            <color rgb="FF000000"/>
            <rFont val="Times New Roman"/>
            <family val="18"/>
          </rPr>
          <t xml:space="preserve">16/10/1805 </t>
        </r>
        <r>
          <rPr>
            <i/>
            <sz val="14"/>
            <color rgb="FF000000"/>
            <rFont val="Times New Roman"/>
            <family val="18"/>
          </rPr>
          <t>in Siedlice von Domenien a 3Fl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Comp.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31/10/1806 </t>
        </r>
        <r>
          <rPr>
            <i/>
            <sz val="14"/>
            <color rgb="FF000000"/>
            <rFont val="Times New Roman"/>
            <family val="18"/>
          </rPr>
          <t>Als auf dem anhero Marsch aus Galizien Unwissend verlohren in Abgang gebracht</t>
        </r>
        <r>
          <rPr>
            <sz val="14"/>
            <color rgb="FF000000"/>
            <rFont val="Times New Roman"/>
            <family val="18"/>
          </rPr>
          <t xml:space="preserve"> [ML 1806]</t>
        </r>
      </text>
    </comment>
    <comment ref="BG533" authorId="0" shapeId="0" xr:uid="{390BBAF2-FDAA-AC44-878C-2846EB89D351}">
      <text>
        <r>
          <rPr>
            <sz val="14"/>
            <color rgb="FF000000"/>
            <rFont val="Times New Roman"/>
            <family val="18"/>
          </rPr>
          <t xml:space="preserve">ML 5017/8 IR 59 ‚Jordis (1806) – Heft ‚Reserve Division‘ Zuwachs &amp; Abgang (Wells 06/07/1807) &amp; Heft ‚Unwissend verlohren‘ Nr. 550 (Linz 10/07/1807)
</t>
        </r>
        <r>
          <rPr>
            <sz val="14"/>
            <color rgb="FF000000"/>
            <rFont val="Times New Roman"/>
            <family val="18"/>
          </rPr>
          <t>ML 5067 IR 59 (1805) – AL. Nr. 17 (Siedlce 31/10/1805)</t>
        </r>
        <r>
          <rPr>
            <sz val="14"/>
            <color rgb="FF000000"/>
            <rFont val="Calibri"/>
            <family val="34"/>
          </rPr>
          <t xml:space="preserve">
</t>
        </r>
        <r>
          <rPr>
            <sz val="14"/>
            <color rgb="FF000000"/>
            <rFont val="Calibri"/>
            <family val="34"/>
          </rPr>
          <t xml:space="preserve">
</t>
        </r>
      </text>
    </comment>
    <comment ref="BH533" authorId="0" shapeId="0" xr:uid="{6666F3E5-882C-D24D-97C3-41E89419185E}">
      <text>
        <r>
          <rPr>
            <sz val="14"/>
            <color rgb="FF000000"/>
            <rFont val="Calibri"/>
            <family val="34"/>
          </rPr>
          <t>IR 59 (1805-1806)</t>
        </r>
      </text>
    </comment>
    <comment ref="BF534" authorId="0" shapeId="0" xr:uid="{8F0F46B2-9BBC-2043-9FBC-88F5B7573051}">
      <text>
        <r>
          <rPr>
            <sz val="14"/>
            <color rgb="FF000000"/>
            <rFont val="Times New Roman"/>
            <family val="18"/>
          </rPr>
          <t>16/10/1805</t>
        </r>
        <r>
          <rPr>
            <i/>
            <sz val="14"/>
            <color rgb="FF000000"/>
            <rFont val="Times New Roman"/>
            <family val="18"/>
          </rPr>
          <t xml:space="preserve"> Als landständischer Recrout für Tarizul</t>
        </r>
        <r>
          <rPr>
            <sz val="14"/>
            <color rgb="FF000000"/>
            <rFont val="Times New Roman"/>
            <family val="18"/>
          </rPr>
          <t xml:space="preserve"> </t>
        </r>
        <r>
          <rPr>
            <b/>
            <sz val="14"/>
            <color rgb="FF000000"/>
            <rFont val="Times New Roman"/>
            <family val="18"/>
          </rPr>
          <t>[</t>
        </r>
        <r>
          <rPr>
            <b/>
            <u/>
            <sz val="14"/>
            <color rgb="FF0563C1"/>
            <rFont val="Times New Roman"/>
            <family val="18"/>
          </rPr>
          <t>Tarcal, Hungary</t>
        </r>
        <r>
          <rPr>
            <b/>
            <sz val="14"/>
            <color rgb="FF000000"/>
            <rFont val="Times New Roman"/>
            <family val="18"/>
          </rPr>
          <t>]</t>
        </r>
        <r>
          <rPr>
            <i/>
            <sz val="14"/>
            <color rgb="FF000000"/>
            <rFont val="Times New Roman"/>
            <family val="18"/>
          </rPr>
          <t>, Zempliner Komität in gestellt, in Sátoraljaújhely zum IR 39 a 3 Fl assentiert und in 19.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57</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534" authorId="0" shapeId="0" xr:uid="{86D84881-9122-CD48-9FA5-EC41DD6D0702}">
      <text>
        <r>
          <rPr>
            <sz val="14"/>
            <color rgb="FF000000"/>
            <rFont val="Times New Roman"/>
            <family val="18"/>
          </rPr>
          <t>ML 3499 IR 39 (1807) – 18. Fus. Komp. Abgang (Letschau 23/01/1807)</t>
        </r>
        <r>
          <rPr>
            <sz val="14"/>
            <color rgb="FF000000"/>
            <rFont val="Calibri"/>
            <family val="34"/>
          </rPr>
          <t xml:space="preserve">
</t>
        </r>
        <r>
          <rPr>
            <sz val="14"/>
            <color rgb="FF000000"/>
            <rFont val="Times New Roman"/>
            <family val="18"/>
          </rPr>
          <t>ML 3546 IR 39 (1805) – AL Nr. 23 (Sátoraljaújhely 17/10/1805), ST Dez (16/10/1806)</t>
        </r>
        <r>
          <rPr>
            <sz val="14"/>
            <color rgb="FF000000"/>
            <rFont val="Calibri"/>
            <family val="34"/>
          </rPr>
          <t xml:space="preserve">
</t>
        </r>
      </text>
    </comment>
    <comment ref="BH534" authorId="0" shapeId="0" xr:uid="{63186D17-FEF3-9E4A-937D-43C983E58DB0}">
      <text>
        <r>
          <rPr>
            <sz val="14"/>
            <color rgb="FF000000"/>
            <rFont val="Calibri"/>
            <family val="34"/>
          </rPr>
          <t>IR 39 (1805-1807)</t>
        </r>
      </text>
    </comment>
    <comment ref="BF535" authorId="0" shapeId="0" xr:uid="{A7DDB3A1-66B8-5F40-A56D-AF573B0AE1D8}">
      <text>
        <r>
          <rPr>
            <sz val="14"/>
            <color rgb="FF000000"/>
            <rFont val="Times New Roman"/>
            <family val="18"/>
          </rPr>
          <t>16/10/1805</t>
        </r>
        <r>
          <rPr>
            <i/>
            <sz val="14"/>
            <color rgb="FF000000"/>
            <rFont val="Times New Roman"/>
            <family val="18"/>
          </rPr>
          <t xml:space="preserve"> Als landständischer Recrout für </t>
        </r>
        <r>
          <rPr>
            <sz val="14"/>
            <color rgb="FF000000"/>
            <rFont val="Times New Roman"/>
            <family val="18"/>
          </rPr>
          <t>Ujhely</t>
        </r>
        <r>
          <rPr>
            <b/>
            <sz val="14"/>
            <color rgb="FF000000"/>
            <rFont val="Times New Roman"/>
            <family val="18"/>
          </rPr>
          <t xml:space="preserve"> [</t>
        </r>
        <r>
          <rPr>
            <b/>
            <u/>
            <sz val="14"/>
            <color rgb="FF0563C1"/>
            <rFont val="Times New Roman"/>
            <family val="18"/>
          </rPr>
          <t>Sátoraljaújhely, Hungary</t>
        </r>
        <r>
          <rPr>
            <b/>
            <sz val="14"/>
            <color rgb="FF000000"/>
            <rFont val="Times New Roman"/>
            <family val="18"/>
          </rPr>
          <t>]</t>
        </r>
        <r>
          <rPr>
            <i/>
            <sz val="14"/>
            <color rgb="FF000000"/>
            <rFont val="Times New Roman"/>
            <family val="18"/>
          </rPr>
          <t xml:space="preserve"> Zempliner Komität in gestellt, in Sátoraljaújhely zum IR 39 a 3 Fl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01/11/1805 </t>
        </r>
        <r>
          <rPr>
            <i/>
            <sz val="14"/>
            <color rgb="FF000000"/>
            <rFont val="Times New Roman"/>
            <family val="18"/>
          </rPr>
          <t>Zu Ujhely kommandiert</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06/11/1805 </t>
        </r>
        <r>
          <rPr>
            <i/>
            <sz val="14"/>
            <color rgb="FF000000"/>
            <rFont val="Times New Roman"/>
            <family val="18"/>
          </rPr>
          <t>Wieder in der Kompanie</t>
        </r>
        <r>
          <rPr>
            <sz val="14"/>
            <color rgb="FF000000"/>
            <rFont val="Times New Roman"/>
            <family val="18"/>
          </rPr>
          <t xml:space="preserve"> [ST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zur 14.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14. Fus. Komp. Nr. 72</t>
        </r>
        <r>
          <rPr>
            <sz val="14"/>
            <color rgb="FF000000"/>
            <rFont val="Calibri"/>
            <family val="34"/>
          </rPr>
          <t xml:space="preserve">
</t>
        </r>
        <r>
          <rPr>
            <sz val="14"/>
            <color rgb="FF000000"/>
            <rFont val="Times New Roman"/>
            <family val="18"/>
          </rPr>
          <t xml:space="preserve">28/02/1807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35" authorId="0" shapeId="0" xr:uid="{36F1582C-17C4-2845-A94F-C770F78E7185}">
      <text>
        <r>
          <rPr>
            <sz val="14"/>
            <color rgb="FF000000"/>
            <rFont val="Times New Roman"/>
            <family val="18"/>
          </rPr>
          <t>ML 3499 IR 39 (1807) – 14. Fus. Komp. Nr. 72 (Letschau 23/01/1807)</t>
        </r>
        <r>
          <rPr>
            <sz val="14"/>
            <color rgb="FF000000"/>
            <rFont val="Calibri"/>
            <family val="34"/>
          </rPr>
          <t xml:space="preserve">
</t>
        </r>
        <r>
          <rPr>
            <sz val="14"/>
            <color rgb="FF000000"/>
            <rFont val="Times New Roman"/>
            <family val="18"/>
          </rPr>
          <t>ML 3500 IR 39 (1808-10) – RL 1808 5. Fus. Komp. – Abgang (Comorn 19/09/1808)</t>
        </r>
        <r>
          <rPr>
            <sz val="14"/>
            <color rgb="FF000000"/>
            <rFont val="Calibri"/>
            <family val="34"/>
          </rPr>
          <t xml:space="preserve">
</t>
        </r>
        <r>
          <rPr>
            <sz val="14"/>
            <color rgb="FF000000"/>
            <rFont val="Times New Roman"/>
            <family val="18"/>
          </rPr>
          <t>ML 3546 IR 39 (1805) – AL Nr. 117 (Sátoraljaújhely 17/10/1805), ST Nov (Pest 15/10/1806)</t>
        </r>
        <r>
          <rPr>
            <sz val="14"/>
            <color rgb="FF000000"/>
            <rFont val="Calibri"/>
            <family val="34"/>
          </rPr>
          <t xml:space="preserve">
</t>
        </r>
      </text>
    </comment>
    <comment ref="BH535" authorId="0" shapeId="0" xr:uid="{6DAB9256-12C1-AB4F-A115-DF2BA4A325DE}">
      <text>
        <r>
          <rPr>
            <sz val="14"/>
            <color rgb="FF000000"/>
            <rFont val="Calibri"/>
            <family val="34"/>
          </rPr>
          <t>IR 39 (1805-1807)</t>
        </r>
      </text>
    </comment>
    <comment ref="BF536" authorId="0" shapeId="0" xr:uid="{6A5C8018-DF40-8D4E-BBCC-1E12BDB58FD5}">
      <text>
        <r>
          <rPr>
            <sz val="14"/>
            <color rgb="FF000000"/>
            <rFont val="Times New Roman"/>
            <family val="18"/>
          </rPr>
          <t xml:space="preserve">18/10/1805 </t>
        </r>
        <r>
          <rPr>
            <i/>
            <sz val="14"/>
            <color rgb="FF000000"/>
            <rFont val="Times New Roman"/>
            <family val="18"/>
          </rPr>
          <t>Von Lande a 3Fl gestellt und zum IR 59 Obrist Komp. assentiert</t>
        </r>
        <r>
          <rPr>
            <sz val="14"/>
            <color rgb="FF000000"/>
            <rFont val="Times New Roman"/>
            <family val="18"/>
          </rPr>
          <t xml:space="preserve"> [AL Oct 1805]</t>
        </r>
        <r>
          <rPr>
            <sz val="14"/>
            <color rgb="FF000000"/>
            <rFont val="Calibri"/>
            <family val="34"/>
          </rPr>
          <t xml:space="preserve">
</t>
        </r>
        <r>
          <rPr>
            <sz val="14"/>
            <color rgb="FF000000"/>
            <rFont val="Times New Roman"/>
            <family val="18"/>
          </rPr>
          <t xml:space="preserve">21/01/1806 </t>
        </r>
        <r>
          <rPr>
            <i/>
            <sz val="14"/>
            <color rgb="FF000000"/>
            <rFont val="Times New Roman"/>
            <family val="18"/>
          </rPr>
          <t>Zu Slomnik gestorben</t>
        </r>
        <r>
          <rPr>
            <sz val="14"/>
            <color rgb="FF000000"/>
            <rFont val="Times New Roman"/>
            <family val="18"/>
          </rPr>
          <t xml:space="preserve"> [ML 1806]</t>
        </r>
      </text>
    </comment>
    <comment ref="BG536" authorId="0" shapeId="0" xr:uid="{D5E9C2F1-2C0E-2540-85B7-C4CCED2A90A7}">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9 (Siedlce 31/10/1805)</t>
        </r>
        <r>
          <rPr>
            <sz val="14"/>
            <color rgb="FF000000"/>
            <rFont val="Calibri"/>
            <family val="34"/>
          </rPr>
          <t xml:space="preserve">
</t>
        </r>
      </text>
    </comment>
    <comment ref="BH536" authorId="0" shapeId="0" xr:uid="{36996DF1-AB15-D14D-8570-E057BEC249EB}">
      <text>
        <r>
          <rPr>
            <sz val="14"/>
            <color rgb="FF000000"/>
            <rFont val="Calibri"/>
            <family val="34"/>
          </rPr>
          <t>IR 59 (1805-1806)</t>
        </r>
      </text>
    </comment>
    <comment ref="BF537" authorId="0" shapeId="0" xr:uid="{8F1F4F5F-64CE-924A-8CA5-099CFFBC4C07}">
      <text>
        <r>
          <rPr>
            <sz val="14"/>
            <color rgb="FF000000"/>
            <rFont val="Calibri"/>
            <family val="34"/>
          </rPr>
          <t xml:space="preserve">In 09/1805 </t>
        </r>
        <r>
          <rPr>
            <i/>
            <sz val="14"/>
            <color rgb="FF000000"/>
            <rFont val="Calibri"/>
            <family val="34"/>
          </rPr>
          <t>zum MFWK assentiert</t>
        </r>
        <r>
          <rPr>
            <sz val="14"/>
            <color rgb="FF000000"/>
            <rFont val="Calibri"/>
            <family val="34"/>
          </rPr>
          <t xml:space="preserve"> [TL 1805]
</t>
        </r>
        <r>
          <rPr>
            <sz val="14"/>
            <color rgb="FF000000"/>
            <rFont val="Calibri"/>
            <family val="34"/>
          </rPr>
          <t xml:space="preserve">11/10/1805 </t>
        </r>
        <r>
          <rPr>
            <i/>
            <sz val="14"/>
            <color rgb="FF000000"/>
            <rFont val="Calibri"/>
            <family val="34"/>
          </rPr>
          <t>Von MFWK Reserve Commando Nr. 1 zum HR 4 Regiment Fuhrwesen personale Transferiert und seitdem in Regiments Depot zugeheilt</t>
        </r>
        <r>
          <rPr>
            <sz val="14"/>
            <color rgb="FF000000"/>
            <rFont val="Calibri"/>
            <family val="34"/>
          </rPr>
          <t xml:space="preserve"> [Tl 1805 &amp; ST Oct 1805]
</t>
        </r>
        <r>
          <rPr>
            <sz val="14"/>
            <color rgb="FF000000"/>
            <rFont val="Calibri"/>
            <family val="34"/>
          </rPr>
          <t xml:space="preserve">20/05/1806 </t>
        </r>
        <r>
          <rPr>
            <i/>
            <sz val="14"/>
            <color rgb="FF000000"/>
            <rFont val="Calibri"/>
            <family val="34"/>
          </rPr>
          <t>Von HR 4 Fuhrwesen Personale zum MFWK transferiert</t>
        </r>
        <r>
          <rPr>
            <sz val="14"/>
            <color rgb="FF000000"/>
            <rFont val="Calibri"/>
            <family val="34"/>
          </rPr>
          <t xml:space="preserve"> [ST Mai 1806]</t>
        </r>
      </text>
    </comment>
    <comment ref="BG537" authorId="0" shapeId="0" xr:uid="{B5C19DD2-5D56-A84F-B272-732F815CE986}">
      <text>
        <r>
          <rPr>
            <sz val="14"/>
            <color rgb="FF000000"/>
            <rFont val="Calibri"/>
            <family val="34"/>
          </rPr>
          <t xml:space="preserve">ML 3499 IR 39 (1807) – 9. Fus. Komp. Nr. 57 (Kesmark 24/01/1807)
</t>
        </r>
        <r>
          <rPr>
            <sz val="14"/>
            <color rgb="FF000000"/>
            <rFont val="Calibri"/>
            <family val="34"/>
          </rPr>
          <t xml:space="preserve">ML 3500 IR 39 (1808-10) – RL 1808 13. Fus. Komp. – Abgang (Comorn 19/09/1808)
</t>
        </r>
        <r>
          <rPr>
            <sz val="14"/>
            <color rgb="FF000000"/>
            <rFont val="Calibri"/>
            <family val="34"/>
          </rPr>
          <t xml:space="preserve">ML 3546 IR 39 (1805) – AL Nr. 117 (Sátoraljaújhely 17/10/1805), ST Nov (Pest 15/10/1806)
</t>
        </r>
      </text>
    </comment>
    <comment ref="BH537" authorId="0" shapeId="0" xr:uid="{25957276-A1C1-2C42-91F6-9AD285C94BB1}">
      <text>
        <r>
          <rPr>
            <sz val="14"/>
            <color rgb="FF000000"/>
            <rFont val="Calibri"/>
            <family val="34"/>
          </rPr>
          <t xml:space="preserve">IR 63 (1805)
</t>
        </r>
        <r>
          <rPr>
            <sz val="14"/>
            <color rgb="FF000000"/>
            <rFont val="Calibri"/>
            <family val="34"/>
          </rPr>
          <t>HR 4 (?1810-1813)</t>
        </r>
      </text>
    </comment>
    <comment ref="BF538" authorId="0" shapeId="0" xr:uid="{F2361252-32BA-F547-9437-9C883DA3EBE0}">
      <text>
        <r>
          <rPr>
            <sz val="14"/>
            <color rgb="FF000000"/>
            <rFont val="Times New Roman"/>
            <family val="18"/>
          </rPr>
          <t xml:space="preserve">26/10/1805 </t>
        </r>
        <r>
          <rPr>
            <i/>
            <sz val="14"/>
            <color rgb="FF000000"/>
            <rFont val="Times New Roman"/>
            <family val="18"/>
          </rPr>
          <t>In loco</t>
        </r>
        <r>
          <rPr>
            <sz val="14"/>
            <color rgb="FF000000"/>
            <rFont val="Times New Roman"/>
            <family val="18"/>
          </rPr>
          <t xml:space="preserve"> </t>
        </r>
        <r>
          <rPr>
            <b/>
            <sz val="14"/>
            <color rgb="FF000000"/>
            <rFont val="Times New Roman"/>
            <family val="18"/>
          </rPr>
          <t>[Troppau]</t>
        </r>
        <r>
          <rPr>
            <sz val="14"/>
            <color rgb="FF000000"/>
            <rFont val="Times New Roman"/>
            <family val="18"/>
          </rPr>
          <t xml:space="preserve"> </t>
        </r>
        <r>
          <rPr>
            <i/>
            <sz val="14"/>
            <color rgb="FF000000"/>
            <rFont val="Times New Roman"/>
            <family val="18"/>
          </rPr>
          <t>A 3Fl Handgeld zum 19. Fus von 6. Bat von IR 20 a 3Fl Handgeld mit 10-Jähriger Kapitulation gestellt</t>
        </r>
        <r>
          <rPr>
            <sz val="14"/>
            <color rgb="FF000000"/>
            <rFont val="Times New Roman"/>
            <family val="18"/>
          </rPr>
          <t xml:space="preserve"> [AL Oct 1805]
</t>
        </r>
        <r>
          <rPr>
            <sz val="14"/>
            <color rgb="FF000000"/>
            <rFont val="Times New Roman"/>
            <family val="18"/>
          </rPr>
          <t xml:space="preserve">02/12/1805 </t>
        </r>
        <r>
          <rPr>
            <i/>
            <sz val="14"/>
            <color rgb="FF000000"/>
            <rFont val="Times New Roman"/>
            <family val="18"/>
          </rPr>
          <t xml:space="preserve">Bey der </t>
        </r>
        <r>
          <rPr>
            <b/>
            <sz val="14"/>
            <color rgb="FF000000"/>
            <rFont val="Times New Roman"/>
            <family val="18"/>
          </rPr>
          <t>Affaire bei Austerlitz</t>
        </r>
        <r>
          <rPr>
            <i/>
            <sz val="14"/>
            <color rgb="FF000000"/>
            <rFont val="Times New Roman"/>
            <family val="18"/>
          </rPr>
          <t xml:space="preserve"> in der Kriegsgefangenschaft gefallen</t>
        </r>
        <r>
          <rPr>
            <sz val="14"/>
            <color rgb="FF000000"/>
            <rFont val="Times New Roman"/>
            <family val="18"/>
          </rPr>
          <t xml:space="preserve"> [ML 1806]
</t>
        </r>
        <r>
          <rPr>
            <sz val="14"/>
            <color rgb="FF000000"/>
            <rFont val="Times New Roman"/>
            <family val="18"/>
          </rPr>
          <t xml:space="preserve">19/12/1805 </t>
        </r>
        <r>
          <rPr>
            <i/>
            <sz val="14"/>
            <color rgb="FF000000"/>
            <rFont val="Times New Roman"/>
            <family val="18"/>
          </rPr>
          <t>Von Kriegsgefangenschaft selbst ranzioniert und zu Troppau präsentiert</t>
        </r>
        <r>
          <rPr>
            <sz val="14"/>
            <color rgb="FF000000"/>
            <rFont val="Times New Roman"/>
            <family val="18"/>
          </rPr>
          <t xml:space="preserve"> [ML 1806]
</t>
        </r>
        <r>
          <rPr>
            <sz val="14"/>
            <color rgb="FF000000"/>
            <rFont val="Times New Roman"/>
            <family val="18"/>
          </rPr>
          <t xml:space="preserve">03/01/1806 </t>
        </r>
        <r>
          <rPr>
            <i/>
            <sz val="14"/>
            <color rgb="FF000000"/>
            <rFont val="Times New Roman"/>
            <family val="18"/>
          </rPr>
          <t>Von 19. zum 15. Fus. Komp. transferiert</t>
        </r>
        <r>
          <rPr>
            <sz val="14"/>
            <color rgb="FF000000"/>
            <rFont val="Times New Roman"/>
            <family val="18"/>
          </rPr>
          <t xml:space="preserve"> [ML 1806]
</t>
        </r>
        <r>
          <rPr>
            <sz val="14"/>
            <color rgb="FF000000"/>
            <rFont val="Times New Roman"/>
            <family val="18"/>
          </rPr>
          <t xml:space="preserve">03/06/1806 </t>
        </r>
        <r>
          <rPr>
            <i/>
            <sz val="14"/>
            <color rgb="FF000000"/>
            <rFont val="Times New Roman"/>
            <family val="18"/>
          </rPr>
          <t>In loco Desertiert</t>
        </r>
        <r>
          <rPr>
            <sz val="14"/>
            <color rgb="FF000000"/>
            <rFont val="Times New Roman"/>
            <family val="18"/>
          </rPr>
          <t xml:space="preserve"> [ML 1806]
</t>
        </r>
      </text>
    </comment>
    <comment ref="BG538" authorId="0" shapeId="0" xr:uid="{12F2102C-15BE-9A45-AD4F-7AAF1710BB2E}">
      <text>
        <r>
          <rPr>
            <sz val="14"/>
            <color rgb="FF000000"/>
            <rFont val="Times New Roman"/>
            <family val="18"/>
          </rPr>
          <t>ML 1623-5 IR 20 (1806) –15. Fus. und 19. Komp. (Olmütz 15/12/1806)</t>
        </r>
        <r>
          <rPr>
            <sz val="14"/>
            <color rgb="FF000000"/>
            <rFont val="Times New Roman"/>
            <family val="18"/>
          </rPr>
          <t xml:space="preserve">
</t>
        </r>
        <r>
          <rPr>
            <sz val="14"/>
            <color rgb="FF000000"/>
            <rFont val="Times New Roman"/>
            <family val="18"/>
          </rPr>
          <t>ML 1659 IR 20 (1805) – AL Nr. 250 (Troppau 30/10/1805)</t>
        </r>
        <r>
          <rPr>
            <sz val="14"/>
            <color rgb="FF000000"/>
            <rFont val="Times New Roman"/>
            <family val="18"/>
          </rPr>
          <t xml:space="preserve">
</t>
        </r>
      </text>
    </comment>
    <comment ref="BH538" authorId="0" shapeId="0" xr:uid="{C7E9607A-B04B-8740-85E1-9F6681459CE0}">
      <text>
        <r>
          <rPr>
            <sz val="14"/>
            <color rgb="FF000000"/>
            <rFont val="Calibri"/>
            <family val="34"/>
          </rPr>
          <t>IR 20 (1805-1806)</t>
        </r>
      </text>
    </comment>
    <comment ref="BF539" authorId="0" shapeId="0" xr:uid="{A1018676-EA6B-4846-AFED-2491A4BB231A}">
      <text>
        <r>
          <rPr>
            <sz val="14"/>
            <color rgb="FF000000"/>
            <rFont val="Times New Roman"/>
            <family val="18"/>
          </rPr>
          <t xml:space="preserve">15/11/1805 </t>
        </r>
        <r>
          <rPr>
            <i/>
            <sz val="14"/>
            <color rgb="FF000000"/>
            <rFont val="Times New Roman"/>
            <family val="18"/>
          </rPr>
          <t>Für Lublin von Land gestellt</t>
        </r>
        <r>
          <rPr>
            <sz val="14"/>
            <color rgb="FF000000"/>
            <rFont val="Times New Roman"/>
            <family val="18"/>
          </rPr>
          <t xml:space="preserve"> [ML 1806 &amp; SUP Aug 1807]</t>
        </r>
        <r>
          <rPr>
            <sz val="14"/>
            <color rgb="FF000000"/>
            <rFont val="Calibri"/>
            <family val="34"/>
          </rPr>
          <t xml:space="preserve">
</t>
        </r>
        <r>
          <rPr>
            <sz val="14"/>
            <color rgb="FF000000"/>
            <rFont val="Times New Roman"/>
            <family val="18"/>
          </rPr>
          <t>22/12/1806 Muster: IR 55 12. Fus. Komp. Nr. 37</t>
        </r>
        <r>
          <rPr>
            <sz val="14"/>
            <color rgb="FF000000"/>
            <rFont val="Calibri"/>
            <family val="34"/>
          </rPr>
          <t xml:space="preserve">
</t>
        </r>
        <r>
          <rPr>
            <sz val="14"/>
            <color rgb="FF000000"/>
            <rFont val="Times New Roman"/>
            <family val="18"/>
          </rPr>
          <t xml:space="preserve">16/02/1807 </t>
        </r>
        <r>
          <rPr>
            <i/>
            <sz val="14"/>
            <color rgb="FF000000"/>
            <rFont val="Times New Roman"/>
            <family val="18"/>
          </rPr>
          <t>Von 12. Fus zum 1. Gren. Komp transferiert und zum Privat Diener fur UnterLt. Martial Conde mutiert</t>
        </r>
        <r>
          <rPr>
            <sz val="14"/>
            <color rgb="FF000000"/>
            <rFont val="Times New Roman"/>
            <family val="18"/>
          </rPr>
          <t xml:space="preserve"> [ST Feb 1807]</t>
        </r>
        <r>
          <rPr>
            <sz val="14"/>
            <color rgb="FF000000"/>
            <rFont val="Calibri"/>
            <family val="34"/>
          </rPr>
          <t xml:space="preserve">
</t>
        </r>
        <r>
          <rPr>
            <sz val="14"/>
            <color rgb="FF000000"/>
            <rFont val="Times New Roman"/>
            <family val="18"/>
          </rPr>
          <t xml:space="preserve">20/07/1807 </t>
        </r>
        <r>
          <rPr>
            <i/>
            <sz val="14"/>
            <color rgb="FF000000"/>
            <rFont val="Times New Roman"/>
            <family val="18"/>
          </rPr>
          <t>In Arrest</t>
        </r>
        <r>
          <rPr>
            <sz val="14"/>
            <color rgb="FF000000"/>
            <rFont val="Times New Roman"/>
            <family val="18"/>
          </rPr>
          <t xml:space="preserve"> [ST Juli 1807]</t>
        </r>
        <r>
          <rPr>
            <sz val="14"/>
            <color rgb="FF000000"/>
            <rFont val="Calibri"/>
            <family val="34"/>
          </rPr>
          <t xml:space="preserve">
</t>
        </r>
        <r>
          <rPr>
            <sz val="14"/>
            <color rgb="FF000000"/>
            <rFont val="Times New Roman"/>
            <family val="18"/>
          </rPr>
          <t xml:space="preserve">22/07/1807 </t>
        </r>
        <r>
          <rPr>
            <i/>
            <sz val="14"/>
            <color rgb="FF000000"/>
            <rFont val="Times New Roman"/>
            <family val="18"/>
          </rPr>
          <t>Befreit</t>
        </r>
        <r>
          <rPr>
            <sz val="14"/>
            <color rgb="FF000000"/>
            <rFont val="Times New Roman"/>
            <family val="18"/>
          </rPr>
          <t xml:space="preserve"> [ST Juli]]</t>
        </r>
        <r>
          <rPr>
            <sz val="14"/>
            <color rgb="FF000000"/>
            <rFont val="Calibri"/>
            <family val="34"/>
          </rPr>
          <t xml:space="preserve">
</t>
        </r>
        <r>
          <rPr>
            <sz val="14"/>
            <color rgb="FF000000"/>
            <rFont val="Times New Roman"/>
            <family val="18"/>
          </rPr>
          <t xml:space="preserve">24/08/1807 </t>
        </r>
        <r>
          <rPr>
            <i/>
            <sz val="14"/>
            <color rgb="FF000000"/>
            <rFont val="Times New Roman"/>
            <family val="18"/>
          </rPr>
          <t>Krank in Regiment Spital</t>
        </r>
        <r>
          <rPr>
            <sz val="14"/>
            <color rgb="FF000000"/>
            <rFont val="Times New Roman"/>
            <family val="18"/>
          </rPr>
          <t xml:space="preserve"> [Juli 1807]</t>
        </r>
        <r>
          <rPr>
            <sz val="14"/>
            <color rgb="FF000000"/>
            <rFont val="Calibri"/>
            <family val="34"/>
          </rPr>
          <t xml:space="preserve">
</t>
        </r>
        <r>
          <rPr>
            <sz val="14"/>
            <color rgb="FF000000"/>
            <rFont val="Times New Roman"/>
            <family val="18"/>
          </rPr>
          <t xml:space="preserve">01/08/1807 </t>
        </r>
        <r>
          <rPr>
            <i/>
            <sz val="14"/>
            <color rgb="FF000000"/>
            <rFont val="Times New Roman"/>
            <family val="18"/>
          </rPr>
          <t>Wieder in Arrest</t>
        </r>
        <r>
          <rPr>
            <sz val="14"/>
            <color rgb="FF000000"/>
            <rFont val="Times New Roman"/>
            <family val="18"/>
          </rPr>
          <t xml:space="preserve"> [Aug 1807]</t>
        </r>
        <r>
          <rPr>
            <sz val="14"/>
            <color rgb="FF000000"/>
            <rFont val="Calibri"/>
            <family val="34"/>
          </rPr>
          <t xml:space="preserve">
</t>
        </r>
        <r>
          <rPr>
            <sz val="14"/>
            <color rgb="FF000000"/>
            <rFont val="Times New Roman"/>
            <family val="18"/>
          </rPr>
          <t xml:space="preserve">05/08/1807 </t>
        </r>
        <r>
          <rPr>
            <i/>
            <sz val="14"/>
            <color rgb="FF000000"/>
            <rFont val="Times New Roman"/>
            <family val="18"/>
          </rPr>
          <t>Rekonvalesziert</t>
        </r>
        <r>
          <rPr>
            <sz val="14"/>
            <color rgb="FF000000"/>
            <rFont val="Times New Roman"/>
            <family val="18"/>
          </rPr>
          <t xml:space="preserve"> [ST Aug 1807]</t>
        </r>
        <r>
          <rPr>
            <sz val="14"/>
            <color rgb="FF000000"/>
            <rFont val="Calibri"/>
            <family val="34"/>
          </rPr>
          <t xml:space="preserve">
</t>
        </r>
        <r>
          <rPr>
            <sz val="14"/>
            <color rgb="FF000000"/>
            <rFont val="Times New Roman"/>
            <family val="18"/>
          </rPr>
          <t>14/08/1807 Superarbeitrung: Defekt – Leistenbruch; In Garnison Regiment zu transferieren [SUP Aug 1807]</t>
        </r>
        <r>
          <rPr>
            <sz val="14"/>
            <color rgb="FF000000"/>
            <rFont val="Calibri"/>
            <family val="34"/>
          </rPr>
          <t xml:space="preserve">
</t>
        </r>
        <r>
          <rPr>
            <sz val="14"/>
            <color rgb="FF000000"/>
            <rFont val="Times New Roman"/>
            <family val="18"/>
          </rPr>
          <t xml:space="preserve">25/08/1807 </t>
        </r>
        <r>
          <rPr>
            <i/>
            <sz val="14"/>
            <color rgb="FF000000"/>
            <rFont val="Times New Roman"/>
            <family val="18"/>
          </rPr>
          <t>Befreit von Arrest und zum 2. Garnison Regiment Nr. 6 in Folge Hohe Superarbeitrierung ddt. Crakau en 14 August 807 transferiert</t>
        </r>
        <r>
          <rPr>
            <sz val="14"/>
            <color rgb="FF000000"/>
            <rFont val="Times New Roman"/>
            <family val="18"/>
          </rPr>
          <t xml:space="preserve"> [ST Aug 1807]</t>
        </r>
        <r>
          <rPr>
            <sz val="14"/>
            <color rgb="FF000000"/>
            <rFont val="Calibri"/>
            <family val="34"/>
          </rPr>
          <t xml:space="preserve">
</t>
        </r>
      </text>
    </comment>
    <comment ref="BG539" authorId="0" shapeId="0" xr:uid="{F3E43270-6200-454D-9919-00E0CC341DE0}">
      <text>
        <r>
          <rPr>
            <sz val="14"/>
            <color rgb="FF000000"/>
            <rFont val="Times New Roman"/>
            <family val="18"/>
          </rPr>
          <t>ML 10.562 IR 55 (1806): 12. Fus. Komp. Nr. 37 (Krakow 22/12/1806)</t>
        </r>
        <r>
          <rPr>
            <sz val="14"/>
            <color rgb="FF000000"/>
            <rFont val="Calibri"/>
            <family val="34"/>
          </rPr>
          <t xml:space="preserve">
</t>
        </r>
        <r>
          <rPr>
            <sz val="14"/>
            <color rgb="FF000000"/>
            <rFont val="Times New Roman"/>
            <family val="18"/>
          </rPr>
          <t>ML 10.697 IR 55 (1807): SUP Nr. 1 (Krakow 14/08/1807); Februar (26/04/1807); Juli (Krakow 30/08/1807); August (Krakow 30/09/1807)</t>
        </r>
        <r>
          <rPr>
            <sz val="14"/>
            <color rgb="FF000000"/>
            <rFont val="Calibri"/>
            <family val="34"/>
          </rPr>
          <t xml:space="preserve">
</t>
        </r>
      </text>
    </comment>
    <comment ref="BH539" authorId="0" shapeId="0" xr:uid="{F858DCCC-3DFA-D24C-9513-472840497CA1}">
      <text>
        <r>
          <rPr>
            <sz val="14"/>
            <color rgb="FF000000"/>
            <rFont val="Calibri"/>
            <family val="34"/>
          </rPr>
          <t xml:space="preserve">IR 55 (1805-1807)
</t>
        </r>
        <r>
          <rPr>
            <sz val="14"/>
            <color rgb="FF000000"/>
            <rFont val="Calibri"/>
            <family val="34"/>
          </rPr>
          <t>GR 2 (1807)</t>
        </r>
      </text>
    </comment>
    <comment ref="BJ539" authorId="0" shapeId="0" xr:uid="{78D66469-FB61-1845-9AF3-A3E9F37585F3}">
      <text>
        <r>
          <rPr>
            <i/>
            <sz val="14"/>
            <color rgb="FF000000"/>
            <rFont val="Times New Roman"/>
            <family val="18"/>
          </rPr>
          <t>Leistenbruch</t>
        </r>
        <r>
          <rPr>
            <sz val="14"/>
            <color rgb="FF000000"/>
            <rFont val="Times New Roman"/>
            <family val="18"/>
          </rPr>
          <t>; In dienst Ohne Verschulde [SUP 1807]</t>
        </r>
        <r>
          <rPr>
            <sz val="14"/>
            <color rgb="FF000000"/>
            <rFont val="Calibri"/>
            <family val="2"/>
          </rPr>
          <t xml:space="preserve"> </t>
        </r>
      </text>
    </comment>
    <comment ref="I540" authorId="0" shapeId="0" xr:uid="{B51F9C16-7B6B-084C-9ECA-5A728D937A74}">
      <text>
        <r>
          <rPr>
            <sz val="14"/>
            <color rgb="FF000000"/>
            <rFont val="Calibri"/>
            <family val="34"/>
          </rPr>
          <t xml:space="preserve">1784 [22 (ML 1806)]
</t>
        </r>
        <r>
          <rPr>
            <sz val="14"/>
            <color rgb="FF000000"/>
            <rFont val="Calibri"/>
            <family val="34"/>
          </rPr>
          <t xml:space="preserve">OR 
</t>
        </r>
        <r>
          <rPr>
            <sz val="14"/>
            <color rgb="FF000000"/>
            <rFont val="Calibri"/>
            <family val="34"/>
          </rPr>
          <t>1786 [25 (ML 1811)]</t>
        </r>
      </text>
    </comment>
    <comment ref="BF540" authorId="0" shapeId="0" xr:uid="{36933BFD-3887-0847-AA75-DE7C1EBA3207}">
      <text>
        <r>
          <rPr>
            <sz val="14"/>
            <color rgb="FF000000"/>
            <rFont val="Times New Roman"/>
            <family val="18"/>
          </rPr>
          <t xml:space="preserve">15/11/1805 </t>
        </r>
        <r>
          <rPr>
            <i/>
            <sz val="14"/>
            <color rgb="FF000000"/>
            <rFont val="Times New Roman"/>
            <family val="18"/>
          </rPr>
          <t>Zu Siedliece a 3Fl Handgeld von Dominien mit 10 jähriger Capitulation in Reserve Division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 16.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59 16. Fus. Komp. Nr. 233 [</t>
        </r>
        <r>
          <rPr>
            <i/>
            <sz val="14"/>
            <color rgb="FF000000"/>
            <rFont val="Times New Roman"/>
            <family val="18"/>
          </rPr>
          <t>Beurlaubt in seinem Geburtsort bis Exercierzeit zu Siedlice in West Gallizien</t>
        </r>
        <r>
          <rPr>
            <sz val="14"/>
            <color rgb="FF000000"/>
            <rFont val="Times New Roman"/>
            <family val="18"/>
          </rPr>
          <t>]</t>
        </r>
        <r>
          <rPr>
            <sz val="14"/>
            <color rgb="FF000000"/>
            <rFont val="Calibri"/>
            <family val="34"/>
          </rPr>
          <t xml:space="preserve">
</t>
        </r>
        <r>
          <rPr>
            <sz val="14"/>
            <color rgb="FF000000"/>
            <rFont val="Times New Roman"/>
            <family val="18"/>
          </rPr>
          <t xml:space="preserve">25/10/1807 </t>
        </r>
        <r>
          <rPr>
            <i/>
            <sz val="14"/>
            <color rgb="FF000000"/>
            <rFont val="Times New Roman"/>
            <family val="18"/>
          </rPr>
          <t>Von IR 59 zum Grenz Cordon Ober Österreich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10/09/1811 Muster: GKOÖ 2. Komp. Nr. 89</t>
        </r>
        <r>
          <rPr>
            <sz val="14"/>
            <color rgb="FF000000"/>
            <rFont val="Calibri"/>
            <family val="34"/>
          </rPr>
          <t xml:space="preserve">
</t>
        </r>
        <r>
          <rPr>
            <sz val="14"/>
            <color rgb="FF000000"/>
            <rFont val="Times New Roman"/>
            <family val="18"/>
          </rPr>
          <t>26/09/1812 Revision: GKOÖ 2. Komp. Nr. 77</t>
        </r>
        <r>
          <rPr>
            <sz val="14"/>
            <color rgb="FF000000"/>
            <rFont val="Calibri"/>
            <family val="34"/>
          </rPr>
          <t xml:space="preserve">
</t>
        </r>
        <r>
          <rPr>
            <sz val="14"/>
            <color rgb="FF000000"/>
            <rFont val="Times New Roman"/>
            <family val="18"/>
          </rPr>
          <t xml:space="preserve">20/05/1817 </t>
        </r>
        <r>
          <rPr>
            <i/>
            <sz val="14"/>
            <color rgb="FF000000"/>
            <rFont val="Times New Roman"/>
            <family val="18"/>
          </rPr>
          <t>Vermög Hofkriegsratliche Reskript B 24 April 1817 K: 1777 A C Verordenung 27 April 1817 R 1292 denn MM Obtl Jatitution von 30 April 1817 Nr 2869 als Westgallizier mit abschied entlassen</t>
        </r>
        <r>
          <rPr>
            <sz val="14"/>
            <color rgb="FF000000"/>
            <rFont val="Times New Roman"/>
            <family val="18"/>
          </rPr>
          <t xml:space="preserve"> [ML 1819]</t>
        </r>
        <r>
          <rPr>
            <sz val="14"/>
            <color rgb="FF000000"/>
            <rFont val="Calibri"/>
            <family val="34"/>
          </rPr>
          <t xml:space="preserve">
</t>
        </r>
      </text>
    </comment>
    <comment ref="BG540" authorId="0" shapeId="0" xr:uid="{1E610F6F-2F1E-2E4C-8B79-8D391EAE74D9}">
      <text>
        <r>
          <rPr>
            <sz val="14"/>
            <color rgb="FF000000"/>
            <rFont val="Times New Roman"/>
            <family val="18"/>
          </rPr>
          <t>ML 5017/8 IR 59 (1806) – Heft von 16. Fus Comp. Nr. 233 (Freistadt 22/12/1806) &amp; Reserve Division Zuwachs und Abgang (Wells 06/07/1807)</t>
        </r>
        <r>
          <rPr>
            <sz val="14"/>
            <color rgb="FF000000"/>
            <rFont val="Calibri"/>
            <family val="34"/>
          </rPr>
          <t xml:space="preserve">
</t>
        </r>
        <r>
          <rPr>
            <sz val="14"/>
            <color rgb="FF000000"/>
            <rFont val="Times New Roman"/>
            <family val="18"/>
          </rPr>
          <t>ML 8765 GK OÖ (1811) –Haupt. Nigel 2. Komp. Nr. 89 (Gmunden 10/09/1811)</t>
        </r>
        <r>
          <rPr>
            <sz val="14"/>
            <color rgb="FF000000"/>
            <rFont val="Calibri"/>
            <family val="34"/>
          </rPr>
          <t xml:space="preserve">
</t>
        </r>
        <r>
          <rPr>
            <sz val="14"/>
            <color rgb="FF000000"/>
            <rFont val="Times New Roman"/>
            <family val="18"/>
          </rPr>
          <t>ML 8765 GK OÖ (1812) –Haupt. Nigel 2. Komp. Nr. 77 (Gmunden 26/09/1812)</t>
        </r>
        <r>
          <rPr>
            <sz val="14"/>
            <color rgb="FF000000"/>
            <rFont val="Calibri"/>
            <family val="34"/>
          </rPr>
          <t xml:space="preserve">
</t>
        </r>
        <r>
          <rPr>
            <sz val="14"/>
            <color rgb="FF000000"/>
            <rFont val="Times New Roman"/>
            <family val="18"/>
          </rPr>
          <t>ML 8765 GK OÖ (1817) –Haupt Sutter 2. Komp. Abgang (Gmunden &amp; Ischel 27-28/08/1817)</t>
        </r>
        <r>
          <rPr>
            <sz val="14"/>
            <color rgb="FF000000"/>
            <rFont val="Calibri"/>
            <family val="34"/>
          </rPr>
          <t xml:space="preserve">
</t>
        </r>
        <r>
          <rPr>
            <sz val="14"/>
            <color rgb="FF000000"/>
            <rFont val="Times New Roman"/>
            <family val="18"/>
          </rPr>
          <t>ML 8781 8765 GK OÖ (1817) – ST Mai (Linz 06/06/1817)</t>
        </r>
        <r>
          <rPr>
            <sz val="14"/>
            <color rgb="FF000000"/>
            <rFont val="Calibri"/>
            <family val="34"/>
          </rPr>
          <t xml:space="preserve">
</t>
        </r>
      </text>
    </comment>
    <comment ref="BH540" authorId="0" shapeId="0" xr:uid="{5F4F560A-CEBD-354F-A702-EEE88AA9799F}">
      <text>
        <r>
          <rPr>
            <sz val="14"/>
            <color rgb="FF000000"/>
            <rFont val="Calibri"/>
            <family val="34"/>
          </rPr>
          <t xml:space="preserve">IR 59 (1805-1807)
</t>
        </r>
        <r>
          <rPr>
            <sz val="14"/>
            <color rgb="FF000000"/>
            <rFont val="Calibri"/>
            <family val="34"/>
          </rPr>
          <t>GK OÖ (1807-1817)</t>
        </r>
      </text>
    </comment>
    <comment ref="BF541" authorId="0" shapeId="0" xr:uid="{F37B1C3B-D889-E746-9507-97F949E82E5C}">
      <text>
        <r>
          <rPr>
            <sz val="14"/>
            <color rgb="FF000000"/>
            <rFont val="Times New Roman"/>
            <family val="18"/>
          </rPr>
          <t xml:space="preserve">15/11/1805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541" authorId="0" shapeId="0" xr:uid="{A219A443-90D0-0B4C-B496-E58A2C5BEFCD}">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1 (Konskie 07/01/1806), SUP Nr. 4 (Troppau 20/04/1806)</t>
        </r>
        <r>
          <rPr>
            <sz val="14"/>
            <color rgb="FF000000"/>
            <rFont val="Calibri"/>
            <family val="34"/>
          </rPr>
          <t xml:space="preserve">
</t>
        </r>
      </text>
    </comment>
    <comment ref="BH541" authorId="0" shapeId="0" xr:uid="{8712F5C9-A4AB-A447-A90C-DBDD4935153A}">
      <text>
        <r>
          <rPr>
            <sz val="14"/>
            <color rgb="FF000000"/>
            <rFont val="Calibri"/>
            <family val="34"/>
          </rPr>
          <t>IR 20 (1805-1806)</t>
        </r>
      </text>
    </comment>
    <comment ref="BJ541" authorId="0" shapeId="0" xr:uid="{339C1DFB-D01C-3C47-B028-69FBDDB3C2A7}">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BF542" authorId="0" shapeId="0" xr:uid="{38789EE4-D712-9042-99C5-C9F9D27417F7}">
      <text>
        <r>
          <rPr>
            <sz val="14"/>
            <color rgb="FF000000"/>
            <rFont val="Times New Roman"/>
            <family val="18"/>
          </rPr>
          <t xml:space="preserve">15/11/1805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542" authorId="0" shapeId="0" xr:uid="{7D00C045-49A7-B946-BC66-1E0948EE666F}">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2 (Konskie 07/01/1806), SUP Nr. 5 (Troppau 20/04/1806)</t>
        </r>
        <r>
          <rPr>
            <sz val="14"/>
            <color rgb="FF000000"/>
            <rFont val="Calibri"/>
            <family val="34"/>
          </rPr>
          <t xml:space="preserve">
</t>
        </r>
      </text>
    </comment>
    <comment ref="BH542" authorId="0" shapeId="0" xr:uid="{63D64EF4-44B6-4D48-ACA1-DD3398656558}">
      <text>
        <r>
          <rPr>
            <sz val="14"/>
            <color rgb="FF000000"/>
            <rFont val="Calibri"/>
            <family val="34"/>
          </rPr>
          <t>IR 20 (1805-1806)</t>
        </r>
      </text>
    </comment>
    <comment ref="BJ542" authorId="0" shapeId="0" xr:uid="{714FC89E-43F6-304A-B82D-D96AC238BE3B}">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BF543" authorId="0" shapeId="0" xr:uid="{F8BE4311-371C-EC41-9E29-34DDAF58723F}">
      <text>
        <r>
          <rPr>
            <sz val="14"/>
            <color rgb="FF000000"/>
            <rFont val="Times New Roman"/>
            <family val="18"/>
          </rPr>
          <t xml:space="preserve">15/11/1805 </t>
        </r>
        <r>
          <rPr>
            <i/>
            <sz val="14"/>
            <color rgb="FF000000"/>
            <rFont val="Times New Roman"/>
            <family val="18"/>
          </rPr>
          <t>Auf 3 Fl Handgeld auf 10 Jahr Capitulation von galizischen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Genz Komp. zum Galizischen Freibataillon Nr. 2 transferiert und zum 1. Komp. von CaptLt Brandstein eingeheilt</t>
        </r>
        <r>
          <rPr>
            <sz val="14"/>
            <color rgb="FF000000"/>
            <rFont val="Times New Roman"/>
            <family val="18"/>
          </rPr>
          <t xml:space="preserve"> [ST March 1809 &amp; TL Dec 1809]</t>
        </r>
        <r>
          <rPr>
            <sz val="14"/>
            <color rgb="FF000000"/>
            <rFont val="Calibri"/>
            <family val="34"/>
          </rPr>
          <t xml:space="preserve">
</t>
        </r>
        <r>
          <rPr>
            <sz val="14"/>
            <color rgb="FF000000"/>
            <rFont val="Times New Roman"/>
            <family val="18"/>
          </rPr>
          <t xml:space="preserve">06/07/1809 </t>
        </r>
        <r>
          <rPr>
            <i/>
            <sz val="14"/>
            <color rgb="FF000000"/>
            <rFont val="Times New Roman"/>
            <family val="18"/>
          </rPr>
          <t>Zum Gefreyter avanciert</t>
        </r>
        <r>
          <rPr>
            <sz val="14"/>
            <color rgb="FF000000"/>
            <rFont val="Times New Roman"/>
            <family val="18"/>
          </rPr>
          <t xml:space="preserve"> [TL Jan 1810 &amp; ST July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Galizischen Freibataillon Nr. 2 1. Kompanie zum IR 24 ‚Strauch‘ transferiert</t>
        </r>
        <r>
          <rPr>
            <sz val="14"/>
            <color rgb="FF000000"/>
            <rFont val="Times New Roman"/>
            <family val="18"/>
          </rPr>
          <t xml:space="preserve"> [TL 1810 &amp; ST Jan 1810]</t>
        </r>
      </text>
    </comment>
    <comment ref="BG543" authorId="0" shapeId="0" xr:uid="{9F1CB592-FC1A-C74B-9F9C-C10218AC75DD}">
      <text>
        <r>
          <rPr>
            <sz val="14"/>
            <color rgb="FF000000"/>
            <rFont val="Times New Roman"/>
            <family val="18"/>
          </rPr>
          <t>ML 10.831 WGal FB 2 (1809-10) – TL IR 24-&gt; WGal FB 2 Nr. 37 (Csakowar 30/11/1809) &amp; TL WGal FB 2-&gt; IR 24 Nr. 12 (Leitmoschil 20/01/1810), ST March (Braddczy bei Caschau 10/08/1809), ST July (Brünn 20/12/1810), ST 1810 Jan (Tichnowitz 03/03/1811)</t>
        </r>
        <r>
          <rPr>
            <sz val="14"/>
            <color rgb="FF000000"/>
            <rFont val="Calibri"/>
            <family val="34"/>
          </rPr>
          <t xml:space="preserve">
</t>
        </r>
      </text>
    </comment>
    <comment ref="BH543" authorId="0" shapeId="0" xr:uid="{698B26FA-8EE9-2142-A9CD-83C6711376EB}">
      <text>
        <r>
          <rPr>
            <sz val="14"/>
            <color rgb="FF000000"/>
            <rFont val="Calibri"/>
            <family val="34"/>
          </rPr>
          <t xml:space="preserve">IR 24 (1805-9)
</t>
        </r>
        <r>
          <rPr>
            <sz val="14"/>
            <color rgb="FF000000"/>
            <rFont val="Calibri"/>
            <family val="34"/>
          </rPr>
          <t xml:space="preserve">WGal FB 2 (1809-10)
</t>
        </r>
        <r>
          <rPr>
            <sz val="14"/>
            <color rgb="FF000000"/>
            <rFont val="Calibri"/>
            <family val="34"/>
          </rPr>
          <t>IR 24 (1810)</t>
        </r>
      </text>
    </comment>
    <comment ref="BF544" authorId="0" shapeId="0" xr:uid="{186A9884-5EC2-0141-9C6C-96FA5AA6F63A}">
      <text>
        <r>
          <rPr>
            <sz val="14"/>
            <color rgb="FF000000"/>
            <rFont val="Times New Roman"/>
            <family val="18"/>
          </rPr>
          <t xml:space="preserve">15/11/1805 </t>
        </r>
        <r>
          <rPr>
            <i/>
            <sz val="14"/>
            <color rgb="FF000000"/>
            <rFont val="Times New Roman"/>
            <family val="18"/>
          </rPr>
          <t>Von Land gestellt a 3Fl und zu Reserve Division assentiert</t>
        </r>
        <r>
          <rPr>
            <sz val="14"/>
            <color rgb="FF000000"/>
            <rFont val="Times New Roman"/>
            <family val="18"/>
          </rPr>
          <t xml:space="preserve"> [ML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Zu Selkowice desertiert</t>
        </r>
        <r>
          <rPr>
            <sz val="14"/>
            <color rgb="FF000000"/>
            <rFont val="Times New Roman"/>
            <family val="18"/>
          </rPr>
          <t xml:space="preserve"> [ML 1806]</t>
        </r>
        <r>
          <rPr>
            <sz val="14"/>
            <color rgb="FF000000"/>
            <rFont val="Calibri"/>
            <family val="34"/>
          </rPr>
          <t xml:space="preserve">
</t>
        </r>
      </text>
    </comment>
    <comment ref="BG544" authorId="0" shapeId="0" xr:uid="{687366F1-3EF6-0141-B7D1-50401374A127}">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7 (Siedlce 16/11/1805)</t>
        </r>
        <r>
          <rPr>
            <sz val="14"/>
            <color rgb="FF000000"/>
            <rFont val="Calibri"/>
            <family val="34"/>
          </rPr>
          <t xml:space="preserve">
</t>
        </r>
      </text>
    </comment>
    <comment ref="BH544" authorId="0" shapeId="0" xr:uid="{3BE52599-EFCC-434B-A4C9-73039A8BED5F}">
      <text>
        <r>
          <rPr>
            <sz val="14"/>
            <color rgb="FF000000"/>
            <rFont val="Calibri"/>
            <family val="34"/>
          </rPr>
          <t>IR 20 (1805-1806)</t>
        </r>
      </text>
    </comment>
    <comment ref="BF545" authorId="0" shapeId="0" xr:uid="{E5F32D67-75C3-7843-B842-3EE793E4BD23}">
      <text>
        <r>
          <rPr>
            <sz val="14"/>
            <color rgb="FF000000"/>
            <rFont val="Times New Roman"/>
            <family val="18"/>
          </rPr>
          <t xml:space="preserve">16/11/1805 </t>
        </r>
        <r>
          <rPr>
            <i/>
            <sz val="14"/>
            <color rgb="FF000000"/>
            <rFont val="Times New Roman"/>
            <family val="18"/>
          </rPr>
          <t>Zu Konskie als Inländer und Werbbezirk recrout Land gegen 3Fl zum IR 20 gestellt und zur 1. Fus. Komp. Janschke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20/04/1806 Superarbietriert: </t>
        </r>
        <r>
          <rPr>
            <i/>
            <sz val="14"/>
            <color rgb="FF000000"/>
            <rFont val="Times New Roman"/>
            <family val="18"/>
          </rPr>
          <t xml:space="preserve">Schwäche und Kleine Körpergröße </t>
        </r>
        <r>
          <rPr>
            <sz val="14"/>
            <color rgb="FF000000"/>
            <rFont val="Times New Roman"/>
            <family val="18"/>
          </rPr>
          <t>[Mit Abschied zu entlassen]</t>
        </r>
        <r>
          <rPr>
            <sz val="14"/>
            <color rgb="FF000000"/>
            <rFont val="Calibri"/>
            <family val="34"/>
          </rPr>
          <t xml:space="preserve">
</t>
        </r>
        <r>
          <rPr>
            <sz val="14"/>
            <color rgb="FF000000"/>
            <rFont val="Times New Roman"/>
            <family val="18"/>
          </rPr>
          <t xml:space="preserve">15/08/1806 </t>
        </r>
        <r>
          <rPr>
            <i/>
            <sz val="14"/>
            <color rgb="FF000000"/>
            <rFont val="Times New Roman"/>
            <family val="18"/>
          </rPr>
          <t>Wegen Schwäche sonstigen habenden Defekten zu Folge Hohe General Commando Verordnung deto Brunn den 14. Marz 1806 mit Abschied entlassen</t>
        </r>
        <r>
          <rPr>
            <sz val="14"/>
            <color rgb="FF000000"/>
            <rFont val="Times New Roman"/>
            <family val="18"/>
          </rPr>
          <t xml:space="preserve"> [ML 1806]</t>
        </r>
        <r>
          <rPr>
            <sz val="14"/>
            <color rgb="FF000000"/>
            <rFont val="Calibri"/>
            <family val="34"/>
          </rPr>
          <t xml:space="preserve">
</t>
        </r>
      </text>
    </comment>
    <comment ref="BG545" authorId="0" shapeId="0" xr:uid="{8BA389F9-71C6-2741-9BF5-D09FC4E94612}">
      <text>
        <r>
          <rPr>
            <sz val="14"/>
            <color rgb="FF000000"/>
            <rFont val="Times New Roman"/>
            <family val="18"/>
          </rPr>
          <t>ML 1623/5 IR 20 (1806) – 1. Fus. Komp. Abgang (Olmütz 15/12/1806)</t>
        </r>
        <r>
          <rPr>
            <sz val="14"/>
            <color rgb="FF000000"/>
            <rFont val="Calibri"/>
            <family val="34"/>
          </rPr>
          <t xml:space="preserve">
</t>
        </r>
        <r>
          <rPr>
            <sz val="14"/>
            <color rgb="FF000000"/>
            <rFont val="Times New Roman"/>
            <family val="18"/>
          </rPr>
          <t>ML 1661 IR 20 (1806) – AL. Nr. 61 (Konskie 07/01/1806), SUP Nr. 3 (Troppau 20/04/1806)</t>
        </r>
        <r>
          <rPr>
            <sz val="14"/>
            <color rgb="FF000000"/>
            <rFont val="Calibri"/>
            <family val="34"/>
          </rPr>
          <t xml:space="preserve">
</t>
        </r>
      </text>
    </comment>
    <comment ref="BH545" authorId="0" shapeId="0" xr:uid="{ECB44F57-A3C3-1641-A0DE-F42CD6622073}">
      <text>
        <r>
          <rPr>
            <sz val="14"/>
            <color rgb="FF000000"/>
            <rFont val="Calibri"/>
            <family val="34"/>
          </rPr>
          <t>IR 20 (1805-1806)</t>
        </r>
      </text>
    </comment>
    <comment ref="BJ545" authorId="0" shapeId="0" xr:uid="{F4C35C1C-28AE-CD41-A97D-DFFD69E5BFEA}">
      <text>
        <r>
          <rPr>
            <i/>
            <sz val="14"/>
            <color rgb="FF000000"/>
            <rFont val="Times New Roman"/>
            <family val="18"/>
          </rPr>
          <t xml:space="preserve">Schwäche und Kleine Körpergröße </t>
        </r>
        <r>
          <rPr>
            <sz val="14"/>
            <color rgb="FF000000"/>
            <rFont val="Times New Roman"/>
            <family val="18"/>
          </rPr>
          <t>[SUP 1806]</t>
        </r>
        <r>
          <rPr>
            <sz val="14"/>
            <color rgb="FF000000"/>
            <rFont val="Calibri"/>
            <family val="2"/>
          </rPr>
          <t xml:space="preserve"> </t>
        </r>
      </text>
    </comment>
    <comment ref="I546" authorId="0" shapeId="0" xr:uid="{53CEC959-7F70-B14F-925F-9E15BB65FD44}">
      <text>
        <r>
          <rPr>
            <sz val="14"/>
            <color rgb="FF000000"/>
            <rFont val="Calibri"/>
            <family val="34"/>
          </rPr>
          <t xml:space="preserve">1762 [44 (SUP Mai 1806)]
</t>
        </r>
        <r>
          <rPr>
            <sz val="14"/>
            <color rgb="FF000000"/>
            <rFont val="Calibri"/>
            <family val="34"/>
          </rPr>
          <t xml:space="preserve">OR 
</t>
        </r>
        <r>
          <rPr>
            <sz val="14"/>
            <color rgb="FF000000"/>
            <rFont val="Calibri"/>
            <family val="34"/>
          </rPr>
          <t>1774 [31 (AL Jan 1806)]</t>
        </r>
      </text>
    </comment>
    <comment ref="BF546" authorId="0" shapeId="0" xr:uid="{246C699C-33DD-534C-8041-BB6652199392}">
      <text>
        <r>
          <rPr>
            <sz val="14"/>
            <color rgb="FF000000"/>
            <rFont val="Times New Roman"/>
            <family val="18"/>
          </rPr>
          <t xml:space="preserve">16/11/1805 </t>
        </r>
        <r>
          <rPr>
            <i/>
            <sz val="14"/>
            <color rgb="FF000000"/>
            <rFont val="Times New Roman"/>
            <family val="18"/>
          </rPr>
          <t>Von Land gegen 3Fl zum IR 20 gestellt und zur 6. Fus. Komp. Stein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05/07/1806 Superarbietriert: </t>
        </r>
        <r>
          <rPr>
            <i/>
            <sz val="14"/>
            <color rgb="FF000000"/>
            <rFont val="Times New Roman"/>
            <family val="18"/>
          </rPr>
          <t>Altes halber und gar nichts zur Militär Stand genützt</t>
        </r>
        <r>
          <rPr>
            <sz val="14"/>
            <color rgb="FF000000"/>
            <rFont val="Calibri"/>
            <family val="34"/>
          </rPr>
          <t xml:space="preserve"> </t>
        </r>
        <r>
          <rPr>
            <sz val="14"/>
            <color rgb="FF000000"/>
            <rFont val="Times New Roman"/>
            <family val="18"/>
          </rPr>
          <t>[Als angehöriger von Haupt Stein 8. Fus. Komp]</t>
        </r>
        <r>
          <rPr>
            <sz val="14"/>
            <color rgb="FF000000"/>
            <rFont val="Calibri"/>
            <family val="34"/>
          </rPr>
          <t xml:space="preserve">
</t>
        </r>
        <r>
          <rPr>
            <sz val="14"/>
            <color rgb="FF000000"/>
            <rFont val="Times New Roman"/>
            <family val="18"/>
          </rPr>
          <t xml:space="preserve">25/08/1806 </t>
        </r>
        <r>
          <rPr>
            <i/>
            <sz val="14"/>
            <color rgb="FF000000"/>
            <rFont val="Times New Roman"/>
            <family val="18"/>
          </rPr>
          <t>Wegen kurzer Dienstzeit und sonst anhabenden Defekten zu Folge Hohe General Commando Verordnung deto brunn 24/ July 1806 Litt. R nr. 6098 mit Laufpass entlassen</t>
        </r>
        <r>
          <rPr>
            <sz val="14"/>
            <color rgb="FF000000"/>
            <rFont val="Calibri"/>
            <family val="34"/>
          </rPr>
          <t xml:space="preserve">
</t>
        </r>
        <r>
          <rPr>
            <sz val="14"/>
            <color rgb="FF000000"/>
            <rFont val="Times New Roman"/>
            <family val="18"/>
          </rPr>
          <t>[ML 1806]</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G546" authorId="0" shapeId="0" xr:uid="{C29F6784-ABC2-1349-90A5-3084243BB2F4}">
      <text>
        <r>
          <rPr>
            <sz val="14"/>
            <color rgb="FF000000"/>
            <rFont val="Times New Roman"/>
            <family val="18"/>
          </rPr>
          <t>ML 1623-5 IR 20 (1806) – 8. Fus. Komp. Abgang(Olmütz 15/12/1806)</t>
        </r>
        <r>
          <rPr>
            <sz val="14"/>
            <color rgb="FF000000"/>
            <rFont val="Calibri"/>
            <family val="34"/>
          </rPr>
          <t xml:space="preserve">
</t>
        </r>
        <r>
          <rPr>
            <sz val="14"/>
            <color rgb="FF000000"/>
            <rFont val="Times New Roman"/>
            <family val="18"/>
          </rPr>
          <t>ML 1661 IR 20 (1806) – AL. Nr. 74 (Konskie 07/01/1806); SUP Nr. 29 (Troppau 05/07/1806)</t>
        </r>
        <r>
          <rPr>
            <sz val="14"/>
            <color rgb="FF000000"/>
            <rFont val="Calibri"/>
            <family val="34"/>
          </rPr>
          <t xml:space="preserve">
</t>
        </r>
      </text>
    </comment>
    <comment ref="BH546" authorId="0" shapeId="0" xr:uid="{5037EA19-5C22-0949-9700-6F7DB5BA381C}">
      <text>
        <r>
          <rPr>
            <sz val="14"/>
            <color rgb="FF000000"/>
            <rFont val="Calibri"/>
            <family val="34"/>
          </rPr>
          <t>IR 20 (1805-1806)</t>
        </r>
      </text>
    </comment>
    <comment ref="BJ546" authorId="0" shapeId="0" xr:uid="{6ED4C2ED-404E-B24F-9265-2B90433C39E8}">
      <text>
        <r>
          <rPr>
            <i/>
            <sz val="14"/>
            <color rgb="FF000000"/>
            <rFont val="Times New Roman"/>
            <family val="18"/>
          </rPr>
          <t xml:space="preserve">Alt Steif und ausgeschickt </t>
        </r>
        <r>
          <rPr>
            <sz val="14"/>
            <color rgb="FF000000"/>
            <rFont val="Times New Roman"/>
            <family val="18"/>
          </rPr>
          <t>[SUP 1806]</t>
        </r>
        <r>
          <rPr>
            <sz val="14"/>
            <color rgb="FF000000"/>
            <rFont val="Calibri"/>
            <family val="2"/>
          </rPr>
          <t xml:space="preserve"> </t>
        </r>
      </text>
    </comment>
    <comment ref="BF547" authorId="0" shapeId="0" xr:uid="{941A97DD-A9F6-E24B-A9D4-DCC822E059BD}">
      <text>
        <r>
          <rPr>
            <sz val="14"/>
            <color rgb="FF000000"/>
            <rFont val="Times New Roman"/>
            <family val="18"/>
          </rPr>
          <t xml:space="preserve">17/11/1805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Von Selkowice desertiert</t>
        </r>
        <r>
          <rPr>
            <sz val="14"/>
            <color rgb="FF000000"/>
            <rFont val="Times New Roman"/>
            <family val="18"/>
          </rPr>
          <t xml:space="preserve"> [ML 1806]</t>
        </r>
        <r>
          <rPr>
            <sz val="14"/>
            <color rgb="FF000000"/>
            <rFont val="Calibri"/>
            <family val="34"/>
          </rPr>
          <t xml:space="preserve">
</t>
        </r>
      </text>
    </comment>
    <comment ref="BG547" authorId="0" shapeId="0" xr:uid="{8E7FB015-4C62-E74E-A0A4-CB160C954F8C}">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25 (Siedlce 30/11/1805)</t>
        </r>
        <r>
          <rPr>
            <sz val="14"/>
            <color rgb="FF000000"/>
            <rFont val="Calibri"/>
            <family val="34"/>
          </rPr>
          <t xml:space="preserve">
</t>
        </r>
      </text>
    </comment>
    <comment ref="BH547" authorId="0" shapeId="0" xr:uid="{A2739466-E4A7-6C4D-8696-A84E43AECD56}">
      <text>
        <r>
          <rPr>
            <sz val="14"/>
            <color rgb="FF000000"/>
            <rFont val="Calibri"/>
            <family val="34"/>
          </rPr>
          <t>IR 59 (1805-1806)</t>
        </r>
      </text>
    </comment>
    <comment ref="BF548" authorId="0" shapeId="0" xr:uid="{E1DE85F3-0234-0F44-B5B7-2131C9652EAB}">
      <text>
        <r>
          <rPr>
            <sz val="14"/>
            <color rgb="FF000000"/>
            <rFont val="Times New Roman"/>
            <family val="18"/>
          </rPr>
          <t xml:space="preserve">17/11/1805 </t>
        </r>
        <r>
          <rPr>
            <i/>
            <sz val="14"/>
            <color rgb="FF000000"/>
            <rFont val="Times New Roman"/>
            <family val="18"/>
          </rPr>
          <t>Zu</t>
        </r>
        <r>
          <rPr>
            <i/>
            <sz val="14"/>
            <color rgb="FF000000"/>
            <rFont val="Times New Roman"/>
            <family val="18"/>
          </rPr>
          <t xml:space="preserve"> Kielce </t>
        </r>
        <r>
          <rPr>
            <i/>
            <sz val="14"/>
            <color rgb="FF000000"/>
            <rFont val="Times New Roman"/>
            <family val="18"/>
          </rPr>
          <t>on Land gestellt und a 3Fl Handgeld zum</t>
        </r>
        <r>
          <rPr>
            <i/>
            <sz val="14"/>
            <color rgb="FF000000"/>
            <rFont val="Times New Roman"/>
            <family val="18"/>
          </rPr>
          <t xml:space="preserve"> IR 59 Reserve Division aa</t>
        </r>
        <r>
          <rPr>
            <i/>
            <sz val="14"/>
            <color rgb="FF000000"/>
            <rFont val="Times New Roman"/>
            <family val="18"/>
          </rPr>
          <t>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06/01/1806 </t>
        </r>
        <r>
          <rPr>
            <i/>
            <sz val="14"/>
            <color rgb="FF000000"/>
            <rFont val="Times New Roman"/>
            <family val="18"/>
          </rPr>
          <t>Krank in Garnisons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unwissend verloren in Abgang gebracht</t>
        </r>
        <r>
          <rPr>
            <sz val="14"/>
            <color rgb="FF000000"/>
            <rFont val="Times New Roman"/>
            <family val="18"/>
          </rPr>
          <t xml:space="preserve"> [ML 1806]</t>
        </r>
        <r>
          <rPr>
            <sz val="14"/>
            <color rgb="FF000000"/>
            <rFont val="Calibri"/>
            <family val="34"/>
          </rPr>
          <t xml:space="preserve">
</t>
        </r>
      </text>
    </comment>
    <comment ref="BG548" authorId="0" shapeId="0" xr:uid="{CD91DB73-7423-9449-9859-BC1D7D7976AD}">
      <text>
        <r>
          <rPr>
            <sz val="14"/>
            <color rgb="FF000000"/>
            <rFont val="Times New Roman"/>
            <family val="18"/>
          </rPr>
          <t>ML 5017/8 IR 59 (1806) – 16. Fus. Komp. Abgang (Freistadt 22/12/1806), Reserve Division Zuwachs &amp; Abgang (Wells 06/07/1807) &amp; Cons.‚Unwissend verlohren‘ Nr. 678 (Linz 10/07/1807)</t>
        </r>
        <r>
          <rPr>
            <sz val="14"/>
            <color rgb="FF000000"/>
            <rFont val="Calibri"/>
            <family val="34"/>
          </rPr>
          <t xml:space="preserve">
</t>
        </r>
        <r>
          <rPr>
            <sz val="14"/>
            <color rgb="FF000000"/>
            <rFont val="Times New Roman"/>
            <family val="18"/>
          </rPr>
          <t>ML 5067 IR 59 (1805) – AL. Nr. 216 (Kielce 17/11/1805)</t>
        </r>
        <r>
          <rPr>
            <sz val="14"/>
            <color rgb="FF000000"/>
            <rFont val="Calibri"/>
            <family val="34"/>
          </rPr>
          <t xml:space="preserve">
</t>
        </r>
      </text>
    </comment>
    <comment ref="BH548" authorId="0" shapeId="0" xr:uid="{3E37E92C-3134-5942-8D69-ED37256B2058}">
      <text>
        <r>
          <rPr>
            <sz val="14"/>
            <color rgb="FF000000"/>
            <rFont val="Calibri"/>
            <family val="34"/>
          </rPr>
          <t>IR 59 (1805-1806)</t>
        </r>
      </text>
    </comment>
    <comment ref="CR548" authorId="0" shapeId="0" xr:uid="{CB7C4C77-CF06-E74A-9A74-727E66331408}">
      <text>
        <r>
          <rPr>
            <sz val="14"/>
            <color rgb="FF000000"/>
            <rFont val="Calibri"/>
            <family val="34"/>
          </rPr>
          <t xml:space="preserve">1805: Jüdisch
</t>
        </r>
        <r>
          <rPr>
            <sz val="14"/>
            <color rgb="FF000000"/>
            <rFont val="Calibri"/>
            <family val="34"/>
          </rPr>
          <t xml:space="preserve">1806: </t>
        </r>
        <r>
          <rPr>
            <sz val="14"/>
            <color rgb="FF000000"/>
            <rFont val="Calibri"/>
            <family val="2"/>
          </rPr>
          <t xml:space="preserve"> </t>
        </r>
        <r>
          <rPr>
            <sz val="14"/>
            <color rgb="FF000000"/>
            <rFont val="Calibri"/>
            <family val="34"/>
          </rPr>
          <t>Katolisch (detto)</t>
        </r>
      </text>
    </comment>
    <comment ref="BF549" authorId="0" shapeId="0" xr:uid="{A49D9A25-1A70-C846-8633-87B0A109A4C8}">
      <text>
        <r>
          <rPr>
            <sz val="14"/>
            <color rgb="FF000000"/>
            <rFont val="Times New Roman"/>
            <family val="18"/>
          </rPr>
          <t xml:space="preserve">17/11/1805 </t>
        </r>
        <r>
          <rPr>
            <i/>
            <sz val="14"/>
            <color rgb="FF000000"/>
            <rFont val="Times New Roman"/>
            <family val="18"/>
          </rPr>
          <t>Zu Kielce a 3Fl mit 10 jähriger Capitulation von Domenien gestellt und in IR 59 Reserve Division assentiert</t>
        </r>
        <r>
          <rPr>
            <sz val="14"/>
            <color rgb="FF000000"/>
            <rFont val="Times New Roman"/>
            <family val="18"/>
          </rPr>
          <t xml:space="preserve"> [AL Aug 1805]</t>
        </r>
        <r>
          <rPr>
            <sz val="14"/>
            <color rgb="FF000000"/>
            <rFont val="Calibri"/>
            <family val="34"/>
          </rPr>
          <t xml:space="preserve">
</t>
        </r>
        <r>
          <rPr>
            <sz val="14"/>
            <color rgb="FF000000"/>
            <rFont val="Times New Roman"/>
            <family val="18"/>
          </rPr>
          <t xml:space="preserve">06/01/1806 </t>
        </r>
        <r>
          <rPr>
            <i/>
            <sz val="14"/>
            <color rgb="FF000000"/>
            <rFont val="Times New Roman"/>
            <family val="18"/>
          </rPr>
          <t>In Spital in Krakau krank</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Comp.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als Unwissend verloren in Abgang gebracht</t>
        </r>
        <r>
          <rPr>
            <sz val="14"/>
            <color rgb="FF000000"/>
            <rFont val="Times New Roman"/>
            <family val="18"/>
          </rPr>
          <t xml:space="preserve"> [ML 1806]</t>
        </r>
        <r>
          <rPr>
            <sz val="14"/>
            <color rgb="FF000000"/>
            <rFont val="Calibri"/>
            <family val="34"/>
          </rPr>
          <t xml:space="preserve">
</t>
        </r>
      </text>
    </comment>
    <comment ref="BG549" authorId="0" shapeId="0" xr:uid="{F4E43402-1AB0-DF44-8455-1EBFF7421A85}">
      <text>
        <r>
          <rPr>
            <sz val="14"/>
            <color rgb="FF000000"/>
            <rFont val="Times New Roman"/>
            <family val="18"/>
          </rPr>
          <t>ML 5017/8 IR 59 (1806) – 16. Fus. Komp. Nr. 289 (Freistadt 22/12/1816) &amp; Reserve Division Zuwachs &amp; Abgang (Wells 06/07/1807) &amp; Cons.‘Unwissend verloren‘ Nr. 391 (Linz 10/07/1807)</t>
        </r>
        <r>
          <rPr>
            <sz val="14"/>
            <color rgb="FF000000"/>
            <rFont val="Calibri"/>
            <family val="34"/>
          </rPr>
          <t xml:space="preserve">
</t>
        </r>
        <r>
          <rPr>
            <sz val="14"/>
            <color rgb="FF000000"/>
            <rFont val="Times New Roman"/>
            <family val="18"/>
          </rPr>
          <t>ML 5067 IR 59 (1805) – AL. Nr. 192 (Kielce 17/11/1805)</t>
        </r>
        <r>
          <rPr>
            <sz val="14"/>
            <color rgb="FF000000"/>
            <rFont val="Calibri"/>
            <family val="34"/>
          </rPr>
          <t xml:space="preserve">
</t>
        </r>
      </text>
    </comment>
    <comment ref="BH549" authorId="0" shapeId="0" xr:uid="{F18BE9A9-6192-DB41-B087-FB4394C63A3F}">
      <text>
        <r>
          <rPr>
            <sz val="14"/>
            <color rgb="FF000000"/>
            <rFont val="Calibri"/>
            <family val="34"/>
          </rPr>
          <t>IR 59 (1805-1806)</t>
        </r>
      </text>
    </comment>
    <comment ref="BF550" authorId="0" shapeId="0" xr:uid="{05E4F1F5-E5D7-3A42-9532-CB23BD39FCC3}">
      <text>
        <r>
          <rPr>
            <sz val="14"/>
            <color rgb="FF000000"/>
            <rFont val="Times New Roman"/>
            <family val="18"/>
          </rPr>
          <t xml:space="preserve">17/11/1805 </t>
        </r>
        <r>
          <rPr>
            <i/>
            <sz val="14"/>
            <color rgb="FF000000"/>
            <rFont val="Times New Roman"/>
            <family val="18"/>
          </rPr>
          <t>Zu Kielce on von Dominien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01/01/1806 </t>
        </r>
        <r>
          <rPr>
            <i/>
            <sz val="14"/>
            <color rgb="FF000000"/>
            <rFont val="Times New Roman"/>
            <family val="18"/>
          </rPr>
          <t>Krank in Garnisons Spital in Krakau</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in Spital verbliebene unwissend verloren in Abgang gebracht</t>
        </r>
        <r>
          <rPr>
            <sz val="14"/>
            <color rgb="FF000000"/>
            <rFont val="Times New Roman"/>
            <family val="18"/>
          </rPr>
          <t xml:space="preserve"> [ML 1806]</t>
        </r>
        <r>
          <rPr>
            <sz val="14"/>
            <color rgb="FF000000"/>
            <rFont val="Calibri"/>
            <family val="34"/>
          </rPr>
          <t xml:space="preserve">
</t>
        </r>
      </text>
    </comment>
    <comment ref="BG550" authorId="0" shapeId="0" xr:uid="{7EA21131-57A8-6A46-9775-1331ADC6BD19}">
      <text>
        <r>
          <rPr>
            <sz val="14"/>
            <color rgb="FF000000"/>
            <rFont val="Times New Roman"/>
            <family val="18"/>
          </rPr>
          <t>ML 5017/8 IR 59 (1806) – 16. Fus. Komp. Nr. 289 (Freistadt 22/12/1816) &amp; Reserve Division Zuwachs &amp; Abgang (Wells 06/07/1807) &amp; Cons.‚Unwissend verlohren‘ Nr. 750 (Linz 10/07/1807)</t>
        </r>
        <r>
          <rPr>
            <sz val="14"/>
            <color rgb="FF000000"/>
            <rFont val="Calibri"/>
            <family val="34"/>
          </rPr>
          <t xml:space="preserve">
</t>
        </r>
        <r>
          <rPr>
            <sz val="14"/>
            <color rgb="FF000000"/>
            <rFont val="Times New Roman"/>
            <family val="18"/>
          </rPr>
          <t>ML 5067 IR 59 (1805) – AL. Nr. 161 (Kielce 17/11/1805)</t>
        </r>
        <r>
          <rPr>
            <sz val="14"/>
            <color rgb="FF000000"/>
            <rFont val="Calibri"/>
            <family val="34"/>
          </rPr>
          <t xml:space="preserve">
</t>
        </r>
      </text>
    </comment>
    <comment ref="BH550" authorId="0" shapeId="0" xr:uid="{08EA0639-6B23-4E48-99C4-C8880A9A84A0}">
      <text>
        <r>
          <rPr>
            <sz val="14"/>
            <color rgb="FF000000"/>
            <rFont val="Calibri"/>
            <family val="34"/>
          </rPr>
          <t>IR 59 (1805-1806)</t>
        </r>
      </text>
    </comment>
    <comment ref="O551" authorId="0" shapeId="0" xr:uid="{A250C90C-0C96-564B-AB95-814523871438}">
      <text>
        <r>
          <rPr>
            <sz val="14"/>
            <color rgb="FF000000"/>
            <rFont val="Times New Roman"/>
            <family val="18"/>
          </rPr>
          <t>Lebel (1801)</t>
        </r>
      </text>
    </comment>
    <comment ref="P551" authorId="0" shapeId="0" xr:uid="{AA917E2B-F80E-6048-893D-3EB38561D656}">
      <text>
        <r>
          <rPr>
            <sz val="14"/>
            <color rgb="FF000000"/>
            <rFont val="Times New Roman"/>
            <family val="18"/>
          </rPr>
          <t>Mara (1799)</t>
        </r>
      </text>
    </comment>
    <comment ref="BF551" authorId="0" shapeId="0" xr:uid="{0A9F5096-A1FB-C746-A3AB-839D22244159}">
      <text>
        <r>
          <rPr>
            <sz val="14"/>
            <color rgb="FF000000"/>
            <rFont val="Times New Roman"/>
            <family val="18"/>
          </rPr>
          <t xml:space="preserve">17/11/1805 </t>
        </r>
        <r>
          <rPr>
            <i/>
            <sz val="14"/>
            <color rgb="FF000000"/>
            <rFont val="Times New Roman"/>
            <family val="18"/>
          </rPr>
          <t>Zu Fröhlich Infanterie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16/07/1808 </t>
        </r>
        <r>
          <rPr>
            <i/>
            <sz val="14"/>
            <color rgb="FF000000"/>
            <rFont val="Times New Roman"/>
            <family val="18"/>
          </rPr>
          <t>Zum Krainer-Kärntischer</t>
        </r>
        <r>
          <rPr>
            <i/>
            <sz val="14"/>
            <color rgb="FF000000"/>
            <rFont val="Times New Roman"/>
            <family val="18"/>
          </rPr>
          <t xml:space="preserve">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Inner-Österreichischen Grenz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18/09/1810 Revision: GK IÖ 4. Komp. Nr. 54</t>
        </r>
        <r>
          <rPr>
            <sz val="14"/>
            <color rgb="FF000000"/>
            <rFont val="Calibri"/>
            <family val="34"/>
          </rPr>
          <t xml:space="preserve">
</t>
        </r>
        <r>
          <rPr>
            <sz val="14"/>
            <color rgb="FF000000"/>
            <rFont val="Times New Roman"/>
            <family val="18"/>
          </rPr>
          <t>12/09/1811 Muster: GK IÖ 4. Komp. Nr. 75</t>
        </r>
        <r>
          <rPr>
            <sz val="14"/>
            <color rgb="FF000000"/>
            <rFont val="Calibri"/>
            <family val="34"/>
          </rPr>
          <t xml:space="preserve">
</t>
        </r>
        <r>
          <rPr>
            <sz val="14"/>
            <color rgb="FF000000"/>
            <rFont val="Times New Roman"/>
            <family val="18"/>
          </rPr>
          <t>13/09/1812 Revision: GK IÖ 4. Komp. Nr. 53</t>
        </r>
        <r>
          <rPr>
            <sz val="14"/>
            <color rgb="FF000000"/>
            <rFont val="Calibri"/>
            <family val="34"/>
          </rPr>
          <t xml:space="preserve">
</t>
        </r>
        <r>
          <rPr>
            <sz val="14"/>
            <color rgb="FF000000"/>
            <rFont val="Times New Roman"/>
            <family val="18"/>
          </rPr>
          <t xml:space="preserve">20/08/1816 </t>
        </r>
        <r>
          <rPr>
            <i/>
            <sz val="14"/>
            <color rgb="FF000000"/>
            <rFont val="Times New Roman"/>
            <family val="18"/>
          </rPr>
          <t>In Folge höhe Kriegsratlichen Reskript deto Wien unf 25/04/1816 litt nr. 1992 und hohe Illyrischen Inner-Österreichischen commando detto Mai 1816 Lit. K Nr. 3974 als Ausgedienter Inländischer Capitulanten mit Abschied entlassen</t>
        </r>
        <r>
          <rPr>
            <sz val="14"/>
            <color rgb="FF000000"/>
            <rFont val="Times New Roman"/>
            <family val="18"/>
          </rPr>
          <t xml:space="preserve"> [ML 1817]</t>
        </r>
        <r>
          <rPr>
            <sz val="14"/>
            <color rgb="FF000000"/>
            <rFont val="Calibri"/>
            <family val="34"/>
          </rPr>
          <t xml:space="preserve">
</t>
        </r>
        <r>
          <rPr>
            <sz val="14"/>
            <color rgb="FF000000"/>
            <rFont val="Times New Roman"/>
            <family val="18"/>
          </rPr>
          <t>Nie Desertiert (1811) &amp; Capitulant 1815 (1811)</t>
        </r>
        <r>
          <rPr>
            <sz val="14"/>
            <color rgb="FF000000"/>
            <rFont val="Calibri"/>
            <family val="34"/>
          </rPr>
          <t xml:space="preserve">
</t>
        </r>
      </text>
    </comment>
    <comment ref="BG551" authorId="0" shapeId="0" xr:uid="{9736A978-6F46-204A-8E15-F6AEE6777BD6}">
      <text>
        <r>
          <rPr>
            <sz val="14"/>
            <color rgb="FF000000"/>
            <rFont val="Times New Roman"/>
            <family val="18"/>
          </rPr>
          <t>ML 8750 GK IÖ (1810) – RL 4. Komp. [Haupt. Heibel] Nr. 54 (Cilly 18/09/1810); ML 4. Komp. [Haupt. von Braunitzer] Nr. 75 &amp; Zuwachs (Cilly 12/09/1811); RL 4. Komp. [Haupt. von Braunitzer] Nr. 53 (Tiefern 13/09/1812); ML 4. Komp. [Haupt. Rang] Abgang (Triest 17/10/1817)</t>
        </r>
        <r>
          <rPr>
            <sz val="14"/>
            <color rgb="FF000000"/>
            <rFont val="Calibri"/>
            <family val="34"/>
          </rPr>
          <t xml:space="preserve">
</t>
        </r>
      </text>
    </comment>
    <comment ref="BH551" authorId="0" shapeId="0" xr:uid="{C396DFB3-AAB2-9148-B3CA-85CAB975DFB3}">
      <text>
        <r>
          <rPr>
            <sz val="14"/>
            <color rgb="FF000000"/>
            <rFont val="Calibri"/>
            <family val="34"/>
          </rPr>
          <t xml:space="preserve">IR 28 (1805-1808)
</t>
        </r>
        <r>
          <rPr>
            <sz val="14"/>
            <color rgb="FF000000"/>
            <rFont val="Calibri"/>
            <family val="34"/>
          </rPr>
          <t xml:space="preserve">GK Kr-Kär (1808-1809)
</t>
        </r>
        <r>
          <rPr>
            <sz val="14"/>
            <color rgb="FF000000"/>
            <rFont val="Calibri"/>
            <family val="34"/>
          </rPr>
          <t xml:space="preserve">GK IÖ (1809-1816)
</t>
        </r>
      </text>
    </comment>
    <comment ref="BF552" authorId="0" shapeId="0" xr:uid="{0028CADB-B6CC-454A-A6A0-E99FF73A6E8C}">
      <text>
        <r>
          <rPr>
            <sz val="14"/>
            <color rgb="FF000000"/>
            <rFont val="Times New Roman"/>
            <family val="18"/>
          </rPr>
          <t xml:space="preserve">18/11/1805 </t>
        </r>
        <r>
          <rPr>
            <i/>
            <sz val="14"/>
            <color rgb="FF000000"/>
            <rFont val="Times New Roman"/>
            <family val="18"/>
          </rPr>
          <t>Zu Konskie als Inländer und Werbbezirk recrout Land gegen 3Fl zum IR 20 gestellt und zur 5. Fus. Komp. Schreyer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25/08/1806 </t>
        </r>
        <r>
          <rPr>
            <i/>
            <sz val="14"/>
            <color rgb="FF000000"/>
            <rFont val="Times New Roman"/>
            <family val="18"/>
          </rPr>
          <t>Wegen kurzer Dienstzeit und sonst anhabenden Defekten zu Folge Hohe General Commando Verordenung deto brunn 24/ July 1806 Litt. R nr. 6098 mit Laufpass entlassen</t>
        </r>
        <r>
          <rPr>
            <sz val="14"/>
            <color rgb="FF000000"/>
            <rFont val="Calibri"/>
            <family val="34"/>
          </rPr>
          <t xml:space="preserve"> </t>
        </r>
        <r>
          <rPr>
            <sz val="14"/>
            <color rgb="FF000000"/>
            <rFont val="Times New Roman"/>
            <family val="18"/>
          </rPr>
          <t>[ML 1806]</t>
        </r>
        <r>
          <rPr>
            <sz val="14"/>
            <color rgb="FF000000"/>
            <rFont val="Calibri"/>
            <family val="34"/>
          </rPr>
          <t xml:space="preserve">
</t>
        </r>
      </text>
    </comment>
    <comment ref="BG552" authorId="0" shapeId="0" xr:uid="{5229B1E3-67B5-CD4E-B5A2-6D34D1CE463B}">
      <text>
        <r>
          <rPr>
            <sz val="14"/>
            <color rgb="FF000000"/>
            <rFont val="Times New Roman"/>
            <family val="18"/>
          </rPr>
          <t>ML 1623/5 IR 20 (1806) – 7. Fus. Komp. Abgang (Olmütz 15/12/1806)</t>
        </r>
        <r>
          <rPr>
            <sz val="14"/>
            <color rgb="FF000000"/>
            <rFont val="Calibri"/>
            <family val="34"/>
          </rPr>
          <t xml:space="preserve">
</t>
        </r>
        <r>
          <rPr>
            <sz val="14"/>
            <color rgb="FF000000"/>
            <rFont val="Times New Roman"/>
            <family val="18"/>
          </rPr>
          <t>ML 1661 IR 20 (1806) – AL. Nr. 191 (Konskie 07/01/1806)</t>
        </r>
        <r>
          <rPr>
            <sz val="14"/>
            <color rgb="FF000000"/>
            <rFont val="Calibri"/>
            <family val="34"/>
          </rPr>
          <t xml:space="preserve">
</t>
        </r>
      </text>
    </comment>
    <comment ref="BH552" authorId="0" shapeId="0" xr:uid="{E85E2733-3814-BC4B-9AA5-B8037BCA9BD5}">
      <text>
        <r>
          <rPr>
            <sz val="14"/>
            <color rgb="FF000000"/>
            <rFont val="Calibri"/>
            <family val="34"/>
          </rPr>
          <t>IR 20 (1805-1806)</t>
        </r>
      </text>
    </comment>
    <comment ref="BF553" authorId="0" shapeId="0" xr:uid="{46D2425B-C462-EE48-A081-FF14B42103B7}">
      <text>
        <r>
          <rPr>
            <sz val="14"/>
            <color rgb="FF000000"/>
            <rFont val="Times New Roman"/>
            <family val="18"/>
          </rPr>
          <t xml:space="preserve">18/11/1805 </t>
        </r>
        <r>
          <rPr>
            <i/>
            <sz val="14"/>
            <color rgb="FF000000"/>
            <rFont val="Times New Roman"/>
            <family val="18"/>
          </rPr>
          <t>In Lemberg assentiert</t>
        </r>
        <r>
          <rPr>
            <sz val="14"/>
            <color rgb="FF000000"/>
            <rFont val="Times New Roman"/>
            <family val="18"/>
          </rPr>
          <t xml:space="preserve"> [SUP 1806]</t>
        </r>
        <r>
          <rPr>
            <sz val="14"/>
            <color rgb="FF000000"/>
            <rFont val="Calibri"/>
            <family val="34"/>
          </rPr>
          <t xml:space="preserve">
</t>
        </r>
        <r>
          <rPr>
            <sz val="14"/>
            <color rgb="FF000000"/>
            <rFont val="Times New Roman"/>
            <family val="18"/>
          </rPr>
          <t>21/04/1804 Superarbitrierung: 2 Reserve Komp. (Zum Chaveux Comp Zugeteilt) [</t>
        </r>
        <r>
          <rPr>
            <i/>
            <sz val="14"/>
            <color rgb="FF000000"/>
            <rFont val="Times New Roman"/>
            <family val="18"/>
          </rPr>
          <t>Zu Beurlauben</t>
        </r>
        <r>
          <rPr>
            <sz val="14"/>
            <color rgb="FF000000"/>
            <rFont val="Times New Roman"/>
            <family val="18"/>
          </rPr>
          <t>]</t>
        </r>
        <r>
          <rPr>
            <sz val="14"/>
            <color rgb="FF000000"/>
            <rFont val="Calibri"/>
            <family val="34"/>
          </rPr>
          <t xml:space="preserve">
</t>
        </r>
        <r>
          <rPr>
            <sz val="14"/>
            <color rgb="FF000000"/>
            <rFont val="Times New Roman"/>
            <family val="18"/>
          </rPr>
          <t xml:space="preserve">30/08/1808 </t>
        </r>
        <r>
          <rPr>
            <i/>
            <sz val="14"/>
            <color rgb="FF000000"/>
            <rFont val="Times New Roman"/>
            <family val="18"/>
          </rPr>
          <t>von Urlaub Desertiert</t>
        </r>
        <r>
          <rPr>
            <sz val="14"/>
            <color rgb="FF000000"/>
            <rFont val="Times New Roman"/>
            <family val="18"/>
          </rPr>
          <t xml:space="preserve"> [RL 1808]</t>
        </r>
        <r>
          <rPr>
            <sz val="14"/>
            <color rgb="FF000000"/>
            <rFont val="Calibri"/>
            <family val="34"/>
          </rPr>
          <t xml:space="preserve">
</t>
        </r>
      </text>
    </comment>
    <comment ref="BG553" authorId="0" shapeId="0" xr:uid="{0CDC0791-47E1-3B43-91A9-00DF855A209E}">
      <text>
        <r>
          <rPr>
            <sz val="14"/>
            <color rgb="FF000000"/>
            <rFont val="Times New Roman"/>
            <family val="18"/>
          </rPr>
          <t>ML 2632 IR 30 (1806) – SUP 6. Battalion &amp; Reserve Division Nr. 97 (Lemberg 21/04/1806); RL 16. Fus Komp. – Abgang (Lemberg 05/09/1808)</t>
        </r>
        <r>
          <rPr>
            <sz val="14"/>
            <color rgb="FF000000"/>
            <rFont val="Calibri"/>
            <family val="34"/>
          </rPr>
          <t xml:space="preserve">
</t>
        </r>
      </text>
    </comment>
    <comment ref="BH553" authorId="0" shapeId="0" xr:uid="{7041AE28-5DC9-6A4C-81D0-409482D8D165}">
      <text>
        <r>
          <rPr>
            <sz val="14"/>
            <color rgb="FF000000"/>
            <rFont val="Calibri"/>
            <family val="34"/>
          </rPr>
          <t>IR 30 (1805-1808)</t>
        </r>
      </text>
    </comment>
    <comment ref="BJ553" authorId="0" shapeId="0" xr:uid="{EDEAF09A-E345-EB44-B83E-235B1D3B16BA}">
      <text>
        <r>
          <rPr>
            <i/>
            <sz val="14"/>
            <color rgb="FF000000"/>
            <rFont val="Times New Roman"/>
            <family val="18"/>
          </rPr>
          <t>Blode Augen, engbrüstig, Plattfüßig, und gleiderschwache</t>
        </r>
        <r>
          <rPr>
            <sz val="14"/>
            <color rgb="FF000000"/>
            <rFont val="Times New Roman"/>
            <family val="18"/>
          </rPr>
          <t xml:space="preserve"> ; Durch Krankheit [SUP 1806]</t>
        </r>
        <r>
          <rPr>
            <sz val="14"/>
            <color rgb="FF000000"/>
            <rFont val="Calibri"/>
            <family val="2"/>
          </rPr>
          <t xml:space="preserve"> </t>
        </r>
      </text>
    </comment>
    <comment ref="BF554" authorId="0" shapeId="0" xr:uid="{BB55740C-5158-474E-9356-0458C27F650E}">
      <text>
        <r>
          <rPr>
            <sz val="14"/>
            <color rgb="FF000000"/>
            <rFont val="Times New Roman"/>
            <family val="18"/>
          </rPr>
          <t xml:space="preserve">18/11/1805 </t>
        </r>
        <r>
          <rPr>
            <i/>
            <sz val="14"/>
            <color rgb="FF000000"/>
            <rFont val="Times New Roman"/>
            <family val="18"/>
          </rPr>
          <t>Zu Konkie West Gallizien als Werbbezirk Recrout a 3Fl zum IR 20 gestellt und zur 5. Fus. Komp. Schreyer eingeteilt</t>
        </r>
        <r>
          <rPr>
            <sz val="14"/>
            <color rgb="FF000000"/>
            <rFont val="Times New Roman"/>
            <family val="18"/>
          </rPr>
          <t xml:space="preserve"> [AL Jan 1806]</t>
        </r>
        <r>
          <rPr>
            <sz val="14"/>
            <color rgb="FF000000"/>
            <rFont val="Calibri"/>
            <family val="34"/>
          </rPr>
          <t xml:space="preserve">
</t>
        </r>
        <r>
          <rPr>
            <sz val="14"/>
            <color rgb="FF000000"/>
            <rFont val="Times New Roman"/>
            <family val="18"/>
          </rPr>
          <t xml:space="preserve">03/08/1806: Superarbietriet: </t>
        </r>
        <r>
          <rPr>
            <i/>
            <sz val="14"/>
            <color rgb="FF000000"/>
            <rFont val="Times New Roman"/>
            <family val="18"/>
          </rPr>
          <t xml:space="preserve">Mit Krankheiten Belastigt </t>
        </r>
        <r>
          <rPr>
            <sz val="14"/>
            <color rgb="FF000000"/>
            <rFont val="Times New Roman"/>
            <family val="18"/>
          </rPr>
          <t>[Angehoriger von 5. Komp.]</t>
        </r>
        <r>
          <rPr>
            <sz val="14"/>
            <color rgb="FF000000"/>
            <rFont val="Calibri"/>
            <family val="34"/>
          </rPr>
          <t xml:space="preserve">
</t>
        </r>
        <r>
          <rPr>
            <sz val="14"/>
            <color rgb="FF000000"/>
            <rFont val="Times New Roman"/>
            <family val="18"/>
          </rPr>
          <t xml:space="preserve">30/09/1806 </t>
        </r>
        <r>
          <rPr>
            <i/>
            <sz val="14"/>
            <color rgb="FF000000"/>
            <rFont val="Times New Roman"/>
            <family val="18"/>
          </rPr>
          <t>Wegen Aufhabenden Defekten du kürzer Dienstzeit mit Laufpass entlassen</t>
        </r>
        <r>
          <rPr>
            <sz val="14"/>
            <color rgb="FF000000"/>
            <rFont val="Times New Roman"/>
            <family val="18"/>
          </rPr>
          <t xml:space="preserve"> [ML 1806]</t>
        </r>
        <r>
          <rPr>
            <sz val="14"/>
            <color rgb="FF000000"/>
            <rFont val="Calibri"/>
            <family val="34"/>
          </rPr>
          <t xml:space="preserve">
</t>
        </r>
      </text>
    </comment>
    <comment ref="BG554" authorId="0" shapeId="0" xr:uid="{3FA8A835-B35B-8345-844E-E9193AA1A2FF}">
      <text>
        <r>
          <rPr>
            <sz val="14"/>
            <color rgb="FF000000"/>
            <rFont val="Times New Roman"/>
            <family val="18"/>
          </rPr>
          <t>ML 1623-5 IR 20 (1806) – 7. Fus. Komp. Abgang (Olmütz 15/12/1806)</t>
        </r>
        <r>
          <rPr>
            <sz val="14"/>
            <color rgb="FF000000"/>
            <rFont val="Calibri"/>
            <family val="34"/>
          </rPr>
          <t xml:space="preserve">
</t>
        </r>
        <r>
          <rPr>
            <sz val="14"/>
            <color rgb="FF000000"/>
            <rFont val="Times New Roman"/>
            <family val="18"/>
          </rPr>
          <t>ML 1661 IR 20 (1806) – AL. Nr. 192 (Konskie 07/01/1806); SUP Nr. 3 (Hradisch 03/08/1806)</t>
        </r>
        <r>
          <rPr>
            <sz val="14"/>
            <color rgb="FF000000"/>
            <rFont val="Calibri"/>
            <family val="34"/>
          </rPr>
          <t xml:space="preserve">
</t>
        </r>
      </text>
    </comment>
    <comment ref="BH554" authorId="0" shapeId="0" xr:uid="{11CDBB6C-7E93-234C-85D0-1F8FE4BD9EB4}">
      <text>
        <r>
          <rPr>
            <sz val="14"/>
            <color rgb="FF000000"/>
            <rFont val="Calibri"/>
            <family val="34"/>
          </rPr>
          <t>IR 20 (1805-1806)</t>
        </r>
      </text>
    </comment>
    <comment ref="BF555" authorId="0" shapeId="0" xr:uid="{5653C9B5-1C29-EB4C-9214-723DF96984DD}">
      <text>
        <r>
          <rPr>
            <sz val="14"/>
            <color rgb="FF000000"/>
            <rFont val="Times New Roman"/>
            <family val="18"/>
          </rPr>
          <t xml:space="preserve">18/11/1805 </t>
        </r>
        <r>
          <rPr>
            <i/>
            <sz val="14"/>
            <color rgb="FF000000"/>
            <rFont val="Times New Roman"/>
            <family val="18"/>
          </rPr>
          <t>Als ständische Rekrut [gestellt]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01/12/1806 </t>
        </r>
        <r>
          <rPr>
            <i/>
            <sz val="14"/>
            <color rgb="FF000000"/>
            <rFont val="Times New Roman"/>
            <family val="18"/>
          </rPr>
          <t>Von der 3. zur 14.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22/12/1806 Muster: IR 42 14. Fus. Komp. Nr. 220 [</t>
        </r>
        <r>
          <rPr>
            <i/>
            <sz val="14"/>
            <color rgb="FF000000"/>
            <rFont val="Times New Roman"/>
            <family val="18"/>
          </rPr>
          <t>Krank zu Spital in Theresienstadt</t>
        </r>
        <r>
          <rPr>
            <sz val="14"/>
            <color rgb="FF000000"/>
            <rFont val="Times New Roman"/>
            <family val="18"/>
          </rPr>
          <t>]</t>
        </r>
        <r>
          <rPr>
            <sz val="14"/>
            <color rgb="FF000000"/>
            <rFont val="Calibri"/>
            <family val="34"/>
          </rPr>
          <t xml:space="preserve">
</t>
        </r>
        <r>
          <rPr>
            <sz val="14"/>
            <color rgb="FF000000"/>
            <rFont val="Times New Roman"/>
            <family val="18"/>
          </rPr>
          <t xml:space="preserve">??/XX/1807 Superarbitriert: </t>
        </r>
        <r>
          <rPr>
            <i/>
            <sz val="14"/>
            <color rgb="FF000000"/>
            <rFont val="Times New Roman"/>
            <family val="18"/>
          </rPr>
          <t>Wegen Blattfussigkeit fur k.k. Kriegsdient Untaglich</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25/04/1807 </t>
        </r>
        <r>
          <rPr>
            <i/>
            <sz val="14"/>
            <color rgb="FF000000"/>
            <rFont val="Times New Roman"/>
            <family val="18"/>
          </rPr>
          <t>Wegen Untauglichkeit und kurzer Dienstzeit mit Laufpaß entlassen</t>
        </r>
        <r>
          <rPr>
            <sz val="14"/>
            <color rgb="FF000000"/>
            <rFont val="Times New Roman"/>
            <family val="18"/>
          </rPr>
          <t xml:space="preserve"> [ML 1808]</t>
        </r>
        <r>
          <rPr>
            <sz val="14"/>
            <color rgb="FF000000"/>
            <rFont val="Calibri"/>
            <family val="34"/>
          </rPr>
          <t xml:space="preserve">
</t>
        </r>
      </text>
    </comment>
    <comment ref="BG555" authorId="0" shapeId="0" xr:uid="{B8DEB521-9FB2-9E42-991F-6302E43990C3}">
      <text>
        <r>
          <rPr>
            <sz val="14"/>
            <color rgb="FF000000"/>
            <rFont val="Times New Roman"/>
            <family val="18"/>
          </rPr>
          <t>ML 3772 IR 42 (1806) –14. Füsilier Komp. Nr. 220 &amp; Zuwachs (Thersienstadt 22/12/1806)</t>
        </r>
        <r>
          <rPr>
            <sz val="14"/>
            <color rgb="FF000000"/>
            <rFont val="Calibri"/>
            <family val="34"/>
          </rPr>
          <t xml:space="preserve">
</t>
        </r>
        <r>
          <rPr>
            <sz val="14"/>
            <color rgb="FF000000"/>
            <rFont val="Times New Roman"/>
            <family val="18"/>
          </rPr>
          <t>ML 3831 IR 42 (1807) – SUP von Ständischen Rekrouten Nr. 19 (04/1807)</t>
        </r>
        <r>
          <rPr>
            <sz val="14"/>
            <color rgb="FF000000"/>
            <rFont val="Calibri"/>
            <family val="34"/>
          </rPr>
          <t xml:space="preserve">
</t>
        </r>
        <r>
          <rPr>
            <sz val="14"/>
            <color rgb="FF000000"/>
            <rFont val="Times New Roman"/>
            <family val="18"/>
          </rPr>
          <t>ML 3774 IR 42 (1808) –14. Fus. Komp. Abgang (Lobositz 16/09/1808)</t>
        </r>
        <r>
          <rPr>
            <sz val="14"/>
            <color rgb="FF000000"/>
            <rFont val="Calibri"/>
            <family val="34"/>
          </rPr>
          <t xml:space="preserve">
</t>
        </r>
      </text>
    </comment>
    <comment ref="BH555" authorId="0" shapeId="0" xr:uid="{9B1DC987-613F-FA4B-B6F9-73D39276E0C5}">
      <text>
        <r>
          <rPr>
            <sz val="14"/>
            <color rgb="FF000000"/>
            <rFont val="Calibri"/>
            <family val="34"/>
          </rPr>
          <t>IR 20 (1805-1807)</t>
        </r>
      </text>
    </comment>
    <comment ref="BI555" authorId="0" shapeId="0" xr:uid="{ECD9164B-8F6D-AD4D-A9A4-BA4B789904E6}">
      <text>
        <r>
          <rPr>
            <sz val="14"/>
            <color rgb="FF000000"/>
            <rFont val="Calibri"/>
            <family val="34"/>
          </rPr>
          <t>Gut [SUP April 1807]</t>
        </r>
      </text>
    </comment>
    <comment ref="BJ555" authorId="0" shapeId="0" xr:uid="{CAA311A6-3ADC-3F4F-9F18-383CA923B30B}">
      <text>
        <r>
          <rPr>
            <i/>
            <sz val="14"/>
            <color rgb="FF000000"/>
            <rFont val="Times New Roman"/>
            <family val="18"/>
          </rPr>
          <t>Plattfüßig</t>
        </r>
        <r>
          <rPr>
            <sz val="14"/>
            <color rgb="FF000000"/>
            <rFont val="Calibri"/>
            <family val="2"/>
            <scheme val="minor"/>
          </rPr>
          <t xml:space="preserve"> </t>
        </r>
        <r>
          <rPr>
            <sz val="14"/>
            <color rgb="FF000000"/>
            <rFont val="Times New Roman"/>
            <family val="18"/>
          </rPr>
          <t>[SUP April 1807]</t>
        </r>
        <r>
          <rPr>
            <sz val="14"/>
            <color rgb="FF000000"/>
            <rFont val="Calibri"/>
            <family val="2"/>
          </rPr>
          <t xml:space="preserve"> </t>
        </r>
      </text>
    </comment>
    <comment ref="BF556" authorId="0" shapeId="0" xr:uid="{28730279-356E-8E43-904B-B6A98C42B3F5}">
      <text>
        <r>
          <rPr>
            <sz val="14"/>
            <color rgb="FF000000"/>
            <rFont val="Times New Roman"/>
            <family val="18"/>
          </rPr>
          <t xml:space="preserve">19/11/1805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03/02/1806 </t>
        </r>
        <r>
          <rPr>
            <i/>
            <sz val="14"/>
            <color rgb="FF000000"/>
            <rFont val="Times New Roman"/>
            <family val="18"/>
          </rPr>
          <t>Zu Slomnik gestorben</t>
        </r>
        <r>
          <rPr>
            <sz val="14"/>
            <color rgb="FF000000"/>
            <rFont val="Times New Roman"/>
            <family val="18"/>
          </rPr>
          <t xml:space="preserve"> [ML 1806]</t>
        </r>
        <r>
          <rPr>
            <sz val="14"/>
            <color rgb="FF000000"/>
            <rFont val="Calibri"/>
            <family val="34"/>
          </rPr>
          <t xml:space="preserve">
</t>
        </r>
      </text>
    </comment>
    <comment ref="BG556" authorId="0" shapeId="0" xr:uid="{8C149458-047E-CE46-8E88-943E7A740E0B}">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79 (Siedlce 30/11/1805)</t>
        </r>
        <r>
          <rPr>
            <sz val="14"/>
            <color rgb="FF000000"/>
            <rFont val="Calibri"/>
            <family val="34"/>
          </rPr>
          <t xml:space="preserve">
</t>
        </r>
      </text>
    </comment>
    <comment ref="BH556" authorId="0" shapeId="0" xr:uid="{07C9F87D-6BD3-2340-9DBA-D44AB74DBE26}">
      <text>
        <r>
          <rPr>
            <sz val="14"/>
            <color rgb="FF000000"/>
            <rFont val="Calibri"/>
            <family val="34"/>
          </rPr>
          <t>IR 59 (1805-1806)</t>
        </r>
      </text>
    </comment>
    <comment ref="BF557" authorId="0" shapeId="0" xr:uid="{C9904896-7DFD-0743-BD76-43D9516A3EA8}">
      <text>
        <r>
          <rPr>
            <sz val="14"/>
            <color rgb="FF000000"/>
            <rFont val="Times New Roman"/>
            <family val="18"/>
          </rPr>
          <t xml:space="preserve">20/11/1805 </t>
        </r>
        <r>
          <rPr>
            <i/>
            <sz val="14"/>
            <color rgb="FF000000"/>
            <rFont val="Times New Roman"/>
            <family val="18"/>
          </rPr>
          <t>in Reserve Division als Werbbezirk Recrout a 3Fl Handgeld gestellt und in Troppau assentiert</t>
        </r>
        <r>
          <rPr>
            <sz val="14"/>
            <color rgb="FF000000"/>
            <rFont val="Times New Roman"/>
            <family val="18"/>
          </rPr>
          <t xml:space="preserve"> [ML 1806]</t>
        </r>
        <r>
          <rPr>
            <sz val="14"/>
            <color rgb="FF000000"/>
            <rFont val="Times New Roman"/>
            <family val="18"/>
          </rPr>
          <t xml:space="preserve">
</t>
        </r>
        <r>
          <rPr>
            <sz val="14"/>
            <color rgb="FF000000"/>
            <rFont val="Times New Roman"/>
            <family val="18"/>
          </rPr>
          <t xml:space="preserve">30/11/1805 </t>
        </r>
        <r>
          <rPr>
            <i/>
            <sz val="14"/>
            <color rgb="FF000000"/>
            <rFont val="Times New Roman"/>
            <family val="18"/>
          </rPr>
          <t>von Regiment Depot in Troappu in loco desertiert</t>
        </r>
        <r>
          <rPr>
            <sz val="14"/>
            <color rgb="FF000000"/>
            <rFont val="Times New Roman"/>
            <family val="18"/>
          </rPr>
          <t xml:space="preserve"> [ML 1806]</t>
        </r>
        <r>
          <rPr>
            <sz val="14"/>
            <color rgb="FF000000"/>
            <rFont val="Times New Roman"/>
            <family val="18"/>
          </rPr>
          <t xml:space="preserve">
</t>
        </r>
      </text>
    </comment>
    <comment ref="BG557" authorId="0" shapeId="0" xr:uid="{5D4DB454-384A-F249-BF4C-7FEB29D98BBB}">
      <text>
        <r>
          <rPr>
            <sz val="14"/>
            <color rgb="FF000000"/>
            <rFont val="Times New Roman"/>
            <family val="18"/>
          </rPr>
          <t>ML 1623-5 IR 20 (1806) – Reserve Division Zuwachs &amp; Abgang (Olmütz 15/12/1806)</t>
        </r>
        <r>
          <rPr>
            <sz val="14"/>
            <color rgb="FF000000"/>
            <rFont val="Times New Roman"/>
            <family val="18"/>
          </rPr>
          <t xml:space="preserve">
</t>
        </r>
        <r>
          <rPr>
            <sz val="14"/>
            <color rgb="FF000000"/>
            <rFont val="Times New Roman"/>
            <family val="18"/>
          </rPr>
          <t>ML 1659 IR 20 (1805) – AL/TL pro Nr. 773 (Troppau 01/12/1805)</t>
        </r>
        <r>
          <rPr>
            <sz val="14"/>
            <color rgb="FF000000"/>
            <rFont val="Times New Roman"/>
            <family val="18"/>
          </rPr>
          <t xml:space="preserve">
</t>
        </r>
      </text>
    </comment>
    <comment ref="BH557" authorId="0" shapeId="0" xr:uid="{6D17B2C2-A1A1-2C43-81AB-40C306B6B2A9}">
      <text>
        <r>
          <rPr>
            <sz val="14"/>
            <color rgb="FF000000"/>
            <rFont val="Calibri"/>
            <family val="34"/>
          </rPr>
          <t>IR 59 (1805)</t>
        </r>
      </text>
    </comment>
    <comment ref="BF558" authorId="0" shapeId="0" xr:uid="{BEBBFDF5-8756-E94C-A214-D897D8467C28}">
      <text>
        <r>
          <rPr>
            <sz val="14"/>
            <color rgb="FF000000"/>
            <rFont val="Times New Roman"/>
            <family val="18"/>
          </rPr>
          <t xml:space="preserve">20/11/1805 </t>
        </r>
        <r>
          <rPr>
            <i/>
            <sz val="14"/>
            <color rgb="FF000000"/>
            <rFont val="Times New Roman"/>
            <family val="18"/>
          </rPr>
          <t xml:space="preserve">Als landständischer Recrout für Czeke </t>
        </r>
        <r>
          <rPr>
            <b/>
            <sz val="14"/>
            <color rgb="FF000000"/>
            <rFont val="Times New Roman"/>
            <family val="18"/>
          </rPr>
          <t>[</t>
        </r>
        <r>
          <rPr>
            <b/>
            <u/>
            <sz val="14"/>
            <color rgb="FF0563C1"/>
            <rFont val="Times New Roman"/>
            <family val="18"/>
          </rPr>
          <t>Cejkov, Slovakia</t>
        </r>
        <r>
          <rPr>
            <b/>
            <sz val="14"/>
            <color rgb="FF000000"/>
            <rFont val="Times New Roman"/>
            <family val="18"/>
          </rPr>
          <t>]</t>
        </r>
        <r>
          <rPr>
            <i/>
            <sz val="14"/>
            <color rgb="FF000000"/>
            <rFont val="Times New Roman"/>
            <family val="18"/>
          </rPr>
          <t>,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Comp zu, 1. Fus Comp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23/01/1807 Revision: IR 39 1. Fus. Komp. Nr. 120</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58" authorId="0" shapeId="0" xr:uid="{6A9DE3A8-2E36-694D-8964-75C004E47F14}">
      <text>
        <r>
          <rPr>
            <sz val="14"/>
            <color rgb="FF000000"/>
            <rFont val="Times New Roman"/>
            <family val="18"/>
          </rPr>
          <t>ML 3499 IR 39 (1807) – 1. Fus. Komp. Nr. 120 (Letschau 23/01/1807)</t>
        </r>
        <r>
          <rPr>
            <sz val="14"/>
            <color rgb="FF000000"/>
            <rFont val="Calibri"/>
            <family val="34"/>
          </rPr>
          <t xml:space="preserve">
</t>
        </r>
        <r>
          <rPr>
            <sz val="14"/>
            <color rgb="FF000000"/>
            <rFont val="Times New Roman"/>
            <family val="18"/>
          </rPr>
          <t>ML 3500 IR 39 (1808-10) – RL 1808 1. Fus. Komp. – Abgang (Comorn 19/09/1808)</t>
        </r>
        <r>
          <rPr>
            <sz val="14"/>
            <color rgb="FF000000"/>
            <rFont val="Calibri"/>
            <family val="34"/>
          </rPr>
          <t xml:space="preserve">
</t>
        </r>
        <r>
          <rPr>
            <sz val="14"/>
            <color rgb="FF000000"/>
            <rFont val="Times New Roman"/>
            <family val="18"/>
          </rPr>
          <t>ML 3546 IR 39 (1805) – AL Nr. 65 (Sátoraljaújhely 24/11/1805)</t>
        </r>
        <r>
          <rPr>
            <sz val="14"/>
            <color rgb="FF000000"/>
            <rFont val="Calibri"/>
            <family val="34"/>
          </rPr>
          <t xml:space="preserve">
</t>
        </r>
      </text>
    </comment>
    <comment ref="BH558" authorId="0" shapeId="0" xr:uid="{12731BDF-C23E-EA49-8D7E-D4BA16545129}">
      <text>
        <r>
          <rPr>
            <sz val="14"/>
            <color rgb="FF000000"/>
            <rFont val="Calibri"/>
            <family val="34"/>
          </rPr>
          <t>IR 39 (1805-1807)</t>
        </r>
      </text>
    </comment>
    <comment ref="BF559" authorId="0" shapeId="0" xr:uid="{BE2A0CFF-9682-574D-9B39-96B85316A424}">
      <text>
        <r>
          <rPr>
            <sz val="14"/>
            <color rgb="FF000000"/>
            <rFont val="Times New Roman"/>
            <family val="18"/>
          </rPr>
          <t xml:space="preserve">21/11/1805 </t>
        </r>
        <r>
          <rPr>
            <i/>
            <sz val="14"/>
            <color rgb="FF000000"/>
            <rFont val="Times New Roman"/>
            <family val="18"/>
          </rPr>
          <t xml:space="preserve">Als landständischer Recrout für Szecskerestur </t>
        </r>
        <r>
          <rPr>
            <b/>
            <sz val="14"/>
            <color rgb="FF000000"/>
            <rFont val="Times New Roman"/>
            <family val="18"/>
          </rPr>
          <t>[</t>
        </r>
        <r>
          <rPr>
            <b/>
            <u/>
            <sz val="14"/>
            <color rgb="FF0563C1"/>
            <rFont val="Times New Roman"/>
            <family val="18"/>
          </rPr>
          <t>Zemplínska Teplica</t>
        </r>
        <r>
          <rPr>
            <b/>
            <sz val="14"/>
            <color rgb="FF000000"/>
            <rFont val="Times New Roman"/>
            <family val="18"/>
          </rPr>
          <t>]</t>
        </r>
        <r>
          <rPr>
            <i/>
            <sz val="14"/>
            <color rgb="FF000000"/>
            <rFont val="Times New Roman"/>
            <family val="18"/>
          </rPr>
          <t>,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zwei anderen Manner mit Abschied entlassen</t>
        </r>
        <r>
          <rPr>
            <sz val="14"/>
            <color rgb="FF000000"/>
            <rFont val="Times New Roman"/>
            <family val="18"/>
          </rPr>
          <t xml:space="preserve"> [RL 1808]</t>
        </r>
      </text>
    </comment>
    <comment ref="BG559" authorId="0" shapeId="0" xr:uid="{958B3E56-0C46-6449-8D80-34E3946A0F33}">
      <text>
        <r>
          <rPr>
            <sz val="14"/>
            <color rgb="FF000000"/>
            <rFont val="Times New Roman"/>
            <family val="18"/>
          </rPr>
          <t>ML 3500 IR 39 (1808-10) – RL 1808 5. Komp. – Abgang (Comorn 19/09/1808)</t>
        </r>
        <r>
          <rPr>
            <sz val="14"/>
            <color rgb="FF000000"/>
            <rFont val="Calibri"/>
            <family val="34"/>
          </rPr>
          <t xml:space="preserve">
</t>
        </r>
        <r>
          <rPr>
            <sz val="14"/>
            <color rgb="FF000000"/>
            <rFont val="Times New Roman"/>
            <family val="18"/>
          </rPr>
          <t>ML 3546 IR 39 (1805) – AL Nr. 66 (Sátoraljaújhely 24/11/1805)</t>
        </r>
        <r>
          <rPr>
            <sz val="14"/>
            <color rgb="FF000000"/>
            <rFont val="Calibri"/>
            <family val="34"/>
          </rPr>
          <t xml:space="preserve">
</t>
        </r>
      </text>
    </comment>
    <comment ref="BH559" authorId="0" shapeId="0" xr:uid="{CA84F48C-BFBC-7341-9C7A-2C4681AF11A1}">
      <text>
        <r>
          <rPr>
            <sz val="14"/>
            <color rgb="FF000000"/>
            <rFont val="Calibri"/>
            <family val="34"/>
          </rPr>
          <t>IR 39 (1805-1806)</t>
        </r>
      </text>
    </comment>
    <comment ref="BF560" authorId="0" shapeId="0" xr:uid="{F1AE9D02-2AE9-F547-8051-B8F3310DAC47}">
      <text>
        <r>
          <rPr>
            <sz val="14"/>
            <color rgb="FF000000"/>
            <rFont val="Times New Roman"/>
            <family val="18"/>
          </rPr>
          <t xml:space="preserve">21/11/1805 </t>
        </r>
        <r>
          <rPr>
            <i/>
            <sz val="14"/>
            <color rgb="FF000000"/>
            <rFont val="Times New Roman"/>
            <family val="18"/>
          </rPr>
          <t>Als landständischer Recrout Samogy</t>
        </r>
        <r>
          <rPr>
            <sz val="14"/>
            <color rgb="FF000000"/>
            <rFont val="Times New Roman"/>
            <family val="18"/>
          </rPr>
          <t xml:space="preserve"> </t>
        </r>
        <r>
          <rPr>
            <b/>
            <sz val="14"/>
            <color rgb="FF000000"/>
            <rFont val="Times New Roman"/>
            <family val="18"/>
          </rPr>
          <t>[</t>
        </r>
        <r>
          <rPr>
            <b/>
            <u/>
            <sz val="14"/>
            <color rgb="FF0563C1"/>
            <rFont val="Times New Roman"/>
            <family val="18"/>
          </rPr>
          <t>Šamudovce, Slovakia</t>
        </r>
        <r>
          <rPr>
            <b/>
            <sz val="14"/>
            <color rgb="FF000000"/>
            <rFont val="Times New Roman"/>
            <family val="18"/>
          </rPr>
          <t>]</t>
        </r>
        <r>
          <rPr>
            <i/>
            <sz val="14"/>
            <color rgb="FF000000"/>
            <rFont val="Times New Roman"/>
            <family val="18"/>
          </rPr>
          <t>, Zempliner Komität gestellt, in Ujhely zum IR 39 a 3Fl assentiert und in 18.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18. Fus. zum 6. Fus. Komp. transferier</t>
        </r>
        <r>
          <rPr>
            <sz val="14"/>
            <color rgb="FF000000"/>
            <rFont val="Times New Roman"/>
            <family val="18"/>
          </rPr>
          <t>t [RL 1807]</t>
        </r>
        <r>
          <rPr>
            <sz val="14"/>
            <color rgb="FF000000"/>
            <rFont val="Calibri"/>
            <family val="34"/>
          </rPr>
          <t xml:space="preserve">
</t>
        </r>
        <r>
          <rPr>
            <sz val="14"/>
            <color rgb="FF000000"/>
            <rFont val="Times New Roman"/>
            <family val="18"/>
          </rPr>
          <t>24/01/1807 Revision: IR 39 6. Fus. Komp. Nr. 69 [</t>
        </r>
        <r>
          <rPr>
            <i/>
            <sz val="14"/>
            <color rgb="FF000000"/>
            <rFont val="Times New Roman"/>
            <family val="18"/>
          </rPr>
          <t xml:space="preserve">Commandiert in Stammersdorf </t>
        </r>
        <r>
          <rPr>
            <b/>
            <sz val="14"/>
            <color rgb="FF000000"/>
            <rFont val="Times New Roman"/>
            <family val="18"/>
          </rPr>
          <t>[</t>
        </r>
        <r>
          <rPr>
            <b/>
            <u/>
            <sz val="14"/>
            <color rgb="FF0563C1"/>
            <rFont val="Times New Roman"/>
            <family val="18"/>
          </rPr>
          <t>Stammersdorf, Austria</t>
        </r>
        <r>
          <rPr>
            <b/>
            <sz val="14"/>
            <color rgb="FF000000"/>
            <rFont val="Times New Roman"/>
            <family val="18"/>
          </rPr>
          <t xml:space="preserve">] </t>
        </r>
        <r>
          <rPr>
            <i/>
            <sz val="14"/>
            <color rgb="FF000000"/>
            <rFont val="Times New Roman"/>
            <family val="18"/>
          </rPr>
          <t>in Österreich</t>
        </r>
        <r>
          <rPr>
            <sz val="14"/>
            <color rgb="FF000000"/>
            <rFont val="Times New Roman"/>
            <family val="18"/>
          </rPr>
          <t>]</t>
        </r>
        <r>
          <rPr>
            <sz val="14"/>
            <color rgb="FF000000"/>
            <rFont val="Calibri"/>
            <family val="34"/>
          </rPr>
          <t xml:space="preserve">
</t>
        </r>
        <r>
          <rPr>
            <sz val="14"/>
            <color rgb="FF000000"/>
            <rFont val="Times New Roman"/>
            <family val="18"/>
          </rPr>
          <t xml:space="preserve">30/11/1807 </t>
        </r>
        <r>
          <rPr>
            <i/>
            <sz val="14"/>
            <color rgb="FF000000"/>
            <rFont val="Times New Roman"/>
            <family val="18"/>
          </rPr>
          <t xml:space="preserve">Gegen Stellung ein anderer Mann. mit Abschied entlassen </t>
        </r>
        <r>
          <rPr>
            <sz val="14"/>
            <color rgb="FF000000"/>
            <rFont val="Times New Roman"/>
            <family val="18"/>
          </rPr>
          <t>[RL 1808]</t>
        </r>
      </text>
    </comment>
    <comment ref="BG560" authorId="0" shapeId="0" xr:uid="{9300914E-A978-2047-AD29-028BED1B9EFD}">
      <text>
        <r>
          <rPr>
            <sz val="14"/>
            <color rgb="FF000000"/>
            <rFont val="Times New Roman"/>
            <family val="18"/>
          </rPr>
          <t>ML 3499 IR 39 (1807) – 6. Fus. Komp. Nr. 89 (Kesmark 24/01/1807)</t>
        </r>
        <r>
          <rPr>
            <sz val="14"/>
            <color rgb="FF000000"/>
            <rFont val="Calibri"/>
            <family val="34"/>
          </rPr>
          <t xml:space="preserve">
</t>
        </r>
        <r>
          <rPr>
            <sz val="14"/>
            <color rgb="FF000000"/>
            <rFont val="Times New Roman"/>
            <family val="18"/>
          </rPr>
          <t>ML 3500 IR 39 (1808-10) – RL 1808 10. Fus. Komp. – Abgang (Comorn 19/09/1808)</t>
        </r>
        <r>
          <rPr>
            <sz val="14"/>
            <color rgb="FF000000"/>
            <rFont val="Calibri"/>
            <family val="34"/>
          </rPr>
          <t xml:space="preserve">
</t>
        </r>
        <r>
          <rPr>
            <sz val="14"/>
            <color rgb="FF000000"/>
            <rFont val="Times New Roman"/>
            <family val="18"/>
          </rPr>
          <t>ML 3546 IR 39 (1805) – AL Nr. 67 (Sátoraljaújhely 24/11/1805)</t>
        </r>
        <r>
          <rPr>
            <sz val="14"/>
            <color rgb="FF000000"/>
            <rFont val="Calibri"/>
            <family val="34"/>
          </rPr>
          <t xml:space="preserve">
</t>
        </r>
      </text>
    </comment>
    <comment ref="BH560" authorId="0" shapeId="0" xr:uid="{BD3ED2FD-FAC8-2A4A-B1C7-76C392C0BA61}">
      <text>
        <r>
          <rPr>
            <sz val="14"/>
            <color rgb="FF000000"/>
            <rFont val="Calibri"/>
            <family val="34"/>
          </rPr>
          <t>IR 39 (1805-1807)</t>
        </r>
      </text>
    </comment>
    <comment ref="BF561" authorId="0" shapeId="0" xr:uid="{8334003C-A3FA-D94C-8787-D3EC3C054FBB}">
      <text>
        <r>
          <rPr>
            <sz val="14"/>
            <color rgb="FF000000"/>
            <rFont val="Times New Roman"/>
            <family val="18"/>
          </rPr>
          <t xml:space="preserve">03/10/1805 </t>
        </r>
        <r>
          <rPr>
            <i/>
            <sz val="14"/>
            <color rgb="FF000000"/>
            <rFont val="Times New Roman"/>
            <family val="18"/>
          </rPr>
          <t>Als landständischer Recrout für Gombosfalva</t>
        </r>
        <r>
          <rPr>
            <sz val="14"/>
            <color rgb="FF000000"/>
            <rFont val="Times New Roman"/>
            <family val="18"/>
          </rPr>
          <t xml:space="preserve"> </t>
        </r>
        <r>
          <rPr>
            <b/>
            <sz val="14"/>
            <color rgb="FF000000"/>
            <rFont val="Times New Roman"/>
            <family val="18"/>
          </rPr>
          <t>[</t>
        </r>
        <r>
          <rPr>
            <b/>
            <u/>
            <sz val="14"/>
            <color rgb="FF0563C1"/>
            <rFont val="Times New Roman"/>
            <family val="18"/>
          </rPr>
          <t>Hubošovce, Slovakia</t>
        </r>
        <r>
          <rPr>
            <b/>
            <sz val="14"/>
            <color rgb="FF000000"/>
            <rFont val="Times New Roman"/>
            <family val="18"/>
          </rPr>
          <t>]</t>
        </r>
        <r>
          <rPr>
            <i/>
            <sz val="14"/>
            <color rgb="FF000000"/>
            <rFont val="Times New Roman"/>
            <family val="18"/>
          </rPr>
          <t>, Saros Komität gestellt, in Eperies zum IR 39 assentiert und in 20. Komp. zugeheilt</t>
        </r>
        <r>
          <rPr>
            <sz val="14"/>
            <color rgb="FF000000"/>
            <rFont val="Times New Roman"/>
            <family val="18"/>
          </rPr>
          <t xml:space="preserve"> [AL Okt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16.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16. Fus. Komp. Nr. 62</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anderer Leute mit Abschied entlassen</t>
        </r>
        <r>
          <rPr>
            <sz val="14"/>
            <color rgb="FF000000"/>
            <rFont val="Times New Roman"/>
            <family val="18"/>
          </rPr>
          <t xml:space="preserve"> [RL 1808]</t>
        </r>
      </text>
    </comment>
    <comment ref="BG561" authorId="0" shapeId="0" xr:uid="{437790F2-AC0A-EA4A-95D1-240495AD6785}">
      <text>
        <r>
          <rPr>
            <sz val="14"/>
            <color rgb="FF000000"/>
            <rFont val="Times New Roman"/>
            <family val="18"/>
          </rPr>
          <t>ML 3499 IR 39 (1807) – 13. Fus. Komp. Nr. 66 (Letschau 23/01/1807)</t>
        </r>
        <r>
          <rPr>
            <sz val="14"/>
            <color rgb="FF000000"/>
            <rFont val="Calibri"/>
            <family val="34"/>
          </rPr>
          <t xml:space="preserve">
</t>
        </r>
        <r>
          <rPr>
            <sz val="14"/>
            <color rgb="FF000000"/>
            <rFont val="Times New Roman"/>
            <family val="18"/>
          </rPr>
          <t>ML 3500 IR 39 (1808-10) – RL 1808 6. Fus. Komp. – Abgang (Comorn 19/09/1808)</t>
        </r>
        <r>
          <rPr>
            <sz val="14"/>
            <color rgb="FF000000"/>
            <rFont val="Calibri"/>
            <family val="34"/>
          </rPr>
          <t xml:space="preserve">
</t>
        </r>
        <r>
          <rPr>
            <sz val="14"/>
            <color rgb="FF000000"/>
            <rFont val="Times New Roman"/>
            <family val="18"/>
          </rPr>
          <t>ML 3546 IR 39 (1805) – AL Nr. 68 (Sátoraljaújhely 24/11/1805)</t>
        </r>
        <r>
          <rPr>
            <sz val="14"/>
            <color rgb="FF000000"/>
            <rFont val="Calibri"/>
            <family val="34"/>
          </rPr>
          <t xml:space="preserve">
</t>
        </r>
      </text>
    </comment>
    <comment ref="BH561" authorId="0" shapeId="0" xr:uid="{431B2866-FC4E-4D49-9CBA-5AFE541459A5}">
      <text>
        <r>
          <rPr>
            <sz val="14"/>
            <color rgb="FF000000"/>
            <rFont val="Calibri"/>
            <family val="34"/>
          </rPr>
          <t>IR 39 (1805-1807)</t>
        </r>
      </text>
    </comment>
    <comment ref="BF562" authorId="0" shapeId="0" xr:uid="{9A6130ED-B686-6D4A-9C77-40A265E78160}">
      <text>
        <r>
          <rPr>
            <sz val="14"/>
            <color rgb="FF000000"/>
            <rFont val="Times New Roman"/>
            <family val="18"/>
          </rPr>
          <t xml:space="preserve">22/11/1805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12/01/1806 </t>
        </r>
        <r>
          <rPr>
            <i/>
            <sz val="14"/>
            <color rgb="FF000000"/>
            <rFont val="Times New Roman"/>
            <family val="18"/>
          </rPr>
          <t>Auf Station Slomnik desertiert</t>
        </r>
        <r>
          <rPr>
            <sz val="14"/>
            <color rgb="FF000000"/>
            <rFont val="Times New Roman"/>
            <family val="18"/>
          </rPr>
          <t xml:space="preserve"> [ML 1806]</t>
        </r>
        <r>
          <rPr>
            <sz val="14"/>
            <color rgb="FF000000"/>
            <rFont val="Calibri"/>
            <family val="34"/>
          </rPr>
          <t xml:space="preserve">
</t>
        </r>
      </text>
    </comment>
    <comment ref="BG562" authorId="0" shapeId="0" xr:uid="{BF1E97A2-4E6D-8748-9D4B-BE1B280998E5}">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113 (Siedlce 30/11/1805)</t>
        </r>
        <r>
          <rPr>
            <sz val="14"/>
            <color rgb="FF000000"/>
            <rFont val="Calibri"/>
            <family val="34"/>
          </rPr>
          <t xml:space="preserve">
</t>
        </r>
      </text>
    </comment>
    <comment ref="BH562" authorId="0" shapeId="0" xr:uid="{9CCDCFDE-5573-C242-AFED-4C8F28E48EB4}">
      <text>
        <r>
          <rPr>
            <sz val="14"/>
            <color rgb="FF000000"/>
            <rFont val="Calibri"/>
            <family val="34"/>
          </rPr>
          <t>IR 59 (1805-1806)</t>
        </r>
      </text>
    </comment>
    <comment ref="BF563" authorId="0" shapeId="0" xr:uid="{912E20DE-2FC5-924B-9122-B3C681348561}">
      <text>
        <r>
          <rPr>
            <sz val="14"/>
            <color rgb="FF000000"/>
            <rFont val="Times New Roman"/>
            <family val="18"/>
          </rPr>
          <t xml:space="preserve">22/11/1805 </t>
        </r>
        <r>
          <rPr>
            <i/>
            <sz val="14"/>
            <color rgb="FF000000"/>
            <rFont val="Times New Roman"/>
            <family val="18"/>
          </rPr>
          <t>Als landständischer Recrout für Nagy Tarkany</t>
        </r>
        <r>
          <rPr>
            <sz val="14"/>
            <color rgb="FF000000"/>
            <rFont val="Times New Roman"/>
            <family val="18"/>
          </rPr>
          <t xml:space="preserve"> </t>
        </r>
        <r>
          <rPr>
            <b/>
            <sz val="14"/>
            <color rgb="FF000000"/>
            <rFont val="Times New Roman"/>
            <family val="18"/>
          </rPr>
          <t>[</t>
        </r>
        <r>
          <rPr>
            <b/>
            <u/>
            <sz val="14"/>
            <color rgb="FF0563C1"/>
            <rFont val="Times New Roman"/>
            <family val="18"/>
          </rPr>
          <t>Veľké Trakany, Slovakia</t>
        </r>
        <r>
          <rPr>
            <b/>
            <sz val="14"/>
            <color rgb="FF000000"/>
            <rFont val="Times New Roman"/>
            <family val="18"/>
          </rPr>
          <t xml:space="preserve">] </t>
        </r>
        <r>
          <rPr>
            <i/>
            <sz val="14"/>
            <color rgb="FF000000"/>
            <rFont val="Times New Roman"/>
            <family val="18"/>
          </rPr>
          <t xml:space="preserve"> 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07/02/1806 </t>
        </r>
        <r>
          <rPr>
            <i/>
            <sz val="14"/>
            <color rgb="FF000000"/>
            <rFont val="Times New Roman"/>
            <family val="18"/>
          </rPr>
          <t xml:space="preserve">Zu Pest </t>
        </r>
        <r>
          <rPr>
            <b/>
            <sz val="14"/>
            <color rgb="FF000000"/>
            <rFont val="Times New Roman"/>
            <family val="18"/>
          </rPr>
          <t>[</t>
        </r>
        <r>
          <rPr>
            <b/>
            <u/>
            <sz val="14"/>
            <color rgb="FF0563C1"/>
            <rFont val="Times New Roman"/>
            <family val="18"/>
          </rPr>
          <t>Pest (Part of Budapest), Hungary</t>
        </r>
        <r>
          <rPr>
            <b/>
            <sz val="14"/>
            <color rgb="FF000000"/>
            <rFont val="Times New Roman"/>
            <family val="18"/>
          </rPr>
          <t>]</t>
        </r>
        <r>
          <rPr>
            <sz val="14"/>
            <color rgb="FF000000"/>
            <rFont val="Times New Roman"/>
            <family val="18"/>
          </rPr>
          <t xml:space="preserve"> </t>
        </r>
        <r>
          <rPr>
            <i/>
            <sz val="14"/>
            <color rgb="FF000000"/>
            <rFont val="Times New Roman"/>
            <family val="18"/>
          </rPr>
          <t>gestorben</t>
        </r>
        <r>
          <rPr>
            <sz val="14"/>
            <color rgb="FF000000"/>
            <rFont val="Times New Roman"/>
            <family val="18"/>
          </rPr>
          <t xml:space="preserve"> [RL 1807]</t>
        </r>
      </text>
    </comment>
    <comment ref="BG563" authorId="0" shapeId="0" xr:uid="{07C29C66-E229-3942-A172-780B7E01FA7D}">
      <text>
        <r>
          <rPr>
            <sz val="14"/>
            <color rgb="FF000000"/>
            <rFont val="Times New Roman"/>
            <family val="18"/>
          </rPr>
          <t>ML 3499 IR 39 (1807) – 20. Fus. Komp. Abgang (Letschau 23/01/1807)</t>
        </r>
        <r>
          <rPr>
            <sz val="14"/>
            <color rgb="FF000000"/>
            <rFont val="Calibri"/>
            <family val="34"/>
          </rPr>
          <t xml:space="preserve">
</t>
        </r>
        <r>
          <rPr>
            <sz val="14"/>
            <color rgb="FF000000"/>
            <rFont val="Times New Roman"/>
            <family val="18"/>
          </rPr>
          <t>ML 3546 IR 39 (1805) – AL Nr. 69 (Sátoraljaújhely 24/11/1805)</t>
        </r>
        <r>
          <rPr>
            <sz val="14"/>
            <color rgb="FF000000"/>
            <rFont val="Calibri"/>
            <family val="34"/>
          </rPr>
          <t xml:space="preserve">
</t>
        </r>
      </text>
    </comment>
    <comment ref="BH563" authorId="0" shapeId="0" xr:uid="{C1836B28-B9F3-064A-AAAF-097506D0EC47}">
      <text>
        <r>
          <rPr>
            <sz val="14"/>
            <color rgb="FF000000"/>
            <rFont val="Calibri"/>
            <family val="34"/>
          </rPr>
          <t>IR 39 (1805-1806)</t>
        </r>
      </text>
    </comment>
    <comment ref="BF564" authorId="0" shapeId="0" xr:uid="{F0E0E16B-E6FA-5E49-A6B7-952AB8402114}">
      <text>
        <r>
          <rPr>
            <sz val="14"/>
            <color rgb="FF000000"/>
            <rFont val="Times New Roman"/>
            <family val="18"/>
          </rPr>
          <t xml:space="preserve">23/11/1805 </t>
        </r>
        <r>
          <rPr>
            <i/>
            <sz val="14"/>
            <color rgb="FF000000"/>
            <rFont val="Times New Roman"/>
            <family val="18"/>
          </rPr>
          <t xml:space="preserve">Als landständischer Recrout für Hommona </t>
        </r>
        <r>
          <rPr>
            <b/>
            <sz val="14"/>
            <color rgb="FF000000"/>
            <rFont val="Times New Roman"/>
            <family val="18"/>
          </rPr>
          <t>[</t>
        </r>
        <r>
          <rPr>
            <b/>
            <u/>
            <sz val="14"/>
            <color rgb="FF0563C1"/>
            <rFont val="Times New Roman"/>
            <family val="18"/>
          </rPr>
          <t>Humenné, Slovakia</t>
        </r>
        <r>
          <rPr>
            <b/>
            <sz val="14"/>
            <color rgb="FF000000"/>
            <rFont val="Times New Roman"/>
            <family val="18"/>
          </rPr>
          <t>]</t>
        </r>
        <r>
          <rPr>
            <sz val="14"/>
            <color rgb="FF000000"/>
            <rFont val="Times New Roman"/>
            <family val="18"/>
          </rPr>
          <t xml:space="preserve"> </t>
        </r>
        <r>
          <rPr>
            <b/>
            <sz val="14"/>
            <color rgb="FF000000"/>
            <rFont val="Times New Roman"/>
            <family val="18"/>
          </rPr>
          <t xml:space="preserve"> </t>
        </r>
        <r>
          <rPr>
            <i/>
            <sz val="14"/>
            <color rgb="FF000000"/>
            <rFont val="Times New Roman"/>
            <family val="18"/>
          </rPr>
          <t>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20. Fus. zur 15.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11/08/1806 </t>
        </r>
        <r>
          <rPr>
            <i/>
            <sz val="14"/>
            <color rgb="FF000000"/>
            <rFont val="Times New Roman"/>
            <family val="18"/>
          </rPr>
          <t>Auf 2 Monat nach Homonauin</t>
        </r>
        <r>
          <rPr>
            <sz val="14"/>
            <color rgb="FF000000"/>
            <rFont val="Times New Roman"/>
            <family val="18"/>
          </rPr>
          <t xml:space="preserve"> </t>
        </r>
        <r>
          <rPr>
            <b/>
            <u/>
            <sz val="14"/>
            <color rgb="FF0563C1"/>
            <rFont val="Times New Roman"/>
            <family val="18"/>
          </rPr>
          <t>Humenné, Slovakia</t>
        </r>
        <r>
          <rPr>
            <b/>
            <sz val="14"/>
            <color rgb="FF000000"/>
            <rFont val="Times New Roman"/>
            <family val="18"/>
          </rPr>
          <t xml:space="preserve">] </t>
        </r>
        <r>
          <rPr>
            <i/>
            <sz val="14"/>
            <color rgb="FF000000"/>
            <rFont val="Times New Roman"/>
            <family val="18"/>
          </rPr>
          <t>Zempliner Comitat 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15. Fus. Komp. Nr. 74 [</t>
        </r>
        <r>
          <rPr>
            <i/>
            <sz val="14"/>
            <color rgb="FF000000"/>
            <rFont val="Times New Roman"/>
            <family val="18"/>
          </rPr>
          <t>Den 11. August 1806 auf 2 Monath nach Homonauin Zempliner Comitat</t>
        </r>
        <r>
          <rPr>
            <sz val="14"/>
            <color rgb="FF000000"/>
            <rFont val="Times New Roman"/>
            <family val="18"/>
          </rPr>
          <t>]</t>
        </r>
        <r>
          <rPr>
            <sz val="14"/>
            <color rgb="FF000000"/>
            <rFont val="Calibri"/>
            <family val="34"/>
          </rPr>
          <t xml:space="preserve">
</t>
        </r>
        <r>
          <rPr>
            <sz val="14"/>
            <color rgb="FF000000"/>
            <rFont val="Times New Roman"/>
            <family val="18"/>
          </rPr>
          <t xml:space="preserve">31/12/1806 </t>
        </r>
        <r>
          <rPr>
            <i/>
            <sz val="14"/>
            <color rgb="FF000000"/>
            <rFont val="Times New Roman"/>
            <family val="18"/>
          </rPr>
          <t xml:space="preserve">Vermog hoh. Verord. Ddt. Ofen am 15. Oct a:c: gegen Stellung Andere Leute mit Abschied entlassen </t>
        </r>
        <r>
          <rPr>
            <sz val="14"/>
            <color rgb="FF000000"/>
            <rFont val="Times New Roman"/>
            <family val="18"/>
          </rPr>
          <t>[RL 1808]</t>
        </r>
      </text>
    </comment>
    <comment ref="BG564" authorId="0" shapeId="0" xr:uid="{D95D0050-4C6A-FA45-805E-E09323D12688}">
      <text>
        <r>
          <rPr>
            <sz val="14"/>
            <color rgb="FF000000"/>
            <rFont val="Times New Roman"/>
            <family val="18"/>
          </rPr>
          <t>ML 3499 IR 39 (1807) – 15. Fus. Komp. Nr. 74 (Kesmark 24/01/1807)</t>
        </r>
        <r>
          <rPr>
            <sz val="14"/>
            <color rgb="FF000000"/>
            <rFont val="Calibri"/>
            <family val="34"/>
          </rPr>
          <t xml:space="preserve">
</t>
        </r>
        <r>
          <rPr>
            <sz val="14"/>
            <color rgb="FF000000"/>
            <rFont val="Times New Roman"/>
            <family val="18"/>
          </rPr>
          <t>ML 3500 IR 39 (1808-10) – RL 1808 8. Fus. Komp. – Abgang (Comorn 19/09/1808)</t>
        </r>
        <r>
          <rPr>
            <sz val="14"/>
            <color rgb="FF000000"/>
            <rFont val="Calibri"/>
            <family val="34"/>
          </rPr>
          <t xml:space="preserve">
</t>
        </r>
        <r>
          <rPr>
            <sz val="14"/>
            <color rgb="FF000000"/>
            <rFont val="Times New Roman"/>
            <family val="18"/>
          </rPr>
          <t>ML 3546 IR 39 (1805) – AL Nr. 74 (Sátoraljaújhely 24/11/1805)</t>
        </r>
        <r>
          <rPr>
            <sz val="14"/>
            <color rgb="FF000000"/>
            <rFont val="Calibri"/>
            <family val="34"/>
          </rPr>
          <t xml:space="preserve">
</t>
        </r>
      </text>
    </comment>
    <comment ref="BH564" authorId="0" shapeId="0" xr:uid="{A9D341F3-40F1-9245-AF03-9834A8028F0F}">
      <text>
        <r>
          <rPr>
            <sz val="14"/>
            <color rgb="FF000000"/>
            <rFont val="Calibri"/>
            <family val="34"/>
          </rPr>
          <t>IR 39 (1805-1806)</t>
        </r>
      </text>
    </comment>
    <comment ref="BF565" authorId="0" shapeId="0" xr:uid="{B7B97E5D-4494-DF4F-964B-E99171B3DCC0}">
      <text>
        <r>
          <rPr>
            <sz val="14"/>
            <color rgb="FF000000"/>
            <rFont val="Times New Roman"/>
            <family val="18"/>
          </rPr>
          <t xml:space="preserve">23/11/1805 </t>
        </r>
        <r>
          <rPr>
            <i/>
            <sz val="14"/>
            <color rgb="FF000000"/>
            <rFont val="Times New Roman"/>
            <family val="18"/>
          </rPr>
          <t xml:space="preserve">Als landständischer Recrout für Hommona </t>
        </r>
        <r>
          <rPr>
            <b/>
            <sz val="14"/>
            <color rgb="FF000000"/>
            <rFont val="Times New Roman"/>
            <family val="18"/>
          </rPr>
          <t>[</t>
        </r>
        <r>
          <rPr>
            <b/>
            <u/>
            <sz val="14"/>
            <color rgb="FF0563C1"/>
            <rFont val="Times New Roman"/>
            <family val="18"/>
          </rPr>
          <t>Humenné, Slovakia</t>
        </r>
        <r>
          <rPr>
            <b/>
            <sz val="14"/>
            <color rgb="FF000000"/>
            <rFont val="Times New Roman"/>
            <family val="18"/>
          </rPr>
          <t>]</t>
        </r>
        <r>
          <rPr>
            <i/>
            <sz val="14"/>
            <color rgb="FF000000"/>
            <rFont val="Times New Roman"/>
            <family val="18"/>
          </rPr>
          <t xml:space="preserve"> Zempliner Komität in gestellt, in Ujhely zum IR 39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14. Fus Komp. transferiert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eines anderen Mannes mit Abschied entlassen</t>
        </r>
        <r>
          <rPr>
            <sz val="14"/>
            <color rgb="FF000000"/>
            <rFont val="Times New Roman"/>
            <family val="18"/>
          </rPr>
          <t xml:space="preserve"> [RL 1808]</t>
        </r>
      </text>
    </comment>
    <comment ref="BG565" authorId="0" shapeId="0" xr:uid="{9534AC45-1CE6-1E4D-93A8-145016F67D79}">
      <text>
        <r>
          <rPr>
            <sz val="14"/>
            <color rgb="FF000000"/>
            <rFont val="Times New Roman"/>
            <family val="18"/>
          </rPr>
          <t>ML 3546 IR 39 (1805) – AL Nr. 75 (Sátoraljaújhely 24/11/1805)</t>
        </r>
        <r>
          <rPr>
            <sz val="14"/>
            <color rgb="FF000000"/>
            <rFont val="Calibri"/>
            <family val="34"/>
          </rPr>
          <t xml:space="preserve">
</t>
        </r>
        <r>
          <rPr>
            <sz val="14"/>
            <color rgb="FF000000"/>
            <rFont val="Times New Roman"/>
            <family val="18"/>
          </rPr>
          <t>ML 3500 IR 39 (1808-10) – RL 1808 5. Komp. – Abgang (Comorn 19/09/1808)</t>
        </r>
        <r>
          <rPr>
            <sz val="14"/>
            <color rgb="FF000000"/>
            <rFont val="Calibri"/>
            <family val="34"/>
          </rPr>
          <t xml:space="preserve">
</t>
        </r>
      </text>
    </comment>
    <comment ref="BH565" authorId="0" shapeId="0" xr:uid="{73C1AEC4-429A-8B48-90F0-30989815B650}">
      <text>
        <r>
          <rPr>
            <sz val="14"/>
            <color rgb="FF000000"/>
            <rFont val="Calibri"/>
            <family val="34"/>
          </rPr>
          <t>IR 39 (1805-1806)</t>
        </r>
      </text>
    </comment>
    <comment ref="BF566" authorId="0" shapeId="0" xr:uid="{7BD20CC1-1D1C-A041-BA19-245F32F08CC5}">
      <text>
        <r>
          <rPr>
            <sz val="14"/>
            <color rgb="FF000000"/>
            <rFont val="Times New Roman"/>
            <family val="18"/>
          </rPr>
          <t xml:space="preserve">23/11/1805 </t>
        </r>
        <r>
          <rPr>
            <i/>
            <sz val="14"/>
            <color rgb="FF000000"/>
            <rFont val="Times New Roman"/>
            <family val="18"/>
          </rPr>
          <t xml:space="preserve">Als landständischer Recrout für Morva </t>
        </r>
        <r>
          <rPr>
            <b/>
            <sz val="14"/>
            <color rgb="FF000000"/>
            <rFont val="Times New Roman"/>
            <family val="18"/>
          </rPr>
          <t>[</t>
        </r>
        <r>
          <rPr>
            <b/>
            <u/>
            <sz val="14"/>
            <color rgb="FF0563C1"/>
            <rFont val="Times New Roman"/>
            <family val="18"/>
          </rPr>
          <t>Moravany, Slovakia</t>
        </r>
        <r>
          <rPr>
            <b/>
            <sz val="14"/>
            <color rgb="FF000000"/>
            <rFont val="Times New Roman"/>
            <family val="18"/>
          </rPr>
          <t xml:space="preserve">] </t>
        </r>
        <r>
          <rPr>
            <sz val="14"/>
            <color rgb="FF000000"/>
            <rFont val="Times New Roman"/>
            <family val="18"/>
          </rPr>
          <t xml:space="preserve"> </t>
        </r>
        <r>
          <rPr>
            <i/>
            <sz val="14"/>
            <color rgb="FF000000"/>
            <rFont val="Times New Roman"/>
            <family val="18"/>
          </rPr>
          <t>Zempliner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16/05/1806 </t>
        </r>
        <r>
          <rPr>
            <i/>
            <sz val="14"/>
            <color rgb="FF000000"/>
            <rFont val="Times New Roman"/>
            <family val="18"/>
          </rPr>
          <t xml:space="preserve">Von 7. Fus. zum 5. Fus. Komp transferiert </t>
        </r>
        <r>
          <rPr>
            <sz val="14"/>
            <color rgb="FF000000"/>
            <rFont val="Times New Roman"/>
            <family val="18"/>
          </rPr>
          <t>[RL 1807]</t>
        </r>
        <r>
          <rPr>
            <sz val="14"/>
            <color rgb="FF000000"/>
            <rFont val="Calibri"/>
            <family val="34"/>
          </rPr>
          <t xml:space="preserve">
</t>
        </r>
        <r>
          <rPr>
            <sz val="14"/>
            <color rgb="FF000000"/>
            <rFont val="Times New Roman"/>
            <family val="18"/>
          </rPr>
          <t xml:space="preserve">11/01/1807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5. Fus. Komp. Nr. 106 [</t>
        </r>
        <r>
          <rPr>
            <i/>
            <sz val="14"/>
            <color rgb="FF000000"/>
            <rFont val="Times New Roman"/>
            <family val="18"/>
          </rPr>
          <t>von 11. Hujus auf Urlaub</t>
        </r>
        <r>
          <rPr>
            <sz val="14"/>
            <color rgb="FF000000"/>
            <rFont val="Times New Roman"/>
            <family val="18"/>
          </rPr>
          <t>]</t>
        </r>
        <r>
          <rPr>
            <sz val="14"/>
            <color rgb="FF000000"/>
            <rFont val="Calibri"/>
            <family val="34"/>
          </rPr>
          <t xml:space="preserve">
</t>
        </r>
        <r>
          <rPr>
            <sz val="14"/>
            <color rgb="FF000000"/>
            <rFont val="Times New Roman"/>
            <family val="18"/>
          </rPr>
          <t xml:space="preserve">25/03/1807 </t>
        </r>
        <r>
          <rPr>
            <i/>
            <sz val="14"/>
            <color rgb="FF000000"/>
            <rFont val="Times New Roman"/>
            <family val="18"/>
          </rPr>
          <t xml:space="preserve">Gegen Stellung andere Leute mit Abschied entlassen </t>
        </r>
        <r>
          <rPr>
            <sz val="14"/>
            <color rgb="FF000000"/>
            <rFont val="Times New Roman"/>
            <family val="18"/>
          </rPr>
          <t>[RL 1808]</t>
        </r>
      </text>
    </comment>
    <comment ref="BG566" authorId="0" shapeId="0" xr:uid="{BD8189D6-BBF0-1F49-99E7-E4F063C1313F}">
      <text>
        <r>
          <rPr>
            <sz val="14"/>
            <color rgb="FF000000"/>
            <rFont val="Times New Roman"/>
            <family val="18"/>
          </rPr>
          <t>ML 3499 IR 39 (1807) – 5. Fus. Komp. Nr. 106 (Kesmark 24/01/1807)</t>
        </r>
        <r>
          <rPr>
            <sz val="14"/>
            <color rgb="FF000000"/>
            <rFont val="Calibri"/>
            <family val="34"/>
          </rPr>
          <t xml:space="preserve">
</t>
        </r>
        <r>
          <rPr>
            <sz val="14"/>
            <color rgb="FF000000"/>
            <rFont val="Times New Roman"/>
            <family val="18"/>
          </rPr>
          <t>ML 3500 IR 39 (1808-10) – RL 1808 11. Fus. Komp. – Abgang (Comorn 19/09/1808)</t>
        </r>
        <r>
          <rPr>
            <sz val="14"/>
            <color rgb="FF000000"/>
            <rFont val="Calibri"/>
            <family val="34"/>
          </rPr>
          <t xml:space="preserve">
</t>
        </r>
        <r>
          <rPr>
            <sz val="14"/>
            <color rgb="FF000000"/>
            <rFont val="Times New Roman"/>
            <family val="18"/>
          </rPr>
          <t>ML 3546 IR 39 (1805) – AL Nr. 70 (Sátoraljaújhely 24/11/1805)</t>
        </r>
        <r>
          <rPr>
            <sz val="14"/>
            <color rgb="FF000000"/>
            <rFont val="Calibri"/>
            <family val="34"/>
          </rPr>
          <t xml:space="preserve">
</t>
        </r>
      </text>
    </comment>
    <comment ref="BH566" authorId="0" shapeId="0" xr:uid="{2BE24AE5-2610-0E44-8665-AE88164E0F6C}">
      <text>
        <r>
          <rPr>
            <sz val="14"/>
            <color rgb="FF000000"/>
            <rFont val="Calibri"/>
            <family val="34"/>
          </rPr>
          <t>IR 39 (1805-1807)</t>
        </r>
      </text>
    </comment>
    <comment ref="BF567" authorId="0" shapeId="0" xr:uid="{85EA19B4-B2B8-1642-AA3B-BA4153295891}">
      <text>
        <r>
          <rPr>
            <sz val="14"/>
            <color rgb="FF000000"/>
            <rFont val="Times New Roman"/>
            <family val="18"/>
          </rPr>
          <t xml:space="preserve">23/11/1805 </t>
        </r>
        <r>
          <rPr>
            <i/>
            <sz val="14"/>
            <color rgb="FF000000"/>
            <rFont val="Times New Roman"/>
            <family val="18"/>
          </rPr>
          <t>Als landständischer Recrout für Ruszka</t>
        </r>
        <r>
          <rPr>
            <sz val="14"/>
            <color rgb="FF000000"/>
            <rFont val="Times New Roman"/>
            <family val="18"/>
          </rPr>
          <t xml:space="preserve"> </t>
        </r>
        <r>
          <rPr>
            <b/>
            <sz val="14"/>
            <color rgb="FF000000"/>
            <rFont val="Times New Roman"/>
            <family val="18"/>
          </rPr>
          <t>[</t>
        </r>
        <r>
          <rPr>
            <b/>
            <u/>
            <sz val="14"/>
            <color rgb="FF0563C1"/>
            <rFont val="Times New Roman"/>
            <family val="18"/>
          </rPr>
          <t>Ruská, Slovakia</t>
        </r>
        <r>
          <rPr>
            <b/>
            <sz val="14"/>
            <color rgb="FF000000"/>
            <rFont val="Times New Roman"/>
            <family val="18"/>
          </rPr>
          <t xml:space="preserve">] </t>
        </r>
        <r>
          <rPr>
            <i/>
            <sz val="14"/>
            <color rgb="FF000000"/>
            <rFont val="Times New Roman"/>
            <family val="18"/>
          </rPr>
          <t>Ungvarer Komität gestellt, in Ujhely zum IR 39 a 3Fl assentiert und in 20.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20. Fus. zum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??/??/1806 </t>
        </r>
        <r>
          <rPr>
            <i/>
            <sz val="14"/>
            <color rgb="FF000000"/>
            <rFont val="Times New Roman"/>
            <family val="18"/>
          </rPr>
          <t>Beurlaubt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31/12/1806 </t>
        </r>
        <r>
          <rPr>
            <i/>
            <sz val="14"/>
            <color rgb="FF000000"/>
            <rFont val="Times New Roman"/>
            <family val="18"/>
          </rPr>
          <t>Gegen Stellung andere Leute mit Abschied entlassen</t>
        </r>
        <r>
          <rPr>
            <sz val="14"/>
            <color rgb="FF000000"/>
            <rFont val="Times New Roman"/>
            <family val="18"/>
          </rPr>
          <t xml:space="preserve"> [RL 1807]</t>
        </r>
      </text>
    </comment>
    <comment ref="BG567" authorId="0" shapeId="0" xr:uid="{58B515A8-94D3-4D4D-97DA-D47E472B5B34}">
      <text>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3546 IR 39 (1805) – AL Nr. 73 (Sátoraljaújhely 24/11/1805)</t>
        </r>
        <r>
          <rPr>
            <sz val="14"/>
            <color rgb="FF000000"/>
            <rFont val="Calibri"/>
            <family val="34"/>
          </rPr>
          <t xml:space="preserve">
</t>
        </r>
      </text>
    </comment>
    <comment ref="BH567" authorId="0" shapeId="0" xr:uid="{6B66C875-D656-B44F-89FE-DD9C11B5CE68}">
      <text>
        <r>
          <rPr>
            <sz val="14"/>
            <color rgb="FF000000"/>
            <rFont val="Calibri"/>
            <family val="34"/>
          </rPr>
          <t>IR 39 (1805-1806)</t>
        </r>
      </text>
    </comment>
    <comment ref="BF568" authorId="0" shapeId="0" xr:uid="{E3ECA4F2-331C-2144-B871-92D7A47DF78D}">
      <text>
        <r>
          <rPr>
            <sz val="14"/>
            <color rgb="FF000000"/>
            <rFont val="Times New Roman"/>
            <family val="18"/>
          </rPr>
          <t xml:space="preserve">23/11/1805 </t>
        </r>
        <r>
          <rPr>
            <i/>
            <sz val="14"/>
            <color rgb="FF000000"/>
            <rFont val="Times New Roman"/>
            <family val="18"/>
          </rPr>
          <t>Zu Siedlce a 3Fl von Dominien mit 10 jähriger Capitulation gestellt und zur IR 59 Reserve Division assentiert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zum 16. Fusilier Kompanie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verlohren in Abgang gebracht</t>
        </r>
        <r>
          <rPr>
            <sz val="14"/>
            <color rgb="FF000000"/>
            <rFont val="Times New Roman"/>
            <family val="18"/>
          </rPr>
          <t xml:space="preserve"> [ML 1806] </t>
        </r>
      </text>
    </comment>
    <comment ref="BG568" authorId="0" shapeId="0" xr:uid="{A2101CE9-2825-F643-A533-BD46AE71EAB0}">
      <text>
        <r>
          <rPr>
            <sz val="14"/>
            <color rgb="FF000000"/>
            <rFont val="Times New Roman"/>
            <family val="18"/>
          </rPr>
          <t>ML 5017/8 IR 59 (1806) – 16. Fus. Komp. Nr. 289 (Freistadt 22/12/1816) &amp; Reserve Division Zuwachs &amp; Abgang (Wells 06/07/1807) &amp; Cons.‘Unwissend verloren‘ Nr. 398 (Linz 10/07/1807)</t>
        </r>
        <r>
          <rPr>
            <sz val="14"/>
            <color rgb="FF000000"/>
            <rFont val="Calibri"/>
            <family val="34"/>
          </rPr>
          <t xml:space="preserve">
</t>
        </r>
        <r>
          <rPr>
            <sz val="14"/>
            <color rgb="FF000000"/>
            <rFont val="Times New Roman"/>
            <family val="18"/>
          </rPr>
          <t>ML 5067 IR 59 (1805) – AL. Nr. 117 (Siedlce 30/11/1805)</t>
        </r>
        <r>
          <rPr>
            <sz val="14"/>
            <color rgb="FF000000"/>
            <rFont val="Calibri"/>
            <family val="34"/>
          </rPr>
          <t xml:space="preserve">
</t>
        </r>
      </text>
    </comment>
    <comment ref="BH568" authorId="0" shapeId="0" xr:uid="{AD20A58F-5F08-DB4F-A09A-2AA56DDAD217}">
      <text>
        <r>
          <rPr>
            <sz val="14"/>
            <color rgb="FF000000"/>
            <rFont val="Calibri"/>
            <family val="34"/>
          </rPr>
          <t>IR 59 (1805-1806)</t>
        </r>
      </text>
    </comment>
    <comment ref="BF569" authorId="0" shapeId="0" xr:uid="{DB98877F-0FA7-BC43-B677-B38D7E560019}">
      <text>
        <r>
          <rPr>
            <sz val="14"/>
            <color rgb="FF000000"/>
            <rFont val="Times New Roman"/>
            <family val="18"/>
          </rPr>
          <t xml:space="preserve">23/11/1805 </t>
        </r>
        <r>
          <rPr>
            <i/>
            <sz val="14"/>
            <color rgb="FF000000"/>
            <rFont val="Times New Roman"/>
            <family val="18"/>
          </rPr>
          <t>Als landständischer Recrout für Izbagya Hoza Meszo</t>
        </r>
        <r>
          <rPr>
            <sz val="14"/>
            <color rgb="FF000000"/>
            <rFont val="Times New Roman"/>
            <family val="18"/>
          </rPr>
          <t xml:space="preserve"> </t>
        </r>
        <r>
          <rPr>
            <b/>
            <sz val="14"/>
            <color rgb="FF000000"/>
            <rFont val="Times New Roman"/>
            <family val="18"/>
          </rPr>
          <t>[</t>
        </r>
        <r>
          <rPr>
            <b/>
            <u/>
            <sz val="14"/>
            <color rgb="FF0563C1"/>
            <rFont val="Times New Roman"/>
            <family val="18"/>
          </rPr>
          <t>Zbudské Dlhé, Slovakia</t>
        </r>
        <r>
          <rPr>
            <b/>
            <sz val="14"/>
            <color rgb="FF000000"/>
            <rFont val="Times New Roman"/>
            <family val="18"/>
          </rPr>
          <t xml:space="preserve">] </t>
        </r>
        <r>
          <rPr>
            <sz val="14"/>
            <color rgb="FF000000"/>
            <rFont val="Times New Roman"/>
            <family val="18"/>
          </rPr>
          <t xml:space="preserve"> </t>
        </r>
        <r>
          <rPr>
            <i/>
            <sz val="14"/>
            <color rgb="FF000000"/>
            <rFont val="Times New Roman"/>
            <family val="18"/>
          </rPr>
          <t>Zempliner Komität gestellt, in Ujhely zum IR 39 a 3Fl assentiert und in 18.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Komp zum 7.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7. Fus. Komp Nr. 92</t>
        </r>
        <r>
          <rPr>
            <sz val="14"/>
            <color rgb="FF000000"/>
            <rFont val="Calibri"/>
            <family val="34"/>
          </rPr>
          <t xml:space="preserve">
</t>
        </r>
        <r>
          <rPr>
            <sz val="14"/>
            <color rgb="FF000000"/>
            <rFont val="Times New Roman"/>
            <family val="18"/>
          </rPr>
          <t xml:space="preserve">15/03/1807 </t>
        </r>
        <r>
          <rPr>
            <i/>
            <sz val="14"/>
            <color rgb="FF000000"/>
            <rFont val="Times New Roman"/>
            <family val="18"/>
          </rPr>
          <t xml:space="preserve">Vermog hoh. Verord. Ddt. Ofen am 14. Februar a:c: gegen Stellung andere Leute mit Abschied entlassen </t>
        </r>
        <r>
          <rPr>
            <sz val="14"/>
            <color rgb="FF000000"/>
            <rFont val="Times New Roman"/>
            <family val="18"/>
          </rPr>
          <t>[RL 1808]</t>
        </r>
      </text>
    </comment>
    <comment ref="BG569" authorId="0" shapeId="0" xr:uid="{BE90B318-2055-F940-9098-FAC331D60FE4}">
      <text>
        <r>
          <rPr>
            <sz val="14"/>
            <color rgb="FF000000"/>
            <rFont val="Times New Roman"/>
            <family val="18"/>
          </rPr>
          <t>ML 3499 IR 39 (1807) – 7. Fus. Komp. Nr. 192 (Kesmark 24/01/1807)</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3546 IR 39 (1805) – AL Nr. 71 (Sátoraljaújhely 24/11/1805)</t>
        </r>
        <r>
          <rPr>
            <sz val="14"/>
            <color rgb="FF000000"/>
            <rFont val="Calibri"/>
            <family val="34"/>
          </rPr>
          <t xml:space="preserve">
</t>
        </r>
      </text>
    </comment>
    <comment ref="BH569" authorId="0" shapeId="0" xr:uid="{DDA32598-5956-D64C-A282-2E07123439C9}">
      <text>
        <r>
          <rPr>
            <sz val="14"/>
            <color rgb="FF000000"/>
            <rFont val="Calibri"/>
            <family val="34"/>
          </rPr>
          <t>IR 39 (1805-1807)</t>
        </r>
      </text>
    </comment>
    <comment ref="T570" authorId="0" shapeId="0" xr:uid="{C85F9163-282E-5241-9E42-48C50B1915E7}">
      <text>
        <r>
          <rPr>
            <sz val="14"/>
            <color rgb="FF000000"/>
            <rFont val="Calibri"/>
            <family val="34"/>
          </rPr>
          <t xml:space="preserve">166.11 [5.3.1 (TL Mai 1808)]
</t>
        </r>
        <r>
          <rPr>
            <sz val="14"/>
            <color rgb="FF000000"/>
            <rFont val="Calibri"/>
            <family val="34"/>
          </rPr>
          <t>168.96 [5.4.2 (AL Dez 1805)]</t>
        </r>
      </text>
    </comment>
    <comment ref="BF570" authorId="0" shapeId="0" xr:uid="{B15512D4-E12B-DF4A-A52B-97435476F4E7}">
      <text>
        <r>
          <rPr>
            <sz val="14"/>
            <color rgb="FFFF0000"/>
            <rFont val="Times New Roman"/>
            <family val="18"/>
          </rPr>
          <t xml:space="preserve">23/11/1805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24/11/1805 </t>
        </r>
        <r>
          <rPr>
            <i/>
            <sz val="14"/>
            <color rgb="FF000000"/>
            <rFont val="Times New Roman"/>
            <family val="18"/>
          </rPr>
          <t>Als landständischer Recrout für Czebinye</t>
        </r>
        <r>
          <rPr>
            <sz val="14"/>
            <color rgb="FF000000"/>
            <rFont val="Times New Roman"/>
            <family val="18"/>
          </rPr>
          <t xml:space="preserve"> [</t>
        </r>
        <r>
          <rPr>
            <b/>
            <u/>
            <sz val="14"/>
            <color rgb="FF0563C1"/>
            <rFont val="Times New Roman"/>
            <family val="18"/>
          </rPr>
          <t>Čabiny, Slovakia</t>
        </r>
        <r>
          <rPr>
            <b/>
            <sz val="14"/>
            <color rgb="FF000000"/>
            <rFont val="Times New Roman"/>
            <family val="18"/>
          </rPr>
          <t xml:space="preserve">] </t>
        </r>
        <r>
          <rPr>
            <i/>
            <sz val="14"/>
            <color rgb="FF000000"/>
            <rFont val="Times New Roman"/>
            <family val="18"/>
          </rPr>
          <t>Zempliner Komität gestellt, in Ujhely zum IR 39 a 3Fl assentiert und in 19. Komp. zugeheilt</t>
        </r>
        <r>
          <rPr>
            <sz val="14"/>
            <color rgb="FF000000"/>
            <rFont val="Times New Roman"/>
            <family val="18"/>
          </rPr>
          <t xml:space="preserve"> [AL Nov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Zum. 9.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9. Fus. Komp. Nr. 64</t>
        </r>
        <r>
          <rPr>
            <sz val="14"/>
            <color rgb="FF000000"/>
            <rFont val="Calibri"/>
            <family val="34"/>
          </rPr>
          <t xml:space="preserve">
</t>
        </r>
        <r>
          <rPr>
            <sz val="14"/>
            <color rgb="FF000000"/>
            <rFont val="Times New Roman"/>
            <family val="18"/>
          </rPr>
          <t xml:space="preserve">21/05/1808 Vermog General Comando Verordnung ddt. Lemberg am 22 März 808 </t>
        </r>
        <r>
          <rPr>
            <i/>
            <sz val="14"/>
            <color rgb="FF000000"/>
            <rFont val="Times New Roman"/>
            <family val="18"/>
          </rPr>
          <t xml:space="preserve">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13.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12/09/1808 Revision: IR 9 14. Fus. Komp. Nr. 186</t>
        </r>
        <r>
          <rPr>
            <sz val="14"/>
            <color rgb="FF000000"/>
            <rFont val="Calibri"/>
            <family val="34"/>
          </rPr>
          <t xml:space="preserve">
</t>
        </r>
        <r>
          <rPr>
            <sz val="14"/>
            <color rgb="FF000000"/>
            <rFont val="Times New Roman"/>
            <family val="18"/>
          </rPr>
          <t xml:space="preserve">11/12/1808 </t>
        </r>
        <r>
          <rPr>
            <i/>
            <sz val="14"/>
            <color rgb="FF000000"/>
            <rFont val="Times New Roman"/>
            <family val="18"/>
          </rPr>
          <t>Bestimmt Beurlaubt</t>
        </r>
        <r>
          <rPr>
            <sz val="14"/>
            <color rgb="FF000000"/>
            <rFont val="Times New Roman"/>
            <family val="18"/>
          </rPr>
          <t xml:space="preserve"> [ST Dez 1808]</t>
        </r>
        <r>
          <rPr>
            <sz val="14"/>
            <color rgb="FF000000"/>
            <rFont val="Calibri"/>
            <family val="34"/>
          </rPr>
          <t xml:space="preserve">
</t>
        </r>
        <r>
          <rPr>
            <sz val="14"/>
            <color rgb="FF000000"/>
            <rFont val="Times New Roman"/>
            <family val="18"/>
          </rPr>
          <t xml:space="preserve">05/01/1809 </t>
        </r>
        <r>
          <rPr>
            <i/>
            <sz val="14"/>
            <color rgb="FF000000"/>
            <rFont val="Times New Roman"/>
            <family val="18"/>
          </rPr>
          <t>Von Bestimmte Urlaub eingerückt</t>
        </r>
        <r>
          <rPr>
            <sz val="14"/>
            <color rgb="FF000000"/>
            <rFont val="Times New Roman"/>
            <family val="18"/>
          </rPr>
          <t xml:space="preserve"> [ST Jan 1809]</t>
        </r>
        <r>
          <rPr>
            <sz val="14"/>
            <color rgb="FF000000"/>
            <rFont val="Calibri"/>
            <family val="34"/>
          </rPr>
          <t xml:space="preserve">
</t>
        </r>
        <r>
          <rPr>
            <sz val="14"/>
            <color rgb="FF000000"/>
            <rFont val="Times New Roman"/>
            <family val="18"/>
          </rPr>
          <t xml:space="preserve">21/04/1809 </t>
        </r>
        <r>
          <rPr>
            <i/>
            <sz val="14"/>
            <color rgb="FF000000"/>
            <rFont val="Times New Roman"/>
            <family val="18"/>
          </rPr>
          <t>Auf Marsch zum Regiment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Während Marsch zum Regiment desertiert</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Vom Militär attrappiert zum 8FL Taglia eingebracht, zum Lager am Neusiedel präsentiert, und zu, 15. Fus. Komp. transferiert</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13/07/1809 </t>
        </r>
        <r>
          <rPr>
            <i/>
            <sz val="14"/>
            <color rgb="FF000000"/>
            <rFont val="Times New Roman"/>
            <family val="18"/>
          </rPr>
          <t>Krank in Feldspital</t>
        </r>
        <r>
          <rPr>
            <sz val="14"/>
            <color rgb="FF000000"/>
            <rFont val="Times New Roman"/>
            <family val="18"/>
          </rPr>
          <t xml:space="preserve"> [ST Juli 1809] </t>
        </r>
        <r>
          <rPr>
            <sz val="14"/>
            <color rgb="FFFF0000"/>
            <rFont val="Times New Roman"/>
            <family val="18"/>
          </rPr>
          <t>[Together with 4 other people – wounded in Znaym ?]</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13. Fus. Zum 7. Fus Komp transferiert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31/03/1810 </t>
        </r>
        <r>
          <rPr>
            <i/>
            <sz val="14"/>
            <color rgb="FF000000"/>
            <rFont val="Times New Roman"/>
            <family val="18"/>
          </rPr>
          <t>Rekonvalesziert und zur Komp. eingerückt</t>
        </r>
        <r>
          <rPr>
            <sz val="14"/>
            <color rgb="FF000000"/>
            <rFont val="Times New Roman"/>
            <family val="18"/>
          </rPr>
          <t xml:space="preserve"> [ST April 1810]</t>
        </r>
        <r>
          <rPr>
            <sz val="14"/>
            <color rgb="FF000000"/>
            <rFont val="Calibri"/>
            <family val="34"/>
          </rPr>
          <t xml:space="preserve">
</t>
        </r>
        <r>
          <rPr>
            <sz val="14"/>
            <color rgb="FF000000"/>
            <rFont val="Times New Roman"/>
            <family val="18"/>
          </rPr>
          <t xml:space="preserve">31/07/1811 </t>
        </r>
        <r>
          <rPr>
            <i/>
            <sz val="14"/>
            <color rgb="FF000000"/>
            <rFont val="Times New Roman"/>
            <family val="18"/>
          </rPr>
          <t>Als anerkannter Reale Invalid gegen Renuncierung mit Abschied entlassen</t>
        </r>
        <r>
          <rPr>
            <sz val="14"/>
            <color rgb="FF000000"/>
            <rFont val="Times New Roman"/>
            <family val="18"/>
          </rPr>
          <t xml:space="preserve"> [ML 1811]</t>
        </r>
      </text>
    </comment>
    <comment ref="BG570" authorId="0" shapeId="0" xr:uid="{26F31388-CD57-9B48-A611-1562F3B8A603}">
      <text>
        <r>
          <rPr>
            <sz val="14"/>
            <color rgb="FF000000"/>
            <rFont val="Times New Roman"/>
            <family val="18"/>
          </rPr>
          <t>ML 3499 IR 39 (1807) – 10. Fus. Komp. Nr. 128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24 (Sátoraljaújhely 12/12/1805)</t>
        </r>
        <r>
          <rPr>
            <sz val="14"/>
            <color rgb="FF000000"/>
            <rFont val="Calibri"/>
            <family val="34"/>
          </rPr>
          <t xml:space="preserve">
</t>
        </r>
        <r>
          <rPr>
            <sz val="14"/>
            <color rgb="FF000000"/>
            <rFont val="Times New Roman"/>
            <family val="18"/>
          </rPr>
          <t>ML 3549 IR 39 (1808) – TL IR 39-&gt;IR 9 Nr. 1 (Neu Sandez 20/05/1808)</t>
        </r>
        <r>
          <rPr>
            <sz val="14"/>
            <color rgb="FF000000"/>
            <rFont val="Calibri"/>
            <family val="34"/>
          </rPr>
          <t xml:space="preserve">
</t>
        </r>
        <r>
          <rPr>
            <sz val="14"/>
            <color rgb="FF000000"/>
            <rFont val="Times New Roman"/>
            <family val="18"/>
          </rPr>
          <t>ML 633 IR 9 (1808) – 15. Fus. Komp. Nr. 186 (Jaroslau 12/09/1808)</t>
        </r>
        <r>
          <rPr>
            <sz val="14"/>
            <color rgb="FF000000"/>
            <rFont val="Calibri"/>
            <family val="34"/>
          </rPr>
          <t xml:space="preserve">
</t>
        </r>
        <r>
          <rPr>
            <sz val="14"/>
            <color rgb="FF000000"/>
            <rFont val="Times New Roman"/>
            <family val="18"/>
          </rPr>
          <t>ML 669 IR 9 (1808) – ST Juli (Krakau 02/11/1808), ST Dez (12/05/1809)</t>
        </r>
        <r>
          <rPr>
            <sz val="14"/>
            <color rgb="FF000000"/>
            <rFont val="Calibri"/>
            <family val="34"/>
          </rPr>
          <t xml:space="preserve">
</t>
        </r>
        <r>
          <rPr>
            <sz val="14"/>
            <color rgb="FF000000"/>
            <rFont val="Times New Roman"/>
            <family val="18"/>
          </rPr>
          <t>ML 634 IR 9 (1811) – 7. Fus. Komp. Abgang (Caschau 19/09/1811)</t>
        </r>
        <r>
          <rPr>
            <sz val="14"/>
            <color rgb="FF000000"/>
            <rFont val="Calibri"/>
            <family val="34"/>
          </rPr>
          <t xml:space="preserve">
</t>
        </r>
        <r>
          <rPr>
            <sz val="14"/>
            <color rgb="FF000000"/>
            <rFont val="Times New Roman"/>
            <family val="18"/>
          </rPr>
          <t>ML 671 IR 9 (1809) – ST Jan (15/05/1809), April (Caschau 31/07/1810), ST Juni (15/09/1810), ST Juli (Caschau 01/10/1810), ST August (Caschau 15/10/1810)</t>
        </r>
        <r>
          <rPr>
            <sz val="14"/>
            <color rgb="FF000000"/>
            <rFont val="Calibri"/>
            <family val="34"/>
          </rPr>
          <t xml:space="preserve">
</t>
        </r>
        <r>
          <rPr>
            <sz val="14"/>
            <color rgb="FF000000"/>
            <rFont val="Times New Roman"/>
            <family val="18"/>
          </rPr>
          <t>ML 672 IR 9 (1810) – ST April (20/02/1811)</t>
        </r>
        <r>
          <rPr>
            <sz val="14"/>
            <color rgb="FF000000"/>
            <rFont val="Calibri"/>
            <family val="34"/>
          </rPr>
          <t xml:space="preserve">
</t>
        </r>
      </text>
    </comment>
    <comment ref="BH570" authorId="0" shapeId="0" xr:uid="{F31032A9-4C03-654D-A2E1-20415F386BFB}">
      <text>
        <r>
          <rPr>
            <sz val="14"/>
            <color rgb="FF000000"/>
            <rFont val="Calibri"/>
            <family val="34"/>
          </rPr>
          <t xml:space="preserve">IR 39 (1805-1808)
</t>
        </r>
        <r>
          <rPr>
            <sz val="14"/>
            <color rgb="FF000000"/>
            <rFont val="Calibri"/>
            <family val="34"/>
          </rPr>
          <t>IR 9 (1808-1811)</t>
        </r>
      </text>
    </comment>
    <comment ref="BF571" authorId="0" shapeId="0" xr:uid="{1BCCD5F9-2A64-704D-83A2-B7675A221F4A}">
      <text>
        <r>
          <rPr>
            <sz val="14"/>
            <color rgb="FF000000"/>
            <rFont val="Times New Roman"/>
            <family val="18"/>
          </rPr>
          <t xml:space="preserve">25/11/1805 </t>
        </r>
        <r>
          <rPr>
            <i/>
            <sz val="14"/>
            <color rgb="FF000000"/>
            <rFont val="Times New Roman"/>
            <family val="18"/>
          </rPr>
          <t>Zu Strauch Infanterie</t>
        </r>
        <r>
          <rPr>
            <sz val="14"/>
            <color rgb="FF000000"/>
            <rFont val="Times New Roman"/>
            <family val="18"/>
          </rPr>
          <t xml:space="preserve"> </t>
        </r>
        <r>
          <rPr>
            <b/>
            <sz val="14"/>
            <color rgb="FF000000"/>
            <rFont val="Times New Roman"/>
            <family val="18"/>
          </rPr>
          <t>[IR 24]</t>
        </r>
        <r>
          <rPr>
            <sz val="14"/>
            <color rgb="FF000000"/>
            <rFont val="Times New Roman"/>
            <family val="18"/>
          </rPr>
          <t xml:space="preserve"> </t>
        </r>
        <r>
          <rPr>
            <i/>
            <sz val="14"/>
            <color rgb="FF000000"/>
            <rFont val="Times New Roman"/>
            <family val="18"/>
          </rPr>
          <t>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16/05/1808 </t>
        </r>
        <r>
          <rPr>
            <i/>
            <sz val="14"/>
            <color rgb="FF000000"/>
            <rFont val="Times New Roman"/>
            <family val="18"/>
          </rPr>
          <t>Bei bestansdischen Galizischen Cordon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01/07/1808 </t>
        </r>
        <r>
          <rPr>
            <i/>
            <sz val="14"/>
            <color rgb="FF000000"/>
            <rFont val="Times New Roman"/>
            <family val="18"/>
          </rPr>
          <t>Anhero</t>
        </r>
        <r>
          <rPr>
            <sz val="14"/>
            <color rgb="FF000000"/>
            <rFont val="Times New Roman"/>
            <family val="18"/>
          </rPr>
          <t xml:space="preserve"> </t>
        </r>
        <r>
          <rPr>
            <b/>
            <sz val="14"/>
            <color rgb="FF000000"/>
            <rFont val="Times New Roman"/>
            <family val="18"/>
          </rPr>
          <t xml:space="preserve">[GK Gal 2. Abt.] </t>
        </r>
        <r>
          <rPr>
            <i/>
            <sz val="14"/>
            <color rgb="FF000000"/>
            <rFont val="Times New Roman"/>
            <family val="18"/>
          </rPr>
          <t xml:space="preserve">transferiert </t>
        </r>
        <r>
          <rPr>
            <sz val="14"/>
            <color rgb="FF000000"/>
            <rFont val="Times New Roman"/>
            <family val="18"/>
          </rPr>
          <t xml:space="preserve">[ML 1811] </t>
        </r>
        <r>
          <rPr>
            <sz val="14"/>
            <color rgb="FF000000"/>
            <rFont val="Calibri"/>
            <family val="34"/>
          </rPr>
          <t xml:space="preserve">
</t>
        </r>
        <r>
          <rPr>
            <sz val="14"/>
            <color rgb="FF000000"/>
            <rFont val="Times New Roman"/>
            <family val="18"/>
          </rPr>
          <t>03/09/ 1810 Revision: GK Gal 2. Abt. 1. Komp. Nr. 63 [</t>
        </r>
        <r>
          <rPr>
            <i/>
            <sz val="14"/>
            <color rgb="FF000000"/>
            <rFont val="Times New Roman"/>
            <family val="18"/>
          </rPr>
          <t>Praesent</t>
        </r>
        <r>
          <rPr>
            <sz val="14"/>
            <color rgb="FF000000"/>
            <rFont val="Times New Roman"/>
            <family val="18"/>
          </rPr>
          <t>]</t>
        </r>
        <r>
          <rPr>
            <sz val="14"/>
            <color rgb="FF000000"/>
            <rFont val="Calibri"/>
            <family val="34"/>
          </rPr>
          <t xml:space="preserve">
</t>
        </r>
        <r>
          <rPr>
            <sz val="14"/>
            <color rgb="FF000000"/>
            <rFont val="Times New Roman"/>
            <family val="18"/>
          </rPr>
          <t>14/09/1811 Revision: GK Gal 2. Abt. 1. Komp. Nr. 66</t>
        </r>
        <r>
          <rPr>
            <sz val="14"/>
            <color rgb="FF000000"/>
            <rFont val="Calibri"/>
            <family val="34"/>
          </rPr>
          <t xml:space="preserve">
</t>
        </r>
        <r>
          <rPr>
            <sz val="14"/>
            <color rgb="FF000000"/>
            <rFont val="Times New Roman"/>
            <family val="18"/>
          </rPr>
          <t>10/10/1812 Revision: GK Gal 2. Abt. 1. Komp. Nr. 52 [</t>
        </r>
        <r>
          <rPr>
            <i/>
            <sz val="14"/>
            <color rgb="FF000000"/>
            <rFont val="Times New Roman"/>
            <family val="18"/>
          </rPr>
          <t>Nach Abschluss der Revisions Liste im Podkamiener Abtheilungspital gestorben</t>
        </r>
        <r>
          <rPr>
            <sz val="14"/>
            <color rgb="FF000000"/>
            <rFont val="Times New Roman"/>
            <family val="18"/>
          </rPr>
          <t>]</t>
        </r>
      </text>
    </comment>
    <comment ref="BG571" authorId="0" shapeId="0" xr:uid="{C1D54884-DD7A-A249-BDE5-41529E7C9E94}">
      <text>
        <r>
          <rPr>
            <sz val="14"/>
            <color rgb="FF000000"/>
            <rFont val="Times New Roman"/>
            <family val="18"/>
          </rPr>
          <t>ML 8823 (1810) – 2. Komp. Haupt Boulange Nr. 63 (Zalosce 03/09/1810)</t>
        </r>
        <r>
          <rPr>
            <sz val="14"/>
            <color rgb="FF000000"/>
            <rFont val="Calibri"/>
            <family val="34"/>
          </rPr>
          <t xml:space="preserve">
</t>
        </r>
        <r>
          <rPr>
            <sz val="14"/>
            <color rgb="FF000000"/>
            <rFont val="Times New Roman"/>
            <family val="18"/>
          </rPr>
          <t>ML 8823 (1811) – 2. Komp. Haupt Boulange Nr. 66 (Zalosce 14/09/1811)</t>
        </r>
        <r>
          <rPr>
            <sz val="14"/>
            <color rgb="FF000000"/>
            <rFont val="Calibri"/>
            <family val="34"/>
          </rPr>
          <t xml:space="preserve">
</t>
        </r>
        <r>
          <rPr>
            <sz val="14"/>
            <color rgb="FF000000"/>
            <rFont val="Times New Roman"/>
            <family val="18"/>
          </rPr>
          <t>ML 8823 (1812) – 2 Komp. Abgang Nr. 52 (Zalosce 29/10/1812)</t>
        </r>
        <r>
          <rPr>
            <sz val="14"/>
            <color rgb="FF000000"/>
            <rFont val="Calibri"/>
            <family val="34"/>
          </rPr>
          <t xml:space="preserve">
</t>
        </r>
      </text>
    </comment>
    <comment ref="BH571" authorId="0" shapeId="0" xr:uid="{843D9D06-4813-8C4F-96BC-5A0D1E3D2C7F}">
      <text>
        <r>
          <rPr>
            <sz val="14"/>
            <color rgb="FF000000"/>
            <rFont val="Calibri"/>
            <family val="34"/>
          </rPr>
          <t xml:space="preserve">IR 24 (1805-1808)
</t>
        </r>
        <r>
          <rPr>
            <sz val="14"/>
            <color rgb="FF000000"/>
            <rFont val="Calibri"/>
            <family val="34"/>
          </rPr>
          <t xml:space="preserve">GK Gal (1808)
</t>
        </r>
        <r>
          <rPr>
            <sz val="14"/>
            <color rgb="FF000000"/>
            <rFont val="Calibri"/>
            <family val="34"/>
          </rPr>
          <t>GK Gal 2. Abt (1808-1812)</t>
        </r>
      </text>
    </comment>
    <comment ref="I572" authorId="0" shapeId="0" xr:uid="{7AB2A639-61D7-2048-B9BC-E6228AE3E016}">
      <text>
        <r>
          <rPr>
            <sz val="14"/>
            <color rgb="FF000000"/>
            <rFont val="Calibri"/>
            <family val="34"/>
          </rPr>
          <t xml:space="preserve">1784 [24 (TL Mai 1808)]
</t>
        </r>
        <r>
          <rPr>
            <sz val="14"/>
            <color rgb="FF000000"/>
            <rFont val="Calibri"/>
            <family val="34"/>
          </rPr>
          <t xml:space="preserve">OR 
</t>
        </r>
        <r>
          <rPr>
            <sz val="14"/>
            <color rgb="FF000000"/>
            <rFont val="Calibri"/>
            <family val="34"/>
          </rPr>
          <t>1785 [20 (AL Dez 1805)]</t>
        </r>
      </text>
    </comment>
    <comment ref="T572" authorId="0" shapeId="0" xr:uid="{C3EE6DDF-F521-B141-BE9A-A34640C8A25C}">
      <text>
        <r>
          <rPr>
            <sz val="14"/>
            <color rgb="FF000000"/>
            <rFont val="Calibri"/>
            <family val="34"/>
          </rPr>
          <t xml:space="preserve">163.7 [5.2.2. (AL Dez 1805)]
</t>
        </r>
        <r>
          <rPr>
            <sz val="14"/>
            <color rgb="FF000000"/>
            <rFont val="Calibri"/>
            <family val="34"/>
          </rPr>
          <t>168.96 [5.4.2 (TL Mai 1808)]</t>
        </r>
      </text>
    </comment>
    <comment ref="BF572" authorId="0" shapeId="0" xr:uid="{D5604A0A-BD33-E845-A977-3383E8A1354A}">
      <text>
        <r>
          <rPr>
            <sz val="14"/>
            <color rgb="FF000000"/>
            <rFont val="Times New Roman"/>
            <family val="18"/>
          </rPr>
          <t xml:space="preserve">29/11/1805 </t>
        </r>
        <r>
          <rPr>
            <i/>
            <sz val="14"/>
            <color rgb="FF000000"/>
            <rFont val="Times New Roman"/>
            <family val="18"/>
          </rPr>
          <t>Als landständischer Recrout für Samogy</t>
        </r>
        <r>
          <rPr>
            <sz val="14"/>
            <color rgb="FF000000"/>
            <rFont val="Times New Roman"/>
            <family val="18"/>
          </rPr>
          <t xml:space="preserve"> </t>
        </r>
        <r>
          <rPr>
            <b/>
            <sz val="14"/>
            <color rgb="FF000000"/>
            <rFont val="Times New Roman"/>
            <family val="18"/>
          </rPr>
          <t>[</t>
        </r>
        <r>
          <rPr>
            <b/>
            <u/>
            <sz val="14"/>
            <color rgb="FF0563C1"/>
            <rFont val="Times New Roman"/>
            <family val="18"/>
          </rPr>
          <t>Šamudovce, Slovakia</t>
        </r>
        <r>
          <rPr>
            <b/>
            <sz val="14"/>
            <color rgb="FF000000"/>
            <rFont val="Times New Roman"/>
            <family val="18"/>
          </rPr>
          <t>]</t>
        </r>
        <r>
          <rPr>
            <i/>
            <sz val="14"/>
            <color rgb="FF000000"/>
            <rFont val="Times New Roman"/>
            <family val="18"/>
          </rPr>
          <t>,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FF0000"/>
            <rFont val="Times New Roman"/>
            <family val="18"/>
          </rPr>
          <t xml:space="preserve">11/03/1806 </t>
        </r>
        <r>
          <rPr>
            <i/>
            <sz val="14"/>
            <color rgb="FFFF0000"/>
            <rFont val="Times New Roman"/>
            <family val="18"/>
          </rPr>
          <t>Assentiert</t>
        </r>
        <r>
          <rPr>
            <sz val="14"/>
            <color rgb="FFFF0000"/>
            <rFont val="Times New Roman"/>
            <family val="18"/>
          </rPr>
          <t xml:space="preserve"> [Sic!] [TL Mai 1808]</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zur 10.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130</t>
        </r>
        <r>
          <rPr>
            <sz val="14"/>
            <color rgb="FF000000"/>
            <rFont val="Calibri"/>
            <family val="34"/>
          </rPr>
          <t xml:space="preserve">
</t>
        </r>
        <r>
          <rPr>
            <sz val="14"/>
            <color rgb="FF000000"/>
            <rFont val="Times New Roman"/>
            <family val="18"/>
          </rPr>
          <t xml:space="preserve">21/05/1808 </t>
        </r>
        <r>
          <rPr>
            <i/>
            <sz val="14"/>
            <color rgb="FF000000"/>
            <rFont val="Times New Roman"/>
            <family val="18"/>
          </rPr>
          <t xml:space="preserve">Vermog General Comando Verordnung ddt. Lemberg am 22 März 808 Von IR 39 14. Fus. Komp. Zum IR 9 transferiert </t>
        </r>
        <r>
          <rPr>
            <sz val="14"/>
            <color rgb="FF000000"/>
            <rFont val="Times New Roman"/>
            <family val="18"/>
          </rPr>
          <t>[RL 1808]</t>
        </r>
        <r>
          <rPr>
            <sz val="14"/>
            <color rgb="FF000000"/>
            <rFont val="Calibri"/>
            <family val="34"/>
          </rPr>
          <t xml:space="preserve">
</t>
        </r>
        <r>
          <rPr>
            <sz val="14"/>
            <color rgb="FF000000"/>
            <rFont val="Times New Roman"/>
            <family val="18"/>
          </rPr>
          <t xml:space="preserve">26/07/1808 </t>
        </r>
        <r>
          <rPr>
            <i/>
            <sz val="14"/>
            <color rgb="FF000000"/>
            <rFont val="Times New Roman"/>
            <family val="18"/>
          </rPr>
          <t>In Regiment eingerückt und zur 14. Fus. Komp. eingeteilt</t>
        </r>
        <r>
          <rPr>
            <sz val="14"/>
            <color rgb="FF000000"/>
            <rFont val="Times New Roman"/>
            <family val="18"/>
          </rPr>
          <t xml:space="preserve"> [ST Juli 1808]</t>
        </r>
        <r>
          <rPr>
            <sz val="14"/>
            <color rgb="FF000000"/>
            <rFont val="Calibri"/>
            <family val="34"/>
          </rPr>
          <t xml:space="preserve">
</t>
        </r>
        <r>
          <rPr>
            <sz val="14"/>
            <color rgb="FF000000"/>
            <rFont val="Times New Roman"/>
            <family val="18"/>
          </rPr>
          <t>10/09/1808 Revision: IR 9 15. Fus. Komp. Nr. 187 [</t>
        </r>
        <r>
          <rPr>
            <i/>
            <sz val="14"/>
            <color rgb="FF000000"/>
            <rFont val="Times New Roman"/>
            <family val="18"/>
          </rPr>
          <t>Auf Kommando nach 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24/05/1809 </t>
        </r>
        <r>
          <rPr>
            <i/>
            <sz val="14"/>
            <color rgb="FF000000"/>
            <rFont val="Times New Roman"/>
            <family val="18"/>
          </rPr>
          <t>Krank in auswärtiger Feld Spital</t>
        </r>
        <r>
          <rPr>
            <sz val="14"/>
            <color rgb="FF000000"/>
            <rFont val="Times New Roman"/>
            <family val="18"/>
          </rPr>
          <t xml:space="preserve"> [ST Mai 1809] </t>
        </r>
        <r>
          <rPr>
            <sz val="14"/>
            <color rgb="FFFF0000"/>
            <rFont val="Times New Roman"/>
            <family val="18"/>
          </rPr>
          <t>[Together with 41 men on the same day – wounded in Aspern-Essling?]</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aufgelöste 14. Fus. Zum 4. Fus Komp transferiert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01/11/1809 </t>
        </r>
        <r>
          <rPr>
            <i/>
            <sz val="14"/>
            <color rgb="FF000000"/>
            <rFont val="Times New Roman"/>
            <family val="18"/>
          </rPr>
          <t>Ohne zum Regiment zurückzukehren in Feldspital gestorben</t>
        </r>
        <r>
          <rPr>
            <sz val="14"/>
            <color rgb="FF000000"/>
            <rFont val="Times New Roman"/>
            <family val="18"/>
          </rPr>
          <t xml:space="preserve"> [ST Mai 1809]</t>
        </r>
      </text>
    </comment>
    <comment ref="BG572" authorId="0" shapeId="0" xr:uid="{55CE294A-0097-B048-96B5-F98221567B8E}">
      <text>
        <r>
          <rPr>
            <sz val="14"/>
            <color rgb="FF000000"/>
            <rFont val="Times New Roman"/>
            <family val="18"/>
          </rPr>
          <t>ML 3499 IR 39 (1807) – 10. Fus. Komp. Nr. 130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22 (Sátoraljaújhely 12/12/1805)</t>
        </r>
        <r>
          <rPr>
            <sz val="14"/>
            <color rgb="FF000000"/>
            <rFont val="Calibri"/>
            <family val="34"/>
          </rPr>
          <t xml:space="preserve">
</t>
        </r>
        <r>
          <rPr>
            <sz val="14"/>
            <color rgb="FF000000"/>
            <rFont val="Times New Roman"/>
            <family val="18"/>
          </rPr>
          <t>ML 3549 IR 39 (1808) – TL IR 39-&gt;IR 9 Nr. 2 (Neu Sandez 20/05/1808)</t>
        </r>
        <r>
          <rPr>
            <sz val="14"/>
            <color rgb="FF000000"/>
            <rFont val="Calibri"/>
            <family val="34"/>
          </rPr>
          <t xml:space="preserve">
</t>
        </r>
        <r>
          <rPr>
            <sz val="14"/>
            <color rgb="FF000000"/>
            <rFont val="Times New Roman"/>
            <family val="18"/>
          </rPr>
          <t>ML 633 IR 9 (1808) – 14. Fus. Komp. Nr. 187 (Przemysl 12/09/1808)</t>
        </r>
        <r>
          <rPr>
            <sz val="14"/>
            <color rgb="FF000000"/>
            <rFont val="Calibri"/>
            <family val="34"/>
          </rPr>
          <t xml:space="preserve">
</t>
        </r>
        <r>
          <rPr>
            <sz val="14"/>
            <color rgb="FF000000"/>
            <rFont val="Times New Roman"/>
            <family val="18"/>
          </rPr>
          <t>ML 669 IR 9 (1808) – ST Juli (Krakau 02/11/1808)</t>
        </r>
        <r>
          <rPr>
            <sz val="14"/>
            <color rgb="FF000000"/>
            <rFont val="Calibri"/>
            <family val="34"/>
          </rPr>
          <t xml:space="preserve">
</t>
        </r>
        <r>
          <rPr>
            <sz val="14"/>
            <color rgb="FF000000"/>
            <rFont val="Times New Roman"/>
            <family val="18"/>
          </rPr>
          <t>ML 671 IR 9 (1809) – ST Mai (Caschau 03/08/1810)</t>
        </r>
        <r>
          <rPr>
            <sz val="14"/>
            <color rgb="FF000000"/>
            <rFont val="Calibri"/>
            <family val="34"/>
          </rPr>
          <t xml:space="preserve">
</t>
        </r>
        <r>
          <rPr>
            <sz val="14"/>
            <color rgb="FF000000"/>
            <rFont val="Times New Roman"/>
            <family val="18"/>
          </rPr>
          <t>ML 671 IR 9 (1809) – ST August (Caschau 15/10/1810)</t>
        </r>
        <r>
          <rPr>
            <sz val="14"/>
            <color rgb="FF000000"/>
            <rFont val="Calibri"/>
            <family val="34"/>
          </rPr>
          <t xml:space="preserve">
</t>
        </r>
        <r>
          <rPr>
            <sz val="14"/>
            <color rgb="FF000000"/>
            <rFont val="Times New Roman"/>
            <family val="18"/>
          </rPr>
          <t>ML 672 IR 9 (1810) – ST Mai (Caschau 04/03/1811)</t>
        </r>
        <r>
          <rPr>
            <sz val="14"/>
            <color rgb="FF000000"/>
            <rFont val="Calibri"/>
            <family val="34"/>
          </rPr>
          <t xml:space="preserve">
</t>
        </r>
      </text>
    </comment>
    <comment ref="BH572" authorId="0" shapeId="0" xr:uid="{A35A756D-DDF5-794D-A00D-D874F838F8D1}">
      <text>
        <r>
          <rPr>
            <sz val="14"/>
            <color rgb="FF000000"/>
            <rFont val="Calibri"/>
            <family val="34"/>
          </rPr>
          <t xml:space="preserve">IR 39 (1805-1808)
</t>
        </r>
        <r>
          <rPr>
            <sz val="14"/>
            <color rgb="FF000000"/>
            <rFont val="Calibri"/>
            <family val="34"/>
          </rPr>
          <t>IR 9 (1808-1809)</t>
        </r>
      </text>
    </comment>
    <comment ref="BF573" authorId="0" shapeId="0" xr:uid="{8D764A76-4AE7-5A4F-8F26-F56CE967F30C}">
      <text>
        <r>
          <rPr>
            <sz val="14"/>
            <color rgb="FF000000"/>
            <rFont val="Times New Roman"/>
            <family val="18"/>
          </rPr>
          <t xml:space="preserve">29/11/1805 </t>
        </r>
        <r>
          <rPr>
            <i/>
            <sz val="14"/>
            <color rgb="FF000000"/>
            <rFont val="Times New Roman"/>
            <family val="18"/>
          </rPr>
          <t xml:space="preserve">Als landständischer Recrout für Vasertheil </t>
        </r>
        <r>
          <rPr>
            <b/>
            <sz val="14"/>
            <color rgb="FF000000"/>
            <rFont val="Times New Roman"/>
            <family val="18"/>
          </rPr>
          <t>[</t>
        </r>
        <r>
          <rPr>
            <b/>
            <u/>
            <sz val="14"/>
            <color rgb="FF0563C1"/>
            <rFont val="Times New Roman"/>
            <family val="18"/>
          </rPr>
          <t>Trhovište, Slovakia</t>
        </r>
        <r>
          <rPr>
            <b/>
            <sz val="14"/>
            <color rgb="FF000000"/>
            <rFont val="Times New Roman"/>
            <family val="18"/>
          </rPr>
          <t>]</t>
        </r>
        <r>
          <rPr>
            <sz val="14"/>
            <color rgb="FF000000"/>
            <rFont val="Times New Roman"/>
            <family val="18"/>
          </rPr>
          <t>,</t>
        </r>
        <r>
          <rPr>
            <i/>
            <sz val="14"/>
            <color rgb="FF000000"/>
            <rFont val="Times New Roman"/>
            <family val="18"/>
          </rPr>
          <t xml:space="preserve"> Zempliner Komität in gestellt, in Ujhely zum IR 39 a 3Fl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11/03/1806 </t>
        </r>
        <r>
          <rPr>
            <i/>
            <sz val="14"/>
            <color rgb="FF000000"/>
            <rFont val="Times New Roman"/>
            <family val="18"/>
          </rPr>
          <t>von dissolvierte 19. Fus. zur 10.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Revision: IR 39 10. Fus. Komp Nr. 125</t>
        </r>
        <r>
          <rPr>
            <sz val="14"/>
            <color rgb="FF000000"/>
            <rFont val="Calibri"/>
            <family val="34"/>
          </rPr>
          <t xml:space="preserve">
</t>
        </r>
        <r>
          <rPr>
            <sz val="14"/>
            <color rgb="FF000000"/>
            <rFont val="Times New Roman"/>
            <family val="18"/>
          </rPr>
          <t xml:space="preserve">01/12/1807 </t>
        </r>
        <r>
          <rPr>
            <i/>
            <sz val="14"/>
            <color rgb="FF000000"/>
            <rFont val="Times New Roman"/>
            <family val="18"/>
          </rPr>
          <t>ex loco desertiert</t>
        </r>
        <r>
          <rPr>
            <sz val="14"/>
            <color rgb="FF000000"/>
            <rFont val="Times New Roman"/>
            <family val="18"/>
          </rPr>
          <t xml:space="preserve">  [RL 1808]</t>
        </r>
      </text>
    </comment>
    <comment ref="BG573" authorId="0" shapeId="0" xr:uid="{DCFE8946-D2B8-434B-AF1A-5FC6ABB174B4}">
      <text>
        <r>
          <rPr>
            <sz val="14"/>
            <color rgb="FF000000"/>
            <rFont val="Times New Roman"/>
            <family val="18"/>
          </rPr>
          <t>ML 3499 IR 39 (1807) – 10. Fus. Komp. Nr. 125 (Kesmark 24/01/1807)</t>
        </r>
        <r>
          <rPr>
            <sz val="14"/>
            <color rgb="FF000000"/>
            <rFont val="Calibri"/>
            <family val="34"/>
          </rPr>
          <t xml:space="preserve">
</t>
        </r>
        <r>
          <rPr>
            <sz val="14"/>
            <color rgb="FF000000"/>
            <rFont val="Times New Roman"/>
            <family val="18"/>
          </rPr>
          <t>ML 3500 IR 39 (1808-10) – RL 1808 14. Fus. Komp. – Abgang (Comorn 19/09/1808)</t>
        </r>
        <r>
          <rPr>
            <sz val="14"/>
            <color rgb="FF000000"/>
            <rFont val="Calibri"/>
            <family val="34"/>
          </rPr>
          <t xml:space="preserve">
</t>
        </r>
        <r>
          <rPr>
            <sz val="14"/>
            <color rgb="FF000000"/>
            <rFont val="Times New Roman"/>
            <family val="18"/>
          </rPr>
          <t>ML 3546 IR 39 (1805) – AL Nr. 23 (Sátoraljaújhely 12/12/1805)</t>
        </r>
        <r>
          <rPr>
            <sz val="14"/>
            <color rgb="FF000000"/>
            <rFont val="Calibri"/>
            <family val="34"/>
          </rPr>
          <t xml:space="preserve">
</t>
        </r>
      </text>
    </comment>
    <comment ref="BH573" authorId="0" shapeId="0" xr:uid="{7236F4B4-2F9B-BB4B-AACB-D2F2CA5856DE}">
      <text>
        <r>
          <rPr>
            <sz val="14"/>
            <color rgb="FF000000"/>
            <rFont val="Calibri"/>
            <family val="34"/>
          </rPr>
          <t>IR 39 (1805-1807)</t>
        </r>
      </text>
    </comment>
    <comment ref="BF574" authorId="0" shapeId="0" xr:uid="{BD87F0E1-B3BB-C04E-B04F-4472B34943A1}">
      <text>
        <r>
          <rPr>
            <sz val="14"/>
            <color rgb="FF000000"/>
            <rFont val="Times New Roman"/>
            <family val="18"/>
          </rPr>
          <t xml:space="preserve">29/11/1805 </t>
        </r>
        <r>
          <rPr>
            <i/>
            <sz val="14"/>
            <color rgb="FF000000"/>
            <rFont val="Times New Roman"/>
            <family val="18"/>
          </rPr>
          <t xml:space="preserve">Als landständischer Recrout für Hegyi </t>
        </r>
        <r>
          <rPr>
            <b/>
            <sz val="14"/>
            <color rgb="FF000000"/>
            <rFont val="Times New Roman"/>
            <family val="18"/>
          </rPr>
          <t>[</t>
        </r>
        <r>
          <rPr>
            <b/>
            <u/>
            <sz val="14"/>
            <color rgb="FF0563C1"/>
            <rFont val="Times New Roman"/>
            <family val="18"/>
          </rPr>
          <t>Zemplínske Kopčany, Slovakia</t>
        </r>
        <r>
          <rPr>
            <b/>
            <sz val="14"/>
            <color rgb="FF000000"/>
            <rFont val="Times New Roman"/>
            <family val="18"/>
          </rPr>
          <t>]</t>
        </r>
        <r>
          <rPr>
            <i/>
            <sz val="14"/>
            <color rgb="FF000000"/>
            <rFont val="Times New Roman"/>
            <family val="18"/>
          </rPr>
          <t>, Zempliner Komität gestellt, in Ujhely zum IR 39 1 3Fl assentiert und in 19. Komp. zugeheilt</t>
        </r>
        <r>
          <rPr>
            <sz val="14"/>
            <color rgb="FF000000"/>
            <rFont val="Times New Roman"/>
            <family val="18"/>
          </rPr>
          <t xml:space="preserve"> [AL Dez 1805]</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19. Fus. Zur 12.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24/01/1807 Muster: IR 39 12. Fus. Komp Nr. 93</t>
        </r>
        <r>
          <rPr>
            <sz val="14"/>
            <color rgb="FF000000"/>
            <rFont val="Calibri"/>
            <family val="34"/>
          </rPr>
          <t xml:space="preserve">
</t>
        </r>
        <r>
          <rPr>
            <sz val="14"/>
            <color rgb="FF000000"/>
            <rFont val="Times New Roman"/>
            <family val="18"/>
          </rPr>
          <t xml:space="preserve">15/06/1807 </t>
        </r>
        <r>
          <rPr>
            <i/>
            <sz val="14"/>
            <color rgb="FF000000"/>
            <rFont val="Times New Roman"/>
            <family val="18"/>
          </rPr>
          <t>Gegen Stellung andere mit Abschied entlassen</t>
        </r>
        <r>
          <rPr>
            <sz val="14"/>
            <color rgb="FF000000"/>
            <rFont val="Times New Roman"/>
            <family val="18"/>
          </rPr>
          <t xml:space="preserve"> [RL 1808]</t>
        </r>
      </text>
    </comment>
    <comment ref="BG574" authorId="0" shapeId="0" xr:uid="{13D6715B-54AF-CA4A-9B9D-B4D4B7D665D7}">
      <text>
        <r>
          <rPr>
            <sz val="14"/>
            <color rgb="FF000000"/>
            <rFont val="Times New Roman"/>
            <family val="18"/>
          </rPr>
          <t>ML 3499 IR 39 (1807) –12. Fus. Komp. Nr. 93 (Kesmark 24/01/1807)</t>
        </r>
        <r>
          <rPr>
            <sz val="14"/>
            <color rgb="FF000000"/>
            <rFont val="Calibri"/>
            <family val="34"/>
          </rPr>
          <t xml:space="preserve">
</t>
        </r>
        <r>
          <rPr>
            <sz val="14"/>
            <color rgb="FF000000"/>
            <rFont val="Times New Roman"/>
            <family val="18"/>
          </rPr>
          <t>ML 3500 IR 39 (1808-10) – RL 1808 16. Fus. Komp. – Abgang (Comorn 19/09/1808)</t>
        </r>
        <r>
          <rPr>
            <sz val="14"/>
            <color rgb="FF000000"/>
            <rFont val="Calibri"/>
            <family val="34"/>
          </rPr>
          <t xml:space="preserve">
</t>
        </r>
        <r>
          <rPr>
            <sz val="14"/>
            <color rgb="FF000000"/>
            <rFont val="Times New Roman"/>
            <family val="18"/>
          </rPr>
          <t>ML 3546 IR 39 (1805) – AL Nr. 20 (Sátoraljaújhely 12/12/1805)</t>
        </r>
        <r>
          <rPr>
            <sz val="14"/>
            <color rgb="FF000000"/>
            <rFont val="Calibri"/>
            <family val="34"/>
          </rPr>
          <t xml:space="preserve">
</t>
        </r>
      </text>
    </comment>
    <comment ref="BH574" authorId="0" shapeId="0" xr:uid="{F3EFF8CB-4AE8-714C-AADB-D3D94D5A8D9A}">
      <text>
        <r>
          <rPr>
            <sz val="14"/>
            <color rgb="FF000000"/>
            <rFont val="Calibri"/>
            <family val="34"/>
          </rPr>
          <t>IR 39 (1805-1807)</t>
        </r>
      </text>
    </comment>
    <comment ref="BF575" authorId="0" shapeId="0" xr:uid="{75045871-7377-BD4B-AE0B-BC3119FDFBD0}">
      <text>
        <r>
          <rPr>
            <sz val="14"/>
            <color rgb="FF000000"/>
            <rFont val="Times New Roman"/>
            <family val="18"/>
          </rPr>
          <t xml:space="preserve">29/11/1805 </t>
        </r>
        <r>
          <rPr>
            <i/>
            <sz val="14"/>
            <color rgb="FF000000"/>
            <rFont val="Times New Roman"/>
            <family val="18"/>
          </rPr>
          <t>Auf 3Fl zu Würzburg Inf Regiment</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06/04/1810 </t>
        </r>
        <r>
          <rPr>
            <i/>
            <sz val="14"/>
            <color rgb="FF000000"/>
            <rFont val="Times New Roman"/>
            <family val="18"/>
          </rPr>
          <t xml:space="preserve">Von da </t>
        </r>
        <r>
          <rPr>
            <b/>
            <sz val="14"/>
            <color rgb="FF000000"/>
            <rFont val="Times New Roman"/>
            <family val="18"/>
          </rPr>
          <t>[IR 23]</t>
        </r>
        <r>
          <rPr>
            <i/>
            <sz val="14"/>
            <color rgb="FF000000"/>
            <rFont val="Times New Roman"/>
            <family val="18"/>
          </rPr>
          <t xml:space="preserve"> zu Klebek Inf Regiment</t>
        </r>
        <r>
          <rPr>
            <sz val="14"/>
            <color rgb="FF000000"/>
            <rFont val="Times New Roman"/>
            <family val="18"/>
          </rPr>
          <t xml:space="preserve"> </t>
        </r>
        <r>
          <rPr>
            <b/>
            <sz val="14"/>
            <color rgb="FF000000"/>
            <rFont val="Times New Roman"/>
            <family val="18"/>
          </rPr>
          <t xml:space="preserve">[IR 14]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26/11/1810 Von da </t>
        </r>
        <r>
          <rPr>
            <b/>
            <sz val="14"/>
            <color rgb="FF000000"/>
            <rFont val="Times New Roman"/>
            <family val="18"/>
          </rPr>
          <t>[IR 14]</t>
        </r>
        <r>
          <rPr>
            <sz val="14"/>
            <color rgb="FF000000"/>
            <rFont val="Times New Roman"/>
            <family val="18"/>
          </rPr>
          <t xml:space="preserve"> </t>
        </r>
        <r>
          <rPr>
            <i/>
            <sz val="14"/>
            <color rgb="FF000000"/>
            <rFont val="Times New Roman"/>
            <family val="18"/>
          </rPr>
          <t xml:space="preserve">zu </t>
        </r>
        <r>
          <rPr>
            <i/>
            <sz val="14"/>
            <color rgb="FF000000"/>
            <rFont val="Times New Roman"/>
            <family val="18"/>
          </rPr>
          <t>Ober Österreich Grenzcordon</t>
        </r>
        <r>
          <rPr>
            <i/>
            <sz val="14"/>
            <color rgb="FF000000"/>
            <rFont val="Times New Roman"/>
            <family val="18"/>
          </rPr>
          <t xml:space="preserv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24/09/1811 Muster: GK </t>
        </r>
        <r>
          <rPr>
            <sz val="14"/>
            <color rgb="FF000000"/>
            <rFont val="Times New Roman"/>
            <family val="18"/>
          </rPr>
          <t xml:space="preserve">OÖ 1. Komp. Nr. 137 </t>
        </r>
        <r>
          <rPr>
            <sz val="14"/>
            <color rgb="FF000000"/>
            <rFont val="Times New Roman"/>
            <family val="18"/>
          </rPr>
          <t>[</t>
        </r>
        <r>
          <rPr>
            <i/>
            <sz val="14"/>
            <color rgb="FF000000"/>
            <rFont val="Times New Roman"/>
            <family val="18"/>
          </rPr>
          <t>Real Invalid &amp; auf Einmarsch in das Tyrnauer Invalidenhaus</t>
        </r>
        <r>
          <rPr>
            <sz val="14"/>
            <color rgb="FF000000"/>
            <rFont val="Times New Roman"/>
            <family val="18"/>
          </rPr>
          <t>]</t>
        </r>
        <r>
          <rPr>
            <sz val="14"/>
            <color rgb="FF000000"/>
            <rFont val="Calibri"/>
            <family val="34"/>
          </rPr>
          <t xml:space="preserve">
</t>
        </r>
        <r>
          <rPr>
            <sz val="14"/>
            <color rgb="FF000000"/>
            <rFont val="Times New Roman"/>
            <family val="18"/>
          </rPr>
          <t xml:space="preserve">19/10/1811 </t>
        </r>
        <r>
          <rPr>
            <i/>
            <sz val="14"/>
            <color rgb="FF000000"/>
            <rFont val="Times New Roman"/>
            <family val="18"/>
          </rPr>
          <t>In</t>
        </r>
        <r>
          <rPr>
            <sz val="14"/>
            <color rgb="FF000000"/>
            <rFont val="Times New Roman"/>
            <family val="18"/>
          </rPr>
          <t xml:space="preserve"> </t>
        </r>
        <r>
          <rPr>
            <i/>
            <sz val="14"/>
            <color rgb="FF000000"/>
            <rFont val="Times New Roman"/>
            <family val="18"/>
          </rPr>
          <t xml:space="preserve">das Tyrnauer Invlidenhaus al real Invalid übersetzt </t>
        </r>
        <r>
          <rPr>
            <sz val="14"/>
            <color rgb="FF000000"/>
            <rFont val="Times New Roman"/>
            <family val="18"/>
          </rPr>
          <t>[ML 1812]</t>
        </r>
        <r>
          <rPr>
            <sz val="14"/>
            <color rgb="FF000000"/>
            <rFont val="Calibri"/>
            <family val="34"/>
          </rPr>
          <t xml:space="preserve">
</t>
        </r>
      </text>
    </comment>
    <comment ref="BG575" authorId="0" shapeId="0" xr:uid="{70F346B0-6CCE-724C-B112-6DFFEEE8C24D}">
      <text>
        <r>
          <rPr>
            <sz val="14"/>
            <color rgb="FF000000"/>
            <rFont val="Times New Roman"/>
            <family val="18"/>
          </rPr>
          <t>ML 8765 GK OÖ (1811) – Heft von Haupt. Kielbach 1. Comp. nr. 137 &amp; Zuwachs (Aigen 24/09/1811)</t>
        </r>
        <r>
          <rPr>
            <sz val="14"/>
            <color rgb="FF000000"/>
            <rFont val="Calibri"/>
            <family val="34"/>
          </rPr>
          <t xml:space="preserve">
</t>
        </r>
        <r>
          <rPr>
            <sz val="14"/>
            <color rgb="FF000000"/>
            <rFont val="Times New Roman"/>
            <family val="18"/>
          </rPr>
          <t>ML 8765 GK OÖ (1812) – Heft von Haupt. Kielbach 1. Comp. Abgang (23/09/1812)</t>
        </r>
        <r>
          <rPr>
            <sz val="14"/>
            <color rgb="FF000000"/>
            <rFont val="Calibri"/>
            <family val="34"/>
          </rPr>
          <t xml:space="preserve">
</t>
        </r>
      </text>
    </comment>
    <comment ref="BH575" authorId="0" shapeId="0" xr:uid="{DF630431-B92E-4342-B071-6082033E2C74}">
      <text>
        <r>
          <rPr>
            <sz val="14"/>
            <color rgb="FF000000"/>
            <rFont val="Calibri"/>
            <family val="34"/>
          </rPr>
          <t xml:space="preserve">IR 23 (1805-1810)
</t>
        </r>
        <r>
          <rPr>
            <sz val="14"/>
            <color rgb="FF000000"/>
            <rFont val="Calibri"/>
            <family val="34"/>
          </rPr>
          <t xml:space="preserve">IR 14 (1810)
</t>
        </r>
        <r>
          <rPr>
            <sz val="14"/>
            <color rgb="FF000000"/>
            <rFont val="Calibri"/>
            <family val="34"/>
          </rPr>
          <t xml:space="preserve">GK </t>
        </r>
        <r>
          <rPr>
            <sz val="14"/>
            <color rgb="FF000000"/>
            <rFont val="+mn-lt"/>
            <charset val="1"/>
          </rPr>
          <t xml:space="preserve">OÖ (1810-1811)
</t>
        </r>
        <r>
          <rPr>
            <sz val="14"/>
            <color rgb="FF000000"/>
            <rFont val="+mn-lt"/>
            <charset val="1"/>
          </rPr>
          <t>InvH Turn (1811)</t>
        </r>
      </text>
    </comment>
    <comment ref="BF576" authorId="0" shapeId="0" xr:uid="{038812D5-0614-F547-AA35-C9E92802B734}">
      <text>
        <r>
          <rPr>
            <sz val="14"/>
            <color rgb="FF000000"/>
            <rFont val="Times New Roman"/>
            <family val="18"/>
          </rPr>
          <t xml:space="preserve">07/12/1805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26/02/1806 </t>
        </r>
        <r>
          <rPr>
            <i/>
            <sz val="14"/>
            <color rgb="FF000000"/>
            <rFont val="Times New Roman"/>
            <family val="18"/>
          </rPr>
          <t>Zu Selkowicze gestorben</t>
        </r>
        <r>
          <rPr>
            <sz val="14"/>
            <color rgb="FF000000"/>
            <rFont val="Times New Roman"/>
            <family val="18"/>
          </rPr>
          <t xml:space="preserve"> [ML 1806]</t>
        </r>
      </text>
    </comment>
    <comment ref="BG576" authorId="0" shapeId="0" xr:uid="{07845390-0DDA-5E4A-8986-2EBCF0026874}">
      <text>
        <r>
          <rPr>
            <sz val="14"/>
            <color rgb="FF000000"/>
            <rFont val="Times New Roman"/>
            <family val="18"/>
          </rPr>
          <t>ML 5017/8 IR 59 (1806) – Dissolvierte Reserve Div. Zuwachs &amp; Abgang (Wells 06/07/1806)</t>
        </r>
        <r>
          <rPr>
            <sz val="14"/>
            <color rgb="FF000000"/>
            <rFont val="Calibri"/>
            <family val="34"/>
          </rPr>
          <t xml:space="preserve">
</t>
        </r>
        <r>
          <rPr>
            <sz val="14"/>
            <color rgb="FF000000"/>
            <rFont val="Times New Roman"/>
            <family val="18"/>
          </rPr>
          <t>ML 5067 IR 59 (1805) – AL. Nr. 28 (Siedlce 31/12/1805)</t>
        </r>
        <r>
          <rPr>
            <sz val="14"/>
            <color rgb="FF000000"/>
            <rFont val="Calibri"/>
            <family val="34"/>
          </rPr>
          <t xml:space="preserve">
</t>
        </r>
      </text>
    </comment>
    <comment ref="BH576" authorId="0" shapeId="0" xr:uid="{B7C55794-C83D-604A-9AE9-1AD21831323C}">
      <text>
        <r>
          <rPr>
            <sz val="14"/>
            <color rgb="FF000000"/>
            <rFont val="Calibri"/>
            <family val="34"/>
          </rPr>
          <t>IR 39 (1805-1806)</t>
        </r>
      </text>
    </comment>
    <comment ref="BF577" authorId="0" shapeId="0" xr:uid="{14E12227-3FD3-2B4F-916F-3D3F05AFE425}">
      <text>
        <r>
          <rPr>
            <sz val="14"/>
            <color rgb="FF000000"/>
            <rFont val="Times New Roman"/>
            <family val="18"/>
          </rPr>
          <t xml:space="preserve">13/12/1805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 xml:space="preserve">Von Reserve Division zum 16. Fus. Komp. transferiert </t>
        </r>
        <r>
          <rPr>
            <sz val="14"/>
            <color rgb="FF000000"/>
            <rFont val="Times New Roman"/>
            <family val="18"/>
          </rPr>
          <t>[ML 1806]</t>
        </r>
        <r>
          <rPr>
            <sz val="14"/>
            <color rgb="FF000000"/>
            <rFont val="Calibri"/>
            <family val="34"/>
          </rPr>
          <t xml:space="preserve">
</t>
        </r>
        <r>
          <rPr>
            <sz val="14"/>
            <color rgb="FF000000"/>
            <rFont val="Times New Roman"/>
            <family val="18"/>
          </rPr>
          <t xml:space="preserve">31/08/1806 </t>
        </r>
        <r>
          <rPr>
            <i/>
            <sz val="14"/>
            <color rgb="FF000000"/>
            <rFont val="Times New Roman"/>
            <family val="18"/>
          </rPr>
          <t>Als auf dem Marsch verbliebene als Unwissend verloren in Abgang gebracht</t>
        </r>
        <r>
          <rPr>
            <sz val="14"/>
            <color rgb="FF000000"/>
            <rFont val="Times New Roman"/>
            <family val="18"/>
          </rPr>
          <t xml:space="preserve"> [ML 1806]</t>
        </r>
        <r>
          <rPr>
            <b/>
            <sz val="14"/>
            <color rgb="FF000000"/>
            <rFont val="Times New Roman"/>
            <family val="18"/>
          </rPr>
          <t xml:space="preserve"> </t>
        </r>
      </text>
    </comment>
    <comment ref="BG577" authorId="0" shapeId="0" xr:uid="{F1A052BA-5350-0D48-9B1A-EADBF2D2CACB}">
      <text>
        <r>
          <rPr>
            <sz val="14"/>
            <color rgb="FF000000"/>
            <rFont val="Times New Roman"/>
            <family val="18"/>
          </rPr>
          <t>ML 5017/8 IR 59 (1806) –Reserve Division Zuwachs &amp; Abgang (Wells 06/07/1807) &amp; Cons.‚Unwissend verlohren‘ Nr. 678 (Linz 10/07/1807)</t>
        </r>
        <r>
          <rPr>
            <sz val="14"/>
            <color rgb="FF000000"/>
            <rFont val="Calibri"/>
            <family val="34"/>
          </rPr>
          <t xml:space="preserve">
</t>
        </r>
        <r>
          <rPr>
            <sz val="14"/>
            <color rgb="FF000000"/>
            <rFont val="Times New Roman"/>
            <family val="18"/>
          </rPr>
          <t>ML 5067 IR 59 (1805) – AL. Nr. 51 (Siedlce 31/12/1805)</t>
        </r>
        <r>
          <rPr>
            <sz val="14"/>
            <color rgb="FF000000"/>
            <rFont val="Calibri"/>
            <family val="34"/>
          </rPr>
          <t xml:space="preserve">
</t>
        </r>
      </text>
    </comment>
    <comment ref="BH577" authorId="0" shapeId="0" xr:uid="{BA9CCF08-C09B-4241-92EC-53021B17339C}">
      <text>
        <r>
          <rPr>
            <sz val="14"/>
            <color rgb="FF000000"/>
            <rFont val="Calibri"/>
            <family val="34"/>
          </rPr>
          <t>IR 39 (1805-1806)</t>
        </r>
      </text>
    </comment>
    <comment ref="BF578" authorId="0" shapeId="0" xr:uid="{CE6CC9E3-80FD-1F4C-B30E-196F4510B6D5}">
      <text>
        <r>
          <rPr>
            <sz val="14"/>
            <color rgb="FF000000"/>
            <rFont val="Times New Roman"/>
            <family val="18"/>
          </rPr>
          <t xml:space="preserve">15/12/1805 </t>
        </r>
        <r>
          <rPr>
            <i/>
            <sz val="14"/>
            <color rgb="FF000000"/>
            <rFont val="Times New Roman"/>
            <family val="18"/>
          </rPr>
          <t xml:space="preserve">auf 10 Jahr bei IR 50 Stein gestellt </t>
        </r>
        <r>
          <rPr>
            <sz val="14"/>
            <color rgb="FF000000"/>
            <rFont val="Times New Roman"/>
            <family val="18"/>
          </rPr>
          <t>[ML 1811]</t>
        </r>
        <r>
          <rPr>
            <sz val="14"/>
            <color rgb="FF000000"/>
            <rFont val="Calibri"/>
            <family val="34"/>
          </rPr>
          <t xml:space="preserve">
</t>
        </r>
        <r>
          <rPr>
            <sz val="14"/>
            <color rgb="FF000000"/>
            <rFont val="Times New Roman"/>
            <family val="18"/>
          </rPr>
          <t xml:space="preserve">23/01/1810 </t>
        </r>
        <r>
          <rPr>
            <i/>
            <sz val="14"/>
            <color rgb="FF000000"/>
            <rFont val="Times New Roman"/>
            <family val="18"/>
          </rPr>
          <t>von Dissolvierte IR 50 Stein</t>
        </r>
        <r>
          <rPr>
            <sz val="14"/>
            <color rgb="FF000000"/>
            <rFont val="Times New Roman"/>
            <family val="18"/>
          </rPr>
          <t xml:space="preserve"> </t>
        </r>
        <r>
          <rPr>
            <i/>
            <sz val="14"/>
            <color rgb="FF000000"/>
            <rFont val="Times New Roman"/>
            <family val="18"/>
          </rPr>
          <t>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Bei der Musterung: IR 30 2. Fus Comp Nr. 205</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von 1. Fus Comp vermog hoher galizische Militär Commando Verordnung det. Lemberg am 5. Mai 1817 R 4943 als West Galizier mit Abschied entlassen</t>
        </r>
      </text>
    </comment>
    <comment ref="BG578" authorId="0" shapeId="0" xr:uid="{823588E9-8D85-744A-BC86-15939900ADF7}">
      <text>
        <r>
          <rPr>
            <sz val="14"/>
            <color rgb="FF000000"/>
            <rFont val="Times New Roman"/>
            <family val="18"/>
          </rPr>
          <t xml:space="preserve">ML 2633 IR 30 (1811) – Heft von 2. Fus Comp Nr. 205 (Stanislau 21/09/1811) </t>
        </r>
        <r>
          <rPr>
            <sz val="14"/>
            <color rgb="FF000000"/>
            <rFont val="Calibri"/>
            <family val="34"/>
          </rPr>
          <t xml:space="preserve">
</t>
        </r>
        <r>
          <rPr>
            <sz val="14"/>
            <color rgb="FF000000"/>
            <rFont val="Times New Roman"/>
            <family val="18"/>
          </rPr>
          <t>ML 2635 IR 30 (1817) – Heft von 1. Fus Comp – Abgang (Stry 15/10/1817)</t>
        </r>
        <r>
          <rPr>
            <sz val="14"/>
            <color rgb="FF000000"/>
            <rFont val="Calibri"/>
            <family val="34"/>
          </rPr>
          <t xml:space="preserve">
</t>
        </r>
      </text>
    </comment>
    <comment ref="BH578" authorId="0" shapeId="0" xr:uid="{1ADA88B8-FBE0-E040-9ACE-8F5CEA09CA36}">
      <text>
        <r>
          <rPr>
            <sz val="14"/>
            <color rgb="FF000000"/>
            <rFont val="Calibri"/>
            <family val="34"/>
          </rPr>
          <t xml:space="preserve">IR 50 (1805-1810)
</t>
        </r>
        <r>
          <rPr>
            <sz val="14"/>
            <color rgb="FF000000"/>
            <rFont val="Calibri"/>
            <family val="34"/>
          </rPr>
          <t>IR 30 (1810-1817)</t>
        </r>
      </text>
    </comment>
    <comment ref="BF579" authorId="0" shapeId="0" xr:uid="{63AA3F90-4E73-6C4F-9541-6A03FF85013F}">
      <text>
        <r>
          <rPr>
            <sz val="14"/>
            <color rgb="FF000000"/>
            <rFont val="Times New Roman"/>
            <family val="18"/>
          </rPr>
          <t xml:space="preserve">19/12/1805 </t>
        </r>
        <r>
          <rPr>
            <i/>
            <sz val="14"/>
            <color rgb="FF000000"/>
            <rFont val="Times New Roman"/>
            <family val="18"/>
          </rPr>
          <t xml:space="preserve">Als landständischer Recrout für Varano </t>
        </r>
        <r>
          <rPr>
            <b/>
            <sz val="14"/>
            <color rgb="FF000000"/>
            <rFont val="Times New Roman"/>
            <family val="18"/>
          </rPr>
          <t>[</t>
        </r>
        <r>
          <rPr>
            <b/>
            <u/>
            <sz val="14"/>
            <color rgb="FF0563C1"/>
            <rFont val="Times New Roman"/>
            <family val="18"/>
          </rPr>
          <t>Vranov nad Topľou, Slovakia</t>
        </r>
        <r>
          <rPr>
            <b/>
            <sz val="14"/>
            <color rgb="FF000000"/>
            <rFont val="Times New Roman"/>
            <family val="18"/>
          </rPr>
          <t>]</t>
        </r>
        <r>
          <rPr>
            <i/>
            <sz val="14"/>
            <color rgb="FF000000"/>
            <rFont val="Times New Roman"/>
            <family val="18"/>
          </rPr>
          <t xml:space="preserve"> Zempliner Komität in gestellt, in Ujhaly zum IR 39 a 3Fl assentiert und in 18. Komp. zugeheilt</t>
        </r>
        <r>
          <rPr>
            <sz val="14"/>
            <color rgb="FF000000"/>
            <rFont val="Times New Roman"/>
            <family val="18"/>
          </rPr>
          <t xml:space="preserve"> [AL Jän 1806]</t>
        </r>
        <r>
          <rPr>
            <sz val="14"/>
            <color rgb="FF000000"/>
            <rFont val="Calibri"/>
            <family val="34"/>
          </rPr>
          <t xml:space="preserve">
</t>
        </r>
        <r>
          <rPr>
            <sz val="14"/>
            <color rgb="FF000000"/>
            <rFont val="Times New Roman"/>
            <family val="18"/>
          </rPr>
          <t xml:space="preserve">01/03/1806 </t>
        </r>
        <r>
          <rPr>
            <i/>
            <sz val="14"/>
            <color rgb="FF000000"/>
            <rFont val="Times New Roman"/>
            <family val="18"/>
          </rPr>
          <t>Von dissolvierte 18. Zur 3. Komp. transferiert</t>
        </r>
        <r>
          <rPr>
            <sz val="14"/>
            <color rgb="FF000000"/>
            <rFont val="Times New Roman"/>
            <family val="18"/>
          </rPr>
          <t xml:space="preserve"> [RL Jan 1817]</t>
        </r>
        <r>
          <rPr>
            <sz val="14"/>
            <color rgb="FF000000"/>
            <rFont val="Calibri"/>
            <family val="34"/>
          </rPr>
          <t xml:space="preserve">
</t>
        </r>
        <r>
          <rPr>
            <sz val="14"/>
            <color rgb="FF000000"/>
            <rFont val="Times New Roman"/>
            <family val="18"/>
          </rPr>
          <t>23/01/1807 Revision: IR 39 3. Fus. Komp. Nr. 98</t>
        </r>
        <r>
          <rPr>
            <sz val="14"/>
            <color rgb="FF000000"/>
            <rFont val="Calibri"/>
            <family val="34"/>
          </rPr>
          <t xml:space="preserve">
</t>
        </r>
        <r>
          <rPr>
            <sz val="14"/>
            <color rgb="FF000000"/>
            <rFont val="Times New Roman"/>
            <family val="18"/>
          </rPr>
          <t xml:space="preserve">02/08/1808 </t>
        </r>
        <r>
          <rPr>
            <i/>
            <sz val="14"/>
            <color rgb="FF000000"/>
            <rFont val="Times New Roman"/>
            <family val="18"/>
          </rPr>
          <t xml:space="preserve">Krank mit auswärtiger Gebühr </t>
        </r>
        <r>
          <rPr>
            <sz val="14"/>
            <color rgb="FF000000"/>
            <rFont val="Times New Roman"/>
            <family val="18"/>
          </rPr>
          <t>[ST Aug 1808]</t>
        </r>
        <r>
          <rPr>
            <sz val="14"/>
            <color rgb="FF000000"/>
            <rFont val="Calibri"/>
            <family val="34"/>
          </rPr>
          <t xml:space="preserve">
</t>
        </r>
        <r>
          <rPr>
            <sz val="14"/>
            <color rgb="FF000000"/>
            <rFont val="Times New Roman"/>
            <family val="18"/>
          </rPr>
          <t>10/09/1808 R</t>
        </r>
        <r>
          <rPr>
            <i/>
            <sz val="14"/>
            <color rgb="FF000000"/>
            <rFont val="Times New Roman"/>
            <family val="18"/>
          </rPr>
          <t xml:space="preserve">ekonvalesziert </t>
        </r>
        <r>
          <rPr>
            <sz val="14"/>
            <color rgb="FF000000"/>
            <rFont val="Times New Roman"/>
            <family val="18"/>
          </rPr>
          <t>[ST Sept 108]</t>
        </r>
        <r>
          <rPr>
            <sz val="14"/>
            <color rgb="FF000000"/>
            <rFont val="Calibri"/>
            <family val="34"/>
          </rPr>
          <t xml:space="preserve">
</t>
        </r>
        <r>
          <rPr>
            <sz val="14"/>
            <color rgb="FF000000"/>
            <rFont val="Times New Roman"/>
            <family val="18"/>
          </rPr>
          <t>19/09/1808 Revision: IR 39 3. Fus. Komp. Nr. 88 [</t>
        </r>
        <r>
          <rPr>
            <i/>
            <sz val="14"/>
            <color rgb="FF000000"/>
            <rFont val="Times New Roman"/>
            <family val="18"/>
          </rPr>
          <t>Krank in Comorn</t>
        </r>
        <r>
          <rPr>
            <sz val="14"/>
            <color rgb="FF000000"/>
            <rFont val="Times New Roman"/>
            <family val="18"/>
          </rPr>
          <t>]</t>
        </r>
        <r>
          <rPr>
            <sz val="14"/>
            <color rgb="FF000000"/>
            <rFont val="Calibri"/>
            <family val="34"/>
          </rPr>
          <t xml:space="preserve">
</t>
        </r>
        <r>
          <rPr>
            <sz val="14"/>
            <color rgb="FF000000"/>
            <rFont val="Times New Roman"/>
            <family val="18"/>
          </rPr>
          <t xml:space="preserve">22/05/1809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[Schlacht von Aspern-Essling]</t>
        </r>
        <r>
          <rPr>
            <sz val="14"/>
            <color rgb="FF000000"/>
            <rFont val="Times New Roman"/>
            <family val="18"/>
          </rPr>
          <t xml:space="preserve"> [ML 1811]</t>
        </r>
      </text>
    </comment>
    <comment ref="BG579" authorId="0" shapeId="0" xr:uid="{B4CD0A29-26A1-3340-ACAA-E28D702DF12D}">
      <text>
        <r>
          <rPr>
            <sz val="14"/>
            <color rgb="FF000000"/>
            <rFont val="Times New Roman"/>
            <family val="18"/>
          </rPr>
          <t>ML 3499 IR 39 (1807) – 3. Fus. Komp. Nr. 98 (Leutschau 23/01/1807)</t>
        </r>
        <r>
          <rPr>
            <sz val="14"/>
            <color rgb="FF000000"/>
            <rFont val="Calibri"/>
            <family val="34"/>
          </rPr>
          <t xml:space="preserve">
</t>
        </r>
        <r>
          <rPr>
            <sz val="14"/>
            <color rgb="FF000000"/>
            <rFont val="Times New Roman"/>
            <family val="18"/>
          </rPr>
          <t>ML 3500 IR 39 (1808-10) – RL 1808 3. Fus. Komp. Nr. 88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3547 IR 39 (1806) – AL Nr. 2 (Ujhaly 14/03/1806); ST Aug 1808 (Pest 10/07/1810), ST Sept (Ofern 10/10/1810)</t>
        </r>
        <r>
          <rPr>
            <sz val="14"/>
            <color rgb="FF000000"/>
            <rFont val="Calibri"/>
            <family val="34"/>
          </rPr>
          <t xml:space="preserve">
</t>
        </r>
      </text>
    </comment>
    <comment ref="BH579" authorId="0" shapeId="0" xr:uid="{D07E34FD-3AE5-A94D-94FC-E8FB7964E9A3}">
      <text>
        <r>
          <rPr>
            <sz val="14"/>
            <color rgb="FF000000"/>
            <rFont val="Calibri"/>
            <family val="34"/>
          </rPr>
          <t>IR 39 (1805-1809)</t>
        </r>
      </text>
    </comment>
    <comment ref="BG580" authorId="0" shapeId="0" xr:uid="{2407AD27-7823-AF49-83C5-3307DC2611F4}">
      <text>
        <r>
          <rPr>
            <sz val="14"/>
            <color rgb="FF000000"/>
            <rFont val="Times New Roman"/>
            <family val="18"/>
          </rPr>
          <t>ML 8823 GK Gal 2. Abt (1811/2) – 2. (Haupt Boulange) Komp. Zuwachs &amp; Abgang (Zloce 29/10/1812), 4. (Haupt Rühn) Zuwachs &amp; Abgang (Rodzichow 31/10/1812)</t>
        </r>
        <r>
          <rPr>
            <sz val="14"/>
            <color rgb="FF000000"/>
            <rFont val="Calibri"/>
            <family val="34"/>
          </rPr>
          <t xml:space="preserve">
</t>
        </r>
        <r>
          <rPr>
            <sz val="14"/>
            <color rgb="FF000000"/>
            <rFont val="Times New Roman"/>
            <family val="18"/>
          </rPr>
          <t>ML 8824 GK Gal 2. Abt (1817/8) – 2. (Haupt Winter) Komp. Nr. 201 (Zloce 04/10/1817); 2. (Haupt Winter) Komp. Abgang (Zloce 19/10/1818)</t>
        </r>
        <r>
          <rPr>
            <sz val="14"/>
            <color rgb="FF000000"/>
            <rFont val="Calibri"/>
            <family val="34"/>
          </rPr>
          <t xml:space="preserve">
</t>
        </r>
        <r>
          <rPr>
            <sz val="14"/>
            <color rgb="FF000000"/>
            <rFont val="Times New Roman"/>
            <family val="18"/>
          </rPr>
          <t>ML 8831 GK Gal 2. Abt (1813-6) – ST 1814 Oct (Zalosche 20/05/1814)</t>
        </r>
        <r>
          <rPr>
            <sz val="14"/>
            <color rgb="FF000000"/>
            <rFont val="Calibri"/>
            <family val="34"/>
          </rPr>
          <t xml:space="preserve">
</t>
        </r>
      </text>
    </comment>
    <comment ref="BH580" authorId="0" shapeId="0" xr:uid="{36468D75-D332-9543-8CC1-744CA2AAA032}">
      <text>
        <r>
          <rPr>
            <sz val="14"/>
            <color rgb="FF000000"/>
            <rFont val="Calibri"/>
            <family val="34"/>
          </rPr>
          <t xml:space="preserve">IR 12 (1805-1809)
</t>
        </r>
        <r>
          <rPr>
            <sz val="14"/>
            <color rgb="FF000000"/>
            <rFont val="Calibri"/>
            <family val="34"/>
          </rPr>
          <t xml:space="preserve">Pionier Korps (1809-1810)
</t>
        </r>
        <r>
          <rPr>
            <sz val="14"/>
            <color rgb="FF000000"/>
            <rFont val="Calibri"/>
            <family val="34"/>
          </rPr>
          <t xml:space="preserve">IR 12 (1810-1811)
</t>
        </r>
        <r>
          <rPr>
            <sz val="14"/>
            <color rgb="FF000000"/>
            <rFont val="Calibri"/>
            <family val="34"/>
          </rPr>
          <t>GK Gal 2. Abt</t>
        </r>
        <r>
          <rPr>
            <sz val="14"/>
            <color rgb="FF000000"/>
            <rFont val="+mn-lt"/>
            <charset val="1"/>
          </rPr>
          <t xml:space="preserve"> (1811-1812)
</t>
        </r>
        <r>
          <rPr>
            <sz val="14"/>
            <color rgb="FF000000"/>
            <rFont val="+mn-lt"/>
            <charset val="1"/>
          </rPr>
          <t xml:space="preserve">Fleischregie (1812-1814)
</t>
        </r>
        <r>
          <rPr>
            <sz val="14"/>
            <color rgb="FF000000"/>
            <rFont val="+mn-lt"/>
            <charset val="1"/>
          </rPr>
          <t>GK Gal 2. Abt (1814-1818)</t>
        </r>
      </text>
    </comment>
    <comment ref="BF581" authorId="0" shapeId="0" xr:uid="{9BE1E936-5A29-2744-90B6-29EF28D387B6}">
      <text>
        <r>
          <rPr>
            <sz val="14"/>
            <color rgb="FF000000"/>
            <rFont val="Times New Roman"/>
            <family val="18"/>
          </rPr>
          <t xml:space="preserve">23/12/1805 </t>
        </r>
        <r>
          <rPr>
            <i/>
            <sz val="14"/>
            <color rgb="FF000000"/>
            <rFont val="Times New Roman"/>
            <family val="18"/>
          </rPr>
          <t>Zu Siedlice a 3Fl von Dominien mit 10 jähriger Capitulation gestellt und zur IR 59 Reserve Division assentiert</t>
        </r>
        <r>
          <rPr>
            <sz val="14"/>
            <color rgb="FF000000"/>
            <rFont val="Times New Roman"/>
            <family val="18"/>
          </rPr>
          <t xml:space="preserve"> [ML Dez 1805]</t>
        </r>
        <r>
          <rPr>
            <sz val="14"/>
            <color rgb="FF000000"/>
            <rFont val="Calibri"/>
            <family val="34"/>
          </rPr>
          <t xml:space="preserve">
</t>
        </r>
        <r>
          <rPr>
            <sz val="14"/>
            <color rgb="FF000000"/>
            <rFont val="Times New Roman"/>
            <family val="18"/>
          </rPr>
          <t xml:space="preserve">31/03/1806 </t>
        </r>
        <r>
          <rPr>
            <i/>
            <sz val="14"/>
            <color rgb="FF000000"/>
            <rFont val="Times New Roman"/>
            <family val="18"/>
          </rPr>
          <t>Von Reserve Division zur 5. Fusilier Companie transferiert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30/08/1806 </t>
        </r>
        <r>
          <rPr>
            <i/>
            <sz val="14"/>
            <color rgb="FF000000"/>
            <rFont val="Times New Roman"/>
            <family val="18"/>
          </rPr>
          <t>In Folge hoher NO Gen. Comdo Verodgnung vom 7. Aug Lit R Nr 3178 als zu Feldkriegsdienst unfähig und gegen Renuncierug aud alle milit. Beneficien mit Abschied entlassen</t>
        </r>
        <r>
          <rPr>
            <sz val="14"/>
            <color rgb="FF000000"/>
            <rFont val="Times New Roman"/>
            <family val="18"/>
          </rPr>
          <t xml:space="preserve"> [ML 1806]</t>
        </r>
        <r>
          <rPr>
            <sz val="14"/>
            <color rgb="FF000000"/>
            <rFont val="Calibri"/>
            <family val="34"/>
          </rPr>
          <t xml:space="preserve">
</t>
        </r>
      </text>
    </comment>
    <comment ref="BG581" authorId="0" shapeId="0" xr:uid="{2606A2D7-99B1-1148-9230-BA800999B568}">
      <text>
        <r>
          <rPr>
            <sz val="14"/>
            <color rgb="FF000000"/>
            <rFont val="Times New Roman"/>
            <family val="18"/>
          </rPr>
          <t>ML 5017/8 IR 59 (1806) – 5. Fus. Komp. Abgang (Linz 20/12/1806)</t>
        </r>
        <r>
          <rPr>
            <sz val="14"/>
            <color rgb="FF000000"/>
            <rFont val="Calibri"/>
            <family val="34"/>
          </rPr>
          <t xml:space="preserve">
</t>
        </r>
        <r>
          <rPr>
            <sz val="14"/>
            <color rgb="FF000000"/>
            <rFont val="Times New Roman"/>
            <family val="18"/>
          </rPr>
          <t>ML 5067 IR 59 (1805) – AL. Nr. 72 (Siedlce 31/12/1805)</t>
        </r>
        <r>
          <rPr>
            <sz val="14"/>
            <color rgb="FF000000"/>
            <rFont val="Calibri"/>
            <family val="34"/>
          </rPr>
          <t xml:space="preserve">
</t>
        </r>
        <r>
          <rPr>
            <sz val="14"/>
            <color rgb="FF000000"/>
            <rFont val="Times New Roman"/>
            <family val="18"/>
          </rPr>
          <t>ML 5068 IR 59 (1806) – ST Sept (Linz 03/04/1807)</t>
        </r>
        <r>
          <rPr>
            <sz val="14"/>
            <color rgb="FF000000"/>
            <rFont val="Calibri"/>
            <family val="34"/>
          </rPr>
          <t xml:space="preserve">
</t>
        </r>
      </text>
    </comment>
    <comment ref="BH581" authorId="0" shapeId="0" xr:uid="{B30AD9AD-1954-E84B-9F6B-516BCD9D5A14}">
      <text>
        <r>
          <rPr>
            <sz val="14"/>
            <color rgb="FF000000"/>
            <rFont val="Calibri"/>
            <family val="34"/>
          </rPr>
          <t>IR 39 (1805-1806)</t>
        </r>
      </text>
    </comment>
    <comment ref="BF582" authorId="0" shapeId="0" xr:uid="{E9C4E540-3F56-B646-8104-CE4F852C3EAB}">
      <text>
        <r>
          <rPr>
            <sz val="14"/>
            <color rgb="FF000000"/>
            <rFont val="Times New Roman"/>
            <family val="18"/>
          </rPr>
          <t xml:space="preserve">In Jahr 1806 </t>
        </r>
        <r>
          <rPr>
            <i/>
            <sz val="14"/>
            <color rgb="FF000000"/>
            <rFont val="Times New Roman"/>
            <family val="18"/>
          </rPr>
          <t xml:space="preserve">zu Chasteler </t>
        </r>
        <r>
          <rPr>
            <b/>
            <sz val="14"/>
            <color rgb="FF000000"/>
            <rFont val="Times New Roman"/>
            <family val="18"/>
          </rPr>
          <t>IR 46</t>
        </r>
        <r>
          <rPr>
            <i/>
            <sz val="14"/>
            <color rgb="FF000000"/>
            <rFont val="Times New Roman"/>
            <family val="18"/>
          </rPr>
          <t xml:space="preserve">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01/03/1809 zum Artillerie Handleger transferiert [ML 1811]</t>
        </r>
        <r>
          <rPr>
            <sz val="14"/>
            <color rgb="FF000000"/>
            <rFont val="Calibri"/>
            <family val="34"/>
          </rPr>
          <t xml:space="preserve">
</t>
        </r>
        <r>
          <rPr>
            <sz val="14"/>
            <color rgb="FF000000"/>
            <rFont val="Times New Roman"/>
            <family val="18"/>
          </rPr>
          <t>16/05/1810 Von Artillerie Handlanger Corps zum IR 30 De Ligne transferiert</t>
        </r>
        <r>
          <rPr>
            <sz val="14"/>
            <color rgb="FF000000"/>
            <rFont val="Calibri"/>
            <family val="34"/>
          </rPr>
          <t xml:space="preserve">
</t>
        </r>
        <r>
          <rPr>
            <sz val="14"/>
            <color rgb="FF000000"/>
            <rFont val="Times New Roman"/>
            <family val="18"/>
          </rPr>
          <t>11/09/1811 Beim Musterung: IR 30 7. Inf Komp Nr. 249</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582" authorId="0" shapeId="0" xr:uid="{F3E5A067-B43A-2542-965E-C8BA9320F0A6}">
      <text>
        <r>
          <rPr>
            <sz val="14"/>
            <color rgb="FF000000"/>
            <rFont val="Times New Roman"/>
            <family val="18"/>
          </rPr>
          <t>ML 2633 IR 30 (1811) – Heft von 7. Comp Nr. 249 (Czernowitz 11/09/1811)</t>
        </r>
        <r>
          <rPr>
            <sz val="14"/>
            <color rgb="FF000000"/>
            <rFont val="Calibri"/>
            <family val="34"/>
          </rPr>
          <t xml:space="preserve">
</t>
        </r>
        <r>
          <rPr>
            <sz val="14"/>
            <color rgb="FF000000"/>
            <rFont val="Times New Roman"/>
            <family val="18"/>
          </rPr>
          <t>ML 2635 IR 30 (1817) – Heft von 3. Fus Comp – Abgang (Stry 15/10/1817)</t>
        </r>
        <r>
          <rPr>
            <sz val="14"/>
            <color rgb="FF000000"/>
            <rFont val="Calibri"/>
            <family val="34"/>
          </rPr>
          <t xml:space="preserve">
</t>
        </r>
      </text>
    </comment>
    <comment ref="BH582" authorId="0" shapeId="0" xr:uid="{1B1ADFED-E46F-5747-A156-FD787A1D2F33}">
      <text>
        <r>
          <rPr>
            <sz val="14"/>
            <color rgb="FF000000"/>
            <rFont val="Calibri"/>
            <family val="34"/>
          </rPr>
          <t xml:space="preserve">IR 46 (1806-1809)
</t>
        </r>
        <r>
          <rPr>
            <sz val="14"/>
            <color rgb="FF000000"/>
            <rFont val="Calibri"/>
            <family val="34"/>
          </rPr>
          <t xml:space="preserve">ArtHand (1809-1810)
</t>
        </r>
        <r>
          <rPr>
            <sz val="14"/>
            <color rgb="FF000000"/>
            <rFont val="Calibri"/>
            <family val="34"/>
          </rPr>
          <t>IR 30 (1810-1817)</t>
        </r>
      </text>
    </comment>
    <comment ref="BF583" authorId="0" shapeId="0" xr:uid="{CEE3E965-DEE5-4643-9A13-B75E706B5B4F}">
      <text>
        <r>
          <rPr>
            <sz val="14"/>
            <color rgb="FF000000"/>
            <rFont val="Times New Roman"/>
            <family val="18"/>
          </rPr>
          <t xml:space="preserve">In 01/1806 </t>
        </r>
        <r>
          <rPr>
            <i/>
            <sz val="14"/>
            <color rgb="FF000000"/>
            <rFont val="Times New Roman"/>
            <family val="18"/>
          </rPr>
          <t>als Landstandische Recrouten assentiert</t>
        </r>
        <r>
          <rPr>
            <sz val="14"/>
            <color rgb="FF000000"/>
            <rFont val="Times New Roman"/>
            <family val="18"/>
          </rPr>
          <t xml:space="preserve"> [ML 1806]</t>
        </r>
        <r>
          <rPr>
            <sz val="14"/>
            <color rgb="FF000000"/>
            <rFont val="Calibri"/>
            <family val="34"/>
          </rPr>
          <t xml:space="preserve">
</t>
        </r>
        <r>
          <rPr>
            <sz val="14"/>
            <color rgb="FF000000"/>
            <rFont val="Times New Roman"/>
            <family val="18"/>
          </rPr>
          <t xml:space="preserve">??/??/???? </t>
        </r>
        <r>
          <rPr>
            <i/>
            <sz val="14"/>
            <color rgb="FF000000"/>
            <rFont val="Times New Roman"/>
            <family val="18"/>
          </rPr>
          <t xml:space="preserve">Kriegsgefangen </t>
        </r>
        <r>
          <rPr>
            <sz val="14"/>
            <color rgb="FF000000"/>
            <rFont val="Times New Roman"/>
            <family val="18"/>
          </rPr>
          <t>[ML 1806]</t>
        </r>
        <r>
          <rPr>
            <sz val="14"/>
            <color rgb="FF000000"/>
            <rFont val="Calibri"/>
            <family val="34"/>
          </rPr>
          <t xml:space="preserve">
</t>
        </r>
        <r>
          <rPr>
            <sz val="14"/>
            <color rgb="FF000000"/>
            <rFont val="Times New Roman"/>
            <family val="18"/>
          </rPr>
          <t xml:space="preserve">In 05/1806 </t>
        </r>
        <r>
          <rPr>
            <i/>
            <sz val="14"/>
            <color rgb="FF000000"/>
            <rFont val="Times New Roman"/>
            <family val="18"/>
          </rPr>
          <t>Ranzioniert</t>
        </r>
        <r>
          <rPr>
            <sz val="14"/>
            <color rgb="FF000000"/>
            <rFont val="Times New Roman"/>
            <family val="18"/>
          </rPr>
          <t xml:space="preserve"> [ML 1806]</t>
        </r>
        <r>
          <rPr>
            <sz val="14"/>
            <color rgb="FF000000"/>
            <rFont val="Calibri"/>
            <family val="34"/>
          </rPr>
          <t xml:space="preserve">
</t>
        </r>
        <r>
          <rPr>
            <sz val="14"/>
            <color rgb="FF000000"/>
            <rFont val="Times New Roman"/>
            <family val="18"/>
          </rPr>
          <t>11/06/1806 Superarbietriert Defekten: Wegen Masschwach und Krankheiten [Klein Schwach und immer Krank]</t>
        </r>
        <r>
          <rPr>
            <sz val="14"/>
            <color rgb="FF000000"/>
            <rFont val="Calibri"/>
            <family val="34"/>
          </rPr>
          <t xml:space="preserve">
</t>
        </r>
        <r>
          <rPr>
            <sz val="14"/>
            <color rgb="FF000000"/>
            <rFont val="Times New Roman"/>
            <family val="18"/>
          </rPr>
          <t>Reale Invaliden mit Laufpass zu entlassen</t>
        </r>
        <r>
          <rPr>
            <sz val="14"/>
            <color rgb="FF000000"/>
            <rFont val="Calibri"/>
            <family val="34"/>
          </rPr>
          <t xml:space="preserve">
</t>
        </r>
        <r>
          <rPr>
            <sz val="14"/>
            <color rgb="FF000000"/>
            <rFont val="Times New Roman"/>
            <family val="18"/>
          </rPr>
          <t xml:space="preserve">25/07/1806 </t>
        </r>
        <r>
          <rPr>
            <i/>
            <sz val="14"/>
            <color rgb="FF000000"/>
            <rFont val="Times New Roman"/>
            <family val="18"/>
          </rPr>
          <t>Wegen Schwäche sonstigen aufhabenden Defekten zu Folge Hohe General Commando Verordnung deto Brünn den 28. Juni 1806 mit Laugpaß entlassen</t>
        </r>
        <r>
          <rPr>
            <sz val="14"/>
            <color rgb="FF000000"/>
            <rFont val="Times New Roman"/>
            <family val="18"/>
          </rPr>
          <t xml:space="preserve"> [ML 1806]</t>
        </r>
        <r>
          <rPr>
            <sz val="14"/>
            <color rgb="FF000000"/>
            <rFont val="Calibri"/>
            <family val="34"/>
          </rPr>
          <t xml:space="preserve">
</t>
        </r>
      </text>
    </comment>
    <comment ref="BG583" authorId="0" shapeId="0" xr:uid="{77B546E3-1648-B14D-B476-63B76994E179}">
      <text>
        <r>
          <rPr>
            <sz val="14"/>
            <color rgb="FF000000"/>
            <rFont val="Times New Roman"/>
            <family val="18"/>
          </rPr>
          <t>ML 1623-5 IR 20 (1806) – 11. Fus. Komp. Abgang (Olmütz 15/12/1806)</t>
        </r>
        <r>
          <rPr>
            <sz val="14"/>
            <color rgb="FF000000"/>
            <rFont val="Calibri"/>
            <family val="34"/>
          </rPr>
          <t xml:space="preserve">
</t>
        </r>
        <r>
          <rPr>
            <sz val="14"/>
            <color rgb="FF000000"/>
            <rFont val="Times New Roman"/>
            <family val="18"/>
          </rPr>
          <t>ML 1661 IR 20 (1806) –SUP Nr. 37 (Troppau 11/06/1806)</t>
        </r>
        <r>
          <rPr>
            <sz val="14"/>
            <color rgb="FF000000"/>
            <rFont val="Calibri"/>
            <family val="34"/>
          </rPr>
          <t xml:space="preserve">
</t>
        </r>
      </text>
    </comment>
    <comment ref="BH583" authorId="0" shapeId="0" xr:uid="{55E9E7BD-195B-EA4E-B8DC-61B2A1A380B5}">
      <text>
        <r>
          <rPr>
            <sz val="14"/>
            <color rgb="FF000000"/>
            <rFont val="Calibri"/>
            <family val="34"/>
          </rPr>
          <t>IR 39 (1806)</t>
        </r>
      </text>
    </comment>
    <comment ref="BF584" authorId="0" shapeId="0" xr:uid="{52EE0E77-6BAC-3B43-AE79-85AEAB435D60}">
      <text>
        <r>
          <rPr>
            <sz val="14"/>
            <color rgb="FF000000"/>
            <rFont val="Times New Roman"/>
            <family val="18"/>
          </rPr>
          <t xml:space="preserve">13/01/1806 </t>
        </r>
        <r>
          <rPr>
            <i/>
            <sz val="14"/>
            <color rgb="FF000000"/>
            <rFont val="Times New Roman"/>
            <family val="18"/>
          </rPr>
          <t>auf 10 Jahre zu Stain Inf</t>
        </r>
        <r>
          <rPr>
            <sz val="14"/>
            <color rgb="FF000000"/>
            <rFont val="Times New Roman"/>
            <family val="18"/>
          </rPr>
          <t xml:space="preserve"> </t>
        </r>
        <r>
          <rPr>
            <b/>
            <sz val="14"/>
            <color rgb="FF000000"/>
            <rFont val="Times New Roman"/>
            <family val="18"/>
          </rPr>
          <t xml:space="preserve">[IR 50] </t>
        </r>
        <r>
          <rPr>
            <i/>
            <sz val="14"/>
            <color rgb="FF000000"/>
            <rFont val="Times New Roman"/>
            <family val="18"/>
          </rPr>
          <t>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IR 50 Stein zum IR 30 De Ligne ahnero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bei der Musterung: IR 30 2. Fus Comp Nr. 194 [</t>
        </r>
        <r>
          <rPr>
            <i/>
            <sz val="14"/>
            <color rgb="FF000000"/>
            <rFont val="Times New Roman"/>
            <family val="18"/>
          </rPr>
          <t>Auf Wache zu Monastirska</t>
        </r>
        <r>
          <rPr>
            <sz val="14"/>
            <color rgb="FF000000"/>
            <rFont val="Times New Roman"/>
            <family val="18"/>
          </rPr>
          <t>]</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von 1. Fus Comp 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584" authorId="0" shapeId="0" xr:uid="{676FA127-A2D7-3947-AEEF-F87A91B8486E}">
      <text>
        <r>
          <rPr>
            <sz val="14"/>
            <color rgb="FF000000"/>
            <rFont val="Times New Roman"/>
            <family val="18"/>
          </rPr>
          <t>ML 2633 IR 30 (1811) – 2. Komp. Nr. 194 (Stanislau 21/09/1811)</t>
        </r>
        <r>
          <rPr>
            <sz val="14"/>
            <color rgb="FF000000"/>
            <rFont val="Calibri"/>
            <family val="34"/>
          </rPr>
          <t xml:space="preserve">
</t>
        </r>
        <r>
          <rPr>
            <sz val="14"/>
            <color rgb="FF000000"/>
            <rFont val="Times New Roman"/>
            <family val="18"/>
          </rPr>
          <t>ML 2635 IR 30 (1817) – 1. Fus Komp. Abgang (Stry 15/10/1817)</t>
        </r>
        <r>
          <rPr>
            <sz val="14"/>
            <color rgb="FF000000"/>
            <rFont val="Calibri"/>
            <family val="34"/>
          </rPr>
          <t xml:space="preserve">
</t>
        </r>
      </text>
    </comment>
    <comment ref="BH584" authorId="0" shapeId="0" xr:uid="{5F4E0BA8-5AFB-CD41-BA4C-23F2E84C9061}">
      <text>
        <r>
          <rPr>
            <sz val="14"/>
            <color rgb="FF000000"/>
            <rFont val="Calibri"/>
            <family val="34"/>
          </rPr>
          <t xml:space="preserve">IR 50 (1806-1810)
</t>
        </r>
        <r>
          <rPr>
            <sz val="14"/>
            <color rgb="FF000000"/>
            <rFont val="Calibri"/>
            <family val="34"/>
          </rPr>
          <t>IR 30 (1810-1817)</t>
        </r>
      </text>
    </comment>
    <comment ref="BF585" authorId="0" shapeId="0" xr:uid="{D8C5099C-BD78-EB44-82B6-B1DAA97A3C8C}">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t>
        </r>
        <r>
          <rPr>
            <i/>
            <sz val="14"/>
            <color rgb="FF000000"/>
            <rFont val="Times New Roman"/>
            <family val="18"/>
          </rPr>
          <t>Seitdem absent zum Asst: platz zu Bartfeld</t>
        </r>
        <r>
          <rPr>
            <sz val="14"/>
            <color rgb="FF000000"/>
            <rFont val="Times New Roman"/>
            <family val="18"/>
          </rPr>
          <t xml:space="preserve"> [AL April 1806, ST May 1805]</t>
        </r>
        <r>
          <rPr>
            <sz val="14"/>
            <color rgb="FF000000"/>
            <rFont val="Calibri"/>
            <family val="34"/>
          </rPr>
          <t xml:space="preserve">
</t>
        </r>
        <r>
          <rPr>
            <sz val="14"/>
            <color rgb="FF000000"/>
            <rFont val="Times New Roman"/>
            <family val="18"/>
          </rPr>
          <t xml:space="preserve">05/07/1806 </t>
        </r>
        <r>
          <rPr>
            <i/>
            <sz val="14"/>
            <color rgb="FF000000"/>
            <rFont val="Times New Roman"/>
            <family val="18"/>
          </rPr>
          <t>In Kompanie eingerückt</t>
        </r>
        <r>
          <rPr>
            <sz val="14"/>
            <color rgb="FF000000"/>
            <rFont val="Times New Roman"/>
            <family val="18"/>
          </rPr>
          <t xml:space="preserve"> [ST Juli 1806]</t>
        </r>
        <r>
          <rPr>
            <sz val="14"/>
            <color rgb="FF000000"/>
            <rFont val="Calibri"/>
            <family val="34"/>
          </rPr>
          <t xml:space="preserve">
</t>
        </r>
        <r>
          <rPr>
            <sz val="14"/>
            <color rgb="FF000000"/>
            <rFont val="Times New Roman"/>
            <family val="18"/>
          </rPr>
          <t xml:space="preserve">01/08/1806 </t>
        </r>
        <r>
          <rPr>
            <i/>
            <sz val="14"/>
            <color rgb="FF000000"/>
            <rFont val="Times New Roman"/>
            <family val="18"/>
          </rPr>
          <t>Von 4.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01/11/1806 </t>
        </r>
        <r>
          <rPr>
            <i/>
            <sz val="14"/>
            <color rgb="FF000000"/>
            <rFont val="Times New Roman"/>
            <family val="18"/>
          </rPr>
          <t>Auf bestimmte Zeit beurlaubt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15/01/1807 </t>
        </r>
        <r>
          <rPr>
            <i/>
            <sz val="14"/>
            <color rgb="FF000000"/>
            <rFont val="Times New Roman"/>
            <family val="18"/>
          </rPr>
          <t>Gegen Stellung anderen Mannes und Erlag des Montur Geldes mit Abschied entlassen</t>
        </r>
        <r>
          <rPr>
            <sz val="14"/>
            <color rgb="FF000000"/>
            <rFont val="Times New Roman"/>
            <family val="18"/>
          </rPr>
          <t xml:space="preserve"> [RL 1807]</t>
        </r>
      </text>
    </comment>
    <comment ref="BG585" authorId="0" shapeId="0" xr:uid="{FC9A9C8F-C8A0-E347-B868-C179F4E5AAD4}">
      <text>
        <r>
          <rPr>
            <sz val="14"/>
            <color rgb="FF000000"/>
            <rFont val="Times New Roman"/>
            <family val="18"/>
          </rPr>
          <t xml:space="preserve">ML 3499 IR 39 (1807) – 7. Fus. Komp. Nr. 119 </t>
        </r>
        <r>
          <rPr>
            <sz val="14"/>
            <color rgb="FF000000"/>
            <rFont val="Times New Roman"/>
            <family val="18"/>
          </rPr>
          <t xml:space="preserve">(Kesmark 24/01/1807) </t>
        </r>
        <r>
          <rPr>
            <sz val="14"/>
            <color rgb="FF000000"/>
            <rFont val="Calibri"/>
            <family val="34"/>
          </rPr>
          <t xml:space="preserve">
</t>
        </r>
        <r>
          <rPr>
            <sz val="14"/>
            <color rgb="FF000000"/>
            <rFont val="Times New Roman"/>
            <family val="18"/>
          </rPr>
          <t>ML 3500 IR 39 (1808-10) – RL 1808 9. Fus. Komp. – Abgang (Comorn 19/09/1808)</t>
        </r>
        <r>
          <rPr>
            <sz val="14"/>
            <color rgb="FF000000"/>
            <rFont val="Calibri"/>
            <family val="34"/>
          </rPr>
          <t xml:space="preserve">
</t>
        </r>
        <r>
          <rPr>
            <sz val="14"/>
            <color rgb="FF000000"/>
            <rFont val="Times New Roman"/>
            <family val="18"/>
          </rPr>
          <t>ML 3547 IR 39 (1806) – AL Nr. 2 (Ujhaly 14/03/1806)</t>
        </r>
        <r>
          <rPr>
            <sz val="14"/>
            <color rgb="FF000000"/>
            <rFont val="Calibri"/>
            <family val="34"/>
          </rPr>
          <t xml:space="preserve">
</t>
        </r>
      </text>
    </comment>
    <comment ref="BH585" authorId="0" shapeId="0" xr:uid="{F76EF1C7-C552-4A4B-826F-2CFC7E9A07BF}">
      <text>
        <r>
          <rPr>
            <sz val="14"/>
            <color rgb="FF000000"/>
            <rFont val="Calibri"/>
            <family val="34"/>
          </rPr>
          <t>IR 39 (1806-1807)</t>
        </r>
      </text>
    </comment>
    <comment ref="BF586" authorId="0" shapeId="0" xr:uid="{B2B28DDD-B3BF-2145-9DBE-4794E2C9AC14}">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t>
        </r>
        <r>
          <rPr>
            <i/>
            <sz val="14"/>
            <color rgb="FF000000"/>
            <rFont val="Times New Roman"/>
            <family val="18"/>
          </rPr>
          <t>Seitdem absent zum Asst: platz zu Bartfeld</t>
        </r>
        <r>
          <rPr>
            <sz val="14"/>
            <color rgb="FF000000"/>
            <rFont val="Times New Roman"/>
            <family val="18"/>
          </rPr>
          <t xml:space="preserve"> [AL April 1806, ST May 1805]</t>
        </r>
        <r>
          <rPr>
            <sz val="14"/>
            <color rgb="FF000000"/>
            <rFont val="Calibri"/>
            <family val="34"/>
          </rPr>
          <t xml:space="preserve">
</t>
        </r>
        <r>
          <rPr>
            <sz val="14"/>
            <color rgb="FF000000"/>
            <rFont val="Times New Roman"/>
            <family val="18"/>
          </rPr>
          <t xml:space="preserve">05/07/1806 </t>
        </r>
        <r>
          <rPr>
            <i/>
            <sz val="14"/>
            <color rgb="FF000000"/>
            <rFont val="Times New Roman"/>
            <family val="18"/>
          </rPr>
          <t>In Kompanie eingerückt</t>
        </r>
        <r>
          <rPr>
            <sz val="14"/>
            <color rgb="FF000000"/>
            <rFont val="Times New Roman"/>
            <family val="18"/>
          </rPr>
          <t xml:space="preserve"> [ST Juli 1806]</t>
        </r>
        <r>
          <rPr>
            <sz val="14"/>
            <color rgb="FF000000"/>
            <rFont val="Calibri"/>
            <family val="34"/>
          </rPr>
          <t xml:space="preserve">
</t>
        </r>
        <r>
          <rPr>
            <sz val="14"/>
            <color rgb="FF000000"/>
            <rFont val="Times New Roman"/>
            <family val="18"/>
          </rPr>
          <t xml:space="preserve">01/08/1806 </t>
        </r>
        <r>
          <rPr>
            <i/>
            <sz val="14"/>
            <color rgb="FF000000"/>
            <rFont val="Times New Roman"/>
            <family val="18"/>
          </rPr>
          <t>Von 4. zur 9. Fus Komp. transferiert</t>
        </r>
        <r>
          <rPr>
            <sz val="14"/>
            <color rgb="FF000000"/>
            <rFont val="Times New Roman"/>
            <family val="18"/>
          </rPr>
          <t xml:space="preserve"> [RL 1807]</t>
        </r>
        <r>
          <rPr>
            <sz val="14"/>
            <color rgb="FF000000"/>
            <rFont val="Calibri"/>
            <family val="34"/>
          </rPr>
          <t xml:space="preserve">
</t>
        </r>
        <r>
          <rPr>
            <sz val="14"/>
            <color rgb="FF000000"/>
            <rFont val="Times New Roman"/>
            <family val="18"/>
          </rPr>
          <t xml:space="preserve">01/11/1806 </t>
        </r>
        <r>
          <rPr>
            <i/>
            <sz val="14"/>
            <color rgb="FF000000"/>
            <rFont val="Times New Roman"/>
            <family val="18"/>
          </rPr>
          <t>Auf bestimmte Zeit beurlaubt</t>
        </r>
        <r>
          <rPr>
            <sz val="14"/>
            <color rgb="FF000000"/>
            <rFont val="Times New Roman"/>
            <family val="18"/>
          </rPr>
          <t xml:space="preserve"> [ST Nov 1806]</t>
        </r>
        <r>
          <rPr>
            <sz val="14"/>
            <color rgb="FF000000"/>
            <rFont val="Calibri"/>
            <family val="34"/>
          </rPr>
          <t xml:space="preserve">
</t>
        </r>
        <r>
          <rPr>
            <sz val="14"/>
            <color rgb="FF000000"/>
            <rFont val="Times New Roman"/>
            <family val="18"/>
          </rPr>
          <t xml:space="preserve">15/01/1807 </t>
        </r>
        <r>
          <rPr>
            <i/>
            <sz val="14"/>
            <color rgb="FF000000"/>
            <rFont val="Times New Roman"/>
            <family val="18"/>
          </rPr>
          <t>Gegen Stellung anderen Mannes und Erlag des Montur Geldes mit Abschied entlassen</t>
        </r>
        <r>
          <rPr>
            <sz val="14"/>
            <color rgb="FF000000"/>
            <rFont val="Times New Roman"/>
            <family val="18"/>
          </rPr>
          <t xml:space="preserve"> [RL 1807]</t>
        </r>
      </text>
    </comment>
    <comment ref="BG586" authorId="0" shapeId="0" xr:uid="{D2805FE6-24BE-B447-83E0-15D7B98B3CA3}">
      <text>
        <r>
          <rPr>
            <sz val="14"/>
            <color rgb="FF000000"/>
            <rFont val="Times New Roman"/>
            <family val="18"/>
          </rPr>
          <t>ML 3499 IR 39 (1807) – 9. Fus. Komp. Abgang (Kesmark 24/01/1805)</t>
        </r>
        <r>
          <rPr>
            <sz val="14"/>
            <color rgb="FF000000"/>
            <rFont val="Calibri"/>
            <family val="34"/>
          </rPr>
          <t xml:space="preserve">
</t>
        </r>
        <r>
          <rPr>
            <sz val="14"/>
            <color rgb="FF000000"/>
            <rFont val="Times New Roman"/>
            <family val="18"/>
          </rPr>
          <t>ML 3547 IR 39 (1806) – AL Nr. 8 (Bartfeld 08/04/1806), ST Mai (Caschau 23/05/1807), ST Juli (Caschau 30/05/1807), ST Nov (Caschau 02/07/1807)</t>
        </r>
        <r>
          <rPr>
            <sz val="14"/>
            <color rgb="FF000000"/>
            <rFont val="Calibri"/>
            <family val="34"/>
          </rPr>
          <t xml:space="preserve">
</t>
        </r>
      </text>
    </comment>
    <comment ref="BH586" authorId="0" shapeId="0" xr:uid="{A7BEFFDF-9C2E-B847-ACF0-2820BF0567F9}">
      <text>
        <r>
          <rPr>
            <sz val="14"/>
            <color rgb="FF000000"/>
            <rFont val="Calibri"/>
            <family val="34"/>
          </rPr>
          <t>IR 39 (1806-1807)</t>
        </r>
      </text>
    </comment>
    <comment ref="BF587" authorId="0" shapeId="0" xr:uid="{FB90706D-3114-354D-9A8C-C7B329BDA5AF}">
      <text>
        <r>
          <rPr>
            <sz val="14"/>
            <color rgb="FF000000"/>
            <rFont val="Times New Roman"/>
            <family val="18"/>
          </rPr>
          <t xml:space="preserve">21/04/1806 </t>
        </r>
        <r>
          <rPr>
            <i/>
            <sz val="14"/>
            <color rgb="FF000000"/>
            <rFont val="Times New Roman"/>
            <family val="18"/>
          </rPr>
          <t>Als landständischer Recrout für Zempliner Komität in gestellt, in Bartfeld zum IR 39 a 3Fl assentiert und in 4. Komp. zugeheilt</t>
        </r>
        <r>
          <rPr>
            <sz val="14"/>
            <color rgb="FF000000"/>
            <rFont val="Times New Roman"/>
            <family val="18"/>
          </rPr>
          <t xml:space="preserve"> [AL April 1806]</t>
        </r>
        <r>
          <rPr>
            <sz val="14"/>
            <color rgb="FF000000"/>
            <rFont val="Calibri"/>
            <family val="34"/>
          </rPr>
          <t xml:space="preserve">
</t>
        </r>
        <r>
          <rPr>
            <sz val="14"/>
            <color rgb="FF000000"/>
            <rFont val="Times New Roman"/>
            <family val="18"/>
          </rPr>
          <t>01/11/1806 Auf bestimmte Zeit Beurlaubt [ST Nov 1806]</t>
        </r>
        <r>
          <rPr>
            <sz val="14"/>
            <color rgb="FF000000"/>
            <rFont val="Calibri"/>
            <family val="34"/>
          </rPr>
          <t xml:space="preserve">
</t>
        </r>
        <r>
          <rPr>
            <sz val="14"/>
            <color rgb="FF000000"/>
            <rFont val="Times New Roman"/>
            <family val="18"/>
          </rPr>
          <t xml:space="preserve">31/12/1806 </t>
        </r>
        <r>
          <rPr>
            <i/>
            <sz val="14"/>
            <color rgb="FF000000"/>
            <rFont val="Times New Roman"/>
            <family val="18"/>
          </rPr>
          <t>Vermog Verordenung deto den 15/11/1806 gegen Stellung anderer mit abschied entlassen</t>
        </r>
        <r>
          <rPr>
            <sz val="14"/>
            <color rgb="FF000000"/>
            <rFont val="Times New Roman"/>
            <family val="18"/>
          </rPr>
          <t xml:space="preserve"> [RL 1807]</t>
        </r>
      </text>
    </comment>
    <comment ref="BG587" authorId="0" shapeId="0" xr:uid="{E9416CCE-F5AA-9F4D-B114-E4FA08FA1D4F}">
      <text>
        <r>
          <rPr>
            <sz val="14"/>
            <color rgb="FF000000"/>
            <rFont val="Times New Roman"/>
            <family val="18"/>
          </rPr>
          <t>ML 3499 IR 39 (1807) – 4. Fus. Komp. Abgang (Letschau 23/01/807)</t>
        </r>
        <r>
          <rPr>
            <sz val="14"/>
            <color rgb="FF000000"/>
            <rFont val="Calibri"/>
            <family val="34"/>
          </rPr>
          <t xml:space="preserve">
</t>
        </r>
        <r>
          <rPr>
            <sz val="14"/>
            <color rgb="FF000000"/>
            <rFont val="Times New Roman"/>
            <family val="18"/>
          </rPr>
          <t>ML 3547 IR 39 (1806) – AL Nr. 8 (Bartfeld 08/04/1806), ST Nov (Caschau 02/07/1807)</t>
        </r>
        <r>
          <rPr>
            <sz val="14"/>
            <color rgb="FF000000"/>
            <rFont val="Calibri"/>
            <family val="34"/>
          </rPr>
          <t xml:space="preserve">
</t>
        </r>
      </text>
    </comment>
    <comment ref="BH587" authorId="0" shapeId="0" xr:uid="{A331FC70-330C-5D4C-B2DC-F9AB84649F12}">
      <text>
        <r>
          <rPr>
            <sz val="14"/>
            <color rgb="FF000000"/>
            <rFont val="Calibri"/>
            <family val="34"/>
          </rPr>
          <t>IR 39 (1806)</t>
        </r>
      </text>
    </comment>
    <comment ref="BF588" authorId="0" shapeId="0" xr:uid="{B3AA472F-74D3-0E48-A32A-301426890C87}">
      <text>
        <r>
          <rPr>
            <sz val="14"/>
            <color rgb="FF000000"/>
            <rFont val="Times New Roman"/>
            <family val="18"/>
          </rPr>
          <t xml:space="preserve">04/06/1806 </t>
        </r>
        <r>
          <rPr>
            <i/>
            <sz val="14"/>
            <color rgb="FF000000"/>
            <rFont val="Times New Roman"/>
            <family val="18"/>
          </rPr>
          <t xml:space="preserve">Als landständischer Recrout für Szalog </t>
        </r>
        <r>
          <rPr>
            <b/>
            <sz val="14"/>
            <color rgb="FF000000"/>
            <rFont val="Times New Roman"/>
            <family val="18"/>
          </rPr>
          <t>[?]</t>
        </r>
        <r>
          <rPr>
            <i/>
            <sz val="14"/>
            <color rgb="FF000000"/>
            <rFont val="Times New Roman"/>
            <family val="18"/>
          </rPr>
          <t>, Zempliner Komität in gestellt, in Sátoraljaújhely zum IR 39 a 3Fl assentiert und in 9. Komp. zugeheilt</t>
        </r>
        <r>
          <rPr>
            <sz val="14"/>
            <color rgb="FF000000"/>
            <rFont val="Times New Roman"/>
            <family val="18"/>
          </rPr>
          <t xml:space="preserve"> [AL Juni 1806]</t>
        </r>
        <r>
          <rPr>
            <sz val="14"/>
            <color rgb="FF000000"/>
            <rFont val="Calibri"/>
            <family val="34"/>
          </rPr>
          <t xml:space="preserve">
</t>
        </r>
        <r>
          <rPr>
            <sz val="14"/>
            <color rgb="FF000000"/>
            <rFont val="Times New Roman"/>
            <family val="18"/>
          </rPr>
          <t>24/01/1807 Revision: IR 39 9. Fus. Komp. Nr. 117</t>
        </r>
        <r>
          <rPr>
            <sz val="14"/>
            <color rgb="FF000000"/>
            <rFont val="Calibri"/>
            <family val="34"/>
          </rPr>
          <t xml:space="preserve">
</t>
        </r>
        <r>
          <rPr>
            <sz val="14"/>
            <color rgb="FF000000"/>
            <rFont val="Times New Roman"/>
            <family val="18"/>
          </rPr>
          <t xml:space="preserve">15/05/1807 </t>
        </r>
        <r>
          <rPr>
            <i/>
            <sz val="14"/>
            <color rgb="FF000000"/>
            <rFont val="Times New Roman"/>
            <family val="18"/>
          </rPr>
          <t xml:space="preserve">Gegen Stellung andere Leute mit Abschied entlassen </t>
        </r>
        <r>
          <rPr>
            <sz val="14"/>
            <color rgb="FF000000"/>
            <rFont val="Times New Roman"/>
            <family val="18"/>
          </rPr>
          <t>[RL 1808]</t>
        </r>
      </text>
    </comment>
    <comment ref="BG588" authorId="0" shapeId="0" xr:uid="{0A6375D4-7AAD-524E-A735-CCA038BF9345}">
      <text>
        <r>
          <rPr>
            <sz val="14"/>
            <color rgb="FF000000"/>
            <rFont val="Times New Roman"/>
            <family val="18"/>
          </rPr>
          <t>ML 3499 IR 39 (1807) – 9. Fus. Komp. Nr. 118 (Kesmark 24/01/1805)</t>
        </r>
        <r>
          <rPr>
            <sz val="14"/>
            <color rgb="FF000000"/>
            <rFont val="Calibri"/>
            <family val="34"/>
          </rPr>
          <t xml:space="preserve">
</t>
        </r>
        <r>
          <rPr>
            <sz val="14"/>
            <color rgb="FF000000"/>
            <rFont val="Times New Roman"/>
            <family val="18"/>
          </rPr>
          <t>ML 3500 IR 39 (1808-10) – RL 1808 13. Fus. Komp. – Abgang (Comorn 19/09/1808)</t>
        </r>
        <r>
          <rPr>
            <sz val="14"/>
            <color rgb="FF000000"/>
            <rFont val="Calibri"/>
            <family val="34"/>
          </rPr>
          <t xml:space="preserve">
</t>
        </r>
        <r>
          <rPr>
            <sz val="14"/>
            <color rgb="FF000000"/>
            <rFont val="Times New Roman"/>
            <family val="18"/>
          </rPr>
          <t>ML 3547 IR 39 (1806) – AL Nr. 3 (Ujhaly 08/04/1806)</t>
        </r>
        <r>
          <rPr>
            <sz val="14"/>
            <color rgb="FF000000"/>
            <rFont val="Calibri"/>
            <family val="34"/>
          </rPr>
          <t xml:space="preserve">
</t>
        </r>
      </text>
    </comment>
    <comment ref="BH588" authorId="0" shapeId="0" xr:uid="{2CC91202-6869-7742-826F-189389F90BD7}">
      <text>
        <r>
          <rPr>
            <sz val="14"/>
            <color rgb="FF000000"/>
            <rFont val="Calibri"/>
            <family val="34"/>
          </rPr>
          <t>IR 39 (1806-1807)</t>
        </r>
      </text>
    </comment>
    <comment ref="BF589" authorId="0" shapeId="0" xr:uid="{992156FB-BBBA-C549-89FB-D9F71C3C5DC7}">
      <text>
        <r>
          <rPr>
            <i/>
            <sz val="14"/>
            <color rgb="FF000000"/>
            <rFont val="Times New Roman"/>
            <family val="18"/>
          </rPr>
          <t>in gestellt, in Sátoraljaújhely zum IR 39 a 3Fl assentiert und in 1. Komp. zugeheilt</t>
        </r>
        <r>
          <rPr>
            <sz val="14"/>
            <color rgb="FF000000"/>
            <rFont val="Times New Roman"/>
            <family val="18"/>
          </rPr>
          <t xml:space="preserve"> [AL Juni 1806]</t>
        </r>
        <r>
          <rPr>
            <sz val="14"/>
            <color rgb="FF000000"/>
            <rFont val="Calibri"/>
            <family val="34"/>
          </rPr>
          <t xml:space="preserve">
</t>
        </r>
        <r>
          <rPr>
            <sz val="14"/>
            <color rgb="FF000000"/>
            <rFont val="Times New Roman"/>
            <family val="18"/>
          </rPr>
          <t>23/01/1807 Revision: IR 39 1. Fus. Komp. Nr. 137</t>
        </r>
        <r>
          <rPr>
            <sz val="14"/>
            <color rgb="FF000000"/>
            <rFont val="Calibri"/>
            <family val="34"/>
          </rPr>
          <t xml:space="preserve">
</t>
        </r>
        <r>
          <rPr>
            <sz val="14"/>
            <color rgb="FF000000"/>
            <rFont val="Times New Roman"/>
            <family val="18"/>
          </rPr>
          <t xml:space="preserve">15/03/1807 </t>
        </r>
        <r>
          <rPr>
            <i/>
            <sz val="14"/>
            <color rgb="FF000000"/>
            <rFont val="Times New Roman"/>
            <family val="18"/>
          </rPr>
          <t>Gegen Stellung eines anderen Mannes mit Abschied entlassen</t>
        </r>
        <r>
          <rPr>
            <sz val="14"/>
            <color rgb="FF000000"/>
            <rFont val="Times New Roman"/>
            <family val="18"/>
          </rPr>
          <t xml:space="preserve"> [RL 1808]</t>
        </r>
      </text>
    </comment>
    <comment ref="BG589" authorId="0" shapeId="0" xr:uid="{46DFA492-A034-0843-B6AD-EED9EF13A01E}">
      <text>
        <r>
          <rPr>
            <sz val="14"/>
            <color rgb="FF000000"/>
            <rFont val="Times New Roman"/>
            <family val="18"/>
          </rPr>
          <t>ML 3499 IR 39 (1807) – 1. Fus. Komp. Nr. 137 (Letschau 23/01/1807)</t>
        </r>
        <r>
          <rPr>
            <sz val="14"/>
            <color rgb="FF000000"/>
            <rFont val="Calibri"/>
            <family val="34"/>
          </rPr>
          <t xml:space="preserve">
</t>
        </r>
        <r>
          <rPr>
            <sz val="14"/>
            <color rgb="FF000000"/>
            <rFont val="Times New Roman"/>
            <family val="18"/>
          </rPr>
          <t>ML 3500 IR 39 (1808-10) – RL 1808 1. Fus. Komp. – Abgang (Comorn 19/09/1808)</t>
        </r>
        <r>
          <rPr>
            <sz val="14"/>
            <color rgb="FF000000"/>
            <rFont val="Calibri"/>
            <family val="34"/>
          </rPr>
          <t xml:space="preserve">
</t>
        </r>
        <r>
          <rPr>
            <sz val="14"/>
            <color rgb="FF000000"/>
            <rFont val="Times New Roman"/>
            <family val="18"/>
          </rPr>
          <t>ML 3547 IR 39 (1806) – AL Nr. 4 (Ujhaly 08/04/1806)</t>
        </r>
        <r>
          <rPr>
            <sz val="14"/>
            <color rgb="FF000000"/>
            <rFont val="Calibri"/>
            <family val="34"/>
          </rPr>
          <t xml:space="preserve">
</t>
        </r>
      </text>
    </comment>
    <comment ref="BH589" authorId="0" shapeId="0" xr:uid="{865D6CE7-6E3B-1B4F-A8D8-1E290A8468CC}">
      <text>
        <r>
          <rPr>
            <sz val="14"/>
            <color rgb="FF000000"/>
            <rFont val="Calibri"/>
            <family val="34"/>
          </rPr>
          <t>IR 39 (1805-1806)</t>
        </r>
      </text>
    </comment>
    <comment ref="BF590" authorId="0" shapeId="0" xr:uid="{A1A57116-1C8B-2F4E-BAE9-291A9966F8C6}">
      <text>
        <r>
          <rPr>
            <sz val="14"/>
            <color rgb="FF000000"/>
            <rFont val="Times New Roman"/>
            <family val="18"/>
          </rPr>
          <t xml:space="preserve">28/02/1807 </t>
        </r>
        <r>
          <rPr>
            <i/>
            <sz val="14"/>
            <color rgb="FF000000"/>
            <rFont val="Times New Roman"/>
            <family val="18"/>
          </rPr>
          <t>mit 10-jähriger Capitulation zum Przmysl von Galizischen Ständen gestellt, seitdem auf anhero Marsch</t>
        </r>
        <r>
          <rPr>
            <sz val="14"/>
            <color rgb="FF000000"/>
            <rFont val="Times New Roman"/>
            <family val="18"/>
          </rPr>
          <t xml:space="preserve"> [ST Mai 1807]</t>
        </r>
        <r>
          <rPr>
            <sz val="14"/>
            <color rgb="FF000000"/>
            <rFont val="Calibri"/>
            <family val="34"/>
          </rPr>
          <t xml:space="preserve">
</t>
        </r>
        <r>
          <rPr>
            <sz val="14"/>
            <color rgb="FF000000"/>
            <rFont val="Times New Roman"/>
            <family val="18"/>
          </rPr>
          <t xml:space="preserve">15/05/1807 </t>
        </r>
        <r>
          <rPr>
            <i/>
            <sz val="14"/>
            <color rgb="FF000000"/>
            <rFont val="Times New Roman"/>
            <family val="18"/>
          </rPr>
          <t>In die 13. Fus Companie eingerückt</t>
        </r>
        <r>
          <rPr>
            <sz val="14"/>
            <color rgb="FF000000"/>
            <rFont val="Times New Roman"/>
            <family val="18"/>
          </rPr>
          <t xml:space="preserve"> [ST Mai 1807]</t>
        </r>
        <r>
          <rPr>
            <sz val="14"/>
            <color rgb="FF000000"/>
            <rFont val="Calibri"/>
            <family val="34"/>
          </rPr>
          <t xml:space="preserve">
</t>
        </r>
        <r>
          <rPr>
            <sz val="14"/>
            <color rgb="FF000000"/>
            <rFont val="Times New Roman"/>
            <family val="18"/>
          </rPr>
          <t>06/09/1808 Revision: IR 43 13. Fus Komp. Nr. 137 [</t>
        </r>
        <r>
          <rPr>
            <i/>
            <sz val="14"/>
            <color rgb="FF000000"/>
            <rFont val="Times New Roman"/>
            <family val="18"/>
          </rPr>
          <t>Krank in Loco Spital</t>
        </r>
        <r>
          <rPr>
            <sz val="14"/>
            <color rgb="FF000000"/>
            <rFont val="Times New Roman"/>
            <family val="18"/>
          </rPr>
          <t>]</t>
        </r>
        <r>
          <rPr>
            <sz val="14"/>
            <color rgb="FF000000"/>
            <rFont val="Calibri"/>
            <family val="34"/>
          </rPr>
          <t xml:space="preserve">
</t>
        </r>
        <r>
          <rPr>
            <sz val="14"/>
            <color rgb="FF000000"/>
            <rFont val="Times New Roman"/>
            <family val="18"/>
          </rPr>
          <t xml:space="preserve">08/05/1809 </t>
        </r>
        <r>
          <rPr>
            <i/>
            <sz val="14"/>
            <color rgb="FF000000"/>
            <rFont val="Times New Roman"/>
            <family val="18"/>
          </rPr>
          <t>Bey der Piave Kriegsgefangen</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12/05/1809 </t>
        </r>
        <r>
          <rPr>
            <i/>
            <sz val="14"/>
            <color rgb="FF000000"/>
            <rFont val="Times New Roman"/>
            <family val="18"/>
          </rPr>
          <t>Selbst ranzioniert</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10/09/1809 </t>
        </r>
        <r>
          <rPr>
            <i/>
            <sz val="14"/>
            <color rgb="FF000000"/>
            <rFont val="Times New Roman"/>
            <family val="18"/>
          </rPr>
          <t>Krank in Armee Spitaler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30/11/1809 </t>
        </r>
        <r>
          <rPr>
            <i/>
            <sz val="14"/>
            <color rgb="FF000000"/>
            <rFont val="Times New Roman"/>
            <family val="18"/>
          </rPr>
          <t>Rekonvaleszieret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25/02/1810 Revision: 13. Fus Comp Nr. 76 [Z</t>
        </r>
        <r>
          <rPr>
            <i/>
            <sz val="14"/>
            <color rgb="FF000000"/>
            <rFont val="Times New Roman"/>
            <family val="18"/>
          </rPr>
          <t>u IR 9 Czartorysky eingeteilt</t>
        </r>
        <r>
          <rPr>
            <sz val="14"/>
            <color rgb="FF000000"/>
            <rFont val="Times New Roman"/>
            <family val="18"/>
          </rPr>
          <t>]</t>
        </r>
        <r>
          <rPr>
            <sz val="14"/>
            <color rgb="FF000000"/>
            <rFont val="Calibri"/>
            <family val="34"/>
          </rPr>
          <t xml:space="preserve">
</t>
        </r>
        <r>
          <rPr>
            <sz val="14"/>
            <color rgb="FF000000"/>
            <rFont val="Times New Roman"/>
            <family val="18"/>
          </rPr>
          <t xml:space="preserve">06/03/1810 </t>
        </r>
        <r>
          <rPr>
            <i/>
            <sz val="14"/>
            <color rgb="FF000000"/>
            <rFont val="Times New Roman"/>
            <family val="18"/>
          </rPr>
          <t>Von 13. Fus Comp des Dissolvierte IR 43 zum IR 9 Czartoryski transferiert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09/09/1811 Muster: IR 9 6. Fus. Komp. Nr. 147 [</t>
        </r>
        <r>
          <rPr>
            <i/>
            <sz val="14"/>
            <color rgb="FF000000"/>
            <rFont val="Times New Roman"/>
            <family val="18"/>
          </rPr>
          <t>Auf Urlaub in seinem Heimat, bestimmt</t>
        </r>
        <r>
          <rPr>
            <sz val="14"/>
            <color rgb="FF000000"/>
            <rFont val="Times New Roman"/>
            <family val="18"/>
          </rPr>
          <t>]</t>
        </r>
        <r>
          <rPr>
            <sz val="14"/>
            <color rgb="FF000000"/>
            <rFont val="Calibri"/>
            <family val="34"/>
          </rPr>
          <t xml:space="preserve">
</t>
        </r>
        <r>
          <rPr>
            <sz val="14"/>
            <color rgb="FF000000"/>
            <rFont val="Times New Roman"/>
            <family val="18"/>
          </rPr>
          <t xml:space="preserve">01/04/1812 </t>
        </r>
        <r>
          <rPr>
            <i/>
            <sz val="14"/>
            <color rgb="FF000000"/>
            <rFont val="Times New Roman"/>
            <family val="18"/>
          </rPr>
          <t>Von 6. Zum. 14. Fus. Komp transferiert</t>
        </r>
        <r>
          <rPr>
            <sz val="14"/>
            <color rgb="FF000000"/>
            <rFont val="Times New Roman"/>
            <family val="18"/>
          </rPr>
          <t xml:space="preserve"> [St April 1812]</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14. Fus. Komp. zum neu errichtete 1. Reserve Div. transferiert</t>
        </r>
        <r>
          <rPr>
            <sz val="14"/>
            <color rgb="FF000000"/>
            <rFont val="Times New Roman"/>
            <family val="18"/>
          </rPr>
          <t xml:space="preserve"> [ST Nov 1812]</t>
        </r>
        <r>
          <rPr>
            <sz val="14"/>
            <color rgb="FF000000"/>
            <rFont val="Calibri"/>
            <family val="34"/>
          </rPr>
          <t xml:space="preserve">
</t>
        </r>
        <r>
          <rPr>
            <sz val="14"/>
            <color rgb="FF000000"/>
            <rFont val="Times New Roman"/>
            <family val="18"/>
          </rPr>
          <t xml:space="preserve">31/03/1813 </t>
        </r>
        <r>
          <rPr>
            <i/>
            <sz val="14"/>
            <color rgb="FF000000"/>
            <rFont val="Times New Roman"/>
            <family val="18"/>
          </rPr>
          <t>Als auf Urlaub ausgebliebene als Deserteur ins Abgang gebracht</t>
        </r>
        <r>
          <rPr>
            <sz val="14"/>
            <color rgb="FF000000"/>
            <rFont val="Times New Roman"/>
            <family val="18"/>
          </rPr>
          <t xml:space="preserve"> [St June 1813]</t>
        </r>
        <r>
          <rPr>
            <sz val="14"/>
            <color rgb="FF000000"/>
            <rFont val="Calibri"/>
            <family val="34"/>
          </rPr>
          <t xml:space="preserve">
</t>
        </r>
      </text>
    </comment>
    <comment ref="BG590" authorId="0" shapeId="0" xr:uid="{D80B759C-F868-074F-ABC1-C3C98AD332F6}">
      <text>
        <r>
          <rPr>
            <sz val="14"/>
            <color rgb="FF000000"/>
            <rFont val="Times New Roman"/>
            <family val="18"/>
          </rPr>
          <t>ML 10.279 IR 43 (1808-10) – RL 13. Fus Comp Nr. 137 (Neustadt 02/09/1808) &amp; DL 13. Fus Comp Nr. 76 (Vordenberg 25/02/1810)</t>
        </r>
        <r>
          <rPr>
            <sz val="14"/>
            <color rgb="FF000000"/>
            <rFont val="Calibri"/>
            <family val="34"/>
          </rPr>
          <t xml:space="preserve">
</t>
        </r>
        <r>
          <rPr>
            <sz val="14"/>
            <color rgb="FF000000"/>
            <rFont val="Times New Roman"/>
            <family val="18"/>
          </rPr>
          <t>ML 10.319 IR 43 (1807) – ST Mai (15/06/1807)</t>
        </r>
        <r>
          <rPr>
            <sz val="14"/>
            <color rgb="FF000000"/>
            <rFont val="Calibri"/>
            <family val="34"/>
          </rPr>
          <t xml:space="preserve">
</t>
        </r>
        <r>
          <rPr>
            <sz val="14"/>
            <color rgb="FF000000"/>
            <rFont val="Times New Roman"/>
            <family val="18"/>
          </rPr>
          <t>ML 10.323 IR 43 (1809) – ST September (25/12/1810)</t>
        </r>
        <r>
          <rPr>
            <sz val="14"/>
            <color rgb="FF000000"/>
            <rFont val="Calibri"/>
            <family val="34"/>
          </rPr>
          <t xml:space="preserve">
</t>
        </r>
        <r>
          <rPr>
            <sz val="14"/>
            <color rgb="FF000000"/>
            <rFont val="Times New Roman"/>
            <family val="18"/>
          </rPr>
          <t>ML 10.325 IR 43 (1810) – ST März (11/30/1811)</t>
        </r>
        <r>
          <rPr>
            <sz val="14"/>
            <color rgb="FF000000"/>
            <rFont val="Calibri"/>
            <family val="34"/>
          </rPr>
          <t xml:space="preserve">
</t>
        </r>
        <r>
          <rPr>
            <sz val="14"/>
            <color rgb="FF000000"/>
            <rFont val="Times New Roman"/>
            <family val="18"/>
          </rPr>
          <t>ML 10.326 IR 43 (1810) – AL/TL (Klagenfurt 06/16/1811)</t>
        </r>
        <r>
          <rPr>
            <sz val="14"/>
            <color rgb="FF000000"/>
            <rFont val="Calibri"/>
            <family val="34"/>
          </rPr>
          <t xml:space="preserve">
</t>
        </r>
        <r>
          <rPr>
            <sz val="14"/>
            <color rgb="FF000000"/>
            <rFont val="Times New Roman"/>
            <family val="18"/>
          </rPr>
          <t>ML 634 IR 9 (1811) – Muster: IR 9 6. Fus. Comp Nr. 147 (Eperies 09/09/1811)</t>
        </r>
        <r>
          <rPr>
            <sz val="14"/>
            <color rgb="FF000000"/>
            <rFont val="Calibri"/>
            <family val="34"/>
          </rPr>
          <t xml:space="preserve">
</t>
        </r>
        <r>
          <rPr>
            <sz val="14"/>
            <color rgb="FF000000"/>
            <rFont val="Times New Roman"/>
            <family val="18"/>
          </rPr>
          <t>ML 675 IR 9 (1812) – ST April (Przmysl 14/08/1812), Nov (Jaroslau 19/05/1813)</t>
        </r>
        <r>
          <rPr>
            <sz val="14"/>
            <color rgb="FF000000"/>
            <rFont val="Calibri"/>
            <family val="34"/>
          </rPr>
          <t xml:space="preserve">
</t>
        </r>
        <r>
          <rPr>
            <sz val="14"/>
            <color rgb="FF000000"/>
            <rFont val="Times New Roman"/>
            <family val="18"/>
          </rPr>
          <t>ML 677 IR 9 (1813) – June (Jaroslau 22/11/1813)</t>
        </r>
      </text>
    </comment>
    <comment ref="BH590" authorId="0" shapeId="0" xr:uid="{6E9D3E98-813E-7245-8A2A-85BD245224B5}">
      <text>
        <r>
          <rPr>
            <sz val="14"/>
            <color rgb="FF000000"/>
            <rFont val="Calibri"/>
            <family val="34"/>
          </rPr>
          <t xml:space="preserve">IR 43 (1807-1810)
</t>
        </r>
        <r>
          <rPr>
            <sz val="14"/>
            <color rgb="FF000000"/>
            <rFont val="Calibri"/>
            <family val="34"/>
          </rPr>
          <t>IR 9 (1810-1813)</t>
        </r>
      </text>
    </comment>
    <comment ref="BI590" authorId="0" shapeId="0" xr:uid="{80B20DCF-0F35-BF4B-AEE2-61E13658AB4A}">
      <text>
        <r>
          <rPr>
            <sz val="14"/>
            <color rgb="FF000000"/>
            <rFont val="Calibri"/>
            <family val="34"/>
          </rPr>
          <t>1810: Gut</t>
        </r>
      </text>
    </comment>
    <comment ref="BF591" authorId="0" shapeId="0" xr:uid="{FD5A0200-8CF6-DB41-83A9-301CF47210CB}">
      <text>
        <r>
          <rPr>
            <sz val="14"/>
            <color rgb="FF000000"/>
            <rFont val="Times New Roman"/>
            <family val="18"/>
          </rPr>
          <t xml:space="preserve">28/02/1807 </t>
        </r>
        <r>
          <rPr>
            <i/>
            <sz val="14"/>
            <color rgb="FF000000"/>
            <rFont val="Times New Roman"/>
            <family val="18"/>
          </rPr>
          <t>Landständisch gestellt und gegen 3 Fl Handgeld auf 10 Jahr zu Tarnow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9. Fus. Komp. Nr. 117</t>
        </r>
        <r>
          <rPr>
            <sz val="14"/>
            <color rgb="FF000000"/>
            <rFont val="Calibri"/>
            <family val="34"/>
          </rPr>
          <t xml:space="preserve">
</t>
        </r>
        <r>
          <rPr>
            <sz val="14"/>
            <color rgb="FF000000"/>
            <rFont val="Times New Roman"/>
            <family val="18"/>
          </rPr>
          <t>20/09/1811 Muster: IR 44 9. Fus. Komp. Nr. 71</t>
        </r>
        <r>
          <rPr>
            <sz val="14"/>
            <color rgb="FF000000"/>
            <rFont val="Calibri"/>
            <family val="34"/>
          </rPr>
          <t xml:space="preserve">
</t>
        </r>
        <r>
          <rPr>
            <sz val="14"/>
            <color rgb="FF000000"/>
            <rFont val="Times New Roman"/>
            <family val="18"/>
          </rPr>
          <t xml:space="preserve">01/08/1812 </t>
        </r>
        <r>
          <rPr>
            <i/>
            <sz val="14"/>
            <color rgb="FF000000"/>
            <rFont val="Times New Roman"/>
            <family val="18"/>
          </rPr>
          <t xml:space="preserve">Von. 9. Zur 15. Fus. Komp. transferiert </t>
        </r>
        <r>
          <rPr>
            <sz val="14"/>
            <color rgb="FF000000"/>
            <rFont val="Times New Roman"/>
            <family val="18"/>
          </rPr>
          <t>[RL 1812]</t>
        </r>
        <r>
          <rPr>
            <sz val="14"/>
            <color rgb="FF000000"/>
            <rFont val="Calibri"/>
            <family val="34"/>
          </rPr>
          <t xml:space="preserve">
</t>
        </r>
        <r>
          <rPr>
            <sz val="14"/>
            <color rgb="FF000000"/>
            <rFont val="Times New Roman"/>
            <family val="18"/>
          </rPr>
          <t>19/09/1812 Revision: IR 44 15. Fus. Komp. Nr. 74</t>
        </r>
        <r>
          <rPr>
            <sz val="14"/>
            <color rgb="FF000000"/>
            <rFont val="Calibri"/>
            <family val="34"/>
          </rPr>
          <t xml:space="preserve">
</t>
        </r>
        <r>
          <rPr>
            <sz val="14"/>
            <color rgb="FF000000"/>
            <rFont val="Times New Roman"/>
            <family val="18"/>
          </rPr>
          <t xml:space="preserve">26/12/1814 </t>
        </r>
        <r>
          <rPr>
            <i/>
            <sz val="14"/>
            <color rgb="FF000000"/>
            <rFont val="Times New Roman"/>
            <family val="18"/>
          </rPr>
          <t>Von Gemeiner zum fourierschütz mutiert</t>
        </r>
        <r>
          <rPr>
            <sz val="14"/>
            <color rgb="FF000000"/>
            <rFont val="Times New Roman"/>
            <family val="18"/>
          </rPr>
          <t xml:space="preserve"> [ST Dec 1814]</t>
        </r>
        <r>
          <rPr>
            <sz val="14"/>
            <color rgb="FF000000"/>
            <rFont val="Calibri"/>
            <family val="34"/>
          </rPr>
          <t xml:space="preserve">
</t>
        </r>
        <r>
          <rPr>
            <sz val="14"/>
            <color rgb="FF000000"/>
            <rFont val="Times New Roman"/>
            <family val="18"/>
          </rPr>
          <t xml:space="preserve">10/06/1817 </t>
        </r>
        <r>
          <rPr>
            <i/>
            <sz val="14"/>
            <color rgb="FF000000"/>
            <rFont val="Times New Roman"/>
            <family val="18"/>
          </rPr>
          <t>Als Real Invalid Gegen Renuncierung mit Abschied entlassen</t>
        </r>
        <r>
          <rPr>
            <sz val="14"/>
            <color rgb="FF000000"/>
            <rFont val="Times New Roman"/>
            <family val="18"/>
          </rPr>
          <t xml:space="preserve"> [ML 1818]</t>
        </r>
        <r>
          <rPr>
            <sz val="14"/>
            <color rgb="FF000000"/>
            <rFont val="Calibri"/>
            <family val="34"/>
          </rPr>
          <t xml:space="preserve">
</t>
        </r>
      </text>
    </comment>
    <comment ref="BG591" authorId="0" shapeId="0" xr:uid="{1611C064-159C-BF4D-A5DC-332D978FA29D}">
      <text>
        <r>
          <rPr>
            <sz val="14"/>
            <color rgb="FF000000"/>
            <rFont val="Times New Roman"/>
            <family val="18"/>
          </rPr>
          <t>ML 3911 IR 44 (1808-10) – 9. Fus. Komp. Nr. 117 (Pappa 28/09/1810)</t>
        </r>
        <r>
          <rPr>
            <sz val="14"/>
            <color rgb="FF000000"/>
            <rFont val="Calibri"/>
            <family val="34"/>
          </rPr>
          <t xml:space="preserve">
</t>
        </r>
        <r>
          <rPr>
            <sz val="14"/>
            <color rgb="FF000000"/>
            <rFont val="Times New Roman"/>
            <family val="18"/>
          </rPr>
          <t>ML 3912/3 IR 44 (1811) – 9. Fus. Komp. Nr. 71 (Sthulweissenburg 20/09/1811)</t>
        </r>
        <r>
          <rPr>
            <sz val="14"/>
            <color rgb="FF000000"/>
            <rFont val="Calibri"/>
            <family val="34"/>
          </rPr>
          <t xml:space="preserve">
</t>
        </r>
        <r>
          <rPr>
            <sz val="14"/>
            <color rgb="FF000000"/>
            <rFont val="Times New Roman"/>
            <family val="18"/>
          </rPr>
          <t>ML 3914 IR 44 (1812/6) – 15. Fus. Komp. Nr. 74 (Drohobyz 18/09/1812)</t>
        </r>
        <r>
          <rPr>
            <sz val="14"/>
            <color rgb="FF000000"/>
            <rFont val="Calibri"/>
            <family val="34"/>
          </rPr>
          <t xml:space="preserve">
</t>
        </r>
        <r>
          <rPr>
            <sz val="14"/>
            <color rgb="FF000000"/>
            <rFont val="Times New Roman"/>
            <family val="18"/>
          </rPr>
          <t>ML 3915/6 IR 44 (1818) – 15. Fus. Komp. Abgang (Pavia 05/01/1818)</t>
        </r>
        <r>
          <rPr>
            <sz val="14"/>
            <color rgb="FF000000"/>
            <rFont val="Calibri"/>
            <family val="34"/>
          </rPr>
          <t xml:space="preserve">
</t>
        </r>
        <r>
          <rPr>
            <sz val="14"/>
            <color rgb="FF000000"/>
            <rFont val="Times New Roman"/>
            <family val="18"/>
          </rPr>
          <t>ML 3970 IR 44 (1814) – ST Dez (Lemberg 30/06/1816)</t>
        </r>
        <r>
          <rPr>
            <sz val="14"/>
            <color rgb="FF000000"/>
            <rFont val="Calibri"/>
            <family val="34"/>
          </rPr>
          <t xml:space="preserve">
</t>
        </r>
      </text>
    </comment>
    <comment ref="BH591" authorId="0" shapeId="0" xr:uid="{74CE6262-430C-5F4F-BE8B-75A535DFB25C}">
      <text>
        <r>
          <rPr>
            <sz val="14"/>
            <color rgb="FF000000"/>
            <rFont val="Calibri"/>
            <family val="34"/>
          </rPr>
          <t>IR 44 (1807-1817)</t>
        </r>
      </text>
    </comment>
    <comment ref="BF592" authorId="0" shapeId="0" xr:uid="{EA532A8A-2DBA-CD4D-AF2C-87DBB13E517B}">
      <text>
        <r>
          <rPr>
            <sz val="14"/>
            <color rgb="FF000000"/>
            <rFont val="Times New Roman"/>
            <family val="18"/>
          </rPr>
          <t xml:space="preserve">02/03/1807 </t>
        </r>
        <r>
          <rPr>
            <i/>
            <sz val="14"/>
            <color rgb="FF000000"/>
            <rFont val="Times New Roman"/>
            <family val="18"/>
          </rPr>
          <t>Landständisch gestellt und gegen 3 Fl Handgeld auf 10 Jahr zu Neu Sandetz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7. Fus. Komp. Nr. 101</t>
        </r>
        <r>
          <rPr>
            <sz val="14"/>
            <color rgb="FF000000"/>
            <rFont val="Calibri"/>
            <family val="34"/>
          </rPr>
          <t xml:space="preserve">
</t>
        </r>
        <r>
          <rPr>
            <sz val="14"/>
            <color rgb="FF000000"/>
            <rFont val="Times New Roman"/>
            <family val="18"/>
          </rPr>
          <t>20/09/1811 Muster: IR 44 7. Fus. Komp. Nr. 57</t>
        </r>
        <r>
          <rPr>
            <sz val="14"/>
            <color rgb="FF000000"/>
            <rFont val="Calibri"/>
            <family val="34"/>
          </rPr>
          <t xml:space="preserve">
</t>
        </r>
        <r>
          <rPr>
            <sz val="14"/>
            <color rgb="FF000000"/>
            <rFont val="Times New Roman"/>
            <family val="18"/>
          </rPr>
          <t xml:space="preserve">10/07/1812 </t>
        </r>
        <r>
          <rPr>
            <i/>
            <sz val="14"/>
            <color rgb="FF000000"/>
            <rFont val="Times New Roman"/>
            <family val="18"/>
          </rPr>
          <t xml:space="preserve">Von. IR 44 7. Fus. Komp. zur IR 58 transferiert </t>
        </r>
        <r>
          <rPr>
            <sz val="14"/>
            <color rgb="FF000000"/>
            <rFont val="Times New Roman"/>
            <family val="18"/>
          </rPr>
          <t>[RL 1812]</t>
        </r>
        <r>
          <rPr>
            <sz val="14"/>
            <color rgb="FF000000"/>
            <rFont val="Calibri"/>
            <family val="34"/>
          </rPr>
          <t xml:space="preserve">
</t>
        </r>
      </text>
    </comment>
    <comment ref="BG592" authorId="0" shapeId="0" xr:uid="{AA668FFC-43F5-0642-ADE2-ED4043F8EA7D}">
      <text>
        <r>
          <rPr>
            <sz val="14"/>
            <color rgb="FF000000"/>
            <rFont val="Times New Roman"/>
            <family val="18"/>
          </rPr>
          <t>ML 3911 IR 44 (1808-10) – 7. Fus. Komp. Nr. 101 (Papa 27/09/1810)</t>
        </r>
        <r>
          <rPr>
            <sz val="14"/>
            <color rgb="FF000000"/>
            <rFont val="Calibri"/>
            <family val="34"/>
          </rPr>
          <t xml:space="preserve">
</t>
        </r>
        <r>
          <rPr>
            <sz val="14"/>
            <color rgb="FF000000"/>
            <rFont val="Times New Roman"/>
            <family val="18"/>
          </rPr>
          <t>ML 3912-3 IR 44 (1810-11) – 7. Fus. Komp. Nr. 57 (Sthulweissenburg 20/09/1811)</t>
        </r>
        <r>
          <rPr>
            <sz val="14"/>
            <color rgb="FF000000"/>
            <rFont val="Calibri"/>
            <family val="34"/>
          </rPr>
          <t xml:space="preserve">
</t>
        </r>
        <r>
          <rPr>
            <sz val="14"/>
            <color rgb="FF000000"/>
            <rFont val="Times New Roman"/>
            <family val="18"/>
          </rPr>
          <t>ML 3914 IR 44 (1812/6) – 7. Fus. Komp. Abgang (Pest 19/09/1812)</t>
        </r>
      </text>
    </comment>
    <comment ref="BH592" authorId="0" shapeId="0" xr:uid="{D73FAFC7-8AC8-3341-AC75-F1E7E35DB8DC}">
      <text>
        <r>
          <rPr>
            <sz val="14"/>
            <color rgb="FF000000"/>
            <rFont val="Calibri"/>
            <family val="34"/>
          </rPr>
          <t xml:space="preserve">IR 44 (1807-1812)
</t>
        </r>
        <r>
          <rPr>
            <sz val="14"/>
            <color rgb="FF000000"/>
            <rFont val="Calibri"/>
            <family val="34"/>
          </rPr>
          <t>IR 58 (1812)</t>
        </r>
      </text>
    </comment>
    <comment ref="BF593" authorId="0" shapeId="0" xr:uid="{22791834-6EC2-EC46-B2A7-7B8D96E90B30}">
      <text>
        <r>
          <rPr>
            <sz val="14"/>
            <color rgb="FF000000"/>
            <rFont val="Times New Roman"/>
            <family val="18"/>
          </rPr>
          <t xml:space="preserve">02/03/1807 </t>
        </r>
        <r>
          <rPr>
            <i/>
            <sz val="14"/>
            <color rgb="FF000000"/>
            <rFont val="Times New Roman"/>
            <family val="18"/>
          </rPr>
          <t>Als Landständischer Rekrut mit 3Fl Handgeld zu Lublin in IR 55 assentiert und zur 8. Fus. Komp. ungeteilt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28/03/1807 </t>
        </r>
        <r>
          <rPr>
            <i/>
            <sz val="14"/>
            <color rgb="FF000000"/>
            <rFont val="Times New Roman"/>
            <family val="18"/>
          </rPr>
          <t>Als angehöriger von 8. Fus Komp. Superarbietriert: Defekt: Raschgründ: ein andere Mann zu stellen, der Unkosten Ersatz durch das Werbbezirk herumzubringen und der untauglicher Rekrout mit Laupaß zu entlassen</t>
        </r>
        <r>
          <rPr>
            <sz val="14"/>
            <color rgb="FF000000"/>
            <rFont val="Calibri"/>
            <family val="34"/>
          </rPr>
          <t xml:space="preserve">
</t>
        </r>
        <r>
          <rPr>
            <sz val="14"/>
            <color rgb="FF000000"/>
            <rFont val="Times New Roman"/>
            <family val="18"/>
          </rPr>
          <t xml:space="preserve">20/04/1807 </t>
        </r>
        <r>
          <rPr>
            <i/>
            <sz val="14"/>
            <color rgb="FF000000"/>
            <rFont val="Times New Roman"/>
            <family val="18"/>
          </rPr>
          <t>in Folge Hoher Superarbietrierung von 28. Marz und Löhnung und Verpflegung bis 25. Hujus mit Laufpass entlassen</t>
        </r>
        <r>
          <rPr>
            <sz val="14"/>
            <color rgb="FF000000"/>
            <rFont val="Times New Roman"/>
            <family val="18"/>
          </rPr>
          <t xml:space="preserve"> [ST April 1807]</t>
        </r>
        <r>
          <rPr>
            <sz val="14"/>
            <color rgb="FF000000"/>
            <rFont val="Calibri"/>
            <family val="2"/>
          </rPr>
          <t xml:space="preserve"> </t>
        </r>
      </text>
    </comment>
    <comment ref="BG593" authorId="0" shapeId="0" xr:uid="{9A71232D-7A6C-4E4F-8F48-87904BD959DF}">
      <text>
        <r>
          <rPr>
            <sz val="14"/>
            <color rgb="FF000000"/>
            <rFont val="Times New Roman"/>
            <family val="18"/>
          </rPr>
          <t>ML 10.697 IR 55 (1807): SUP Nr. 2 (Krakow 28/03/1807); ST March (Krakau 12/05/1807), April (Krakau 31/07/1807)</t>
        </r>
        <r>
          <rPr>
            <sz val="14"/>
            <color rgb="FF000000"/>
            <rFont val="Calibri"/>
            <family val="34"/>
          </rPr>
          <t xml:space="preserve">
</t>
        </r>
      </text>
    </comment>
    <comment ref="BH593" authorId="0" shapeId="0" xr:uid="{C982272E-B206-424E-9BAF-623ABF71B489}">
      <text>
        <r>
          <rPr>
            <sz val="14"/>
            <color rgb="FF000000"/>
            <rFont val="Calibri"/>
            <family val="34"/>
          </rPr>
          <t>IR 55 (1807)</t>
        </r>
      </text>
    </comment>
    <comment ref="BJ593" authorId="0" shapeId="0" xr:uid="{B17BE6CF-C7D4-F448-9E0B-F31BFF8A588F}">
      <text>
        <r>
          <rPr>
            <i/>
            <sz val="14"/>
            <color rgb="FF000000"/>
            <rFont val="Times New Roman"/>
            <family val="18"/>
          </rPr>
          <t>Raschgründ</t>
        </r>
        <r>
          <rPr>
            <sz val="14"/>
            <color rgb="FF000000"/>
            <rFont val="Calibri"/>
            <family val="2"/>
          </rPr>
          <t xml:space="preserve"> </t>
        </r>
        <r>
          <rPr>
            <i/>
            <sz val="14"/>
            <color rgb="FF000000"/>
            <rFont val="Times New Roman"/>
            <family val="18"/>
          </rPr>
          <t xml:space="preserve"> </t>
        </r>
        <r>
          <rPr>
            <sz val="14"/>
            <color rgb="FF000000"/>
            <rFont val="Times New Roman"/>
            <family val="18"/>
          </rPr>
          <t>[SUP March 1807]</t>
        </r>
      </text>
    </comment>
    <comment ref="BF594" authorId="0" shapeId="0" xr:uid="{6A8DBA5F-ABD0-8747-BA78-D338F94EEE93}">
      <text>
        <r>
          <rPr>
            <sz val="14"/>
            <color rgb="FF000000"/>
            <rFont val="Times New Roman"/>
            <family val="18"/>
          </rPr>
          <t xml:space="preserve">05/03/1807 </t>
        </r>
        <r>
          <rPr>
            <i/>
            <sz val="14"/>
            <color rgb="FF000000"/>
            <rFont val="Times New Roman"/>
            <family val="18"/>
          </rPr>
          <t>Als Landständischer Recrout mit 3Fl Handgeld zu Lublin in IR 55 assentiert und zur 11. Fus. Komp. eingeteilt</t>
        </r>
        <r>
          <rPr>
            <sz val="14"/>
            <color rgb="FF000000"/>
            <rFont val="Times New Roman"/>
            <family val="18"/>
          </rPr>
          <t xml:space="preserve"> [ST March 1807]</t>
        </r>
        <r>
          <rPr>
            <sz val="14"/>
            <color rgb="FF000000"/>
            <rFont val="Calibri"/>
            <family val="34"/>
          </rPr>
          <t xml:space="preserve">
</t>
        </r>
        <r>
          <rPr>
            <sz val="14"/>
            <color rgb="FF000000"/>
            <rFont val="Times New Roman"/>
            <family val="18"/>
          </rPr>
          <t xml:space="preserve">28/03/1807 Superarbietriert: Defekt: Ist zu Schwach und nun schlechtes Leibes Constitution; Defekt vor dienst bekommen: </t>
        </r>
        <r>
          <rPr>
            <i/>
            <sz val="14"/>
            <color rgb="FF000000"/>
            <rFont val="Times New Roman"/>
            <family val="18"/>
          </rPr>
          <t>ein andere Mann zu stellen, der Unkosten Ersatz durch das Werbbezirk herumzubringen und der untauglicher Rekrout mit Laupaß zu entlassen</t>
        </r>
        <r>
          <rPr>
            <sz val="14"/>
            <color rgb="FF000000"/>
            <rFont val="Calibri"/>
            <family val="34"/>
          </rPr>
          <t xml:space="preserve">
</t>
        </r>
        <r>
          <rPr>
            <sz val="14"/>
            <color rgb="FF000000"/>
            <rFont val="Times New Roman"/>
            <family val="18"/>
          </rPr>
          <t xml:space="preserve">20/04/1807 </t>
        </r>
        <r>
          <rPr>
            <i/>
            <sz val="14"/>
            <color rgb="FF000000"/>
            <rFont val="Times New Roman"/>
            <family val="18"/>
          </rPr>
          <t>in Folge Hoher Superarbietrierung von 28. Marz und Löhnung und Verpflegung bis 25. Hujus mit Laufpass entlassen</t>
        </r>
        <r>
          <rPr>
            <sz val="14"/>
            <color rgb="FF000000"/>
            <rFont val="Times New Roman"/>
            <family val="18"/>
          </rPr>
          <t xml:space="preserve"> [ST April 1807]</t>
        </r>
        <r>
          <rPr>
            <b/>
            <sz val="14"/>
            <color rgb="FF000000"/>
            <rFont val="Times New Roman"/>
            <family val="18"/>
          </rPr>
          <t xml:space="preserve"> </t>
        </r>
      </text>
    </comment>
    <comment ref="BG594" authorId="0" shapeId="0" xr:uid="{84292889-3AEF-0340-9AC2-8009586070AD}">
      <text>
        <r>
          <rPr>
            <sz val="14"/>
            <color rgb="FF000000"/>
            <rFont val="Times New Roman"/>
            <family val="18"/>
          </rPr>
          <t>ML 10.697 IR 55 (1807): SUP Nr. 6 (Krakow 28/03/1807); ST March (Krakau 12/05/1807), April (Krakau 31/07/1807)</t>
        </r>
        <r>
          <rPr>
            <sz val="14"/>
            <color rgb="FF000000"/>
            <rFont val="Calibri"/>
            <family val="34"/>
          </rPr>
          <t xml:space="preserve">
</t>
        </r>
      </text>
    </comment>
    <comment ref="BH594" authorId="0" shapeId="0" xr:uid="{6E248993-50D0-A945-B1DC-782B2461F438}">
      <text>
        <r>
          <rPr>
            <sz val="14"/>
            <color rgb="FF000000"/>
            <rFont val="Calibri"/>
            <family val="34"/>
          </rPr>
          <t>IR 55 (1807)</t>
        </r>
      </text>
    </comment>
    <comment ref="BJ594" authorId="0" shapeId="0" xr:uid="{9986F28F-C985-FD48-98AC-8B731AB07C02}">
      <text>
        <r>
          <rPr>
            <i/>
            <sz val="14"/>
            <color rgb="FF000000"/>
            <rFont val="Times New Roman"/>
            <family val="18"/>
          </rPr>
          <t>Ist zu Schwach und nun schlechtes Leibes Constitution; Defekt vor dienst bekommen</t>
        </r>
        <r>
          <rPr>
            <i/>
            <sz val="14"/>
            <color rgb="FF000000"/>
            <rFont val="Calibri"/>
            <family val="2"/>
          </rPr>
          <t xml:space="preserve"> </t>
        </r>
        <r>
          <rPr>
            <i/>
            <sz val="14"/>
            <color rgb="FF000000"/>
            <rFont val="Times New Roman"/>
            <family val="18"/>
          </rPr>
          <t xml:space="preserve"> </t>
        </r>
        <r>
          <rPr>
            <sz val="14"/>
            <color rgb="FF000000"/>
            <rFont val="Times New Roman"/>
            <family val="18"/>
          </rPr>
          <t>[SUP March 1807]</t>
        </r>
      </text>
    </comment>
    <comment ref="I595" authorId="0" shapeId="0" xr:uid="{5A1541D8-0385-2F4A-9190-AA8D609EBE83}">
      <text>
        <r>
          <rPr>
            <sz val="14"/>
            <color rgb="FF000000"/>
            <rFont val="Calibri"/>
            <family val="34"/>
          </rPr>
          <t xml:space="preserve">1785 [26 (ML 1811)]
</t>
        </r>
        <r>
          <rPr>
            <sz val="14"/>
            <color rgb="FF000000"/>
            <rFont val="Calibri"/>
            <family val="34"/>
          </rPr>
          <t xml:space="preserve">OR 
</t>
        </r>
        <r>
          <rPr>
            <sz val="14"/>
            <color rgb="FF000000"/>
            <rFont val="Calibri"/>
            <family val="34"/>
          </rPr>
          <t>1783 [35 (ML 1818)</t>
        </r>
      </text>
    </comment>
    <comment ref="T595" authorId="0" shapeId="0" xr:uid="{524FDCBE-AAC6-1843-8646-456B15AEFE3C}">
      <text>
        <r>
          <rPr>
            <sz val="14"/>
            <color rgb="FF000000"/>
            <rFont val="Calibri"/>
            <family val="34"/>
          </rPr>
          <t xml:space="preserve">163.7 [5.2.2. (ML 1811)]
</t>
        </r>
        <r>
          <rPr>
            <sz val="14"/>
            <color rgb="FF000000"/>
            <rFont val="Calibri"/>
            <family val="34"/>
          </rPr>
          <t>166.33 [5.3.2 (ML 1817)]</t>
        </r>
      </text>
    </comment>
    <comment ref="BF595" authorId="0" shapeId="0" xr:uid="{72676E21-DA00-7944-8270-F0FD95D9FDEF}">
      <text>
        <r>
          <rPr>
            <sz val="14"/>
            <color rgb="FFFF0000"/>
            <rFont val="Times New Roman"/>
            <family val="18"/>
          </rPr>
          <t xml:space="preserve">In 03/1807 </t>
        </r>
        <r>
          <rPr>
            <i/>
            <sz val="14"/>
            <color rgb="FFFF0000"/>
            <rFont val="Times New Roman"/>
            <family val="18"/>
          </rPr>
          <t>Nach Aufgabe des Mannes Gegen 3Fl Handgeld auf 10 Jahr assentiert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08/03/1807 </t>
        </r>
        <r>
          <rPr>
            <i/>
            <sz val="14"/>
            <color rgb="FF000000"/>
            <rFont val="Times New Roman"/>
            <family val="18"/>
          </rPr>
          <t>Zu Rzeszow gegen 3Fl Handgeld auf 10 Jaren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4. Zur 6. Fus. Komp. transferiert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25/09/1810 Revision: IR 44 6. Fus. Komp. Nr. 118</t>
        </r>
        <r>
          <rPr>
            <sz val="14"/>
            <color rgb="FF000000"/>
            <rFont val="Calibri"/>
            <family val="34"/>
          </rPr>
          <t xml:space="preserve">
</t>
        </r>
        <r>
          <rPr>
            <sz val="14"/>
            <color rgb="FF000000"/>
            <rFont val="Times New Roman"/>
            <family val="18"/>
          </rPr>
          <t>18/09/1811 Muster: IR 44 6. Fus. Komp. Nr. 118</t>
        </r>
        <r>
          <rPr>
            <sz val="14"/>
            <color rgb="FF000000"/>
            <rFont val="Calibri"/>
            <family val="34"/>
          </rPr>
          <t xml:space="preserve">
</t>
        </r>
        <r>
          <rPr>
            <sz val="14"/>
            <color rgb="FF000000"/>
            <rFont val="Times New Roman"/>
            <family val="18"/>
          </rPr>
          <t>19/09/1812 Revision: IR 44 6. Fus. Komp. Nr. 103 [</t>
        </r>
        <r>
          <rPr>
            <i/>
            <sz val="14"/>
            <color rgb="FF000000"/>
            <rFont val="Times New Roman"/>
            <family val="18"/>
          </rPr>
          <t>Auf Commando nach Esegg</t>
        </r>
        <r>
          <rPr>
            <sz val="14"/>
            <color rgb="FF000000"/>
            <rFont val="Times New Roman"/>
            <family val="18"/>
          </rPr>
          <t>]</t>
        </r>
        <r>
          <rPr>
            <sz val="14"/>
            <color rgb="FF000000"/>
            <rFont val="Calibri"/>
            <family val="34"/>
          </rPr>
          <t xml:space="preserve">
</t>
        </r>
        <r>
          <rPr>
            <sz val="14"/>
            <color rgb="FF000000"/>
            <rFont val="Times New Roman"/>
            <family val="18"/>
          </rPr>
          <t>07/01/1818 Muster: IR 44 1. Fus. Komp. [</t>
        </r>
        <r>
          <rPr>
            <i/>
            <sz val="14"/>
            <color rgb="FF000000"/>
            <rFont val="Times New Roman"/>
            <family val="18"/>
          </rPr>
          <t>Bei Werbbezirk in Sambor</t>
        </r>
        <r>
          <rPr>
            <sz val="14"/>
            <color rgb="FF000000"/>
            <rFont val="Times New Roman"/>
            <family val="18"/>
          </rPr>
          <t>]</t>
        </r>
        <r>
          <rPr>
            <sz val="14"/>
            <color rgb="FF000000"/>
            <rFont val="Calibri"/>
            <family val="34"/>
          </rPr>
          <t xml:space="preserve">
</t>
        </r>
        <r>
          <rPr>
            <sz val="14"/>
            <color rgb="FF000000"/>
            <rFont val="Times New Roman"/>
            <family val="18"/>
          </rPr>
          <t xml:space="preserve">30/01/1818 </t>
        </r>
        <r>
          <rPr>
            <i/>
            <sz val="14"/>
            <color rgb="FF000000"/>
            <rFont val="Times New Roman"/>
            <family val="18"/>
          </rPr>
          <t>Als ausgedienter Capitulant Mit Abschied entlassen</t>
        </r>
        <r>
          <rPr>
            <sz val="14"/>
            <color rgb="FF000000"/>
            <rFont val="Times New Roman"/>
            <family val="18"/>
          </rPr>
          <t xml:space="preserve"> [ML 1818]</t>
        </r>
        <r>
          <rPr>
            <sz val="14"/>
            <color rgb="FF000000"/>
            <rFont val="Calibri"/>
            <family val="34"/>
          </rPr>
          <t xml:space="preserve">
</t>
        </r>
      </text>
    </comment>
    <comment ref="BG595" authorId="0" shapeId="0" xr:uid="{703917FC-FCF5-F247-A440-2BCD432817B8}">
      <text>
        <r>
          <rPr>
            <sz val="14"/>
            <color rgb="FF000000"/>
            <rFont val="Times New Roman"/>
            <family val="18"/>
          </rPr>
          <t>ML 3911 IR 44 (1808-10) – 6. Fus. Komp. Nr. 118 (Sthulweissenburg 25/09/1810)</t>
        </r>
        <r>
          <rPr>
            <sz val="14"/>
            <color rgb="FF000000"/>
            <rFont val="Calibri"/>
            <family val="34"/>
          </rPr>
          <t xml:space="preserve">
</t>
        </r>
        <r>
          <rPr>
            <sz val="14"/>
            <color rgb="FF000000"/>
            <rFont val="Times New Roman"/>
            <family val="18"/>
          </rPr>
          <t>ML 3912/3 IR 44 (1811) – 6. Fus. Komp. Nr. 192 (Pappa 18/09/1811)</t>
        </r>
        <r>
          <rPr>
            <sz val="14"/>
            <color rgb="FF000000"/>
            <rFont val="Calibri"/>
            <family val="34"/>
          </rPr>
          <t xml:space="preserve">
</t>
        </r>
        <r>
          <rPr>
            <sz val="14"/>
            <color rgb="FF000000"/>
            <rFont val="Times New Roman"/>
            <family val="18"/>
          </rPr>
          <t>ML 3914 IR 44 (1812/6) – 6. Fus. Komp. Nr. 103 (Pest 19/09/1812)</t>
        </r>
        <r>
          <rPr>
            <sz val="14"/>
            <color rgb="FF000000"/>
            <rFont val="Calibri"/>
            <family val="34"/>
          </rPr>
          <t xml:space="preserve">
</t>
        </r>
        <r>
          <rPr>
            <sz val="14"/>
            <color rgb="FF000000"/>
            <rFont val="Times New Roman"/>
            <family val="18"/>
          </rPr>
          <t>ML 3915/7 IR 44 (1818) – 1 Fus. Komp. Nr. 51 (Lodi 07/01/1818); 1. Fus. Komp. Abgang (Lodi 26/10/1818)</t>
        </r>
        <r>
          <rPr>
            <sz val="14"/>
            <color rgb="FF000000"/>
            <rFont val="Calibri"/>
            <family val="34"/>
          </rPr>
          <t xml:space="preserve">
</t>
        </r>
      </text>
    </comment>
    <comment ref="BH595" authorId="0" shapeId="0" xr:uid="{92050DBD-FC2D-FB40-82F1-1E47021F97DA}">
      <text>
        <r>
          <rPr>
            <sz val="14"/>
            <color rgb="FF000000"/>
            <rFont val="Calibri"/>
            <family val="34"/>
          </rPr>
          <t>IR 44 (1807-1818)</t>
        </r>
      </text>
    </comment>
    <comment ref="BF596" authorId="0" shapeId="0" xr:uid="{7D3FFC99-42C2-CD4E-881B-8B06D4F5ABB0}">
      <text>
        <r>
          <rPr>
            <sz val="14"/>
            <color rgb="FF000000"/>
            <rFont val="Times New Roman"/>
            <family val="18"/>
          </rPr>
          <t xml:space="preserve">08/03/1807 </t>
        </r>
        <r>
          <rPr>
            <i/>
            <sz val="14"/>
            <color rgb="FF000000"/>
            <rFont val="Times New Roman"/>
            <family val="18"/>
          </rPr>
          <t>Als Landständischer Recrout a 3Fl Handgeld zu Stanislau assentiert</t>
        </r>
        <r>
          <rPr>
            <sz val="14"/>
            <color rgb="FF000000"/>
            <rFont val="Times New Roman"/>
            <family val="18"/>
          </rPr>
          <t xml:space="preserve"> [TL Sept 1810]</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5. Fus. Kompanie zum IR 63 transferiert und zur 10. Fus. Komp. eingeheilt</t>
        </r>
        <r>
          <rPr>
            <sz val="14"/>
            <color rgb="FF000000"/>
            <rFont val="Times New Roman"/>
            <family val="18"/>
          </rPr>
          <t xml:space="preserve"> [TL Sept 1810 &amp; ST March 1810] </t>
        </r>
        <r>
          <rPr>
            <sz val="14"/>
            <color rgb="FF000000"/>
            <rFont val="Calibri"/>
            <family val="34"/>
          </rPr>
          <t xml:space="preserve">
</t>
        </r>
        <r>
          <rPr>
            <sz val="14"/>
            <color rgb="FF000000"/>
            <rFont val="Times New Roman"/>
            <family val="18"/>
          </rPr>
          <t xml:space="preserve">07/04/1810 </t>
        </r>
        <r>
          <rPr>
            <i/>
            <sz val="14"/>
            <color rgb="FF000000"/>
            <rFont val="Times New Roman"/>
            <family val="18"/>
          </rPr>
          <t xml:space="preserve">Krank in auswärtigen Spital </t>
        </r>
        <r>
          <rPr>
            <sz val="14"/>
            <color rgb="FF000000"/>
            <rFont val="Times New Roman"/>
            <family val="18"/>
          </rPr>
          <t>[ST April 1810]</t>
        </r>
        <r>
          <rPr>
            <sz val="14"/>
            <color rgb="FF000000"/>
            <rFont val="Calibri"/>
            <family val="34"/>
          </rPr>
          <t xml:space="preserve">
</t>
        </r>
        <r>
          <rPr>
            <sz val="14"/>
            <color rgb="FF000000"/>
            <rFont val="Times New Roman"/>
            <family val="18"/>
          </rPr>
          <t xml:space="preserve">01/06/1810 </t>
        </r>
        <r>
          <rPr>
            <i/>
            <sz val="14"/>
            <color rgb="FF000000"/>
            <rFont val="Times New Roman"/>
            <family val="18"/>
          </rPr>
          <t>Zum Regimentsspital übersetzt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17/06/1810 </t>
        </r>
        <r>
          <rPr>
            <i/>
            <sz val="14"/>
            <color rgb="FF000000"/>
            <rFont val="Times New Roman"/>
            <family val="18"/>
          </rPr>
          <t>Rekonvalesziert und seitdem beim Staab und anderen Fusilier Komp zugeteilt</t>
        </r>
        <r>
          <rPr>
            <sz val="14"/>
            <color rgb="FF000000"/>
            <rFont val="Times New Roman"/>
            <family val="18"/>
          </rPr>
          <t xml:space="preserve"> [ST May 1810]</t>
        </r>
        <r>
          <rPr>
            <sz val="14"/>
            <color rgb="FF000000"/>
            <rFont val="Calibri"/>
            <family val="34"/>
          </rPr>
          <t xml:space="preserve">
</t>
        </r>
        <r>
          <rPr>
            <sz val="14"/>
            <color rgb="FF000000"/>
            <rFont val="Times New Roman"/>
            <family val="18"/>
          </rPr>
          <t xml:space="preserve">01/07/1810 </t>
        </r>
        <r>
          <rPr>
            <i/>
            <sz val="14"/>
            <color rgb="FF000000"/>
            <rFont val="Times New Roman"/>
            <family val="18"/>
          </rPr>
          <t>Auf Marsch ins Pattauer Invalidenhaus</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31/10/1810 </t>
        </r>
        <r>
          <rPr>
            <i/>
            <sz val="14"/>
            <color rgb="FF000000"/>
            <rFont val="Times New Roman"/>
            <family val="18"/>
          </rPr>
          <t>Als unwissend verloren in Abgang gebracht</t>
        </r>
        <r>
          <rPr>
            <sz val="14"/>
            <color rgb="FF000000"/>
            <rFont val="Times New Roman"/>
            <family val="18"/>
          </rPr>
          <t xml:space="preserve"> [ST Oct 1810]</t>
        </r>
        <r>
          <rPr>
            <sz val="14"/>
            <color rgb="FF000000"/>
            <rFont val="Calibri"/>
            <family val="34"/>
          </rPr>
          <t xml:space="preserve">
</t>
        </r>
      </text>
    </comment>
    <comment ref="BG596" authorId="0" shapeId="0" xr:uid="{5AAA255C-46F4-4E46-8086-1343B2AADC58}">
      <text>
        <r>
          <rPr>
            <sz val="14"/>
            <color rgb="FF000000"/>
            <rFont val="Times New Roman"/>
            <family val="18"/>
          </rPr>
          <t>ML 5292 IR 63 (1810) – März (Preßburg 16/07/1811), April (26/07/1811), Mai (30/09/1811), Sept (Br</t>
        </r>
        <r>
          <rPr>
            <sz val="14"/>
            <color rgb="FF000000"/>
            <rFont val="german"/>
            <charset val="1"/>
          </rPr>
          <t xml:space="preserve">ünn </t>
        </r>
        <r>
          <rPr>
            <sz val="14"/>
            <color rgb="FF000000"/>
            <rFont val="Times New Roman"/>
            <family val="18"/>
          </rPr>
          <t>12/11/1811), October (Br</t>
        </r>
        <r>
          <rPr>
            <sz val="14"/>
            <color rgb="FF000000"/>
            <rFont val="german"/>
            <charset val="1"/>
          </rPr>
          <t xml:space="preserve">ünn </t>
        </r>
        <r>
          <rPr>
            <sz val="14"/>
            <color rgb="FF000000"/>
            <rFont val="Times New Roman"/>
            <family val="18"/>
          </rPr>
          <t>20/11/1811)</t>
        </r>
        <r>
          <rPr>
            <sz val="14"/>
            <color rgb="FF000000"/>
            <rFont val="Calibri"/>
            <family val="34"/>
          </rPr>
          <t xml:space="preserve">
</t>
        </r>
        <r>
          <rPr>
            <sz val="14"/>
            <color rgb="FF000000"/>
            <rFont val="Times New Roman"/>
            <family val="18"/>
          </rPr>
          <t>ML 5293 IR 63 (1810) AL/TL – TL IR 13-&gt;IR 63 Nr. 41 (Graz 02/09/1810)</t>
        </r>
        <r>
          <rPr>
            <sz val="14"/>
            <color rgb="FF000000"/>
            <rFont val="Calibri"/>
            <family val="34"/>
          </rPr>
          <t xml:space="preserve">
</t>
        </r>
      </text>
    </comment>
    <comment ref="BH596" authorId="0" shapeId="0" xr:uid="{5E340C1B-42B3-4045-A2A6-A0977C69CC38}">
      <text>
        <r>
          <rPr>
            <sz val="14"/>
            <color rgb="FF000000"/>
            <rFont val="Calibri"/>
            <family val="34"/>
          </rPr>
          <t xml:space="preserve">IR 13 (1807-1810)
</t>
        </r>
        <r>
          <rPr>
            <sz val="14"/>
            <color rgb="FF000000"/>
            <rFont val="Calibri"/>
            <family val="34"/>
          </rPr>
          <t>IR 63 (1810)</t>
        </r>
      </text>
    </comment>
    <comment ref="I597" authorId="0" shapeId="0" xr:uid="{588C01A2-DF3D-694A-BAA6-9CF60A8177BF}">
      <text>
        <r>
          <rPr>
            <sz val="14"/>
            <color rgb="FF000000"/>
            <rFont val="Calibri"/>
            <family val="34"/>
          </rPr>
          <t xml:space="preserve">1782 [35 (ML 1817)]
</t>
        </r>
        <r>
          <rPr>
            <sz val="14"/>
            <color rgb="FF000000"/>
            <rFont val="Calibri"/>
            <family val="34"/>
          </rPr>
          <t xml:space="preserve">OR
</t>
        </r>
        <r>
          <rPr>
            <sz val="14"/>
            <color rgb="FF000000"/>
            <rFont val="Calibri"/>
            <family val="34"/>
          </rPr>
          <t>1785 [26 (ML 1811)]</t>
        </r>
      </text>
    </comment>
    <comment ref="T597" authorId="0" shapeId="0" xr:uid="{D629ABDD-BCE6-A84F-93C9-7C259E40D860}">
      <text>
        <r>
          <rPr>
            <sz val="14"/>
            <color rgb="FF000000"/>
            <rFont val="Calibri"/>
            <family val="34"/>
          </rPr>
          <t xml:space="preserve">163.7 [5.2.2. (ML 1811)]
</t>
        </r>
        <r>
          <rPr>
            <sz val="14"/>
            <color rgb="FF000000"/>
            <rFont val="Calibri"/>
            <family val="34"/>
          </rPr>
          <t>166.33 [5.3.2 (ML 1817)]</t>
        </r>
      </text>
    </comment>
    <comment ref="BF597" authorId="0" shapeId="0" xr:uid="{368AD2D0-F4E7-6D42-9C20-A45B64357E31}">
      <text>
        <r>
          <rPr>
            <sz val="14"/>
            <color rgb="FF000000"/>
            <rFont val="Times New Roman"/>
            <family val="18"/>
          </rPr>
          <t xml:space="preserve">10/03/1807 </t>
        </r>
        <r>
          <rPr>
            <i/>
            <sz val="14"/>
            <color rgb="FF000000"/>
            <rFont val="Times New Roman"/>
            <family val="18"/>
          </rPr>
          <t>a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3. Fus. Komp. Nr. 184</t>
        </r>
        <r>
          <rPr>
            <sz val="14"/>
            <color rgb="FF000000"/>
            <rFont val="Calibri"/>
            <family val="34"/>
          </rPr>
          <t xml:space="preserve">
</t>
        </r>
        <r>
          <rPr>
            <sz val="14"/>
            <color rgb="FF000000"/>
            <rFont val="Times New Roman"/>
            <family val="18"/>
          </rPr>
          <t>18/09/1811 Muster: IR 44 3. Fus. Komp. Nr. 53</t>
        </r>
        <r>
          <rPr>
            <sz val="14"/>
            <color rgb="FF000000"/>
            <rFont val="Calibri"/>
            <family val="34"/>
          </rPr>
          <t xml:space="preserve">
</t>
        </r>
        <r>
          <rPr>
            <sz val="14"/>
            <color rgb="FF000000"/>
            <rFont val="Times New Roman"/>
            <family val="18"/>
          </rPr>
          <t xml:space="preserve">11/07/1812 </t>
        </r>
        <r>
          <rPr>
            <i/>
            <sz val="14"/>
            <color rgb="FF000000"/>
            <rFont val="Times New Roman"/>
            <family val="18"/>
          </rPr>
          <t xml:space="preserve">Von. IR 44 4. Fus. Komp. zur IR 58 transferiert </t>
        </r>
        <r>
          <rPr>
            <sz val="14"/>
            <color rgb="FF000000"/>
            <rFont val="Times New Roman"/>
            <family val="18"/>
          </rPr>
          <t>[RL 1812]</t>
        </r>
        <r>
          <rPr>
            <sz val="14"/>
            <color rgb="FF000000"/>
            <rFont val="Calibri"/>
            <family val="34"/>
          </rPr>
          <t xml:space="preserve">
</t>
        </r>
        <r>
          <rPr>
            <sz val="14"/>
            <color rgb="FF000000"/>
            <rFont val="Times New Roman"/>
            <family val="18"/>
          </rPr>
          <t>11/09/1817 Muster: IR 58 3. Fus. Komp. Nr. 52</t>
        </r>
        <r>
          <rPr>
            <sz val="14"/>
            <color rgb="FF000000"/>
            <rFont val="Calibri"/>
            <family val="34"/>
          </rPr>
          <t xml:space="preserve">
</t>
        </r>
        <r>
          <rPr>
            <sz val="14"/>
            <color rgb="FF000000"/>
            <rFont val="Times New Roman"/>
            <family val="18"/>
          </rPr>
          <t xml:space="preserve">25/12/1817 </t>
        </r>
        <r>
          <rPr>
            <i/>
            <sz val="14"/>
            <color rgb="FF000000"/>
            <rFont val="Times New Roman"/>
            <family val="18"/>
          </rPr>
          <t xml:space="preserve">Als Ausgedienter Capitulant mit Abschied entlassen </t>
        </r>
        <r>
          <rPr>
            <sz val="14"/>
            <color rgb="FF000000"/>
            <rFont val="Times New Roman"/>
            <family val="18"/>
          </rPr>
          <t>[ML 1818]</t>
        </r>
        <r>
          <rPr>
            <sz val="14"/>
            <color rgb="FF000000"/>
            <rFont val="Calibri"/>
            <family val="34"/>
          </rPr>
          <t xml:space="preserve">
</t>
        </r>
      </text>
    </comment>
    <comment ref="BG597" authorId="0" shapeId="0" xr:uid="{2AC83F02-8B6E-F14A-ABE3-882DC8FDE15A}">
      <text>
        <r>
          <rPr>
            <sz val="14"/>
            <color rgb="FF000000"/>
            <rFont val="Times New Roman"/>
            <family val="18"/>
          </rPr>
          <t>ML 3911 IR 44 (1808-10) – RL 3. Fus. Komp. Nr. 71 (Sthulweissenburg 25/09/1810)</t>
        </r>
        <r>
          <rPr>
            <sz val="14"/>
            <color rgb="FF000000"/>
            <rFont val="Calibri"/>
            <family val="34"/>
          </rPr>
          <t xml:space="preserve">
</t>
        </r>
        <r>
          <rPr>
            <sz val="14"/>
            <color rgb="FF000000"/>
            <rFont val="Times New Roman"/>
            <family val="18"/>
          </rPr>
          <t>ML 3912-3 IR 44 (1811) – 3. Fus. Komp. Nr. 53 (Pappa 18/09/1811)</t>
        </r>
        <r>
          <rPr>
            <sz val="14"/>
            <color rgb="FF000000"/>
            <rFont val="Calibri"/>
            <family val="34"/>
          </rPr>
          <t xml:space="preserve">
</t>
        </r>
        <r>
          <rPr>
            <sz val="14"/>
            <color rgb="FF000000"/>
            <rFont val="Times New Roman"/>
            <family val="18"/>
          </rPr>
          <t>ML 3914 IR 44 (1812/6) – 3. Fus. Komp. Abgang (Pest 19/09/1812)</t>
        </r>
        <r>
          <rPr>
            <sz val="14"/>
            <color rgb="FF000000"/>
            <rFont val="Calibri"/>
            <family val="34"/>
          </rPr>
          <t xml:space="preserve">
</t>
        </r>
        <r>
          <rPr>
            <sz val="14"/>
            <color rgb="FF000000"/>
            <rFont val="Times New Roman"/>
            <family val="18"/>
          </rPr>
          <t>ML 3924 IR 58 (1817) – 3. Fus. Komp. Nr. 52 (Ofen 11/09/1817)</t>
        </r>
        <r>
          <rPr>
            <sz val="14"/>
            <color rgb="FF000000"/>
            <rFont val="Calibri"/>
            <family val="34"/>
          </rPr>
          <t xml:space="preserve">
</t>
        </r>
        <r>
          <rPr>
            <sz val="14"/>
            <color rgb="FF000000"/>
            <rFont val="Times New Roman"/>
            <family val="18"/>
          </rPr>
          <t xml:space="preserve">ML 3925/6 IR 58 (1818) – 3. Fus. Komp. Abgang (Ofen 24/09/1818) </t>
        </r>
        <r>
          <rPr>
            <sz val="14"/>
            <color rgb="FF000000"/>
            <rFont val="Calibri"/>
            <family val="34"/>
          </rPr>
          <t xml:space="preserve">
</t>
        </r>
        <r>
          <rPr>
            <sz val="14"/>
            <color rgb="FF000000"/>
            <rFont val="Calibri"/>
            <family val="34"/>
          </rPr>
          <t xml:space="preserve">
</t>
        </r>
      </text>
    </comment>
    <comment ref="BH597" authorId="0" shapeId="0" xr:uid="{756ACE2C-03B9-3541-A401-F1CF3D0F3995}">
      <text>
        <r>
          <rPr>
            <sz val="14"/>
            <color rgb="FF000000"/>
            <rFont val="Calibri"/>
            <family val="34"/>
          </rPr>
          <t xml:space="preserve">IR 44 (1807-1812)
</t>
        </r>
        <r>
          <rPr>
            <sz val="14"/>
            <color rgb="FF000000"/>
            <rFont val="Calibri"/>
            <family val="34"/>
          </rPr>
          <t>IR 58 (1812-1817)</t>
        </r>
      </text>
    </comment>
    <comment ref="T598" authorId="0" shapeId="0" xr:uid="{29F442CF-CEAB-F348-81F6-71461357B27F}">
      <text>
        <r>
          <rPr>
            <sz val="14"/>
            <color rgb="FF000000"/>
            <rFont val="Calibri"/>
            <family val="34"/>
          </rPr>
          <t xml:space="preserve">168.74 [5.4.1. (ML 1811)]
</t>
        </r>
        <r>
          <rPr>
            <sz val="14"/>
            <color rgb="FF000000"/>
            <rFont val="Calibri"/>
            <family val="34"/>
          </rPr>
          <t>179.04 [5.8 (ML 1818-20)]</t>
        </r>
      </text>
    </comment>
    <comment ref="BF598" authorId="0" shapeId="0" xr:uid="{726CD51D-B423-4242-9248-A660AC775C22}">
      <text>
        <r>
          <rPr>
            <sz val="14"/>
            <color rgb="FF000000"/>
            <rFont val="Times New Roman"/>
            <family val="18"/>
          </rPr>
          <t xml:space="preserve">11/03/1807 </t>
        </r>
        <r>
          <rPr>
            <i/>
            <sz val="14"/>
            <color rgb="FF000000"/>
            <rFont val="Times New Roman"/>
            <family val="18"/>
          </rPr>
          <t>Zu Reszow auf 10 Jahren zu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16/02/1809 </t>
        </r>
        <r>
          <rPr>
            <i/>
            <sz val="14"/>
            <color rgb="FF000000"/>
            <rFont val="Times New Roman"/>
            <family val="18"/>
          </rPr>
          <t>Zum Gefreyter avanciert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12. Fus. Komp. Nr. 45</t>
        </r>
        <r>
          <rPr>
            <sz val="14"/>
            <color rgb="FF000000"/>
            <rFont val="Calibri"/>
            <family val="34"/>
          </rPr>
          <t xml:space="preserve">
</t>
        </r>
        <r>
          <rPr>
            <sz val="14"/>
            <color rgb="FF000000"/>
            <rFont val="Times New Roman"/>
            <family val="18"/>
          </rPr>
          <t>20/09/1811 Muster: IR 44 12. Fus. Komp. Nr. 32</t>
        </r>
        <r>
          <rPr>
            <sz val="14"/>
            <color rgb="FF000000"/>
            <rFont val="Calibri"/>
            <family val="34"/>
          </rPr>
          <t xml:space="preserve">
</t>
        </r>
        <r>
          <rPr>
            <sz val="14"/>
            <color rgb="FF000000"/>
            <rFont val="Times New Roman"/>
            <family val="18"/>
          </rPr>
          <t>19/09/1812 Revision: IR 44 12. Fus. Komp. Nr. 24</t>
        </r>
        <r>
          <rPr>
            <sz val="14"/>
            <color rgb="FF000000"/>
            <rFont val="Calibri"/>
            <family val="34"/>
          </rPr>
          <t xml:space="preserve">
</t>
        </r>
        <r>
          <rPr>
            <sz val="14"/>
            <color rgb="FF000000"/>
            <rFont val="Times New Roman"/>
            <family val="18"/>
          </rPr>
          <t xml:space="preserve">30/08/1813 </t>
        </r>
        <r>
          <rPr>
            <i/>
            <sz val="14"/>
            <color rgb="FF000000"/>
            <rFont val="Times New Roman"/>
            <family val="18"/>
          </rPr>
          <t>Bey Dresden vor den Feind vermisst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11/04/1814 </t>
        </r>
        <r>
          <rPr>
            <i/>
            <sz val="14"/>
            <color rgb="FF000000"/>
            <rFont val="Times New Roman"/>
            <family val="18"/>
          </rPr>
          <t>Eingerückt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17/10/1817 </t>
        </r>
        <r>
          <rPr>
            <i/>
            <sz val="14"/>
            <color rgb="FF000000"/>
            <rFont val="Times New Roman"/>
            <family val="18"/>
          </rPr>
          <t>Gegen 20 Fl auf fernere 10 Jahr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20</t>
        </r>
        <r>
          <rPr>
            <sz val="14"/>
            <color rgb="FF000000"/>
            <rFont val="Calibri"/>
            <family val="34"/>
          </rPr>
          <t xml:space="preserve">
</t>
        </r>
        <r>
          <rPr>
            <sz val="14"/>
            <color rgb="FF000000"/>
            <rFont val="Times New Roman"/>
            <family val="18"/>
          </rPr>
          <t>24/10/1818 Muster: IR 44 12. Fus. Komp. Nr. 14</t>
        </r>
        <r>
          <rPr>
            <sz val="14"/>
            <color rgb="FF000000"/>
            <rFont val="Calibri"/>
            <family val="34"/>
          </rPr>
          <t xml:space="preserve">
</t>
        </r>
        <r>
          <rPr>
            <sz val="14"/>
            <color rgb="FF000000"/>
            <rFont val="Times New Roman"/>
            <family val="18"/>
          </rPr>
          <t>18/10/1819 Muster: IR 44 12. Fus. Komp. Nr. 16</t>
        </r>
        <r>
          <rPr>
            <sz val="14"/>
            <color rgb="FF000000"/>
            <rFont val="Calibri"/>
            <family val="34"/>
          </rPr>
          <t xml:space="preserve">
</t>
        </r>
        <r>
          <rPr>
            <sz val="14"/>
            <color rgb="FF000000"/>
            <rFont val="Times New Roman"/>
            <family val="18"/>
          </rPr>
          <t>25/09/1820 Muster: IR 44 12. Fus. Komp. Nr. 14</t>
        </r>
        <r>
          <rPr>
            <sz val="14"/>
            <color rgb="FF000000"/>
            <rFont val="Calibri"/>
            <family val="34"/>
          </rPr>
          <t xml:space="preserve">
</t>
        </r>
      </text>
    </comment>
    <comment ref="BG598" authorId="0" shapeId="0" xr:uid="{68E20097-B44B-1647-ACDB-30F4AA8C880D}">
      <text>
        <r>
          <rPr>
            <sz val="14"/>
            <color rgb="FF000000"/>
            <rFont val="Times New Roman"/>
            <family val="18"/>
          </rPr>
          <t>ML 3911 IR 44 (1808-10) – 12. Fus. Komp. Nr. 45 (Pappa 27/09/1810)</t>
        </r>
        <r>
          <rPr>
            <sz val="14"/>
            <color rgb="FF000000"/>
            <rFont val="Calibri"/>
            <family val="34"/>
          </rPr>
          <t xml:space="preserve">
</t>
        </r>
        <r>
          <rPr>
            <sz val="14"/>
            <color rgb="FF000000"/>
            <rFont val="Times New Roman"/>
            <family val="18"/>
          </rPr>
          <t>ML 3912/3 IR 44 (1811) – 12. Fus. Komp. Nr. 32 (Sthulweissenburg 20/09/1811)</t>
        </r>
        <r>
          <rPr>
            <sz val="14"/>
            <color rgb="FF000000"/>
            <rFont val="Calibri"/>
            <family val="34"/>
          </rPr>
          <t xml:space="preserve">
</t>
        </r>
        <r>
          <rPr>
            <sz val="14"/>
            <color rgb="FF000000"/>
            <rFont val="Times New Roman"/>
            <family val="18"/>
          </rPr>
          <t>ML 3914 IR 44 (1812/6) – 12. Fus. Komp. Nr. 24 (Pest 19/09/1812)</t>
        </r>
        <r>
          <rPr>
            <sz val="14"/>
            <color rgb="FF000000"/>
            <rFont val="Calibri"/>
            <family val="34"/>
          </rPr>
          <t xml:space="preserve">
</t>
        </r>
        <r>
          <rPr>
            <sz val="14"/>
            <color rgb="FF000000"/>
            <rFont val="Times New Roman"/>
            <family val="18"/>
          </rPr>
          <t>ML 3915/6 IR 44 (1818) – 12. Fus. Komp. Nr. 20 (Pavia 05/01/1818); 12. Fus. Komp. Nr. 12 (Pavia 24/10/1818)</t>
        </r>
        <r>
          <rPr>
            <sz val="14"/>
            <color rgb="FF000000"/>
            <rFont val="Calibri"/>
            <family val="34"/>
          </rPr>
          <t xml:space="preserve">
</t>
        </r>
        <r>
          <rPr>
            <sz val="14"/>
            <color rgb="FF000000"/>
            <rFont val="Times New Roman"/>
            <family val="18"/>
          </rPr>
          <t>ML 3918/9 IR 44 (1819) – 12. Fus. Komp. Nr. 16 (Pavia 18/10/1819)</t>
        </r>
        <r>
          <rPr>
            <sz val="14"/>
            <color rgb="FF000000"/>
            <rFont val="Calibri"/>
            <family val="34"/>
          </rPr>
          <t xml:space="preserve">
</t>
        </r>
        <r>
          <rPr>
            <sz val="14"/>
            <color rgb="FF000000"/>
            <rFont val="Times New Roman"/>
            <family val="18"/>
          </rPr>
          <t>ML 3920 IR 44 (1820) – 12. Fus. Komp. Nr. 14 Milan 25/09/1820)</t>
        </r>
        <r>
          <rPr>
            <sz val="14"/>
            <color rgb="FF000000"/>
            <rFont val="Calibri"/>
            <family val="34"/>
          </rPr>
          <t xml:space="preserve">
</t>
        </r>
      </text>
    </comment>
    <comment ref="BH598" authorId="0" shapeId="0" xr:uid="{8910F2F8-377A-A34C-8090-F7ED581F0595}">
      <text>
        <r>
          <rPr>
            <sz val="14"/>
            <color rgb="FF000000"/>
            <rFont val="Calibri"/>
            <family val="34"/>
          </rPr>
          <t>IR 44 (1807-1820)</t>
        </r>
      </text>
    </comment>
    <comment ref="CR598" authorId="0" shapeId="0" xr:uid="{D0775698-0E8E-EC42-9411-592C606F8A2A}">
      <text>
        <r>
          <rPr>
            <sz val="14"/>
            <color rgb="FF000000"/>
            <rFont val="Calibri"/>
            <family val="34"/>
          </rPr>
          <t>1811/8: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1818-20: 'detto'/Katolisch  </t>
        </r>
      </text>
    </comment>
    <comment ref="BF599" authorId="0" shapeId="0" xr:uid="{FF3E27ED-2177-D24F-BDE6-13F1EF71F86D}">
      <text>
        <r>
          <rPr>
            <sz val="14"/>
            <color rgb="FF000000"/>
            <rFont val="Times New Roman"/>
            <family val="18"/>
          </rPr>
          <t xml:space="preserve">11/03/1807 </t>
        </r>
        <r>
          <rPr>
            <i/>
            <sz val="14"/>
            <color rgb="FF000000"/>
            <rFont val="Times New Roman"/>
            <family val="18"/>
          </rPr>
          <t>Als Landständischer Recrout a 3Fl Handgeld zu IR 13 zu Stanislau assentiert</t>
        </r>
        <r>
          <rPr>
            <sz val="14"/>
            <color rgb="FF000000"/>
            <rFont val="Times New Roman"/>
            <family val="18"/>
          </rPr>
          <t xml:space="preserve"> [TL Sept 1810]</t>
        </r>
        <r>
          <rPr>
            <sz val="14"/>
            <color rgb="FF000000"/>
            <rFont val="Calibri"/>
            <family val="34"/>
          </rPr>
          <t xml:space="preserve">
</t>
        </r>
        <r>
          <rPr>
            <sz val="14"/>
            <color rgb="FFFF0000"/>
            <rFont val="Times New Roman"/>
            <family val="18"/>
          </rPr>
          <t xml:space="preserve">11/03/1807 </t>
        </r>
        <r>
          <rPr>
            <i/>
            <sz val="14"/>
            <color rgb="FFFF0000"/>
            <rFont val="Times New Roman"/>
            <family val="18"/>
          </rPr>
          <t>A 3Fl Handgeld zu Bianchi Inf.</t>
        </r>
        <r>
          <rPr>
            <sz val="14"/>
            <color rgb="FFFF0000"/>
            <rFont val="Times New Roman"/>
            <family val="18"/>
          </rPr>
          <t xml:space="preserve"> </t>
        </r>
        <r>
          <rPr>
            <b/>
            <sz val="14"/>
            <color rgb="FFFF0000"/>
            <rFont val="Times New Roman"/>
            <family val="18"/>
          </rPr>
          <t xml:space="preserve">[IR 63] </t>
        </r>
        <r>
          <rPr>
            <sz val="14"/>
            <color rgb="FFFF0000"/>
            <rFont val="Times New Roman"/>
            <family val="18"/>
          </rPr>
          <t>assentiert [ML 1817]</t>
        </r>
        <r>
          <rPr>
            <sz val="14"/>
            <color rgb="FF000000"/>
            <rFont val="Calibri"/>
            <family val="34"/>
          </rPr>
          <t xml:space="preserve">
</t>
        </r>
        <r>
          <rPr>
            <sz val="14"/>
            <color rgb="FF000000"/>
            <rFont val="Times New Roman"/>
            <family val="18"/>
          </rPr>
          <t xml:space="preserve">20/02/1810 </t>
        </r>
        <r>
          <rPr>
            <i/>
            <sz val="14"/>
            <color rgb="FF000000"/>
            <rFont val="Times New Roman"/>
            <family val="18"/>
          </rPr>
          <t>Von dissolvierte IR 13 6. Fus. Kompanie zum IR 63 transferiert und zur 7. Fus. Komp. eingeheilt</t>
        </r>
        <r>
          <rPr>
            <sz val="14"/>
            <color rgb="FF000000"/>
            <rFont val="Times New Roman"/>
            <family val="18"/>
          </rPr>
          <t xml:space="preserve"> [TL Sept 1810] </t>
        </r>
        <r>
          <rPr>
            <sz val="14"/>
            <color rgb="FF000000"/>
            <rFont val="Calibri"/>
            <family val="34"/>
          </rPr>
          <t xml:space="preserve">
</t>
        </r>
        <r>
          <rPr>
            <sz val="14"/>
            <color rgb="FF000000"/>
            <rFont val="Times New Roman"/>
            <family val="18"/>
          </rPr>
          <t xml:space="preserve">01/08/1810 </t>
        </r>
        <r>
          <rPr>
            <i/>
            <sz val="14"/>
            <color rgb="FF000000"/>
            <rFont val="Times New Roman"/>
            <family val="18"/>
          </rPr>
          <t>Auf Arbeit zu Wiener Neustadt Auf Arbeit commandiert beurlaubt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11/09/1811 </t>
        </r>
        <r>
          <rPr>
            <i/>
            <sz val="14"/>
            <color rgb="FF000000"/>
            <rFont val="Times New Roman"/>
            <family val="18"/>
          </rPr>
          <t>Von IR 63 zum 1. Garnison Battalion</t>
        </r>
        <r>
          <rPr>
            <sz val="14"/>
            <color rgb="FF000000"/>
            <rFont val="Times New Roman"/>
            <family val="18"/>
          </rPr>
          <t xml:space="preserve"> </t>
        </r>
        <r>
          <rPr>
            <b/>
            <sz val="14"/>
            <color rgb="FF000000"/>
            <rFont val="Times New Roman"/>
            <family val="18"/>
          </rPr>
          <t xml:space="preserve">[GB 1]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01/01/1812 </t>
        </r>
        <r>
          <rPr>
            <i/>
            <sz val="14"/>
            <color rgb="FF000000"/>
            <rFont val="Times New Roman"/>
            <family val="18"/>
          </rPr>
          <t>Von GB 1 zum GK 1. Gal.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26/10/1812 Revision: GK 1. Gal. 4. Komp. Nr. 225 [</t>
        </r>
        <r>
          <rPr>
            <i/>
            <sz val="14"/>
            <color rgb="FF000000"/>
            <rFont val="Times New Roman"/>
            <family val="18"/>
          </rPr>
          <t>Zu Perzevloky</t>
        </r>
        <r>
          <rPr>
            <sz val="14"/>
            <color rgb="FF000000"/>
            <rFont val="Times New Roman"/>
            <family val="18"/>
          </rPr>
          <t>]</t>
        </r>
        <r>
          <rPr>
            <sz val="14"/>
            <color rgb="FF000000"/>
            <rFont val="Calibri"/>
            <family val="34"/>
          </rPr>
          <t xml:space="preserve">
</t>
        </r>
        <r>
          <rPr>
            <sz val="14"/>
            <color rgb="FF000000"/>
            <rFont val="Times New Roman"/>
            <family val="18"/>
          </rPr>
          <t>18/09/1817 Muster: GK 1. Gal. 4. Komp. Nr. 121 [</t>
        </r>
        <r>
          <rPr>
            <i/>
            <sz val="14"/>
            <color rgb="FF000000"/>
            <rFont val="Times New Roman"/>
            <family val="18"/>
          </rPr>
          <t>In Loco</t>
        </r>
        <r>
          <rPr>
            <sz val="14"/>
            <color rgb="FF000000"/>
            <rFont val="Times New Roman"/>
            <family val="18"/>
          </rPr>
          <t>]</t>
        </r>
        <r>
          <rPr>
            <sz val="14"/>
            <color rgb="FF000000"/>
            <rFont val="Calibri"/>
            <family val="34"/>
          </rPr>
          <t xml:space="preserve">
</t>
        </r>
      </text>
    </comment>
    <comment ref="BG599" authorId="0" shapeId="0" xr:uid="{D4475096-1598-3C47-8F17-3E41EC72C641}">
      <text>
        <r>
          <rPr>
            <sz val="14"/>
            <color rgb="FF000000"/>
            <rFont val="Times New Roman"/>
            <family val="18"/>
          </rPr>
          <t>ML 5292 IR 63 –Aug (31/10/1811)</t>
        </r>
        <r>
          <rPr>
            <sz val="14"/>
            <color rgb="FF000000"/>
            <rFont val="Calibri"/>
            <family val="34"/>
          </rPr>
          <t xml:space="preserve">
</t>
        </r>
        <r>
          <rPr>
            <sz val="14"/>
            <color rgb="FF000000"/>
            <rFont val="Times New Roman"/>
            <family val="18"/>
          </rPr>
          <t>ML 5293 IR 63 (1810) AL/TL – TL IR 13-&gt;IR 63 Nr. 43 (Graz 02/09/1810)</t>
        </r>
        <r>
          <rPr>
            <sz val="14"/>
            <color rgb="FF000000"/>
            <rFont val="Calibri"/>
            <family val="34"/>
          </rPr>
          <t xml:space="preserve">
</t>
        </r>
        <r>
          <rPr>
            <sz val="14"/>
            <color rgb="FF000000"/>
            <rFont val="Times New Roman"/>
            <family val="18"/>
          </rPr>
          <t>ML 8809 GK 1. Gal. 1 (1807-17) – RL 1812 4. Komp. Nr. 225 (Buczacz 26/10/1812); ML 1817 4. Komp. Nr. 121 (Sereth 18/09/1817)</t>
        </r>
        <r>
          <rPr>
            <sz val="14"/>
            <color rgb="FF000000"/>
            <rFont val="Calibri"/>
            <family val="34"/>
          </rPr>
          <t xml:space="preserve">
</t>
        </r>
      </text>
    </comment>
    <comment ref="BH599" authorId="0" shapeId="0" xr:uid="{8294027C-5A07-C94D-B329-FCA674ABA1EA}">
      <text>
        <r>
          <rPr>
            <sz val="14"/>
            <color rgb="FF000000"/>
            <rFont val="Calibri"/>
            <family val="34"/>
          </rPr>
          <t xml:space="preserve">IR 13 (1807-1810)
</t>
        </r>
        <r>
          <rPr>
            <sz val="14"/>
            <color rgb="FF000000"/>
            <rFont val="Calibri"/>
            <family val="34"/>
          </rPr>
          <t xml:space="preserve">IR 63 (1810-1811)
</t>
        </r>
        <r>
          <rPr>
            <sz val="14"/>
            <color rgb="FF000000"/>
            <rFont val="Calibri"/>
            <family val="34"/>
          </rPr>
          <t xml:space="preserve">GB 1 (1811)
</t>
        </r>
        <r>
          <rPr>
            <sz val="14"/>
            <color rgb="FF000000"/>
            <rFont val="Calibri"/>
            <family val="34"/>
          </rPr>
          <t xml:space="preserve">GK 1. Gal. (1812-17)
</t>
        </r>
      </text>
    </comment>
    <comment ref="T600" authorId="0" shapeId="0" xr:uid="{52A9C56F-84C7-1D43-865D-23536BC6AE6B}">
      <text>
        <r>
          <rPr>
            <sz val="14"/>
            <color rgb="FF000000"/>
            <rFont val="Calibri"/>
            <family val="34"/>
          </rPr>
          <t xml:space="preserve">171.59 [5.5.2. (ML 1811)]
</t>
        </r>
        <r>
          <rPr>
            <sz val="14"/>
            <color rgb="FF000000"/>
            <rFont val="Calibri"/>
            <family val="34"/>
          </rPr>
          <t>168.96 [5.4.2 (ML 1818)]</t>
        </r>
      </text>
    </comment>
    <comment ref="BF600" authorId="0" shapeId="0" xr:uid="{07966ECD-5C3B-D049-BE84-609D40F84D4D}">
      <text>
        <r>
          <rPr>
            <sz val="14"/>
            <color rgb="FFFF0000"/>
            <rFont val="Times New Roman"/>
            <family val="18"/>
          </rPr>
          <t xml:space="preserve">??/03/1807 </t>
        </r>
        <r>
          <rPr>
            <i/>
            <sz val="14"/>
            <color rgb="FFFF0000"/>
            <rFont val="Times New Roman"/>
            <family val="18"/>
          </rPr>
          <t>In Monat März 1807 gegen 3Fl Handgeld aud 10 Jahr assentiert</t>
        </r>
        <r>
          <rPr>
            <sz val="14"/>
            <color rgb="FFFF0000"/>
            <rFont val="Times New Roman"/>
            <family val="18"/>
          </rPr>
          <t xml:space="preserve"> [Nach Aussaage des Mannes] [ML 1811]</t>
        </r>
        <r>
          <rPr>
            <sz val="14"/>
            <color rgb="FF000000"/>
            <rFont val="Calibri"/>
            <family val="34"/>
          </rPr>
          <t xml:space="preserve">
</t>
        </r>
        <r>
          <rPr>
            <sz val="14"/>
            <color rgb="FF000000"/>
            <rFont val="Times New Roman"/>
            <family val="18"/>
          </rPr>
          <t xml:space="preserve">15/03/1807 </t>
        </r>
        <r>
          <rPr>
            <i/>
            <sz val="14"/>
            <color rgb="FF000000"/>
            <rFont val="Times New Roman"/>
            <family val="18"/>
          </rPr>
          <t xml:space="preserve">Gegen 3Fl auf 10 Jahren zu Chesteler inf. Regiment </t>
        </r>
        <r>
          <rPr>
            <b/>
            <i/>
            <sz val="14"/>
            <color rgb="FF000000"/>
            <rFont val="Times New Roman"/>
            <family val="18"/>
          </rPr>
          <t>nr. 46</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01/12/1807 </t>
        </r>
        <r>
          <rPr>
            <i/>
            <sz val="14"/>
            <color rgb="FF000000"/>
            <rFont val="Times New Roman"/>
            <family val="18"/>
          </rPr>
          <t>Von IR 46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44 zum Stabs infantrie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Staabs Infanterie wieder zum Ir 44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21/02/1811 </t>
        </r>
        <r>
          <rPr>
            <i/>
            <sz val="14"/>
            <color rgb="FF000000"/>
            <rFont val="Times New Roman"/>
            <family val="18"/>
          </rPr>
          <t>Von den 7. Fousilier Companie zur 1. Gren. Komp. trasnferiert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02/09/1811 Muster: IR 44 10. Fus. Komp. Nr. 21</t>
        </r>
        <r>
          <rPr>
            <sz val="14"/>
            <color rgb="FF000000"/>
            <rFont val="Calibri"/>
            <family val="34"/>
          </rPr>
          <t xml:space="preserve">
</t>
        </r>
        <r>
          <rPr>
            <sz val="14"/>
            <color rgb="FF000000"/>
            <rFont val="Times New Roman"/>
            <family val="18"/>
          </rPr>
          <t>19/09/1812 Revision: IR 44 Gren. Komp. Nr. 72</t>
        </r>
        <r>
          <rPr>
            <sz val="14"/>
            <color rgb="FF000000"/>
            <rFont val="Calibri"/>
            <family val="34"/>
          </rPr>
          <t xml:space="preserve">
</t>
        </r>
        <r>
          <rPr>
            <sz val="14"/>
            <color rgb="FF000000"/>
            <rFont val="Times New Roman"/>
            <family val="18"/>
          </rPr>
          <t xml:space="preserve">28/08/1813 </t>
        </r>
        <r>
          <rPr>
            <i/>
            <sz val="14"/>
            <color rgb="FF000000"/>
            <rFont val="Times New Roman"/>
            <family val="18"/>
          </rPr>
          <t>Vor Feind Vermisst</t>
        </r>
        <r>
          <rPr>
            <sz val="14"/>
            <color rgb="FF000000"/>
            <rFont val="Times New Roman"/>
            <family val="18"/>
          </rPr>
          <t xml:space="preserve"> </t>
        </r>
        <r>
          <rPr>
            <b/>
            <sz val="14"/>
            <color rgb="FF000000"/>
            <rFont val="Times New Roman"/>
            <family val="18"/>
          </rPr>
          <t>[Battle of Dresden]</t>
        </r>
        <r>
          <rPr>
            <sz val="14"/>
            <color rgb="FF000000"/>
            <rFont val="Calibri"/>
            <family val="34"/>
          </rPr>
          <t xml:space="preserve">
</t>
        </r>
        <r>
          <rPr>
            <sz val="14"/>
            <color rgb="FF000000"/>
            <rFont val="Times New Roman"/>
            <family val="18"/>
          </rPr>
          <t xml:space="preserve">16/10/1813 </t>
        </r>
        <r>
          <rPr>
            <i/>
            <sz val="14"/>
            <color rgb="FF000000"/>
            <rFont val="Times New Roman"/>
            <family val="18"/>
          </rPr>
          <t>Wieder Anhero</t>
        </r>
        <r>
          <rPr>
            <sz val="14"/>
            <color rgb="FF000000"/>
            <rFont val="Calibri"/>
            <family val="34"/>
          </rPr>
          <t xml:space="preserve">
</t>
        </r>
        <r>
          <rPr>
            <sz val="14"/>
            <color rgb="FF000000"/>
            <rFont val="Times New Roman"/>
            <family val="18"/>
          </rPr>
          <t>05/01/1818 Muster: IR 44 1. Gren. Komp. Nr. 129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31/03/1818 </t>
        </r>
        <r>
          <rPr>
            <i/>
            <sz val="14"/>
            <color rgb="FF000000"/>
            <rFont val="Times New Roman"/>
            <family val="18"/>
          </rPr>
          <t>Als Ausgedienter Capitulant mit Absehid entlassen</t>
        </r>
        <r>
          <rPr>
            <sz val="14"/>
            <color rgb="FF000000"/>
            <rFont val="Times New Roman"/>
            <family val="18"/>
          </rPr>
          <t xml:space="preserve"> [ML 1818]</t>
        </r>
      </text>
    </comment>
    <comment ref="BG600" authorId="0" shapeId="0" xr:uid="{3A1788AA-1921-F441-940C-2638A35B68A2}">
      <text>
        <r>
          <rPr>
            <sz val="14"/>
            <color rgb="FF000000"/>
            <rFont val="Times New Roman"/>
            <family val="18"/>
          </rPr>
          <t>ML 3911 IR 44 (1808-10) – 7. Fus. Komp. Nr. 71 (Papa 27/09/1810)</t>
        </r>
        <r>
          <rPr>
            <sz val="14"/>
            <color rgb="FF000000"/>
            <rFont val="Calibri"/>
            <family val="34"/>
          </rPr>
          <t xml:space="preserve">
</t>
        </r>
        <r>
          <rPr>
            <sz val="14"/>
            <color rgb="FF000000"/>
            <rFont val="Times New Roman"/>
            <family val="18"/>
          </rPr>
          <t>ML 3912-3 IR 44 (1811) – 1. Gren. Komp. Nr. 84 (Pest 02/09/1811)</t>
        </r>
        <r>
          <rPr>
            <sz val="14"/>
            <color rgb="FF000000"/>
            <rFont val="Calibri"/>
            <family val="34"/>
          </rPr>
          <t xml:space="preserve">
</t>
        </r>
        <r>
          <rPr>
            <sz val="14"/>
            <color rgb="FF000000"/>
            <rFont val="Times New Roman"/>
            <family val="18"/>
          </rPr>
          <t>ML 3914 IR 44 (1812-16) – 1. Gren. Komp. Nr. 72 (Pest 19/09/1812)</t>
        </r>
        <r>
          <rPr>
            <sz val="14"/>
            <color rgb="FF000000"/>
            <rFont val="Calibri"/>
            <family val="34"/>
          </rPr>
          <t xml:space="preserve">
</t>
        </r>
        <r>
          <rPr>
            <sz val="14"/>
            <color rgb="FF000000"/>
            <rFont val="Times New Roman"/>
            <family val="18"/>
          </rPr>
          <t>ML 3915/7 IR 44 (1818) – 1. Gren. Komp. Nr. 129 (Lemberg 05/01/1818). 1. Gren. Komp. Abgang (Stuhlweißenburg 25/09/1818)</t>
        </r>
        <r>
          <rPr>
            <sz val="14"/>
            <color rgb="FF000000"/>
            <rFont val="Calibri"/>
            <family val="34"/>
          </rPr>
          <t xml:space="preserve">
</t>
        </r>
      </text>
    </comment>
    <comment ref="BH600" authorId="0" shapeId="0" xr:uid="{EA4E5986-EDFE-B242-9EF8-2F417E1D81E9}">
      <text>
        <r>
          <rPr>
            <sz val="14"/>
            <color rgb="FF000000"/>
            <rFont val="Calibri"/>
            <family val="34"/>
          </rPr>
          <t xml:space="preserve">IR 46 (1807)
</t>
        </r>
        <r>
          <rPr>
            <sz val="14"/>
            <color rgb="FF000000"/>
            <rFont val="Calibri"/>
            <family val="34"/>
          </rPr>
          <t xml:space="preserve">IR 44 (1807-1809)
</t>
        </r>
        <r>
          <rPr>
            <sz val="14"/>
            <color rgb="FF000000"/>
            <rFont val="Calibri"/>
            <family val="34"/>
          </rPr>
          <t xml:space="preserve">SInf (1809)
</t>
        </r>
        <r>
          <rPr>
            <sz val="14"/>
            <color rgb="FF000000"/>
            <rFont val="Calibri"/>
            <family val="34"/>
          </rPr>
          <t xml:space="preserve">IR 44 (1809-1818)
</t>
        </r>
      </text>
    </comment>
    <comment ref="BF601" authorId="0" shapeId="0" xr:uid="{39906B1C-5FB0-5444-81F0-D6F9C431A553}">
      <text>
        <r>
          <rPr>
            <i/>
            <sz val="14"/>
            <color rgb="FF000000"/>
            <rFont val="Times New Roman"/>
            <family val="18"/>
          </rPr>
          <t>2 Jahren bei Reuss Plauen</t>
        </r>
        <r>
          <rPr>
            <sz val="14"/>
            <color rgb="FF000000"/>
            <rFont val="Times New Roman"/>
            <family val="18"/>
          </rPr>
          <t xml:space="preserve"> </t>
        </r>
        <r>
          <rPr>
            <b/>
            <sz val="14"/>
            <color rgb="FF000000"/>
            <rFont val="Times New Roman"/>
            <family val="18"/>
          </rPr>
          <t>[IR 17]</t>
        </r>
        <r>
          <rPr>
            <sz val="14"/>
            <color rgb="FF000000"/>
            <rFont val="Times New Roman"/>
            <family val="18"/>
          </rPr>
          <t xml:space="preserve"> gedient [AL 1809]</t>
        </r>
        <r>
          <rPr>
            <sz val="14"/>
            <color rgb="FF000000"/>
            <rFont val="Calibri"/>
            <family val="34"/>
          </rPr>
          <t xml:space="preserve">
</t>
        </r>
        <r>
          <rPr>
            <sz val="14"/>
            <color rgb="FF000000"/>
            <rFont val="Times New Roman"/>
            <family val="18"/>
          </rPr>
          <t xml:space="preserve">22/03/1809 </t>
        </r>
        <r>
          <rPr>
            <i/>
            <sz val="14"/>
            <color rgb="FF000000"/>
            <rFont val="Times New Roman"/>
            <family val="18"/>
          </rPr>
          <t xml:space="preserve">A 15Fl Handgeld als Eximierte Inländer Rekrut in Leitmeritz zum Legion EH Carl 4. Bataillon engagiert und zum 1. Kompanie zugeteilt </t>
        </r>
        <r>
          <rPr>
            <sz val="14"/>
            <color rgb="FF000000"/>
            <rFont val="Times New Roman"/>
            <family val="18"/>
          </rPr>
          <t>[AL March 1809 &amp; ST March 1809]</t>
        </r>
        <r>
          <rPr>
            <sz val="14"/>
            <color rgb="FF000000"/>
            <rFont val="Calibri"/>
            <family val="34"/>
          </rPr>
          <t xml:space="preserve">
</t>
        </r>
        <r>
          <rPr>
            <sz val="14"/>
            <color rgb="FF000000"/>
            <rFont val="Times New Roman"/>
            <family val="18"/>
          </rPr>
          <t xml:space="preserve">16/04/1809 </t>
        </r>
        <r>
          <rPr>
            <i/>
            <sz val="14"/>
            <color rgb="FF000000"/>
            <rFont val="Times New Roman"/>
            <family val="18"/>
          </rPr>
          <t>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23/04/1809 </t>
        </r>
        <r>
          <rPr>
            <i/>
            <sz val="14"/>
            <color rgb="FF000000"/>
            <rFont val="Times New Roman"/>
            <family val="18"/>
          </rPr>
          <t>Während der Marche vermisst</t>
        </r>
        <r>
          <rPr>
            <sz val="14"/>
            <color rgb="FF000000"/>
            <rFont val="Times New Roman"/>
            <family val="18"/>
          </rPr>
          <t xml:space="preserve"> [ST April 1809] </t>
        </r>
      </text>
    </comment>
    <comment ref="BG601" authorId="0" shapeId="0" xr:uid="{C79E7D4A-D6F6-B64B-ADE5-9A81CDE93632}">
      <text>
        <r>
          <rPr>
            <sz val="14"/>
            <color rgb="FF000000"/>
            <rFont val="Times New Roman"/>
            <family val="18"/>
          </rPr>
          <t>ML 10.818 Legion EH Carl 4. Bat. (1809-10) – AL. Nr. 43 (Leitmeritz, 24/03/1809); ST March 1809 (Prague 23/03/1810); April (Prague 19/05/1810)</t>
        </r>
      </text>
    </comment>
    <comment ref="BH601" authorId="0" shapeId="0" xr:uid="{A07A3A30-8DC8-9A48-96CB-C2A630900643}">
      <text>
        <r>
          <rPr>
            <sz val="14"/>
            <color rgb="FF000000"/>
            <rFont val="Calibri"/>
            <family val="34"/>
          </rPr>
          <t xml:space="preserve">IR 17 (18??-18??)
</t>
        </r>
        <r>
          <rPr>
            <sz val="14"/>
            <color rgb="FF000000"/>
            <rFont val="Calibri"/>
            <family val="34"/>
          </rPr>
          <t>Legion EH Carl (1809)</t>
        </r>
      </text>
    </comment>
    <comment ref="BF602" authorId="0" shapeId="0" xr:uid="{6B6EF74A-6073-F546-A831-316F9B719125}">
      <text>
        <r>
          <rPr>
            <sz val="14"/>
            <color rgb="FF000000"/>
            <rFont val="Times New Roman"/>
            <family val="18"/>
          </rPr>
          <t xml:space="preserve">25/03/1807 </t>
        </r>
        <r>
          <rPr>
            <i/>
            <sz val="14"/>
            <color rgb="FF000000"/>
            <rFont val="Times New Roman"/>
            <family val="18"/>
          </rPr>
          <t>Ländstandisch gestellt und gegen 3Fl H.g.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22/04/1809 </t>
        </r>
        <r>
          <rPr>
            <i/>
            <sz val="14"/>
            <color rgb="FF000000"/>
            <rFont val="Times New Roman"/>
            <family val="18"/>
          </rPr>
          <t>Bey Regensburg 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01/08/1809 </t>
        </r>
        <r>
          <rPr>
            <i/>
            <sz val="14"/>
            <color rgb="FF000000"/>
            <rFont val="Times New Roman"/>
            <family val="18"/>
          </rPr>
          <t>Ohne Zwachs Dokumenten als 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07/08/1809 </t>
        </r>
        <r>
          <rPr>
            <i/>
            <sz val="14"/>
            <color rgb="FF000000"/>
            <rFont val="Times New Roman"/>
            <family val="18"/>
          </rPr>
          <t>In Marsche zur Reserve zur Abholung der Recourten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Kommandiert zur Reserve Division in Caschau</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31/09/1809 </t>
        </r>
        <r>
          <rPr>
            <i/>
            <sz val="14"/>
            <color rgb="FF000000"/>
            <rFont val="Times New Roman"/>
            <family val="18"/>
          </rPr>
          <t>Wieder in Kompanie</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25/09/1810 Revision: IR 44 1. Fus Komp Nr. 116 [</t>
        </r>
        <r>
          <rPr>
            <i/>
            <sz val="14"/>
            <color rgb="FF000000"/>
            <rFont val="Times New Roman"/>
            <family val="18"/>
          </rPr>
          <t>Commandiert auf Arbeit in Comorn</t>
        </r>
        <r>
          <rPr>
            <sz val="14"/>
            <color rgb="FF000000"/>
            <rFont val="Times New Roman"/>
            <family val="18"/>
          </rPr>
          <t>]</t>
        </r>
        <r>
          <rPr>
            <sz val="14"/>
            <color rgb="FF000000"/>
            <rFont val="Calibri"/>
            <family val="34"/>
          </rPr>
          <t xml:space="preserve">
</t>
        </r>
        <r>
          <rPr>
            <sz val="14"/>
            <color rgb="FF000000"/>
            <rFont val="Times New Roman"/>
            <family val="18"/>
          </rPr>
          <t>18/09/1811 Muster: IR 44 1. Fus. Komp. Nr. 89</t>
        </r>
        <r>
          <rPr>
            <sz val="14"/>
            <color rgb="FF000000"/>
            <rFont val="Calibri"/>
            <family val="34"/>
          </rPr>
          <t xml:space="preserve">
</t>
        </r>
      </text>
    </comment>
    <comment ref="BG602" authorId="0" shapeId="0" xr:uid="{6A422916-D110-3541-B9FA-278DB84BE48C}">
      <text>
        <r>
          <rPr>
            <sz val="14"/>
            <color rgb="FF000000"/>
            <rFont val="Times New Roman"/>
            <family val="18"/>
          </rPr>
          <t>ML 3911 IR 44 (1808-10) – 1. Us. Komp. Nr. 116 (Stuhlwissenburg 25.09/1810)</t>
        </r>
        <r>
          <rPr>
            <sz val="14"/>
            <color rgb="FF000000"/>
            <rFont val="Calibri"/>
            <family val="34"/>
          </rPr>
          <t xml:space="preserve">
</t>
        </r>
        <r>
          <rPr>
            <sz val="14"/>
            <color rgb="FF000000"/>
            <rFont val="Times New Roman"/>
            <family val="18"/>
          </rPr>
          <t>ML 3912-3 IR 44 (1811) – 1. Fus. Komp. Nr. 89 (Pappa 18/09/1811)</t>
        </r>
        <r>
          <rPr>
            <sz val="14"/>
            <color rgb="FF000000"/>
            <rFont val="Calibri"/>
            <family val="34"/>
          </rPr>
          <t xml:space="preserve">
</t>
        </r>
        <r>
          <rPr>
            <sz val="14"/>
            <color rgb="FF000000"/>
            <rFont val="Times New Roman"/>
            <family val="18"/>
          </rPr>
          <t>ML 3914 IR 44 (1812-16) – 1. Gren. Komp. Abgang (Pest 19/09/1812)</t>
        </r>
        <r>
          <rPr>
            <sz val="14"/>
            <color rgb="FF000000"/>
            <rFont val="Calibri"/>
            <family val="34"/>
          </rPr>
          <t xml:space="preserve">
</t>
        </r>
        <r>
          <rPr>
            <sz val="14"/>
            <color rgb="FF000000"/>
            <rFont val="Times New Roman"/>
            <family val="18"/>
          </rPr>
          <t>ML 3960 IR 44 (1809) – Aug (Ofen 25/06/1811), Sept (Ofen 20/05/1811)</t>
        </r>
      </text>
    </comment>
    <comment ref="BH602" authorId="0" shapeId="0" xr:uid="{220847FA-E9AF-964D-85F4-4E2B5E5CE361}">
      <text>
        <r>
          <rPr>
            <sz val="14"/>
            <color rgb="FF000000"/>
            <rFont val="Calibri"/>
            <family val="34"/>
          </rPr>
          <t>IR 44 (1807-1812)</t>
        </r>
      </text>
    </comment>
    <comment ref="BF603" authorId="0" shapeId="0" xr:uid="{F352AD89-A904-9045-98F0-FC59F66602E5}">
      <text>
        <r>
          <rPr>
            <sz val="14"/>
            <color rgb="FF000000"/>
            <rFont val="Times New Roman"/>
            <family val="18"/>
          </rPr>
          <t xml:space="preserve">28/03/1807 </t>
        </r>
        <r>
          <rPr>
            <i/>
            <sz val="14"/>
            <color rgb="FF000000"/>
            <rFont val="Times New Roman"/>
            <family val="18"/>
          </rPr>
          <t>Landständisch gestellt und gegen 3 Fl Handgeld auf 10 Jahr zu Neu Sandetz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7. Fus. Komp. Nr. 206 [</t>
        </r>
        <r>
          <rPr>
            <i/>
            <sz val="14"/>
            <color rgb="FF000000"/>
            <rFont val="Times New Roman"/>
            <family val="18"/>
          </rPr>
          <t>Commandiert bei der Triangulierung</t>
        </r>
        <r>
          <rPr>
            <sz val="14"/>
            <color rgb="FF000000"/>
            <rFont val="Times New Roman"/>
            <family val="18"/>
          </rPr>
          <t xml:space="preserve">] </t>
        </r>
        <r>
          <rPr>
            <sz val="14"/>
            <color rgb="FF000000"/>
            <rFont val="Calibri"/>
            <family val="34"/>
          </rPr>
          <t xml:space="preserve">
</t>
        </r>
        <r>
          <rPr>
            <sz val="14"/>
            <color rgb="FF000000"/>
            <rFont val="Times New Roman"/>
            <family val="18"/>
          </rPr>
          <t>20/09/1811 Muster: IR 44 7. Fus. Komp. Nr. 130 [</t>
        </r>
        <r>
          <rPr>
            <i/>
            <sz val="14"/>
            <color rgb="FF000000"/>
            <rFont val="Times New Roman"/>
            <family val="18"/>
          </rPr>
          <t>Zu Fünfkirchen kommandiert</t>
        </r>
        <r>
          <rPr>
            <sz val="14"/>
            <color rgb="FF000000"/>
            <rFont val="Times New Roman"/>
            <family val="18"/>
          </rPr>
          <t>]</t>
        </r>
        <r>
          <rPr>
            <sz val="14"/>
            <color rgb="FF000000"/>
            <rFont val="Calibri"/>
            <family val="34"/>
          </rPr>
          <t xml:space="preserve">
</t>
        </r>
        <r>
          <rPr>
            <sz val="14"/>
            <color rgb="FF000000"/>
            <rFont val="Times New Roman"/>
            <family val="18"/>
          </rPr>
          <t xml:space="preserve">15/07/1812 </t>
        </r>
        <r>
          <rPr>
            <i/>
            <sz val="14"/>
            <color rgb="FF000000"/>
            <rFont val="Times New Roman"/>
            <family val="18"/>
          </rPr>
          <t xml:space="preserve">Von. IR 44 7. Fus. Komp. zur Inf </t>
        </r>
        <r>
          <rPr>
            <sz val="14"/>
            <color rgb="FF000000"/>
            <rFont val="Times New Roman"/>
            <family val="18"/>
          </rPr>
          <t>[</t>
        </r>
        <r>
          <rPr>
            <b/>
            <sz val="14"/>
            <color rgb="FF000000"/>
            <rFont val="Times New Roman"/>
            <family val="18"/>
          </rPr>
          <t>IR 22]</t>
        </r>
        <r>
          <rPr>
            <i/>
            <sz val="14"/>
            <color rgb="FF000000"/>
            <rFont val="Times New Roman"/>
            <family val="18"/>
          </rPr>
          <t xml:space="preserve"> transferiert </t>
        </r>
        <r>
          <rPr>
            <sz val="14"/>
            <color rgb="FF000000"/>
            <rFont val="Times New Roman"/>
            <family val="18"/>
          </rPr>
          <t>[RL 1812]</t>
        </r>
        <r>
          <rPr>
            <sz val="14"/>
            <color rgb="FF000000"/>
            <rFont val="Calibri"/>
            <family val="34"/>
          </rPr>
          <t xml:space="preserve">
</t>
        </r>
        <r>
          <rPr>
            <sz val="14"/>
            <color rgb="FF000000"/>
            <rFont val="Calibri"/>
            <family val="34"/>
          </rPr>
          <t xml:space="preserve">
</t>
        </r>
      </text>
    </comment>
    <comment ref="BG603" authorId="0" shapeId="0" xr:uid="{8AA1E95F-A8E2-4C43-AC22-FBC4251499D0}">
      <text>
        <r>
          <rPr>
            <sz val="14"/>
            <color rgb="FF000000"/>
            <rFont val="Times New Roman"/>
            <family val="18"/>
          </rPr>
          <t>ML 3911 IR 44 (1808-10) – 7. Fus. Komp. Nr. 206 (Papa 27/09/1810)</t>
        </r>
        <r>
          <rPr>
            <sz val="14"/>
            <color rgb="FF000000"/>
            <rFont val="Calibri"/>
            <family val="34"/>
          </rPr>
          <t xml:space="preserve">
</t>
        </r>
        <r>
          <rPr>
            <sz val="14"/>
            <color rgb="FF000000"/>
            <rFont val="Times New Roman"/>
            <family val="18"/>
          </rPr>
          <t>ML 3912-3 IR 44 (1810-11) – 7. Fus. Komp. Nr. 130 (Sthulweissenburg 20/09/1811)</t>
        </r>
        <r>
          <rPr>
            <sz val="14"/>
            <color rgb="FF000000"/>
            <rFont val="Calibri"/>
            <family val="34"/>
          </rPr>
          <t xml:space="preserve">
</t>
        </r>
        <r>
          <rPr>
            <sz val="14"/>
            <color rgb="FF000000"/>
            <rFont val="Times New Roman"/>
            <family val="18"/>
          </rPr>
          <t>ML 3914 IR 44 (1812/6) – 7. Fus. Komp. Abgang (Pest 19/09/1812)</t>
        </r>
        <r>
          <rPr>
            <sz val="14"/>
            <color rgb="FF000000"/>
            <rFont val="Calibri"/>
            <family val="34"/>
          </rPr>
          <t xml:space="preserve">
</t>
        </r>
      </text>
    </comment>
    <comment ref="BH603" authorId="0" shapeId="0" xr:uid="{D26E0D86-D4A1-854F-B79D-F885140B8CEB}">
      <text>
        <r>
          <rPr>
            <sz val="14"/>
            <color rgb="FF000000"/>
            <rFont val="Calibri"/>
            <family val="34"/>
          </rPr>
          <t xml:space="preserve">IR 44 (1807-1812)
</t>
        </r>
        <r>
          <rPr>
            <sz val="14"/>
            <color rgb="FF000000"/>
            <rFont val="Calibri"/>
            <family val="34"/>
          </rPr>
          <t>IR 22 (1812)</t>
        </r>
      </text>
    </comment>
    <comment ref="BF604" authorId="0" shapeId="0" xr:uid="{8AE6A886-7C4D-CA49-88FD-92058F403B39}">
      <text>
        <r>
          <rPr>
            <i/>
            <sz val="14"/>
            <color rgb="FF000000"/>
            <rFont val="Times New Roman"/>
            <family val="18"/>
          </rPr>
          <t>1 Jahr bei der EH Rainer</t>
        </r>
        <r>
          <rPr>
            <sz val="14"/>
            <color rgb="FF000000"/>
            <rFont val="Times New Roman"/>
            <family val="18"/>
          </rPr>
          <t xml:space="preserve"> [IR 11] </t>
        </r>
        <r>
          <rPr>
            <i/>
            <sz val="14"/>
            <color rgb="FF000000"/>
            <rFont val="Times New Roman"/>
            <family val="18"/>
          </rPr>
          <t xml:space="preserve">gedient </t>
        </r>
        <r>
          <rPr>
            <sz val="14"/>
            <color rgb="FF000000"/>
            <rFont val="Times New Roman"/>
            <family val="18"/>
          </rPr>
          <t xml:space="preserve">[TL Juli 1809] </t>
        </r>
        <r>
          <rPr>
            <sz val="14"/>
            <color rgb="FF000000"/>
            <rFont val="Calibri"/>
            <family val="34"/>
          </rPr>
          <t xml:space="preserve">
</t>
        </r>
        <r>
          <rPr>
            <sz val="14"/>
            <color rgb="FF000000"/>
            <rFont val="Times New Roman"/>
            <family val="18"/>
          </rPr>
          <t xml:space="preserve">16/01/1809 </t>
        </r>
        <r>
          <rPr>
            <i/>
            <sz val="14"/>
            <color rgb="FF000000"/>
            <rFont val="Times New Roman"/>
            <family val="18"/>
          </rPr>
          <t xml:space="preserve">Von ständen Gestellt und assentiert </t>
        </r>
        <r>
          <rPr>
            <sz val="14"/>
            <color rgb="FF000000"/>
            <rFont val="Times New Roman"/>
            <family val="18"/>
          </rPr>
          <t>[TL Juli 1809 &amp; ML 1811]</t>
        </r>
        <r>
          <rPr>
            <sz val="14"/>
            <color rgb="FF000000"/>
            <rFont val="Calibri"/>
            <family val="34"/>
          </rPr>
          <t xml:space="preserve">
</t>
        </r>
        <r>
          <rPr>
            <sz val="14"/>
            <color rgb="FF000000"/>
            <rFont val="Times New Roman"/>
            <family val="18"/>
          </rPr>
          <t xml:space="preserve">29/06/1809 </t>
        </r>
        <r>
          <rPr>
            <i/>
            <sz val="14"/>
            <color rgb="FF000000"/>
            <rFont val="Times New Roman"/>
            <family val="18"/>
          </rPr>
          <t>Zum militär Fuhrwesen Corps und darselbst 1809 bis zum Corporal avanciert</t>
        </r>
        <r>
          <rPr>
            <sz val="14"/>
            <color rgb="FF000000"/>
            <rFont val="Times New Roman"/>
            <family val="18"/>
          </rPr>
          <t xml:space="preserve"> [TL Juni 1809 &amp; ML 1809]</t>
        </r>
        <r>
          <rPr>
            <sz val="14"/>
            <color rgb="FF000000"/>
            <rFont val="Calibri"/>
            <family val="34"/>
          </rPr>
          <t xml:space="preserve">
</t>
        </r>
        <r>
          <rPr>
            <sz val="14"/>
            <color rgb="FF000000"/>
            <rFont val="Times New Roman"/>
            <family val="18"/>
          </rPr>
          <t>10/05/1810 Von MFWK zum CL 6 1. Major 2. Esk transferiert [ST Mai 1809]</t>
        </r>
        <r>
          <rPr>
            <sz val="14"/>
            <color rgb="FF000000"/>
            <rFont val="Calibri"/>
            <family val="34"/>
          </rPr>
          <t xml:space="preserve">
</t>
        </r>
        <r>
          <rPr>
            <sz val="14"/>
            <color rgb="FF000000"/>
            <rFont val="Times New Roman"/>
            <family val="18"/>
          </rPr>
          <t xml:space="preserve">01/07/1810 </t>
        </r>
        <r>
          <rPr>
            <i/>
            <sz val="14"/>
            <color rgb="FF000000"/>
            <rFont val="Times New Roman"/>
            <family val="18"/>
          </rPr>
          <t>In arrest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 xml:space="preserve">17/07/1810 </t>
        </r>
        <r>
          <rPr>
            <i/>
            <sz val="14"/>
            <color rgb="FF000000"/>
            <rFont val="Times New Roman"/>
            <family val="18"/>
          </rPr>
          <t>Befreit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 xml:space="preserve">18/07/1810 </t>
        </r>
        <r>
          <rPr>
            <i/>
            <sz val="14"/>
            <color rgb="FF000000"/>
            <rFont val="Times New Roman"/>
            <family val="18"/>
          </rPr>
          <t>Vermog Regiments Befehl det. Klattau unbestimmte Zeit zu Gemeiner suspendiert</t>
        </r>
        <r>
          <rPr>
            <sz val="14"/>
            <color rgb="FF000000"/>
            <rFont val="Times New Roman"/>
            <family val="18"/>
          </rPr>
          <t xml:space="preserve"> [ST Juli 1810]</t>
        </r>
        <r>
          <rPr>
            <sz val="14"/>
            <color rgb="FF000000"/>
            <rFont val="Calibri"/>
            <family val="34"/>
          </rPr>
          <t xml:space="preserve">
</t>
        </r>
        <r>
          <rPr>
            <sz val="14"/>
            <color rgb="FF000000"/>
            <rFont val="Times New Roman"/>
            <family val="18"/>
          </rPr>
          <t>12/09/1811 Muster: CL 6 1. Major 2. Esk. Nr. 85 [</t>
        </r>
        <r>
          <rPr>
            <i/>
            <sz val="14"/>
            <color rgb="FF000000"/>
            <rFont val="Times New Roman"/>
            <family val="18"/>
          </rPr>
          <t>Führt das Pferd des Beurlaubten Corporal Stespal</t>
        </r>
        <r>
          <rPr>
            <sz val="14"/>
            <color rgb="FF000000"/>
            <rFont val="Times New Roman"/>
            <family val="18"/>
          </rPr>
          <t>]</t>
        </r>
        <r>
          <rPr>
            <sz val="14"/>
            <color rgb="FF000000"/>
            <rFont val="Calibri"/>
            <family val="34"/>
          </rPr>
          <t xml:space="preserve">
</t>
        </r>
        <r>
          <rPr>
            <sz val="14"/>
            <color rgb="FF000000"/>
            <rFont val="Times New Roman"/>
            <family val="18"/>
          </rPr>
          <t>04/09/1812 Revision: CL 6 1. Major 2. Esk. Nr. 96</t>
        </r>
        <r>
          <rPr>
            <sz val="14"/>
            <color rgb="FF000000"/>
            <rFont val="Calibri"/>
            <family val="34"/>
          </rPr>
          <t xml:space="preserve">
</t>
        </r>
      </text>
    </comment>
    <comment ref="BG604" authorId="0" shapeId="0" xr:uid="{ADF8BD47-D2D2-8C45-9DBF-D118B46262C1}">
      <text>
        <r>
          <rPr>
            <sz val="14"/>
            <color rgb="FF000000"/>
            <rFont val="Times New Roman"/>
            <family val="18"/>
          </rPr>
          <t>ML 7250 CL 6 (1811-12) –ML 1811 1. Major 2. Esk. Nr. 85 (Jasberény 12/9/1811); RL 1812 1. Major 2. Esk. Nr. 96 (Jasberény 04/9/1811)</t>
        </r>
        <r>
          <rPr>
            <sz val="14"/>
            <color rgb="FF000000"/>
            <rFont val="Calibri"/>
            <family val="34"/>
          </rPr>
          <t xml:space="preserve">
</t>
        </r>
        <r>
          <rPr>
            <sz val="14"/>
            <color rgb="FF000000"/>
            <rFont val="Times New Roman"/>
            <family val="18"/>
          </rPr>
          <t xml:space="preserve">ML 7267 CL 6 (1810-11) – ST Mai 1810 (01/11/1810), ST Juli 1810 (01/01/1811) </t>
        </r>
      </text>
    </comment>
    <comment ref="BH604" authorId="0" shapeId="0" xr:uid="{2EE3665B-B599-1F4C-A8DB-CB5C5EF71512}">
      <text>
        <r>
          <rPr>
            <sz val="14"/>
            <color rgb="FF000000"/>
            <rFont val="Calibri"/>
            <family val="34"/>
          </rPr>
          <t xml:space="preserve">IR 11 (18??-18??)
</t>
        </r>
        <r>
          <rPr>
            <sz val="14"/>
            <color rgb="FF000000"/>
            <rFont val="Calibri"/>
            <family val="34"/>
          </rPr>
          <t xml:space="preserve">CL 6 (1809)
</t>
        </r>
        <r>
          <rPr>
            <sz val="14"/>
            <color rgb="FF000000"/>
            <rFont val="Calibri"/>
            <family val="34"/>
          </rPr>
          <t xml:space="preserve">MFWK (1809-10)
</t>
        </r>
        <r>
          <rPr>
            <sz val="14"/>
            <color rgb="FF000000"/>
            <rFont val="Calibri"/>
            <family val="34"/>
          </rPr>
          <t>CL 6 (1810-1812)</t>
        </r>
      </text>
    </comment>
    <comment ref="BF605" authorId="0" shapeId="0" xr:uid="{161D8664-DB71-6740-A409-14BAC3AE6FC2}">
      <text>
        <r>
          <rPr>
            <sz val="14"/>
            <color rgb="FF000000"/>
            <rFont val="Times New Roman"/>
            <family val="18"/>
          </rPr>
          <t xml:space="preserve">02/03/1808 </t>
        </r>
        <r>
          <rPr>
            <i/>
            <sz val="14"/>
            <color rgb="FF000000"/>
            <rFont val="Times New Roman"/>
            <family val="18"/>
          </rPr>
          <t>Von Ugosca Komität gestellt, gegen 3FL zum IR 39 assentiert, und zur 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2. Fus. Komp. Nr. 188</t>
        </r>
        <r>
          <rPr>
            <sz val="14"/>
            <color rgb="FF000000"/>
            <rFont val="Calibri"/>
            <family val="34"/>
          </rPr>
          <t xml:space="preserve">
</t>
        </r>
        <r>
          <rPr>
            <sz val="14"/>
            <color rgb="FF000000"/>
            <rFont val="Times New Roman"/>
            <family val="18"/>
          </rPr>
          <t xml:space="preserve">25/09/1810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605" authorId="0" shapeId="0" xr:uid="{37E633E8-5055-0944-A9E0-C7010C8354E5}">
      <text>
        <r>
          <rPr>
            <sz val="14"/>
            <color rgb="FF000000"/>
            <rFont val="Times New Roman"/>
            <family val="18"/>
          </rPr>
          <t>ML 3500 IR 39 (1808-10) – RL 1808 2. Fus. Komp. Nr. 188 (Comorn 19/09/1808)</t>
        </r>
        <r>
          <rPr>
            <sz val="14"/>
            <color rgb="FF000000"/>
            <rFont val="Calibri"/>
            <family val="34"/>
          </rPr>
          <t xml:space="preserve">
</t>
        </r>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3549 IR 39 (1808) – AL Ugosca Komität Nr. 24 (Munkats 31/03/1808)</t>
        </r>
        <r>
          <rPr>
            <sz val="14"/>
            <color rgb="FF000000"/>
            <rFont val="Calibri"/>
            <family val="34"/>
          </rPr>
          <t xml:space="preserve">
</t>
        </r>
      </text>
    </comment>
    <comment ref="BH605" authorId="0" shapeId="0" xr:uid="{AD21EA0A-A257-1D4B-B0CB-BDBC6E800994}">
      <text>
        <r>
          <rPr>
            <sz val="14"/>
            <color rgb="FF000000"/>
            <rFont val="Calibri"/>
            <family val="34"/>
          </rPr>
          <t>IR 39 (1808-1810)</t>
        </r>
      </text>
    </comment>
    <comment ref="BF606" authorId="0" shapeId="0" xr:uid="{31E49D03-DBAF-AC4C-86F8-269E6B055CB4}">
      <text>
        <r>
          <rPr>
            <sz val="14"/>
            <color rgb="FF000000"/>
            <rFont val="Times New Roman"/>
            <family val="18"/>
          </rPr>
          <t xml:space="preserve">04/03/1808 </t>
        </r>
        <r>
          <rPr>
            <i/>
            <sz val="14"/>
            <color rgb="FF000000"/>
            <rFont val="Times New Roman"/>
            <family val="18"/>
          </rPr>
          <t>Von Ung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193</t>
        </r>
        <r>
          <rPr>
            <sz val="14"/>
            <color rgb="FF000000"/>
            <rFont val="Calibri"/>
            <family val="34"/>
          </rPr>
          <t xml:space="preserve">
</t>
        </r>
        <r>
          <rPr>
            <sz val="14"/>
            <color rgb="FF000000"/>
            <rFont val="Times New Roman"/>
            <family val="18"/>
          </rPr>
          <t xml:space="preserve">21/10/1808 </t>
        </r>
        <r>
          <rPr>
            <i/>
            <sz val="14"/>
            <color rgb="FF000000"/>
            <rFont val="Times New Roman"/>
            <family val="18"/>
          </rPr>
          <t>Krank 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15/03/1809 </t>
        </r>
        <r>
          <rPr>
            <i/>
            <sz val="14"/>
            <color rgb="FF000000"/>
            <rFont val="Times New Roman"/>
            <family val="18"/>
          </rPr>
          <t>Gestorben</t>
        </r>
        <r>
          <rPr>
            <sz val="14"/>
            <color rgb="FF000000"/>
            <rFont val="Times New Roman"/>
            <family val="18"/>
          </rPr>
          <t xml:space="preserve"> [ML 1811]</t>
        </r>
        <r>
          <rPr>
            <sz val="14"/>
            <color rgb="FF000000"/>
            <rFont val="Calibri"/>
            <family val="2"/>
            <scheme val="minor"/>
          </rPr>
          <t xml:space="preserve"> </t>
        </r>
      </text>
    </comment>
    <comment ref="BG606" authorId="0" shapeId="0" xr:uid="{AD410A19-569F-D740-9560-AACA1EFC092F}">
      <text>
        <r>
          <rPr>
            <sz val="14"/>
            <color rgb="FF000000"/>
            <rFont val="Times New Roman"/>
            <family val="18"/>
          </rPr>
          <t>ML 3500 IR 39 (1808-10) – RL 1808 5. Fus. Komp. Nr. 193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Ung Komität Nr. 86 (Munkats 31/03/1808); ST Oct (Ofen 15/10/1810), Nov (Ofen 18/10/1810)</t>
        </r>
        <r>
          <rPr>
            <sz val="14"/>
            <color rgb="FF000000"/>
            <rFont val="Calibri"/>
            <family val="34"/>
          </rPr>
          <t xml:space="preserve">
</t>
        </r>
      </text>
    </comment>
    <comment ref="BH606" authorId="0" shapeId="0" xr:uid="{A335D44B-D9AC-9E48-8F0A-C18F5CE6786E}">
      <text>
        <r>
          <rPr>
            <sz val="14"/>
            <color rgb="FF000000"/>
            <rFont val="Calibri"/>
            <family val="34"/>
          </rPr>
          <t>IR 39 (1808-1809)</t>
        </r>
      </text>
    </comment>
    <comment ref="BF607" authorId="0" shapeId="0" xr:uid="{65782822-ED4B-E745-841A-E884257F851B}">
      <text>
        <r>
          <rPr>
            <sz val="14"/>
            <color rgb="FF000000"/>
            <rFont val="Times New Roman"/>
            <family val="18"/>
          </rPr>
          <t xml:space="preserve">07/03/1808 </t>
        </r>
        <r>
          <rPr>
            <i/>
            <sz val="14"/>
            <color rgb="FF000000"/>
            <rFont val="Times New Roman"/>
            <family val="18"/>
          </rPr>
          <t xml:space="preserve">Von Siroka </t>
        </r>
        <r>
          <rPr>
            <b/>
            <sz val="14"/>
            <color rgb="FF000000"/>
            <rFont val="Times New Roman"/>
            <family val="18"/>
          </rPr>
          <t>[</t>
        </r>
        <r>
          <rPr>
            <b/>
            <u/>
            <sz val="14"/>
            <color rgb="FF0563C1"/>
            <rFont val="Times New Roman"/>
            <family val="18"/>
          </rPr>
          <t>Široké,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16.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27/05/1808 </t>
        </r>
        <r>
          <rPr>
            <i/>
            <sz val="14"/>
            <color rgb="FF000000"/>
            <rFont val="Times New Roman"/>
            <family val="18"/>
          </rPr>
          <t>Krank mit auswärtiger Gebühr</t>
        </r>
        <r>
          <rPr>
            <sz val="14"/>
            <color rgb="FF000000"/>
            <rFont val="Times New Roman"/>
            <family val="18"/>
          </rPr>
          <t xml:space="preserve"> [ST May 1808]</t>
        </r>
        <r>
          <rPr>
            <sz val="14"/>
            <color rgb="FF000000"/>
            <rFont val="Calibri"/>
            <family val="34"/>
          </rPr>
          <t xml:space="preserve">
</t>
        </r>
        <r>
          <rPr>
            <sz val="14"/>
            <color rgb="FF000000"/>
            <rFont val="Times New Roman"/>
            <family val="18"/>
          </rPr>
          <t xml:space="preserve">19/07/1808 </t>
        </r>
        <r>
          <rPr>
            <i/>
            <sz val="14"/>
            <color rgb="FF000000"/>
            <rFont val="Times New Roman"/>
            <family val="18"/>
          </rPr>
          <t xml:space="preserve">Rekonvalesziert und bei 15. Fus. Komp. Kommandiert </t>
        </r>
        <r>
          <rPr>
            <sz val="14"/>
            <color rgb="FF000000"/>
            <rFont val="Times New Roman"/>
            <family val="18"/>
          </rPr>
          <t>[ST July 1808]</t>
        </r>
        <r>
          <rPr>
            <sz val="14"/>
            <color rgb="FF000000"/>
            <rFont val="Calibri"/>
            <family val="34"/>
          </rPr>
          <t xml:space="preserve">
</t>
        </r>
        <r>
          <rPr>
            <sz val="14"/>
            <color rgb="FF000000"/>
            <rFont val="Times New Roman"/>
            <family val="18"/>
          </rPr>
          <t>19/09/1808 Revision: IR 39 7. Fus. Komp. Nr. 178</t>
        </r>
        <r>
          <rPr>
            <sz val="14"/>
            <color rgb="FF000000"/>
            <rFont val="Calibri"/>
            <family val="34"/>
          </rPr>
          <t xml:space="preserve">
</t>
        </r>
        <r>
          <rPr>
            <sz val="14"/>
            <color rgb="FF000000"/>
            <rFont val="Times New Roman"/>
            <family val="18"/>
          </rPr>
          <t>15/10/1808</t>
        </r>
        <r>
          <rPr>
            <i/>
            <sz val="14"/>
            <color rgb="FF000000"/>
            <rFont val="Times New Roman"/>
            <family val="18"/>
          </rPr>
          <t xml:space="preserve"> Krank mit Auswärtiger Gebühr</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10/12/1808 </t>
        </r>
        <r>
          <rPr>
            <i/>
            <sz val="14"/>
            <color rgb="FF000000"/>
            <rFont val="Times New Roman"/>
            <family val="18"/>
          </rPr>
          <t>rekonvalesziert und seitdem auf anhero Marsch</t>
        </r>
        <r>
          <rPr>
            <sz val="14"/>
            <color rgb="FF000000"/>
            <rFont val="Times New Roman"/>
            <family val="18"/>
          </rPr>
          <t xml:space="preserve"> [ST Dec 1808]</t>
        </r>
        <r>
          <rPr>
            <sz val="14"/>
            <color rgb="FF000000"/>
            <rFont val="Calibri"/>
            <family val="34"/>
          </rPr>
          <t xml:space="preserve">
</t>
        </r>
        <r>
          <rPr>
            <sz val="14"/>
            <color rgb="FF000000"/>
            <rFont val="Times New Roman"/>
            <family val="18"/>
          </rPr>
          <t xml:space="preserve">22/12/1808 </t>
        </r>
        <r>
          <rPr>
            <i/>
            <sz val="14"/>
            <color rgb="FF000000"/>
            <rFont val="Times New Roman"/>
            <family val="18"/>
          </rPr>
          <t>Zu Prellenkirchen</t>
        </r>
        <r>
          <rPr>
            <sz val="14"/>
            <color rgb="FF000000"/>
            <rFont val="Times New Roman"/>
            <family val="18"/>
          </rPr>
          <t xml:space="preserve"> </t>
        </r>
        <r>
          <rPr>
            <b/>
            <sz val="14"/>
            <color rgb="FF000000"/>
            <rFont val="Times New Roman"/>
            <family val="18"/>
          </rPr>
          <t>[</t>
        </r>
        <r>
          <rPr>
            <b/>
            <u/>
            <sz val="14"/>
            <color rgb="FF0563C1"/>
            <rFont val="Times New Roman"/>
            <family val="18"/>
          </rPr>
          <t>Prellenkirchen, Austria</t>
        </r>
        <r>
          <rPr>
            <b/>
            <sz val="14"/>
            <color rgb="FF000000"/>
            <rFont val="Times New Roman"/>
            <family val="18"/>
          </rPr>
          <t>]</t>
        </r>
        <r>
          <rPr>
            <i/>
            <sz val="14"/>
            <color rgb="FF000000"/>
            <rFont val="Times New Roman"/>
            <family val="18"/>
          </rPr>
          <t xml:space="preserve"> auf anhero Marsch gestorben</t>
        </r>
        <r>
          <rPr>
            <sz val="14"/>
            <color rgb="FF000000"/>
            <rFont val="Times New Roman"/>
            <family val="18"/>
          </rPr>
          <t xml:space="preserve"> [ST Dec 1808]</t>
        </r>
        <r>
          <rPr>
            <sz val="14"/>
            <color rgb="FF000000"/>
            <rFont val="Calibri"/>
            <family val="34"/>
          </rPr>
          <t xml:space="preserve">
</t>
        </r>
      </text>
    </comment>
    <comment ref="BG607" authorId="0" shapeId="0" xr:uid="{3B373CC1-3813-AB4A-BFDF-058C64E4D659}">
      <text>
        <r>
          <rPr>
            <sz val="14"/>
            <color rgb="FF000000"/>
            <rFont val="Times New Roman"/>
            <family val="18"/>
          </rPr>
          <t>ML 3500 IR 39 (1808) – 8. Fus. Komp. Nr. 178 (Lager bei Comorn 19/09/1808)</t>
        </r>
        <r>
          <rPr>
            <sz val="14"/>
            <color rgb="FF000000"/>
            <rFont val="Calibri"/>
            <family val="34"/>
          </rPr>
          <t xml:space="preserve">
</t>
        </r>
        <r>
          <rPr>
            <sz val="14"/>
            <color rgb="FF000000"/>
            <rFont val="Times New Roman"/>
            <family val="18"/>
          </rPr>
          <t>ML 3549 IR 39 (1808) – AL Sáros Komität Nr. 35 (Eperies 31/03/1808); ST Mai (Pest 14/04/1810); ST Juli (Ofen ??/05/1810); Okt (Ofen 15/10/1810); Dez (??/??/1810)</t>
        </r>
        <r>
          <rPr>
            <sz val="14"/>
            <color rgb="FF000000"/>
            <rFont val="Calibri"/>
            <family val="34"/>
          </rPr>
          <t xml:space="preserve">
</t>
        </r>
        <r>
          <rPr>
            <sz val="14"/>
            <color rgb="FF000000"/>
            <rFont val="Calibri"/>
            <family val="34"/>
          </rPr>
          <t xml:space="preserve">
</t>
        </r>
      </text>
    </comment>
    <comment ref="BH607" authorId="0" shapeId="0" xr:uid="{BF4FBCE9-0896-DE4A-897B-89C57D336C4B}">
      <text>
        <r>
          <rPr>
            <sz val="14"/>
            <color rgb="FF000000"/>
            <rFont val="Calibri"/>
            <family val="34"/>
          </rPr>
          <t>IR 39 (1808)</t>
        </r>
      </text>
    </comment>
    <comment ref="BF608" authorId="0" shapeId="0" xr:uid="{5BB90B72-1CBB-4D4E-B6CD-3666C040DAE4}">
      <text>
        <r>
          <rPr>
            <sz val="14"/>
            <color rgb="FF000000"/>
            <rFont val="Times New Roman"/>
            <family val="18"/>
          </rPr>
          <t xml:space="preserve">08/03/1808 </t>
        </r>
        <r>
          <rPr>
            <i/>
            <sz val="14"/>
            <color rgb="FF000000"/>
            <rFont val="Times New Roman"/>
            <family val="18"/>
          </rPr>
          <t xml:space="preserve">Von Hanusovcze </t>
        </r>
        <r>
          <rPr>
            <b/>
            <sz val="14"/>
            <color rgb="FF000000"/>
            <rFont val="Times New Roman"/>
            <family val="18"/>
          </rPr>
          <t>[</t>
        </r>
        <r>
          <rPr>
            <b/>
            <u/>
            <sz val="14"/>
            <color rgb="FF0563C1"/>
            <rFont val="Times New Roman"/>
            <family val="18"/>
          </rPr>
          <t>Hanušovce nad Topľou,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2.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19/09/1808 Revision: IR 39 4. Fus. Komp. Nr. 203 </t>
        </r>
        <r>
          <rPr>
            <sz val="14"/>
            <color rgb="FF000000"/>
            <rFont val="Calibri"/>
            <family val="34"/>
          </rPr>
          <t xml:space="preserve">
</t>
        </r>
        <r>
          <rPr>
            <sz val="14"/>
            <color rgb="FF000000"/>
            <rFont val="Times New Roman"/>
            <family val="18"/>
          </rPr>
          <t xml:space="preserve">05/10/1808 </t>
        </r>
        <r>
          <rPr>
            <i/>
            <sz val="14"/>
            <color rgb="FF000000"/>
            <rFont val="Times New Roman"/>
            <family val="18"/>
          </rPr>
          <t>Krank mit auswärtiger Gebühr</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10/11/1808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05/05/1809 </t>
        </r>
        <r>
          <rPr>
            <i/>
            <sz val="14"/>
            <color rgb="FF000000"/>
            <rFont val="Times New Roman"/>
            <family val="18"/>
          </rPr>
          <t>Gegen Stellung anderen Mannes und Erlag des Monturs Geldes mit Abschied entlassen</t>
        </r>
        <r>
          <rPr>
            <sz val="14"/>
            <color rgb="FF000000"/>
            <rFont val="Times New Roman"/>
            <family val="18"/>
          </rPr>
          <t xml:space="preserve"> [ML 1811]</t>
        </r>
        <r>
          <rPr>
            <sz val="14"/>
            <color rgb="FF000000"/>
            <rFont val="Calibri"/>
            <family val="34"/>
          </rPr>
          <t xml:space="preserve">
</t>
        </r>
      </text>
    </comment>
    <comment ref="BG608" authorId="0" shapeId="0" xr:uid="{281D75F2-CE1B-614C-A62C-3D76F8E61550}">
      <text>
        <r>
          <rPr>
            <sz val="14"/>
            <color rgb="FF000000"/>
            <rFont val="Times New Roman"/>
            <family val="18"/>
          </rPr>
          <t>ML 3500 IR 39 (1808-10) – RL 1808 4. Fus. Komp. Nr. 203 (Feldlager bei Comorn 19/09/1808)</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Sáros Komität Nr. 87 (Eperies 31/03/1808); ST Oct (Ofen 15/10/1810), Nov (Ofen 18/10/1810)</t>
        </r>
        <r>
          <rPr>
            <sz val="14"/>
            <color rgb="FF000000"/>
            <rFont val="Calibri"/>
            <family val="34"/>
          </rPr>
          <t xml:space="preserve">
</t>
        </r>
      </text>
    </comment>
    <comment ref="BH608" authorId="0" shapeId="0" xr:uid="{B99784C4-7743-9A42-9A0F-9D6B77D4042B}">
      <text>
        <r>
          <rPr>
            <sz val="14"/>
            <color rgb="FF000000"/>
            <rFont val="Calibri"/>
            <family val="34"/>
          </rPr>
          <t>IR 39 (1808-1809)</t>
        </r>
      </text>
    </comment>
    <comment ref="BF609" authorId="0" shapeId="0" xr:uid="{2824E08D-241C-6942-8514-BF2BC73BF5B0}">
      <text>
        <r>
          <rPr>
            <sz val="14"/>
            <color rgb="FF000000"/>
            <rFont val="Times New Roman"/>
            <family val="18"/>
          </rPr>
          <t xml:space="preserve">08/03/1808 </t>
        </r>
        <r>
          <rPr>
            <i/>
            <sz val="14"/>
            <color rgb="FF000000"/>
            <rFont val="Times New Roman"/>
            <family val="18"/>
          </rPr>
          <t xml:space="preserve">Von Makovicza </t>
        </r>
        <r>
          <rPr>
            <b/>
            <sz val="14"/>
            <color rgb="FF000000"/>
            <rFont val="Times New Roman"/>
            <family val="18"/>
          </rPr>
          <t>[</t>
        </r>
        <r>
          <rPr>
            <b/>
            <u/>
            <sz val="14"/>
            <color rgb="FF0563C1"/>
            <rFont val="Times New Roman"/>
            <family val="18"/>
          </rPr>
          <t>Makovce,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3.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18/09/1808 </t>
        </r>
        <r>
          <rPr>
            <i/>
            <sz val="14"/>
            <color rgb="FF000000"/>
            <rFont val="Times New Roman"/>
            <family val="18"/>
          </rPr>
          <t xml:space="preserve">Krank mit auswärtiger Gebühr </t>
        </r>
        <r>
          <rPr>
            <sz val="14"/>
            <color rgb="FF000000"/>
            <rFont val="Times New Roman"/>
            <family val="18"/>
          </rPr>
          <t>[ST Sept 1808]</t>
        </r>
        <r>
          <rPr>
            <sz val="14"/>
            <color rgb="FF000000"/>
            <rFont val="Calibri"/>
            <family val="34"/>
          </rPr>
          <t xml:space="preserve">
</t>
        </r>
        <r>
          <rPr>
            <sz val="14"/>
            <color rgb="FF000000"/>
            <rFont val="Times New Roman"/>
            <family val="18"/>
          </rPr>
          <t>19/09/1808 Revision: IR 39 3. Fus. Komp. Nr. 180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10/12/1808 </t>
        </r>
        <r>
          <rPr>
            <i/>
            <sz val="14"/>
            <color rgb="FF000000"/>
            <rFont val="Times New Roman"/>
            <family val="18"/>
          </rPr>
          <t>Rekonvalesziert</t>
        </r>
        <r>
          <rPr>
            <sz val="14"/>
            <color rgb="FF000000"/>
            <rFont val="Times New Roman"/>
            <family val="18"/>
          </rPr>
          <t xml:space="preserve"> [ST Dec 1810</t>
        </r>
        <r>
          <rPr>
            <sz val="14"/>
            <color rgb="FF000000"/>
            <rFont val="Calibri"/>
            <family val="34"/>
          </rPr>
          <t xml:space="preserve">
</t>
        </r>
        <r>
          <rPr>
            <sz val="14"/>
            <color rgb="FF000000"/>
            <rFont val="Times New Roman"/>
            <family val="18"/>
          </rPr>
          <t xml:space="preserve">19/12/1808 </t>
        </r>
        <r>
          <rPr>
            <i/>
            <sz val="14"/>
            <color rgb="FF000000"/>
            <rFont val="Times New Roman"/>
            <family val="18"/>
          </rPr>
          <t xml:space="preserve">Krank mit auswärtiger Gebühr </t>
        </r>
        <r>
          <rPr>
            <sz val="14"/>
            <color rgb="FF000000"/>
            <rFont val="Times New Roman"/>
            <family val="18"/>
          </rPr>
          <t>[ST Sept 1808]</t>
        </r>
        <r>
          <rPr>
            <sz val="14"/>
            <color rgb="FF000000"/>
            <rFont val="Calibri"/>
            <family val="34"/>
          </rPr>
          <t xml:space="preserve">
</t>
        </r>
        <r>
          <rPr>
            <sz val="14"/>
            <color rgb="FF000000"/>
            <rFont val="Times New Roman"/>
            <family val="18"/>
          </rPr>
          <t xml:space="preserve">20/05/1810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609" authorId="0" shapeId="0" xr:uid="{326ECE31-250E-C142-ABBB-98C0530DE6DB}">
      <text>
        <r>
          <rPr>
            <sz val="14"/>
            <color rgb="FF000000"/>
            <rFont val="Times New Roman"/>
            <family val="18"/>
          </rPr>
          <t>ML 3500 IR 39 (1808) – RL 3. Fus. Komp. Nr. 180 (Lager bei Comorn 19/09/1808); ST Sept (Ofern 10/10/1810), Dez (Ofen ??/??/1810)</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Sáros Komität Nr. 133 (Eperies 31/03/1808)</t>
        </r>
        <r>
          <rPr>
            <sz val="14"/>
            <color rgb="FF000000"/>
            <rFont val="Calibri"/>
            <family val="34"/>
          </rPr>
          <t xml:space="preserve">
</t>
        </r>
      </text>
    </comment>
    <comment ref="BH609" authorId="0" shapeId="0" xr:uid="{B4C86923-643B-F649-9FA6-5D02772D3194}">
      <text>
        <r>
          <rPr>
            <sz val="14"/>
            <color rgb="FF000000"/>
            <rFont val="Calibri"/>
            <family val="34"/>
          </rPr>
          <t>IR 39 (1808-1810)</t>
        </r>
      </text>
    </comment>
    <comment ref="BF610" authorId="0" shapeId="0" xr:uid="{5141B81F-DB49-E940-8405-351CB307474C}">
      <text>
        <r>
          <rPr>
            <sz val="14"/>
            <color rgb="FF000000"/>
            <rFont val="Times New Roman"/>
            <family val="18"/>
          </rPr>
          <t xml:space="preserve">09/03/1808 </t>
        </r>
        <r>
          <rPr>
            <i/>
            <sz val="14"/>
            <color rgb="FF000000"/>
            <rFont val="Times New Roman"/>
            <family val="18"/>
          </rPr>
          <t>Von Bereg Komität gestellt, gegen 3FL zum IR 39 assentiert, und zur 2.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08/05/1808 </t>
        </r>
        <r>
          <rPr>
            <i/>
            <sz val="14"/>
            <color rgb="FF000000"/>
            <rFont val="Times New Roman"/>
            <family val="18"/>
          </rPr>
          <t>Ex Loco desertiert</t>
        </r>
        <r>
          <rPr>
            <sz val="14"/>
            <color rgb="FF000000"/>
            <rFont val="Times New Roman"/>
            <family val="18"/>
          </rPr>
          <t xml:space="preserve"> [ML 1808]</t>
        </r>
        <r>
          <rPr>
            <sz val="14"/>
            <color rgb="FF000000"/>
            <rFont val="Calibri"/>
            <family val="34"/>
          </rPr>
          <t xml:space="preserve">
</t>
        </r>
      </text>
    </comment>
    <comment ref="BG610" authorId="0" shapeId="0" xr:uid="{22E7D46B-0C71-0144-946E-E3E65DCB4039}">
      <text>
        <r>
          <rPr>
            <sz val="14"/>
            <color rgb="FF000000"/>
            <rFont val="Times New Roman"/>
            <family val="18"/>
          </rPr>
          <t>ML 3500 IR 39 (1808-10) – RL 1808 4. Fus. Komp. Abgang (Feldlager bei Comorn 19/09/1808)</t>
        </r>
        <r>
          <rPr>
            <sz val="14"/>
            <color rgb="FF000000"/>
            <rFont val="Calibri"/>
            <family val="34"/>
          </rPr>
          <t xml:space="preserve">
</t>
        </r>
        <r>
          <rPr>
            <sz val="14"/>
            <color rgb="FF000000"/>
            <rFont val="Times New Roman"/>
            <family val="18"/>
          </rPr>
          <t>ML 3549 IR 39 (1808) – AL Bereg Komität Nr. 4 (Munkats 31/03/1808)</t>
        </r>
        <r>
          <rPr>
            <sz val="14"/>
            <color rgb="FF000000"/>
            <rFont val="Calibri"/>
            <family val="34"/>
          </rPr>
          <t xml:space="preserve">
</t>
        </r>
        <r>
          <rPr>
            <sz val="14"/>
            <color rgb="FF000000"/>
            <rFont val="Calibri"/>
            <family val="34"/>
          </rPr>
          <t xml:space="preserve">
</t>
        </r>
      </text>
    </comment>
    <comment ref="BH610" authorId="0" shapeId="0" xr:uid="{2F86D6EC-5254-6848-BEEC-B3F5119D7562}">
      <text>
        <r>
          <rPr>
            <sz val="14"/>
            <color rgb="FF000000"/>
            <rFont val="Calibri"/>
            <family val="34"/>
          </rPr>
          <t>IR 39 (1808)</t>
        </r>
      </text>
    </comment>
    <comment ref="BF611" authorId="0" shapeId="0" xr:uid="{55D1488C-90B5-3042-895D-7B1808F2EB29}">
      <text>
        <r>
          <rPr>
            <sz val="14"/>
            <color rgb="FF000000"/>
            <rFont val="Times New Roman"/>
            <family val="18"/>
          </rPr>
          <t xml:space="preserve">09/03/1808 </t>
        </r>
        <r>
          <rPr>
            <i/>
            <sz val="14"/>
            <color rgb="FF000000"/>
            <rFont val="Times New Roman"/>
            <family val="18"/>
          </rPr>
          <t xml:space="preserve">Von Mocharmann </t>
        </r>
        <r>
          <rPr>
            <b/>
            <sz val="14"/>
            <color rgb="FF000000"/>
            <rFont val="Times New Roman"/>
            <family val="18"/>
          </rPr>
          <t>[</t>
        </r>
        <r>
          <rPr>
            <b/>
            <u/>
            <sz val="14"/>
            <color rgb="FF0563C1"/>
            <rFont val="Times New Roman"/>
            <family val="18"/>
          </rPr>
          <t>Močarmany, Slovakia</t>
        </r>
        <r>
          <rPr>
            <b/>
            <sz val="14"/>
            <color rgb="FF000000"/>
            <rFont val="Times New Roman"/>
            <family val="18"/>
          </rPr>
          <t>]</t>
        </r>
        <r>
          <rPr>
            <sz val="14"/>
            <color rgb="FF000000"/>
            <rFont val="Times New Roman"/>
            <family val="18"/>
          </rPr>
          <t xml:space="preserve"> </t>
        </r>
        <r>
          <rPr>
            <i/>
            <sz val="14"/>
            <color rgb="FF000000"/>
            <rFont val="Times New Roman"/>
            <family val="18"/>
          </rPr>
          <t>in Saros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18/09/1808 </t>
        </r>
        <r>
          <rPr>
            <i/>
            <sz val="14"/>
            <color rgb="FF000000"/>
            <rFont val="Times New Roman"/>
            <family val="18"/>
          </rPr>
          <t>Krank mit auswärtiger Gebühr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20/10/1808 </t>
        </r>
        <r>
          <rPr>
            <i/>
            <sz val="14"/>
            <color rgb="FF000000"/>
            <rFont val="Times New Roman"/>
            <family val="18"/>
          </rPr>
          <t>Rekonvalesciert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26/10/1808 </t>
        </r>
        <r>
          <rPr>
            <i/>
            <sz val="14"/>
            <color rgb="FF000000"/>
            <rFont val="Times New Roman"/>
            <family val="18"/>
          </rPr>
          <t>Krank mit auswärtiger Gebühr</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19/09/1808 Revision: IR 39 5. Fus. Komp. Nr. 164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25/04/1809 </t>
        </r>
        <r>
          <rPr>
            <i/>
            <sz val="14"/>
            <color rgb="FF000000"/>
            <rFont val="Times New Roman"/>
            <family val="18"/>
          </rPr>
          <t>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11/07/1809 </t>
        </r>
        <r>
          <rPr>
            <i/>
            <sz val="14"/>
            <color rgb="FF000000"/>
            <rFont val="Times New Roman"/>
            <family val="18"/>
          </rPr>
          <t>Aus dem Kriegsgefangeschaft 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10/09/1810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611" authorId="0" shapeId="0" xr:uid="{A5FEB9DD-65F2-AD44-9BAA-7C207EE1525C}">
      <text>
        <r>
          <rPr>
            <sz val="14"/>
            <color rgb="FF000000"/>
            <rFont val="Times New Roman"/>
            <family val="18"/>
          </rPr>
          <t>ML 3500 IR 39 (1808-10) – RL 1808 5. Fus. Komp. Nr. 169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Sáros Komität Nr. 159 (Eperies 31/03/1808); ST Sept (Ofen 10/10/1810), Oct (Ofen 15/10/1810), Nov (Ofen 18/10/1810)</t>
        </r>
        <r>
          <rPr>
            <sz val="14"/>
            <color rgb="FF000000"/>
            <rFont val="Calibri"/>
            <family val="34"/>
          </rPr>
          <t xml:space="preserve">
</t>
        </r>
      </text>
    </comment>
    <comment ref="BH611" authorId="0" shapeId="0" xr:uid="{0D5E5EEB-BA2A-4844-866A-85571560DE63}">
      <text>
        <r>
          <rPr>
            <sz val="14"/>
            <color rgb="FF000000"/>
            <rFont val="Calibri"/>
            <family val="34"/>
          </rPr>
          <t>IR 39 (1808-1810)</t>
        </r>
      </text>
    </comment>
    <comment ref="BF612" authorId="0" shapeId="0" xr:uid="{F98FB01D-5BC9-1548-BDEB-53B967B9B4FF}">
      <text>
        <r>
          <rPr>
            <sz val="14"/>
            <color rgb="FF000000"/>
            <rFont val="Times New Roman"/>
            <family val="18"/>
          </rPr>
          <t xml:space="preserve">10/03/1808 </t>
        </r>
        <r>
          <rPr>
            <i/>
            <sz val="14"/>
            <color rgb="FF000000"/>
            <rFont val="Times New Roman"/>
            <family val="18"/>
          </rPr>
          <t>Von Bereg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194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23/09/1808 </t>
        </r>
        <r>
          <rPr>
            <i/>
            <sz val="14"/>
            <color rgb="FF000000"/>
            <rFont val="Times New Roman"/>
            <family val="18"/>
          </rPr>
          <t>Krank mit auswärtiger Gebühr</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31/10/1808 </t>
        </r>
        <r>
          <rPr>
            <i/>
            <sz val="14"/>
            <color rgb="FF000000"/>
            <rFont val="Times New Roman"/>
            <family val="18"/>
          </rPr>
          <t>Rekonvalesziert</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12/07/1809 </t>
        </r>
        <r>
          <rPr>
            <i/>
            <sz val="14"/>
            <color rgb="FF000000"/>
            <rFont val="Times New Roman"/>
            <family val="18"/>
          </rPr>
          <t>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01/01/1810 </t>
        </r>
        <r>
          <rPr>
            <i/>
            <sz val="14"/>
            <color rgb="FF000000"/>
            <rFont val="Times New Roman"/>
            <family val="18"/>
          </rPr>
          <t>Sich selbst ranzioniert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20/03/1811 </t>
        </r>
        <r>
          <rPr>
            <i/>
            <sz val="14"/>
            <color rgb="FF000000"/>
            <rFont val="Times New Roman"/>
            <family val="18"/>
          </rPr>
          <t>Als Kriegscapitulant mit Abschied entlassen</t>
        </r>
        <r>
          <rPr>
            <sz val="14"/>
            <color rgb="FF000000"/>
            <rFont val="Times New Roman"/>
            <family val="18"/>
          </rPr>
          <t xml:space="preserve"> [ML 1811] </t>
        </r>
        <r>
          <rPr>
            <sz val="14"/>
            <color rgb="FF000000"/>
            <rFont val="Calibri"/>
            <family val="34"/>
          </rPr>
          <t xml:space="preserve">
</t>
        </r>
      </text>
    </comment>
    <comment ref="BG612" authorId="0" shapeId="0" xr:uid="{DA43CA23-5FDE-D149-B9FC-FE5B10772943}">
      <text>
        <r>
          <rPr>
            <sz val="14"/>
            <color rgb="FF000000"/>
            <rFont val="Times New Roman"/>
            <family val="18"/>
          </rPr>
          <t>ML 3500 IR 39 (1808-10) – RL 1808 5. Fus. Komp. Nr. 200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Bereg Komität Nr. 20 (Munkats 31/03/1808); ST Sept (Ofen 10/10/1810), Nov (Ofen 18/10/1810)</t>
        </r>
        <r>
          <rPr>
            <sz val="14"/>
            <color rgb="FF000000"/>
            <rFont val="Calibri"/>
            <family val="34"/>
          </rPr>
          <t xml:space="preserve">
</t>
        </r>
      </text>
    </comment>
    <comment ref="BH612" authorId="0" shapeId="0" xr:uid="{5767CB6C-E698-9B46-B26A-3AB9C16E74DA}">
      <text>
        <r>
          <rPr>
            <sz val="14"/>
            <color rgb="FF000000"/>
            <rFont val="Calibri"/>
            <family val="34"/>
          </rPr>
          <t>IR 39 (1808-1811)</t>
        </r>
      </text>
    </comment>
    <comment ref="BF613" authorId="0" shapeId="0" xr:uid="{4C528DFC-1466-C34F-AF71-7DF87D34E7C2}">
      <text>
        <r>
          <rPr>
            <sz val="14"/>
            <color rgb="FF000000"/>
            <rFont val="Times New Roman"/>
            <family val="18"/>
          </rPr>
          <t xml:space="preserve">10/03/1808 </t>
        </r>
        <r>
          <rPr>
            <i/>
            <sz val="14"/>
            <color rgb="FF000000"/>
            <rFont val="Times New Roman"/>
            <family val="18"/>
          </rPr>
          <t xml:space="preserve">Von Bereg Komität gestellt, gegen 3FL zum IR 39 assentiert, und zur 13. Komp. eingeteilt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01/04/1808 </t>
        </r>
        <r>
          <rPr>
            <i/>
            <sz val="14"/>
            <color rgb="FF000000"/>
            <rFont val="Times New Roman"/>
            <family val="18"/>
          </rPr>
          <t>Krank in auswärtigen Spital zu Eperies</t>
        </r>
        <r>
          <rPr>
            <sz val="14"/>
            <color rgb="FF000000"/>
            <rFont val="Times New Roman"/>
            <family val="18"/>
          </rPr>
          <t xml:space="preserve"> [ST April 1808]</t>
        </r>
        <r>
          <rPr>
            <sz val="14"/>
            <color rgb="FF000000"/>
            <rFont val="Calibri"/>
            <family val="34"/>
          </rPr>
          <t xml:space="preserve">
</t>
        </r>
        <r>
          <rPr>
            <sz val="14"/>
            <color rgb="FF000000"/>
            <rFont val="Times New Roman"/>
            <family val="18"/>
          </rPr>
          <t xml:space="preserve">12/04/1808 </t>
        </r>
        <r>
          <rPr>
            <i/>
            <sz val="14"/>
            <color rgb="FF000000"/>
            <rFont val="Times New Roman"/>
            <family val="18"/>
          </rPr>
          <t>In Spital zu Eperies gestorben</t>
        </r>
        <r>
          <rPr>
            <sz val="14"/>
            <color rgb="FF000000"/>
            <rFont val="Times New Roman"/>
            <family val="18"/>
          </rPr>
          <t xml:space="preserve"> [ML 1808]</t>
        </r>
        <r>
          <rPr>
            <sz val="14"/>
            <color rgb="FF000000"/>
            <rFont val="Calibri"/>
            <family val="34"/>
          </rPr>
          <t xml:space="preserve">
</t>
        </r>
      </text>
    </comment>
    <comment ref="BG613" authorId="0" shapeId="0" xr:uid="{FB5A2299-4608-2B4D-B872-0B6A9B9642C8}">
      <text>
        <r>
          <rPr>
            <sz val="14"/>
            <color rgb="FF000000"/>
            <rFont val="Times New Roman"/>
            <family val="18"/>
          </rPr>
          <t>ML 3500 IR 39 (1808) – 6. Fus. Komp. Abgang (Lager bei Comorn 19/09/1808)</t>
        </r>
        <r>
          <rPr>
            <sz val="14"/>
            <color rgb="FF000000"/>
            <rFont val="Calibri"/>
            <family val="34"/>
          </rPr>
          <t xml:space="preserve">
</t>
        </r>
        <r>
          <rPr>
            <sz val="14"/>
            <color rgb="FF000000"/>
            <rFont val="Times New Roman"/>
            <family val="18"/>
          </rPr>
          <t>ML 3549 IR 39 (1808) – AL Bereg Komität Nr. 21 (Munkats 31/03/1808); ST April (21/12/1808)</t>
        </r>
        <r>
          <rPr>
            <sz val="14"/>
            <color rgb="FF000000"/>
            <rFont val="Calibri"/>
            <family val="34"/>
          </rPr>
          <t xml:space="preserve">
</t>
        </r>
        <r>
          <rPr>
            <sz val="14"/>
            <color rgb="FF000000"/>
            <rFont val="Calibri"/>
            <family val="34"/>
          </rPr>
          <t xml:space="preserve">
</t>
        </r>
      </text>
    </comment>
    <comment ref="BH613" authorId="0" shapeId="0" xr:uid="{F21989EE-DCD3-0E42-AC99-B7B6AB10E1A4}">
      <text>
        <r>
          <rPr>
            <sz val="14"/>
            <color rgb="FF000000"/>
            <rFont val="Calibri"/>
            <family val="34"/>
          </rPr>
          <t>IR 39 (1808)</t>
        </r>
      </text>
    </comment>
    <comment ref="BF614" authorId="0" shapeId="0" xr:uid="{59784B8C-D77B-5F40-95E2-35AD01D46A32}">
      <text>
        <r>
          <rPr>
            <sz val="14"/>
            <color rgb="FF000000"/>
            <rFont val="Times New Roman"/>
            <family val="18"/>
          </rPr>
          <t xml:space="preserve">10/03/1808 </t>
        </r>
        <r>
          <rPr>
            <i/>
            <sz val="14"/>
            <color rgb="FF000000"/>
            <rFont val="Times New Roman"/>
            <family val="18"/>
          </rPr>
          <t xml:space="preserve">Von Dortoelyer </t>
        </r>
        <r>
          <rPr>
            <b/>
            <sz val="14"/>
            <color rgb="FF000000"/>
            <rFont val="Times New Roman"/>
            <family val="18"/>
          </rPr>
          <t>[</t>
        </r>
        <r>
          <rPr>
            <b/>
            <u/>
            <sz val="14"/>
            <color rgb="FF0563C1"/>
            <rFont val="Times New Roman"/>
            <family val="18"/>
          </rPr>
          <t>Apateu (Satu Mare),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3.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3. Fus. Komp. Nr. 205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unwissend verloren in Abgang </t>
        </r>
        <r>
          <rPr>
            <sz val="14"/>
            <color rgb="FF000000"/>
            <rFont val="Times New Roman"/>
            <family val="18"/>
          </rPr>
          <t>[ML 1811]</t>
        </r>
        <r>
          <rPr>
            <sz val="14"/>
            <color rgb="FF000000"/>
            <rFont val="Calibri"/>
            <family val="34"/>
          </rPr>
          <t xml:space="preserve">
</t>
        </r>
      </text>
    </comment>
    <comment ref="BG614" authorId="0" shapeId="0" xr:uid="{B47CB429-8563-4E42-AFDB-28B75D514174}">
      <text>
        <r>
          <rPr>
            <sz val="14"/>
            <color rgb="FF000000"/>
            <rFont val="Times New Roman"/>
            <family val="18"/>
          </rPr>
          <t>ML 3500 IR 39 (1808) – RL 3. Fus. Komp. Nr. 205 (Lager bei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Szatmár Komität Nr. 91 (Nagy Karoly 05/04/1808)</t>
        </r>
        <r>
          <rPr>
            <sz val="14"/>
            <color rgb="FF000000"/>
            <rFont val="Calibri"/>
            <family val="34"/>
          </rPr>
          <t xml:space="preserve">
</t>
        </r>
        <r>
          <rPr>
            <sz val="14"/>
            <color rgb="FF000000"/>
            <rFont val="Calibri"/>
            <family val="34"/>
          </rPr>
          <t xml:space="preserve">
</t>
        </r>
      </text>
    </comment>
    <comment ref="BH614" authorId="0" shapeId="0" xr:uid="{3DC94283-5864-0F41-841D-7FBC999EC1FB}">
      <text>
        <r>
          <rPr>
            <sz val="14"/>
            <color rgb="FF000000"/>
            <rFont val="Calibri"/>
            <family val="34"/>
          </rPr>
          <t>IR 39 (1808-1810)</t>
        </r>
      </text>
    </comment>
    <comment ref="BF615" authorId="0" shapeId="0" xr:uid="{BE88912D-2428-C54D-AF94-884516E80E49}">
      <text>
        <r>
          <rPr>
            <sz val="14"/>
            <color rgb="FF000000"/>
            <rFont val="Times New Roman"/>
            <family val="18"/>
          </rPr>
          <t xml:space="preserve">11/03/1808 </t>
        </r>
        <r>
          <rPr>
            <i/>
            <sz val="14"/>
            <color rgb="FF000000"/>
            <rFont val="Times New Roman"/>
            <family val="18"/>
          </rPr>
          <t xml:space="preserve">Von </t>
        </r>
        <r>
          <rPr>
            <i/>
            <sz val="14"/>
            <color rgb="FF000000"/>
            <rFont val="Times New Roman"/>
            <family val="18"/>
          </rPr>
          <t xml:space="preserve">Szalke </t>
        </r>
        <r>
          <rPr>
            <b/>
            <sz val="14"/>
            <color rgb="FF000000"/>
            <rFont val="Times New Roman"/>
            <family val="18"/>
          </rPr>
          <t>[</t>
        </r>
        <r>
          <rPr>
            <b/>
            <u/>
            <sz val="14"/>
            <color rgb="FF0563C1"/>
            <rFont val="Times New Roman"/>
            <family val="18"/>
          </rPr>
          <t>Mátészalka, Hungary</t>
        </r>
        <r>
          <rPr>
            <b/>
            <sz val="14"/>
            <color rgb="FF000000"/>
            <rFont val="Times New Roman"/>
            <family val="18"/>
          </rPr>
          <t xml:space="preserve">] </t>
        </r>
        <r>
          <rPr>
            <i/>
            <sz val="14"/>
            <color rgb="FF000000"/>
            <rFont val="Times New Roman"/>
            <family val="18"/>
          </rPr>
          <t>in Szathmar Komität gestellt, gegen 3FL zum IR 39 assentiert, und zur 1.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19/09/1808 Revision: IR 39 1. Fus. Komp. Nr. 193 [</t>
        </r>
        <r>
          <rPr>
            <i/>
            <sz val="14"/>
            <color rgb="FF000000"/>
            <rFont val="Times New Roman"/>
            <family val="18"/>
          </rPr>
          <t>Krank on Comorn</t>
        </r>
        <r>
          <rPr>
            <sz val="14"/>
            <color rgb="FF000000"/>
            <rFont val="Times New Roman"/>
            <family val="18"/>
          </rPr>
          <t>]</t>
        </r>
        <r>
          <rPr>
            <sz val="14"/>
            <color rgb="FF000000"/>
            <rFont val="Calibri"/>
            <family val="34"/>
          </rPr>
          <t xml:space="preserve">
</t>
        </r>
        <r>
          <rPr>
            <sz val="14"/>
            <color rgb="FF000000"/>
            <rFont val="Times New Roman"/>
            <family val="18"/>
          </rPr>
          <t xml:space="preserve">10/10/1808 </t>
        </r>
        <r>
          <rPr>
            <i/>
            <sz val="14"/>
            <color rgb="FF000000"/>
            <rFont val="Times New Roman"/>
            <family val="18"/>
          </rPr>
          <t>Rekonvalesciert</t>
        </r>
        <r>
          <rPr>
            <sz val="14"/>
            <color rgb="FF000000"/>
            <rFont val="Times New Roman"/>
            <family val="18"/>
          </rPr>
          <t xml:space="preserve"> [ST Okt. 1808]</t>
        </r>
        <r>
          <rPr>
            <sz val="14"/>
            <color rgb="FF000000"/>
            <rFont val="Calibri"/>
            <family val="34"/>
          </rPr>
          <t xml:space="preserve">
</t>
        </r>
        <r>
          <rPr>
            <sz val="14"/>
            <color rgb="FF000000"/>
            <rFont val="Times New Roman"/>
            <family val="18"/>
          </rPr>
          <t xml:space="preserve">25/10/1808 </t>
        </r>
        <r>
          <rPr>
            <i/>
            <sz val="14"/>
            <color rgb="FF000000"/>
            <rFont val="Times New Roman"/>
            <family val="18"/>
          </rPr>
          <t>Von IR 39 1. Fus. Komp zur Esterhazy Infant Regiment</t>
        </r>
        <r>
          <rPr>
            <sz val="14"/>
            <color rgb="FF000000"/>
            <rFont val="Times New Roman"/>
            <family val="18"/>
          </rPr>
          <t xml:space="preserve"> </t>
        </r>
        <r>
          <rPr>
            <b/>
            <sz val="14"/>
            <color rgb="FF000000"/>
            <rFont val="Times New Roman"/>
            <family val="18"/>
          </rPr>
          <t>[IR 32]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text>
    </comment>
    <comment ref="BG615" authorId="0" shapeId="0" xr:uid="{D4CBFFCB-CE0F-2D42-B1B0-436D0E6CD51E}">
      <text>
        <r>
          <rPr>
            <sz val="14"/>
            <color rgb="FF000000"/>
            <rFont val="Times New Roman"/>
            <family val="18"/>
          </rPr>
          <t>ML 3500 IR 39 (1808-10) – RL 1808 1. Fus. Komp. Nr. 193 (Lager bei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3549 IR 39 (1808) – AL Szatmár Komität Nr. 93 (Nagy Karoly 05/04/1808); ST Sept (10/10/1810)</t>
        </r>
        <r>
          <rPr>
            <sz val="14"/>
            <color rgb="FF000000"/>
            <rFont val="Calibri"/>
            <family val="34"/>
          </rPr>
          <t xml:space="preserve">
</t>
        </r>
      </text>
    </comment>
    <comment ref="BH615" authorId="0" shapeId="0" xr:uid="{EA467313-E7A5-124F-BFF1-AAB88F3CF6BA}">
      <text>
        <r>
          <rPr>
            <sz val="14"/>
            <color rgb="FF000000"/>
            <rFont val="Calibri"/>
            <family val="34"/>
          </rPr>
          <t xml:space="preserve">IR 39 (1808)
</t>
        </r>
        <r>
          <rPr>
            <sz val="14"/>
            <color rgb="FF000000"/>
            <rFont val="Calibri"/>
            <family val="34"/>
          </rPr>
          <t>IR 32 (1808)</t>
        </r>
      </text>
    </comment>
    <comment ref="BF616" authorId="0" shapeId="0" xr:uid="{3DE02BB2-2C63-1947-9788-7826787B7898}">
      <text>
        <r>
          <rPr>
            <sz val="14"/>
            <color rgb="FF000000"/>
            <rFont val="Times New Roman"/>
            <family val="18"/>
          </rPr>
          <t xml:space="preserve">11/03/1808 </t>
        </r>
        <r>
          <rPr>
            <i/>
            <sz val="14"/>
            <color rgb="FF000000"/>
            <rFont val="Times New Roman"/>
            <family val="18"/>
          </rPr>
          <t xml:space="preserve">Von Batis Sasvani </t>
        </r>
        <r>
          <rPr>
            <b/>
            <sz val="14"/>
            <color rgb="FF000000"/>
            <rFont val="Times New Roman"/>
            <family val="18"/>
          </rPr>
          <t>[</t>
        </r>
        <r>
          <rPr>
            <b/>
            <u/>
            <sz val="14"/>
            <color rgb="FF0563C1"/>
            <rFont val="Times New Roman"/>
            <family val="18"/>
          </rPr>
          <t>Botiz,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2.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19/09/1808 Revision: IR 39 4. Fus. Komp. Nr. 205</t>
        </r>
        <r>
          <rPr>
            <sz val="14"/>
            <color rgb="FF000000"/>
            <rFont val="Calibri"/>
            <family val="34"/>
          </rPr>
          <t xml:space="preserve">
</t>
        </r>
        <r>
          <rPr>
            <sz val="14"/>
            <color rgb="FF000000"/>
            <rFont val="Times New Roman"/>
            <family val="18"/>
          </rPr>
          <t xml:space="preserve">24/04/1809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[Battle of Neumarkt-Sankt Veit]</t>
        </r>
        <r>
          <rPr>
            <sz val="14"/>
            <color rgb="FF000000"/>
            <rFont val="Times New Roman"/>
            <family val="18"/>
          </rPr>
          <t xml:space="preserve"> [ML 1811]</t>
        </r>
        <r>
          <rPr>
            <sz val="14"/>
            <color rgb="FF000000"/>
            <rFont val="Calibri"/>
            <family val="34"/>
          </rPr>
          <t xml:space="preserve">
</t>
        </r>
      </text>
    </comment>
    <comment ref="BG616" authorId="0" shapeId="0" xr:uid="{6EDFC026-4E3E-4043-83B2-3E85BB68606F}">
      <text>
        <r>
          <rPr>
            <sz val="14"/>
            <color rgb="FF000000"/>
            <rFont val="Times New Roman"/>
            <family val="18"/>
          </rPr>
          <t>ML 3500 IR 39 (1808-10) – RL 1808 4. Fus. Komp. Nr. 205 (Feldlager bei Comorn 19/09/1808)</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Szatmár Komität Nr. 95 (Nagy Karoly 05/04/1808)</t>
        </r>
        <r>
          <rPr>
            <sz val="14"/>
            <color rgb="FF000000"/>
            <rFont val="Calibri"/>
            <family val="34"/>
          </rPr>
          <t xml:space="preserve">
</t>
        </r>
      </text>
    </comment>
    <comment ref="BH616" authorId="0" shapeId="0" xr:uid="{A22E5172-91CA-BB48-AE39-4801D599B2F0}">
      <text>
        <r>
          <rPr>
            <sz val="14"/>
            <color rgb="FF000000"/>
            <rFont val="Calibri"/>
            <family val="34"/>
          </rPr>
          <t>IR 39 (1808-1809)</t>
        </r>
      </text>
    </comment>
    <comment ref="BF617" authorId="0" shapeId="0" xr:uid="{6443F5D4-82C6-184E-99EC-51DCC5E68853}">
      <text>
        <r>
          <rPr>
            <sz val="14"/>
            <color rgb="FF000000"/>
            <rFont val="Times New Roman"/>
            <family val="18"/>
          </rPr>
          <t xml:space="preserve">11/03/1808 </t>
        </r>
        <r>
          <rPr>
            <i/>
            <sz val="14"/>
            <color rgb="FF000000"/>
            <rFont val="Times New Roman"/>
            <family val="18"/>
          </rPr>
          <t>Von Dominien ausgehoben und auf 3Fl Handgeld in IR 39 assentiert und zum 6.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10. Fus. Komp. Nr. 205</t>
        </r>
        <r>
          <rPr>
            <sz val="14"/>
            <color rgb="FF000000"/>
            <rFont val="Calibri"/>
            <family val="34"/>
          </rPr>
          <t xml:space="preserve">
</t>
        </r>
        <r>
          <rPr>
            <sz val="14"/>
            <color rgb="FF000000"/>
            <rFont val="Times New Roman"/>
            <family val="18"/>
          </rPr>
          <t xml:space="preserve">06/05/1809 </t>
        </r>
        <r>
          <rPr>
            <i/>
            <sz val="14"/>
            <color rgb="FF000000"/>
            <rFont val="Times New Roman"/>
            <family val="18"/>
          </rPr>
          <t>Von 19. zum 1.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08/05/1810 Z</t>
        </r>
        <r>
          <rPr>
            <i/>
            <sz val="14"/>
            <color rgb="FF000000"/>
            <rFont val="Times New Roman"/>
            <family val="18"/>
          </rPr>
          <t>u Ofen gestorben</t>
        </r>
        <r>
          <rPr>
            <sz val="14"/>
            <color rgb="FF000000"/>
            <rFont val="Times New Roman"/>
            <family val="18"/>
          </rPr>
          <t xml:space="preserve"> [ML 1811]</t>
        </r>
        <r>
          <rPr>
            <sz val="14"/>
            <color rgb="FF000000"/>
            <rFont val="Calibri"/>
            <family val="34"/>
          </rPr>
          <t xml:space="preserve">
</t>
        </r>
      </text>
    </comment>
    <comment ref="BG617" authorId="0" shapeId="0" xr:uid="{CFC1ED44-1F2F-3E4B-BE4B-AD8A40C2CF61}">
      <text>
        <r>
          <rPr>
            <sz val="14"/>
            <color rgb="FF000000"/>
            <rFont val="Times New Roman"/>
            <family val="18"/>
          </rPr>
          <t>ML 3500 IR 39 (1808) – 1. Fus. Komp. Nr. 192 (Lager bei Comorn 19/09/1808)</t>
        </r>
        <r>
          <rPr>
            <sz val="14"/>
            <color rgb="FF000000"/>
            <rFont val="Calibri"/>
            <family val="34"/>
          </rPr>
          <t xml:space="preserve">
</t>
        </r>
        <r>
          <rPr>
            <sz val="14"/>
            <color rgb="FF000000"/>
            <rFont val="Times New Roman"/>
            <family val="18"/>
          </rPr>
          <t>ML 3501/2 IR 39 (1811) – 1. Fus. Komp. Abgang (Szent Andree 14/09/1811)</t>
        </r>
        <r>
          <rPr>
            <sz val="14"/>
            <color rgb="FF000000"/>
            <rFont val="Calibri"/>
            <family val="34"/>
          </rPr>
          <t xml:space="preserve">
</t>
        </r>
      </text>
    </comment>
    <comment ref="BH617" authorId="0" shapeId="0" xr:uid="{42091BB2-08AB-A849-8245-3277E4D44417}">
      <text>
        <r>
          <rPr>
            <sz val="14"/>
            <color rgb="FF000000"/>
            <rFont val="Calibri"/>
            <family val="34"/>
          </rPr>
          <t>IR 39 (1808-1810)</t>
        </r>
      </text>
    </comment>
    <comment ref="BF618" authorId="0" shapeId="0" xr:uid="{0B2E6430-F8AE-784B-A178-B0D337D61BA1}">
      <text>
        <r>
          <rPr>
            <sz val="14"/>
            <color rgb="FF000000"/>
            <rFont val="Times New Roman"/>
            <family val="18"/>
          </rPr>
          <t xml:space="preserve">11/03/1808 </t>
        </r>
        <r>
          <rPr>
            <i/>
            <sz val="14"/>
            <color rgb="FF000000"/>
            <rFont val="Times New Roman"/>
            <family val="18"/>
          </rPr>
          <t>Von Bereg Komität gestellt, gegen 3FL zum IR 39 assentiert, und zur 14.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5. Fus. Komp. Nr. 203</t>
        </r>
        <r>
          <rPr>
            <sz val="14"/>
            <color rgb="FF000000"/>
            <rFont val="Calibri"/>
            <family val="34"/>
          </rPr>
          <t xml:space="preserve">
</t>
        </r>
        <r>
          <rPr>
            <sz val="14"/>
            <color rgb="FF000000"/>
            <rFont val="Times New Roman"/>
            <family val="18"/>
          </rPr>
          <t xml:space="preserve">15/05/1809 </t>
        </r>
        <r>
          <rPr>
            <i/>
            <sz val="14"/>
            <color rgb="FF000000"/>
            <rFont val="Times New Roman"/>
            <family val="18"/>
          </rPr>
          <t>Gegen Stellung 2. Mann mit Abschied entlassen</t>
        </r>
        <r>
          <rPr>
            <sz val="14"/>
            <color rgb="FF000000"/>
            <rFont val="Times New Roman"/>
            <family val="18"/>
          </rPr>
          <t xml:space="preserve"> [ML 1811] </t>
        </r>
        <r>
          <rPr>
            <sz val="14"/>
            <color rgb="FF000000"/>
            <rFont val="Calibri"/>
            <family val="34"/>
          </rPr>
          <t xml:space="preserve">
</t>
        </r>
      </text>
    </comment>
    <comment ref="BG618" authorId="0" shapeId="0" xr:uid="{CB1E18C7-A4DA-2C41-B5FA-0C59E78BFD9D}">
      <text>
        <r>
          <rPr>
            <sz val="14"/>
            <color rgb="FF000000"/>
            <rFont val="Times New Roman"/>
            <family val="18"/>
          </rPr>
          <t>ML 3500 IR 39 (1808-10) – RL 1808 5. Fus. Komp. Nr. 56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Szatmár Komität Nr. 96 (Nagy Karoly 05/04/1808)</t>
        </r>
        <r>
          <rPr>
            <sz val="14"/>
            <color rgb="FF000000"/>
            <rFont val="Calibri"/>
            <family val="34"/>
          </rPr>
          <t xml:space="preserve">
</t>
        </r>
      </text>
    </comment>
    <comment ref="BH618" authorId="0" shapeId="0" xr:uid="{AD110E71-00DA-7D4C-9D82-ECF8202F0554}">
      <text>
        <r>
          <rPr>
            <sz val="14"/>
            <color rgb="FF000000"/>
            <rFont val="Calibri"/>
            <family val="34"/>
          </rPr>
          <t>IR 39 (1808-1809)</t>
        </r>
      </text>
    </comment>
    <comment ref="BF619" authorId="0" shapeId="0" xr:uid="{19C81676-0792-4446-9BF0-399482FB59D7}">
      <text>
        <r>
          <rPr>
            <sz val="14"/>
            <color rgb="FF000000"/>
            <rFont val="Times New Roman"/>
            <family val="18"/>
          </rPr>
          <t xml:space="preserve">13/03/1808 </t>
        </r>
        <r>
          <rPr>
            <i/>
            <sz val="14"/>
            <color rgb="FF000000"/>
            <rFont val="Times New Roman"/>
            <family val="18"/>
          </rPr>
          <t>Von Ugosca Komität gestellt, gegen 3FL zum IR 39 assentiert, und zur 11. Komp. eingetheilt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 xml:space="preserve">15/06/1808 </t>
        </r>
        <r>
          <rPr>
            <i/>
            <sz val="14"/>
            <color rgb="FF000000"/>
            <rFont val="Times New Roman"/>
            <family val="18"/>
          </rPr>
          <t>Sonsten desertiert</t>
        </r>
        <r>
          <rPr>
            <sz val="14"/>
            <color rgb="FF000000"/>
            <rFont val="Times New Roman"/>
            <family val="18"/>
          </rPr>
          <t xml:space="preserve"> [RL 1808] </t>
        </r>
        <r>
          <rPr>
            <sz val="14"/>
            <color rgb="FF000000"/>
            <rFont val="Calibri"/>
            <family val="34"/>
          </rPr>
          <t xml:space="preserve">
</t>
        </r>
        <r>
          <rPr>
            <sz val="14"/>
            <color rgb="FF000000"/>
            <rFont val="Times New Roman"/>
            <family val="18"/>
          </rPr>
          <t xml:space="preserve">19/06/1808 </t>
        </r>
        <r>
          <rPr>
            <i/>
            <sz val="14"/>
            <color rgb="FF000000"/>
            <rFont val="Times New Roman"/>
            <family val="18"/>
          </rPr>
          <t>Von Land attrapiert</t>
        </r>
        <r>
          <rPr>
            <sz val="14"/>
            <color rgb="FF000000"/>
            <rFont val="Times New Roman"/>
            <family val="18"/>
          </rPr>
          <t xml:space="preserve"> [ML 1808]</t>
        </r>
        <r>
          <rPr>
            <sz val="14"/>
            <color rgb="FF000000"/>
            <rFont val="Calibri"/>
            <family val="34"/>
          </rPr>
          <t xml:space="preserve">
</t>
        </r>
        <r>
          <rPr>
            <sz val="14"/>
            <color rgb="FF000000"/>
            <rFont val="Times New Roman"/>
            <family val="18"/>
          </rPr>
          <t xml:space="preserve">16/05/1808 </t>
        </r>
        <r>
          <rPr>
            <i/>
            <sz val="14"/>
            <color rgb="FF000000"/>
            <rFont val="Times New Roman"/>
            <family val="18"/>
          </rPr>
          <t>Von 15. Zum. 3. Komp. transferiert</t>
        </r>
        <r>
          <rPr>
            <sz val="14"/>
            <color rgb="FF000000"/>
            <rFont val="Times New Roman"/>
            <family val="18"/>
          </rPr>
          <t xml:space="preserve"> [ML 1808]</t>
        </r>
        <r>
          <rPr>
            <sz val="14"/>
            <color rgb="FF000000"/>
            <rFont val="Calibri"/>
            <family val="34"/>
          </rPr>
          <t xml:space="preserve">
</t>
        </r>
        <r>
          <rPr>
            <sz val="14"/>
            <color rgb="FF000000"/>
            <rFont val="Times New Roman"/>
            <family val="18"/>
          </rPr>
          <t>19/09/1808 Revision: IR 39 3. Fus. Komp. Nr. 88</t>
        </r>
        <r>
          <rPr>
            <sz val="14"/>
            <color rgb="FF000000"/>
            <rFont val="Calibri"/>
            <family val="34"/>
          </rPr>
          <t xml:space="preserve">
</t>
        </r>
        <r>
          <rPr>
            <sz val="14"/>
            <color rgb="FF000000"/>
            <rFont val="Times New Roman"/>
            <family val="18"/>
          </rPr>
          <t>14/11/1808</t>
        </r>
        <r>
          <rPr>
            <i/>
            <sz val="14"/>
            <color rgb="FF000000"/>
            <rFont val="Times New Roman"/>
            <family val="18"/>
          </rPr>
          <t xml:space="preserve"> Krank mit auswärtiger Gebühr</t>
        </r>
        <r>
          <rPr>
            <sz val="14"/>
            <color rgb="FF000000"/>
            <rFont val="Times New Roman"/>
            <family val="18"/>
          </rPr>
          <t xml:space="preserve"> [ST Nov 1808]</t>
        </r>
        <r>
          <rPr>
            <sz val="14"/>
            <color rgb="FF000000"/>
            <rFont val="Calibri"/>
            <family val="34"/>
          </rPr>
          <t xml:space="preserve">
</t>
        </r>
        <r>
          <rPr>
            <sz val="14"/>
            <color rgb="FF000000"/>
            <rFont val="Times New Roman"/>
            <family val="18"/>
          </rPr>
          <t xml:space="preserve">31/12/1808 [bis mindestens] </t>
        </r>
        <r>
          <rPr>
            <i/>
            <sz val="14"/>
            <color rgb="FF000000"/>
            <rFont val="Times New Roman"/>
            <family val="18"/>
          </rPr>
          <t xml:space="preserve">Krank mit auswärtiger Gebühr </t>
        </r>
        <r>
          <rPr>
            <sz val="14"/>
            <color rgb="FF000000"/>
            <rFont val="Times New Roman"/>
            <family val="18"/>
          </rPr>
          <t>[ST Dez 1808]</t>
        </r>
        <r>
          <rPr>
            <sz val="14"/>
            <color rgb="FF000000"/>
            <rFont val="Calibri"/>
            <family val="34"/>
          </rPr>
          <t xml:space="preserve">
</t>
        </r>
        <r>
          <rPr>
            <sz val="14"/>
            <color rgb="FF000000"/>
            <rFont val="Times New Roman"/>
            <family val="18"/>
          </rPr>
          <t xml:space="preserve">31/07/1810 </t>
        </r>
        <r>
          <rPr>
            <i/>
            <sz val="14"/>
            <color rgb="FF000000"/>
            <rFont val="Times New Roman"/>
            <family val="18"/>
          </rPr>
          <t xml:space="preserve">Als unwissend verloren in Abgang </t>
        </r>
        <r>
          <rPr>
            <sz val="14"/>
            <color rgb="FF000000"/>
            <rFont val="Times New Roman"/>
            <family val="18"/>
          </rPr>
          <t>[ML 1811]</t>
        </r>
        <r>
          <rPr>
            <sz val="14"/>
            <color rgb="FF000000"/>
            <rFont val="Calibri"/>
            <family val="34"/>
          </rPr>
          <t xml:space="preserve">
</t>
        </r>
      </text>
    </comment>
    <comment ref="BG619" authorId="0" shapeId="0" xr:uid="{B232C509-A4F3-D24D-B92B-EB5504FE5185}">
      <text>
        <r>
          <rPr>
            <sz val="14"/>
            <color rgb="FF000000"/>
            <rFont val="Times New Roman"/>
            <family val="18"/>
          </rPr>
          <t>ML 3500 IR 39 (1808) – RL 3. Fus. Komp. Nr. 215 (Lager bei Comorn 19/09/1808)</t>
        </r>
        <r>
          <rPr>
            <sz val="14"/>
            <color rgb="FF000000"/>
            <rFont val="Calibri"/>
            <family val="34"/>
          </rPr>
          <t xml:space="preserve">
</t>
        </r>
        <r>
          <rPr>
            <sz val="14"/>
            <color rgb="FF000000"/>
            <rFont val="Times New Roman"/>
            <family val="18"/>
          </rPr>
          <t>ML 3501/2 IR 39 (1811) – 3. Fus. Komp. Abgang (Szent Andree 14/09/1811)</t>
        </r>
        <r>
          <rPr>
            <sz val="14"/>
            <color rgb="FF000000"/>
            <rFont val="Calibri"/>
            <family val="34"/>
          </rPr>
          <t xml:space="preserve">
</t>
        </r>
        <r>
          <rPr>
            <sz val="14"/>
            <color rgb="FF000000"/>
            <rFont val="Times New Roman"/>
            <family val="18"/>
          </rPr>
          <t>ML 3549 IR 39 (1808) – AL Ugosca Komität Nr. 44 (Munkats 31/03/1808); ST Nov (Ofen 18/11/1810)</t>
        </r>
        <r>
          <rPr>
            <sz val="14"/>
            <color rgb="FF000000"/>
            <rFont val="Calibri"/>
            <family val="34"/>
          </rPr>
          <t xml:space="preserve">
</t>
        </r>
      </text>
    </comment>
    <comment ref="BH619" authorId="0" shapeId="0" xr:uid="{663D33D6-63D4-A440-A523-B3CED52E0448}">
      <text>
        <r>
          <rPr>
            <sz val="14"/>
            <color rgb="FF000000"/>
            <rFont val="Calibri"/>
            <family val="34"/>
          </rPr>
          <t>IR 39 (1808-1810)</t>
        </r>
      </text>
    </comment>
    <comment ref="BF620" authorId="0" shapeId="0" xr:uid="{10488F1B-BD43-9141-BDE3-4EA78D3B1EE3}">
      <text>
        <r>
          <rPr>
            <sz val="14"/>
            <color rgb="FF000000"/>
            <rFont val="Times New Roman"/>
            <family val="18"/>
          </rPr>
          <t xml:space="preserve">14/03/1808 </t>
        </r>
        <r>
          <rPr>
            <i/>
            <sz val="14"/>
            <color rgb="FF000000"/>
            <rFont val="Times New Roman"/>
            <family val="18"/>
          </rPr>
          <t xml:space="preserve">Von Nagy Karolly </t>
        </r>
        <r>
          <rPr>
            <b/>
            <sz val="14"/>
            <color rgb="FF000000"/>
            <rFont val="Times New Roman"/>
            <family val="18"/>
          </rPr>
          <t>[</t>
        </r>
        <r>
          <rPr>
            <b/>
            <u/>
            <sz val="14"/>
            <color rgb="FF0563C1"/>
            <rFont val="Times New Roman"/>
            <family val="18"/>
          </rPr>
          <t>Carei, Romania</t>
        </r>
        <r>
          <rPr>
            <b/>
            <sz val="14"/>
            <color rgb="FF000000"/>
            <rFont val="Times New Roman"/>
            <family val="18"/>
          </rPr>
          <t>]</t>
        </r>
        <r>
          <rPr>
            <sz val="14"/>
            <color rgb="FF000000"/>
            <rFont val="Times New Roman"/>
            <family val="18"/>
          </rPr>
          <t xml:space="preserve"> </t>
        </r>
        <r>
          <rPr>
            <i/>
            <sz val="14"/>
            <color rgb="FF000000"/>
            <rFont val="Times New Roman"/>
            <family val="18"/>
          </rPr>
          <t>in Szathmar Komität gestellt, gegen 3FL zum IR 39 assentiert, und zur 14.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19/09/1808 Revision: IR 39 5. Fus. Komp. Nr. 201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25/04/1809 </t>
        </r>
        <r>
          <rPr>
            <i/>
            <sz val="14"/>
            <color rgb="FF000000"/>
            <rFont val="Times New Roman"/>
            <family val="18"/>
          </rPr>
          <t>In Kriegsgefangenschaft gefallen</t>
        </r>
        <r>
          <rPr>
            <sz val="14"/>
            <color rgb="FF000000"/>
            <rFont val="Times New Roman"/>
            <family val="18"/>
          </rPr>
          <t xml:space="preserve"> [ML 1811]</t>
        </r>
        <r>
          <rPr>
            <sz val="14"/>
            <color rgb="FF000000"/>
            <rFont val="Calibri"/>
            <family val="2"/>
            <scheme val="minor"/>
          </rPr>
          <t xml:space="preserve"> </t>
        </r>
      </text>
    </comment>
    <comment ref="BG620" authorId="0" shapeId="0" xr:uid="{6879E5D2-9067-DE4F-8C00-3B5476232282}">
      <text>
        <r>
          <rPr>
            <sz val="14"/>
            <color rgb="FF000000"/>
            <rFont val="Times New Roman"/>
            <family val="18"/>
          </rPr>
          <t>ML 3500 IR 39 (1808-10) – RL 1808 5. Fus. Komp. Nr. 201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3549 IR 39 (1808) – AL Szatmár Komität Nr. 125 (Nagy Karoly 05/04/1808</t>
        </r>
        <r>
          <rPr>
            <sz val="14"/>
            <color rgb="FF000000"/>
            <rFont val="Calibri"/>
            <family val="34"/>
          </rPr>
          <t xml:space="preserve">
</t>
        </r>
      </text>
    </comment>
    <comment ref="BH620" authorId="0" shapeId="0" xr:uid="{A63CF412-6B1F-F841-AEAA-8BA7D66CCAF1}">
      <text>
        <r>
          <rPr>
            <sz val="14"/>
            <color rgb="FF000000"/>
            <rFont val="Calibri"/>
            <family val="34"/>
          </rPr>
          <t>IR 39 (1808-1809)</t>
        </r>
      </text>
    </comment>
    <comment ref="BF621" authorId="0" shapeId="0" xr:uid="{54561299-132C-254A-B2BD-CCA7A9721EDB}">
      <text>
        <r>
          <rPr>
            <sz val="14"/>
            <color rgb="FF000000"/>
            <rFont val="Times New Roman"/>
            <family val="18"/>
          </rPr>
          <t xml:space="preserve">19/03/1808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621" authorId="0" shapeId="0" xr:uid="{2DA14592-2816-9E42-8DA9-86B920ABAF26}">
      <text>
        <r>
          <rPr>
            <sz val="14"/>
            <color rgb="FF000000"/>
            <rFont val="Times New Roman"/>
            <family val="18"/>
          </rPr>
          <t>ML 3500 IR 39 (1808-10) – RL 1808 14. Fus. Komp. – Abgang (Comorn 19/09/1808)</t>
        </r>
        <r>
          <rPr>
            <sz val="14"/>
            <color rgb="FF000000"/>
            <rFont val="Calibri"/>
            <family val="34"/>
          </rPr>
          <t xml:space="preserve">
</t>
        </r>
      </text>
    </comment>
    <comment ref="BH621" authorId="0" shapeId="0" xr:uid="{89435B1C-17FA-234B-99C4-6187B1E0EDFE}">
      <text>
        <r>
          <rPr>
            <sz val="14"/>
            <color rgb="FF000000"/>
            <rFont val="Calibri"/>
            <family val="34"/>
          </rPr>
          <t>IR 39 (1808)</t>
        </r>
      </text>
    </comment>
    <comment ref="I622" authorId="0" shapeId="0" xr:uid="{E1129C67-CF41-B84B-8E35-4F593A7F209C}">
      <text>
        <r>
          <rPr>
            <sz val="14"/>
            <color rgb="FF000000"/>
            <rFont val="Calibri"/>
            <family val="34"/>
          </rPr>
          <t xml:space="preserve">1785 [23 (AL Marz 1808)]
</t>
        </r>
        <r>
          <rPr>
            <sz val="14"/>
            <color rgb="FF000000"/>
            <rFont val="Calibri"/>
            <family val="34"/>
          </rPr>
          <t xml:space="preserve">OR 
</t>
        </r>
        <r>
          <rPr>
            <sz val="14"/>
            <color rgb="FF000000"/>
            <rFont val="Calibri"/>
            <family val="34"/>
          </rPr>
          <t>1788 [23 (ML 1811)]</t>
        </r>
      </text>
    </comment>
    <comment ref="BF622" authorId="0" shapeId="0" xr:uid="{02323261-4456-0649-9AEE-9FBEDD4AA4DA}">
      <text>
        <r>
          <rPr>
            <sz val="14"/>
            <color rgb="FF000000"/>
            <rFont val="Times New Roman"/>
            <family val="18"/>
          </rPr>
          <t xml:space="preserve">19/03/1808 </t>
        </r>
        <r>
          <rPr>
            <i/>
            <sz val="14"/>
            <color rgb="FF000000"/>
            <rFont val="Times New Roman"/>
            <family val="18"/>
          </rPr>
          <t>Von Dominien ausgehoben und auf 3Fl Handgeld in IR 39 assentiert und zum 9.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20/03/1810 </t>
        </r>
        <r>
          <rPr>
            <i/>
            <sz val="14"/>
            <color rgb="FF000000"/>
            <rFont val="Times New Roman"/>
            <family val="18"/>
          </rPr>
          <t>Von regiment entlassen und zum InvH Prag zue Verorgung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24/06/1811 Muster: InvH Prag 7 &amp; 8 Chambre Nr. 147 [</t>
        </r>
        <r>
          <rPr>
            <i/>
            <sz val="14"/>
            <color rgb="FF000000"/>
            <rFont val="Times New Roman"/>
            <family val="18"/>
          </rPr>
          <t>Beurlaubt</t>
        </r>
        <r>
          <rPr>
            <sz val="14"/>
            <color rgb="FF000000"/>
            <rFont val="Times New Roman"/>
            <family val="18"/>
          </rPr>
          <t>]</t>
        </r>
        <r>
          <rPr>
            <sz val="14"/>
            <color rgb="FF000000"/>
            <rFont val="Calibri"/>
            <family val="34"/>
          </rPr>
          <t xml:space="preserve">
</t>
        </r>
      </text>
    </comment>
    <comment ref="BG622" authorId="0" shapeId="0" xr:uid="{4878FA54-6E1C-2F47-A6D0-2C708B1C68CC}">
      <text>
        <r>
          <rPr>
            <sz val="14"/>
            <color rgb="FF000000"/>
            <rFont val="Times New Roman"/>
            <family val="18"/>
          </rPr>
          <t>ML 3500 IR 39 (1808-10) – RL 13. Fus. Komp. Nr. 201 (Lager bei Comorn 19/09/1808)</t>
        </r>
        <r>
          <rPr>
            <sz val="14"/>
            <color rgb="FF000000"/>
            <rFont val="Calibri"/>
            <family val="34"/>
          </rPr>
          <t xml:space="preserve">
</t>
        </r>
        <r>
          <rPr>
            <sz val="14"/>
            <color rgb="FF000000"/>
            <rFont val="Times New Roman"/>
            <family val="18"/>
          </rPr>
          <t>ML 9664 InvH Prag (1811) – Heft von 7. &amp; 8. Chambre Nr. 147 (Prag 24/06/1811)</t>
        </r>
        <r>
          <rPr>
            <sz val="14"/>
            <color rgb="FF000000"/>
            <rFont val="Calibri"/>
            <family val="34"/>
          </rPr>
          <t xml:space="preserve">
</t>
        </r>
      </text>
    </comment>
    <comment ref="BH622" authorId="0" shapeId="0" xr:uid="{E4270A53-3952-A545-BE5F-FE8115476A0D}">
      <text>
        <r>
          <rPr>
            <sz val="14"/>
            <color rgb="FF000000"/>
            <rFont val="Calibri"/>
            <family val="34"/>
          </rPr>
          <t xml:space="preserve">IR 39 (1808-1810)
</t>
        </r>
        <r>
          <rPr>
            <sz val="14"/>
            <color rgb="FF000000"/>
            <rFont val="Calibri"/>
            <family val="34"/>
          </rPr>
          <t>InvH Prag (1810-1811)</t>
        </r>
      </text>
    </comment>
    <comment ref="BJ622" authorId="0" shapeId="0" xr:uid="{37199F3C-A6CA-7940-B969-74040B5600FC}">
      <text>
        <r>
          <rPr>
            <i/>
            <sz val="14"/>
            <color rgb="FF000000"/>
            <rFont val="Times New Roman"/>
            <family val="18"/>
          </rPr>
          <t>Steifheit in Kniegelenk</t>
        </r>
        <r>
          <rPr>
            <sz val="14"/>
            <color rgb="FF000000"/>
            <rFont val="Times New Roman"/>
            <family val="18"/>
          </rPr>
          <t>; f</t>
        </r>
        <r>
          <rPr>
            <i/>
            <sz val="14"/>
            <color rgb="FF000000"/>
            <rFont val="Times New Roman"/>
            <family val="18"/>
          </rPr>
          <t>ür Haus Dienst Untauglich</t>
        </r>
        <r>
          <rPr>
            <sz val="14"/>
            <color rgb="FF000000"/>
            <rFont val="Times New Roman"/>
            <family val="18"/>
          </rPr>
          <t xml:space="preserve"> (ML 1811)</t>
        </r>
        <r>
          <rPr>
            <sz val="14"/>
            <color rgb="FF000000"/>
            <rFont val="Calibri"/>
            <family val="34"/>
          </rPr>
          <t xml:space="preserve">
</t>
        </r>
        <r>
          <rPr>
            <i/>
            <sz val="14"/>
            <color rgb="FF000000"/>
            <rFont val="Times New Roman"/>
            <family val="18"/>
          </rPr>
          <t xml:space="preserve">
</t>
        </r>
        <r>
          <rPr>
            <i/>
            <sz val="14"/>
            <color rgb="FF000000"/>
            <rFont val="Times New Roman"/>
            <family val="18"/>
          </rPr>
          <t>Ist zu Schwach und nun schlechtes Leibes Constitution; Defekt vor dienst bekommen</t>
        </r>
        <r>
          <rPr>
            <i/>
            <sz val="14"/>
            <color rgb="FF000000"/>
            <rFont val="Calibri"/>
            <family val="2"/>
          </rPr>
          <t xml:space="preserve"> </t>
        </r>
        <r>
          <rPr>
            <i/>
            <sz val="14"/>
            <color rgb="FF000000"/>
            <rFont val="Times New Roman"/>
            <family val="18"/>
          </rPr>
          <t xml:space="preserve"> </t>
        </r>
        <r>
          <rPr>
            <sz val="14"/>
            <color rgb="FF000000"/>
            <rFont val="Times New Roman"/>
            <family val="18"/>
          </rPr>
          <t>[SUP March 1807]</t>
        </r>
      </text>
    </comment>
    <comment ref="BF623" authorId="0" shapeId="0" xr:uid="{AE68A01B-8230-6A4A-A2CE-B896D19C7E09}">
      <text>
        <r>
          <rPr>
            <sz val="14"/>
            <color rgb="FF000000"/>
            <rFont val="Times New Roman"/>
            <family val="18"/>
          </rPr>
          <t xml:space="preserve">19/03/1808 </t>
        </r>
        <r>
          <rPr>
            <i/>
            <sz val="14"/>
            <color rgb="FF000000"/>
            <rFont val="Times New Roman"/>
            <family val="18"/>
          </rPr>
          <t>Von Dominien ausgehoben und auf 3Fl Handgeld in IR 39 assentiert und zum 16.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623" authorId="0" shapeId="0" xr:uid="{C23A62DD-597D-7B40-91E2-7AACA51DFB13}">
      <text>
        <r>
          <rPr>
            <sz val="14"/>
            <color rgb="FF000000"/>
            <rFont val="Times New Roman"/>
            <family val="18"/>
          </rPr>
          <t>ML 3500 IR 39 (1808-10) – RL 1808 16. Fus. Komp. – Abgang (Comorn 19/09/1808)</t>
        </r>
        <r>
          <rPr>
            <sz val="14"/>
            <color rgb="FF000000"/>
            <rFont val="Calibri"/>
            <family val="34"/>
          </rPr>
          <t xml:space="preserve">
</t>
        </r>
      </text>
    </comment>
    <comment ref="BH623" authorId="0" shapeId="0" xr:uid="{6666F2E7-6F7A-AE43-9667-104EBA2B2728}">
      <text>
        <r>
          <rPr>
            <sz val="14"/>
            <color rgb="FF000000"/>
            <rFont val="Calibri"/>
            <family val="34"/>
          </rPr>
          <t>IR 39 (1808)</t>
        </r>
      </text>
    </comment>
    <comment ref="BF624" authorId="0" shapeId="0" xr:uid="{4576B109-D584-004D-878F-B96A07C3173A}">
      <text>
        <r>
          <rPr>
            <sz val="14"/>
            <color rgb="FF000000"/>
            <rFont val="Times New Roman"/>
            <family val="18"/>
          </rPr>
          <t xml:space="preserve">19/03/1808 </t>
        </r>
        <r>
          <rPr>
            <i/>
            <sz val="14"/>
            <color rgb="FF000000"/>
            <rFont val="Times New Roman"/>
            <family val="18"/>
          </rPr>
          <t>Von Dominien ausgehoben und auf 3Fl Handgeld in IR 39 assentiert und zum 11.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19/09/1808 Revision: IR 39 15. Fus. Komp. Nr. 239 [</t>
        </r>
        <r>
          <rPr>
            <i/>
            <sz val="14"/>
            <color rgb="FF000000"/>
            <rFont val="Times New Roman"/>
            <family val="18"/>
          </rPr>
          <t>Commandiert bei der Artillerie Reserve</t>
        </r>
        <r>
          <rPr>
            <sz val="14"/>
            <color rgb="FF000000"/>
            <rFont val="Times New Roman"/>
            <family val="18"/>
          </rPr>
          <t>]</t>
        </r>
        <r>
          <rPr>
            <sz val="14"/>
            <color rgb="FF000000"/>
            <rFont val="Calibri"/>
            <family val="34"/>
          </rPr>
          <t xml:space="preserve">
</t>
        </r>
        <r>
          <rPr>
            <sz val="14"/>
            <color rgb="FF000000"/>
            <rFont val="Times New Roman"/>
            <family val="18"/>
          </rPr>
          <t xml:space="preserve">28/02/1809 </t>
        </r>
        <r>
          <rPr>
            <i/>
            <sz val="14"/>
            <color rgb="FF000000"/>
            <rFont val="Times New Roman"/>
            <family val="18"/>
          </rPr>
          <t>Von IR 39 17. Fus. Komp. zur Artillerie Handlanger transferiert</t>
        </r>
        <r>
          <rPr>
            <sz val="14"/>
            <color rgb="FF000000"/>
            <rFont val="Times New Roman"/>
            <family val="18"/>
          </rPr>
          <t xml:space="preserve"> [TL April 1810]</t>
        </r>
        <r>
          <rPr>
            <sz val="14"/>
            <color rgb="FF000000"/>
            <rFont val="Calibri"/>
            <family val="34"/>
          </rPr>
          <t xml:space="preserve">
</t>
        </r>
      </text>
    </comment>
    <comment ref="BG624" authorId="0" shapeId="0" xr:uid="{1AB632EC-839E-EB4A-8A78-B690A3F01F03}">
      <text>
        <r>
          <rPr>
            <sz val="14"/>
            <color rgb="FF000000"/>
            <rFont val="Times New Roman"/>
            <family val="18"/>
          </rPr>
          <t>ML 3500 IR 39 (1808) – RL 15. Fus. Komp. Nr. 239 (Lager bei Comorn 19/09/1808)</t>
        </r>
        <r>
          <rPr>
            <sz val="14"/>
            <color rgb="FF000000"/>
            <rFont val="Calibri"/>
            <family val="34"/>
          </rPr>
          <t xml:space="preserve">
</t>
        </r>
        <r>
          <rPr>
            <sz val="14"/>
            <color rgb="FF000000"/>
            <rFont val="Times New Roman"/>
            <family val="18"/>
          </rPr>
          <t>ML 3550 IR 39 (1809) – TL IR 39-&gt; ArtHand Nr. 24 (Ofen 10/04/1810)</t>
        </r>
        <r>
          <rPr>
            <sz val="14"/>
            <color rgb="FF000000"/>
            <rFont val="Calibri"/>
            <family val="34"/>
          </rPr>
          <t xml:space="preserve">
</t>
        </r>
      </text>
    </comment>
    <comment ref="BH624" authorId="0" shapeId="0" xr:uid="{E877B213-0AEB-F645-B233-F8EA20FE4728}">
      <text>
        <r>
          <rPr>
            <sz val="14"/>
            <color rgb="FF000000"/>
            <rFont val="Calibri"/>
            <family val="34"/>
          </rPr>
          <t xml:space="preserve">IR 39 (1808-1809)
</t>
        </r>
        <r>
          <rPr>
            <sz val="14"/>
            <color rgb="FF000000"/>
            <rFont val="Calibri"/>
            <family val="34"/>
          </rPr>
          <t>ArtHand (1809)</t>
        </r>
      </text>
    </comment>
    <comment ref="BI624" authorId="0" shapeId="0" xr:uid="{E44B5C17-278B-4747-B9C6-23E782E33969}">
      <text>
        <r>
          <rPr>
            <sz val="14"/>
            <color rgb="FF000000"/>
            <rFont val="Calibri"/>
            <family val="34"/>
          </rPr>
          <t>Gut [TL Oct 1810]</t>
        </r>
      </text>
    </comment>
    <comment ref="BF625" authorId="0" shapeId="0" xr:uid="{5587CBF5-AEF5-8643-81EF-7775CB167A39}">
      <text>
        <r>
          <rPr>
            <sz val="14"/>
            <color rgb="FF000000"/>
            <rFont val="Times New Roman"/>
            <family val="18"/>
          </rPr>
          <t xml:space="preserve">19/03/1808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625" authorId="0" shapeId="0" xr:uid="{668930B0-8543-DC4B-912C-519A3093A287}">
      <text>
        <r>
          <rPr>
            <sz val="14"/>
            <color rgb="FF000000"/>
            <rFont val="Times New Roman"/>
            <family val="18"/>
          </rPr>
          <t>ML 3500 IR 39 (1808-10) – RL 1808 14. Fus. Komp. – Abgang (Comorn 19/09/1808)</t>
        </r>
        <r>
          <rPr>
            <sz val="14"/>
            <color rgb="FF000000"/>
            <rFont val="Calibri"/>
            <family val="34"/>
          </rPr>
          <t xml:space="preserve">
</t>
        </r>
      </text>
    </comment>
    <comment ref="BH625" authorId="0" shapeId="0" xr:uid="{E8A37789-95F7-AC41-B50C-E10538356753}">
      <text>
        <r>
          <rPr>
            <sz val="14"/>
            <color rgb="FF000000"/>
            <rFont val="Calibri"/>
            <family val="34"/>
          </rPr>
          <t>IR 39 (1808)</t>
        </r>
      </text>
    </comment>
    <comment ref="BF626" authorId="0" shapeId="0" xr:uid="{39A941A0-7B2E-974F-BBBE-744F717A1CE1}">
      <text>
        <r>
          <rPr>
            <sz val="14"/>
            <color rgb="FF000000"/>
            <rFont val="Times New Roman"/>
            <family val="18"/>
          </rPr>
          <t xml:space="preserve">27/03/1808 </t>
        </r>
        <r>
          <rPr>
            <i/>
            <sz val="14"/>
            <color rgb="FF000000"/>
            <rFont val="Times New Roman"/>
            <family val="18"/>
          </rPr>
          <t>Von Bereg Komität gestellt, gegen 3FL zum IR 39 assentiert, und zur 2. Komp. eingeteilt</t>
        </r>
        <r>
          <rPr>
            <sz val="14"/>
            <color rgb="FF000000"/>
            <rFont val="Times New Roman"/>
            <family val="18"/>
          </rPr>
          <t xml:space="preserve"> </t>
        </r>
        <r>
          <rPr>
            <sz val="14"/>
            <color rgb="FF000000"/>
            <rFont val="Times New Roman"/>
            <family val="18"/>
          </rPr>
          <t>[AL März 1808]</t>
        </r>
        <r>
          <rPr>
            <sz val="14"/>
            <color rgb="FF000000"/>
            <rFont val="Calibri"/>
            <family val="34"/>
          </rPr>
          <t xml:space="preserve">
</t>
        </r>
        <r>
          <rPr>
            <sz val="14"/>
            <color rgb="FF000000"/>
            <rFont val="Times New Roman"/>
            <family val="18"/>
          </rPr>
          <t xml:space="preserve">22/08/1808 </t>
        </r>
        <r>
          <rPr>
            <i/>
            <sz val="14"/>
            <color rgb="FF000000"/>
            <rFont val="Times New Roman"/>
            <family val="18"/>
          </rPr>
          <t>Krank mit auswärtiger Gebühr</t>
        </r>
        <r>
          <rPr>
            <sz val="14"/>
            <color rgb="FF000000"/>
            <rFont val="Times New Roman"/>
            <family val="18"/>
          </rPr>
          <t xml:space="preserve"> [ST Aug 1808]</t>
        </r>
        <r>
          <rPr>
            <sz val="14"/>
            <color rgb="FF000000"/>
            <rFont val="Calibri"/>
            <family val="34"/>
          </rPr>
          <t xml:space="preserve">
</t>
        </r>
        <r>
          <rPr>
            <sz val="14"/>
            <color rgb="FF000000"/>
            <rFont val="Times New Roman"/>
            <family val="18"/>
          </rPr>
          <t>19/09/1808 Revision: IR 39 4. Fus. Komp. Nr. 214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05/12/1808 </t>
        </r>
        <r>
          <rPr>
            <i/>
            <sz val="14"/>
            <color rgb="FF000000"/>
            <rFont val="Times New Roman"/>
            <family val="18"/>
          </rPr>
          <t xml:space="preserve">Rekonvalesziert </t>
        </r>
        <r>
          <rPr>
            <sz val="14"/>
            <color rgb="FF000000"/>
            <rFont val="Times New Roman"/>
            <family val="18"/>
          </rPr>
          <t>[ST Dec 1808]</t>
        </r>
        <r>
          <rPr>
            <sz val="14"/>
            <color rgb="FF000000"/>
            <rFont val="Calibri"/>
            <family val="34"/>
          </rPr>
          <t xml:space="preserve">
</t>
        </r>
        <r>
          <rPr>
            <sz val="14"/>
            <color rgb="FF000000"/>
            <rFont val="Times New Roman"/>
            <family val="18"/>
          </rPr>
          <t xml:space="preserve">31/01/1809 </t>
        </r>
        <r>
          <rPr>
            <i/>
            <sz val="14"/>
            <color rgb="FF000000"/>
            <rFont val="Times New Roman"/>
            <family val="18"/>
          </rPr>
          <t>Von IR 39 4. Fus. Komp zum Blankenstein Hussaren</t>
        </r>
        <r>
          <rPr>
            <sz val="14"/>
            <color rgb="FF000000"/>
            <rFont val="Times New Roman"/>
            <family val="18"/>
          </rPr>
          <t xml:space="preserve"> </t>
        </r>
        <r>
          <rPr>
            <b/>
            <sz val="14"/>
            <color rgb="FF000000"/>
            <rFont val="Times New Roman"/>
            <family val="18"/>
          </rPr>
          <t>[HR 6]</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1811]</t>
        </r>
        <r>
          <rPr>
            <sz val="14"/>
            <color rgb="FF000000"/>
            <rFont val="Calibri"/>
            <family val="34"/>
          </rPr>
          <t xml:space="preserve">
</t>
        </r>
      </text>
    </comment>
    <comment ref="BG626" authorId="0" shapeId="0" xr:uid="{F49A9995-DA94-954F-8F3D-6CBE2AC5D0F3}">
      <text>
        <r>
          <rPr>
            <sz val="14"/>
            <color rgb="FF000000"/>
            <rFont val="Times New Roman"/>
            <family val="18"/>
          </rPr>
          <t>ML 3500 IR 39 (1808-10) – RL 1808 4. Fus. Komp. Nr. 205 (Feldlager bei Comorn 19/09/1808); Aug (Pest 10/07/1808), Dez (Ofen ??/??/1810)</t>
        </r>
        <r>
          <rPr>
            <sz val="14"/>
            <color rgb="FF000000"/>
            <rFont val="Calibri"/>
            <family val="34"/>
          </rPr>
          <t xml:space="preserve">
</t>
        </r>
        <r>
          <rPr>
            <sz val="14"/>
            <color rgb="FF000000"/>
            <rFont val="Times New Roman"/>
            <family val="18"/>
          </rPr>
          <t>ML 3501/2 IR 39 (1811) – 4. Fus. Komp. Abgang (Szent Andree 14/09/1811)</t>
        </r>
        <r>
          <rPr>
            <sz val="14"/>
            <color rgb="FF000000"/>
            <rFont val="Calibri"/>
            <family val="34"/>
          </rPr>
          <t xml:space="preserve">
</t>
        </r>
        <r>
          <rPr>
            <sz val="14"/>
            <color rgb="FF000000"/>
            <rFont val="Times New Roman"/>
            <family val="18"/>
          </rPr>
          <t>ML 3549 IR 39 (1808) – AL Bereg Komität Nr. 114 (Munkats 31/03/1808)</t>
        </r>
        <r>
          <rPr>
            <sz val="14"/>
            <color rgb="FF000000"/>
            <rFont val="Calibri"/>
            <family val="34"/>
          </rPr>
          <t xml:space="preserve">
</t>
        </r>
      </text>
    </comment>
    <comment ref="BH626" authorId="0" shapeId="0" xr:uid="{DDFCB388-CF38-6141-A4D9-6D3B34C6D482}">
      <text>
        <r>
          <rPr>
            <sz val="14"/>
            <color rgb="FF000000"/>
            <rFont val="Calibri"/>
            <family val="34"/>
          </rPr>
          <t xml:space="preserve">IR 39 (1808-1809)
</t>
        </r>
        <r>
          <rPr>
            <sz val="14"/>
            <color rgb="FF000000"/>
            <rFont val="Calibri"/>
            <family val="34"/>
          </rPr>
          <t>HR 6 (1809)</t>
        </r>
      </text>
    </comment>
    <comment ref="BF627" authorId="0" shapeId="0" xr:uid="{6F8696FC-3A6C-E14C-B3ED-3A902D546F49}">
      <text>
        <r>
          <rPr>
            <sz val="14"/>
            <color rgb="FF000000"/>
            <rFont val="Times New Roman"/>
            <family val="18"/>
          </rPr>
          <t xml:space="preserve">29/03/1808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Auf sonsten desertiert</t>
        </r>
        <r>
          <rPr>
            <sz val="14"/>
            <color rgb="FF000000"/>
            <rFont val="Times New Roman"/>
            <family val="18"/>
          </rPr>
          <t xml:space="preserve"> [RL 1808]</t>
        </r>
        <r>
          <rPr>
            <sz val="14"/>
            <color rgb="FF000000"/>
            <rFont val="Calibri"/>
            <family val="34"/>
          </rPr>
          <t xml:space="preserve">
</t>
        </r>
      </text>
    </comment>
    <comment ref="BG627" authorId="0" shapeId="0" xr:uid="{DBA21B8A-C019-9444-9999-A2AEDF70128A}">
      <text>
        <r>
          <rPr>
            <sz val="14"/>
            <color rgb="FF000000"/>
            <rFont val="Times New Roman"/>
            <family val="18"/>
          </rPr>
          <t>ML 3500 IR 39 (1808-10) – RL 1808 14. Fus. Komp. – Abgang (Comorn 19/09/1808)</t>
        </r>
        <r>
          <rPr>
            <sz val="14"/>
            <color rgb="FF000000"/>
            <rFont val="Calibri"/>
            <family val="34"/>
          </rPr>
          <t xml:space="preserve">
</t>
        </r>
      </text>
    </comment>
    <comment ref="BH627" authorId="0" shapeId="0" xr:uid="{34CFFFC1-D03F-AA4A-A798-E0AC25FE786A}">
      <text>
        <r>
          <rPr>
            <sz val="14"/>
            <color rgb="FF000000"/>
            <rFont val="Calibri"/>
            <family val="34"/>
          </rPr>
          <t>IR 39 (1808)</t>
        </r>
      </text>
    </comment>
    <comment ref="BF628" authorId="0" shapeId="0" xr:uid="{BA693015-5CFC-4F47-AC1D-A3EB775F450B}">
      <text>
        <r>
          <rPr>
            <sz val="14"/>
            <color rgb="FF000000"/>
            <rFont val="Times New Roman"/>
            <family val="18"/>
          </rPr>
          <t xml:space="preserve">29/03/1808 </t>
        </r>
        <r>
          <rPr>
            <i/>
            <sz val="14"/>
            <color rgb="FF000000"/>
            <rFont val="Times New Roman"/>
            <family val="18"/>
          </rPr>
          <t>Von Dominien ausgehoben und auf 3Fl Handgeld in IR 39 assentiert und zum 10. Fus. Komp. zugeheilt</t>
        </r>
        <r>
          <rPr>
            <sz val="14"/>
            <color rgb="FF000000"/>
            <rFont val="Times New Roman"/>
            <family val="18"/>
          </rPr>
          <t xml:space="preserve"> [RL 1808]</t>
        </r>
        <r>
          <rPr>
            <sz val="14"/>
            <color rgb="FF000000"/>
            <rFont val="Calibri"/>
            <family val="34"/>
          </rPr>
          <t xml:space="preserve">
</t>
        </r>
        <r>
          <rPr>
            <sz val="14"/>
            <color rgb="FF000000"/>
            <rFont val="Times New Roman"/>
            <family val="18"/>
          </rPr>
          <t xml:space="preserve">06/05/1808 </t>
        </r>
        <r>
          <rPr>
            <i/>
            <sz val="14"/>
            <color rgb="FF000000"/>
            <rFont val="Times New Roman"/>
            <family val="18"/>
          </rPr>
          <t>Von sonsten desertiert</t>
        </r>
        <r>
          <rPr>
            <sz val="14"/>
            <color rgb="FF000000"/>
            <rFont val="Times New Roman"/>
            <family val="18"/>
          </rPr>
          <t xml:space="preserve"> [RL 1808]</t>
        </r>
        <r>
          <rPr>
            <sz val="14"/>
            <color rgb="FF000000"/>
            <rFont val="Calibri"/>
            <family val="34"/>
          </rPr>
          <t xml:space="preserve">
</t>
        </r>
        <r>
          <rPr>
            <sz val="14"/>
            <color rgb="FF000000"/>
            <rFont val="Times New Roman"/>
            <family val="18"/>
          </rPr>
          <t>20/06/1808</t>
        </r>
        <r>
          <rPr>
            <i/>
            <sz val="14"/>
            <color rgb="FF000000"/>
            <rFont val="Times New Roman"/>
            <family val="18"/>
          </rPr>
          <t xml:space="preserve"> Von Land eingebachte deserteur zu Munkats presentiert</t>
        </r>
        <r>
          <rPr>
            <sz val="14"/>
            <color rgb="FF000000"/>
            <rFont val="Times New Roman"/>
            <family val="18"/>
          </rPr>
          <t xml:space="preserve"> [ML 1808]</t>
        </r>
        <r>
          <rPr>
            <sz val="14"/>
            <color rgb="FF000000"/>
            <rFont val="Calibri"/>
            <family val="34"/>
          </rPr>
          <t xml:space="preserve">
</t>
        </r>
        <r>
          <rPr>
            <sz val="14"/>
            <color rgb="FF000000"/>
            <rFont val="Times New Roman"/>
            <family val="18"/>
          </rPr>
          <t>19/09/1808 Revision: IR 39 14. Fus. Komp. Nr. 202 [</t>
        </r>
        <r>
          <rPr>
            <i/>
            <sz val="14"/>
            <color rgb="FF000000"/>
            <rFont val="Times New Roman"/>
            <family val="18"/>
          </rPr>
          <t>Krank zu Gran</t>
        </r>
        <r>
          <rPr>
            <sz val="14"/>
            <color rgb="FF000000"/>
            <rFont val="Times New Roman"/>
            <family val="18"/>
          </rPr>
          <t>]</t>
        </r>
        <r>
          <rPr>
            <sz val="14"/>
            <color rgb="FF000000"/>
            <rFont val="Calibri"/>
            <family val="34"/>
          </rPr>
          <t xml:space="preserve">
</t>
        </r>
        <r>
          <rPr>
            <sz val="14"/>
            <color rgb="FF000000"/>
            <rFont val="Times New Roman"/>
            <family val="18"/>
          </rPr>
          <t xml:space="preserve">01/02/1810 </t>
        </r>
        <r>
          <rPr>
            <i/>
            <sz val="14"/>
            <color rgb="FF000000"/>
            <rFont val="Times New Roman"/>
            <family val="18"/>
          </rPr>
          <t>Von 15.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31/07/1810 </t>
        </r>
        <r>
          <rPr>
            <i/>
            <sz val="14"/>
            <color rgb="FF000000"/>
            <rFont val="Times New Roman"/>
            <family val="18"/>
          </rPr>
          <t>Als unevident als unwissend verloren in Abgang</t>
        </r>
        <r>
          <rPr>
            <sz val="14"/>
            <color rgb="FF000000"/>
            <rFont val="Times New Roman"/>
            <family val="18"/>
          </rPr>
          <t xml:space="preserve"> [ML 1811]</t>
        </r>
        <r>
          <rPr>
            <sz val="14"/>
            <color rgb="FF000000"/>
            <rFont val="Calibri"/>
            <family val="34"/>
          </rPr>
          <t xml:space="preserve">
</t>
        </r>
      </text>
    </comment>
    <comment ref="BG628" authorId="0" shapeId="0" xr:uid="{50267966-EB3B-9049-8EAC-BAE61E5DA622}">
      <text>
        <r>
          <rPr>
            <sz val="14"/>
            <color rgb="FF000000"/>
            <rFont val="Times New Roman"/>
            <family val="18"/>
          </rPr>
          <t>ML 3500 IR 39 (1808) – 14. Fus. Komp. Nr. 222 (Lager bei Comorn 19/09/1808)</t>
        </r>
        <r>
          <rPr>
            <sz val="14"/>
            <color rgb="FF000000"/>
            <rFont val="Calibri"/>
            <family val="34"/>
          </rPr>
          <t xml:space="preserve">
</t>
        </r>
        <r>
          <rPr>
            <sz val="14"/>
            <color rgb="FF000000"/>
            <rFont val="Times New Roman"/>
            <family val="18"/>
          </rPr>
          <t>ML 3501/2 IR 39 (1811) – 5. Fus. Komp. Abgang (Szent Andree 14/09/1811)</t>
        </r>
        <r>
          <rPr>
            <sz val="14"/>
            <color rgb="FF000000"/>
            <rFont val="Calibri"/>
            <family val="34"/>
          </rPr>
          <t xml:space="preserve">
</t>
        </r>
      </text>
    </comment>
    <comment ref="BH628" authorId="0" shapeId="0" xr:uid="{ACDB0481-8FC8-0043-8135-5E8E9B45C282}">
      <text>
        <r>
          <rPr>
            <sz val="14"/>
            <color rgb="FF000000"/>
            <rFont val="Calibri"/>
            <family val="34"/>
          </rPr>
          <t>IR 39 (1808-1810)</t>
        </r>
      </text>
    </comment>
    <comment ref="BF629" authorId="0" shapeId="0" xr:uid="{03FC883D-DDF9-2945-A3F9-CBC4C8FED44B}">
      <text>
        <r>
          <rPr>
            <sz val="14"/>
            <color rgb="FF000000"/>
            <rFont val="Times New Roman"/>
            <family val="18"/>
          </rPr>
          <t xml:space="preserve">31/03/1808 </t>
        </r>
        <r>
          <rPr>
            <i/>
            <sz val="14"/>
            <color rgb="FF000000"/>
            <rFont val="Times New Roman"/>
            <family val="18"/>
          </rPr>
          <t>Von Ung Komität gestellt, gegen 3FL zum IR 39 assentiert, und zur 4. Komp. eingeteilt</t>
        </r>
        <r>
          <rPr>
            <sz val="14"/>
            <color rgb="FF000000"/>
            <rFont val="Times New Roman"/>
            <family val="18"/>
          </rPr>
          <t xml:space="preserve"> [AL März 1808]</t>
        </r>
        <r>
          <rPr>
            <sz val="14"/>
            <color rgb="FF000000"/>
            <rFont val="Calibri"/>
            <family val="34"/>
          </rPr>
          <t xml:space="preserve">
</t>
        </r>
        <r>
          <rPr>
            <sz val="14"/>
            <color rgb="FF000000"/>
            <rFont val="Times New Roman"/>
            <family val="18"/>
          </rPr>
          <t>19/09/1808 Revision: IR 39 2. Fus. Komp. Nr. 188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02/12/1808 </t>
        </r>
        <r>
          <rPr>
            <i/>
            <sz val="14"/>
            <color rgb="FF000000"/>
            <rFont val="Times New Roman"/>
            <family val="18"/>
          </rPr>
          <t>Rekonvalesziert</t>
        </r>
        <r>
          <rPr>
            <sz val="14"/>
            <color rgb="FF000000"/>
            <rFont val="Times New Roman"/>
            <family val="18"/>
          </rPr>
          <t xml:space="preserve"> [ST Dez 1808]</t>
        </r>
        <r>
          <rPr>
            <sz val="14"/>
            <color rgb="FF000000"/>
            <rFont val="Calibri"/>
            <family val="34"/>
          </rPr>
          <t xml:space="preserve">
</t>
        </r>
        <r>
          <rPr>
            <sz val="14"/>
            <color rgb="FF000000"/>
            <rFont val="Times New Roman"/>
            <family val="18"/>
          </rPr>
          <t xml:space="preserve">22/05/1810 </t>
        </r>
        <r>
          <rPr>
            <i/>
            <sz val="14"/>
            <color rgb="FF000000"/>
            <rFont val="Times New Roman"/>
            <family val="18"/>
          </rPr>
          <t>Gestorben</t>
        </r>
        <r>
          <rPr>
            <sz val="14"/>
            <color rgb="FF000000"/>
            <rFont val="Times New Roman"/>
            <family val="18"/>
          </rPr>
          <t xml:space="preserve"> [ML 1811]</t>
        </r>
        <r>
          <rPr>
            <sz val="14"/>
            <color rgb="FF000000"/>
            <rFont val="Calibri"/>
            <family val="34"/>
          </rPr>
          <t xml:space="preserve">
</t>
        </r>
      </text>
    </comment>
    <comment ref="BG629" authorId="0" shapeId="0" xr:uid="{29BF7DDA-CEE9-CA42-B248-0BC9D1F4CDE6}">
      <text>
        <r>
          <rPr>
            <sz val="14"/>
            <color rgb="FF000000"/>
            <rFont val="Times New Roman"/>
            <family val="18"/>
          </rPr>
          <t>ML 3500 IR 39 (1808-10) – RL 1808 2. Fus. Komp. Nr. 206 (Comorn 19/09/1808)</t>
        </r>
        <r>
          <rPr>
            <sz val="14"/>
            <color rgb="FF000000"/>
            <rFont val="Calibri"/>
            <family val="34"/>
          </rPr>
          <t xml:space="preserve">
</t>
        </r>
        <r>
          <rPr>
            <sz val="14"/>
            <color rgb="FF000000"/>
            <rFont val="Times New Roman"/>
            <family val="18"/>
          </rPr>
          <t>ML 3501/2 IR 39 (1811) – 2. Fus. Komp. Abgang (Szent Andree 14/09/1811)</t>
        </r>
        <r>
          <rPr>
            <sz val="14"/>
            <color rgb="FF000000"/>
            <rFont val="Calibri"/>
            <family val="34"/>
          </rPr>
          <t xml:space="preserve">
</t>
        </r>
        <r>
          <rPr>
            <sz val="14"/>
            <color rgb="FF000000"/>
            <rFont val="Times New Roman"/>
            <family val="18"/>
          </rPr>
          <t>ML 3549 IR 39 (1808) – AL Ung Komität Nr. 95 (Munkats 31/03/1808)</t>
        </r>
        <r>
          <rPr>
            <sz val="14"/>
            <color rgb="FF000000"/>
            <rFont val="Calibri"/>
            <family val="34"/>
          </rPr>
          <t xml:space="preserve">
</t>
        </r>
      </text>
    </comment>
    <comment ref="BH629" authorId="0" shapeId="0" xr:uid="{78D3C8FA-1C75-A54B-A92D-4AC6D0F8507F}">
      <text>
        <r>
          <rPr>
            <sz val="14"/>
            <color rgb="FF000000"/>
            <rFont val="Calibri"/>
            <family val="34"/>
          </rPr>
          <t>IR 39 (1808-1810)</t>
        </r>
      </text>
    </comment>
    <comment ref="BF630" authorId="0" shapeId="0" xr:uid="{A7B2E70B-02F9-2D48-8A21-3D6B890E8461}">
      <text>
        <r>
          <rPr>
            <sz val="14"/>
            <color rgb="FF000000"/>
            <rFont val="Times New Roman"/>
            <family val="18"/>
          </rPr>
          <t xml:space="preserve">31/03/1808 </t>
        </r>
        <r>
          <rPr>
            <i/>
            <sz val="14"/>
            <color rgb="FF000000"/>
            <rFont val="Times New Roman"/>
            <family val="18"/>
          </rPr>
          <t>von Land von Orten</t>
        </r>
        <r>
          <rPr>
            <sz val="14"/>
            <color rgb="FF000000"/>
            <rFont val="Times New Roman"/>
            <family val="18"/>
          </rPr>
          <t xml:space="preserve"> </t>
        </r>
        <r>
          <rPr>
            <i/>
            <sz val="14"/>
            <color rgb="FF000000"/>
            <rFont val="Times New Roman"/>
            <family val="18"/>
          </rPr>
          <t>Szerdahely</t>
        </r>
        <r>
          <rPr>
            <sz val="14"/>
            <color rgb="FF000000"/>
            <rFont val="Times New Roman"/>
            <family val="18"/>
          </rPr>
          <t xml:space="preserve"> [</t>
        </r>
        <r>
          <rPr>
            <b/>
            <sz val="14"/>
            <color rgb="FF000000"/>
            <rFont val="Times New Roman"/>
            <family val="18"/>
          </rPr>
          <t xml:space="preserve">Dunajská Streda, Slovakia or alternativly Szerdahely, Fertőszentmiklós, Hungary] </t>
        </r>
        <r>
          <rPr>
            <i/>
            <sz val="14"/>
            <color rgb="FF000000"/>
            <rFont val="Times New Roman"/>
            <family val="18"/>
          </rPr>
          <t>a 3Fl Handgeld gestellt Ohne Capitulation</t>
        </r>
        <r>
          <rPr>
            <sz val="14"/>
            <color rgb="FF000000"/>
            <rFont val="Times New Roman"/>
            <family val="18"/>
          </rPr>
          <t xml:space="preserve"> [ML 1811 &amp; SUP 1811]</t>
        </r>
        <r>
          <rPr>
            <sz val="14"/>
            <color rgb="FF000000"/>
            <rFont val="Calibri"/>
            <family val="34"/>
          </rPr>
          <t xml:space="preserve">
</t>
        </r>
        <r>
          <rPr>
            <sz val="14"/>
            <color rgb="FF000000"/>
            <rFont val="Times New Roman"/>
            <family val="18"/>
          </rPr>
          <t xml:space="preserve">03/09/1811 Superarbietriert: </t>
        </r>
        <r>
          <rPr>
            <i/>
            <sz val="14"/>
            <color rgb="FF000000"/>
            <rFont val="Times New Roman"/>
            <family val="18"/>
          </rPr>
          <t>Mit Abschied zu entlassen</t>
        </r>
        <r>
          <rPr>
            <sz val="14"/>
            <color rgb="FF000000"/>
            <rFont val="Times New Roman"/>
            <family val="18"/>
          </rPr>
          <t xml:space="preserve"> [SUP Sept 1811] </t>
        </r>
        <r>
          <rPr>
            <sz val="14"/>
            <color rgb="FF000000"/>
            <rFont val="Calibri"/>
            <family val="34"/>
          </rPr>
          <t xml:space="preserve">
</t>
        </r>
        <r>
          <rPr>
            <sz val="14"/>
            <color rgb="FF000000"/>
            <rFont val="Times New Roman"/>
            <family val="18"/>
          </rPr>
          <t>20/09/1811 Am Muster: 16. Fus Comp.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31/10/1811 </t>
        </r>
        <r>
          <rPr>
            <i/>
            <sz val="14"/>
            <color rgb="FF000000"/>
            <rFont val="Times New Roman"/>
            <family val="18"/>
          </rPr>
          <t>als anerkannter Real Invalid gegen Renuncierung in Folge hoher Ungarische General Commando Verordnung dt. Ofen 19. 7br Nr. 13999 Von unbestimmte Urlaub mit Abschied entlassen</t>
        </r>
        <r>
          <rPr>
            <sz val="14"/>
            <color rgb="FF000000"/>
            <rFont val="Times New Roman"/>
            <family val="18"/>
          </rPr>
          <t xml:space="preserve"> [ST Oct 1811 16. Fus Comp]</t>
        </r>
        <r>
          <rPr>
            <sz val="14"/>
            <color rgb="FF000000"/>
            <rFont val="Calibri"/>
            <family val="34"/>
          </rPr>
          <t xml:space="preserve">
</t>
        </r>
      </text>
    </comment>
    <comment ref="BG630" authorId="0" shapeId="0" xr:uid="{1C1B5721-C209-2C48-81A5-80FEB627F57A}">
      <text>
        <r>
          <rPr>
            <sz val="14"/>
            <color rgb="FF000000"/>
            <rFont val="Times New Roman"/>
            <family val="18"/>
          </rPr>
          <t>ML 195 IR 2 (1811) – SUP Nr. 1 (Pest 03/09/1811) &amp; ST Oct 16. Fus. Comp. – Abgang (Wien 06/02/1812)</t>
        </r>
        <r>
          <rPr>
            <sz val="14"/>
            <color rgb="FF000000"/>
            <rFont val="Calibri"/>
            <family val="34"/>
          </rPr>
          <t xml:space="preserve">
</t>
        </r>
      </text>
    </comment>
    <comment ref="BH630" authorId="0" shapeId="0" xr:uid="{A52492D1-2FF2-8045-828B-55AC1B78399C}">
      <text>
        <r>
          <rPr>
            <sz val="14"/>
            <color rgb="FF000000"/>
            <rFont val="Calibri"/>
            <family val="34"/>
          </rPr>
          <t>IR 2 (1808-1811)</t>
        </r>
      </text>
    </comment>
    <comment ref="BF631" authorId="0" shapeId="0" xr:uid="{B1C7DA25-066D-F248-B4C2-A2EDDD4CE1E2}">
      <text>
        <r>
          <rPr>
            <sz val="14"/>
            <color rgb="FF000000"/>
            <rFont val="Times New Roman"/>
            <family val="18"/>
          </rPr>
          <t xml:space="preserve">04/06/1808 </t>
        </r>
        <r>
          <rPr>
            <i/>
            <sz val="14"/>
            <color rgb="FF000000"/>
            <rFont val="Times New Roman"/>
            <family val="18"/>
          </rPr>
          <t>A 3Fl Handgled sich freiwillig angeworben</t>
        </r>
        <r>
          <rPr>
            <sz val="14"/>
            <color rgb="FF000000"/>
            <rFont val="Times New Roman"/>
            <family val="18"/>
          </rPr>
          <t xml:space="preserve"> [ML 1808]</t>
        </r>
        <r>
          <rPr>
            <sz val="14"/>
            <color rgb="FF000000"/>
            <rFont val="Calibri"/>
            <family val="34"/>
          </rPr>
          <t xml:space="preserve">
</t>
        </r>
        <r>
          <rPr>
            <sz val="14"/>
            <color rgb="FF000000"/>
            <rFont val="Times New Roman"/>
            <family val="18"/>
          </rPr>
          <t>17/09/1808</t>
        </r>
        <r>
          <rPr>
            <i/>
            <sz val="14"/>
            <color rgb="FF000000"/>
            <rFont val="Times New Roman"/>
            <family val="18"/>
          </rPr>
          <t xml:space="preserve"> Krank mit auswärtiger Gebühr</t>
        </r>
        <r>
          <rPr>
            <sz val="14"/>
            <color rgb="FF000000"/>
            <rFont val="Times New Roman"/>
            <family val="18"/>
          </rPr>
          <t xml:space="preserve"> [ST Sept 1808]</t>
        </r>
        <r>
          <rPr>
            <sz val="14"/>
            <color rgb="FF000000"/>
            <rFont val="Calibri"/>
            <family val="34"/>
          </rPr>
          <t xml:space="preserve">
</t>
        </r>
        <r>
          <rPr>
            <sz val="14"/>
            <color rgb="FF000000"/>
            <rFont val="Times New Roman"/>
            <family val="18"/>
          </rPr>
          <t>19/09/1808 Revision: IR 39 2. Fus. Komp. Nr. 211 [</t>
        </r>
        <r>
          <rPr>
            <i/>
            <sz val="14"/>
            <color rgb="FF000000"/>
            <rFont val="Times New Roman"/>
            <family val="18"/>
          </rPr>
          <t>Krank zu Comorn</t>
        </r>
        <r>
          <rPr>
            <sz val="14"/>
            <color rgb="FF000000"/>
            <rFont val="Times New Roman"/>
            <family val="18"/>
          </rPr>
          <t>]</t>
        </r>
        <r>
          <rPr>
            <sz val="14"/>
            <color rgb="FF000000"/>
            <rFont val="Calibri"/>
            <family val="34"/>
          </rPr>
          <t xml:space="preserve">
</t>
        </r>
        <r>
          <rPr>
            <sz val="14"/>
            <color rgb="FF000000"/>
            <rFont val="Times New Roman"/>
            <family val="18"/>
          </rPr>
          <t xml:space="preserve">11/10/1808 </t>
        </r>
        <r>
          <rPr>
            <i/>
            <sz val="14"/>
            <color rgb="FF000000"/>
            <rFont val="Times New Roman"/>
            <family val="18"/>
          </rPr>
          <t>Auf bestimmte Zeit beurlaubt</t>
        </r>
        <r>
          <rPr>
            <sz val="14"/>
            <color rgb="FF000000"/>
            <rFont val="Times New Roman"/>
            <family val="18"/>
          </rPr>
          <t xml:space="preserve"> [ST Oct 1808]</t>
        </r>
        <r>
          <rPr>
            <sz val="14"/>
            <color rgb="FF000000"/>
            <rFont val="Calibri"/>
            <family val="34"/>
          </rPr>
          <t xml:space="preserve">
</t>
        </r>
        <r>
          <rPr>
            <sz val="14"/>
            <color rgb="FF000000"/>
            <rFont val="Times New Roman"/>
            <family val="18"/>
          </rPr>
          <t xml:space="preserve">15/05/1809 </t>
        </r>
        <r>
          <rPr>
            <i/>
            <sz val="14"/>
            <color rgb="FF000000"/>
            <rFont val="Times New Roman"/>
            <family val="18"/>
          </rPr>
          <t>Gegen Stellung Anderer Mannes mit Abschied entlassen</t>
        </r>
        <r>
          <rPr>
            <sz val="14"/>
            <color rgb="FF000000"/>
            <rFont val="Times New Roman"/>
            <family val="18"/>
          </rPr>
          <t xml:space="preserve"> [ML 1811]</t>
        </r>
        <r>
          <rPr>
            <sz val="14"/>
            <color rgb="FF000000"/>
            <rFont val="Calibri"/>
            <family val="34"/>
          </rPr>
          <t xml:space="preserve">
</t>
        </r>
      </text>
    </comment>
    <comment ref="BG631" authorId="0" shapeId="0" xr:uid="{FD1CC83B-0236-9944-A081-9F238603C5D8}">
      <text>
        <r>
          <rPr>
            <sz val="14"/>
            <color rgb="FF000000"/>
            <rFont val="Times New Roman"/>
            <family val="18"/>
          </rPr>
          <t>ML 3500 IR 39 (1808-10) – RL 1808 2. Fus. Komp. Nr. 211 (Comorn 19/09/1808)</t>
        </r>
        <r>
          <rPr>
            <sz val="14"/>
            <color rgb="FF000000"/>
            <rFont val="Calibri"/>
            <family val="34"/>
          </rPr>
          <t xml:space="preserve">
</t>
        </r>
        <r>
          <rPr>
            <sz val="14"/>
            <color rgb="FF000000"/>
            <rFont val="Times New Roman"/>
            <family val="18"/>
          </rPr>
          <t xml:space="preserve">ML 3501/2 IR 39 (1811) – 2. Fus. Komp. Abgang (Szent Andree 14/09/1811)
</t>
        </r>
        <r>
          <rPr>
            <sz val="14"/>
            <color rgb="FF000000"/>
            <rFont val="Times New Roman"/>
            <family val="18"/>
          </rPr>
          <t>ML 3549</t>
        </r>
        <r>
          <rPr>
            <sz val="14"/>
            <color rgb="FF000000"/>
            <rFont val="Times New Roman"/>
            <family val="18"/>
          </rPr>
          <t xml:space="preserve"> IR 39 (1808) - ST Sept (10/10/1810), Oct (Ofen 15/10/1810) </t>
        </r>
        <r>
          <rPr>
            <sz val="14"/>
            <color rgb="FF000000"/>
            <rFont val="Calibri"/>
            <family val="34"/>
          </rPr>
          <t xml:space="preserve">
</t>
        </r>
      </text>
    </comment>
    <comment ref="BH631" authorId="0" shapeId="0" xr:uid="{EBA5E77A-C6CC-604A-A48A-0D3905B92429}">
      <text>
        <r>
          <rPr>
            <sz val="14"/>
            <color rgb="FF000000"/>
            <rFont val="Calibri"/>
            <family val="34"/>
          </rPr>
          <t>IR 2 (1808-1809)</t>
        </r>
      </text>
    </comment>
    <comment ref="BF632" authorId="0" shapeId="0" xr:uid="{0B2978B0-9530-6A4D-A15B-FE1DB32B456E}">
      <text>
        <r>
          <rPr>
            <sz val="14"/>
            <color rgb="FF000000"/>
            <rFont val="Times New Roman"/>
            <family val="18"/>
          </rPr>
          <t xml:space="preserve">05/08/1808 </t>
        </r>
        <r>
          <rPr>
            <i/>
            <sz val="14"/>
            <color rgb="FF000000"/>
            <rFont val="Times New Roman"/>
            <family val="18"/>
          </rPr>
          <t>Landständisch zu Sambor gestellt und gegen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16/04/1809 </t>
        </r>
        <r>
          <rPr>
            <i/>
            <sz val="14"/>
            <color rgb="FF000000"/>
            <rFont val="Times New Roman"/>
            <family val="18"/>
          </rPr>
          <t xml:space="preserve">Von 1. Reserve zum 12. Fus. Komp transferiert </t>
        </r>
        <r>
          <rPr>
            <sz val="14"/>
            <color rgb="FF000000"/>
            <rFont val="Times New Roman"/>
            <family val="18"/>
          </rPr>
          <t xml:space="preserve">[ST April 1809] </t>
        </r>
        <r>
          <rPr>
            <sz val="14"/>
            <color rgb="FF000000"/>
            <rFont val="Calibri"/>
            <family val="34"/>
          </rPr>
          <t xml:space="preserve">
</t>
        </r>
        <r>
          <rPr>
            <sz val="14"/>
            <color rgb="FF000000"/>
            <rFont val="Times New Roman"/>
            <family val="18"/>
          </rPr>
          <t xml:space="preserve">01/05/1809 </t>
        </r>
        <r>
          <rPr>
            <i/>
            <sz val="14"/>
            <color rgb="FF000000"/>
            <rFont val="Times New Roman"/>
            <family val="18"/>
          </rPr>
          <t xml:space="preserve">Krank Aufname Spital des 4. Armee Corps </t>
        </r>
        <r>
          <rPr>
            <sz val="14"/>
            <color rgb="FF000000"/>
            <rFont val="Times New Roman"/>
            <family val="18"/>
          </rPr>
          <t>[ST May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Rekonvalesziert</t>
        </r>
        <r>
          <rPr>
            <sz val="14"/>
            <color rgb="FF000000"/>
            <rFont val="Times New Roman"/>
            <family val="18"/>
          </rPr>
          <t xml:space="preserve"> [ST July]</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12. Zum 6. Fus. Komp transferiert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6. Fus. Komp. Nr. 177 [</t>
        </r>
        <r>
          <rPr>
            <i/>
            <sz val="14"/>
            <color rgb="FF000000"/>
            <rFont val="Times New Roman"/>
            <family val="18"/>
          </rPr>
          <t>Commandiert Beurlaubt zu Moszally</t>
        </r>
        <r>
          <rPr>
            <sz val="14"/>
            <color rgb="FF000000"/>
            <rFont val="Times New Roman"/>
            <family val="18"/>
          </rPr>
          <t>]</t>
        </r>
        <r>
          <rPr>
            <sz val="14"/>
            <color rgb="FF000000"/>
            <rFont val="Calibri"/>
            <family val="34"/>
          </rPr>
          <t xml:space="preserve">
</t>
        </r>
        <r>
          <rPr>
            <sz val="14"/>
            <color rgb="FF000000"/>
            <rFont val="Times New Roman"/>
            <family val="18"/>
          </rPr>
          <t>18/09/1811 Muster: IR 44 6. Fus. Komp. Nr. 59 [</t>
        </r>
        <r>
          <rPr>
            <i/>
            <sz val="14"/>
            <color rgb="FF000000"/>
            <rFont val="Times New Roman"/>
            <family val="18"/>
          </rPr>
          <t>Beurlaubt commandiert auf Bergbau</t>
        </r>
        <r>
          <rPr>
            <sz val="14"/>
            <color rgb="FF000000"/>
            <rFont val="Times New Roman"/>
            <family val="18"/>
          </rPr>
          <t>]</t>
        </r>
        <r>
          <rPr>
            <sz val="14"/>
            <color rgb="FF000000"/>
            <rFont val="Calibri"/>
            <family val="34"/>
          </rPr>
          <t xml:space="preserve">
</t>
        </r>
        <r>
          <rPr>
            <sz val="14"/>
            <color rgb="FF000000"/>
            <rFont val="Times New Roman"/>
            <family val="18"/>
          </rPr>
          <t>19/09/1812 Revision: IR 44 6. Fus. Komp. Nr. 34 [</t>
        </r>
        <r>
          <rPr>
            <i/>
            <sz val="14"/>
            <color rgb="FF000000"/>
            <rFont val="Times New Roman"/>
            <family val="18"/>
          </rPr>
          <t>Beim Bergbau zu Orrawitze in Banat</t>
        </r>
        <r>
          <rPr>
            <sz val="14"/>
            <color rgb="FF000000"/>
            <rFont val="Times New Roman"/>
            <family val="18"/>
          </rPr>
          <t>]</t>
        </r>
        <r>
          <rPr>
            <sz val="14"/>
            <color rgb="FF000000"/>
            <rFont val="Calibri"/>
            <family val="34"/>
          </rPr>
          <t xml:space="preserve">
</t>
        </r>
        <r>
          <rPr>
            <sz val="14"/>
            <color rgb="FF000000"/>
            <rFont val="Times New Roman"/>
            <family val="18"/>
          </rPr>
          <t>05/01/1818 Muster: IR 44 6. Fus. Komp. Nr. 23</t>
        </r>
        <r>
          <rPr>
            <sz val="14"/>
            <color rgb="FF000000"/>
            <rFont val="Calibri"/>
            <family val="34"/>
          </rPr>
          <t xml:space="preserve">
</t>
        </r>
        <r>
          <rPr>
            <sz val="14"/>
            <color rgb="FF000000"/>
            <rFont val="Times New Roman"/>
            <family val="18"/>
          </rPr>
          <t>27/10/1818 Muster: IR 44 6. Fus. Komp. Nr. 24 [</t>
        </r>
        <r>
          <rPr>
            <i/>
            <sz val="14"/>
            <color rgb="FF000000"/>
            <rFont val="Times New Roman"/>
            <family val="18"/>
          </rPr>
          <t>Ausgedienter Capitulant, wird mit Abschied entlassen</t>
        </r>
        <r>
          <rPr>
            <sz val="14"/>
            <color rgb="FF000000"/>
            <rFont val="Times New Roman"/>
            <family val="18"/>
          </rPr>
          <t>]</t>
        </r>
        <r>
          <rPr>
            <sz val="14"/>
            <color rgb="FF000000"/>
            <rFont val="Calibri"/>
            <family val="34"/>
          </rPr>
          <t xml:space="preserve">
</t>
        </r>
        <r>
          <rPr>
            <sz val="14"/>
            <color rgb="FF000000"/>
            <rFont val="Times New Roman"/>
            <family val="18"/>
          </rPr>
          <t xml:space="preserve">25/10/1818 </t>
        </r>
        <r>
          <rPr>
            <i/>
            <sz val="14"/>
            <color rgb="FF000000"/>
            <rFont val="Times New Roman"/>
            <family val="18"/>
          </rPr>
          <t>Als ausgedienter Capitulant mit Abschied entlassen</t>
        </r>
        <r>
          <rPr>
            <sz val="14"/>
            <color rgb="FF000000"/>
            <rFont val="Times New Roman"/>
            <family val="18"/>
          </rPr>
          <t xml:space="preserve"> [ML 1819]</t>
        </r>
        <r>
          <rPr>
            <sz val="14"/>
            <color rgb="FF000000"/>
            <rFont val="Calibri"/>
            <family val="34"/>
          </rPr>
          <t xml:space="preserve">
</t>
        </r>
      </text>
    </comment>
    <comment ref="BG632" authorId="0" shapeId="0" xr:uid="{E747EAA2-F53C-0E4F-8A69-C803729ED9CD}">
      <text>
        <r>
          <rPr>
            <sz val="14"/>
            <color rgb="FF000000"/>
            <rFont val="Times New Roman"/>
            <family val="18"/>
          </rPr>
          <t>ML 3911 IR 44 (1808-10) – 6. Fus. Komp. Nr. 177 (Sthulweissenburg 25/09/1810)</t>
        </r>
        <r>
          <rPr>
            <sz val="14"/>
            <color rgb="FF000000"/>
            <rFont val="Calibri"/>
            <family val="34"/>
          </rPr>
          <t xml:space="preserve">
</t>
        </r>
        <r>
          <rPr>
            <sz val="14"/>
            <color rgb="FF000000"/>
            <rFont val="Times New Roman"/>
            <family val="18"/>
          </rPr>
          <t>ML 3912/3 IR 44 (1811) – 6. Fus. Komp. Nr. 34 (Pappa 18/09/1811)</t>
        </r>
        <r>
          <rPr>
            <sz val="14"/>
            <color rgb="FF000000"/>
            <rFont val="Calibri"/>
            <family val="34"/>
          </rPr>
          <t xml:space="preserve">
</t>
        </r>
        <r>
          <rPr>
            <sz val="14"/>
            <color rgb="FF000000"/>
            <rFont val="Times New Roman"/>
            <family val="18"/>
          </rPr>
          <t>ML 3914 IR 44 (1812/6) – 6. Fus. Komp. Nr. 34 (Pest 19/09/1812)</t>
        </r>
        <r>
          <rPr>
            <sz val="14"/>
            <color rgb="FF000000"/>
            <rFont val="Calibri"/>
            <family val="34"/>
          </rPr>
          <t xml:space="preserve">
</t>
        </r>
        <r>
          <rPr>
            <sz val="14"/>
            <color rgb="FF000000"/>
            <rFont val="Times New Roman"/>
            <family val="18"/>
          </rPr>
          <t>ML 3915/6 IR 44 (1818) – 6 Fus. Komp. Nr. 23 (Pizigethone 08/01/1818); 6 Fus. Komp. Nr. 24 (Pizigethone 27/10/1818)</t>
        </r>
        <r>
          <rPr>
            <sz val="14"/>
            <color rgb="FF000000"/>
            <rFont val="Calibri"/>
            <family val="34"/>
          </rPr>
          <t xml:space="preserve">
</t>
        </r>
        <r>
          <rPr>
            <sz val="14"/>
            <color rgb="FF000000"/>
            <rFont val="Times New Roman"/>
            <family val="18"/>
          </rPr>
          <t>ML 3918/9 IR 44 (1819) – 6. Fus. Komp. Abgang (Milan 22/10/1819)</t>
        </r>
        <r>
          <rPr>
            <sz val="14"/>
            <color rgb="FF000000"/>
            <rFont val="Calibri"/>
            <family val="34"/>
          </rPr>
          <t xml:space="preserve">
</t>
        </r>
        <r>
          <rPr>
            <sz val="14"/>
            <color rgb="FF000000"/>
            <rFont val="Times New Roman"/>
            <family val="18"/>
          </rPr>
          <t>ML 3960 IR 44 (1809) – April (Ofen 06/02/1811), May (Ofen 08/04/1811), Juli (Ofen 08/04/1811)</t>
        </r>
        <r>
          <rPr>
            <sz val="14"/>
            <color rgb="FF000000"/>
            <rFont val="Calibri"/>
            <family val="34"/>
          </rPr>
          <t xml:space="preserve">
</t>
        </r>
      </text>
    </comment>
    <comment ref="BH632" authorId="0" shapeId="0" xr:uid="{8E6CA11A-0A04-4B41-86D1-34093D14989F}">
      <text>
        <r>
          <rPr>
            <sz val="14"/>
            <color rgb="FF000000"/>
            <rFont val="Calibri"/>
            <family val="34"/>
          </rPr>
          <t>IR 44 (1808-1818)</t>
        </r>
      </text>
    </comment>
    <comment ref="BF633" authorId="0" shapeId="0" xr:uid="{92C6CC8C-0488-D54C-9009-445C53C802B4}">
      <text>
        <r>
          <rPr>
            <sz val="14"/>
            <color rgb="FF000000"/>
            <rFont val="Times New Roman"/>
            <family val="18"/>
          </rPr>
          <t xml:space="preserve">23/08/1808 </t>
        </r>
        <r>
          <rPr>
            <i/>
            <sz val="14"/>
            <color rgb="FF000000"/>
            <rFont val="Times New Roman"/>
            <family val="18"/>
          </rPr>
          <t>A 20Fl Werbgeld nach 6 Jahre assentiert</t>
        </r>
        <r>
          <rPr>
            <sz val="14"/>
            <color rgb="FF000000"/>
            <rFont val="Times New Roman"/>
            <family val="18"/>
          </rPr>
          <t xml:space="preserve"> [TL Jan 1810 &amp; ML 1811]</t>
        </r>
        <r>
          <rPr>
            <sz val="14"/>
            <color rgb="FF000000"/>
            <rFont val="Calibri"/>
            <family val="34"/>
          </rPr>
          <t xml:space="preserve">
</t>
        </r>
        <r>
          <rPr>
            <sz val="14"/>
            <color rgb="FF000000"/>
            <rFont val="Times New Roman"/>
            <family val="18"/>
          </rPr>
          <t xml:space="preserve">02/10/1808 </t>
        </r>
        <r>
          <rPr>
            <i/>
            <sz val="14"/>
            <color rgb="FF000000"/>
            <rFont val="Times New Roman"/>
            <family val="18"/>
          </rPr>
          <t>Von galizischen Ständen Gestellt</t>
        </r>
        <r>
          <rPr>
            <sz val="14"/>
            <color rgb="FF000000"/>
            <rFont val="Times New Roman"/>
            <family val="18"/>
          </rPr>
          <t xml:space="preserve"> [TL Dec 1809]</t>
        </r>
        <r>
          <rPr>
            <sz val="14"/>
            <color rgb="FF000000"/>
            <rFont val="Calibri"/>
            <family val="34"/>
          </rPr>
          <t xml:space="preserve">
</t>
        </r>
        <r>
          <rPr>
            <sz val="14"/>
            <color rgb="FF000000"/>
            <rFont val="Times New Roman"/>
            <family val="18"/>
          </rPr>
          <t xml:space="preserve">21/03/1809 </t>
        </r>
        <r>
          <rPr>
            <i/>
            <sz val="14"/>
            <color rgb="FF000000"/>
            <rFont val="Times New Roman"/>
            <family val="18"/>
          </rPr>
          <t>Von IR 24 Strauch Haupt Jager Komp.  zum Galizischen Freibataillon Nr. 2 transferiert und zum 3. Kompanie von Haupt Carl St. Delis eingeheilt</t>
        </r>
        <r>
          <rPr>
            <sz val="14"/>
            <color rgb="FF000000"/>
            <rFont val="Times New Roman"/>
            <family val="18"/>
          </rPr>
          <t xml:space="preserve"> [TL Dec 1809 &amp; ST March 1809]</t>
        </r>
        <r>
          <rPr>
            <sz val="14"/>
            <color rgb="FF000000"/>
            <rFont val="Calibri"/>
            <family val="34"/>
          </rPr>
          <t xml:space="preserve">
</t>
        </r>
        <r>
          <rPr>
            <sz val="14"/>
            <color rgb="FF000000"/>
            <rFont val="Times New Roman"/>
            <family val="18"/>
          </rPr>
          <t xml:space="preserve">01/07/1809 </t>
        </r>
        <r>
          <rPr>
            <i/>
            <sz val="14"/>
            <color rgb="FF000000"/>
            <rFont val="Times New Roman"/>
            <family val="18"/>
          </rPr>
          <t>Von 2. Komp zum 6. Jetzt 2. Komp</t>
        </r>
        <r>
          <rPr>
            <sz val="14"/>
            <color rgb="FF000000"/>
            <rFont val="Times New Roman"/>
            <family val="18"/>
          </rPr>
          <t xml:space="preserve"> [Haupt Sedlitz] </t>
        </r>
        <r>
          <rPr>
            <i/>
            <sz val="14"/>
            <color rgb="FF000000"/>
            <rFont val="Times New Roman"/>
            <family val="18"/>
          </rPr>
          <t xml:space="preserve">transferiert </t>
        </r>
        <r>
          <rPr>
            <sz val="14"/>
            <color rgb="FF000000"/>
            <rFont val="Times New Roman"/>
            <family val="18"/>
          </rPr>
          <t>[ST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Zum Gefreyter avanciert</t>
        </r>
        <r>
          <rPr>
            <sz val="14"/>
            <color rgb="FF000000"/>
            <rFont val="Times New Roman"/>
            <family val="18"/>
          </rPr>
          <t xml:space="preserve"> [TL Jan 1810 &amp; ST Sept 1809]</t>
        </r>
        <r>
          <rPr>
            <sz val="14"/>
            <color rgb="FF000000"/>
            <rFont val="Calibri"/>
            <family val="34"/>
          </rPr>
          <t xml:space="preserve">
</t>
        </r>
        <r>
          <rPr>
            <sz val="14"/>
            <color rgb="FF000000"/>
            <rFont val="Times New Roman"/>
            <family val="18"/>
          </rPr>
          <t xml:space="preserve">01/01/1810 </t>
        </r>
        <r>
          <rPr>
            <i/>
            <sz val="14"/>
            <color rgb="FF000000"/>
            <rFont val="Times New Roman"/>
            <family val="18"/>
          </rPr>
          <t>Auf Odnanz mit Fliesch Equivalent</t>
        </r>
        <r>
          <rPr>
            <sz val="14"/>
            <color rgb="FF000000"/>
            <rFont val="Times New Roman"/>
            <family val="18"/>
          </rPr>
          <t xml:space="preserve"> a 8 4/8Xr [ST Jan 1810]</t>
        </r>
        <r>
          <rPr>
            <sz val="14"/>
            <color rgb="FF000000"/>
            <rFont val="Calibri"/>
            <family val="34"/>
          </rPr>
          <t xml:space="preserve">
</t>
        </r>
        <r>
          <rPr>
            <sz val="14"/>
            <color rgb="FF000000"/>
            <rFont val="Times New Roman"/>
            <family val="18"/>
          </rPr>
          <t>06/01/1810</t>
        </r>
        <r>
          <rPr>
            <i/>
            <sz val="14"/>
            <color rgb="FF000000"/>
            <rFont val="Times New Roman"/>
            <family val="18"/>
          </rPr>
          <t xml:space="preserve"> Wieder zurück in Kompanie</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20/01/1810 </t>
        </r>
        <r>
          <rPr>
            <i/>
            <sz val="14"/>
            <color rgb="FF000000"/>
            <rFont val="Times New Roman"/>
            <family val="18"/>
          </rPr>
          <t>Von dissolvierte Galizischen Freibataillon Nr. 2 2. Kompanie zum IR 24 ‚Strauch‘ transferiert</t>
        </r>
        <r>
          <rPr>
            <sz val="14"/>
            <color rgb="FF000000"/>
            <rFont val="Times New Roman"/>
            <family val="18"/>
          </rPr>
          <t xml:space="preserve"> [TL 1810]</t>
        </r>
        <r>
          <rPr>
            <sz val="14"/>
            <color rgb="FF000000"/>
            <rFont val="Calibri"/>
            <family val="34"/>
          </rPr>
          <t xml:space="preserve">
</t>
        </r>
        <r>
          <rPr>
            <sz val="14"/>
            <color rgb="FF000000"/>
            <rFont val="Times New Roman"/>
            <family val="18"/>
          </rPr>
          <t>23/09/1811 Musterung: IR 24 15. Fus. Komp. Nr. 19 [</t>
        </r>
        <r>
          <rPr>
            <i/>
            <sz val="14"/>
            <color rgb="FF000000"/>
            <rFont val="Times New Roman"/>
            <family val="18"/>
          </rPr>
          <t>Beurlaubt bis Einberufung</t>
        </r>
        <r>
          <rPr>
            <sz val="14"/>
            <color rgb="FF000000"/>
            <rFont val="Times New Roman"/>
            <family val="18"/>
          </rPr>
          <t>]</t>
        </r>
      </text>
    </comment>
    <comment ref="BG633" authorId="0" shapeId="0" xr:uid="{322865A3-F4AF-B342-8A29-61B321B042AB}">
      <text>
        <r>
          <rPr>
            <sz val="14"/>
            <color rgb="FF000000"/>
            <rFont val="Times New Roman"/>
            <family val="18"/>
          </rPr>
          <t>ML 1942 IR 24 (1811) – 15. Fus. Komp. Nr. 19 (Motsan 23/9/1811)</t>
        </r>
        <r>
          <rPr>
            <sz val="14"/>
            <color rgb="FF000000"/>
            <rFont val="Calibri"/>
            <family val="34"/>
          </rPr>
          <t xml:space="preserve">
</t>
        </r>
        <r>
          <rPr>
            <sz val="14"/>
            <color rgb="FF000000"/>
            <rFont val="Times New Roman"/>
            <family val="18"/>
          </rPr>
          <t>ML 10.831 WGal FB 2 (1809-10) – TL IR 24-&gt; WGal FB 2 Nr. 21 (Csakowar 30/11/1809) &amp; TL WGal FB 2-&gt; IR 24 Nr. 60 (Leitmoschil 20/01/1810), ST March (Braddczy bei Caschau 10/08/1809), ST July (Brünn 20/12/1810), ST Sept (Brünn 10/01/1811), ST 1810 Jan (Tichnowitz 03/03/1811)</t>
        </r>
      </text>
    </comment>
    <comment ref="BH633" authorId="0" shapeId="0" xr:uid="{477094F1-7489-B84B-ABE1-7E14C2F30A7D}">
      <text>
        <r>
          <rPr>
            <sz val="14"/>
            <color rgb="FF000000"/>
            <rFont val="Calibri"/>
            <family val="34"/>
          </rPr>
          <t xml:space="preserve">IR 24 (1808-1809)
</t>
        </r>
        <r>
          <rPr>
            <sz val="14"/>
            <color rgb="FF000000"/>
            <rFont val="Calibri"/>
            <family val="34"/>
          </rPr>
          <t xml:space="preserve">WGal FB 2 (1809-10)
</t>
        </r>
        <r>
          <rPr>
            <sz val="14"/>
            <color rgb="FF000000"/>
            <rFont val="Calibri"/>
            <family val="34"/>
          </rPr>
          <t>IR 24 (1810-11)</t>
        </r>
      </text>
    </comment>
    <comment ref="BF634" authorId="0" shapeId="0" xr:uid="{9402B20A-CB82-B741-A290-49AA70751D4B}">
      <text>
        <r>
          <rPr>
            <sz val="14"/>
            <color rgb="FF000000"/>
            <rFont val="Times New Roman"/>
            <family val="18"/>
          </rPr>
          <t xml:space="preserve">21/09/1808 </t>
        </r>
        <r>
          <rPr>
            <i/>
            <sz val="14"/>
            <color rgb="FF000000"/>
            <rFont val="Times New Roman"/>
            <family val="18"/>
          </rPr>
          <t>Gegen 3 Fl Handgeld auf 10 Jahr zu Sambor in IR 44 zu Sambor assentiert und zur 1. Fus. Komp. zugeteilt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1. Zum 14.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25/09/1810 Revision: IR 44 6. Fus. Komp. Nr. 160 [</t>
        </r>
        <r>
          <rPr>
            <i/>
            <sz val="14"/>
            <color rgb="FF000000"/>
            <rFont val="Times New Roman"/>
            <family val="18"/>
          </rPr>
          <t>Auf Konskription in Galizien</t>
        </r>
        <r>
          <rPr>
            <sz val="14"/>
            <color rgb="FF000000"/>
            <rFont val="Times New Roman"/>
            <family val="18"/>
          </rPr>
          <t>]</t>
        </r>
        <r>
          <rPr>
            <sz val="14"/>
            <color rgb="FF000000"/>
            <rFont val="Calibri"/>
            <family val="34"/>
          </rPr>
          <t xml:space="preserve">
</t>
        </r>
        <r>
          <rPr>
            <sz val="14"/>
            <color rgb="FF000000"/>
            <rFont val="Times New Roman"/>
            <family val="18"/>
          </rPr>
          <t>18/09/1811 Muster: IR 44 6. Fus. Komp. Nr. 156 [</t>
        </r>
        <r>
          <rPr>
            <i/>
            <sz val="14"/>
            <color rgb="FF000000"/>
            <rFont val="Times New Roman"/>
            <family val="18"/>
          </rPr>
          <t>Krank Auswärts</t>
        </r>
        <r>
          <rPr>
            <sz val="14"/>
            <color rgb="FF000000"/>
            <rFont val="Times New Roman"/>
            <family val="18"/>
          </rPr>
          <t>]</t>
        </r>
        <r>
          <rPr>
            <sz val="14"/>
            <color rgb="FF000000"/>
            <rFont val="Calibri"/>
            <family val="34"/>
          </rPr>
          <t xml:space="preserve">
</t>
        </r>
        <r>
          <rPr>
            <sz val="14"/>
            <color rgb="FF000000"/>
            <rFont val="Times New Roman"/>
            <family val="18"/>
          </rPr>
          <t>19/09/1812 Revision: IR 44 6. Fus. Komp. Nr. 84 [</t>
        </r>
        <r>
          <rPr>
            <i/>
            <sz val="14"/>
            <color rgb="FF000000"/>
            <rFont val="Times New Roman"/>
            <family val="18"/>
          </rPr>
          <t>Commandiert nach Caschau</t>
        </r>
        <r>
          <rPr>
            <sz val="14"/>
            <color rgb="FF000000"/>
            <rFont val="Times New Roman"/>
            <family val="18"/>
          </rPr>
          <t>]</t>
        </r>
        <r>
          <rPr>
            <sz val="14"/>
            <color rgb="FF000000"/>
            <rFont val="Calibri"/>
            <family val="34"/>
          </rPr>
          <t xml:space="preserve">
</t>
        </r>
        <r>
          <rPr>
            <sz val="14"/>
            <color rgb="FF000000"/>
            <rFont val="Times New Roman"/>
            <family val="18"/>
          </rPr>
          <t xml:space="preserve">01/04/1817 </t>
        </r>
        <r>
          <rPr>
            <i/>
            <sz val="14"/>
            <color rgb="FF000000"/>
            <rFont val="Times New Roman"/>
            <family val="18"/>
          </rPr>
          <t>Von 6. Zur 8. Fus. Komp.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8. Fus. Komp. Nr. 95 [</t>
        </r>
        <r>
          <rPr>
            <i/>
            <sz val="14"/>
            <color rgb="FF000000"/>
            <rFont val="Times New Roman"/>
            <family val="18"/>
          </rPr>
          <t>Beim Werbezierk zu Sambor</t>
        </r>
        <r>
          <rPr>
            <sz val="14"/>
            <color rgb="FF000000"/>
            <rFont val="Times New Roman"/>
            <family val="18"/>
          </rPr>
          <t>]</t>
        </r>
        <r>
          <rPr>
            <sz val="14"/>
            <color rgb="FF000000"/>
            <rFont val="Calibri"/>
            <family val="34"/>
          </rPr>
          <t xml:space="preserve">
</t>
        </r>
        <r>
          <rPr>
            <sz val="14"/>
            <color rgb="FF000000"/>
            <rFont val="Times New Roman"/>
            <family val="18"/>
          </rPr>
          <t xml:space="preserve">30/11/1818 [SIC!] </t>
        </r>
        <r>
          <rPr>
            <i/>
            <sz val="14"/>
            <color rgb="FF000000"/>
            <rFont val="Times New Roman"/>
            <family val="18"/>
          </rPr>
          <t>Von IR 44. 8. Fus. Komp. zur</t>
        </r>
        <r>
          <rPr>
            <sz val="14"/>
            <color rgb="FF000000"/>
            <rFont val="Times New Roman"/>
            <family val="18"/>
          </rPr>
          <t xml:space="preserve"> </t>
        </r>
        <r>
          <rPr>
            <b/>
            <sz val="14"/>
            <color rgb="FF000000"/>
            <rFont val="Times New Roman"/>
            <family val="18"/>
          </rPr>
          <t>IR 9</t>
        </r>
        <r>
          <rPr>
            <sz val="14"/>
            <color rgb="FF000000"/>
            <rFont val="Times New Roman"/>
            <family val="18"/>
          </rPr>
          <t xml:space="preserve"> </t>
        </r>
        <r>
          <rPr>
            <i/>
            <sz val="14"/>
            <color rgb="FF000000"/>
            <rFont val="Times New Roman"/>
            <family val="18"/>
          </rPr>
          <t>Fürst Czertoryski Inf. transferiert</t>
        </r>
        <r>
          <rPr>
            <sz val="14"/>
            <color rgb="FF000000"/>
            <rFont val="Times New Roman"/>
            <family val="18"/>
          </rPr>
          <t xml:space="preserve"> [ML 1818]</t>
        </r>
        <r>
          <rPr>
            <sz val="14"/>
            <color rgb="FF000000"/>
            <rFont val="Calibri"/>
            <family val="34"/>
          </rPr>
          <t xml:space="preserve">
</t>
        </r>
      </text>
    </comment>
    <comment ref="BG634" authorId="0" shapeId="0" xr:uid="{1DDB0DE0-1BA0-1446-BA36-7F4F28F1E88C}">
      <text>
        <r>
          <rPr>
            <sz val="14"/>
            <color rgb="FF000000"/>
            <rFont val="Times New Roman"/>
            <family val="18"/>
          </rPr>
          <t>ML 3911 IR 44 (1808-10) – 6. Fus. Komp. Nr. 260 (Sthulweissenburg 25/09/1810)</t>
        </r>
        <r>
          <rPr>
            <sz val="14"/>
            <color rgb="FF000000"/>
            <rFont val="Calibri"/>
            <family val="34"/>
          </rPr>
          <t xml:space="preserve">
</t>
        </r>
        <r>
          <rPr>
            <sz val="14"/>
            <color rgb="FF000000"/>
            <rFont val="Times New Roman"/>
            <family val="18"/>
          </rPr>
          <t>ML 3912/3 IR 44 (1811) – 6. Fus. Komp. Nr. 156 (Pappa 18/09/1811)</t>
        </r>
        <r>
          <rPr>
            <sz val="14"/>
            <color rgb="FF000000"/>
            <rFont val="Calibri"/>
            <family val="34"/>
          </rPr>
          <t xml:space="preserve">
</t>
        </r>
        <r>
          <rPr>
            <sz val="14"/>
            <color rgb="FF000000"/>
            <rFont val="Times New Roman"/>
            <family val="18"/>
          </rPr>
          <t>ML 3914 IR 44 (1812/6) – 6. Fus. Komp. Nr. 84 (Pest 19/09/1812)</t>
        </r>
        <r>
          <rPr>
            <sz val="14"/>
            <color rgb="FF000000"/>
            <rFont val="Calibri"/>
            <family val="34"/>
          </rPr>
          <t xml:space="preserve">
</t>
        </r>
        <r>
          <rPr>
            <sz val="14"/>
            <color rgb="FF000000"/>
            <rFont val="Times New Roman"/>
            <family val="18"/>
          </rPr>
          <t>ML 3915/6 IR 44 (1818) – 8. Fus. Komp. Nr. 95 (Pavia 05/01/1818); 8. Fus. Komp. Abgang (Pavia 24/10/1818)</t>
        </r>
        <r>
          <rPr>
            <sz val="14"/>
            <color rgb="FF000000"/>
            <rFont val="Calibri"/>
            <family val="34"/>
          </rPr>
          <t xml:space="preserve">
</t>
        </r>
      </text>
    </comment>
    <comment ref="BH634" authorId="0" shapeId="0" xr:uid="{FD8911F6-D2BC-E744-AC74-92F1928E409A}">
      <text>
        <r>
          <rPr>
            <sz val="14"/>
            <color rgb="FF000000"/>
            <rFont val="Calibri"/>
            <family val="34"/>
          </rPr>
          <t xml:space="preserve">IR 44 (1808-1818)
</t>
        </r>
        <r>
          <rPr>
            <sz val="14"/>
            <color rgb="FF000000"/>
            <rFont val="Calibri"/>
            <family val="34"/>
          </rPr>
          <t>IR 9 (1818)</t>
        </r>
      </text>
    </comment>
    <comment ref="T635" authorId="0" shapeId="0" xr:uid="{62278740-8292-6145-96FB-3FC005A035FD}">
      <text>
        <r>
          <rPr>
            <sz val="14"/>
            <color rgb="FF000000"/>
            <rFont val="Calibri"/>
            <family val="34"/>
          </rPr>
          <t xml:space="preserve">160.85 [5.1.1 (ML 1811)]
</t>
        </r>
        <r>
          <rPr>
            <sz val="14"/>
            <color rgb="FF000000"/>
            <rFont val="Calibri"/>
            <family val="34"/>
          </rPr>
          <t>163.26 [5.2 (ML 1819)]</t>
        </r>
      </text>
    </comment>
    <comment ref="BF635" authorId="0" shapeId="0" xr:uid="{D6FDB100-7525-B849-B564-A25C181206AA}">
      <text>
        <r>
          <rPr>
            <sz val="14"/>
            <color rgb="FF000000"/>
            <rFont val="Times New Roman"/>
            <family val="18"/>
          </rPr>
          <t xml:space="preserve">21/09/1808 </t>
        </r>
        <r>
          <rPr>
            <i/>
            <sz val="14"/>
            <color rgb="FF000000"/>
            <rFont val="Times New Roman"/>
            <family val="18"/>
          </rPr>
          <t>Gegen 3 Fl Handgeld auf 10 Jahr in IR 44 zu Sambor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20/03/1809 </t>
        </r>
        <r>
          <rPr>
            <i/>
            <sz val="14"/>
            <color rgb="FF000000"/>
            <rFont val="Times New Roman"/>
            <family val="18"/>
          </rPr>
          <t>Von IR 44 12. Fus Komp zu, Staabs Infanterie Regiment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 xml:space="preserve">Von Staabs inf. Von 4. Armee Corps zum IR 44 transferiert und zum 3. Fus. Komp eingeteilt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3. Fus. Komp. Nr. 128</t>
        </r>
        <r>
          <rPr>
            <sz val="14"/>
            <color rgb="FF000000"/>
            <rFont val="Calibri"/>
            <family val="34"/>
          </rPr>
          <t xml:space="preserve">
</t>
        </r>
        <r>
          <rPr>
            <sz val="14"/>
            <color rgb="FF000000"/>
            <rFont val="Times New Roman"/>
            <family val="18"/>
          </rPr>
          <t>18/09/1811 Muster: IR 44 3. Fus. Komp. Nr. 80 [</t>
        </r>
        <r>
          <rPr>
            <i/>
            <sz val="14"/>
            <color rgb="FF000000"/>
            <rFont val="Times New Roman"/>
            <family val="18"/>
          </rPr>
          <t>Kommandiert Beurlaubt in Gmünden in Osterreich</t>
        </r>
        <r>
          <rPr>
            <sz val="14"/>
            <color rgb="FF000000"/>
            <rFont val="Times New Roman"/>
            <family val="18"/>
          </rPr>
          <t>]</t>
        </r>
        <r>
          <rPr>
            <sz val="14"/>
            <color rgb="FF000000"/>
            <rFont val="Calibri"/>
            <family val="34"/>
          </rPr>
          <t xml:space="preserve">
</t>
        </r>
        <r>
          <rPr>
            <sz val="14"/>
            <color rgb="FF000000"/>
            <rFont val="Times New Roman"/>
            <family val="18"/>
          </rPr>
          <t>19/09/1812 Revision: IR 44 3. Fus. Komp. Nr. 44 [</t>
        </r>
        <r>
          <rPr>
            <i/>
            <sz val="14"/>
            <color rgb="FF000000"/>
            <rFont val="Times New Roman"/>
            <family val="18"/>
          </rPr>
          <t>Commandiert in Garnisons Spital</t>
        </r>
        <r>
          <rPr>
            <sz val="14"/>
            <color rgb="FF000000"/>
            <rFont val="Times New Roman"/>
            <family val="18"/>
          </rPr>
          <t>]</t>
        </r>
        <r>
          <rPr>
            <sz val="14"/>
            <color rgb="FF000000"/>
            <rFont val="Calibri"/>
            <family val="34"/>
          </rPr>
          <t xml:space="preserve">
</t>
        </r>
        <r>
          <rPr>
            <sz val="14"/>
            <color rgb="FF000000"/>
            <rFont val="Times New Roman"/>
            <family val="18"/>
          </rPr>
          <t xml:space="preserve">01/09/1816 </t>
        </r>
        <r>
          <rPr>
            <i/>
            <sz val="14"/>
            <color rgb="FF000000"/>
            <rFont val="Times New Roman"/>
            <family val="18"/>
          </rPr>
          <t>Zu Fourierschütz Mutiert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07/01/1818 Muster: IR 44 3. Fus. Komp. Nr. 19</t>
        </r>
        <r>
          <rPr>
            <sz val="14"/>
            <color rgb="FF000000"/>
            <rFont val="Calibri"/>
            <family val="34"/>
          </rPr>
          <t xml:space="preserve">
</t>
        </r>
        <r>
          <rPr>
            <sz val="14"/>
            <color rgb="FF000000"/>
            <rFont val="Times New Roman"/>
            <family val="18"/>
          </rPr>
          <t>26/10/1818 Muster: IR 44 3. Fus. Komp. Nr. 13 [</t>
        </r>
        <r>
          <rPr>
            <i/>
            <sz val="14"/>
            <color rgb="FF000000"/>
            <rFont val="Times New Roman"/>
            <family val="18"/>
          </rPr>
          <t>Ausgedienter Capitulant wird mit Abschied entlassen</t>
        </r>
        <r>
          <rPr>
            <sz val="14"/>
            <color rgb="FF000000"/>
            <rFont val="Times New Roman"/>
            <family val="18"/>
          </rPr>
          <t>]</t>
        </r>
        <r>
          <rPr>
            <sz val="14"/>
            <color rgb="FF000000"/>
            <rFont val="Calibri"/>
            <family val="34"/>
          </rPr>
          <t xml:space="preserve">
</t>
        </r>
        <r>
          <rPr>
            <sz val="14"/>
            <color rgb="FF000000"/>
            <rFont val="Times New Roman"/>
            <family val="18"/>
          </rPr>
          <t xml:space="preserve">26/10/1818 </t>
        </r>
        <r>
          <rPr>
            <i/>
            <sz val="14"/>
            <color rgb="FF000000"/>
            <rFont val="Times New Roman"/>
            <family val="18"/>
          </rPr>
          <t>Als ausgedienter Capitulant mit Abschied entlassen</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26/10/1818 </t>
        </r>
        <r>
          <rPr>
            <i/>
            <sz val="14"/>
            <color rgb="FF000000"/>
            <rFont val="Times New Roman"/>
            <family val="18"/>
          </rPr>
          <t>Als Unobligat neu aufgenommen und assentiert. Hat vorhin beim Regiment durch 10 Jahren gedient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20/10/1819 Muster: IR 44 3. Fus. Komp. Nr. 13 </t>
        </r>
        <r>
          <rPr>
            <sz val="14"/>
            <color rgb="FF000000"/>
            <rFont val="Calibri"/>
            <family val="34"/>
          </rPr>
          <t xml:space="preserve">
</t>
        </r>
        <r>
          <rPr>
            <sz val="14"/>
            <color rgb="FF000000"/>
            <rFont val="Times New Roman"/>
            <family val="18"/>
          </rPr>
          <t>25/09/1820 Muster: IR 44 3. Fus. Komp. Nr. 12</t>
        </r>
        <r>
          <rPr>
            <sz val="14"/>
            <color rgb="FF000000"/>
            <rFont val="Calibri"/>
            <family val="34"/>
          </rPr>
          <t xml:space="preserve">
</t>
        </r>
      </text>
    </comment>
    <comment ref="BG635" authorId="0" shapeId="0" xr:uid="{651E61B1-D03A-8449-8611-931A2B45A93D}">
      <text>
        <r>
          <rPr>
            <sz val="14"/>
            <color rgb="FF000000"/>
            <rFont val="Times New Roman"/>
            <family val="18"/>
          </rPr>
          <t>ML 3911 IR 44 (1808-10) – RL 3. Fus. Komp. Nr. 128 (Sthulweissenburg 25/09/1810)</t>
        </r>
        <r>
          <rPr>
            <sz val="14"/>
            <color rgb="FF000000"/>
            <rFont val="Calibri"/>
            <family val="34"/>
          </rPr>
          <t xml:space="preserve">
</t>
        </r>
        <r>
          <rPr>
            <sz val="14"/>
            <color rgb="FF000000"/>
            <rFont val="Times New Roman"/>
            <family val="18"/>
          </rPr>
          <t>ML 3912-3 IR 44 (1811) – 3. Fus. Komp. Nr. 80 (Pappa 18/09/1811)</t>
        </r>
        <r>
          <rPr>
            <sz val="14"/>
            <color rgb="FF000000"/>
            <rFont val="Calibri"/>
            <family val="34"/>
          </rPr>
          <t xml:space="preserve">
</t>
        </r>
        <r>
          <rPr>
            <sz val="14"/>
            <color rgb="FF000000"/>
            <rFont val="Times New Roman"/>
            <family val="18"/>
          </rPr>
          <t>ML 3914 IR 44 (1812/6) – 3. Fus. Komp. Nr. 44 (Pest 19/09/1812)</t>
        </r>
        <r>
          <rPr>
            <sz val="14"/>
            <color rgb="FF000000"/>
            <rFont val="Calibri"/>
            <family val="34"/>
          </rPr>
          <t xml:space="preserve">
</t>
        </r>
        <r>
          <rPr>
            <sz val="14"/>
            <color rgb="FF000000"/>
            <rFont val="Times New Roman"/>
            <family val="18"/>
          </rPr>
          <t>ML 3915/6 IR 44 (1818) – 3 Fus. Komp. Nr. 19 (Lodi 07/01/1818); 3. Fus. Komp. Nr. 13 (Lodi 26/10/1818)</t>
        </r>
        <r>
          <rPr>
            <sz val="14"/>
            <color rgb="FF000000"/>
            <rFont val="Calibri"/>
            <family val="34"/>
          </rPr>
          <t xml:space="preserve">
</t>
        </r>
        <r>
          <rPr>
            <sz val="14"/>
            <color rgb="FF000000"/>
            <rFont val="Times New Roman"/>
            <family val="18"/>
          </rPr>
          <t>ML 3918/9 IR 44 (1819) – 3. Fus. Komp. Nr. 13 (Vicenza 20/10/1819)</t>
        </r>
        <r>
          <rPr>
            <sz val="14"/>
            <color rgb="FF000000"/>
            <rFont val="Calibri"/>
            <family val="34"/>
          </rPr>
          <t xml:space="preserve">
</t>
        </r>
        <r>
          <rPr>
            <sz val="14"/>
            <color rgb="FF000000"/>
            <rFont val="Times New Roman"/>
            <family val="18"/>
          </rPr>
          <t>ML 3918/9 IR 44 (1820) – 3. Fus. Komp. Nr. 12 (Milan 20/10/1819)</t>
        </r>
        <r>
          <rPr>
            <sz val="14"/>
            <color rgb="FF000000"/>
            <rFont val="Calibri"/>
            <family val="34"/>
          </rPr>
          <t xml:space="preserve">
</t>
        </r>
        <r>
          <rPr>
            <sz val="14"/>
            <color rgb="FF000000"/>
            <rFont val="Times New Roman"/>
            <family val="18"/>
          </rPr>
          <t>ML 3960 IR 44 (1809) – März (Ofen 14/03/1811), ST Aug (Ofen 25/06/1811)</t>
        </r>
        <r>
          <rPr>
            <sz val="14"/>
            <color rgb="FF000000"/>
            <rFont val="Calibri"/>
            <family val="34"/>
          </rPr>
          <t xml:space="preserve">
</t>
        </r>
      </text>
    </comment>
    <comment ref="BH635" authorId="0" shapeId="0" xr:uid="{627395D5-0D44-8E4A-A6D3-F459332A14BA}">
      <text>
        <r>
          <rPr>
            <sz val="14"/>
            <color rgb="FF000000"/>
            <rFont val="Calibri"/>
            <family val="34"/>
          </rPr>
          <t xml:space="preserve">IR 44 (1808-1809)
</t>
        </r>
        <r>
          <rPr>
            <sz val="14"/>
            <color rgb="FF000000"/>
            <rFont val="Calibri"/>
            <family val="34"/>
          </rPr>
          <t xml:space="preserve">SInf (1809)
</t>
        </r>
        <r>
          <rPr>
            <sz val="14"/>
            <color rgb="FF000000"/>
            <rFont val="Calibri"/>
            <family val="34"/>
          </rPr>
          <t>IR 44 (1809-1820)</t>
        </r>
      </text>
    </comment>
    <comment ref="T636" authorId="0" shapeId="0" xr:uid="{02F6C3A2-0B07-EC4E-A292-62C32031D9B0}">
      <text>
        <r>
          <rPr>
            <sz val="14"/>
            <color rgb="FF000000"/>
            <rFont val="Calibri"/>
            <family val="34"/>
          </rPr>
          <t xml:space="preserve">163.7 [5.2.2. (ML 1811)]
</t>
        </r>
        <r>
          <rPr>
            <sz val="14"/>
            <color rgb="FF000000"/>
            <rFont val="Calibri"/>
            <family val="34"/>
          </rPr>
          <t>166.11 [5.3.1 (ML 1818)]</t>
        </r>
      </text>
    </comment>
    <comment ref="BF636" authorId="0" shapeId="0" xr:uid="{D509D3CF-DBFC-EC41-9C82-1A5FA160AD79}">
      <text>
        <r>
          <rPr>
            <sz val="14"/>
            <color rgb="FF000000"/>
            <rFont val="Times New Roman"/>
            <family val="18"/>
          </rPr>
          <t xml:space="preserve">23/09/1808 </t>
        </r>
        <r>
          <rPr>
            <i/>
            <sz val="14"/>
            <color rgb="FF000000"/>
            <rFont val="Times New Roman"/>
            <family val="18"/>
          </rPr>
          <t>Gegen 3Fl Handgeld auf 10 Jahr zum IR 23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GH Würzburg Inf Regiment</t>
        </r>
        <r>
          <rPr>
            <sz val="14"/>
            <color rgb="FF000000"/>
            <rFont val="Times New Roman"/>
            <family val="18"/>
          </rPr>
          <t xml:space="preserve"> </t>
        </r>
        <r>
          <rPr>
            <b/>
            <sz val="14"/>
            <color rgb="FF000000"/>
            <rFont val="Times New Roman"/>
            <family val="18"/>
          </rPr>
          <t xml:space="preserve">[IR 23] </t>
        </r>
        <r>
          <rPr>
            <i/>
            <sz val="14"/>
            <color rgb="FF000000"/>
            <rFont val="Times New Roman"/>
            <family val="18"/>
          </rPr>
          <t>am IR 44 transferiert und zur 8.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196</t>
        </r>
        <r>
          <rPr>
            <sz val="14"/>
            <color rgb="FF000000"/>
            <rFont val="Calibri"/>
            <family val="34"/>
          </rPr>
          <t xml:space="preserve">
</t>
        </r>
        <r>
          <rPr>
            <sz val="14"/>
            <color rgb="FF000000"/>
            <rFont val="Times New Roman"/>
            <family val="18"/>
          </rPr>
          <t>20/09/1811 Muster: IR 44 8. Fus. Komp. Nr. 130</t>
        </r>
        <r>
          <rPr>
            <sz val="14"/>
            <color rgb="FF000000"/>
            <rFont val="Calibri"/>
            <family val="34"/>
          </rPr>
          <t xml:space="preserve">
</t>
        </r>
        <r>
          <rPr>
            <sz val="14"/>
            <color rgb="FF000000"/>
            <rFont val="Times New Roman"/>
            <family val="18"/>
          </rPr>
          <t>19/09/1812 Revision: IR 44 8. Fus. Komp. Nr. 86 [</t>
        </r>
        <r>
          <rPr>
            <i/>
            <sz val="14"/>
            <color rgb="FF000000"/>
            <rFont val="Times New Roman"/>
            <family val="18"/>
          </rPr>
          <t>Beurlaubt in Galizien</t>
        </r>
        <r>
          <rPr>
            <sz val="14"/>
            <color rgb="FF000000"/>
            <rFont val="Times New Roman"/>
            <family val="18"/>
          </rPr>
          <t>]</t>
        </r>
        <r>
          <rPr>
            <sz val="14"/>
            <color rgb="FF000000"/>
            <rFont val="Calibri"/>
            <family val="34"/>
          </rPr>
          <t xml:space="preserve">
</t>
        </r>
        <r>
          <rPr>
            <sz val="14"/>
            <color rgb="FF000000"/>
            <rFont val="Times New Roman"/>
            <family val="18"/>
          </rPr>
          <t xml:space="preserve">27/06/1813 </t>
        </r>
        <r>
          <rPr>
            <i/>
            <sz val="14"/>
            <color rgb="FF000000"/>
            <rFont val="Times New Roman"/>
            <family val="18"/>
          </rPr>
          <t>Von Gemeiner zum Corporal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14</t>
        </r>
        <r>
          <rPr>
            <sz val="14"/>
            <color rgb="FF000000"/>
            <rFont val="Calibri"/>
            <family val="34"/>
          </rPr>
          <t xml:space="preserve">
</t>
        </r>
        <r>
          <rPr>
            <sz val="14"/>
            <color rgb="FF000000"/>
            <rFont val="Times New Roman"/>
            <family val="18"/>
          </rPr>
          <t xml:space="preserve">13/10/1818 </t>
        </r>
        <r>
          <rPr>
            <i/>
            <sz val="14"/>
            <color rgb="FF000000"/>
            <rFont val="Times New Roman"/>
            <family val="18"/>
          </rPr>
          <t>Vermog Kriegsrechtlichen Sentenz auf Beständig zum Gemeinen degradiert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24/10/1818 Muster: IR 44 12. Fus. Komp. Nr. 86</t>
        </r>
        <r>
          <rPr>
            <sz val="14"/>
            <color rgb="FF000000"/>
            <rFont val="Calibri"/>
            <family val="34"/>
          </rPr>
          <t xml:space="preserve">
</t>
        </r>
        <r>
          <rPr>
            <sz val="14"/>
            <color rgb="FF000000"/>
            <rFont val="Times New Roman"/>
            <family val="18"/>
          </rPr>
          <t xml:space="preserve">11/11/1818 </t>
        </r>
        <r>
          <rPr>
            <i/>
            <sz val="14"/>
            <color rgb="FF000000"/>
            <rFont val="Times New Roman"/>
            <family val="18"/>
          </rPr>
          <t>Von 12. Zur 1.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20/10/1819 Muster: IR 44 1. Fus. Komp. Nr. 61 [</t>
        </r>
        <r>
          <rPr>
            <i/>
            <sz val="14"/>
            <color rgb="FF000000"/>
            <rFont val="Times New Roman"/>
            <family val="18"/>
          </rPr>
          <t>Ausgedienter Kapitulant</t>
        </r>
        <r>
          <rPr>
            <sz val="14"/>
            <color rgb="FF000000"/>
            <rFont val="Times New Roman"/>
            <family val="18"/>
          </rPr>
          <t>]</t>
        </r>
        <r>
          <rPr>
            <sz val="14"/>
            <color rgb="FF000000"/>
            <rFont val="Calibri"/>
            <family val="34"/>
          </rPr>
          <t xml:space="preserve">
</t>
        </r>
        <r>
          <rPr>
            <sz val="14"/>
            <color rgb="FF000000"/>
            <rFont val="Times New Roman"/>
            <family val="18"/>
          </rPr>
          <t xml:space="preserve">31/10/1819 </t>
        </r>
        <r>
          <rPr>
            <i/>
            <sz val="14"/>
            <color rgb="FF000000"/>
            <rFont val="Times New Roman"/>
            <family val="18"/>
          </rPr>
          <t>Als ausgedienter Capitulant mit Abschied entlassen</t>
        </r>
        <r>
          <rPr>
            <sz val="14"/>
            <color rgb="FF000000"/>
            <rFont val="Times New Roman"/>
            <family val="18"/>
          </rPr>
          <t xml:space="preserve"> [ML 1820]</t>
        </r>
        <r>
          <rPr>
            <sz val="14"/>
            <color rgb="FF000000"/>
            <rFont val="Calibri"/>
            <family val="34"/>
          </rPr>
          <t xml:space="preserve">
</t>
        </r>
      </text>
    </comment>
    <comment ref="BG636" authorId="0" shapeId="0" xr:uid="{AD429269-36BB-844C-B4A4-FC8B07F684C6}">
      <text>
        <r>
          <rPr>
            <sz val="14"/>
            <color rgb="FF000000"/>
            <rFont val="Times New Roman"/>
            <family val="18"/>
          </rPr>
          <t>ML 3911 IR 44 (1808-10) – 8. Fus. Komp. Nr. 196 (Pappa 27/09/1810)</t>
        </r>
        <r>
          <rPr>
            <sz val="14"/>
            <color rgb="FF000000"/>
            <rFont val="Calibri"/>
            <family val="34"/>
          </rPr>
          <t xml:space="preserve">
</t>
        </r>
        <r>
          <rPr>
            <sz val="14"/>
            <color rgb="FF000000"/>
            <rFont val="Times New Roman"/>
            <family val="18"/>
          </rPr>
          <t>ML 3912/3 IR 44 (1811) – 8. Fus. Komp. Nr. 130 (Sthulweissenburg 20/09/1811)</t>
        </r>
        <r>
          <rPr>
            <sz val="14"/>
            <color rgb="FF000000"/>
            <rFont val="Calibri"/>
            <family val="34"/>
          </rPr>
          <t xml:space="preserve">
</t>
        </r>
        <r>
          <rPr>
            <sz val="14"/>
            <color rgb="FF000000"/>
            <rFont val="Times New Roman"/>
            <family val="18"/>
          </rPr>
          <t>ML 3914 IR 44 (1812/6) – 8. Fus. Komp. Nr. 86 (Pest 19/09/1812)</t>
        </r>
        <r>
          <rPr>
            <sz val="14"/>
            <color rgb="FF000000"/>
            <rFont val="Calibri"/>
            <family val="34"/>
          </rPr>
          <t xml:space="preserve">
</t>
        </r>
        <r>
          <rPr>
            <sz val="14"/>
            <color rgb="FF000000"/>
            <rFont val="Times New Roman"/>
            <family val="18"/>
          </rPr>
          <t>ML 3915/6 IR 44 (1818) – 12. Fus. Komp. Nr. 14 (Pavia 05/01/1818); 12. Fus. Komp. Nr. 86 (Pavia 24/10/1818)</t>
        </r>
        <r>
          <rPr>
            <sz val="14"/>
            <color rgb="FF000000"/>
            <rFont val="Calibri"/>
            <family val="34"/>
          </rPr>
          <t xml:space="preserve">
</t>
        </r>
        <r>
          <rPr>
            <sz val="14"/>
            <color rgb="FF000000"/>
            <rFont val="Times New Roman"/>
            <family val="18"/>
          </rPr>
          <t>ML 3918/9 IR 44 (1819) – 1. Fus. Komp. Nr. 61 (Pizzighetone 20/10/1819)</t>
        </r>
        <r>
          <rPr>
            <sz val="14"/>
            <color rgb="FF000000"/>
            <rFont val="Calibri"/>
            <family val="34"/>
          </rPr>
          <t xml:space="preserve">
</t>
        </r>
        <r>
          <rPr>
            <sz val="14"/>
            <color rgb="FF000000"/>
            <rFont val="Times New Roman"/>
            <family val="18"/>
          </rPr>
          <t>ML 3920 IR 44 (1820) – 1. Fus. Komp. Nr. 61 (Milan 25/09/1820)</t>
        </r>
        <r>
          <rPr>
            <sz val="14"/>
            <color rgb="FF000000"/>
            <rFont val="Calibri"/>
            <family val="34"/>
          </rPr>
          <t xml:space="preserve">
</t>
        </r>
      </text>
    </comment>
    <comment ref="BH636" authorId="0" shapeId="0" xr:uid="{BF2E28E1-E0BF-EB41-B0DA-03182E182D94}">
      <text>
        <r>
          <rPr>
            <sz val="14"/>
            <color rgb="FF000000"/>
            <rFont val="Calibri"/>
            <family val="34"/>
          </rPr>
          <t xml:space="preserve">IR 23 (1808-1810)
</t>
        </r>
        <r>
          <rPr>
            <sz val="14"/>
            <color rgb="FF000000"/>
            <rFont val="Calibri"/>
            <family val="34"/>
          </rPr>
          <t>IR 44 (1810-1819)</t>
        </r>
      </text>
    </comment>
    <comment ref="BF637" authorId="0" shapeId="0" xr:uid="{3883C61D-9268-BF47-9F8F-C326EAAA8D6B}">
      <text>
        <r>
          <rPr>
            <sz val="14"/>
            <color rgb="FF000000"/>
            <rFont val="Times New Roman"/>
            <family val="18"/>
          </rPr>
          <t xml:space="preserve">27/09/1808 </t>
        </r>
        <r>
          <rPr>
            <i/>
            <sz val="14"/>
            <color rgb="FF000000"/>
            <rFont val="Times New Roman"/>
            <family val="18"/>
          </rPr>
          <t xml:space="preserve">In der 1. Reserve Batton a 2Fl zum IR 24 ex officio assentiert </t>
        </r>
        <r>
          <rPr>
            <sz val="14"/>
            <color rgb="FF000000"/>
            <rFont val="Times New Roman"/>
            <family val="18"/>
          </rPr>
          <t>[TL March 1810]</t>
        </r>
        <r>
          <rPr>
            <sz val="14"/>
            <color rgb="FF000000"/>
            <rFont val="Calibri"/>
            <family val="34"/>
          </rPr>
          <t xml:space="preserve">
</t>
        </r>
        <r>
          <rPr>
            <sz val="14"/>
            <color rgb="FF000000"/>
            <rFont val="Times New Roman"/>
            <family val="18"/>
          </rPr>
          <t xml:space="preserve">01/02/1809 </t>
        </r>
        <r>
          <rPr>
            <i/>
            <sz val="14"/>
            <color rgb="FF000000"/>
            <rFont val="Times New Roman"/>
            <family val="18"/>
          </rPr>
          <t>Von IR 24 Conrad Komp. als zur Werbbezirk gehörige zu, IR 30 transferiert und zum 2. Depot zugeheilt</t>
        </r>
        <r>
          <rPr>
            <sz val="14"/>
            <color rgb="FF000000"/>
            <rFont val="Times New Roman"/>
            <family val="18"/>
          </rPr>
          <t xml:space="preserve"> [TL 1810]</t>
        </r>
        <r>
          <rPr>
            <sz val="14"/>
            <color rgb="FF000000"/>
            <rFont val="Calibri"/>
            <family val="34"/>
          </rPr>
          <t xml:space="preserve">
</t>
        </r>
        <r>
          <rPr>
            <sz val="14"/>
            <color rgb="FF000000"/>
            <rFont val="Times New Roman"/>
            <family val="18"/>
          </rPr>
          <t xml:space="preserve">25/05/1809 </t>
        </r>
        <r>
          <rPr>
            <i/>
            <sz val="14"/>
            <color rgb="FF000000"/>
            <rFont val="Times New Roman"/>
            <family val="18"/>
          </rPr>
          <t>Zu Lemberg in Spital in die Pohlnische Kriegsgefangenschaft Gefallen</t>
        </r>
        <r>
          <rPr>
            <sz val="14"/>
            <color rgb="FF000000"/>
            <rFont val="Times New Roman"/>
            <family val="18"/>
          </rPr>
          <t xml:space="preserve"> [ST May 1809]</t>
        </r>
        <r>
          <rPr>
            <sz val="14"/>
            <color rgb="FF000000"/>
            <rFont val="Calibri"/>
            <family val="34"/>
          </rPr>
          <t xml:space="preserve">
</t>
        </r>
      </text>
    </comment>
    <comment ref="BG637" authorId="0" shapeId="0" xr:uid="{5F8AD578-3BF9-E948-A91B-7AF54F7FA13A}">
      <text>
        <r>
          <rPr>
            <sz val="14"/>
            <color rgb="FF000000"/>
            <rFont val="Times New Roman"/>
            <family val="18"/>
          </rPr>
          <t>ML 2683 IR 30 (1809) – TL IR 24-&gt;IR 30 Nr. 1 (Symegh 08/03/1810); ST Mai (Stanislau 01/12/1810)</t>
        </r>
        <r>
          <rPr>
            <sz val="14"/>
            <color rgb="FF000000"/>
            <rFont val="Calibri"/>
            <family val="34"/>
          </rPr>
          <t xml:space="preserve">
</t>
        </r>
      </text>
    </comment>
    <comment ref="BH637" authorId="0" shapeId="0" xr:uid="{15A6E25A-71E5-224B-A698-337D77D7F1F6}">
      <text>
        <r>
          <rPr>
            <sz val="14"/>
            <color rgb="FF000000"/>
            <rFont val="Calibri"/>
            <family val="34"/>
          </rPr>
          <t xml:space="preserve">IR 24 (1808-1809)
</t>
        </r>
        <r>
          <rPr>
            <sz val="14"/>
            <color rgb="FF000000"/>
            <rFont val="Calibri"/>
            <family val="34"/>
          </rPr>
          <t>IR 30 (1809)</t>
        </r>
      </text>
    </comment>
    <comment ref="BF638" authorId="0" shapeId="0" xr:uid="{8EE4AD63-5C68-3247-B580-FE783E09CA23}">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 Depot Komp transferiert</t>
        </r>
        <r>
          <rPr>
            <sz val="14"/>
            <color rgb="FF000000"/>
            <rFont val="Times New Roman"/>
            <family val="18"/>
          </rPr>
          <t xml:space="preserve"> [ST Mach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Von Transport nach 1. Depot Desertiert</t>
        </r>
        <r>
          <rPr>
            <sz val="14"/>
            <color rgb="FF000000"/>
            <rFont val="Times New Roman"/>
            <family val="18"/>
          </rPr>
          <t xml:space="preserve"> [ST May 1809]</t>
        </r>
        <r>
          <rPr>
            <sz val="14"/>
            <color rgb="FF000000"/>
            <rFont val="Calibri"/>
            <family val="34"/>
          </rPr>
          <t xml:space="preserve">
</t>
        </r>
      </text>
    </comment>
    <comment ref="BG638" authorId="0" shapeId="0" xr:uid="{F6E7A3F5-BC34-DD41-ACDF-71B9C5263D04}">
      <text>
        <r>
          <rPr>
            <sz val="14"/>
            <color rgb="FF000000"/>
            <rFont val="Times New Roman"/>
            <family val="18"/>
          </rPr>
          <t xml:space="preserve">ML 2683 IR 30 (1809) – ST März (Stanislau 27/07/1810), Mai (Stanislau 01/12/1810)
</t>
        </r>
      </text>
    </comment>
    <comment ref="BH638" authorId="0" shapeId="0" xr:uid="{166BF692-73D6-C445-B33C-45A2B51929B6}">
      <text>
        <r>
          <rPr>
            <sz val="14"/>
            <color rgb="FF000000"/>
            <rFont val="Calibri"/>
            <family val="34"/>
          </rPr>
          <t>IR 30 (1808-1809)</t>
        </r>
      </text>
    </comment>
    <comment ref="BF639" authorId="0" shapeId="0" xr:uid="{60024F39-2BC7-F947-8483-591DF4681E6D}">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 Depot Komp transferiert</t>
        </r>
        <r>
          <rPr>
            <sz val="14"/>
            <color rgb="FF000000"/>
            <rFont val="Times New Roman"/>
            <family val="18"/>
          </rPr>
          <t xml:space="preserve"> [ST Mach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Von Transport nach 1. Depot Desertiert</t>
        </r>
        <r>
          <rPr>
            <sz val="14"/>
            <color rgb="FF000000"/>
            <rFont val="Times New Roman"/>
            <family val="18"/>
          </rPr>
          <t xml:space="preserve"> [ST May 1809]</t>
        </r>
        <r>
          <rPr>
            <sz val="14"/>
            <color rgb="FF000000"/>
            <rFont val="Calibri"/>
            <family val="34"/>
          </rPr>
          <t xml:space="preserve">
</t>
        </r>
      </text>
    </comment>
    <comment ref="BG639" authorId="0" shapeId="0" xr:uid="{B4F96F94-3019-C745-A448-E54902D17425}">
      <text>
        <r>
          <rPr>
            <sz val="14"/>
            <color rgb="FF000000"/>
            <rFont val="Times New Roman"/>
            <family val="18"/>
          </rPr>
          <t xml:space="preserve">ML 2683 IR 30 (1809) – ST März (Stanislau 27/07/1810), Mai (Stanislau 01/12/1810)
</t>
        </r>
      </text>
    </comment>
    <comment ref="BH639" authorId="0" shapeId="0" xr:uid="{C886C558-560B-774E-AB09-89B751D57116}">
      <text>
        <r>
          <rPr>
            <sz val="14"/>
            <color rgb="FF000000"/>
            <rFont val="Calibri"/>
            <family val="34"/>
          </rPr>
          <t>IR 30 (1808-1809)</t>
        </r>
      </text>
    </comment>
    <comment ref="BF640" authorId="0" shapeId="0" xr:uid="{21060923-5197-9841-8D75-8078DF434FCC}">
      <text>
        <r>
          <rPr>
            <sz val="14"/>
            <color rgb="FF000000"/>
            <rFont val="Times New Roman"/>
            <family val="18"/>
          </rPr>
          <t xml:space="preserve">01/01/1809 [Bevor] </t>
        </r>
        <r>
          <rPr>
            <i/>
            <sz val="14"/>
            <color rgb="FF000000"/>
            <rFont val="Times New Roman"/>
            <family val="18"/>
          </rPr>
          <t>Assentiert</t>
        </r>
        <r>
          <rPr>
            <sz val="14"/>
            <color rgb="FF000000"/>
            <rFont val="Calibri"/>
            <family val="34"/>
          </rPr>
          <t xml:space="preserve">
</t>
        </r>
        <r>
          <rPr>
            <sz val="14"/>
            <color rgb="FF000000"/>
            <rFont val="Times New Roman"/>
            <family val="18"/>
          </rPr>
          <t xml:space="preserve">25/04/1809 </t>
        </r>
        <r>
          <rPr>
            <i/>
            <sz val="14"/>
            <color rgb="FF000000"/>
            <rFont val="Times New Roman"/>
            <family val="18"/>
          </rPr>
          <t>Gegen Stellung des beim 1. Depot pro April zuwachsten Recrout Joseph Prosdowsky und erlaag des einfachen Monturs Geld pr 53Fl 28xr zu Foge Hohe General Commando Verordnung ddt. Lemberg 28. Feb 1809 Nro 129 Liitt. U. mit Abschied entlassen</t>
        </r>
        <r>
          <rPr>
            <sz val="14"/>
            <color rgb="FF000000"/>
            <rFont val="Times New Roman"/>
            <family val="18"/>
          </rPr>
          <t xml:space="preserve"> [ST April 1809]</t>
        </r>
        <r>
          <rPr>
            <sz val="14"/>
            <color rgb="FF000000"/>
            <rFont val="Calibri"/>
            <family val="34"/>
          </rPr>
          <t xml:space="preserve">
</t>
        </r>
      </text>
    </comment>
    <comment ref="BG640" authorId="0" shapeId="0" xr:uid="{65884D23-DCEF-9546-9E21-344D37E684B7}">
      <text>
        <r>
          <rPr>
            <sz val="14"/>
            <color rgb="FF000000"/>
            <rFont val="Times New Roman"/>
            <family val="18"/>
          </rPr>
          <t>ML 2683 IR 30 (1809) –April (Stanislau 13/11/1810)</t>
        </r>
        <r>
          <rPr>
            <sz val="14"/>
            <color rgb="FF000000"/>
            <rFont val="Calibri"/>
            <family val="34"/>
          </rPr>
          <t xml:space="preserve">
</t>
        </r>
      </text>
    </comment>
    <comment ref="BH640" authorId="0" shapeId="0" xr:uid="{40C5DF9E-1291-2046-B7E2-AE2D071EF553}">
      <text>
        <r>
          <rPr>
            <sz val="14"/>
            <color rgb="FF000000"/>
            <rFont val="Calibri"/>
            <family val="34"/>
          </rPr>
          <t>IR 30 (1808-1809)</t>
        </r>
      </text>
    </comment>
    <comment ref="BF641" authorId="0" shapeId="0" xr:uid="{7D1C3E69-B8EF-CA4A-9FD0-C18BD4D20689}">
      <text>
        <r>
          <rPr>
            <sz val="14"/>
            <color rgb="FF000000"/>
            <rFont val="Times New Roman"/>
            <family val="18"/>
          </rPr>
          <t xml:space="preserve">06/01/1809 </t>
        </r>
        <r>
          <rPr>
            <i/>
            <sz val="14"/>
            <color rgb="FF000000"/>
            <rFont val="Times New Roman"/>
            <family val="18"/>
          </rPr>
          <t>Gegen 3Fl Handgeld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8. Fus. Komp. Nr. 168 [</t>
        </r>
        <r>
          <rPr>
            <i/>
            <sz val="14"/>
            <color rgb="FF000000"/>
            <rFont val="Times New Roman"/>
            <family val="18"/>
          </rPr>
          <t>Commandiert in Regiments Spital</t>
        </r>
        <r>
          <rPr>
            <sz val="14"/>
            <color rgb="FF000000"/>
            <rFont val="Times New Roman"/>
            <family val="18"/>
          </rPr>
          <t>]</t>
        </r>
        <r>
          <rPr>
            <sz val="14"/>
            <color rgb="FF000000"/>
            <rFont val="Calibri"/>
            <family val="34"/>
          </rPr>
          <t xml:space="preserve">
</t>
        </r>
        <r>
          <rPr>
            <sz val="14"/>
            <color rgb="FF000000"/>
            <rFont val="Times New Roman"/>
            <family val="18"/>
          </rPr>
          <t xml:space="preserve">20/09/1811 Muster: IR 44 8. Fus. Komp. Nr. 106 </t>
        </r>
        <r>
          <rPr>
            <sz val="14"/>
            <color rgb="FF000000"/>
            <rFont val="Calibri"/>
            <family val="34"/>
          </rPr>
          <t xml:space="preserve">
</t>
        </r>
        <r>
          <rPr>
            <sz val="14"/>
            <color rgb="FF000000"/>
            <rFont val="Times New Roman"/>
            <family val="18"/>
          </rPr>
          <t xml:space="preserve">05/06/1812 </t>
        </r>
        <r>
          <rPr>
            <i/>
            <sz val="14"/>
            <color rgb="FF000000"/>
            <rFont val="Times New Roman"/>
            <family val="18"/>
          </rPr>
          <t>Auf Steuerbare Wirtschaft gegen Stellung des Rekrutes Stephan Piekielka</t>
        </r>
        <r>
          <rPr>
            <sz val="14"/>
            <color rgb="FF000000"/>
            <rFont val="Times New Roman"/>
            <family val="18"/>
          </rPr>
          <t xml:space="preserve"> [RL 1812]</t>
        </r>
        <r>
          <rPr>
            <sz val="14"/>
            <color rgb="FF000000"/>
            <rFont val="Calibri"/>
            <family val="34"/>
          </rPr>
          <t xml:space="preserve">
</t>
        </r>
      </text>
    </comment>
    <comment ref="BG641" authorId="0" shapeId="0" xr:uid="{46FF0237-7DF4-5A4D-84FE-0D516775D219}">
      <text>
        <r>
          <rPr>
            <sz val="14"/>
            <color rgb="FF000000"/>
            <rFont val="Times New Roman"/>
            <family val="18"/>
          </rPr>
          <t>ML 3911 IR 44 (1808-10) – 8. Fus. Komp. Nr. 168 (Pappa 27/09/1810)</t>
        </r>
        <r>
          <rPr>
            <sz val="14"/>
            <color rgb="FF000000"/>
            <rFont val="Calibri"/>
            <family val="34"/>
          </rPr>
          <t xml:space="preserve">
</t>
        </r>
        <r>
          <rPr>
            <sz val="14"/>
            <color rgb="FF000000"/>
            <rFont val="Times New Roman"/>
            <family val="18"/>
          </rPr>
          <t>ML 3912/3 IR 44 (1811) – 8. Fus. Komp. Nr. 106 (Sthulweissenburg 20/09/1811)</t>
        </r>
        <r>
          <rPr>
            <sz val="14"/>
            <color rgb="FF000000"/>
            <rFont val="Calibri"/>
            <family val="34"/>
          </rPr>
          <t xml:space="preserve">
</t>
        </r>
        <r>
          <rPr>
            <sz val="14"/>
            <color rgb="FF000000"/>
            <rFont val="Times New Roman"/>
            <family val="18"/>
          </rPr>
          <t>ML 3914 IR 44 (1812/6) – 8. Fus. Komp. Abgang (Pest 19/09/1812)</t>
        </r>
      </text>
    </comment>
    <comment ref="BH641" authorId="0" shapeId="0" xr:uid="{8DA66707-D83F-2649-9F4E-12ADDB8A0042}">
      <text>
        <r>
          <rPr>
            <sz val="14"/>
            <color rgb="FF000000"/>
            <rFont val="Calibri"/>
            <family val="34"/>
          </rPr>
          <t>IR 44 (1809-1812</t>
        </r>
      </text>
    </comment>
    <comment ref="BF642" authorId="0" shapeId="0" xr:uid="{6A4F3173-7985-DF44-92F2-DC9C1A173BB4}">
      <text>
        <r>
          <rPr>
            <sz val="14"/>
            <color rgb="FF000000"/>
            <rFont val="Times New Roman"/>
            <family val="18"/>
          </rPr>
          <t xml:space="preserve">18/01/1809 </t>
        </r>
        <r>
          <rPr>
            <i/>
            <sz val="14"/>
            <color rgb="FF000000"/>
            <rFont val="Times New Roman"/>
            <family val="18"/>
          </rPr>
          <t>Gegen 3Fl Handgeld mit 14-Jähriger Capitulation von Lindenau Infanterie Regiments Werrbzirk ausgehoben und zum FAR 3 in Brünn assentiert und zum 1. Ord. Komp. zugeteilt</t>
        </r>
        <r>
          <rPr>
            <sz val="14"/>
            <color rgb="FF000000"/>
            <rFont val="Times New Roman"/>
            <family val="18"/>
          </rPr>
          <t xml:space="preserve"> [AL Jan 1809 &amp; ST Jan 1809]</t>
        </r>
        <r>
          <rPr>
            <sz val="14"/>
            <color rgb="FF000000"/>
            <rFont val="Calibri"/>
            <family val="34"/>
          </rPr>
          <t xml:space="preserve">
</t>
        </r>
        <r>
          <rPr>
            <sz val="14"/>
            <color rgb="FF000000"/>
            <rFont val="Times New Roman"/>
            <family val="18"/>
          </rPr>
          <t xml:space="preserve">06/09/1809 </t>
        </r>
        <r>
          <rPr>
            <i/>
            <sz val="14"/>
            <color rgb="FF000000"/>
            <rFont val="Times New Roman"/>
            <family val="18"/>
          </rPr>
          <t>Krank in Armee Spital</t>
        </r>
        <r>
          <rPr>
            <sz val="14"/>
            <color rgb="FF000000"/>
            <rFont val="Times New Roman"/>
            <family val="18"/>
          </rPr>
          <t xml:space="preserve"> [ST Sept 1809] [Als Georg DONEBAUER]</t>
        </r>
        <r>
          <rPr>
            <sz val="14"/>
            <color rgb="FF000000"/>
            <rFont val="Calibri"/>
            <family val="34"/>
          </rPr>
          <t xml:space="preserve">
</t>
        </r>
        <r>
          <rPr>
            <sz val="14"/>
            <color rgb="FF000000"/>
            <rFont val="Times New Roman"/>
            <family val="18"/>
          </rPr>
          <t xml:space="preserve">26/10/1809 </t>
        </r>
        <r>
          <rPr>
            <i/>
            <sz val="14"/>
            <color rgb="FF000000"/>
            <rFont val="Times New Roman"/>
            <family val="18"/>
          </rPr>
          <t>In Armee Spital zu Ofen gestorben</t>
        </r>
        <r>
          <rPr>
            <sz val="14"/>
            <color rgb="FF000000"/>
            <rFont val="Times New Roman"/>
            <family val="18"/>
          </rPr>
          <t xml:space="preserve"> [ST Oct 1809]</t>
        </r>
        <r>
          <rPr>
            <sz val="14"/>
            <color rgb="FF000000"/>
            <rFont val="Calibri"/>
            <family val="2"/>
            <scheme val="minor"/>
          </rPr>
          <t xml:space="preserve"> </t>
        </r>
      </text>
    </comment>
    <comment ref="BG642" authorId="0" shapeId="0" xr:uid="{9D2D1E83-46A5-DC4C-B090-C1A7C196241A}">
      <text>
        <r>
          <rPr>
            <sz val="14"/>
            <color rgb="FF000000"/>
            <rFont val="Times New Roman"/>
            <family val="18"/>
          </rPr>
          <t>ML 8127 FAR 3 (1811) – 1. Ord. Komp. Abgang (Olmütz 12/09/1811)</t>
        </r>
        <r>
          <rPr>
            <sz val="14"/>
            <color rgb="FF000000"/>
            <rFont val="Calibri"/>
            <family val="34"/>
          </rPr>
          <t xml:space="preserve">
</t>
        </r>
        <r>
          <rPr>
            <sz val="14"/>
            <color rgb="FF000000"/>
            <rFont val="Times New Roman"/>
            <family val="18"/>
          </rPr>
          <t>ML 8171 FAR 3 (1809) – AL. Nr. 5 (Brünn 18/01/1809); ST Jan (Olmütz 31/03/1809), Sept (Olmütz 26/08/1810), Oct (Olmütz 07/09/1810)</t>
        </r>
        <r>
          <rPr>
            <sz val="14"/>
            <color rgb="FF000000"/>
            <rFont val="Calibri"/>
            <family val="34"/>
          </rPr>
          <t xml:space="preserve">
</t>
        </r>
      </text>
    </comment>
    <comment ref="BH642" authorId="0" shapeId="0" xr:uid="{018AA60F-9F99-AB49-B5E4-AC5C7EA7C35E}">
      <text>
        <r>
          <rPr>
            <sz val="14"/>
            <color rgb="FF000000"/>
            <rFont val="Calibri"/>
            <family val="34"/>
          </rPr>
          <t>FAR 3 (1809)</t>
        </r>
      </text>
    </comment>
    <comment ref="BF643" authorId="0" shapeId="0" xr:uid="{63265393-1E5C-3748-8E7E-9F562F30E9CE}">
      <text>
        <r>
          <rPr>
            <sz val="14"/>
            <color rgb="FF000000"/>
            <rFont val="Times New Roman"/>
            <family val="18"/>
          </rPr>
          <t xml:space="preserve">20/01/1809 </t>
        </r>
        <r>
          <rPr>
            <i/>
            <sz val="14"/>
            <color rgb="FF000000"/>
            <rFont val="Times New Roman"/>
            <family val="18"/>
          </rPr>
          <t>a 3Fl auf 10 Jahr in IR 38 Württemberg gestellt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01/02/1810 </t>
        </r>
        <r>
          <rPr>
            <i/>
            <sz val="14"/>
            <color rgb="FF000000"/>
            <rFont val="Times New Roman"/>
            <family val="18"/>
          </rPr>
          <t xml:space="preserve">von Dissonierten IR </t>
        </r>
        <r>
          <rPr>
            <b/>
            <i/>
            <sz val="14"/>
            <color rgb="FF000000"/>
            <rFont val="Times New Roman"/>
            <family val="18"/>
          </rPr>
          <t>Nr. 38</t>
        </r>
        <r>
          <rPr>
            <i/>
            <sz val="14"/>
            <color rgb="FF000000"/>
            <rFont val="Times New Roman"/>
            <family val="18"/>
          </rPr>
          <t xml:space="preserve"> zum IR 30 De Ligne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24/09/1811 Musterung: IR 30 6. Fus Komp. Nr. 171</t>
        </r>
        <r>
          <rPr>
            <sz val="14"/>
            <color rgb="FF000000"/>
            <rFont val="Calibri"/>
            <family val="34"/>
          </rPr>
          <t xml:space="preserve">
</t>
        </r>
        <r>
          <rPr>
            <sz val="14"/>
            <color rgb="FF000000"/>
            <rFont val="Times New Roman"/>
            <family val="18"/>
          </rPr>
          <t xml:space="preserve">25/05/1817 </t>
        </r>
        <r>
          <rPr>
            <i/>
            <sz val="14"/>
            <color rgb="FF000000"/>
            <rFont val="Times New Roman"/>
            <family val="18"/>
          </rPr>
          <t>Als angehöriger der 6. Fus Comp. 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643" authorId="0" shapeId="0" xr:uid="{CCE13639-3E54-2949-B1FA-054B7581D745}">
      <text>
        <r>
          <rPr>
            <sz val="14"/>
            <color rgb="FF000000"/>
            <rFont val="Times New Roman"/>
            <family val="18"/>
          </rPr>
          <t>ML 2633 IR 30 (1811) – 6. Fus Comp. Nr. 171 (Stanislau 21/09/1811)</t>
        </r>
        <r>
          <rPr>
            <sz val="14"/>
            <color rgb="FF000000"/>
            <rFont val="Calibri"/>
            <family val="34"/>
          </rPr>
          <t xml:space="preserve">
</t>
        </r>
        <r>
          <rPr>
            <sz val="14"/>
            <color rgb="FF000000"/>
            <rFont val="Times New Roman"/>
            <family val="18"/>
          </rPr>
          <t>ML 2635 IR 30 (1817) – 6. Fus Comp. – Abgang (Stry 15/10/1817)</t>
        </r>
      </text>
    </comment>
    <comment ref="BH643" authorId="0" shapeId="0" xr:uid="{75664E67-A7B4-4D41-9C1B-0901B7B74979}">
      <text>
        <r>
          <rPr>
            <sz val="14"/>
            <color rgb="FF000000"/>
            <rFont val="Calibri"/>
            <family val="34"/>
          </rPr>
          <t xml:space="preserve">IR 38 (1809-1810)
</t>
        </r>
        <r>
          <rPr>
            <sz val="14"/>
            <color rgb="FF000000"/>
            <rFont val="Calibri"/>
            <family val="34"/>
          </rPr>
          <t>IR 30 (1810-1817)</t>
        </r>
      </text>
    </comment>
    <comment ref="BF644" authorId="0" shapeId="0" xr:uid="{BCBBA303-6F26-5745-9C71-6E4824DFD69D}">
      <text>
        <r>
          <rPr>
            <sz val="14"/>
            <color rgb="FF000000"/>
            <rFont val="Times New Roman"/>
            <family val="18"/>
          </rPr>
          <t xml:space="preserve">23/01/1809 </t>
        </r>
        <r>
          <rPr>
            <i/>
            <sz val="14"/>
            <color rgb="FF000000"/>
            <rFont val="Times New Roman"/>
            <family val="18"/>
          </rPr>
          <t xml:space="preserve">Als landständische Rekrut Gegen 3Fl Handgeld und 10-Jahriger Capitulation in IR 30 assentiert und zum 3. Bataillon, 13. Komp. eingeheilt und zum Werbbzirk zum Brzezan kommanidert </t>
        </r>
        <r>
          <rPr>
            <sz val="14"/>
            <color rgb="FF000000"/>
            <rFont val="Times New Roman"/>
            <family val="18"/>
          </rPr>
          <t>[AL Jan 1809 &amp; ST Jan 1809]</t>
        </r>
        <r>
          <rPr>
            <sz val="14"/>
            <color rgb="FF000000"/>
            <rFont val="Calibri"/>
            <family val="34"/>
          </rPr>
          <t xml:space="preserve">
</t>
        </r>
        <r>
          <rPr>
            <sz val="14"/>
            <color rgb="FF000000"/>
            <rFont val="Times New Roman"/>
            <family val="18"/>
          </rPr>
          <t xml:space="preserve">01/03/1809 </t>
        </r>
        <r>
          <rPr>
            <i/>
            <sz val="14"/>
            <color rgb="FF000000"/>
            <rFont val="Times New Roman"/>
            <family val="18"/>
          </rPr>
          <t>Von 13. Zum 17. Fus. Komp. transferiert</t>
        </r>
        <r>
          <rPr>
            <sz val="14"/>
            <color rgb="FF000000"/>
            <rFont val="Times New Roman"/>
            <family val="18"/>
          </rPr>
          <t xml:space="preserve"> [ST March 1809)</t>
        </r>
        <r>
          <rPr>
            <sz val="14"/>
            <color rgb="FF000000"/>
            <rFont val="Calibri"/>
            <family val="34"/>
          </rPr>
          <t xml:space="preserve">
</t>
        </r>
        <r>
          <rPr>
            <sz val="14"/>
            <color rgb="FF000000"/>
            <rFont val="Times New Roman"/>
            <family val="18"/>
          </rPr>
          <t xml:space="preserve">27/04/1809 </t>
        </r>
        <r>
          <rPr>
            <i/>
            <sz val="14"/>
            <color rgb="FF000000"/>
            <rFont val="Times New Roman"/>
            <family val="18"/>
          </rPr>
          <t>Aus Warschau mit Feuergewehr desertiert</t>
        </r>
        <r>
          <rPr>
            <sz val="14"/>
            <color rgb="FF000000"/>
            <rFont val="Times New Roman"/>
            <family val="18"/>
          </rPr>
          <t xml:space="preserve"> [ST April 1809]</t>
        </r>
        <r>
          <rPr>
            <sz val="14"/>
            <color rgb="FF000000"/>
            <rFont val="Calibri"/>
            <family val="34"/>
          </rPr>
          <t xml:space="preserve">
</t>
        </r>
      </text>
    </comment>
    <comment ref="BG644" authorId="0" shapeId="0" xr:uid="{CD8FA6D2-DAF8-414E-92D6-9D88A6260B16}">
      <text>
        <r>
          <rPr>
            <sz val="14"/>
            <color rgb="FF000000"/>
            <rFont val="Times New Roman"/>
            <family val="18"/>
          </rPr>
          <t>ML 2683 IR 30 (1809) – AL Nr. 1 (Berzezan 27/01/1809); ST Jän (Bistriz 29/01/1810); März (Stanislau 27/07/1810); April (Stanislau 13/11/1810)</t>
        </r>
      </text>
    </comment>
    <comment ref="BH644" authorId="0" shapeId="0" xr:uid="{F0238D5E-ABAF-A242-89F6-A1D1D900C0CD}">
      <text>
        <r>
          <rPr>
            <sz val="14"/>
            <color rgb="FF000000"/>
            <rFont val="Calibri"/>
            <family val="34"/>
          </rPr>
          <t>IR 30 (1809)</t>
        </r>
      </text>
    </comment>
    <comment ref="BF645" authorId="0" shapeId="0" xr:uid="{2F755283-0041-6644-98C0-0AD8B04E7FBC}">
      <text>
        <r>
          <rPr>
            <sz val="14"/>
            <color rgb="FF000000"/>
            <rFont val="Times New Roman"/>
            <family val="18"/>
          </rPr>
          <t xml:space="preserve">24/01/1809 </t>
        </r>
        <r>
          <rPr>
            <i/>
            <sz val="14"/>
            <color rgb="FF000000"/>
            <rFont val="Times New Roman"/>
            <family val="18"/>
          </rPr>
          <t>Von galizischen Ständen gestellt und a 3Fl Handgeld zum IR 23 assentiert</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IR 23 Haupt Nowack Komp. zum IR 63 transferiert, zur 8. Fus. Komp eingeheilt und seitdem auf Anhero Marsch</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15/03/1810 </t>
        </r>
        <r>
          <rPr>
            <i/>
            <sz val="14"/>
            <color rgb="FF000000"/>
            <rFont val="Times New Roman"/>
            <family val="18"/>
          </rPr>
          <t xml:space="preserve">In der Kompanie eingerückt </t>
        </r>
        <r>
          <rPr>
            <sz val="14"/>
            <color rgb="FF000000"/>
            <rFont val="Times New Roman"/>
            <family val="18"/>
          </rPr>
          <t>[ST March 1810]</t>
        </r>
        <r>
          <rPr>
            <sz val="14"/>
            <color rgb="FF000000"/>
            <rFont val="Calibri"/>
            <family val="34"/>
          </rPr>
          <t xml:space="preserve">
</t>
        </r>
        <r>
          <rPr>
            <sz val="14"/>
            <color rgb="FF000000"/>
            <rFont val="Times New Roman"/>
            <family val="18"/>
          </rPr>
          <t xml:space="preserve">30/08/1810 </t>
        </r>
        <r>
          <rPr>
            <i/>
            <sz val="14"/>
            <color rgb="FF000000"/>
            <rFont val="Times New Roman"/>
            <family val="18"/>
          </rPr>
          <t xml:space="preserve">Vermog hohe General Kommando Verordnung ddt. 29 Mai 810 R.R. 8074 als aus dem in letztem Friedensserschluss abgetrennte Provinzien gebürtig mit Abschied entlassen </t>
        </r>
        <r>
          <rPr>
            <sz val="14"/>
            <color rgb="FF000000"/>
            <rFont val="Times New Roman"/>
            <family val="18"/>
          </rPr>
          <t>[ST Sept 1810]</t>
        </r>
      </text>
    </comment>
    <comment ref="BG645" authorId="0" shapeId="0" xr:uid="{0928F355-6809-2744-B088-8273046C066D}">
      <text>
        <r>
          <rPr>
            <sz val="14"/>
            <color rgb="FF000000"/>
            <rFont val="Times New Roman"/>
            <family val="18"/>
          </rPr>
          <t>ML 5292 IR 63 (1810) – März (Preßburg 16/07/1811), Sept (Br</t>
        </r>
        <r>
          <rPr>
            <sz val="14"/>
            <color rgb="FF000000"/>
            <rFont val="german"/>
            <charset val="1"/>
          </rPr>
          <t xml:space="preserve">ünn </t>
        </r>
        <r>
          <rPr>
            <sz val="14"/>
            <color rgb="FF000000"/>
            <rFont val="Times New Roman"/>
            <family val="18"/>
          </rPr>
          <t>12/11/1811)</t>
        </r>
        <r>
          <rPr>
            <sz val="14"/>
            <color rgb="FF000000"/>
            <rFont val="Calibri"/>
            <family val="34"/>
          </rPr>
          <t xml:space="preserve">
</t>
        </r>
        <r>
          <rPr>
            <sz val="14"/>
            <color rgb="FF000000"/>
            <rFont val="Times New Roman"/>
            <family val="18"/>
          </rPr>
          <t>ML 5293 IR 63 (1810) AL/TL – TL IR 23-&gt; IR 63 Nr. 6 (Totis 15/05/1810)</t>
        </r>
        <r>
          <rPr>
            <sz val="14"/>
            <color rgb="FF000000"/>
            <rFont val="Calibri"/>
            <family val="34"/>
          </rPr>
          <t xml:space="preserve">
</t>
        </r>
      </text>
    </comment>
    <comment ref="BH645" authorId="0" shapeId="0" xr:uid="{F4654D37-A766-7043-A49F-1EA572E7938B}">
      <text>
        <r>
          <rPr>
            <sz val="14"/>
            <color rgb="FF000000"/>
            <rFont val="Calibri"/>
            <family val="34"/>
          </rPr>
          <t xml:space="preserve">IR 23 (1809-1810)
</t>
        </r>
        <r>
          <rPr>
            <sz val="14"/>
            <color rgb="FF000000"/>
            <rFont val="Calibri"/>
            <family val="34"/>
          </rPr>
          <t>IR 63 (1810)</t>
        </r>
      </text>
    </comment>
    <comment ref="T646" authorId="0" shapeId="0" xr:uid="{65858C25-9B02-6A4E-A5AA-9111EB4ECF6A}">
      <text>
        <r>
          <rPr>
            <sz val="14"/>
            <color rgb="FF000000"/>
            <rFont val="Calibri"/>
            <family val="34"/>
          </rPr>
          <t xml:space="preserve">163.92 [5.2.3 (ML 1811)]
</t>
        </r>
        <r>
          <rPr>
            <sz val="14"/>
            <color rgb="FF000000"/>
            <rFont val="Calibri"/>
            <family val="34"/>
          </rPr>
          <t>182.33 [5.9.3 (ML 1818)]</t>
        </r>
      </text>
    </comment>
    <comment ref="BF646" authorId="0" shapeId="0" xr:uid="{24382050-F233-4A4A-A6BA-081B6299647C}">
      <text>
        <r>
          <rPr>
            <sz val="14"/>
            <color rgb="FF000000"/>
            <rFont val="Times New Roman"/>
            <family val="18"/>
          </rPr>
          <t xml:space="preserve">19/02/1809 </t>
        </r>
        <r>
          <rPr>
            <i/>
            <sz val="14"/>
            <color rgb="FF000000"/>
            <rFont val="Times New Roman"/>
            <family val="18"/>
          </rPr>
          <t>Von Ständen gestellt und auf 3Fl Handgeld auf 10 Jahren assentiert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 xml:space="preserve">09/03/1810 </t>
        </r>
        <r>
          <rPr>
            <i/>
            <sz val="14"/>
            <color rgb="FF000000"/>
            <rFont val="Times New Roman"/>
            <family val="18"/>
          </rPr>
          <t xml:space="preserve">Von dissolvierte Würzburg Inf </t>
        </r>
        <r>
          <rPr>
            <b/>
            <sz val="14"/>
            <color rgb="FF000000"/>
            <rFont val="Times New Roman"/>
            <family val="18"/>
          </rPr>
          <t>[IR 23]</t>
        </r>
        <r>
          <rPr>
            <sz val="14"/>
            <color rgb="FF000000"/>
            <rFont val="Times New Roman"/>
            <family val="18"/>
          </rPr>
          <t xml:space="preserve"> </t>
        </r>
        <r>
          <rPr>
            <i/>
            <sz val="14"/>
            <color rgb="FF000000"/>
            <rFont val="Times New Roman"/>
            <family val="18"/>
          </rPr>
          <t>zum IR 44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18/09/1811 Muster: IR 44 5. Fus. Komp. Nr. 196</t>
        </r>
        <r>
          <rPr>
            <sz val="14"/>
            <color rgb="FF000000"/>
            <rFont val="Calibri"/>
            <family val="34"/>
          </rPr>
          <t xml:space="preserve">
</t>
        </r>
        <r>
          <rPr>
            <sz val="14"/>
            <color rgb="FF000000"/>
            <rFont val="Times New Roman"/>
            <family val="18"/>
          </rPr>
          <t>19/09/1812 Revision: IR 44 5. Fus. Komp. Nr. 105</t>
        </r>
        <r>
          <rPr>
            <sz val="14"/>
            <color rgb="FF000000"/>
            <rFont val="Calibri"/>
            <family val="34"/>
          </rPr>
          <t xml:space="preserve">
</t>
        </r>
        <r>
          <rPr>
            <sz val="14"/>
            <color rgb="FF000000"/>
            <rFont val="Times New Roman"/>
            <family val="18"/>
          </rPr>
          <t xml:space="preserve">07/11/1817 </t>
        </r>
        <r>
          <rPr>
            <i/>
            <sz val="14"/>
            <color rgb="FF000000"/>
            <rFont val="Times New Roman"/>
            <family val="18"/>
          </rPr>
          <t>Gegen 32Fl auf 6 Jahren reengagiert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2. Gren. Komp. Nr. 26</t>
        </r>
        <r>
          <rPr>
            <sz val="14"/>
            <color rgb="FF000000"/>
            <rFont val="Calibri"/>
            <family val="34"/>
          </rPr>
          <t xml:space="preserve">
</t>
        </r>
        <r>
          <rPr>
            <sz val="14"/>
            <color rgb="FF000000"/>
            <rFont val="Times New Roman"/>
            <family val="18"/>
          </rPr>
          <t>25/09/1818 Muster: IR 44 2. Gren. Komp. Nr. 36</t>
        </r>
        <r>
          <rPr>
            <sz val="14"/>
            <color rgb="FF000000"/>
            <rFont val="Calibri"/>
            <family val="34"/>
          </rPr>
          <t xml:space="preserve">
</t>
        </r>
        <r>
          <rPr>
            <sz val="14"/>
            <color rgb="FF000000"/>
            <rFont val="Times New Roman"/>
            <family val="18"/>
          </rPr>
          <t>16/09/1819 Muster: IR 44 2. Gren. Komp. Nr. 31</t>
        </r>
        <r>
          <rPr>
            <sz val="14"/>
            <color rgb="FF000000"/>
            <rFont val="Calibri"/>
            <family val="34"/>
          </rPr>
          <t xml:space="preserve">
</t>
        </r>
        <r>
          <rPr>
            <sz val="14"/>
            <color rgb="FF000000"/>
            <rFont val="Times New Roman"/>
            <family val="18"/>
          </rPr>
          <t>20/09/1820 Muster: IR 44 2. Gren. Komp. Nr. 21</t>
        </r>
        <r>
          <rPr>
            <sz val="14"/>
            <color rgb="FF000000"/>
            <rFont val="Calibri"/>
            <family val="34"/>
          </rPr>
          <t xml:space="preserve">
</t>
        </r>
      </text>
    </comment>
    <comment ref="BG646" authorId="0" shapeId="0" xr:uid="{E3C007D7-E3D5-124B-A1DF-DFA0ECDB67FB}">
      <text>
        <r>
          <rPr>
            <sz val="14"/>
            <color rgb="FF000000"/>
            <rFont val="Times New Roman"/>
            <family val="18"/>
          </rPr>
          <t>ML 3912-3 IR 44 (1811) – 5. Fus. Komp. Nr. 196 (Pappa 18/09/1811)</t>
        </r>
        <r>
          <rPr>
            <sz val="14"/>
            <color rgb="FF000000"/>
            <rFont val="Calibri"/>
            <family val="34"/>
          </rPr>
          <t xml:space="preserve">
</t>
        </r>
        <r>
          <rPr>
            <sz val="14"/>
            <color rgb="FF000000"/>
            <rFont val="Times New Roman"/>
            <family val="18"/>
          </rPr>
          <t>ML 3914 IR 44 (1812/6) – 5. Fus. Komp. Nr. 105 (Pest 19/09/1812)</t>
        </r>
        <r>
          <rPr>
            <sz val="14"/>
            <color rgb="FF000000"/>
            <rFont val="Calibri"/>
            <family val="34"/>
          </rPr>
          <t xml:space="preserve">
</t>
        </r>
        <r>
          <rPr>
            <sz val="14"/>
            <color rgb="FF000000"/>
            <rFont val="Times New Roman"/>
            <family val="18"/>
          </rPr>
          <t>ML 3915/6 IR 44 (1818) – 2. Gren. Komp. Nr. 26 (Lemberg 05/01/1818). 2. Gren. Komp. Nr. 36 (Stuhlweißenburg 25/09/1818)</t>
        </r>
        <r>
          <rPr>
            <sz val="14"/>
            <color rgb="FF000000"/>
            <rFont val="Calibri"/>
            <family val="34"/>
          </rPr>
          <t xml:space="preserve">
</t>
        </r>
        <r>
          <rPr>
            <sz val="14"/>
            <color rgb="FF000000"/>
            <rFont val="Times New Roman"/>
            <family val="18"/>
          </rPr>
          <t>ML 3918/9 IR 44 (1819) – 2. Gren. Komp. Nr. 31 (Mauer 16/09/1819)</t>
        </r>
        <r>
          <rPr>
            <sz val="14"/>
            <color rgb="FF000000"/>
            <rFont val="Calibri"/>
            <family val="34"/>
          </rPr>
          <t xml:space="preserve">
</t>
        </r>
        <r>
          <rPr>
            <sz val="14"/>
            <color rgb="FF000000"/>
            <rFont val="Times New Roman"/>
            <family val="18"/>
          </rPr>
          <t>ML 3920 IR 44 (1820) – 2. Gren. Komp. Nr. 21 (Mauer 20/09/1820)</t>
        </r>
        <r>
          <rPr>
            <sz val="14"/>
            <color rgb="FF000000"/>
            <rFont val="Calibri"/>
            <family val="34"/>
          </rPr>
          <t xml:space="preserve">
</t>
        </r>
      </text>
    </comment>
    <comment ref="BH646" authorId="0" shapeId="0" xr:uid="{CDAEBFC9-AF10-8448-A893-C885BE47BB90}">
      <text>
        <r>
          <rPr>
            <sz val="14"/>
            <color rgb="FF000000"/>
            <rFont val="Calibri"/>
            <family val="34"/>
          </rPr>
          <t xml:space="preserve">IR 23 (1809-1810)
</t>
        </r>
        <r>
          <rPr>
            <sz val="14"/>
            <color rgb="FF000000"/>
            <rFont val="Calibri"/>
            <family val="34"/>
          </rPr>
          <t>IR 44 (1810-1820)</t>
        </r>
      </text>
    </comment>
    <comment ref="BF647" authorId="0" shapeId="0" xr:uid="{3E0644D3-F271-234F-BFEC-59EFE51CA678}">
      <text>
        <r>
          <rPr>
            <sz val="14"/>
            <color rgb="FF000000"/>
            <rFont val="Times New Roman"/>
            <family val="18"/>
          </rPr>
          <t xml:space="preserve">21/02/1809 </t>
        </r>
        <r>
          <rPr>
            <i/>
            <sz val="14"/>
            <color rgb="FF000000"/>
            <rFont val="Times New Roman"/>
            <family val="18"/>
          </rPr>
          <t>A 3Fl Handgeld auf 10 Jahr zu Perzmysl in IR 44 assentiert und zur 1. Res. zugeteilt</t>
        </r>
        <r>
          <rPr>
            <sz val="14"/>
            <color rgb="FF000000"/>
            <rFont val="Times New Roman"/>
            <family val="18"/>
          </rPr>
          <t xml:space="preserve"> [ST Feb 1811]</t>
        </r>
        <r>
          <rPr>
            <sz val="14"/>
            <color rgb="FF000000"/>
            <rFont val="Calibri"/>
            <family val="34"/>
          </rPr>
          <t xml:space="preserve">
</t>
        </r>
        <r>
          <rPr>
            <sz val="14"/>
            <color rgb="FFFF0000"/>
            <rFont val="Times New Roman"/>
            <family val="18"/>
          </rPr>
          <t xml:space="preserve">03/1809 </t>
        </r>
        <r>
          <rPr>
            <i/>
            <sz val="14"/>
            <color rgb="FFFF0000"/>
            <rFont val="Times New Roman"/>
            <family val="18"/>
          </rPr>
          <t>Nach Angabe des Mannes Gegen 3Fl Handgeld auf 10 Jahr assentiert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16/04/1809 </t>
        </r>
        <r>
          <rPr>
            <i/>
            <sz val="14"/>
            <color rgb="FF000000"/>
            <rFont val="Times New Roman"/>
            <family val="18"/>
          </rPr>
          <t>Von. 1. Reserve zum 9. Fus Komp</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26/05/1809 </t>
        </r>
        <r>
          <rPr>
            <i/>
            <sz val="14"/>
            <color rgb="FF000000"/>
            <rFont val="Times New Roman"/>
            <family val="18"/>
          </rPr>
          <t>Mit Loco Verpflegung zu Brünn Kommandiert</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9. Zum 2. Fus Komp. Transferiert</t>
        </r>
        <r>
          <rPr>
            <sz val="14"/>
            <color rgb="FF000000"/>
            <rFont val="Times New Roman"/>
            <family val="18"/>
          </rPr>
          <t xml:space="preserve"> [ST Aug]</t>
        </r>
        <r>
          <rPr>
            <sz val="14"/>
            <color rgb="FF000000"/>
            <rFont val="Calibri"/>
            <family val="34"/>
          </rPr>
          <t xml:space="preserve">
</t>
        </r>
        <r>
          <rPr>
            <sz val="14"/>
            <color rgb="FF000000"/>
            <rFont val="Times New Roman"/>
            <family val="18"/>
          </rPr>
          <t xml:space="preserve">02/07/1809 </t>
        </r>
        <r>
          <rPr>
            <i/>
            <sz val="14"/>
            <color rgb="FF000000"/>
            <rFont val="Times New Roman"/>
            <family val="18"/>
          </rPr>
          <t>In Kompanie eingerückt</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27/09/1810 Revision: IR 44 8. Fus. Komp. Nr. 150 [</t>
        </r>
        <r>
          <rPr>
            <i/>
            <sz val="14"/>
            <color rgb="FF000000"/>
            <rFont val="Times New Roman"/>
            <family val="18"/>
          </rPr>
          <t>Commandiert bei der Treangulierung am Oers</t>
        </r>
        <r>
          <rPr>
            <sz val="14"/>
            <color rgb="FF000000"/>
            <rFont val="Times New Roman"/>
            <family val="18"/>
          </rPr>
          <t>]</t>
        </r>
        <r>
          <rPr>
            <sz val="14"/>
            <color rgb="FF000000"/>
            <rFont val="Calibri"/>
            <family val="34"/>
          </rPr>
          <t xml:space="preserve">
</t>
        </r>
        <r>
          <rPr>
            <sz val="14"/>
            <color rgb="FF000000"/>
            <rFont val="Times New Roman"/>
            <family val="18"/>
          </rPr>
          <t>20/09/1811 Muster: IR 44 8. Fus. Komp. Nr. 94 [</t>
        </r>
        <r>
          <rPr>
            <i/>
            <sz val="14"/>
            <color rgb="FF000000"/>
            <rFont val="Times New Roman"/>
            <family val="18"/>
          </rPr>
          <t>Commandiert Beurlaubt zu Gmünden in Osterreich</t>
        </r>
        <r>
          <rPr>
            <sz val="14"/>
            <color rgb="FF000000"/>
            <rFont val="Times New Roman"/>
            <family val="18"/>
          </rPr>
          <t>]</t>
        </r>
        <r>
          <rPr>
            <sz val="14"/>
            <color rgb="FF000000"/>
            <rFont val="Calibri"/>
            <family val="34"/>
          </rPr>
          <t xml:space="preserve">
</t>
        </r>
        <r>
          <rPr>
            <sz val="14"/>
            <color rgb="FF000000"/>
            <rFont val="Times New Roman"/>
            <family val="18"/>
          </rPr>
          <t>19/09/1812 Revision: IR 44 8. Fus. Komp. Nr. 61</t>
        </r>
        <r>
          <rPr>
            <sz val="14"/>
            <color rgb="FF000000"/>
            <rFont val="Calibri"/>
            <family val="34"/>
          </rPr>
          <t xml:space="preserve">
</t>
        </r>
        <r>
          <rPr>
            <sz val="14"/>
            <color rgb="FF000000"/>
            <rFont val="Times New Roman"/>
            <family val="18"/>
          </rPr>
          <t xml:space="preserve">10/07/1817 </t>
        </r>
        <r>
          <rPr>
            <i/>
            <sz val="14"/>
            <color rgb="FF000000"/>
            <rFont val="Times New Roman"/>
            <family val="18"/>
          </rPr>
          <t>Von IR 44 7. Fus. Komp. zur IR 9 Czartoryski transferiert</t>
        </r>
        <r>
          <rPr>
            <sz val="14"/>
            <color rgb="FF000000"/>
            <rFont val="Times New Roman"/>
            <family val="18"/>
          </rPr>
          <t xml:space="preserve"> [ML 1818]</t>
        </r>
        <r>
          <rPr>
            <sz val="14"/>
            <color rgb="FF000000"/>
            <rFont val="Calibri"/>
            <family val="34"/>
          </rPr>
          <t xml:space="preserve">
</t>
        </r>
      </text>
    </comment>
    <comment ref="BG647" authorId="0" shapeId="0" xr:uid="{FC1E67BB-3D50-264E-8BB9-E78BFA3F6B84}">
      <text>
        <r>
          <rPr>
            <sz val="14"/>
            <color rgb="FF000000"/>
            <rFont val="Times New Roman"/>
            <family val="18"/>
          </rPr>
          <t>ML 3911 IR 44 (1808-10) – 8. Fus. Komp. Nr. 150 (Pappa 27/09/1810)</t>
        </r>
        <r>
          <rPr>
            <sz val="14"/>
            <color rgb="FF000000"/>
            <rFont val="Calibri"/>
            <family val="34"/>
          </rPr>
          <t xml:space="preserve">
</t>
        </r>
        <r>
          <rPr>
            <sz val="14"/>
            <color rgb="FF000000"/>
            <rFont val="Times New Roman"/>
            <family val="18"/>
          </rPr>
          <t>ML 3912/3 IR 44 (1811) – 8. Fus. Komp. Nr. 94 (Sthulweissenburg 20/09/1811)</t>
        </r>
        <r>
          <rPr>
            <sz val="14"/>
            <color rgb="FF000000"/>
            <rFont val="Calibri"/>
            <family val="34"/>
          </rPr>
          <t xml:space="preserve">
</t>
        </r>
        <r>
          <rPr>
            <sz val="14"/>
            <color rgb="FF000000"/>
            <rFont val="Times New Roman"/>
            <family val="18"/>
          </rPr>
          <t>ML 3914 IR 44 (1812/6) – 8. Fus. Komp. Nr. 61 (Pest 19/09/1812)</t>
        </r>
        <r>
          <rPr>
            <sz val="14"/>
            <color rgb="FF000000"/>
            <rFont val="Calibri"/>
            <family val="34"/>
          </rPr>
          <t xml:space="preserve">
</t>
        </r>
        <r>
          <rPr>
            <sz val="14"/>
            <color rgb="FF000000"/>
            <rFont val="Times New Roman"/>
            <family val="18"/>
          </rPr>
          <t>ML 3915/6 IR 44 (1818) – 11. Fus. Komp. Abgang (Pavia 05/01/1818)</t>
        </r>
        <r>
          <rPr>
            <sz val="14"/>
            <color rgb="FF000000"/>
            <rFont val="Calibri"/>
            <family val="34"/>
          </rPr>
          <t xml:space="preserve">
</t>
        </r>
        <r>
          <rPr>
            <sz val="14"/>
            <color rgb="FF000000"/>
            <rFont val="Times New Roman"/>
            <family val="18"/>
          </rPr>
          <t>ML 3960 IR 44 (1809) – ST Feb (Ofen 31/10/1810), April (Ofen 06/02/1811), Mai (Ofen 08/04/1809) Juli (Ofen 08/04/1811), Aug (Ofen 25/06/1811)</t>
        </r>
        <r>
          <rPr>
            <sz val="14"/>
            <color rgb="FF000000"/>
            <rFont val="Calibri"/>
            <family val="34"/>
          </rPr>
          <t xml:space="preserve">
</t>
        </r>
      </text>
    </comment>
    <comment ref="BH647" authorId="0" shapeId="0" xr:uid="{99EB1587-E606-BC4F-8AB4-E34ADCA95522}">
      <text>
        <r>
          <rPr>
            <sz val="14"/>
            <color rgb="FF000000"/>
            <rFont val="Calibri"/>
            <family val="34"/>
          </rPr>
          <t xml:space="preserve">IR 44 (1809-1817)
</t>
        </r>
        <r>
          <rPr>
            <sz val="14"/>
            <color rgb="FF000000"/>
            <rFont val="Calibri"/>
            <family val="34"/>
          </rPr>
          <t>IR 9 (1817)</t>
        </r>
      </text>
    </comment>
    <comment ref="BF648" authorId="0" shapeId="0" xr:uid="{7F593CC0-3C3C-074B-B152-CC2BF02C6833}">
      <text>
        <r>
          <rPr>
            <sz val="14"/>
            <color rgb="FF000000"/>
            <rFont val="Times New Roman"/>
            <family val="18"/>
          </rPr>
          <t xml:space="preserve">21/02/1809 </t>
        </r>
        <r>
          <rPr>
            <i/>
            <sz val="14"/>
            <color rgb="FF000000"/>
            <rFont val="Times New Roman"/>
            <family val="18"/>
          </rPr>
          <t xml:space="preserve">A 3Fl Handgeld auf 10 Jahr assentiert </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01/06/1810 </t>
        </r>
        <r>
          <rPr>
            <i/>
            <sz val="14"/>
            <color rgb="FF000000"/>
            <rFont val="Times New Roman"/>
            <family val="18"/>
          </rPr>
          <t>Von 1. Zur 9.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27/09/1810 Revision: IR 44 9. Fus. Komp. Nr. 225</t>
        </r>
        <r>
          <rPr>
            <sz val="14"/>
            <color rgb="FF000000"/>
            <rFont val="Calibri"/>
            <family val="34"/>
          </rPr>
          <t xml:space="preserve">
</t>
        </r>
        <r>
          <rPr>
            <sz val="14"/>
            <color rgb="FF000000"/>
            <rFont val="Times New Roman"/>
            <family val="18"/>
          </rPr>
          <t>20/09/1811 Muster: IR 44 9. Fus. Komp. Nr. 152</t>
        </r>
        <r>
          <rPr>
            <sz val="14"/>
            <color rgb="FF000000"/>
            <rFont val="Calibri"/>
            <family val="34"/>
          </rPr>
          <t xml:space="preserve">
</t>
        </r>
        <r>
          <rPr>
            <sz val="14"/>
            <color rgb="FF000000"/>
            <rFont val="Times New Roman"/>
            <family val="18"/>
          </rPr>
          <t xml:space="preserve">15/09/1812 </t>
        </r>
        <r>
          <rPr>
            <i/>
            <sz val="14"/>
            <color rgb="FF000000"/>
            <rFont val="Times New Roman"/>
            <family val="18"/>
          </rPr>
          <t>Von IR 44 15. Fus. Komp. Zu Prinz Deligne</t>
        </r>
        <r>
          <rPr>
            <sz val="14"/>
            <color rgb="FF000000"/>
            <rFont val="Times New Roman"/>
            <family val="18"/>
          </rPr>
          <t xml:space="preserve"> [IR 30] </t>
        </r>
        <r>
          <rPr>
            <i/>
            <sz val="14"/>
            <color rgb="FF000000"/>
            <rFont val="Times New Roman"/>
            <family val="18"/>
          </rPr>
          <t xml:space="preserve">transferiert </t>
        </r>
        <r>
          <rPr>
            <sz val="14"/>
            <color rgb="FF000000"/>
            <rFont val="Times New Roman"/>
            <family val="18"/>
          </rPr>
          <t>[RL 1812]</t>
        </r>
        <r>
          <rPr>
            <sz val="14"/>
            <color rgb="FF000000"/>
            <rFont val="Calibri"/>
            <family val="34"/>
          </rPr>
          <t xml:space="preserve">
</t>
        </r>
      </text>
    </comment>
    <comment ref="BG648" authorId="0" shapeId="0" xr:uid="{5FE13D15-C4DA-E747-B93D-C6C2E4BA3DA7}">
      <text>
        <r>
          <rPr>
            <sz val="14"/>
            <color rgb="FF000000"/>
            <rFont val="Times New Roman"/>
            <family val="18"/>
          </rPr>
          <t>ML 3911 IR 44 (1808-10) – 9. Fus. Komp. Nr. 225 (Pappa 28/09/1810)</t>
        </r>
        <r>
          <rPr>
            <sz val="14"/>
            <color rgb="FF000000"/>
            <rFont val="Calibri"/>
            <family val="34"/>
          </rPr>
          <t xml:space="preserve">
</t>
        </r>
        <r>
          <rPr>
            <sz val="14"/>
            <color rgb="FF000000"/>
            <rFont val="Times New Roman"/>
            <family val="18"/>
          </rPr>
          <t>ML 3912/3 IR 44 (1811) – 9. Fus. Komp. Nr. 152 (Sthulweissenburg 20/09/1811)</t>
        </r>
        <r>
          <rPr>
            <sz val="14"/>
            <color rgb="FF000000"/>
            <rFont val="Calibri"/>
            <family val="34"/>
          </rPr>
          <t xml:space="preserve">
</t>
        </r>
        <r>
          <rPr>
            <sz val="14"/>
            <color rgb="FF000000"/>
            <rFont val="Times New Roman"/>
            <family val="18"/>
          </rPr>
          <t>ML 3914 IR 44 (1812/6) – 15. Fus. Komp. Abgang (Drohobyz 18/09/1812)</t>
        </r>
        <r>
          <rPr>
            <sz val="14"/>
            <color rgb="FF000000"/>
            <rFont val="Calibri"/>
            <family val="34"/>
          </rPr>
          <t xml:space="preserve">
</t>
        </r>
      </text>
    </comment>
    <comment ref="BH648" authorId="0" shapeId="0" xr:uid="{460C8F6C-86C9-344C-93B6-22C9548B3D08}">
      <text>
        <r>
          <rPr>
            <sz val="14"/>
            <color rgb="FF000000"/>
            <rFont val="Calibri"/>
            <family val="34"/>
          </rPr>
          <t xml:space="preserve">IR 44 (1809-1812)
</t>
        </r>
        <r>
          <rPr>
            <sz val="14"/>
            <color rgb="FF000000"/>
            <rFont val="Calibri"/>
            <family val="34"/>
          </rPr>
          <t>IR 30 (1812)</t>
        </r>
      </text>
    </comment>
    <comment ref="K649" authorId="0" shapeId="0" xr:uid="{C68AA7FE-48FE-5E48-BEE6-E8037512E4DF}">
      <text>
        <r>
          <rPr>
            <sz val="14"/>
            <color rgb="FF000000"/>
            <rFont val="Calibri"/>
            <family val="34"/>
          </rPr>
          <t xml:space="preserve">Kirschner (1811)
</t>
        </r>
        <r>
          <rPr>
            <sz val="14"/>
            <color rgb="FF000000"/>
            <rFont val="Calibri"/>
            <family val="34"/>
          </rPr>
          <t>Ohne  (1818-1820)</t>
        </r>
      </text>
    </comment>
    <comment ref="T649" authorId="0" shapeId="0" xr:uid="{E8423B4B-CF5D-1A4E-943A-658FB9405DF6}">
      <text>
        <r>
          <rPr>
            <sz val="14"/>
            <color rgb="FF000000"/>
            <rFont val="Calibri"/>
            <family val="34"/>
          </rPr>
          <t xml:space="preserve">160.85 [5.1.1 (ML 1811)]
</t>
        </r>
        <r>
          <rPr>
            <sz val="14"/>
            <color rgb="FF000000"/>
            <rFont val="Calibri"/>
            <family val="34"/>
          </rPr>
          <t>165.89 [5.3 (ML 1818)]</t>
        </r>
      </text>
    </comment>
    <comment ref="BF649" authorId="0" shapeId="0" xr:uid="{913EFDDC-17F2-DD42-9B1B-383C6B78C59B}">
      <text>
        <r>
          <rPr>
            <sz val="14"/>
            <color rgb="FF000000"/>
            <rFont val="Times New Roman"/>
            <family val="18"/>
          </rPr>
          <t xml:space="preserve">22/02/1809 </t>
        </r>
        <r>
          <rPr>
            <i/>
            <sz val="14"/>
            <color rgb="FF000000"/>
            <rFont val="Times New Roman"/>
            <family val="18"/>
          </rPr>
          <t>von Ständen gestellt auf 10 Jahr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Würzburg Inf</t>
        </r>
        <r>
          <rPr>
            <sz val="14"/>
            <color rgb="FF000000"/>
            <rFont val="Times New Roman"/>
            <family val="18"/>
          </rPr>
          <t xml:space="preserve"> </t>
        </r>
        <r>
          <rPr>
            <b/>
            <sz val="14"/>
            <color rgb="FF000000"/>
            <rFont val="Times New Roman"/>
            <family val="18"/>
          </rPr>
          <t>[IR 23]</t>
        </r>
        <r>
          <rPr>
            <sz val="14"/>
            <color rgb="FF000000"/>
            <rFont val="Times New Roman"/>
            <family val="18"/>
          </rPr>
          <t xml:space="preserve"> </t>
        </r>
        <r>
          <rPr>
            <i/>
            <sz val="14"/>
            <color rgb="FF000000"/>
            <rFont val="Times New Roman"/>
            <family val="18"/>
          </rPr>
          <t xml:space="preserve">zum IR 44 transferiert und zum 3. Fus. Komp zugetheilt </t>
        </r>
        <r>
          <rPr>
            <sz val="14"/>
            <color rgb="FF000000"/>
            <rFont val="Times New Roman"/>
            <family val="18"/>
          </rPr>
          <t>[ML 1811]</t>
        </r>
        <r>
          <rPr>
            <sz val="14"/>
            <color rgb="FF000000"/>
            <rFont val="Calibri"/>
            <family val="34"/>
          </rPr>
          <t xml:space="preserve">
</t>
        </r>
        <r>
          <rPr>
            <sz val="14"/>
            <color rgb="FF000000"/>
            <rFont val="Times New Roman"/>
            <family val="18"/>
          </rPr>
          <t>25/09/1810 Revision: IR 44 3. Fus. Komp. Nr. 190</t>
        </r>
        <r>
          <rPr>
            <sz val="14"/>
            <color rgb="FF000000"/>
            <rFont val="Calibri"/>
            <family val="34"/>
          </rPr>
          <t xml:space="preserve">
</t>
        </r>
        <r>
          <rPr>
            <sz val="14"/>
            <color rgb="FF000000"/>
            <rFont val="Times New Roman"/>
            <family val="18"/>
          </rPr>
          <t>18/09/1811 Muster: IR 44 3. Fus. Komp. Nr. 128</t>
        </r>
        <r>
          <rPr>
            <sz val="14"/>
            <color rgb="FF000000"/>
            <rFont val="Calibri"/>
            <family val="34"/>
          </rPr>
          <t xml:space="preserve">
</t>
        </r>
        <r>
          <rPr>
            <sz val="14"/>
            <color rgb="FF000000"/>
            <rFont val="Times New Roman"/>
            <family val="18"/>
          </rPr>
          <t>19/09/1812 Revision: IR 44 3. Fus. Komp. Nr. 69</t>
        </r>
        <r>
          <rPr>
            <sz val="14"/>
            <color rgb="FF000000"/>
            <rFont val="Calibri"/>
            <family val="34"/>
          </rPr>
          <t xml:space="preserve">
</t>
        </r>
        <r>
          <rPr>
            <sz val="14"/>
            <color rgb="FF000000"/>
            <rFont val="Times New Roman"/>
            <family val="18"/>
          </rPr>
          <t>05/01/1818 Muster: IR 44 5. Fus. Komp. Nr. 57 [</t>
        </r>
        <r>
          <rPr>
            <i/>
            <sz val="14"/>
            <color rgb="FF000000"/>
            <rFont val="Times New Roman"/>
            <family val="18"/>
          </rPr>
          <t>Auf der Wacht</t>
        </r>
        <r>
          <rPr>
            <sz val="14"/>
            <color rgb="FF000000"/>
            <rFont val="Times New Roman"/>
            <family val="18"/>
          </rPr>
          <t>]</t>
        </r>
        <r>
          <rPr>
            <sz val="14"/>
            <color rgb="FF000000"/>
            <rFont val="Calibri"/>
            <family val="34"/>
          </rPr>
          <t xml:space="preserve">
</t>
        </r>
        <r>
          <rPr>
            <sz val="14"/>
            <color rgb="FF000000"/>
            <rFont val="Times New Roman"/>
            <family val="18"/>
          </rPr>
          <t xml:space="preserve">01/08/1818 </t>
        </r>
        <r>
          <rPr>
            <i/>
            <sz val="14"/>
            <color rgb="FF000000"/>
            <rFont val="Times New Roman"/>
            <family val="18"/>
          </rPr>
          <t>Gegen 28Fl auf fernere 6 Jahr reengagiert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27/10/1818 Muster: IR 44 5. Fus. Komp. Nr. 55</t>
        </r>
        <r>
          <rPr>
            <sz val="14"/>
            <color rgb="FF000000"/>
            <rFont val="Calibri"/>
            <family val="34"/>
          </rPr>
          <t xml:space="preserve">
</t>
        </r>
        <r>
          <rPr>
            <sz val="14"/>
            <color rgb="FF000000"/>
            <rFont val="Times New Roman"/>
            <family val="18"/>
          </rPr>
          <t xml:space="preserve">01/03/1819 </t>
        </r>
        <r>
          <rPr>
            <i/>
            <sz val="14"/>
            <color rgb="FF000000"/>
            <rFont val="Times New Roman"/>
            <family val="18"/>
          </rPr>
          <t>Zum Gefreyter avanciert</t>
        </r>
        <r>
          <rPr>
            <sz val="14"/>
            <color rgb="FF000000"/>
            <rFont val="Times New Roman"/>
            <family val="18"/>
          </rPr>
          <t xml:space="preserve"> [ML 1819]</t>
        </r>
        <r>
          <rPr>
            <sz val="14"/>
            <color rgb="FF000000"/>
            <rFont val="Calibri"/>
            <family val="34"/>
          </rPr>
          <t xml:space="preserve">
</t>
        </r>
        <r>
          <rPr>
            <sz val="14"/>
            <color rgb="FF000000"/>
            <rFont val="Times New Roman"/>
            <family val="18"/>
          </rPr>
          <t>22/10/1819 Muster: IR 44 4. Fus. Komp. Nr. 19</t>
        </r>
        <r>
          <rPr>
            <sz val="14"/>
            <color rgb="FF000000"/>
            <rFont val="Calibri"/>
            <family val="34"/>
          </rPr>
          <t xml:space="preserve">
</t>
        </r>
        <r>
          <rPr>
            <sz val="14"/>
            <color rgb="FF000000"/>
            <rFont val="Times New Roman"/>
            <family val="18"/>
          </rPr>
          <t>25/09/1820 Muster: IR 44 4. Fus. Komp. Nr. 17</t>
        </r>
        <r>
          <rPr>
            <sz val="14"/>
            <color rgb="FF000000"/>
            <rFont val="Calibri"/>
            <family val="34"/>
          </rPr>
          <t xml:space="preserve">
</t>
        </r>
      </text>
    </comment>
    <comment ref="BG649" authorId="0" shapeId="0" xr:uid="{23673B69-CF0A-984B-9B2F-0E1FEFAB0B56}">
      <text>
        <r>
          <rPr>
            <sz val="14"/>
            <color rgb="FF000000"/>
            <rFont val="Times New Roman"/>
            <family val="18"/>
          </rPr>
          <t>ML 3911 IR 44 (1808-10) – RL 3. Fus. Komp. Nr. 190 (Sthulweissenburg 25/09/1810)</t>
        </r>
        <r>
          <rPr>
            <sz val="14"/>
            <color rgb="FF000000"/>
            <rFont val="Calibri"/>
            <family val="34"/>
          </rPr>
          <t xml:space="preserve">
</t>
        </r>
        <r>
          <rPr>
            <sz val="14"/>
            <color rgb="FF000000"/>
            <rFont val="Times New Roman"/>
            <family val="18"/>
          </rPr>
          <t>ML 3912-3 IR 44 (1811) – 3. Fus. Komp. Nr. 128 (Pappa 18/09/1811)</t>
        </r>
        <r>
          <rPr>
            <sz val="14"/>
            <color rgb="FF000000"/>
            <rFont val="Calibri"/>
            <family val="34"/>
          </rPr>
          <t xml:space="preserve">
</t>
        </r>
        <r>
          <rPr>
            <sz val="14"/>
            <color rgb="FF000000"/>
            <rFont val="Times New Roman"/>
            <family val="18"/>
          </rPr>
          <t>ML 3914 IR 44 (1812/6) – 3. Fus. Komp. Nr. 69 (Pest 19/09/1812)</t>
        </r>
        <r>
          <rPr>
            <sz val="14"/>
            <color rgb="FF000000"/>
            <rFont val="Calibri"/>
            <family val="34"/>
          </rPr>
          <t xml:space="preserve">
</t>
        </r>
        <r>
          <rPr>
            <sz val="14"/>
            <color rgb="FF000000"/>
            <rFont val="Times New Roman"/>
            <family val="18"/>
          </rPr>
          <t>ML 3915/6 IR 44 (1818) – 5 Fus. Komp. Nr. 57 (Pizigethone 08/01/1818); 5. Fus. Komp. Nr. 55 (Pizigethone 27/10/1818)</t>
        </r>
        <r>
          <rPr>
            <sz val="14"/>
            <color rgb="FF000000"/>
            <rFont val="Calibri"/>
            <family val="34"/>
          </rPr>
          <t xml:space="preserve">
</t>
        </r>
        <r>
          <rPr>
            <sz val="14"/>
            <color rgb="FF000000"/>
            <rFont val="Times New Roman"/>
            <family val="18"/>
          </rPr>
          <t>ML 3918/9 IR 44 (1819) – 5. Fus. Komp. Nr. 19 (Milan 22/10/1819)</t>
        </r>
        <r>
          <rPr>
            <sz val="14"/>
            <color rgb="FF000000"/>
            <rFont val="Calibri"/>
            <family val="34"/>
          </rPr>
          <t xml:space="preserve">
</t>
        </r>
        <r>
          <rPr>
            <sz val="14"/>
            <color rgb="FF000000"/>
            <rFont val="Times New Roman"/>
            <family val="18"/>
          </rPr>
          <t>ML 3920 IR 44 (1820) – 5. Fus. Komp. Nr. 17 (Milan 25/09/1820)</t>
        </r>
        <r>
          <rPr>
            <sz val="14"/>
            <color rgb="FF000000"/>
            <rFont val="Calibri"/>
            <family val="34"/>
          </rPr>
          <t xml:space="preserve">
</t>
        </r>
      </text>
    </comment>
    <comment ref="BH649" authorId="0" shapeId="0" xr:uid="{7CBC87BE-98D5-F448-B6EF-AD7FB96F193B}">
      <text>
        <r>
          <rPr>
            <sz val="14"/>
            <color rgb="FF000000"/>
            <rFont val="Calibri"/>
            <family val="34"/>
          </rPr>
          <t xml:space="preserve">IR 23 (1809-1810)
</t>
        </r>
        <r>
          <rPr>
            <sz val="14"/>
            <color rgb="FF000000"/>
            <rFont val="Calibri"/>
            <family val="34"/>
          </rPr>
          <t>IR 44 (1810-1820)</t>
        </r>
      </text>
    </comment>
    <comment ref="T650" authorId="0" shapeId="0" xr:uid="{1B1BCDF9-0909-754D-91DB-77C14FA96EEC}">
      <text>
        <r>
          <rPr>
            <sz val="14"/>
            <color rgb="FF000000"/>
            <rFont val="Calibri"/>
            <family val="34"/>
          </rPr>
          <t xml:space="preserve">160.63 [5.1 (ML 1811)]
</t>
        </r>
        <r>
          <rPr>
            <sz val="14"/>
            <color rgb="FF000000"/>
            <rFont val="Calibri"/>
            <family val="34"/>
          </rPr>
          <t>163.92 [5.2.3 (ML 1818)]</t>
        </r>
      </text>
    </comment>
    <comment ref="BF650" authorId="0" shapeId="0" xr:uid="{49A64DAE-C2D2-A747-8E74-3FF489F2B392}">
      <text>
        <r>
          <rPr>
            <sz val="14"/>
            <color rgb="FF000000"/>
            <rFont val="Times New Roman"/>
            <family val="18"/>
          </rPr>
          <t xml:space="preserve">23/02/1809 </t>
        </r>
        <r>
          <rPr>
            <i/>
            <sz val="14"/>
            <color rgb="FF000000"/>
            <rFont val="Times New Roman"/>
            <family val="18"/>
          </rPr>
          <t>Gegen 3Fl Handgeld auf 10 Jahren zum IR 44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01/08/1811 </t>
        </r>
        <r>
          <rPr>
            <i/>
            <sz val="14"/>
            <color rgb="FF000000"/>
            <rFont val="Times New Roman"/>
            <family val="18"/>
          </rPr>
          <t>Von der 3. Fus. Komp. Zum Regimentsstaab als Privat Diener.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18/09/1811 Muster: IR 44 Staab Nr. 46 [</t>
        </r>
        <r>
          <rPr>
            <i/>
            <sz val="14"/>
            <color rgb="FF000000"/>
            <rFont val="Times New Roman"/>
            <family val="18"/>
          </rPr>
          <t>Privat Diener</t>
        </r>
        <r>
          <rPr>
            <sz val="14"/>
            <color rgb="FF000000"/>
            <rFont val="Times New Roman"/>
            <family val="18"/>
          </rPr>
          <t>]</t>
        </r>
        <r>
          <rPr>
            <sz val="14"/>
            <color rgb="FF000000"/>
            <rFont val="Calibri"/>
            <family val="34"/>
          </rPr>
          <t xml:space="preserve">
</t>
        </r>
        <r>
          <rPr>
            <sz val="14"/>
            <color rgb="FF000000"/>
            <rFont val="Times New Roman"/>
            <family val="18"/>
          </rPr>
          <t xml:space="preserve">30/04/1812 </t>
        </r>
        <r>
          <rPr>
            <i/>
            <sz val="14"/>
            <color rgb="FF000000"/>
            <rFont val="Times New Roman"/>
            <family val="18"/>
          </rPr>
          <t>Von Regimentsstaab zur 3. Fus Komp. transferiert</t>
        </r>
        <r>
          <rPr>
            <sz val="14"/>
            <color rgb="FF000000"/>
            <rFont val="Times New Roman"/>
            <family val="18"/>
          </rPr>
          <t xml:space="preserve"> [RL 1812]</t>
        </r>
        <r>
          <rPr>
            <sz val="14"/>
            <color rgb="FF000000"/>
            <rFont val="Calibri"/>
            <family val="34"/>
          </rPr>
          <t xml:space="preserve">
</t>
        </r>
        <r>
          <rPr>
            <sz val="14"/>
            <color rgb="FF000000"/>
            <rFont val="Times New Roman"/>
            <family val="18"/>
          </rPr>
          <t xml:space="preserve">31/07/1812 </t>
        </r>
        <r>
          <rPr>
            <i/>
            <sz val="14"/>
            <color rgb="FF000000"/>
            <rFont val="Times New Roman"/>
            <family val="18"/>
          </rPr>
          <t xml:space="preserve">Von 3. zum 13. Fus. Komp transferiert </t>
        </r>
        <r>
          <rPr>
            <sz val="14"/>
            <color rgb="FF000000"/>
            <rFont val="Times New Roman"/>
            <family val="18"/>
          </rPr>
          <t>[RL 1812]</t>
        </r>
        <r>
          <rPr>
            <sz val="14"/>
            <color rgb="FF000000"/>
            <rFont val="Calibri"/>
            <family val="34"/>
          </rPr>
          <t xml:space="preserve">
</t>
        </r>
        <r>
          <rPr>
            <sz val="14"/>
            <color rgb="FF000000"/>
            <rFont val="Times New Roman"/>
            <family val="18"/>
          </rPr>
          <t>19/09/1812 Revision: IR 44 15. Fus. Komp. Nr. 38</t>
        </r>
        <r>
          <rPr>
            <sz val="14"/>
            <color rgb="FF000000"/>
            <rFont val="Calibri"/>
            <family val="34"/>
          </rPr>
          <t xml:space="preserve">
</t>
        </r>
        <r>
          <rPr>
            <sz val="14"/>
            <color rgb="FF000000"/>
            <rFont val="Times New Roman"/>
            <family val="18"/>
          </rPr>
          <t xml:space="preserve">01/02/1814 </t>
        </r>
        <r>
          <rPr>
            <i/>
            <sz val="14"/>
            <color rgb="FF000000"/>
            <rFont val="Times New Roman"/>
            <family val="18"/>
          </rPr>
          <t>Zu Gefreyter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26/11/1817 </t>
        </r>
        <r>
          <rPr>
            <i/>
            <sz val="14"/>
            <color rgb="FF000000"/>
            <rFont val="Times New Roman"/>
            <family val="18"/>
          </rPr>
          <t>Von 3. zur 4. Fus. Komp. transferiert</t>
        </r>
        <r>
          <rPr>
            <sz val="14"/>
            <color rgb="FF000000"/>
            <rFont val="Times New Roman"/>
            <family val="18"/>
          </rPr>
          <t xml:space="preserve"> [ML 1818] </t>
        </r>
        <r>
          <rPr>
            <sz val="14"/>
            <color rgb="FF000000"/>
            <rFont val="Calibri"/>
            <family val="34"/>
          </rPr>
          <t xml:space="preserve">
</t>
        </r>
        <r>
          <rPr>
            <sz val="14"/>
            <color rgb="FF000000"/>
            <rFont val="Times New Roman"/>
            <family val="18"/>
          </rPr>
          <t>09/01/1818 Muster: IR 44 4. Fus. Komp. Nr. 22</t>
        </r>
        <r>
          <rPr>
            <sz val="14"/>
            <color rgb="FF000000"/>
            <rFont val="Calibri"/>
            <family val="34"/>
          </rPr>
          <t xml:space="preserve">
</t>
        </r>
        <r>
          <rPr>
            <sz val="14"/>
            <color rgb="FF000000"/>
            <rFont val="Times New Roman"/>
            <family val="18"/>
          </rPr>
          <t>27/10/1818 Muster: IR 44 4. Fus. Komp. Nr. 22</t>
        </r>
        <r>
          <rPr>
            <sz val="14"/>
            <color rgb="FF000000"/>
            <rFont val="Calibri"/>
            <family val="34"/>
          </rPr>
          <t xml:space="preserve">
</t>
        </r>
        <r>
          <rPr>
            <sz val="14"/>
            <color rgb="FF000000"/>
            <rFont val="Times New Roman"/>
            <family val="18"/>
          </rPr>
          <t>22/10/1819 Muster: IR 44 4. Fus. Komp. Nr. 18 [</t>
        </r>
        <r>
          <rPr>
            <i/>
            <sz val="14"/>
            <color rgb="FF000000"/>
            <rFont val="Times New Roman"/>
            <family val="18"/>
          </rPr>
          <t>Ausgedienter Kapitulant</t>
        </r>
        <r>
          <rPr>
            <sz val="14"/>
            <color rgb="FF000000"/>
            <rFont val="Times New Roman"/>
            <family val="18"/>
          </rPr>
          <t>]</t>
        </r>
        <r>
          <rPr>
            <sz val="14"/>
            <color rgb="FF000000"/>
            <rFont val="Calibri"/>
            <family val="34"/>
          </rPr>
          <t xml:space="preserve">
</t>
        </r>
        <r>
          <rPr>
            <sz val="14"/>
            <color rgb="FF000000"/>
            <rFont val="Times New Roman"/>
            <family val="18"/>
          </rPr>
          <t xml:space="preserve">31/10/1819 </t>
        </r>
        <r>
          <rPr>
            <i/>
            <sz val="14"/>
            <color rgb="FF000000"/>
            <rFont val="Times New Roman"/>
            <family val="18"/>
          </rPr>
          <t>Als augedienter Capitulant mit Abschied entlassen</t>
        </r>
        <r>
          <rPr>
            <sz val="14"/>
            <color rgb="FF000000"/>
            <rFont val="Times New Roman"/>
            <family val="18"/>
          </rPr>
          <t xml:space="preserve"> [ML 1820]</t>
        </r>
        <r>
          <rPr>
            <sz val="14"/>
            <color rgb="FF000000"/>
            <rFont val="Calibri"/>
            <family val="34"/>
          </rPr>
          <t xml:space="preserve">
</t>
        </r>
      </text>
    </comment>
    <comment ref="BG650" authorId="0" shapeId="0" xr:uid="{A1403D59-B153-2B4A-A788-A7FC197F5CE9}">
      <text>
        <r>
          <rPr>
            <sz val="14"/>
            <color rgb="FF000000"/>
            <rFont val="Times New Roman"/>
            <family val="18"/>
          </rPr>
          <t>ML 3911 IR 44 (1808-10) – RL 3. Fus. Komp. Nr. 88 (Sthulweissenburg 25/09/1810)</t>
        </r>
        <r>
          <rPr>
            <sz val="14"/>
            <color rgb="FF000000"/>
            <rFont val="Calibri"/>
            <family val="34"/>
          </rPr>
          <t xml:space="preserve">
</t>
        </r>
        <r>
          <rPr>
            <sz val="14"/>
            <color rgb="FF000000"/>
            <rFont val="Times New Roman"/>
            <family val="18"/>
          </rPr>
          <t xml:space="preserve">ML 3912/3 IR 33 (1811) – Regiments Staab Nr. 46 (Papa 18/09/1811) </t>
        </r>
        <r>
          <rPr>
            <sz val="14"/>
            <color rgb="FF000000"/>
            <rFont val="Calibri"/>
            <family val="34"/>
          </rPr>
          <t xml:space="preserve">
</t>
        </r>
        <r>
          <rPr>
            <sz val="14"/>
            <color rgb="FF000000"/>
            <rFont val="Times New Roman"/>
            <family val="18"/>
          </rPr>
          <t>ML 3915/6 IR 44 (1818) – 4. Fus. Komp. Nr. 22 (Piacenza 08/01/1818); 4. Fus. Komp. Nr. 13 (Piacenza 27/10/1818)</t>
        </r>
        <r>
          <rPr>
            <sz val="14"/>
            <color rgb="FF000000"/>
            <rFont val="Calibri"/>
            <family val="34"/>
          </rPr>
          <t xml:space="preserve">
</t>
        </r>
        <r>
          <rPr>
            <sz val="14"/>
            <color rgb="FF000000"/>
            <rFont val="Times New Roman"/>
            <family val="18"/>
          </rPr>
          <t>ML 3918/9 IR 44 (1819) – 4. Fus. Komp. Nr. 18 (Milan 22/10/1819)</t>
        </r>
        <r>
          <rPr>
            <sz val="14"/>
            <color rgb="FF000000"/>
            <rFont val="Calibri"/>
            <family val="34"/>
          </rPr>
          <t xml:space="preserve">
</t>
        </r>
        <r>
          <rPr>
            <sz val="14"/>
            <color rgb="FF000000"/>
            <rFont val="Times New Roman"/>
            <family val="18"/>
          </rPr>
          <t>ML 3920 IR 44 (1829) – 4. Fus. Komp. Abgang (Milan 25/09/1820)</t>
        </r>
        <r>
          <rPr>
            <sz val="14"/>
            <color rgb="FF000000"/>
            <rFont val="Calibri"/>
            <family val="34"/>
          </rPr>
          <t xml:space="preserve">
</t>
        </r>
      </text>
    </comment>
    <comment ref="BH650" authorId="0" shapeId="0" xr:uid="{CB131F47-7EA2-9D40-A5D3-7B19B72DD7AB}">
      <text>
        <r>
          <rPr>
            <sz val="14"/>
            <color rgb="FF000000"/>
            <rFont val="Calibri"/>
            <family val="34"/>
          </rPr>
          <t>IR 44 (1809-1819)</t>
        </r>
      </text>
    </comment>
    <comment ref="BF651" authorId="0" shapeId="0" xr:uid="{83DA6B3A-E085-F246-A63D-E35DEDA183D1}">
      <text>
        <r>
          <rPr>
            <sz val="14"/>
            <color rgb="FF000000"/>
            <rFont val="Times New Roman"/>
            <family val="18"/>
          </rPr>
          <t xml:space="preserve">27/02/1809 </t>
        </r>
        <r>
          <rPr>
            <i/>
            <sz val="14"/>
            <color rgb="FF000000"/>
            <rFont val="Times New Roman"/>
            <family val="18"/>
          </rPr>
          <t>als landständischer Rekrout auf 10 Jahr gegen 3Fl Handgeld assentiert</t>
        </r>
        <r>
          <rPr>
            <sz val="14"/>
            <color rgb="FF000000"/>
            <rFont val="Times New Roman"/>
            <family val="18"/>
          </rPr>
          <t xml:space="preserve"> [TL April 1810] </t>
        </r>
        <r>
          <rPr>
            <sz val="14"/>
            <color rgb="FF000000"/>
            <rFont val="Calibri"/>
            <family val="34"/>
          </rPr>
          <t xml:space="preserve">
</t>
        </r>
        <r>
          <rPr>
            <sz val="14"/>
            <color rgb="FF000000"/>
            <rFont val="Times New Roman"/>
            <family val="18"/>
          </rPr>
          <t xml:space="preserve">06/02/1810 </t>
        </r>
        <r>
          <rPr>
            <i/>
            <sz val="14"/>
            <color rgb="FF000000"/>
            <rFont val="Times New Roman"/>
            <family val="18"/>
          </rPr>
          <t xml:space="preserve">Von IR 63 2. Depot zum GB 1 transferiert </t>
        </r>
        <r>
          <rPr>
            <sz val="14"/>
            <color rgb="FF000000"/>
            <rFont val="Times New Roman"/>
            <family val="18"/>
          </rPr>
          <t>[TL April 1810]</t>
        </r>
        <r>
          <rPr>
            <sz val="14"/>
            <color rgb="FF000000"/>
            <rFont val="Calibri"/>
            <family val="34"/>
          </rPr>
          <t xml:space="preserve">
</t>
        </r>
        <r>
          <rPr>
            <sz val="14"/>
            <color rgb="FF000000"/>
            <rFont val="Times New Roman"/>
            <family val="18"/>
          </rPr>
          <t>21/09/1811 Muster GB 1 2. Komp. Nr. 134 [</t>
        </r>
        <r>
          <rPr>
            <i/>
            <sz val="14"/>
            <color rgb="FF000000"/>
            <rFont val="Times New Roman"/>
            <family val="18"/>
          </rPr>
          <t>Zur Superarbietrio zu Lemberg &amp; Real Invalid</t>
        </r>
        <r>
          <rPr>
            <sz val="14"/>
            <color rgb="FF000000"/>
            <rFont val="Times New Roman"/>
            <family val="18"/>
          </rPr>
          <t>]</t>
        </r>
        <r>
          <rPr>
            <sz val="14"/>
            <color rgb="FF000000"/>
            <rFont val="Calibri"/>
            <family val="34"/>
          </rPr>
          <t xml:space="preserve">
</t>
        </r>
        <r>
          <rPr>
            <sz val="14"/>
            <color rgb="FF000000"/>
            <rFont val="Times New Roman"/>
            <family val="18"/>
          </rPr>
          <t>05/10 1812: Revision 1. GB 2. Comp Nr. 81 [</t>
        </r>
        <r>
          <rPr>
            <i/>
            <sz val="14"/>
            <color rgb="FF000000"/>
            <rFont val="Times New Roman"/>
            <family val="18"/>
          </rPr>
          <t>Auf Marsch in Invaliden Haus</t>
        </r>
        <r>
          <rPr>
            <sz val="14"/>
            <color rgb="FF000000"/>
            <rFont val="Times New Roman"/>
            <family val="18"/>
          </rPr>
          <t>]</t>
        </r>
        <r>
          <rPr>
            <sz val="14"/>
            <color rgb="FF000000"/>
            <rFont val="Calibri"/>
            <family val="34"/>
          </rPr>
          <t xml:space="preserve">
</t>
        </r>
        <r>
          <rPr>
            <sz val="14"/>
            <color rgb="FF000000"/>
            <rFont val="Times New Roman"/>
            <family val="18"/>
          </rPr>
          <t>(RL Treblestie 05/10/1812)</t>
        </r>
        <r>
          <rPr>
            <sz val="14"/>
            <color rgb="FF000000"/>
            <rFont val="Calibri"/>
            <family val="34"/>
          </rPr>
          <t xml:space="preserve">
</t>
        </r>
      </text>
    </comment>
    <comment ref="BG651" authorId="0" shapeId="0" xr:uid="{08351BFA-62E1-594E-BD75-E43A84C92238}">
      <text>
        <r>
          <rPr>
            <sz val="14"/>
            <color rgb="FF000000"/>
            <rFont val="Times New Roman"/>
            <family val="18"/>
          </rPr>
          <t>ML 5293 IR 63 (1810) AL/TL – TL IR 63-&gt;GB 1 Nr. 5 (Pressburg 08/04/1810)</t>
        </r>
        <r>
          <rPr>
            <sz val="14"/>
            <color rgb="FF000000"/>
            <rFont val="Calibri"/>
            <family val="34"/>
          </rPr>
          <t xml:space="preserve">
</t>
        </r>
        <r>
          <rPr>
            <sz val="14"/>
            <color rgb="FF000000"/>
            <rFont val="Times New Roman"/>
            <family val="18"/>
          </rPr>
          <t>ML 6335 GB 1 (1811) – ML 1811 2. Komp. Nr. 134 (Gurahomora (21/9/1811); RL 1812 2. Komp. Nr. 81 (Goreblastie 05/10/1812)</t>
        </r>
      </text>
    </comment>
    <comment ref="BH651" authorId="0" shapeId="0" xr:uid="{D302122C-654F-F842-B496-5DDF5246F039}">
      <text>
        <r>
          <rPr>
            <sz val="14"/>
            <color rgb="FF000000"/>
            <rFont val="Calibri"/>
            <family val="34"/>
          </rPr>
          <t xml:space="preserve">IR 63 (1809-1810)
</t>
        </r>
        <r>
          <rPr>
            <sz val="14"/>
            <color rgb="FF000000"/>
            <rFont val="Calibri"/>
            <family val="34"/>
          </rPr>
          <t>GB 1 (1809-10)</t>
        </r>
      </text>
    </comment>
    <comment ref="BJ651" authorId="0" shapeId="0" xr:uid="{FA0F561E-A959-B145-BE86-B0BAE8E907F7}">
      <text>
        <r>
          <rPr>
            <i/>
            <sz val="14"/>
            <color rgb="FF000000"/>
            <rFont val="Times New Roman"/>
            <family val="18"/>
          </rPr>
          <t xml:space="preserve">Blödsinnig </t>
        </r>
        <r>
          <rPr>
            <sz val="14"/>
            <color rgb="FF000000"/>
            <rFont val="Times New Roman"/>
            <family val="18"/>
          </rPr>
          <t>[TL April 1810]</t>
        </r>
      </text>
    </comment>
    <comment ref="BF652" authorId="0" shapeId="0" xr:uid="{17829E06-5C5C-6948-B225-C06A2FBAA6D0}">
      <text>
        <r>
          <rPr>
            <sz val="14"/>
            <color rgb="FF000000"/>
            <rFont val="Times New Roman"/>
            <family val="18"/>
          </rPr>
          <t xml:space="preserve">27/02/1809 </t>
        </r>
        <r>
          <rPr>
            <i/>
            <sz val="14"/>
            <color rgb="FF000000"/>
            <rFont val="Times New Roman"/>
            <family val="18"/>
          </rPr>
          <t>Von galizischen Ständen gestellt und a 3Fl Handgeld zum IR 23 assentiert</t>
        </r>
        <r>
          <rPr>
            <sz val="14"/>
            <color rgb="FF000000"/>
            <rFont val="Times New Roman"/>
            <family val="18"/>
          </rPr>
          <t xml:space="preserve"> [TL May 1810]</t>
        </r>
        <r>
          <rPr>
            <sz val="14"/>
            <color rgb="FF000000"/>
            <rFont val="Calibri"/>
            <family val="34"/>
          </rPr>
          <t xml:space="preserve">
</t>
        </r>
        <r>
          <rPr>
            <sz val="14"/>
            <color rgb="FF000000"/>
            <rFont val="Times New Roman"/>
            <family val="18"/>
          </rPr>
          <t xml:space="preserve">09/03/1810 </t>
        </r>
        <r>
          <rPr>
            <i/>
            <sz val="14"/>
            <color rgb="FF000000"/>
            <rFont val="Times New Roman"/>
            <family val="18"/>
          </rPr>
          <t>Von Dissolvierte IR 23 Haupt. Bockhaus Komp. zum IR 63 transferiert, zur 13. Fus. Komp eingeheilt, seitdem auf anhero Marsch</t>
        </r>
        <r>
          <rPr>
            <sz val="14"/>
            <color rgb="FF000000"/>
            <rFont val="Times New Roman"/>
            <family val="18"/>
          </rPr>
          <t xml:space="preserve"> [TL May 1810 &amp; ST March 1810]</t>
        </r>
        <r>
          <rPr>
            <sz val="14"/>
            <color rgb="FF000000"/>
            <rFont val="Calibri"/>
            <family val="34"/>
          </rPr>
          <t xml:space="preserve">
</t>
        </r>
        <r>
          <rPr>
            <sz val="14"/>
            <color rgb="FF000000"/>
            <rFont val="Times New Roman"/>
            <family val="18"/>
          </rPr>
          <t xml:space="preserve">15/03/1810 </t>
        </r>
        <r>
          <rPr>
            <i/>
            <sz val="14"/>
            <color rgb="FF000000"/>
            <rFont val="Times New Roman"/>
            <family val="18"/>
          </rPr>
          <t>In Kompanie eingerückt</t>
        </r>
        <r>
          <rPr>
            <sz val="14"/>
            <color rgb="FF000000"/>
            <rFont val="Times New Roman"/>
            <family val="18"/>
          </rPr>
          <t xml:space="preserve"> [ST March 1810]</t>
        </r>
        <r>
          <rPr>
            <sz val="14"/>
            <color rgb="FF000000"/>
            <rFont val="Calibri"/>
            <family val="34"/>
          </rPr>
          <t xml:space="preserve">
</t>
        </r>
        <r>
          <rPr>
            <sz val="14"/>
            <color rgb="FF000000"/>
            <rFont val="Times New Roman"/>
            <family val="18"/>
          </rPr>
          <t xml:space="preserve">01/09/1810 </t>
        </r>
        <r>
          <rPr>
            <i/>
            <sz val="14"/>
            <color rgb="FF000000"/>
            <rFont val="Times New Roman"/>
            <family val="18"/>
          </rPr>
          <t>Von dissolvierte 13. zur 12. Fus. Komp. transferiert</t>
        </r>
        <r>
          <rPr>
            <sz val="14"/>
            <color rgb="FF000000"/>
            <rFont val="Times New Roman"/>
            <family val="18"/>
          </rPr>
          <t xml:space="preserve"> [ST Sept 1810]</t>
        </r>
      </text>
    </comment>
    <comment ref="BG652" authorId="0" shapeId="0" xr:uid="{EC4EC765-1135-5043-A0F8-51DFCD882B58}">
      <text>
        <r>
          <rPr>
            <sz val="14"/>
            <color rgb="FF000000"/>
            <rFont val="Times New Roman"/>
            <family val="18"/>
          </rPr>
          <t>ML 5292 IR 63 (1810) – März (Preßburg 16/07/1811), Sept (Br</t>
        </r>
        <r>
          <rPr>
            <sz val="14"/>
            <color rgb="FF000000"/>
            <rFont val="german"/>
            <charset val="1"/>
          </rPr>
          <t xml:space="preserve">ünn </t>
        </r>
        <r>
          <rPr>
            <sz val="14"/>
            <color rgb="FF000000"/>
            <rFont val="Times New Roman"/>
            <family val="18"/>
          </rPr>
          <t>12/11/1811)</t>
        </r>
        <r>
          <rPr>
            <sz val="14"/>
            <color rgb="FF000000"/>
            <rFont val="Calibri"/>
            <family val="34"/>
          </rPr>
          <t xml:space="preserve">
</t>
        </r>
        <r>
          <rPr>
            <sz val="14"/>
            <color rgb="FF000000"/>
            <rFont val="Times New Roman"/>
            <family val="18"/>
          </rPr>
          <t>ML 5293 IR 63 (1810) AL/TL – TL IR 23-&gt; IR 63 Nr. 49 (Totis 15/05/1810)</t>
        </r>
        <r>
          <rPr>
            <sz val="14"/>
            <color rgb="FF000000"/>
            <rFont val="Calibri"/>
            <family val="34"/>
          </rPr>
          <t xml:space="preserve">
</t>
        </r>
      </text>
    </comment>
    <comment ref="BH652" authorId="0" shapeId="0" xr:uid="{216F5BEF-4587-4D4C-85DB-9CB2B45B094C}">
      <text>
        <r>
          <rPr>
            <sz val="14"/>
            <color rgb="FF000000"/>
            <rFont val="Calibri"/>
            <family val="34"/>
          </rPr>
          <t xml:space="preserve">IR 23 (1809-1810)
</t>
        </r>
        <r>
          <rPr>
            <sz val="14"/>
            <color rgb="FF000000"/>
            <rFont val="Calibri"/>
            <family val="34"/>
          </rPr>
          <t>IR 63 (1810)</t>
        </r>
      </text>
    </comment>
    <comment ref="BF653" authorId="0" shapeId="0" xr:uid="{56CA9D5E-651F-2948-A1C3-93977AC2435C}">
      <text>
        <r>
          <rPr>
            <sz val="14"/>
            <color rgb="FF000000"/>
            <rFont val="Times New Roman"/>
            <family val="18"/>
          </rPr>
          <t xml:space="preserve">03/1809 </t>
        </r>
        <r>
          <rPr>
            <i/>
            <sz val="14"/>
            <color rgb="FF000000"/>
            <rFont val="Times New Roman"/>
            <family val="18"/>
          </rPr>
          <t>Dient seit</t>
        </r>
        <r>
          <rPr>
            <sz val="14"/>
            <color rgb="FF000000"/>
            <rFont val="Times New Roman"/>
            <family val="18"/>
          </rPr>
          <t xml:space="preserve"> [TL Juni 1809]  </t>
        </r>
        <r>
          <rPr>
            <sz val="14"/>
            <color rgb="FF000000"/>
            <rFont val="Calibri"/>
            <family val="34"/>
          </rPr>
          <t xml:space="preserve">
</t>
        </r>
        <r>
          <rPr>
            <sz val="14"/>
            <color rgb="FF000000"/>
            <rFont val="Times New Roman"/>
            <family val="18"/>
          </rPr>
          <t xml:space="preserve">21/06/1809 </t>
        </r>
        <r>
          <rPr>
            <i/>
            <sz val="14"/>
            <color rgb="FF000000"/>
            <rFont val="Times New Roman"/>
            <family val="18"/>
          </rPr>
          <t xml:space="preserve">Von MFWK Wiener Pro Cento Division zum IR 4 Deutschmeister transferiert </t>
        </r>
        <r>
          <rPr>
            <sz val="14"/>
            <color rgb="FF000000"/>
            <rFont val="Times New Roman"/>
            <family val="18"/>
          </rPr>
          <t>[TL Juni 1809 &amp; ST June 1809]</t>
        </r>
        <r>
          <rPr>
            <sz val="14"/>
            <color rgb="FF000000"/>
            <rFont val="Calibri"/>
            <family val="34"/>
          </rPr>
          <t xml:space="preserve">
</t>
        </r>
        <r>
          <rPr>
            <sz val="14"/>
            <color rgb="FF000000"/>
            <rFont val="Times New Roman"/>
            <family val="18"/>
          </rPr>
          <t xml:space="preserve">05/08/1809 </t>
        </r>
        <r>
          <rPr>
            <i/>
            <sz val="14"/>
            <color rgb="FF000000"/>
            <rFont val="Times New Roman"/>
            <family val="18"/>
          </rPr>
          <t>Von IR 4 Deutschmeister zum MFWK Wiener Pro Division transferiert</t>
        </r>
        <r>
          <rPr>
            <sz val="14"/>
            <color rgb="FF000000"/>
            <rFont val="Times New Roman"/>
            <family val="18"/>
          </rPr>
          <t xml:space="preserve"> [TL Sept 1810 &amp; ST Aug 1809]</t>
        </r>
      </text>
    </comment>
    <comment ref="BG653" authorId="0" shapeId="0" xr:uid="{FDA31A01-9F74-3A45-8062-581371FA827E}">
      <text>
        <r>
          <rPr>
            <sz val="14"/>
            <color rgb="FF000000"/>
            <rFont val="Times New Roman"/>
            <family val="18"/>
          </rPr>
          <t>ML 399 IR 4 (1809) – ST June (30/07/1810), Aug (Vienna 01/09/1810)</t>
        </r>
        <r>
          <rPr>
            <sz val="14"/>
            <color rgb="FF000000"/>
            <rFont val="Calibri"/>
            <family val="34"/>
          </rPr>
          <t xml:space="preserve">
</t>
        </r>
        <r>
          <rPr>
            <sz val="14"/>
            <color rgb="FF000000"/>
            <rFont val="Times New Roman"/>
            <family val="18"/>
          </rPr>
          <t>ML 400/1 IR 4 (1809) – TL MFWK-&gt; IR 4 Nr. 10 (Groß Enzersdorf 16/06/1809); TL IR 4-&gt; MFWK Nr. 2 (Vienna 09/1810)</t>
        </r>
        <r>
          <rPr>
            <sz val="14"/>
            <color rgb="FF000000"/>
            <rFont val="Calibri"/>
            <family val="34"/>
          </rPr>
          <t xml:space="preserve">
</t>
        </r>
      </text>
    </comment>
    <comment ref="BH653" authorId="0" shapeId="0" xr:uid="{F53D3DC2-3642-4F40-A35C-FCD785F487B5}">
      <text>
        <r>
          <rPr>
            <sz val="14"/>
            <color rgb="FF000000"/>
            <rFont val="Calibri"/>
            <family val="34"/>
          </rPr>
          <t>MFWK (1809)</t>
        </r>
      </text>
    </comment>
    <comment ref="BF654" authorId="0" shapeId="0" xr:uid="{4317FB77-DEF6-3C4C-9308-4D6581C8479F}">
      <text>
        <r>
          <rPr>
            <sz val="14"/>
            <color rgb="FF000000"/>
            <rFont val="Times New Roman"/>
            <family val="18"/>
          </rPr>
          <t xml:space="preserve">01/03/1809 </t>
        </r>
        <r>
          <rPr>
            <i/>
            <sz val="14"/>
            <color rgb="FF000000"/>
            <rFont val="Times New Roman"/>
            <family val="18"/>
          </rPr>
          <t>Als landständische Rekrut a 3Fl zum IR 4 assentiert und zur 1. Depot Komp. eingeheilt</t>
        </r>
        <r>
          <rPr>
            <sz val="14"/>
            <color rgb="FF000000"/>
            <rFont val="Times New Roman"/>
            <family val="18"/>
          </rPr>
          <t xml:space="preserve"> [TL March 1809]</t>
        </r>
      </text>
    </comment>
    <comment ref="BG654" authorId="0" shapeId="0" xr:uid="{52F2502D-488B-AB44-B420-A31ADC52746B}">
      <text>
        <r>
          <rPr>
            <sz val="14"/>
            <color rgb="FF000000"/>
            <rFont val="Times New Roman"/>
            <family val="18"/>
          </rPr>
          <t>ML 400/1 IR 4 (1809) – AL Nr. 350 (Vienna 07/03/1809)</t>
        </r>
        <r>
          <rPr>
            <sz val="14"/>
            <color rgb="FF000000"/>
            <rFont val="Calibri"/>
            <family val="34"/>
          </rPr>
          <t xml:space="preserve">
</t>
        </r>
      </text>
    </comment>
    <comment ref="BH654" authorId="0" shapeId="0" xr:uid="{6D21888F-DF2C-9D46-95D7-ECF77E12D25F}">
      <text>
        <r>
          <rPr>
            <sz val="14"/>
            <color rgb="FF000000"/>
            <rFont val="Calibri"/>
            <family val="34"/>
          </rPr>
          <t>IR 4 (1809)</t>
        </r>
      </text>
    </comment>
    <comment ref="BF655" authorId="0" shapeId="0" xr:uid="{AE2FECC4-3ACA-3645-B34C-4C68D0898469}">
      <text>
        <r>
          <rPr>
            <sz val="14"/>
            <color rgb="FF000000"/>
            <rFont val="Times New Roman"/>
            <family val="18"/>
          </rPr>
          <t xml:space="preserve">01/03/1809 </t>
        </r>
        <r>
          <rPr>
            <i/>
            <sz val="14"/>
            <color rgb="FF000000"/>
            <rFont val="Times New Roman"/>
            <family val="18"/>
          </rPr>
          <t>Auf 15 Gulden Werbgeld (davon 10Fl Handgeld und 5 Gulden anbringsgeld und Umgosten) zum 1. Bataillon von Mährisch-schlesischen Freiwillige angeworben und zum 4.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6-8/05/1809 </t>
        </r>
        <r>
          <rPr>
            <i/>
            <sz val="14"/>
            <color rgb="FF000000"/>
            <rFont val="Times New Roman"/>
            <family val="18"/>
          </rPr>
          <t>Unwissend verloren</t>
        </r>
        <r>
          <rPr>
            <sz val="14"/>
            <color rgb="FF000000"/>
            <rFont val="Times New Roman"/>
            <family val="18"/>
          </rPr>
          <t xml:space="preserve"> [ST May 1809]</t>
        </r>
      </text>
    </comment>
    <comment ref="BG655" authorId="0" shapeId="0" xr:uid="{9A0A62EC-E62A-014C-8CB5-31FDEC92AF2E}">
      <text>
        <r>
          <rPr>
            <sz val="14"/>
            <color rgb="FF000000"/>
            <rFont val="Times New Roman"/>
            <family val="18"/>
          </rPr>
          <t>ST 10.821 Mähr-Schls. FW 1-2. Bats (1809-10) – AL Nr. 39 (Brunn 08/03/1809), ST March (31/03/1810), ST May (31/10/1810)</t>
        </r>
      </text>
    </comment>
    <comment ref="BH655" authorId="0" shapeId="0" xr:uid="{C212649D-D736-754B-A27C-F924E22DEE1E}">
      <text>
        <r>
          <rPr>
            <sz val="14"/>
            <color rgb="FF000000"/>
            <rFont val="Calibri"/>
            <family val="34"/>
          </rPr>
          <t>Mährisch-schlesischen Freiwillige (1809)</t>
        </r>
      </text>
    </comment>
    <comment ref="BF656" authorId="0" shapeId="0" xr:uid="{0F654DDD-07EE-4E46-883D-3451FD7BE378}">
      <text>
        <r>
          <rPr>
            <sz val="14"/>
            <color rgb="FF000000"/>
            <rFont val="Times New Roman"/>
            <family val="18"/>
          </rPr>
          <t xml:space="preserve">03/03/1809 </t>
        </r>
        <r>
          <rPr>
            <i/>
            <sz val="14"/>
            <color rgb="FF000000"/>
            <rFont val="Times New Roman"/>
            <family val="18"/>
          </rPr>
          <t>Mit 10 jähriger Capitulation zu Kentj assentiert</t>
        </r>
        <r>
          <rPr>
            <sz val="14"/>
            <color rgb="FF000000"/>
            <rFont val="Times New Roman"/>
            <family val="18"/>
          </rPr>
          <t xml:space="preserve"> [TL May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IR 56 1. Depot Komp. von Haupt Wagner zum Egal FB 3 transferiert und zum 1. Fusilier Komp. Haupt Graf Neuhaus eingetheilt</t>
        </r>
        <r>
          <rPr>
            <sz val="14"/>
            <color rgb="FF000000"/>
            <rFont val="Times New Roman"/>
            <family val="18"/>
          </rPr>
          <t xml:space="preserve"> [TL May 1809 &amp; ST June 1809]</t>
        </r>
        <r>
          <rPr>
            <sz val="14"/>
            <color rgb="FF000000"/>
            <rFont val="Calibri"/>
            <family val="34"/>
          </rPr>
          <t xml:space="preserve">
</t>
        </r>
        <r>
          <rPr>
            <sz val="14"/>
            <color rgb="FF000000"/>
            <rFont val="Times New Roman"/>
            <family val="18"/>
          </rPr>
          <t>08/08/1809</t>
        </r>
        <r>
          <rPr>
            <i/>
            <sz val="14"/>
            <color rgb="FF000000"/>
            <rFont val="Times New Roman"/>
            <family val="18"/>
          </rPr>
          <t xml:space="preserve"> Desertiert</t>
        </r>
        <r>
          <rPr>
            <sz val="14"/>
            <color rgb="FF000000"/>
            <rFont val="Times New Roman"/>
            <family val="18"/>
          </rPr>
          <t xml:space="preserve"> [ST June 1809] </t>
        </r>
      </text>
    </comment>
    <comment ref="BG656" authorId="0" shapeId="0" xr:uid="{1F1DFD25-AA07-B24E-B6F9-AC017C955317}">
      <text>
        <r>
          <rPr>
            <sz val="14"/>
            <color rgb="FF000000"/>
            <rFont val="Times New Roman"/>
            <family val="18"/>
          </rPr>
          <t>ST 10.832 Egal FB 3 (1809-10) – TL IR 56-&gt; Egal FB 3 Nr. 1 (Teschen 28/11/1809), ST June (Brünn 12/10/1810), ST August (Tischnowitz 31/10/1810)</t>
        </r>
      </text>
    </comment>
    <comment ref="BH656" authorId="0" shapeId="0" xr:uid="{D78FD2C5-1076-9D48-B313-7007C7FEE280}">
      <text>
        <r>
          <rPr>
            <sz val="14"/>
            <color rgb="FF000000"/>
            <rFont val="Calibri"/>
            <family val="34"/>
          </rPr>
          <t xml:space="preserve">IR 56 (1809)
</t>
        </r>
        <r>
          <rPr>
            <sz val="14"/>
            <color rgb="FF000000"/>
            <rFont val="Calibri"/>
            <family val="34"/>
          </rPr>
          <t>EGal FBat 3 (1809)</t>
        </r>
      </text>
    </comment>
    <comment ref="BF657" authorId="0" shapeId="0" xr:uid="{299E29ED-87CE-9441-843D-2E95ADF65BE8}">
      <text>
        <r>
          <rPr>
            <sz val="14"/>
            <color rgb="FF000000"/>
            <rFont val="Times New Roman"/>
            <family val="18"/>
          </rPr>
          <t xml:space="preserve">03/03/1809 </t>
        </r>
        <r>
          <rPr>
            <i/>
            <sz val="14"/>
            <color rgb="FF000000"/>
            <rFont val="Times New Roman"/>
            <family val="18"/>
          </rPr>
          <t>zu Michow gegen 3Fl Handgeld assentiert</t>
        </r>
        <r>
          <rPr>
            <sz val="14"/>
            <color rgb="FF000000"/>
            <rFont val="Times New Roman"/>
            <family val="18"/>
          </rPr>
          <t xml:space="preserve"> [TL Sept 1809]</t>
        </r>
        <r>
          <rPr>
            <sz val="14"/>
            <color rgb="FF000000"/>
            <rFont val="Calibri"/>
            <family val="34"/>
          </rPr>
          <t xml:space="preserve">
</t>
        </r>
        <r>
          <rPr>
            <sz val="14"/>
            <color rgb="FF000000"/>
            <rFont val="Times New Roman"/>
            <family val="18"/>
          </rPr>
          <t xml:space="preserve">25/05/1809 </t>
        </r>
        <r>
          <rPr>
            <i/>
            <sz val="14"/>
            <color rgb="FF000000"/>
            <rFont val="Times New Roman"/>
            <family val="18"/>
          </rPr>
          <t>In Folge hoher Verordnung von Von IR 7 Wilhelm Schröder 2. Depot Komp. Zum WGal FB 2 transferiert und zum 5. Komp. Haupt CaptLt Franz Baron Drake eingeteilt</t>
        </r>
        <r>
          <rPr>
            <sz val="14"/>
            <color rgb="FF000000"/>
            <rFont val="Times New Roman"/>
            <family val="18"/>
          </rPr>
          <t xml:space="preserve"> [TL Sept 1809 &amp; ST May 1809]</t>
        </r>
        <r>
          <rPr>
            <sz val="14"/>
            <color rgb="FF000000"/>
            <rFont val="Calibri"/>
            <family val="34"/>
          </rPr>
          <t xml:space="preserve">
</t>
        </r>
        <r>
          <rPr>
            <sz val="14"/>
            <color rgb="FF000000"/>
            <rFont val="Times New Roman"/>
            <family val="18"/>
          </rPr>
          <t xml:space="preserve">26/07/1809 </t>
        </r>
        <r>
          <rPr>
            <i/>
            <sz val="14"/>
            <color rgb="FF000000"/>
            <rFont val="Times New Roman"/>
            <family val="18"/>
          </rPr>
          <t>Krank in Feldspitalspital mit auswärtiger Verpflegung</t>
        </r>
        <r>
          <rPr>
            <sz val="14"/>
            <color rgb="FF000000"/>
            <rFont val="Times New Roman"/>
            <family val="18"/>
          </rPr>
          <t xml:space="preserve"> [ST July 1809) </t>
        </r>
        <r>
          <rPr>
            <sz val="14"/>
            <color rgb="FF000000"/>
            <rFont val="Calibri"/>
            <family val="34"/>
          </rPr>
          <t xml:space="preserve">
</t>
        </r>
        <r>
          <rPr>
            <sz val="14"/>
            <color rgb="FF000000"/>
            <rFont val="Times New Roman"/>
            <family val="18"/>
          </rPr>
          <t xml:space="preserve">15/08/1809 </t>
        </r>
        <r>
          <rPr>
            <i/>
            <sz val="14"/>
            <color rgb="FF000000"/>
            <rFont val="Times New Roman"/>
            <family val="18"/>
          </rPr>
          <t>In loco Gestorben</t>
        </r>
        <r>
          <rPr>
            <sz val="14"/>
            <color rgb="FF000000"/>
            <rFont val="Times New Roman"/>
            <family val="18"/>
          </rPr>
          <t xml:space="preserve"> [ST August 1809]</t>
        </r>
      </text>
    </comment>
    <comment ref="BG657" authorId="0" shapeId="0" xr:uid="{0EC93538-46F8-084E-B182-A389C98F4642}">
      <text>
        <r>
          <rPr>
            <sz val="14"/>
            <color rgb="FF000000"/>
            <rFont val="Times New Roman"/>
            <family val="18"/>
          </rPr>
          <t xml:space="preserve">ML 10.831 WGal FB 2 (1809-10) – TL IR 7-&gt; WGal FB 2 Nr. 20 (Sternberg ??/09/1809), ST May (Tischmanitz 10/10/1810), ST July (Brünn 20/12/1810), ST August (Brünn 24/12/1810)
</t>
        </r>
      </text>
    </comment>
    <comment ref="BH657" authorId="0" shapeId="0" xr:uid="{DACB2E1C-2247-DF4A-8056-65961C2DC7AA}">
      <text>
        <r>
          <rPr>
            <sz val="14"/>
            <color rgb="FF000000"/>
            <rFont val="Calibri"/>
            <family val="34"/>
          </rPr>
          <t>WGal FB 2 (1809)</t>
        </r>
      </text>
    </comment>
    <comment ref="BF658" authorId="0" shapeId="0" xr:uid="{D6C98353-3281-F147-A17D-ADBFE802D1C1}">
      <text>
        <r>
          <rPr>
            <sz val="14"/>
            <color rgb="FF000000"/>
            <rFont val="Times New Roman"/>
            <family val="18"/>
          </rPr>
          <t>04/03/1809 von Land gestelt a 3Fl [ML 1817]</t>
        </r>
        <r>
          <rPr>
            <sz val="14"/>
            <color rgb="FF000000"/>
            <rFont val="Calibri"/>
            <family val="34"/>
          </rPr>
          <t xml:space="preserve">
</t>
        </r>
        <r>
          <rPr>
            <sz val="14"/>
            <color rgb="FF000000"/>
            <rFont val="Times New Roman"/>
            <family val="18"/>
          </rPr>
          <t xml:space="preserve">16/05/1809 </t>
        </r>
        <r>
          <rPr>
            <i/>
            <sz val="14"/>
            <color rgb="FF000000"/>
            <rFont val="Times New Roman"/>
            <family val="18"/>
          </rPr>
          <t>von Vukasovich inf,</t>
        </r>
        <r>
          <rPr>
            <sz val="14"/>
            <color rgb="FF000000"/>
            <rFont val="Times New Roman"/>
            <family val="18"/>
          </rPr>
          <t xml:space="preserve"> </t>
        </r>
        <r>
          <rPr>
            <b/>
            <sz val="14"/>
            <color rgb="FF000000"/>
            <rFont val="Times New Roman"/>
            <family val="18"/>
          </rPr>
          <t>[HIR 48]</t>
        </r>
        <r>
          <rPr>
            <sz val="14"/>
            <color rgb="FF000000"/>
            <rFont val="Times New Roman"/>
            <family val="18"/>
          </rPr>
          <t xml:space="preserve"> Zum HR 1</t>
        </r>
        <r>
          <rPr>
            <i/>
            <sz val="14"/>
            <color rgb="FF000000"/>
            <rFont val="Times New Roman"/>
            <family val="18"/>
          </rPr>
          <t xml:space="preserve">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16/08/1812 </t>
        </r>
        <r>
          <rPr>
            <i/>
            <sz val="14"/>
            <color rgb="FF000000"/>
            <rFont val="Times New Roman"/>
            <family val="18"/>
          </rPr>
          <t>zum Corporal avanciert</t>
        </r>
        <r>
          <rPr>
            <sz val="14"/>
            <color rgb="FF000000"/>
            <rFont val="Times New Roman"/>
            <family val="18"/>
          </rPr>
          <t xml:space="preserve"> [ML 1817]</t>
        </r>
        <r>
          <rPr>
            <sz val="14"/>
            <color rgb="FF000000"/>
            <rFont val="Calibri"/>
            <family val="34"/>
          </rPr>
          <t xml:space="preserve">
</t>
        </r>
        <r>
          <rPr>
            <sz val="14"/>
            <color rgb="FF000000"/>
            <rFont val="Times New Roman"/>
            <family val="18"/>
          </rPr>
          <t>04/09/1817 Musterung: HR 1 Obrist 2. Esk Nr 20</t>
        </r>
        <r>
          <rPr>
            <sz val="14"/>
            <color rgb="FF000000"/>
            <rFont val="Calibri"/>
            <family val="34"/>
          </rPr>
          <t xml:space="preserve">
</t>
        </r>
      </text>
    </comment>
    <comment ref="BG658" authorId="0" shapeId="0" xr:uid="{8AAD9509-1111-7C47-8762-AFAF2978617F}">
      <text>
        <r>
          <rPr>
            <sz val="14"/>
            <color rgb="FF000000"/>
            <rFont val="Times New Roman"/>
            <family val="18"/>
          </rPr>
          <t>ML HR 1 (1817) ‘Kaiser’ – Heft von Obrist 2. Squad Nr. 20 (Upecs 04/09/1817)</t>
        </r>
      </text>
    </comment>
    <comment ref="BH658" authorId="0" shapeId="0" xr:uid="{D812FAF9-EFCA-BA43-9117-79E2EADB6C1D}">
      <text>
        <r>
          <rPr>
            <sz val="14"/>
            <color rgb="FF000000"/>
            <rFont val="Calibri"/>
            <family val="34"/>
          </rPr>
          <t xml:space="preserve">IR 48 (1809)
</t>
        </r>
        <r>
          <rPr>
            <sz val="14"/>
            <color rgb="FF000000"/>
            <rFont val="Calibri"/>
            <family val="34"/>
          </rPr>
          <t>HR 1 (1809-1817)</t>
        </r>
      </text>
    </comment>
    <comment ref="BF659" authorId="0" shapeId="0" xr:uid="{8677FC68-A017-3149-A698-3A199009CF30}">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01/06/1809 </t>
        </r>
        <r>
          <rPr>
            <i/>
            <sz val="14"/>
            <color rgb="FF000000"/>
            <rFont val="Times New Roman"/>
            <family val="18"/>
          </rPr>
          <t>Von Gefreiter zum Corporal avanciert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31/10/1809 </t>
        </r>
        <r>
          <rPr>
            <i/>
            <sz val="14"/>
            <color rgb="FF000000"/>
            <rFont val="Times New Roman"/>
            <family val="18"/>
          </rPr>
          <t>Von 4. Zum 6 Komp.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b/>
            <sz val="14"/>
            <color rgb="FF000000"/>
            <rFont val="Times New Roman"/>
            <family val="18"/>
          </rPr>
          <t xml:space="preserve"> </t>
        </r>
      </text>
    </comment>
    <comment ref="BG659" authorId="0" shapeId="0" xr:uid="{CFB907C6-C5F4-794E-88C0-E97EB430C435}">
      <text>
        <r>
          <rPr>
            <sz val="14"/>
            <color rgb="FF000000"/>
            <rFont val="Times New Roman"/>
            <family val="18"/>
          </rPr>
          <t>ML 10.815 EH Carl FK (1809-10) – AL Nr. 57 (Prague 06/03/1809), ST March (Prague 21/06/1809); ST April (18/07/1809), ST June (Prague 04/11/1809), ST Nov (30/08/1810), ST Jan 1810 (??)</t>
        </r>
        <r>
          <rPr>
            <sz val="14"/>
            <color rgb="FF000000"/>
            <rFont val="Calibri"/>
            <family val="34"/>
          </rPr>
          <t xml:space="preserve">
</t>
        </r>
      </text>
    </comment>
    <comment ref="BH659" authorId="0" shapeId="0" xr:uid="{DA8D6E01-81A8-9940-B265-D44FBF08F69B}">
      <text>
        <r>
          <rPr>
            <sz val="14"/>
            <color rgb="FF000000"/>
            <rFont val="Calibri"/>
            <family val="34"/>
          </rPr>
          <t>Legion EH Carl (1809-10)</t>
        </r>
      </text>
    </comment>
    <comment ref="BF660" authorId="0" shapeId="0" xr:uid="{2912F866-CBF8-2645-8059-C2EB3AA77E4E}">
      <text>
        <r>
          <rPr>
            <sz val="14"/>
            <color rgb="FF000000"/>
            <rFont val="Times New Roman"/>
            <family val="18"/>
          </rPr>
          <t xml:space="preserve">06/03/1809 </t>
        </r>
        <r>
          <rPr>
            <i/>
            <sz val="14"/>
            <color rgb="FF000000"/>
            <rFont val="Times New Roman"/>
            <family val="18"/>
          </rPr>
          <t>Von Prager Landwehr Bataillon sich freiwillig zur EH Carl Legion 2. Bataillon gegen 3Fl gestellt und zum 4.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22/05/1809 </t>
        </r>
        <r>
          <rPr>
            <i/>
            <sz val="14"/>
            <color rgb="FF000000"/>
            <rFont val="Times New Roman"/>
            <family val="18"/>
          </rPr>
          <t>In der Schlacht von Aspern Blessirt und seitdem Krank in Armee Spital</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29/05/1809 </t>
        </r>
        <r>
          <rPr>
            <i/>
            <sz val="14"/>
            <color rgb="FF000000"/>
            <rFont val="Times New Roman"/>
            <family val="18"/>
          </rPr>
          <t>Beim Depot eingerückt und dort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Wieder mit Auswärtigen Gebühr krank in Feld Spital</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05/07/1809 </t>
        </r>
        <r>
          <rPr>
            <i/>
            <sz val="14"/>
            <color rgb="FF000000"/>
            <rFont val="Times New Roman"/>
            <family val="18"/>
          </rPr>
          <t>Beim Depot eingerückt und dort mit Friedensgebühr</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Gemeiner zum Gefreyter avanciert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11/01/1810 </t>
        </r>
        <r>
          <rPr>
            <i/>
            <sz val="14"/>
            <color rgb="FF000000"/>
            <rFont val="Times New Roman"/>
            <family val="18"/>
          </rPr>
          <t>Mit Auswärtiger Krank in Armee Spitaler</t>
        </r>
        <r>
          <rPr>
            <sz val="14"/>
            <color rgb="FF000000"/>
            <rFont val="Times New Roman"/>
            <family val="18"/>
          </rPr>
          <t xml:space="preserve"> [ST Jan 1810]</t>
        </r>
        <r>
          <rPr>
            <sz val="14"/>
            <color rgb="FF000000"/>
            <rFont val="Calibri"/>
            <family val="34"/>
          </rPr>
          <t xml:space="preserve">
</t>
        </r>
        <r>
          <rPr>
            <sz val="14"/>
            <color rgb="FF000000"/>
            <rFont val="Times New Roman"/>
            <family val="18"/>
          </rPr>
          <t>16/02/1810</t>
        </r>
        <r>
          <rPr>
            <i/>
            <sz val="14"/>
            <color rgb="FF000000"/>
            <rFont val="Times New Roman"/>
            <family val="18"/>
          </rPr>
          <t xml:space="preserve"> Als Freiwillig auf Kriegsdauer engagierte gemäß bestehende Dissolvierungs Verordnung mit 30 Tägigen Ord. Inf Löhnung Abgefertigt Worden </t>
        </r>
        <r>
          <rPr>
            <sz val="14"/>
            <color rgb="FF000000"/>
            <rFont val="Times New Roman"/>
            <family val="18"/>
          </rPr>
          <t xml:space="preserve">[ST Aug 1810] </t>
        </r>
      </text>
    </comment>
    <comment ref="BG660" authorId="0" shapeId="0" xr:uid="{52E21AEE-C320-C147-B499-2985EF06EFC3}">
      <text>
        <r>
          <rPr>
            <sz val="14"/>
            <color rgb="FF000000"/>
            <rFont val="Times New Roman"/>
            <family val="18"/>
          </rPr>
          <t>ML 10.815 EH Carl FK (1809-10) – AL Nr. 145 (Prague 06/03/1809), ST April (18/07/1809), ST Juli (Prague 30/05/1810), ST Dec (Prague 30/08/1810), ST Jan 1810 (??)</t>
        </r>
        <r>
          <rPr>
            <sz val="14"/>
            <color rgb="FF000000"/>
            <rFont val="Calibri"/>
            <family val="34"/>
          </rPr>
          <t xml:space="preserve">
</t>
        </r>
      </text>
    </comment>
    <comment ref="BH660" authorId="0" shapeId="0" xr:uid="{ECB3622F-3883-1345-AF3F-977F58F39844}">
      <text>
        <r>
          <rPr>
            <sz val="14"/>
            <color rgb="FF000000"/>
            <rFont val="Calibri"/>
            <family val="34"/>
          </rPr>
          <t>Legion EH Carl (1809-10)</t>
        </r>
      </text>
    </comment>
    <comment ref="BF661" authorId="0" shapeId="0" xr:uid="{DB494BE9-1101-8849-8E72-18D821E14187}">
      <text>
        <r>
          <rPr>
            <sz val="14"/>
            <color rgb="FF000000"/>
            <rFont val="Times New Roman"/>
            <family val="18"/>
          </rPr>
          <t xml:space="preserve">06/03/1809 </t>
        </r>
        <r>
          <rPr>
            <i/>
            <sz val="14"/>
            <color rgb="FF000000"/>
            <rFont val="Times New Roman"/>
            <family val="18"/>
          </rPr>
          <t>Von 1. Rakonitzer Landwehr Bataillon sich freiwillig zur EH Carl Legion 2. Bataillon gegen 3Fl gestellt und zum 3.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01/04/1809 </t>
        </r>
        <r>
          <rPr>
            <i/>
            <sz val="14"/>
            <color rgb="FF000000"/>
            <rFont val="Times New Roman"/>
            <family val="18"/>
          </rPr>
          <t>Von Gemeiner zum Gefreyter avanciert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11/07/1809 [Seit]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21/12/1809 </t>
        </r>
        <r>
          <rPr>
            <i/>
            <sz val="14"/>
            <color rgb="FF000000"/>
            <rFont val="Times New Roman"/>
            <family val="18"/>
          </rPr>
          <t>Reconvalesiert und seitdem Zugeheilt beim Depot mit Friedensgebühr</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15/01/1810 </t>
        </r>
        <r>
          <rPr>
            <i/>
            <sz val="14"/>
            <color rgb="FF000000"/>
            <rFont val="Times New Roman"/>
            <family val="18"/>
          </rPr>
          <t>Zurück ins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661" authorId="0" shapeId="0" xr:uid="{3A6BCD25-6F83-FE4A-B91A-F75DF239A396}">
      <text>
        <r>
          <rPr>
            <sz val="14"/>
            <color rgb="FF000000"/>
            <rFont val="Times New Roman"/>
            <family val="18"/>
          </rPr>
          <t>ML 10.815 EH Carl FK (1809-10) – AL Nr. 36 (Prague 06/03/1809), ST March (Prague 21/06/1809), ST May (28/09/1809), Juni (Prague 04/11/1809), ST Juli (30/05/1810); ST Aug (Prague 30/05/1810). ST Jan (??); ST Aug 1810 (Prague 30/10/1810)</t>
        </r>
        <r>
          <rPr>
            <sz val="14"/>
            <color rgb="FF000000"/>
            <rFont val="Calibri"/>
            <family val="34"/>
          </rPr>
          <t xml:space="preserve">
</t>
        </r>
      </text>
    </comment>
    <comment ref="BH661" authorId="0" shapeId="0" xr:uid="{2D9BA622-F03D-0943-B0F7-E85A5D0FBA21}">
      <text>
        <r>
          <rPr>
            <sz val="14"/>
            <color rgb="FF000000"/>
            <rFont val="Calibri"/>
            <family val="34"/>
          </rPr>
          <t>Legion EH Carl (1809-10)</t>
        </r>
      </text>
    </comment>
    <comment ref="BF662" authorId="0" shapeId="0" xr:uid="{21BC7FB3-6E8E-FC49-9EA1-E21C3281C1BA}">
      <text>
        <r>
          <rPr>
            <sz val="14"/>
            <color rgb="FF000000"/>
            <rFont val="Times New Roman"/>
            <family val="18"/>
          </rPr>
          <t xml:space="preserve">07/03/1809 </t>
        </r>
        <r>
          <rPr>
            <i/>
            <sz val="14"/>
            <color rgb="FF000000"/>
            <rFont val="Times New Roman"/>
            <family val="18"/>
          </rPr>
          <t>Gegen 15Gl Handgeld als eximierte Inländer zum EH Carl Legion 5. Bat. Freiwillig assentiert und zum 2. Komp.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Von Gemeiner zum Zimmermann mutiert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15/11/1809 </t>
        </r>
        <r>
          <rPr>
            <i/>
            <sz val="14"/>
            <color rgb="FF000000"/>
            <rFont val="Times New Roman"/>
            <family val="18"/>
          </rPr>
          <t>Krank in Armee Spitalern mit Auswärtiger Verpflegung</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20/11/1809 </t>
        </r>
        <r>
          <rPr>
            <i/>
            <sz val="14"/>
            <color rgb="FF000000"/>
            <rFont val="Times New Roman"/>
            <family val="18"/>
          </rPr>
          <t>Rekonvalesziert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31/01/1809 </t>
        </r>
        <r>
          <rPr>
            <i/>
            <sz val="14"/>
            <color rgb="FF000000"/>
            <rFont val="Times New Roman"/>
            <family val="18"/>
          </rPr>
          <t>Aus zur Folge hoher General Militar Commando Verordnung det Prag am 29 Dezember 809 nach Auflösung dieses Bataillons als auf Kriegsdauer freiwillig angeworbene mit Abschied entlassen</t>
        </r>
        <r>
          <rPr>
            <sz val="14"/>
            <color rgb="FF000000"/>
            <rFont val="Times New Roman"/>
            <family val="18"/>
          </rPr>
          <t xml:space="preserve"> [ST Jan 1810] </t>
        </r>
      </text>
    </comment>
    <comment ref="BG662" authorId="0" shapeId="0" xr:uid="{71464A4C-86AA-1748-8343-C5CBDF06D84B}">
      <text>
        <r>
          <rPr>
            <sz val="14"/>
            <color rgb="FF000000"/>
            <rFont val="Times New Roman"/>
            <family val="18"/>
          </rPr>
          <t>ML 10.818 EH Carl 5. Bat. – AL Nr. 4 (Piseck 26/03/1809), ST March (Prague 25/11/1809), ST Nov (Prague 08/09/1810). ST Jan 1810 (Prague 09/09/1810)</t>
        </r>
        <r>
          <rPr>
            <sz val="14"/>
            <color rgb="FF000000"/>
            <rFont val="Calibri"/>
            <family val="34"/>
          </rPr>
          <t xml:space="preserve">
</t>
        </r>
      </text>
    </comment>
    <comment ref="BH662" authorId="0" shapeId="0" xr:uid="{3B7962E4-F9F4-CB48-A61D-6E1959BF3DDD}">
      <text>
        <r>
          <rPr>
            <sz val="14"/>
            <color rgb="FF000000"/>
            <rFont val="Calibri"/>
            <family val="34"/>
          </rPr>
          <t>Legion EH Carl (1809-10)</t>
        </r>
      </text>
    </comment>
    <comment ref="BF663" authorId="0" shapeId="0" xr:uid="{3F04C064-B561-D447-8A17-8446261A76CF}">
      <text>
        <r>
          <rPr>
            <sz val="14"/>
            <color rgb="FFFF0000"/>
            <rFont val="Times New Roman"/>
            <family val="18"/>
          </rPr>
          <t xml:space="preserve">01/02/1807 </t>
        </r>
        <r>
          <rPr>
            <i/>
            <sz val="14"/>
            <color rgb="FFFF0000"/>
            <rFont val="Times New Roman"/>
            <family val="18"/>
          </rPr>
          <t>Von Land gestellt</t>
        </r>
        <r>
          <rPr>
            <sz val="14"/>
            <color rgb="FFFF0000"/>
            <rFont val="Times New Roman"/>
            <family val="18"/>
          </rPr>
          <t xml:space="preserve"> [TL Oct 1810]</t>
        </r>
        <r>
          <rPr>
            <sz val="14"/>
            <color rgb="FF000000"/>
            <rFont val="Calibri"/>
            <family val="34"/>
          </rPr>
          <t xml:space="preserve">
</t>
        </r>
        <r>
          <rPr>
            <sz val="14"/>
            <color rgb="FF000000"/>
            <rFont val="Times New Roman"/>
            <family val="18"/>
          </rPr>
          <t xml:space="preserve">08/03/1809 </t>
        </r>
        <r>
          <rPr>
            <i/>
            <sz val="14"/>
            <color rgb="FF000000"/>
            <rFont val="Times New Roman"/>
            <family val="18"/>
          </rPr>
          <t>Von Land a 3Fl zum IR 39 gestellt und zum 20. Fus. Komp.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07/05/1809 </t>
        </r>
        <r>
          <rPr>
            <i/>
            <sz val="14"/>
            <color rgb="FF000000"/>
            <rFont val="Times New Roman"/>
            <family val="18"/>
          </rPr>
          <t>Von 20. Zum 5. Fus. Komp.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12/07/1809 </t>
        </r>
        <r>
          <rPr>
            <i/>
            <sz val="14"/>
            <color rgb="FF000000"/>
            <rFont val="Times New Roman"/>
            <family val="18"/>
          </rPr>
          <t>In die Kriegsgefangenschaft gefallen</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01/10/1809 </t>
        </r>
        <r>
          <rPr>
            <i/>
            <sz val="14"/>
            <color rgb="FF000000"/>
            <rFont val="Times New Roman"/>
            <family val="18"/>
          </rPr>
          <t>Als selbst ranzionierte aus dem Kriegsgefangenschaft Zuruck</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26/10/1809 </t>
        </r>
        <r>
          <rPr>
            <i/>
            <sz val="14"/>
            <color rgb="FF000000"/>
            <rFont val="Times New Roman"/>
            <family val="18"/>
          </rPr>
          <t>Von IR 39 Gombos</t>
        </r>
        <r>
          <rPr>
            <sz val="14"/>
            <color rgb="FF000000"/>
            <rFont val="Times New Roman"/>
            <family val="18"/>
          </rPr>
          <t xml:space="preserve"> </t>
        </r>
        <r>
          <rPr>
            <b/>
            <sz val="14"/>
            <color rgb="FF000000"/>
            <rFont val="Times New Roman"/>
            <family val="18"/>
          </rPr>
          <t>[5. Fus.]</t>
        </r>
        <r>
          <rPr>
            <i/>
            <sz val="14"/>
            <color rgb="FF000000"/>
            <rFont val="Times New Roman"/>
            <family val="18"/>
          </rPr>
          <t xml:space="preserve"> Komp. zum Inv Tyrnau transferiert</t>
        </r>
        <r>
          <rPr>
            <sz val="14"/>
            <color rgb="FF000000"/>
            <rFont val="Times New Roman"/>
            <family val="18"/>
          </rPr>
          <t xml:space="preserve"> [TL Oct 1810]</t>
        </r>
      </text>
    </comment>
    <comment ref="BG663" authorId="0" shapeId="0" xr:uid="{AE620F3B-C60E-CF4D-8FF7-7B808FDDB3F3}">
      <text>
        <r>
          <rPr>
            <sz val="14"/>
            <color rgb="FF000000"/>
            <rFont val="Times New Roman"/>
            <family val="18"/>
          </rPr>
          <t>ML 3501/2 IR 39 (1811) – 5. Fus. Komp. Abgang (Szent Andree 14/09/1811)</t>
        </r>
        <r>
          <rPr>
            <sz val="14"/>
            <color rgb="FF000000"/>
            <rFont val="Calibri"/>
            <family val="34"/>
          </rPr>
          <t xml:space="preserve">
</t>
        </r>
        <r>
          <rPr>
            <sz val="14"/>
            <color rgb="FF000000"/>
            <rFont val="Times New Roman"/>
            <family val="18"/>
          </rPr>
          <t>ML 3550 IR 39 (1809) – TL IR 39-&gt;InvH Tyrnau Nr. 3 (Ofen 24/10/1810)</t>
        </r>
        <r>
          <rPr>
            <sz val="14"/>
            <color rgb="FF000000"/>
            <rFont val="Calibri"/>
            <family val="34"/>
          </rPr>
          <t xml:space="preserve">
</t>
        </r>
      </text>
    </comment>
    <comment ref="BH663" authorId="0" shapeId="0" xr:uid="{5E373BB0-DA8C-E240-B674-CB00DB6CD797}">
      <text>
        <r>
          <rPr>
            <sz val="14"/>
            <color rgb="FF000000"/>
            <rFont val="Calibri"/>
            <family val="34"/>
          </rPr>
          <t xml:space="preserve">IR 39 (1809)
</t>
        </r>
        <r>
          <rPr>
            <sz val="14"/>
            <color rgb="FF000000"/>
            <rFont val="Calibri"/>
            <family val="34"/>
          </rPr>
          <t>InvH Tyrnau 1809)</t>
        </r>
      </text>
    </comment>
    <comment ref="BI663" authorId="0" shapeId="0" xr:uid="{44C849F6-0E08-4542-B48F-4EC8AF43D896}">
      <text>
        <r>
          <rPr>
            <i/>
            <sz val="14"/>
            <color rgb="FF000000"/>
            <rFont val="Times New Roman"/>
            <family val="18"/>
          </rPr>
          <t>Gut</t>
        </r>
        <r>
          <rPr>
            <sz val="14"/>
            <color rgb="FF000000"/>
            <rFont val="Times New Roman"/>
            <family val="18"/>
          </rPr>
          <t xml:space="preserve"> [TL Oct 1810]</t>
        </r>
        <r>
          <rPr>
            <sz val="14"/>
            <color rgb="FF000000"/>
            <rFont val="Calibri"/>
            <family val="2"/>
            <scheme val="minor"/>
          </rPr>
          <t xml:space="preserve"> </t>
        </r>
      </text>
    </comment>
    <comment ref="BJ663" authorId="0" shapeId="0" xr:uid="{387471CA-C2C3-D54D-B8FD-D983C5A658C4}">
      <text>
        <r>
          <rPr>
            <i/>
            <sz val="14"/>
            <color rgb="FF000000"/>
            <rFont val="Times New Roman"/>
            <family val="18"/>
          </rPr>
          <t>Der linke Arm gelähmt</t>
        </r>
        <r>
          <rPr>
            <sz val="14"/>
            <color rgb="FF000000"/>
            <rFont val="Times New Roman"/>
            <family val="18"/>
          </rPr>
          <t xml:space="preserve"> [TL Oct 1810]</t>
        </r>
        <r>
          <rPr>
            <sz val="14"/>
            <color rgb="FF000000"/>
            <rFont val="Calibri"/>
            <family val="2"/>
            <scheme val="minor"/>
          </rPr>
          <t xml:space="preserve"> </t>
        </r>
      </text>
    </comment>
    <comment ref="BF664" authorId="0" shapeId="0" xr:uid="{77FF6876-BCBA-D545-A984-ABEBE370204C}">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13/09/1809 </t>
        </r>
        <r>
          <rPr>
            <i/>
            <sz val="14"/>
            <color rgb="FF000000"/>
            <rFont val="Times New Roman"/>
            <family val="18"/>
          </rPr>
          <t>Krank in Feldspital</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10/01/1810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25/01/1810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664" authorId="0" shapeId="0" xr:uid="{3534E237-ABCA-8642-B502-CCC8847C9B35}">
      <text>
        <r>
          <rPr>
            <sz val="14"/>
            <color rgb="FF000000"/>
            <rFont val="Times New Roman"/>
            <family val="18"/>
          </rPr>
          <t>ML 10.815 EH Carl FK (1809-10) – AL Nr. 48 (Prague 11/03/1809), ST Sept (Prague 09/08/1810), ST Jan 1810 (??)</t>
        </r>
        <r>
          <rPr>
            <sz val="14"/>
            <color rgb="FF000000"/>
            <rFont val="Calibri"/>
            <family val="34"/>
          </rPr>
          <t xml:space="preserve">
</t>
        </r>
      </text>
    </comment>
    <comment ref="BH664" authorId="0" shapeId="0" xr:uid="{FE437DAE-4EEE-4A4F-8A14-B1587A304923}">
      <text>
        <r>
          <rPr>
            <sz val="14"/>
            <color rgb="FF000000"/>
            <rFont val="Calibri"/>
            <family val="34"/>
          </rPr>
          <t>Legion EH Carl (1809-10)</t>
        </r>
      </text>
    </comment>
    <comment ref="BF665" authorId="0" shapeId="0" xr:uid="{64DD8680-2524-BC4B-8F5B-CA38BC9BF83C}">
      <text>
        <r>
          <rPr>
            <sz val="14"/>
            <color rgb="FF000000"/>
            <rFont val="Times New Roman"/>
            <family val="18"/>
          </rPr>
          <t xml:space="preserve">11/03/1809 </t>
        </r>
        <r>
          <rPr>
            <i/>
            <sz val="14"/>
            <color rgb="FF000000"/>
            <rFont val="Times New Roman"/>
            <family val="18"/>
          </rPr>
          <t>Von 2. Rakonitzer Landwehr Bataillon sich freiwillig zur EH Carl Legion 2. Bataillon gegen 3Fl gestellt und zum 5. Companie zugeteilt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01/12/1809 </t>
        </r>
        <r>
          <rPr>
            <i/>
            <sz val="14"/>
            <color rgb="FF000000"/>
            <rFont val="Times New Roman"/>
            <family val="18"/>
          </rPr>
          <t>Krank in Feldspital</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07/02/1810 </t>
        </r>
        <r>
          <rPr>
            <i/>
            <sz val="14"/>
            <color rgb="FF000000"/>
            <rFont val="Times New Roman"/>
            <family val="18"/>
          </rPr>
          <t>Rekonvalesziert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10/02/1810 </t>
        </r>
        <r>
          <rPr>
            <i/>
            <sz val="14"/>
            <color rgb="FF000000"/>
            <rFont val="Times New Roman"/>
            <family val="18"/>
          </rPr>
          <t xml:space="preserve">Als Freiwillig auf Kriegsdauer engagierte gemäß bestehende Dissolvierungs Verordnung mit 30 Tägigen Ord. Inf Löhnung Abgefertigt Worden </t>
        </r>
        <r>
          <rPr>
            <sz val="14"/>
            <color rgb="FF000000"/>
            <rFont val="Times New Roman"/>
            <family val="18"/>
          </rPr>
          <t>[ST Aug 1810]</t>
        </r>
      </text>
    </comment>
    <comment ref="BG665" authorId="0" shapeId="0" xr:uid="{E8D78268-49AA-D345-81F0-A8D66E3D136B}">
      <text>
        <r>
          <rPr>
            <sz val="14"/>
            <color rgb="FF000000"/>
            <rFont val="Times New Roman"/>
            <family val="18"/>
          </rPr>
          <t>ML 10.815 EH Carl FK (1809-10) – AL Nr. 15 (Prague 11/03/1809), ST March (Prague 21/06/1809), ST Dec (Prague 30/08/1810), ST Aug 1810 (Prague 30/10/1810)</t>
        </r>
        <r>
          <rPr>
            <sz val="14"/>
            <color rgb="FF000000"/>
            <rFont val="Calibri"/>
            <family val="34"/>
          </rPr>
          <t xml:space="preserve">
</t>
        </r>
      </text>
    </comment>
    <comment ref="BH665" authorId="0" shapeId="0" xr:uid="{B8A4DC6A-F987-F040-BBD7-BCE59232731D}">
      <text>
        <r>
          <rPr>
            <sz val="14"/>
            <color rgb="FF000000"/>
            <rFont val="Calibri"/>
            <family val="34"/>
          </rPr>
          <t>Legion EH Carl (1809-10)</t>
        </r>
      </text>
    </comment>
    <comment ref="BF666" authorId="0" shapeId="0" xr:uid="{5D9B9FCB-6FD6-704B-AAB3-65E42CE71CAB}">
      <text>
        <r>
          <rPr>
            <sz val="14"/>
            <color rgb="FF000000"/>
            <rFont val="Times New Roman"/>
            <family val="18"/>
          </rPr>
          <t xml:space="preserve">14/03/1809 </t>
        </r>
        <r>
          <rPr>
            <i/>
            <sz val="14"/>
            <color rgb="FF000000"/>
            <rFont val="Times New Roman"/>
            <family val="18"/>
          </rPr>
          <t>A 3Fl von Land Ohne Capitulation gestellt und zum IR 2 assentiert</t>
        </r>
        <r>
          <rPr>
            <sz val="14"/>
            <color rgb="FF000000"/>
            <rFont val="Times New Roman"/>
            <family val="18"/>
          </rPr>
          <t xml:space="preserve"> [ML 1811]</t>
        </r>
        <r>
          <rPr>
            <sz val="14"/>
            <color rgb="FF000000"/>
            <rFont val="Calibri"/>
            <family val="34"/>
          </rPr>
          <t xml:space="preserve">
</t>
        </r>
        <r>
          <rPr>
            <sz val="14"/>
            <color rgb="FF000000"/>
            <rFont val="Times New Roman"/>
            <family val="18"/>
          </rPr>
          <t xml:space="preserve">02/05/1811 </t>
        </r>
        <r>
          <rPr>
            <i/>
            <sz val="14"/>
            <color rgb="FF000000"/>
            <rFont val="Times New Roman"/>
            <family val="18"/>
          </rPr>
          <t>mit Auswärtiger Verpflegung Krank oder Kommandiert in Garrison Spital in Wien</t>
        </r>
        <r>
          <rPr>
            <sz val="14"/>
            <color rgb="FF000000"/>
            <rFont val="Times New Roman"/>
            <family val="18"/>
          </rPr>
          <t xml:space="preserve"> [ST May 1811]</t>
        </r>
        <r>
          <rPr>
            <sz val="14"/>
            <color rgb="FF000000"/>
            <rFont val="Calibri"/>
            <family val="34"/>
          </rPr>
          <t xml:space="preserve">
</t>
        </r>
        <r>
          <rPr>
            <sz val="14"/>
            <color rgb="FF000000"/>
            <rFont val="Times New Roman"/>
            <family val="18"/>
          </rPr>
          <t xml:space="preserve">31/07/1811 </t>
        </r>
        <r>
          <rPr>
            <i/>
            <sz val="14"/>
            <color rgb="FF000000"/>
            <rFont val="Times New Roman"/>
            <family val="18"/>
          </rPr>
          <t xml:space="preserve">Zurück in Companie </t>
        </r>
        <r>
          <rPr>
            <sz val="14"/>
            <color rgb="FF000000"/>
            <rFont val="Times New Roman"/>
            <family val="18"/>
          </rPr>
          <t>[ST Aug 1811]</t>
        </r>
        <r>
          <rPr>
            <sz val="14"/>
            <color rgb="FF000000"/>
            <rFont val="Calibri"/>
            <family val="34"/>
          </rPr>
          <t xml:space="preserve">
</t>
        </r>
        <r>
          <rPr>
            <sz val="14"/>
            <color rgb="FF000000"/>
            <rFont val="Times New Roman"/>
            <family val="18"/>
          </rPr>
          <t>20/09/1811 Muster: IR 2 13. Fus. Komp. Nr. 111 [</t>
        </r>
        <r>
          <rPr>
            <i/>
            <sz val="14"/>
            <color rgb="FF000000"/>
            <rFont val="Times New Roman"/>
            <family val="18"/>
          </rPr>
          <t>Kommandiert zu Fischamend in Österreich</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03/10/1811 </t>
        </r>
        <r>
          <rPr>
            <i/>
            <sz val="14"/>
            <color rgb="FF000000"/>
            <rFont val="Times New Roman"/>
            <family val="18"/>
          </rPr>
          <t>Auf Bestimmte Zeit Beurlaubt</t>
        </r>
        <r>
          <rPr>
            <sz val="14"/>
            <color rgb="FF000000"/>
            <rFont val="Times New Roman"/>
            <family val="18"/>
          </rPr>
          <t xml:space="preserve"> [ST Oct 1811]</t>
        </r>
        <r>
          <rPr>
            <sz val="14"/>
            <color rgb="FF000000"/>
            <rFont val="Calibri"/>
            <family val="34"/>
          </rPr>
          <t xml:space="preserve">
</t>
        </r>
        <r>
          <rPr>
            <sz val="14"/>
            <color rgb="FF000000"/>
            <rFont val="Times New Roman"/>
            <family val="18"/>
          </rPr>
          <t xml:space="preserve">01/11/1811 In Pest Superarbietriert: </t>
        </r>
        <r>
          <rPr>
            <i/>
            <sz val="14"/>
            <color rgb="FF000000"/>
            <rFont val="Times New Roman"/>
            <family val="18"/>
          </rPr>
          <t>Nachsichtbare Köpfenden und Blutsusten</t>
        </r>
        <r>
          <rPr>
            <sz val="14"/>
            <color rgb="FF000000"/>
            <rFont val="Times New Roman"/>
            <family val="18"/>
          </rPr>
          <t xml:space="preserve"> [Bekam während seiner Dienstzeit ohne Verschulde]; </t>
        </r>
        <r>
          <rPr>
            <i/>
            <sz val="14"/>
            <color rgb="FF000000"/>
            <rFont val="Times New Roman"/>
            <family val="18"/>
          </rPr>
          <t>Zu Feldkriegs und Garrisonsdienst Untauglich und ist ohne weiteres mit Abschied zu entlassen da er dieser Defekt zum Teil schön vor der Assentierung zu Habt gut</t>
        </r>
        <r>
          <rPr>
            <sz val="14"/>
            <color rgb="FF000000"/>
            <rFont val="Calibri"/>
            <family val="34"/>
          </rPr>
          <t xml:space="preserve">
</t>
        </r>
        <r>
          <rPr>
            <sz val="14"/>
            <color rgb="FF000000"/>
            <rFont val="Times New Roman"/>
            <family val="18"/>
          </rPr>
          <t xml:space="preserve">20/11/1811 </t>
        </r>
        <r>
          <rPr>
            <i/>
            <sz val="14"/>
            <color rgb="FF000000"/>
            <rFont val="Times New Roman"/>
            <family val="18"/>
          </rPr>
          <t>In Folge hohe General commando Verordnung dt. Ofen 2. 11 811. als anerkannter Real Invalid gegen Renuncierung von Kurze Urlaub mit Abschied entlassen</t>
        </r>
        <r>
          <rPr>
            <sz val="14"/>
            <color rgb="FF000000"/>
            <rFont val="Times New Roman"/>
            <family val="18"/>
          </rPr>
          <t xml:space="preserve"> [ST Nov 1811 13. Fus Comp.]</t>
        </r>
      </text>
    </comment>
    <comment ref="BG666" authorId="0" shapeId="0" xr:uid="{A7A5A0A0-5D84-1E41-B47A-5E862ACE8501}">
      <text>
        <r>
          <rPr>
            <sz val="14"/>
            <color rgb="FF000000"/>
            <rFont val="Times New Roman"/>
            <family val="18"/>
          </rPr>
          <t>ML 195 IR 2 (1811) – SUP Nr. 1 (Pest 01/11/1811) &amp; ST Nov 13. Fus. Comp. – Abgang (Wien 06/02/1812)</t>
        </r>
        <r>
          <rPr>
            <sz val="14"/>
            <color rgb="FF000000"/>
            <rFont val="Calibri"/>
            <family val="34"/>
          </rPr>
          <t xml:space="preserve">
</t>
        </r>
      </text>
    </comment>
    <comment ref="BH666" authorId="0" shapeId="0" xr:uid="{F6628656-9CB9-5E4A-AD33-C315AC1448B0}">
      <text>
        <r>
          <rPr>
            <sz val="14"/>
            <color rgb="FF000000"/>
            <rFont val="Calibri"/>
            <family val="34"/>
          </rPr>
          <t>IR 2 (1809-11)</t>
        </r>
      </text>
    </comment>
    <comment ref="BF667" authorId="0" shapeId="0" xr:uid="{6B29705D-3059-504D-A809-A79C481C5BDB}">
      <text>
        <r>
          <rPr>
            <sz val="14"/>
            <color rgb="FF000000"/>
            <rFont val="Times New Roman"/>
            <family val="18"/>
          </rPr>
          <t xml:space="preserve">14/03/1809 </t>
        </r>
        <r>
          <rPr>
            <i/>
            <sz val="14"/>
            <color rgb="FF000000"/>
            <rFont val="Times New Roman"/>
            <family val="18"/>
          </rPr>
          <t>Zu Neu errichtete MFWK a 3Fl gestellt</t>
        </r>
        <r>
          <rPr>
            <sz val="14"/>
            <color rgb="FF000000"/>
            <rFont val="Times New Roman"/>
            <family val="18"/>
          </rPr>
          <t xml:space="preserve"> [AL March 1809]</t>
        </r>
        <r>
          <rPr>
            <sz val="14"/>
            <color rgb="FF000000"/>
            <rFont val="Calibri"/>
            <family val="34"/>
          </rPr>
          <t xml:space="preserve">
</t>
        </r>
      </text>
    </comment>
    <comment ref="BG667" authorId="0" shapeId="0" xr:uid="{5964EC30-2EFF-FD48-8EA6-DA46F12699CE}">
      <text>
        <r>
          <rPr>
            <sz val="14"/>
            <color rgb="FF000000"/>
            <rFont val="Times New Roman"/>
            <family val="18"/>
          </rPr>
          <t xml:space="preserve">ML 2683 IR 30 (1809) – AL Nr. 1 (Berzazan 14/03/1809) </t>
        </r>
      </text>
    </comment>
    <comment ref="BH667" authorId="0" shapeId="0" xr:uid="{E2997BFD-4306-454D-BCF6-256274067A71}">
      <text>
        <r>
          <rPr>
            <sz val="14"/>
            <color rgb="FF000000"/>
            <rFont val="Calibri"/>
            <family val="34"/>
          </rPr>
          <t>MFWK (1809)</t>
        </r>
      </text>
    </comment>
    <comment ref="BF668" authorId="0" shapeId="0" xr:uid="{19BB6511-6B97-554E-80FD-9D4D1C90A35B}">
      <text>
        <r>
          <rPr>
            <sz val="14"/>
            <color rgb="FF000000"/>
            <rFont val="Times New Roman"/>
            <family val="18"/>
          </rPr>
          <t xml:space="preserve">16/03/1809 </t>
        </r>
        <r>
          <rPr>
            <i/>
            <sz val="14"/>
            <color rgb="FF000000"/>
            <rFont val="Times New Roman"/>
            <family val="18"/>
          </rPr>
          <t xml:space="preserve">Von 2. Chrudimer Landwehr Bataillon </t>
        </r>
        <r>
          <rPr>
            <sz val="14"/>
            <color rgb="FF000000"/>
            <rFont val="Times New Roman"/>
            <family val="18"/>
          </rPr>
          <t>a</t>
        </r>
        <r>
          <rPr>
            <i/>
            <sz val="14"/>
            <color rgb="FF000000"/>
            <rFont val="Times New Roman"/>
            <family val="18"/>
          </rPr>
          <t>uf 3 Fl Handgeld zum EH Karl Legion 3. Bataillon assentiert und zum 5. Kompanie zugeteilt</t>
        </r>
        <r>
          <rPr>
            <sz val="14"/>
            <color rgb="FF000000"/>
            <rFont val="Times New Roman"/>
            <family val="18"/>
          </rPr>
          <t xml:space="preserve"> [AL &amp; ST March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In die Kriegsgefangenschaft geraten</t>
        </r>
        <r>
          <rPr>
            <sz val="14"/>
            <color rgb="FF000000"/>
            <rFont val="Times New Roman"/>
            <family val="18"/>
          </rPr>
          <t xml:space="preserve"> </t>
        </r>
        <r>
          <rPr>
            <b/>
            <sz val="14"/>
            <color rgb="FF000000"/>
            <rFont val="Times New Roman"/>
            <family val="18"/>
          </rPr>
          <t>[Schlacht von Znaim]</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01/08/1809 </t>
        </r>
        <r>
          <rPr>
            <i/>
            <sz val="14"/>
            <color rgb="FF000000"/>
            <rFont val="Times New Roman"/>
            <family val="18"/>
          </rPr>
          <t>Von Gefangenschaft sich selbst ranzioniert und seitdem auf dem Marsch</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10/08/1809 </t>
        </r>
        <r>
          <rPr>
            <i/>
            <sz val="14"/>
            <color rgb="FF000000"/>
            <rFont val="Times New Roman"/>
            <family val="18"/>
          </rPr>
          <t>Zurück in die Kompanie eingerückt</t>
        </r>
        <r>
          <rPr>
            <sz val="14"/>
            <color rgb="FF000000"/>
            <rFont val="Times New Roman"/>
            <family val="18"/>
          </rPr>
          <t xml:space="preserve"> [ST Aug 1809]</t>
        </r>
        <r>
          <rPr>
            <sz val="14"/>
            <color rgb="FF000000"/>
            <rFont val="Calibri"/>
            <family val="34"/>
          </rPr>
          <t xml:space="preserve">
</t>
        </r>
        <r>
          <rPr>
            <sz val="14"/>
            <color rgb="FF000000"/>
            <rFont val="Times New Roman"/>
            <family val="18"/>
          </rPr>
          <t>24/01/1810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668" authorId="0" shapeId="0" xr:uid="{1ABDBC10-F81C-DD46-82DD-2805C4AD4FBD}">
      <text>
        <r>
          <rPr>
            <sz val="14"/>
            <color rgb="FF000000"/>
            <rFont val="Times New Roman"/>
            <family val="18"/>
          </rPr>
          <t>ML 10.819 Legion EH Carl 6. Bat – AL Nr. 79 (Kuttenberg 13/03/1809), ST March (Prague 06/09/1809), ST Sept (Prague 30/06/1810), ST Oct (Prague 31/10/1810), ST Aug 1810 (Prague 12/11/1810)</t>
        </r>
        <r>
          <rPr>
            <sz val="14"/>
            <color rgb="FF000000"/>
            <rFont val="Calibri"/>
            <family val="34"/>
          </rPr>
          <t xml:space="preserve">
</t>
        </r>
        <r>
          <rPr>
            <sz val="14"/>
            <color rgb="FF000000"/>
            <rFont val="Calibri"/>
            <family val="34"/>
          </rPr>
          <t xml:space="preserve">
</t>
        </r>
      </text>
    </comment>
    <comment ref="BH668" authorId="0" shapeId="0" xr:uid="{F9017032-C7E2-8D4C-B65E-B147A25E05B5}">
      <text>
        <r>
          <rPr>
            <sz val="14"/>
            <color rgb="FF000000"/>
            <rFont val="Calibri"/>
            <family val="34"/>
          </rPr>
          <t>Legion EH Carl (1809-10)</t>
        </r>
      </text>
    </comment>
    <comment ref="BF669" authorId="0" shapeId="0" xr:uid="{DA9F33B4-2863-D64A-8F53-8F7B602D4536}">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Krank in Loco</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 xml:space="preserve">26/10/1809 </t>
        </r>
        <r>
          <rPr>
            <i/>
            <sz val="14"/>
            <color rgb="FF000000"/>
            <rFont val="Times New Roman"/>
            <family val="18"/>
          </rPr>
          <t xml:space="preserve">Ins Armee Spital mit auswärtiger Verpflegung transferiert </t>
        </r>
        <r>
          <rPr>
            <sz val="14"/>
            <color rgb="FF000000"/>
            <rFont val="Times New Roman"/>
            <family val="18"/>
          </rPr>
          <t>[ST Oct 1809]</t>
        </r>
        <r>
          <rPr>
            <sz val="14"/>
            <color rgb="FF000000"/>
            <rFont val="Calibri"/>
            <family val="34"/>
          </rPr>
          <t xml:space="preserve">
</t>
        </r>
        <r>
          <rPr>
            <sz val="14"/>
            <color rgb="FF000000"/>
            <rFont val="Times New Roman"/>
            <family val="18"/>
          </rPr>
          <t xml:space="preserve">31/08/1810 </t>
        </r>
        <r>
          <rPr>
            <i/>
            <sz val="14"/>
            <color rgb="FF000000"/>
            <rFont val="Times New Roman"/>
            <family val="18"/>
          </rPr>
          <t>Zu Folge bestehende Hoher Befehl als ein in der Armee Spitalern Unwissend verloren</t>
        </r>
        <r>
          <rPr>
            <sz val="14"/>
            <color rgb="FF000000"/>
            <rFont val="Times New Roman"/>
            <family val="18"/>
          </rPr>
          <t xml:space="preserve"> [ST Aug 1810] [ST Jan 1810]</t>
        </r>
      </text>
    </comment>
    <comment ref="BG669" authorId="0" shapeId="0" xr:uid="{637A0545-26D9-F947-97E0-246ED9F0D7DF}">
      <text>
        <r>
          <rPr>
            <sz val="14"/>
            <color rgb="FF000000"/>
            <rFont val="Times New Roman"/>
            <family val="18"/>
          </rPr>
          <t>ML 10.816 EH Carl FK 3. Bat. (1809-10) – AL Nr. 267 (Chrudim 31/03/1809), ST March (Prague 10/07/1809), July (Prague 28/04/1809), Aug (Prague 28/05/1810), Jan 1810 (Prague 23/08/1810)</t>
        </r>
        <r>
          <rPr>
            <sz val="14"/>
            <color rgb="FF000000"/>
            <rFont val="Calibri"/>
            <family val="34"/>
          </rPr>
          <t xml:space="preserve">
</t>
        </r>
      </text>
    </comment>
    <comment ref="BH669" authorId="0" shapeId="0" xr:uid="{7931756A-F404-5340-AEA1-6BE7F0F6230E}">
      <text>
        <r>
          <rPr>
            <sz val="14"/>
            <color rgb="FF000000"/>
            <rFont val="Calibri"/>
            <family val="34"/>
          </rPr>
          <t>Legion EH Carl (1809-10)</t>
        </r>
      </text>
    </comment>
    <comment ref="BF670" authorId="0" shapeId="0" xr:uid="{F117FF73-EC64-A944-A179-5707DA026A33}">
      <text>
        <r>
          <rPr>
            <sz val="14"/>
            <color rgb="FF000000"/>
            <rFont val="Times New Roman"/>
            <family val="18"/>
          </rPr>
          <t xml:space="preserve">16/03/1809 </t>
        </r>
        <r>
          <rPr>
            <i/>
            <sz val="14"/>
            <color rgb="FF000000"/>
            <rFont val="Times New Roman"/>
            <family val="18"/>
          </rPr>
          <t>Gegen 3Fl Handgeld von 3. Czaslauer Landwehr Bataillon für EH Carl Legion 6. Bataillon sich zur Assentierung Freiwillig a 3Fl gemeldet und zum 2.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04/05/1809 </t>
        </r>
        <r>
          <rPr>
            <i/>
            <sz val="14"/>
            <color rgb="FF000000"/>
            <rFont val="Times New Roman"/>
            <family val="18"/>
          </rPr>
          <t>Auf der Rückzug von Ebersberg in die Kriegsgefangenschaft geraten</t>
        </r>
        <r>
          <rPr>
            <sz val="14"/>
            <color rgb="FF000000"/>
            <rFont val="Times New Roman"/>
            <family val="18"/>
          </rPr>
          <t xml:space="preserve"> [ST May 1809]</t>
        </r>
      </text>
    </comment>
    <comment ref="BG670" authorId="0" shapeId="0" xr:uid="{FDA2071F-24D8-3E42-AEDA-DA0716F4AFE9}">
      <text>
        <r>
          <rPr>
            <sz val="14"/>
            <color rgb="FF000000"/>
            <rFont val="Times New Roman"/>
            <family val="18"/>
          </rPr>
          <t>ML 10.819 Legion EH Carl 6. Bat – AL Nr. 24 (Kuttenberg 13/03/1809), ST March (Prague 06/09/1809), ST May (Prague 11/05/1810)</t>
        </r>
        <r>
          <rPr>
            <sz val="14"/>
            <color rgb="FF000000"/>
            <rFont val="Calibri"/>
            <family val="34"/>
          </rPr>
          <t xml:space="preserve">
</t>
        </r>
      </text>
    </comment>
    <comment ref="BH670" authorId="0" shapeId="0" xr:uid="{E53298F5-58A6-DA45-884A-8C4AB017AB70}">
      <text>
        <r>
          <rPr>
            <sz val="14"/>
            <color rgb="FF000000"/>
            <rFont val="Calibri"/>
            <family val="34"/>
          </rPr>
          <t>Legion EH Carl (1809)</t>
        </r>
      </text>
    </comment>
    <comment ref="BF671" authorId="0" shapeId="0" xr:uid="{7036E355-AE18-6E46-BDBB-922B4114A746}">
      <text>
        <r>
          <rPr>
            <sz val="14"/>
            <color rgb="FF000000"/>
            <rFont val="Times New Roman"/>
            <family val="18"/>
          </rPr>
          <t xml:space="preserve">18/03/1809 </t>
        </r>
        <r>
          <rPr>
            <i/>
            <sz val="14"/>
            <color rgb="FF000000"/>
            <rFont val="Times New Roman"/>
            <family val="18"/>
          </rPr>
          <t>a 3Fl Handgeld in EH Carl Legion 2. Battalion zu Prag angeworben und zur. 2. Kompanie eingeheilt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23/07/1809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Rekonvalesziert und seitdem zugeheilt beim Depot mit Friedensgebühr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13/01/1810 </t>
        </r>
        <r>
          <rPr>
            <i/>
            <sz val="14"/>
            <color rgb="FF000000"/>
            <rFont val="Times New Roman"/>
            <family val="18"/>
          </rPr>
          <t>Zurück in die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sz val="14"/>
            <color rgb="FF000000"/>
            <rFont val="Calibri"/>
            <family val="34"/>
          </rPr>
          <t xml:space="preserve">
</t>
        </r>
      </text>
    </comment>
    <comment ref="BG671" authorId="0" shapeId="0" xr:uid="{5D4AD4BE-B831-7742-B3F9-7D131DF1BB21}">
      <text>
        <r>
          <rPr>
            <sz val="14"/>
            <color rgb="FF000000"/>
            <rFont val="Times New Roman"/>
            <family val="18"/>
          </rPr>
          <t>ML 10.815 EH Carl FK (1809-10) – AL Nr. 167 (Prague 20/03/1809), ST Juli (Prague 30/05/1810), ST Nov (Prague 30/08/1809), ST Jan 1810 (??)</t>
        </r>
        <r>
          <rPr>
            <sz val="14"/>
            <color rgb="FF000000"/>
            <rFont val="Calibri"/>
            <family val="34"/>
          </rPr>
          <t xml:space="preserve">
</t>
        </r>
      </text>
    </comment>
    <comment ref="BH671" authorId="0" shapeId="0" xr:uid="{F067A0DF-064D-8244-BA6E-DA208019AB16}">
      <text>
        <r>
          <rPr>
            <sz val="14"/>
            <color rgb="FF000000"/>
            <rFont val="Calibri"/>
            <family val="34"/>
          </rPr>
          <t>Legion EH Carl (1809-10)</t>
        </r>
      </text>
    </comment>
    <comment ref="BF672" authorId="0" shapeId="0" xr:uid="{EC0BB8BA-1A5F-3F43-96C0-292CE0DC4159}">
      <text>
        <r>
          <rPr>
            <sz val="14"/>
            <color rgb="FF000000"/>
            <rFont val="Times New Roman"/>
            <family val="18"/>
          </rPr>
          <t xml:space="preserve">23/03/1809 </t>
        </r>
        <r>
          <rPr>
            <i/>
            <sz val="14"/>
            <color rgb="FF000000"/>
            <rFont val="Times New Roman"/>
            <family val="18"/>
          </rPr>
          <t>Von Dolha</t>
        </r>
        <r>
          <rPr>
            <sz val="14"/>
            <color rgb="FF000000"/>
            <rFont val="Times New Roman"/>
            <family val="18"/>
          </rPr>
          <t xml:space="preserve"> </t>
        </r>
        <r>
          <rPr>
            <b/>
            <sz val="14"/>
            <color rgb="FF000000"/>
            <rFont val="Times New Roman"/>
            <family val="18"/>
          </rPr>
          <t>[</t>
        </r>
        <r>
          <rPr>
            <b/>
            <u/>
            <sz val="14"/>
            <color rgb="FF0563C1"/>
            <rFont val="Times New Roman"/>
            <family val="18"/>
          </rPr>
          <t>Dovhe, Ukraine</t>
        </r>
        <r>
          <rPr>
            <b/>
            <sz val="14"/>
            <color rgb="FF000000"/>
            <rFont val="Times New Roman"/>
            <family val="18"/>
          </rPr>
          <t>]</t>
        </r>
        <r>
          <rPr>
            <sz val="14"/>
            <color rgb="FF000000"/>
            <rFont val="Times New Roman"/>
            <family val="18"/>
          </rPr>
          <t xml:space="preserve"> </t>
        </r>
        <r>
          <rPr>
            <i/>
            <sz val="14"/>
            <color rgb="FF000000"/>
            <rFont val="Times New Roman"/>
            <family val="18"/>
          </rPr>
          <t>Komität Máramaros gegen 3Fl in MFWK Packwesens Corps gestellt</t>
        </r>
        <r>
          <rPr>
            <sz val="14"/>
            <color rgb="FF000000"/>
            <rFont val="Times New Roman"/>
            <family val="18"/>
          </rPr>
          <t xml:space="preserve"> [AL Mai 1809]</t>
        </r>
        <r>
          <rPr>
            <sz val="14"/>
            <color rgb="FF000000"/>
            <rFont val="Calibri"/>
            <family val="34"/>
          </rPr>
          <t xml:space="preserve">
</t>
        </r>
      </text>
    </comment>
    <comment ref="BG672" authorId="0" shapeId="0" xr:uid="{637AF2D5-3EDD-994F-9C88-20A4EE2A7BA1}">
      <text>
        <r>
          <rPr>
            <sz val="14"/>
            <color rgb="FF000000"/>
            <rFont val="Times New Roman"/>
            <family val="18"/>
          </rPr>
          <t xml:space="preserve">ML 6992 DR 5 (1809) – AL Nr. 11 (Sziget 19/05/1809)
</t>
        </r>
      </text>
    </comment>
    <comment ref="BH672" authorId="0" shapeId="0" xr:uid="{9BF80878-7EF6-CC44-BBF1-31CBCF08CE53}">
      <text>
        <r>
          <rPr>
            <sz val="14"/>
            <color rgb="FF000000"/>
            <rFont val="Calibri"/>
            <family val="34"/>
          </rPr>
          <t>MFWK (1809)</t>
        </r>
      </text>
    </comment>
    <comment ref="BF673" authorId="0" shapeId="0" xr:uid="{E0C614B9-167E-8C40-B54D-50EDAB7EDFC3}">
      <text>
        <r>
          <rPr>
            <sz val="14"/>
            <color rgb="FF000000"/>
            <rFont val="Times New Roman"/>
            <family val="18"/>
          </rPr>
          <t xml:space="preserve">23/03/1809 </t>
        </r>
        <r>
          <rPr>
            <i/>
            <sz val="14"/>
            <color rgb="FF000000"/>
            <rFont val="Times New Roman"/>
            <family val="18"/>
          </rPr>
          <t>Von Karatsonfalva</t>
        </r>
        <r>
          <rPr>
            <sz val="14"/>
            <color rgb="FF000000"/>
            <rFont val="Times New Roman"/>
            <family val="18"/>
          </rPr>
          <t xml:space="preserve"> </t>
        </r>
        <r>
          <rPr>
            <b/>
            <sz val="14"/>
            <color rgb="FF000000"/>
            <rFont val="Times New Roman"/>
            <family val="18"/>
          </rPr>
          <t>[</t>
        </r>
        <r>
          <rPr>
            <b/>
            <u/>
            <sz val="14"/>
            <color rgb="FF0563C1"/>
            <rFont val="Times New Roman"/>
            <family val="18"/>
          </rPr>
          <t>Crăciunești, Romania</t>
        </r>
        <r>
          <rPr>
            <b/>
            <sz val="14"/>
            <color rgb="FF000000"/>
            <rFont val="Times New Roman"/>
            <family val="18"/>
          </rPr>
          <t>]</t>
        </r>
        <r>
          <rPr>
            <sz val="14"/>
            <color rgb="FF000000"/>
            <rFont val="Times New Roman"/>
            <family val="18"/>
          </rPr>
          <t xml:space="preserve"> </t>
        </r>
        <r>
          <rPr>
            <i/>
            <sz val="14"/>
            <color rgb="FF000000"/>
            <rFont val="Times New Roman"/>
            <family val="18"/>
          </rPr>
          <t>Komität Máramaros gegen 3Fl in MFWK Packwesens Corps gestellt</t>
        </r>
        <r>
          <rPr>
            <sz val="14"/>
            <color rgb="FF000000"/>
            <rFont val="Times New Roman"/>
            <family val="18"/>
          </rPr>
          <t xml:space="preserve"> [AL Mai 1809]</t>
        </r>
        <r>
          <rPr>
            <sz val="14"/>
            <color rgb="FF000000"/>
            <rFont val="Calibri"/>
            <family val="34"/>
          </rPr>
          <t xml:space="preserve">
</t>
        </r>
      </text>
    </comment>
    <comment ref="BG673" authorId="0" shapeId="0" xr:uid="{124F9D75-8EC4-8C4A-A5D0-3BA128AE9A27}">
      <text>
        <r>
          <rPr>
            <sz val="14"/>
            <color rgb="FF000000"/>
            <rFont val="Times New Roman"/>
            <family val="18"/>
          </rPr>
          <t xml:space="preserve">ML 6992 DR 5 (1809) – AL Nr. 7 (Sziget 19/05/1809)
</t>
        </r>
      </text>
    </comment>
    <comment ref="BH673" authorId="0" shapeId="0" xr:uid="{452E4423-44B8-0C4C-88F7-A73177C37315}">
      <text>
        <r>
          <rPr>
            <sz val="14"/>
            <color rgb="FF000000"/>
            <rFont val="Calibri"/>
            <family val="34"/>
          </rPr>
          <t>MFWK (1809)</t>
        </r>
      </text>
    </comment>
    <comment ref="BF674" authorId="0" shapeId="0" xr:uid="{B8EF4D48-C532-6447-BA28-F56A38471B96}">
      <text>
        <r>
          <rPr>
            <sz val="14"/>
            <color rgb="FF000000"/>
            <rFont val="Times New Roman"/>
            <family val="18"/>
          </rPr>
          <t xml:space="preserve">18/03/1809 </t>
        </r>
        <r>
          <rPr>
            <i/>
            <sz val="14"/>
            <color rgb="FF000000"/>
            <rFont val="Times New Roman"/>
            <family val="18"/>
          </rPr>
          <t>a 3Fl Handgeld in EH Carl Legion 2. Battalion zu Prag angeworben und zur. 2. Kompanie eingeheilt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23/07/1809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Rekonvalesziert und seitdem zugeheilt beim Depot mit Friedensgebühr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13/01/1810 </t>
        </r>
        <r>
          <rPr>
            <i/>
            <sz val="14"/>
            <color rgb="FF000000"/>
            <rFont val="Times New Roman"/>
            <family val="18"/>
          </rPr>
          <t>Zurück in die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sz val="14"/>
            <color rgb="FF000000"/>
            <rFont val="Calibri"/>
            <family val="34"/>
          </rPr>
          <t xml:space="preserve">
</t>
        </r>
      </text>
    </comment>
    <comment ref="BG674" authorId="0" shapeId="0" xr:uid="{4908B153-FB08-844B-BFB7-58B5CC711DE2}">
      <text>
        <r>
          <rPr>
            <sz val="14"/>
            <color rgb="FF000000"/>
            <rFont val="Times New Roman"/>
            <family val="18"/>
          </rPr>
          <t xml:space="preserve">ST 11.994 HFS (1809-14) – AL HFS 32 Nr. 1 (Prague 23/05/1810); Ent-Cons. HFS 32 Nr. 1 (Opočno 16/04/1810); VerpfL Juni 1809 (Geyersberg 31/12/1809); VerpfL April 1810 (Opočno 07/08/1810)
</t>
        </r>
      </text>
    </comment>
    <comment ref="BH674" authorId="0" shapeId="0" xr:uid="{2F3DEF7D-4E1D-7D4B-9FF8-158EA12985F1}">
      <text>
        <r>
          <rPr>
            <sz val="14"/>
            <color rgb="FF000000"/>
            <rFont val="Calibri"/>
            <family val="34"/>
          </rPr>
          <t xml:space="preserve">HFS 1 (1809) 
</t>
        </r>
        <r>
          <rPr>
            <sz val="14"/>
            <color rgb="FF000000"/>
            <rFont val="Calibri"/>
            <family val="34"/>
          </rPr>
          <t>HFS 32 (1809-10)</t>
        </r>
      </text>
    </comment>
    <comment ref="BF675" authorId="0" shapeId="0" xr:uid="{0111ED2C-6D2A-3943-91A0-C79CEA2351CB}">
      <text>
        <r>
          <rPr>
            <sz val="14"/>
            <color rgb="FF000000"/>
            <rFont val="Times New Roman"/>
            <family val="18"/>
          </rPr>
          <t xml:space="preserve">24/03/1809 </t>
        </r>
        <r>
          <rPr>
            <i/>
            <sz val="14"/>
            <color rgb="FF000000"/>
            <rFont val="Times New Roman"/>
            <family val="18"/>
          </rPr>
          <t>Zu Chrudim gegen 15 Fl Handgeld auf die Kriegsdauer ins EH Karl Legion 3. Bataillon assentiert und zum 3. Kompanie</t>
        </r>
        <r>
          <rPr>
            <sz val="14"/>
            <color rgb="FF000000"/>
            <rFont val="Times New Roman"/>
            <family val="18"/>
          </rPr>
          <t xml:space="preserve"> zugeteilt [AL &amp; ST March 1809]</t>
        </r>
        <r>
          <rPr>
            <sz val="14"/>
            <color rgb="FF000000"/>
            <rFont val="Calibri"/>
            <family val="34"/>
          </rPr>
          <t xml:space="preserve">
</t>
        </r>
        <r>
          <rPr>
            <sz val="14"/>
            <color rgb="FF000000"/>
            <rFont val="Times New Roman"/>
            <family val="18"/>
          </rPr>
          <t xml:space="preserve">10/06/1809 </t>
        </r>
        <r>
          <rPr>
            <i/>
            <sz val="14"/>
            <color rgb="FF000000"/>
            <rFont val="Times New Roman"/>
            <family val="18"/>
          </rPr>
          <t>Krank in Armee Spital zu Hirschstetten</t>
        </r>
        <r>
          <rPr>
            <sz val="14"/>
            <color rgb="FF000000"/>
            <rFont val="Times New Roman"/>
            <family val="18"/>
          </rPr>
          <t xml:space="preserve"> [ST June 1809] </t>
        </r>
        <r>
          <rPr>
            <sz val="14"/>
            <color rgb="FF000000"/>
            <rFont val="Calibri"/>
            <family val="34"/>
          </rPr>
          <t xml:space="preserve">
</t>
        </r>
        <r>
          <rPr>
            <sz val="14"/>
            <color rgb="FF000000"/>
            <rFont val="Times New Roman"/>
            <family val="18"/>
          </rPr>
          <t xml:space="preserve">20/07/1809 </t>
        </r>
        <r>
          <rPr>
            <i/>
            <sz val="14"/>
            <color rgb="FF000000"/>
            <rFont val="Times New Roman"/>
            <family val="18"/>
          </rPr>
          <t>Rekonvalesziert</t>
        </r>
        <r>
          <rPr>
            <sz val="14"/>
            <color rgb="FF000000"/>
            <rFont val="Times New Roman"/>
            <family val="18"/>
          </rPr>
          <t xml:space="preserve"> [ST Juli 1809)</t>
        </r>
        <r>
          <rPr>
            <sz val="14"/>
            <color rgb="FF000000"/>
            <rFont val="Calibri"/>
            <family val="34"/>
          </rPr>
          <t xml:space="preserve">
</t>
        </r>
        <r>
          <rPr>
            <sz val="14"/>
            <color rgb="FF000000"/>
            <rFont val="Times New Roman"/>
            <family val="18"/>
          </rPr>
          <t xml:space="preserve">17/08/1809 </t>
        </r>
        <r>
          <rPr>
            <i/>
            <sz val="14"/>
            <color rgb="FF000000"/>
            <rFont val="Times New Roman"/>
            <family val="18"/>
          </rPr>
          <t xml:space="preserve">Krank in Armee Spitalern </t>
        </r>
        <r>
          <rPr>
            <sz val="14"/>
            <color rgb="FF000000"/>
            <rFont val="Times New Roman"/>
            <family val="18"/>
          </rPr>
          <t>[ST Aug 1809]</t>
        </r>
        <r>
          <rPr>
            <sz val="14"/>
            <color rgb="FF000000"/>
            <rFont val="Calibri"/>
            <family val="34"/>
          </rPr>
          <t xml:space="preserve">
</t>
        </r>
        <r>
          <rPr>
            <sz val="14"/>
            <color rgb="FF000000"/>
            <rFont val="Times New Roman"/>
            <family val="18"/>
          </rPr>
          <t xml:space="preserve">10/10/1809 </t>
        </r>
        <r>
          <rPr>
            <i/>
            <sz val="14"/>
            <color rgb="FF000000"/>
            <rFont val="Times New Roman"/>
            <family val="18"/>
          </rPr>
          <t>Rekonvalesziert</t>
        </r>
        <r>
          <rPr>
            <sz val="14"/>
            <color rgb="FF000000"/>
            <rFont val="Times New Roman"/>
            <family val="18"/>
          </rPr>
          <t xml:space="preserve"> [ST Oct 1809)</t>
        </r>
        <r>
          <rPr>
            <sz val="14"/>
            <color rgb="FF000000"/>
            <rFont val="Calibri"/>
            <family val="34"/>
          </rPr>
          <t xml:space="preserve">
</t>
        </r>
        <r>
          <rPr>
            <sz val="14"/>
            <color rgb="FF000000"/>
            <rFont val="Times New Roman"/>
            <family val="18"/>
          </rPr>
          <t xml:space="preserve">01/11/1809 </t>
        </r>
        <r>
          <rPr>
            <i/>
            <sz val="14"/>
            <color rgb="FF000000"/>
            <rFont val="Times New Roman"/>
            <family val="18"/>
          </rPr>
          <t xml:space="preserve">Krank in Armee Spital </t>
        </r>
        <r>
          <rPr>
            <sz val="14"/>
            <color rgb="FF000000"/>
            <rFont val="Times New Roman"/>
            <family val="18"/>
          </rPr>
          <t>[ST Nov 1809]</t>
        </r>
        <r>
          <rPr>
            <sz val="14"/>
            <color rgb="FF000000"/>
            <rFont val="Calibri"/>
            <family val="34"/>
          </rPr>
          <t xml:space="preserve">
</t>
        </r>
        <r>
          <rPr>
            <sz val="14"/>
            <color rgb="FF000000"/>
            <rFont val="Times New Roman"/>
            <family val="18"/>
          </rPr>
          <t>31/01/1810</t>
        </r>
        <r>
          <rPr>
            <i/>
            <sz val="14"/>
            <color rgb="FF000000"/>
            <rFont val="Times New Roman"/>
            <family val="18"/>
          </rPr>
          <t xml:space="preserve"> Als freiwillig auf die Kriegsdauer gestellte mit Abschied Entlassen</t>
        </r>
        <r>
          <rPr>
            <sz val="14"/>
            <color rgb="FF000000"/>
            <rFont val="Times New Roman"/>
            <family val="18"/>
          </rPr>
          <t xml:space="preserve"> [ST Jan 1810]</t>
        </r>
      </text>
    </comment>
    <comment ref="BG675" authorId="0" shapeId="0" xr:uid="{8A75C509-8B81-344F-BDD7-786BC16A48F3}">
      <text>
        <r>
          <rPr>
            <sz val="14"/>
            <color rgb="FF000000"/>
            <rFont val="Times New Roman"/>
            <family val="18"/>
          </rPr>
          <t>ML 10.816 EH Carl FK 3. Bat. (1809-10) – AL Nr. 729 (Chrudim 31/03/1809), ST March (Prague 10/07/1809), June (Prague 28/04/1810), July (Prague 28/04/1810), Aug (Prague 28/05/1810), Oct (Prague 31/07/1810), Nov (Prague 08/08/1810), Jan 1810 (Prague 23/08/1810)</t>
        </r>
        <r>
          <rPr>
            <sz val="14"/>
            <color rgb="FF000000"/>
            <rFont val="Calibri"/>
            <family val="34"/>
          </rPr>
          <t xml:space="preserve">
</t>
        </r>
      </text>
    </comment>
    <comment ref="BH675" authorId="0" shapeId="0" xr:uid="{C84866FE-55C9-7241-AD4B-781AF03D71C9}">
      <text>
        <r>
          <rPr>
            <sz val="14"/>
            <color rgb="FF000000"/>
            <rFont val="Calibri"/>
            <family val="34"/>
          </rPr>
          <t>Legion EH Carl (1809-10)</t>
        </r>
      </text>
    </comment>
    <comment ref="BF676" authorId="0" shapeId="0" xr:uid="{834B8914-E741-A24B-B372-BDCEB1500A01}">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t>
        </r>
        <r>
          <rPr>
            <sz val="14"/>
            <color rgb="FF000000"/>
            <rFont val="Calibri"/>
            <family val="34"/>
          </rPr>
          <t xml:space="preserve">
</t>
        </r>
        <r>
          <rPr>
            <sz val="14"/>
            <color rgb="FF000000"/>
            <rFont val="Times New Roman"/>
            <family val="18"/>
          </rPr>
          <t xml:space="preserve">02/06/1809 </t>
        </r>
        <r>
          <rPr>
            <i/>
            <sz val="14"/>
            <color rgb="FF000000"/>
            <rFont val="Times New Roman"/>
            <family val="18"/>
          </rPr>
          <t>Mit auswärtiger Verpflegung Krank in Armee Spital</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29/01/1810 Dissolvierung: 1. Bat 6. Komp Nr. 85 [</t>
        </r>
        <r>
          <rPr>
            <i/>
            <sz val="14"/>
            <color rgb="FF000000"/>
            <rFont val="Times New Roman"/>
            <family val="18"/>
          </rPr>
          <t>Krank in Krems</t>
        </r>
        <r>
          <rPr>
            <sz val="14"/>
            <color rgb="FF000000"/>
            <rFont val="Times New Roman"/>
            <family val="18"/>
          </rPr>
          <t>]</t>
        </r>
        <r>
          <rPr>
            <sz val="14"/>
            <color rgb="FF000000"/>
            <rFont val="Calibri"/>
            <family val="34"/>
          </rPr>
          <t xml:space="preserve">
</t>
        </r>
        <r>
          <rPr>
            <sz val="14"/>
            <color rgb="FF000000"/>
            <rFont val="Times New Roman"/>
            <family val="18"/>
          </rPr>
          <t>16/03/1810</t>
        </r>
        <r>
          <rPr>
            <i/>
            <sz val="14"/>
            <color rgb="FF000000"/>
            <rFont val="Times New Roman"/>
            <family val="18"/>
          </rPr>
          <t xml:space="preserve"> In loco eingerückt und vermog bestehende Hohe Vorordnung als ausgediente Kriegscapitulant mit Abschied entlassen </t>
        </r>
        <r>
          <rPr>
            <sz val="14"/>
            <color rgb="FF000000"/>
            <rFont val="Times New Roman"/>
            <family val="18"/>
          </rPr>
          <t>[ST March-Oct 1810]</t>
        </r>
      </text>
    </comment>
    <comment ref="BG676" authorId="0" shapeId="0" xr:uid="{A9444B65-8956-3A42-9B90-9EF087200C96}">
      <text>
        <r>
          <rPr>
            <sz val="14"/>
            <color rgb="FF000000"/>
            <rFont val="Times New Roman"/>
            <family val="18"/>
          </rPr>
          <t>ST 10.820 Mähr-Schls. FW 1-2. Bats (1809-10) – DL 1. Bat 6. Komp Nr. 85 (Rausnitz 29/01/1802)</t>
        </r>
        <r>
          <rPr>
            <sz val="14"/>
            <color rgb="FF000000"/>
            <rFont val="Calibri"/>
            <family val="34"/>
          </rPr>
          <t xml:space="preserve">
</t>
        </r>
        <r>
          <rPr>
            <sz val="14"/>
            <color rgb="FF000000"/>
            <rFont val="Times New Roman"/>
            <family val="18"/>
          </rPr>
          <t>ST 10.821 Mähr-Schls. FW 1-2. Bats (1809-10) – AL Nr. 3 (Iglau 26/03/1809), ST March (31/03/1810), ST June (30/07/1810)</t>
        </r>
        <r>
          <rPr>
            <sz val="14"/>
            <color rgb="FF000000"/>
            <rFont val="Calibri"/>
            <family val="34"/>
          </rPr>
          <t xml:space="preserve">
</t>
        </r>
        <r>
          <rPr>
            <sz val="14"/>
            <color rgb="FF000000"/>
            <rFont val="Times New Roman"/>
            <family val="18"/>
          </rPr>
          <t>ST 10.822 Mähr-Schls. FW 1-2. Bats (1810) – ST March-Oct (28/02/1811)</t>
        </r>
      </text>
    </comment>
    <comment ref="BH676" authorId="0" shapeId="0" xr:uid="{9B8F7120-DF3C-C74F-B5F7-2992A4E89DB2}">
      <text>
        <r>
          <rPr>
            <sz val="14"/>
            <color rgb="FF000000"/>
            <rFont val="Calibri"/>
            <family val="34"/>
          </rPr>
          <t>Mährisch-schlesischen Freiwillige (1809-10)</t>
        </r>
      </text>
    </comment>
    <comment ref="BF677" authorId="0" shapeId="0" xr:uid="{AA27AFB7-B3CE-7B40-BF2B-9E0E2F88AB4A}">
      <text>
        <r>
          <rPr>
            <sz val="14"/>
            <color rgb="FF000000"/>
            <rFont val="Times New Roman"/>
            <family val="18"/>
          </rPr>
          <t xml:space="preserve">26/03/1809 </t>
        </r>
        <r>
          <rPr>
            <i/>
            <sz val="14"/>
            <color rgb="FF000000"/>
            <rFont val="Times New Roman"/>
            <family val="18"/>
          </rPr>
          <t>Auf 15 Gulden Werbgeld zum 1. Bataillon von Mährisch-schlesischen Freiwillige freywillig angeworben und zum 6. Kompanie eingeteilt</t>
        </r>
        <r>
          <rPr>
            <sz val="14"/>
            <color rgb="FF000000"/>
            <rFont val="Times New Roman"/>
            <family val="18"/>
          </rPr>
          <t xml:space="preserve"> [AL March 1809 &amp; ST March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Beim Rückzug nach dem über die Donau unternommenen Expedition in Kriegsgefangenschaft gerathen</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26/09/1809 </t>
        </r>
        <r>
          <rPr>
            <i/>
            <sz val="14"/>
            <color rgb="FF000000"/>
            <rFont val="Times New Roman"/>
            <family val="18"/>
          </rPr>
          <t xml:space="preserve">Am unbewussten Datum auswärts präsentiert und danach beim Depot eingerückt, seitdem dort zugeheilt </t>
        </r>
        <r>
          <rPr>
            <sz val="14"/>
            <color rgb="FF000000"/>
            <rFont val="Times New Roman"/>
            <family val="18"/>
          </rPr>
          <t>[ST Sept 1809]</t>
        </r>
        <r>
          <rPr>
            <sz val="14"/>
            <color rgb="FF000000"/>
            <rFont val="Calibri"/>
            <family val="34"/>
          </rPr>
          <t xml:space="preserve">
</t>
        </r>
        <r>
          <rPr>
            <sz val="14"/>
            <color rgb="FF000000"/>
            <rFont val="Times New Roman"/>
            <family val="18"/>
          </rPr>
          <t>29/01/1810 Dissolvierung: 1. Bat 6. Komp Nr. 67</t>
        </r>
        <r>
          <rPr>
            <sz val="14"/>
            <color rgb="FF000000"/>
            <rFont val="Calibri"/>
            <family val="34"/>
          </rPr>
          <t xml:space="preserve">
</t>
        </r>
        <r>
          <rPr>
            <sz val="14"/>
            <color rgb="FF000000"/>
            <rFont val="Times New Roman"/>
            <family val="18"/>
          </rPr>
          <t xml:space="preserve">17/02/1810 </t>
        </r>
        <r>
          <rPr>
            <i/>
            <sz val="14"/>
            <color rgb="FF000000"/>
            <rFont val="Times New Roman"/>
            <family val="18"/>
          </rPr>
          <t>Als ausgedienter Kriegscapitulant mit Abschied entlassen</t>
        </r>
        <r>
          <rPr>
            <sz val="14"/>
            <color rgb="FF000000"/>
            <rFont val="Times New Roman"/>
            <family val="18"/>
          </rPr>
          <t xml:space="preserve"> [ST Feb 1810]</t>
        </r>
      </text>
    </comment>
    <comment ref="BG677" authorId="0" shapeId="0" xr:uid="{49BBE9A0-EE06-FB4E-91E9-3A27E7DED02B}">
      <text>
        <r>
          <rPr>
            <sz val="14"/>
            <color rgb="FF000000"/>
            <rFont val="Times New Roman"/>
            <family val="18"/>
          </rPr>
          <t>ST 10.820 Mähr-Schls. FW 1-2. Bats (1809-10) – DL 1. Bat 6. Komp Nr. 67 (Rausnitz 29/01/1802)</t>
        </r>
        <r>
          <rPr>
            <sz val="14"/>
            <color rgb="FF000000"/>
            <rFont val="Calibri"/>
            <family val="34"/>
          </rPr>
          <t xml:space="preserve">
</t>
        </r>
        <r>
          <rPr>
            <sz val="14"/>
            <color rgb="FF000000"/>
            <rFont val="Times New Roman"/>
            <family val="18"/>
          </rPr>
          <t>ST 10.821 Mähr-Schls. FW 1-2. Bats (1809) – AL Nr. 4 (Iglau 26/03/1809), ST March (31/03/1810), ST June (30/07/1810), ST September (01/12/1810)</t>
        </r>
        <r>
          <rPr>
            <sz val="14"/>
            <color rgb="FF000000"/>
            <rFont val="Calibri"/>
            <family val="34"/>
          </rPr>
          <t xml:space="preserve">
</t>
        </r>
        <r>
          <rPr>
            <sz val="14"/>
            <color rgb="FF000000"/>
            <rFont val="Times New Roman"/>
            <family val="18"/>
          </rPr>
          <t>ST 10.822 Mähr-Schls. FW 1-2. Bats (1810) – ST Feb (01/02/1811)</t>
        </r>
      </text>
    </comment>
    <comment ref="BH677" authorId="0" shapeId="0" xr:uid="{C436F244-FC4A-3D44-8A47-75B4EA8E695D}">
      <text>
        <r>
          <rPr>
            <sz val="14"/>
            <color rgb="FF000000"/>
            <rFont val="Calibri"/>
            <family val="34"/>
          </rPr>
          <t>Mährisch-schlesischen Freiwillige (1809-10)</t>
        </r>
      </text>
    </comment>
    <comment ref="BF678" authorId="0" shapeId="0" xr:uid="{85C7444D-64A7-144F-8AF9-BD9CCB411322}">
      <text>
        <r>
          <rPr>
            <sz val="14"/>
            <color rgb="FF000000"/>
            <rFont val="Times New Roman"/>
            <family val="18"/>
          </rPr>
          <t xml:space="preserve">26/03/1809 </t>
        </r>
        <r>
          <rPr>
            <i/>
            <sz val="14"/>
            <color rgb="FF000000"/>
            <rFont val="Times New Roman"/>
            <family val="18"/>
          </rPr>
          <t xml:space="preserve">Von 2. Saatzer Landwehr Bataillon Freywillig übertreten und zum EH Carl Legion 4. Bataillon gegen drey Gulden Handgeld auf die Dauer des Krieges in Leitmeritz assentiert und zum 1. Kompanie eingeteilt </t>
        </r>
        <r>
          <rPr>
            <sz val="14"/>
            <color rgb="FF000000"/>
            <rFont val="Times New Roman"/>
            <family val="18"/>
          </rPr>
          <t>[AL 1809]</t>
        </r>
        <r>
          <rPr>
            <sz val="14"/>
            <color rgb="FF000000"/>
            <rFont val="Calibri"/>
            <family val="34"/>
          </rPr>
          <t xml:space="preserve">
</t>
        </r>
        <r>
          <rPr>
            <sz val="14"/>
            <color rgb="FF000000"/>
            <rFont val="Times New Roman"/>
            <family val="18"/>
          </rPr>
          <t xml:space="preserve">23/08/1809 </t>
        </r>
        <r>
          <rPr>
            <i/>
            <sz val="14"/>
            <color rgb="FF000000"/>
            <rFont val="Times New Roman"/>
            <family val="18"/>
          </rPr>
          <t>Krank in Armee Spitälern</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25/01/1810 </t>
        </r>
        <r>
          <rPr>
            <i/>
            <sz val="14"/>
            <color rgb="FF000000"/>
            <rFont val="Times New Roman"/>
            <family val="18"/>
          </rPr>
          <t>Rekonvalesziert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31/01/1810 </t>
        </r>
        <r>
          <rPr>
            <i/>
            <sz val="14"/>
            <color rgb="FF000000"/>
            <rFont val="Times New Roman"/>
            <family val="18"/>
          </rPr>
          <t>Zu Folge hoher General Militair Commando Verordnung Ddt. Prag am 29. December 809 als ein auf die Dauer des Krieges engagierte Capitulant gegen Empfang von 30 tage Gratis Löhnung mit Abschied entlassen</t>
        </r>
        <r>
          <rPr>
            <sz val="14"/>
            <color rgb="FF000000"/>
            <rFont val="Times New Roman"/>
            <family val="18"/>
          </rPr>
          <t xml:space="preserve"> [ST Jan 1810] </t>
        </r>
      </text>
    </comment>
    <comment ref="BG678" authorId="0" shapeId="0" xr:uid="{266944AA-46CB-C54A-86E2-3A08217A4368}">
      <text>
        <r>
          <rPr>
            <sz val="14"/>
            <color rgb="FF000000"/>
            <rFont val="Times New Roman"/>
            <family val="18"/>
          </rPr>
          <t>ML 10.818 Legion EH Carl 4. Bat. (1809-10) – AL. Nr. 422 (Leitmeritz, 26/03/1809); ST March 1809 (Prague 23/03/1810), August (Prague 20/08/1810) Jan 1810 (05/11/1810)</t>
        </r>
        <r>
          <rPr>
            <sz val="14"/>
            <color rgb="FF000000"/>
            <rFont val="Calibri"/>
            <family val="34"/>
          </rPr>
          <t xml:space="preserve">
</t>
        </r>
      </text>
    </comment>
    <comment ref="BH678" authorId="0" shapeId="0" xr:uid="{12EC0B8A-3139-3B42-AB03-F5DFE79B0CD1}">
      <text>
        <r>
          <rPr>
            <sz val="14"/>
            <color rgb="FF000000"/>
            <rFont val="Calibri"/>
            <family val="34"/>
          </rPr>
          <t>Legion EH Carl (1809-10)</t>
        </r>
      </text>
    </comment>
    <comment ref="BF679" authorId="0" shapeId="0" xr:uid="{BC8EA64F-6A4C-004D-BDE3-374E0C59A60F}">
      <text>
        <r>
          <rPr>
            <sz val="14"/>
            <color rgb="FF000000"/>
            <rFont val="Times New Roman"/>
            <family val="18"/>
          </rPr>
          <t xml:space="preserve">18/03/1809 </t>
        </r>
        <r>
          <rPr>
            <i/>
            <sz val="14"/>
            <color rgb="FF000000"/>
            <rFont val="Times New Roman"/>
            <family val="18"/>
          </rPr>
          <t>a 3Fl Handgeld in EH Carl Legion 2. Battalion zu Prag angeworben und zur. 2. Kompanie eingeheilt</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23/07/1809 </t>
        </r>
        <r>
          <rPr>
            <i/>
            <sz val="14"/>
            <color rgb="FF000000"/>
            <rFont val="Times New Roman"/>
            <family val="18"/>
          </rPr>
          <t>Krank in Feldspital</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Rekonvalesziert und seitdem zugeheilt beim Depot mit Friedensgebühr</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13/01/1810 </t>
        </r>
        <r>
          <rPr>
            <i/>
            <sz val="14"/>
            <color rgb="FF000000"/>
            <rFont val="Times New Roman"/>
            <family val="18"/>
          </rPr>
          <t>Zurück in die Companie eingerückt</t>
        </r>
        <r>
          <rPr>
            <sz val="14"/>
            <color rgb="FF000000"/>
            <rFont val="Times New Roman"/>
            <family val="18"/>
          </rPr>
          <t xml:space="preserve"> [ST Jan 1810]</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t>
        </r>
        <r>
          <rPr>
            <sz val="14"/>
            <color rgb="FF000000"/>
            <rFont val="Calibri"/>
            <family val="34"/>
          </rPr>
          <t xml:space="preserve">
</t>
        </r>
      </text>
    </comment>
    <comment ref="BG679" authorId="0" shapeId="0" xr:uid="{E8659BB1-46BC-7A40-8C04-F71014F9C617}">
      <text>
        <r>
          <rPr>
            <sz val="14"/>
            <color rgb="FF000000"/>
            <rFont val="Times New Roman"/>
            <family val="18"/>
          </rPr>
          <t>ML 10.815 EH Carl FK (1809-10) – AL Nr. 166 (Prague 20/03/1809), ST Juli (Prague 30/05/1810), ST Nov (Prague 30/08/1809), ST Jan 1810 (??)</t>
        </r>
        <r>
          <rPr>
            <sz val="14"/>
            <color rgb="FF000000"/>
            <rFont val="Calibri"/>
            <family val="34"/>
          </rPr>
          <t xml:space="preserve">
</t>
        </r>
      </text>
    </comment>
    <comment ref="BH679" authorId="0" shapeId="0" xr:uid="{4CA7419C-B0B3-BB4D-A736-B553BF3890CD}">
      <text>
        <r>
          <rPr>
            <sz val="14"/>
            <color rgb="FF000000"/>
            <rFont val="Calibri"/>
            <family val="34"/>
          </rPr>
          <t xml:space="preserve">HFS 1 (1809) 
</t>
        </r>
        <r>
          <rPr>
            <sz val="14"/>
            <color rgb="FF000000"/>
            <rFont val="Calibri"/>
            <family val="34"/>
          </rPr>
          <t>HFS 32 (1809-10)</t>
        </r>
      </text>
    </comment>
    <comment ref="BF680" authorId="0" shapeId="0" xr:uid="{EFBAF6E7-EFF7-464E-9A26-12F1FF0C3D0A}">
      <text>
        <r>
          <rPr>
            <sz val="14"/>
            <color rgb="FF000000"/>
            <rFont val="Times New Roman"/>
            <family val="18"/>
          </rPr>
          <t xml:space="preserve">??/04/1809 </t>
        </r>
        <r>
          <rPr>
            <i/>
            <sz val="14"/>
            <color rgb="FF000000"/>
            <rFont val="Times New Roman"/>
            <family val="18"/>
          </rPr>
          <t xml:space="preserve">Als angehöriger von 1. Triester LW Battailon 6.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14/05/1809 </t>
        </r>
        <r>
          <rPr>
            <i/>
            <sz val="14"/>
            <color rgb="FF000000"/>
            <rFont val="Times New Roman"/>
            <family val="18"/>
          </rPr>
          <t>Bei Duino zurückgeblieben und als unwissend verloren in Abgang</t>
        </r>
        <r>
          <rPr>
            <sz val="14"/>
            <color rgb="FF000000"/>
            <rFont val="Times New Roman"/>
            <family val="18"/>
          </rPr>
          <t xml:space="preserve"> [ST May 1809]</t>
        </r>
      </text>
    </comment>
    <comment ref="BG680" authorId="0" shapeId="0" xr:uid="{69CF69A2-C5C0-F845-B942-65DFFCD9CE0B}">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680" authorId="0" shapeId="0" xr:uid="{3CD74B1B-7299-0B43-94D1-2B9BC0A216C9}">
      <text>
        <r>
          <rPr>
            <sz val="14"/>
            <color rgb="FF000000"/>
            <rFont val="Calibri"/>
            <family val="34"/>
          </rPr>
          <t>Triester LW (1809)</t>
        </r>
      </text>
    </comment>
    <comment ref="BF681" authorId="0" shapeId="0" xr:uid="{1B05E23C-BBDC-B645-85E6-802A64E12168}">
      <text>
        <r>
          <rPr>
            <sz val="14"/>
            <color rgb="FF000000"/>
            <rFont val="Times New Roman"/>
            <family val="18"/>
          </rPr>
          <t xml:space="preserve">??/04/1809 </t>
        </r>
        <r>
          <rPr>
            <i/>
            <sz val="14"/>
            <color rgb="FF000000"/>
            <rFont val="Times New Roman"/>
            <family val="18"/>
          </rPr>
          <t xml:space="preserve">Als angehöriger von 1. Triester LW Bataillon 1.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31/05/1809 </t>
        </r>
        <r>
          <rPr>
            <i/>
            <sz val="14"/>
            <color rgb="FF000000"/>
            <rFont val="Times New Roman"/>
            <family val="18"/>
          </rPr>
          <t>Provisorisch entlassen</t>
        </r>
        <r>
          <rPr>
            <sz val="14"/>
            <color rgb="FF000000"/>
            <rFont val="Times New Roman"/>
            <family val="18"/>
          </rPr>
          <t xml:space="preserve"> [ST May 1809]</t>
        </r>
      </text>
    </comment>
    <comment ref="BG681" authorId="0" shapeId="0" xr:uid="{228EEF49-F857-B046-8818-EB93DE92975E}">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681" authorId="0" shapeId="0" xr:uid="{AFBDF006-50D7-2C4C-B8CA-BB758FC8BBB0}">
      <text>
        <r>
          <rPr>
            <sz val="14"/>
            <color rgb="FF000000"/>
            <rFont val="Calibri"/>
            <family val="34"/>
          </rPr>
          <t>Triester LW (1809)</t>
        </r>
      </text>
    </comment>
    <comment ref="BF682" authorId="0" shapeId="0" xr:uid="{07596F56-DF76-E949-BE0D-7F570C3204F3}">
      <text>
        <r>
          <rPr>
            <sz val="14"/>
            <color rgb="FF000000"/>
            <rFont val="Times New Roman"/>
            <family val="18"/>
          </rPr>
          <t xml:space="preserve">??/04/1809 </t>
        </r>
        <r>
          <rPr>
            <i/>
            <sz val="14"/>
            <color rgb="FF000000"/>
            <rFont val="Times New Roman"/>
            <family val="18"/>
          </rPr>
          <t xml:space="preserve">Als angehöriger von 1. Triester LW Battalion 5. Fusilier Komp. in Städischen in ararial Sold übernommen  </t>
        </r>
        <r>
          <rPr>
            <sz val="14"/>
            <color rgb="FF000000"/>
            <rFont val="Times New Roman"/>
            <family val="18"/>
          </rPr>
          <t>[ST April 1809]</t>
        </r>
        <r>
          <rPr>
            <sz val="14"/>
            <color rgb="FF000000"/>
            <rFont val="Calibri"/>
            <family val="34"/>
          </rPr>
          <t xml:space="preserve">
</t>
        </r>
        <r>
          <rPr>
            <sz val="14"/>
            <color rgb="FF000000"/>
            <rFont val="Times New Roman"/>
            <family val="18"/>
          </rPr>
          <t xml:space="preserve">20/05/1809 </t>
        </r>
        <r>
          <rPr>
            <i/>
            <sz val="14"/>
            <color rgb="FF000000"/>
            <rFont val="Times New Roman"/>
            <family val="18"/>
          </rPr>
          <t>Vermisst</t>
        </r>
        <r>
          <rPr>
            <sz val="14"/>
            <color rgb="FF000000"/>
            <rFont val="Times New Roman"/>
            <family val="18"/>
          </rPr>
          <t xml:space="preserve"> [ST May 1809]</t>
        </r>
      </text>
    </comment>
    <comment ref="BG682" authorId="0" shapeId="0" xr:uid="{3D62FECA-5DA2-F749-B0C4-61C214E72F35}">
      <text>
        <r>
          <rPr>
            <sz val="14"/>
            <color rgb="FF000000"/>
            <rFont val="Times New Roman"/>
            <family val="18"/>
          </rPr>
          <t>ST 10.373 LW Triest (1809) – 1. Bat 6. Comp. ST April (Agram 10/06/1809), May (Agram 07/07/1809)</t>
        </r>
        <r>
          <rPr>
            <sz val="14"/>
            <color rgb="FF000000"/>
            <rFont val="Calibri"/>
            <family val="34"/>
          </rPr>
          <t xml:space="preserve">
</t>
        </r>
      </text>
    </comment>
    <comment ref="BH682" authorId="0" shapeId="0" xr:uid="{C556BF51-4E74-924A-BF71-CA492FC01E11}">
      <text>
        <r>
          <rPr>
            <sz val="14"/>
            <color rgb="FF000000"/>
            <rFont val="Calibri"/>
            <family val="34"/>
          </rPr>
          <t>Triester LW (1809)</t>
        </r>
      </text>
    </comment>
    <comment ref="BF683" authorId="0" shapeId="0" xr:uid="{EC2FE51C-C074-CC4A-8A0E-994E2F6EBC77}">
      <text>
        <r>
          <rPr>
            <sz val="14"/>
            <color rgb="FF000000"/>
            <rFont val="Times New Roman"/>
            <family val="18"/>
          </rPr>
          <t xml:space="preserve">??/04/1809 Als angehöriger von 1. Triester LW Bataillon 5. Füsilier Komp. in Städischen in ararial Sold übernommen [ST April 1809]
</t>
        </r>
        <r>
          <rPr>
            <sz val="14"/>
            <color rgb="FF000000"/>
            <rFont val="Times New Roman"/>
            <family val="18"/>
          </rPr>
          <t xml:space="preserve">31/05/1809 Provisorisch entlassen [ST May 1809]
</t>
        </r>
        <r>
          <rPr>
            <sz val="14"/>
            <color rgb="FF000000"/>
            <rFont val="Times New Roman"/>
            <family val="18"/>
          </rPr>
          <t xml:space="preserve">25/06/1809 Gegen 10 fl Handgeld [oder 12 ll] als Eximierte Inländer auf Kriegsdauer in Triester JFK assentiert und zum 1. Kompanie eingeteilt [AL June 1809]
</t>
        </r>
        <r>
          <rPr>
            <sz val="14"/>
            <color rgb="FF000000"/>
            <rFont val="Times New Roman"/>
            <family val="18"/>
          </rPr>
          <t xml:space="preserve">01/07/1809 Von 1. zum 3. Kompanie transferiert [ST June 1809 &amp; ST July 1809]
</t>
        </r>
        <r>
          <rPr>
            <sz val="14"/>
            <color rgb="FF000000"/>
            <rFont val="Times New Roman"/>
            <family val="18"/>
          </rPr>
          <t xml:space="preserve">08/11/1809 Krank in Armee Spital [ST Nov 1809]
</t>
        </r>
        <r>
          <rPr>
            <sz val="14"/>
            <color rgb="FF000000"/>
            <rFont val="Times New Roman"/>
            <family val="18"/>
          </rPr>
          <t xml:space="preserve">30/11/1809 Dissolvierung: Triester JFK 3. Komp. [Krank im Spital zu Fiume]
</t>
        </r>
        <r>
          <rPr>
            <sz val="14"/>
            <color rgb="FF000000"/>
            <rFont val="Times New Roman"/>
            <family val="18"/>
          </rPr>
          <t>30/11/1809 In Spital verblieben [ST Nov 1809]</t>
        </r>
      </text>
    </comment>
    <comment ref="BG683" authorId="0" shapeId="0" xr:uid="{A0C940E6-509E-AC4A-9C76-B7DC80B9DD4A}">
      <text>
        <r>
          <rPr>
            <sz val="14"/>
            <color rgb="FF000000"/>
            <rFont val="Times New Roman"/>
            <family val="18"/>
          </rPr>
          <t>ML 10.373 LW Triest (1809) – 1. Bat 5. Comp. ST April (Agram 10/06/1809), May (Agram 07/07/1809)</t>
        </r>
        <r>
          <rPr>
            <sz val="14"/>
            <color rgb="FF000000"/>
            <rFont val="Calibri"/>
            <family val="34"/>
          </rPr>
          <t xml:space="preserve">
</t>
        </r>
        <r>
          <rPr>
            <sz val="14"/>
            <color rgb="FF000000"/>
            <rFont val="Times New Roman"/>
            <family val="18"/>
          </rPr>
          <t>ML 11.078 Triester JFK (1809-10) – AL Nr. 1 (Karlstadt 27/06/1809), DL (Krapina 30/11/1809), ST June (Graz 27/04/1810), ST July (Graz 15/05/1810), ST Nov (Graz 19/03/1811)</t>
        </r>
        <r>
          <rPr>
            <sz val="14"/>
            <color rgb="FF000000"/>
            <rFont val="Calibri"/>
            <family val="34"/>
          </rPr>
          <t xml:space="preserve">
</t>
        </r>
      </text>
    </comment>
    <comment ref="BH683" authorId="0" shapeId="0" xr:uid="{32B6E8C5-D94E-3846-B396-3A777EBC40BC}">
      <text>
        <r>
          <rPr>
            <sz val="14"/>
            <color rgb="FF000000"/>
            <rFont val="Calibri"/>
            <family val="34"/>
          </rPr>
          <t xml:space="preserve">Triester LW (1809)
</t>
        </r>
        <r>
          <rPr>
            <sz val="14"/>
            <color rgb="FF000000"/>
            <rFont val="Calibri"/>
            <family val="34"/>
          </rPr>
          <t>Truester JFK (1809)</t>
        </r>
      </text>
    </comment>
    <comment ref="BF684" authorId="0" shapeId="0" xr:uid="{489D120D-83AE-B448-9312-792D72B33DD0}">
      <text>
        <r>
          <rPr>
            <sz val="14"/>
            <color rgb="FF000000"/>
            <rFont val="Times New Roman"/>
            <family val="18"/>
          </rPr>
          <t xml:space="preserve">01/04/1809 </t>
        </r>
        <r>
          <rPr>
            <i/>
            <sz val="14"/>
            <color rgb="FF000000"/>
            <rFont val="Times New Roman"/>
            <family val="18"/>
          </rPr>
          <t>Hat sich freiwillig bei den Berauner 1. Graf Swibischen LW Battalion zum EH Carl Legion 2. Bataillon auf 3Fl gestellt und zum 6. Kompanie zugeheilt</t>
        </r>
        <r>
          <rPr>
            <sz val="14"/>
            <color rgb="FF000000"/>
            <rFont val="Times New Roman"/>
            <family val="18"/>
          </rPr>
          <t xml:space="preserve"> [AL 1809 &amp; ST March 1809]</t>
        </r>
        <r>
          <rPr>
            <sz val="14"/>
            <color rgb="FF000000"/>
            <rFont val="Calibri"/>
            <family val="34"/>
          </rPr>
          <t xml:space="preserve">
</t>
        </r>
        <r>
          <rPr>
            <sz val="14"/>
            <color rgb="FF000000"/>
            <rFont val="Times New Roman"/>
            <family val="18"/>
          </rPr>
          <t xml:space="preserve">23/01/1810 </t>
        </r>
        <r>
          <rPr>
            <i/>
            <sz val="14"/>
            <color rgb="FF000000"/>
            <rFont val="Times New Roman"/>
            <family val="18"/>
          </rPr>
          <t>Als Freiwillig auf die Kriegsdauer gestellte mit Abschied Entlassen</t>
        </r>
        <r>
          <rPr>
            <sz val="14"/>
            <color rgb="FF000000"/>
            <rFont val="Times New Roman"/>
            <family val="18"/>
          </rPr>
          <t xml:space="preserve"> [ST Jan 1810] </t>
        </r>
      </text>
    </comment>
    <comment ref="BG684" authorId="0" shapeId="0" xr:uid="{3CA0B4C5-89AD-7644-A0F1-6230D0B4D262}">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684" authorId="0" shapeId="0" xr:uid="{00C1E451-36C1-EB48-A815-ABDDB0B6FF5C}">
      <text>
        <r>
          <rPr>
            <sz val="14"/>
            <color rgb="FF000000"/>
            <rFont val="Calibri"/>
            <family val="34"/>
          </rPr>
          <t>Legion EH Carl (1809-10)</t>
        </r>
      </text>
    </comment>
    <comment ref="BF685" authorId="0" shapeId="0" xr:uid="{77BD8838-5B30-4240-A4B3-3C8EFA1BFDB5}">
      <text>
        <r>
          <rPr>
            <sz val="14"/>
            <color rgb="FF000000"/>
            <rFont val="Times New Roman"/>
            <family val="18"/>
          </rPr>
          <t xml:space="preserve">08/04/1809 </t>
        </r>
        <r>
          <rPr>
            <i/>
            <sz val="14"/>
            <color rgb="FF000000"/>
            <rFont val="Times New Roman"/>
            <family val="18"/>
          </rPr>
          <t>als ärztliche Praktikant neu assentiert</t>
        </r>
        <r>
          <rPr>
            <sz val="14"/>
            <color rgb="FF000000"/>
            <rFont val="Times New Roman"/>
            <family val="18"/>
          </rPr>
          <t xml:space="preserve"> [TL Feb 1812]</t>
        </r>
        <r>
          <rPr>
            <sz val="14"/>
            <color rgb="FF000000"/>
            <rFont val="Calibri"/>
            <family val="34"/>
          </rPr>
          <t xml:space="preserve">
</t>
        </r>
        <r>
          <rPr>
            <sz val="14"/>
            <color rgb="FF000000"/>
            <rFont val="Times New Roman"/>
            <family val="18"/>
          </rPr>
          <t xml:space="preserve">01/06/1809 </t>
        </r>
        <r>
          <rPr>
            <i/>
            <sz val="14"/>
            <color rgb="FF000000"/>
            <rFont val="Times New Roman"/>
            <family val="18"/>
          </rPr>
          <t>Zum Unterarzt avanciert</t>
        </r>
        <r>
          <rPr>
            <sz val="14"/>
            <color rgb="FF000000"/>
            <rFont val="Times New Roman"/>
            <family val="18"/>
          </rPr>
          <t xml:space="preserve"> [TL Feb 1812]</t>
        </r>
        <r>
          <rPr>
            <sz val="14"/>
            <color rgb="FF000000"/>
            <rFont val="Calibri"/>
            <family val="34"/>
          </rPr>
          <t xml:space="preserve">
</t>
        </r>
        <r>
          <rPr>
            <sz val="14"/>
            <color rgb="FF000000"/>
            <rFont val="Times New Roman"/>
            <family val="18"/>
          </rPr>
          <t xml:space="preserve">14/07/1809 </t>
        </r>
        <r>
          <rPr>
            <i/>
            <sz val="14"/>
            <color rgb="FF000000"/>
            <rFont val="Times New Roman"/>
            <family val="18"/>
          </rPr>
          <t xml:space="preserve">Von HFS 1 zum HFS 33 transferiert </t>
        </r>
        <r>
          <rPr>
            <sz val="14"/>
            <color rgb="FF000000"/>
            <rFont val="Times New Roman"/>
            <family val="18"/>
          </rPr>
          <t>[TL Sept 1809]</t>
        </r>
        <r>
          <rPr>
            <sz val="14"/>
            <color rgb="FF000000"/>
            <rFont val="Calibri"/>
            <family val="34"/>
          </rPr>
          <t xml:space="preserve">
</t>
        </r>
        <r>
          <rPr>
            <sz val="14"/>
            <color rgb="FF000000"/>
            <rFont val="Times New Roman"/>
            <family val="18"/>
          </rPr>
          <t xml:space="preserve">30/09/1809 </t>
        </r>
        <r>
          <rPr>
            <i/>
            <sz val="14"/>
            <color rgb="FF000000"/>
            <rFont val="Times New Roman"/>
            <family val="18"/>
          </rPr>
          <t xml:space="preserve">Von HFS 33 zum HFS 2 transferiert </t>
        </r>
        <r>
          <rPr>
            <sz val="14"/>
            <color rgb="FF000000"/>
            <rFont val="Times New Roman"/>
            <family val="18"/>
          </rPr>
          <t>[TL Sept 1809]</t>
        </r>
      </text>
    </comment>
    <comment ref="BG685" authorId="0" shapeId="0" xr:uid="{2D8613AF-1C15-2B4F-881F-270F4F06870C}">
      <text>
        <r>
          <rPr>
            <sz val="14"/>
            <color rgb="FF000000"/>
            <rFont val="Times New Roman"/>
            <family val="18"/>
          </rPr>
          <t>ML 11.997 HFS (1809-1814) – TL HFS 1-&gt;HFS 33 Nr. 1 (Prague 08/02/1812); TL HFS 33-&gt;HFS 2 Nr. 1 (Jungbunzlau 30/09/1809)</t>
        </r>
        <r>
          <rPr>
            <sz val="14"/>
            <color rgb="FF000000"/>
            <rFont val="Calibri"/>
            <family val="34"/>
          </rPr>
          <t xml:space="preserve">
</t>
        </r>
      </text>
    </comment>
    <comment ref="BH685" authorId="0" shapeId="0" xr:uid="{E5861055-225D-9C48-BB7B-06C460EC0762}">
      <text>
        <r>
          <rPr>
            <sz val="14"/>
            <color rgb="FF000000"/>
            <rFont val="Calibri"/>
            <family val="34"/>
          </rPr>
          <t xml:space="preserve">HFS 1 (1809)
</t>
        </r>
        <r>
          <rPr>
            <sz val="14"/>
            <color rgb="FF000000"/>
            <rFont val="Calibri"/>
            <family val="34"/>
          </rPr>
          <t xml:space="preserve">HFS 33 (1809)
</t>
        </r>
        <r>
          <rPr>
            <sz val="14"/>
            <color rgb="FF000000"/>
            <rFont val="Calibri"/>
            <family val="34"/>
          </rPr>
          <t>HFS 2 (1809)</t>
        </r>
      </text>
    </comment>
    <comment ref="BF686" authorId="0" shapeId="0" xr:uid="{B5939A41-7E14-7640-B0CA-FF5EB782EBE7}">
      <text>
        <r>
          <rPr>
            <sz val="14"/>
            <color rgb="FF000000"/>
            <rFont val="Times New Roman"/>
            <family val="18"/>
          </rPr>
          <t>14/04/1809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10/07/1809 </t>
        </r>
        <r>
          <rPr>
            <i/>
            <sz val="14"/>
            <color rgb="FF000000"/>
            <rFont val="Times New Roman"/>
            <family val="18"/>
          </rPr>
          <t>Von HFS 32 zum HFS 1 transferiert</t>
        </r>
        <r>
          <rPr>
            <sz val="14"/>
            <color rgb="FF000000"/>
            <rFont val="Times New Roman"/>
            <family val="18"/>
          </rPr>
          <t xml:space="preserve"> [TL Aug 1810]</t>
        </r>
      </text>
    </comment>
    <comment ref="BG686" authorId="0" shapeId="0" xr:uid="{B823ED37-6EB1-F64D-B5FA-4F0ED9843EE6}">
      <text>
        <r>
          <rPr>
            <sz val="14"/>
            <color rgb="FF000000"/>
            <rFont val="Times New Roman"/>
            <family val="18"/>
          </rPr>
          <t>ST 11.994 HFS (1809-14) – TL HFS 22-&gt;HFS 32 Nr. 33 (Pilsen 10/06/1809); TL Nr. 3 (Opočno 06/08/1810); VerpfL Juni 1809 (Geyersberg 31/12/1809); VerpfL Juli 1809 (Opočno 31/05/1810)</t>
        </r>
        <r>
          <rPr>
            <sz val="14"/>
            <color rgb="FF000000"/>
            <rFont val="Times New Roman"/>
            <family val="18"/>
          </rPr>
          <t xml:space="preserve">
</t>
        </r>
      </text>
    </comment>
    <comment ref="BH686" authorId="0" shapeId="0" xr:uid="{72DE3DAA-C520-F949-AB1A-5CE43544610A}">
      <text>
        <r>
          <rPr>
            <sz val="14"/>
            <color rgb="FF000000"/>
            <rFont val="Calibri"/>
            <family val="34"/>
          </rPr>
          <t xml:space="preserve">HFS 1 (1809) 
</t>
        </r>
        <r>
          <rPr>
            <sz val="14"/>
            <color rgb="FF000000"/>
            <rFont val="Calibri"/>
            <family val="34"/>
          </rPr>
          <t xml:space="preserve">HFS 22 (1809)
</t>
        </r>
        <r>
          <rPr>
            <sz val="14"/>
            <color rgb="FF000000"/>
            <rFont val="Calibri"/>
            <family val="34"/>
          </rPr>
          <t xml:space="preserve">HFS 32 (1809)
</t>
        </r>
        <r>
          <rPr>
            <sz val="14"/>
            <color rgb="FF000000"/>
            <rFont val="Calibri"/>
            <family val="34"/>
          </rPr>
          <t>HFS 1 (1809)</t>
        </r>
      </text>
    </comment>
    <comment ref="BF687" authorId="0" shapeId="0" xr:uid="{26DBB19B-1F0C-7D44-ADA1-CA8F0CDA868D}">
      <text>
        <r>
          <rPr>
            <sz val="14"/>
            <color rgb="FF000000"/>
            <rFont val="Times New Roman"/>
            <family val="18"/>
          </rPr>
          <t>14/04/1809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10/07/1809 </t>
        </r>
        <r>
          <rPr>
            <i/>
            <sz val="14"/>
            <color rgb="FF000000"/>
            <rFont val="Times New Roman"/>
            <family val="18"/>
          </rPr>
          <t>Von HFS 32 zum HFS 1 transferiert</t>
        </r>
        <r>
          <rPr>
            <sz val="14"/>
            <color rgb="FF000000"/>
            <rFont val="Times New Roman"/>
            <family val="18"/>
          </rPr>
          <t xml:space="preserve"> [TL Aug 1810]</t>
        </r>
      </text>
    </comment>
    <comment ref="BG687" authorId="0" shapeId="0" xr:uid="{EF8AD364-02C3-4341-A69F-C199C6614111}">
      <text>
        <r>
          <rPr>
            <sz val="14"/>
            <color rgb="FF000000"/>
            <rFont val="Times New Roman"/>
            <family val="18"/>
          </rPr>
          <t>ST 11.994 HFS (1809-14) – TL HFS 22-&gt;HFS 32 Nr. 30 (Pilsen 10/06/1809); TL HFS 32-&gt;HFS 1 Nr. 2 (Opočno 06/08/1810); VerpfL Juni 1809 (Geyersberg 31/12/1809); VerpfL Juli 1809 (Opočno 31/05/1810)</t>
        </r>
        <r>
          <rPr>
            <sz val="14"/>
            <color rgb="FF000000"/>
            <rFont val="Times New Roman"/>
            <family val="18"/>
          </rPr>
          <t xml:space="preserve">
</t>
        </r>
      </text>
    </comment>
    <comment ref="BH687" authorId="0" shapeId="0" xr:uid="{259B62E5-7874-FD4D-A1F6-DC0E7BF7BEBD}">
      <text>
        <r>
          <rPr>
            <sz val="14"/>
            <color rgb="FF000000"/>
            <rFont val="Calibri"/>
            <family val="34"/>
          </rPr>
          <t xml:space="preserve">HFS 1 (1809) 
</t>
        </r>
        <r>
          <rPr>
            <sz val="14"/>
            <color rgb="FF000000"/>
            <rFont val="Calibri"/>
            <family val="34"/>
          </rPr>
          <t xml:space="preserve">HFS 22 (1809)
</t>
        </r>
        <r>
          <rPr>
            <sz val="14"/>
            <color rgb="FF000000"/>
            <rFont val="Calibri"/>
            <family val="34"/>
          </rPr>
          <t xml:space="preserve">HFS 32 (1809)
</t>
        </r>
        <r>
          <rPr>
            <sz val="14"/>
            <color rgb="FF000000"/>
            <rFont val="Calibri"/>
            <family val="34"/>
          </rPr>
          <t>HFS 1 (1809)</t>
        </r>
      </text>
    </comment>
    <comment ref="BF688" authorId="0" shapeId="0" xr:uid="{6910B60B-585E-A341-A4D0-3B8E8D80D29B}">
      <text>
        <r>
          <rPr>
            <sz val="14"/>
            <color rgb="FF000000"/>
            <rFont val="Times New Roman"/>
            <family val="18"/>
          </rPr>
          <t>15/04/1809</t>
        </r>
        <r>
          <rPr>
            <i/>
            <sz val="14"/>
            <color rgb="FF000000"/>
            <rFont val="Times New Roman"/>
            <family val="18"/>
          </rPr>
          <t xml:space="preserve"> A 3Fl Handgeld bei der Hauptspital zu Prag Nr. 1 assentiert</t>
        </r>
        <r>
          <rPr>
            <sz val="14"/>
            <color rgb="FF000000"/>
            <rFont val="Times New Roman"/>
            <family val="18"/>
          </rPr>
          <t xml:space="preserve"> [TL Juni 1809]
</t>
        </r>
        <r>
          <rPr>
            <sz val="14"/>
            <color rgb="FF000000"/>
            <rFont val="Times New Roman"/>
            <family val="18"/>
          </rPr>
          <t xml:space="preserve">01/05/1809 </t>
        </r>
        <r>
          <rPr>
            <i/>
            <sz val="14"/>
            <color rgb="FF000000"/>
            <rFont val="Times New Roman"/>
            <family val="18"/>
          </rPr>
          <t xml:space="preserve">Von HFS 1 zum HFS 22 transferiert </t>
        </r>
        <r>
          <rPr>
            <sz val="14"/>
            <color rgb="FF000000"/>
            <rFont val="Times New Roman"/>
            <family val="18"/>
          </rPr>
          <t xml:space="preserve">[TL Juni 1809]
</t>
        </r>
        <r>
          <rPr>
            <sz val="14"/>
            <color rgb="FF000000"/>
            <rFont val="Times New Roman"/>
            <family val="18"/>
          </rPr>
          <t xml:space="preserve">31/05/1809 </t>
        </r>
        <r>
          <rPr>
            <i/>
            <sz val="14"/>
            <color rgb="FF000000"/>
            <rFont val="Times New Roman"/>
            <family val="18"/>
          </rPr>
          <t>Von HFS 22 zum HFS 32 transferiert</t>
        </r>
        <r>
          <rPr>
            <sz val="14"/>
            <color rgb="FF000000"/>
            <rFont val="Times New Roman"/>
            <family val="18"/>
          </rPr>
          <t xml:space="preserve"> [TL Juni 1809]</t>
        </r>
        <r>
          <rPr>
            <i/>
            <sz val="14"/>
            <color rgb="FF000000"/>
            <rFont val="Times New Roman"/>
            <family val="18"/>
          </rPr>
          <t xml:space="preserve"> </t>
        </r>
        <r>
          <rPr>
            <sz val="14"/>
            <color rgb="FF000000"/>
            <rFont val="Times New Roman"/>
            <family val="18"/>
          </rPr>
          <t xml:space="preserve">
</t>
        </r>
        <r>
          <rPr>
            <sz val="14"/>
            <color rgb="FF000000"/>
            <rFont val="Times New Roman"/>
            <family val="18"/>
          </rPr>
          <t xml:space="preserve">05/04/1810 </t>
        </r>
        <r>
          <rPr>
            <i/>
            <sz val="14"/>
            <color rgb="FF000000"/>
            <rFont val="Times New Roman"/>
            <family val="18"/>
          </rPr>
          <t>Mit Certificat entlassen</t>
        </r>
        <r>
          <rPr>
            <sz val="14"/>
            <color rgb="FF000000"/>
            <rFont val="Times New Roman"/>
            <family val="18"/>
          </rPr>
          <t xml:space="preserve"> [Verpf.-Cons. April 1810]
</t>
        </r>
      </text>
    </comment>
    <comment ref="BG688" authorId="0" shapeId="0" xr:uid="{45213B21-E0FE-CB4B-97D8-911DB00E5FC7}">
      <text>
        <r>
          <rPr>
            <sz val="14"/>
            <color rgb="FF000000"/>
            <rFont val="Times New Roman"/>
            <family val="18"/>
          </rPr>
          <t xml:space="preserve">ST 11.994 HFS (1809-14) – TL HFS 22-&gt;HFS 32 Nr. 31 (Pilsen 10/06/1809); VerpfL Juni 1809 (Geyersberg 31/12/1809); VerpfL April 1810 (Opočno 07/08/1810)
</t>
        </r>
      </text>
    </comment>
    <comment ref="BH688" authorId="0" shapeId="0" xr:uid="{A790E12A-5F8A-DB49-B259-557AA87719A2}">
      <text>
        <r>
          <rPr>
            <sz val="14"/>
            <color rgb="FF000000"/>
            <rFont val="Calibri"/>
            <family val="34"/>
          </rPr>
          <t xml:space="preserve">HFS 1 (1809) 
</t>
        </r>
        <r>
          <rPr>
            <sz val="14"/>
            <color rgb="FF000000"/>
            <rFont val="Calibri"/>
            <family val="34"/>
          </rPr>
          <t xml:space="preserve">HFS 22 (1809)
</t>
        </r>
        <r>
          <rPr>
            <sz val="14"/>
            <color rgb="FF000000"/>
            <rFont val="Calibri"/>
            <family val="34"/>
          </rPr>
          <t>HFS 32 (1809-1810)</t>
        </r>
      </text>
    </comment>
    <comment ref="BF689" authorId="0" shapeId="0" xr:uid="{FD4456E5-69FB-9B46-BFAF-6AED8B8359FB}">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In Rückzug gegen Znaym unwissend verloren</t>
        </r>
        <r>
          <rPr>
            <sz val="14"/>
            <color rgb="FF000000"/>
            <rFont val="Times New Roman"/>
            <family val="18"/>
          </rPr>
          <t xml:space="preserve"> [ST July 1809]</t>
        </r>
      </text>
    </comment>
    <comment ref="BG689" authorId="0" shapeId="0" xr:uid="{A05801E9-AF8C-374C-A066-967EB36EA323}">
      <text>
        <r>
          <rPr>
            <sz val="14"/>
            <color rgb="FF000000"/>
            <rFont val="Times New Roman"/>
            <family val="18"/>
          </rPr>
          <t>ML 10.815 EH Carl FK (1809-10) – AL Nr. 9 (Prague 28/03/1809), ST March (Prague 21/06/1809), ST Jan 1810 (??)</t>
        </r>
        <r>
          <rPr>
            <sz val="14"/>
            <color rgb="FF000000"/>
            <rFont val="Calibri"/>
            <family val="34"/>
          </rPr>
          <t xml:space="preserve">
</t>
        </r>
      </text>
    </comment>
    <comment ref="BH689" authorId="0" shapeId="0" xr:uid="{18A4E15A-C5AD-A24E-8817-5116CD835692}">
      <text>
        <r>
          <rPr>
            <sz val="14"/>
            <color rgb="FF000000"/>
            <rFont val="Calibri"/>
            <family val="34"/>
          </rPr>
          <t>Mährisch-schlesischen Freiwillige (1809)</t>
        </r>
      </text>
    </comment>
    <comment ref="BF690" authorId="0" shapeId="0" xr:uid="{75D035BA-D7AF-844B-8C43-3F2376ACBE1C}">
      <text>
        <r>
          <rPr>
            <i/>
            <sz val="14"/>
            <color rgb="FF000000"/>
            <rFont val="Times New Roman"/>
            <family val="18"/>
          </rPr>
          <t xml:space="preserve">Früher beim 2. Brünner Landwehr Bataillon gedient </t>
        </r>
        <r>
          <rPr>
            <sz val="14"/>
            <color rgb="FF000000"/>
            <rFont val="Calibri"/>
            <family val="34"/>
          </rPr>
          <t xml:space="preserve">
</t>
        </r>
        <r>
          <rPr>
            <i/>
            <sz val="14"/>
            <color rgb="FF000000"/>
            <rFont val="Times New Roman"/>
            <family val="18"/>
          </rPr>
          <t>Von Dominien gestellt</t>
        </r>
        <r>
          <rPr>
            <sz val="14"/>
            <color rgb="FF000000"/>
            <rFont val="Calibri"/>
            <family val="34"/>
          </rPr>
          <t xml:space="preserve">
</t>
        </r>
        <r>
          <rPr>
            <sz val="14"/>
            <color rgb="FF000000"/>
            <rFont val="Times New Roman"/>
            <family val="18"/>
          </rPr>
          <t xml:space="preserve">16/04/1809 </t>
        </r>
        <r>
          <rPr>
            <i/>
            <sz val="14"/>
            <color rgb="FF000000"/>
            <rFont val="Times New Roman"/>
            <family val="18"/>
          </rPr>
          <t>in Folge hoher General Commando Verordnung det. Brünn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In Rückzug gegen Znaym unwissend verloren</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09/07/1809 </t>
        </r>
        <r>
          <rPr>
            <i/>
            <sz val="14"/>
            <color rgb="FF000000"/>
            <rFont val="Times New Roman"/>
            <family val="18"/>
          </rPr>
          <t>Bei Znaim plessiert und gefangen</t>
        </r>
        <r>
          <rPr>
            <sz val="14"/>
            <color rgb="FF000000"/>
            <rFont val="Times New Roman"/>
            <family val="18"/>
          </rPr>
          <t xml:space="preserve"> [PL March 1811]</t>
        </r>
        <r>
          <rPr>
            <sz val="14"/>
            <color rgb="FF000000"/>
            <rFont val="Calibri"/>
            <family val="34"/>
          </rPr>
          <t xml:space="preserve">
</t>
        </r>
        <r>
          <rPr>
            <i/>
            <sz val="14"/>
            <color rgb="FF000000"/>
            <rFont val="Times New Roman"/>
            <family val="18"/>
          </rPr>
          <t>Verbrachte die Gefangenschaft in französisches Spital</t>
        </r>
        <r>
          <rPr>
            <sz val="14"/>
            <color rgb="FF000000"/>
            <rFont val="Times New Roman"/>
            <family val="18"/>
          </rPr>
          <t xml:space="preserve"> [PL March 1811]</t>
        </r>
        <r>
          <rPr>
            <sz val="14"/>
            <color rgb="FF000000"/>
            <rFont val="Calibri"/>
            <family val="34"/>
          </rPr>
          <t xml:space="preserve">
</t>
        </r>
        <r>
          <rPr>
            <sz val="14"/>
            <color rgb="FF000000"/>
            <rFont val="Times New Roman"/>
            <family val="18"/>
          </rPr>
          <t xml:space="preserve">28/02/1810 </t>
        </r>
        <r>
          <rPr>
            <i/>
            <sz val="14"/>
            <color rgb="FF000000"/>
            <rFont val="Times New Roman"/>
            <family val="18"/>
          </rPr>
          <t>Sich selbst ranzioniert, gemeldet und bei der 1. Komp. zurück in Stand gebracht und dann in Folge der Vorgeführten Verordnung P. 406 Mit Abschied entlassen</t>
        </r>
        <r>
          <rPr>
            <sz val="14"/>
            <color rgb="FF000000"/>
            <rFont val="Times New Roman"/>
            <family val="18"/>
          </rPr>
          <t xml:space="preserve"> [PL March 1811 &amp; ST Jan 1810]</t>
        </r>
      </text>
    </comment>
    <comment ref="BG690" authorId="0" shapeId="0" xr:uid="{2340D9A2-8067-9B4F-B51D-0A9932C46002}">
      <text>
        <r>
          <rPr>
            <sz val="14"/>
            <color rgb="FF000000"/>
            <rFont val="+mn-lt"/>
            <charset val="1"/>
          </rPr>
          <t>ST 11.823 Mähr-Schls. FW 3. Bat (1809-10) – PL Nr. 30 (Olmütz 31/03/1811), April (Olmütz 01/12/1810), ST July 1809 (05/01/1811), ST Feb 1810 (Olmütz 31/03/1811)</t>
        </r>
      </text>
    </comment>
    <comment ref="BH690" authorId="0" shapeId="0" xr:uid="{B120951A-06E5-CC4C-8880-EAF911157A75}">
      <text>
        <r>
          <rPr>
            <sz val="14"/>
            <color rgb="FF000000"/>
            <rFont val="Calibri"/>
            <family val="34"/>
          </rPr>
          <t>Mährisch-schlesischen Freiwillige (1809-10)</t>
        </r>
      </text>
    </comment>
    <comment ref="BF691" authorId="0" shapeId="0" xr:uid="{8221A09D-26E3-DE40-924D-B8B479C9CF7B}">
      <text>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15/08/1809 </t>
        </r>
        <r>
          <rPr>
            <i/>
            <sz val="14"/>
            <color rgb="FF000000"/>
            <rFont val="Times New Roman"/>
            <family val="18"/>
          </rPr>
          <t>Sonst auswärts Krank</t>
        </r>
        <r>
          <rPr>
            <sz val="14"/>
            <color rgb="FF000000"/>
            <rFont val="Times New Roman"/>
            <family val="18"/>
          </rPr>
          <t xml:space="preserve"> [ST Aug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148 [</t>
        </r>
        <r>
          <rPr>
            <i/>
            <sz val="14"/>
            <color rgb="FF000000"/>
            <rFont val="Times New Roman"/>
            <family val="18"/>
          </rPr>
          <t>Auf unbestimmte Urlaub</t>
        </r>
        <r>
          <rPr>
            <sz val="14"/>
            <color rgb="FF000000"/>
            <rFont val="Times New Roman"/>
            <family val="18"/>
          </rPr>
          <t>]</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691" authorId="0" shapeId="0" xr:uid="{B164D74F-D531-1041-A21B-21EE509CF216}">
      <text>
        <r>
          <rPr>
            <sz val="14"/>
            <color rgb="FF000000"/>
            <rFont val="Times New Roman"/>
            <family val="18"/>
          </rPr>
          <t>ST 11.821 Mähr-Schls. FW 1-3. Bats (1809-10) – RL 3. Bat 1. Komp. Nr. 148 (Poppowitz 31/01/1810)</t>
        </r>
        <r>
          <rPr>
            <sz val="14"/>
            <color rgb="FF000000"/>
            <rFont val="Calibri"/>
            <family val="34"/>
          </rPr>
          <t xml:space="preserve">
</t>
        </r>
        <r>
          <rPr>
            <sz val="14"/>
            <color rgb="FF000000"/>
            <rFont val="Times New Roman"/>
            <family val="18"/>
          </rPr>
          <t>ST 11.823 Mähr-Schls. FW 3. Bat (1809-10) – PL Nr. 30 (Olmütz 31/03/1811), April (Olmütz 01/12/1810), May (01/12/1810), Aug (Olmütz 11/03/1810), ST Feb 1810 (Olmütz 31/03/1811)</t>
        </r>
      </text>
    </comment>
    <comment ref="BH691" authorId="0" shapeId="0" xr:uid="{EC790422-D9F5-CC4E-91B4-DAA1E8598F4F}">
      <text>
        <r>
          <rPr>
            <sz val="14"/>
            <color rgb="FF000000"/>
            <rFont val="Calibri"/>
            <family val="34"/>
          </rPr>
          <t>Mährisch-schlesischen Freiwillige (1809-10)</t>
        </r>
      </text>
    </comment>
    <comment ref="BF692" authorId="0" shapeId="0" xr:uid="{D1FE6704-79F2-914D-AD19-621C1053CC19}">
      <text>
        <r>
          <rPr>
            <sz val="14"/>
            <color rgb="FF000000"/>
            <rFont val="Times New Roman"/>
            <family val="18"/>
          </rPr>
          <t xml:space="preserve">16/04/1809 </t>
        </r>
        <r>
          <rPr>
            <i/>
            <sz val="14"/>
            <color rgb="FF000000"/>
            <rFont val="Times New Roman"/>
            <family val="18"/>
          </rPr>
          <t>in Folge hoher General Commando Verordnung Ddet. Brunn am 5. Aprill 809 1683 von der Landwehr ins Mährisch-schlesischen Freiwillige 3 Bataillon transferiert und in 6. Kompanie zugeteilt</t>
        </r>
        <r>
          <rPr>
            <sz val="14"/>
            <color rgb="FF000000"/>
            <rFont val="Times New Roman"/>
            <family val="18"/>
          </rPr>
          <t xml:space="preserve"> [St April 1809]</t>
        </r>
        <r>
          <rPr>
            <sz val="14"/>
            <color rgb="FF000000"/>
            <rFont val="Calibri"/>
            <family val="34"/>
          </rPr>
          <t xml:space="preserve">
</t>
        </r>
        <r>
          <rPr>
            <sz val="14"/>
            <color rgb="FF000000"/>
            <rFont val="Times New Roman"/>
            <family val="18"/>
          </rPr>
          <t xml:space="preserve">01/05/1809 </t>
        </r>
        <r>
          <rPr>
            <i/>
            <sz val="14"/>
            <color rgb="FF000000"/>
            <rFont val="Times New Roman"/>
            <family val="18"/>
          </rPr>
          <t>Beim Depot zum Brünn mit Friedensgebühr</t>
        </r>
        <r>
          <rPr>
            <sz val="14"/>
            <color rgb="FF000000"/>
            <rFont val="Times New Roman"/>
            <family val="18"/>
          </rPr>
          <t xml:space="preserve"> [ST May 1809]</t>
        </r>
        <r>
          <rPr>
            <sz val="14"/>
            <color rgb="FF000000"/>
            <rFont val="Calibri"/>
            <family val="34"/>
          </rPr>
          <t xml:space="preserve">
</t>
        </r>
        <r>
          <rPr>
            <sz val="14"/>
            <color rgb="FF000000"/>
            <rFont val="Times New Roman"/>
            <family val="18"/>
          </rPr>
          <t xml:space="preserve">11/07/1809 </t>
        </r>
        <r>
          <rPr>
            <i/>
            <sz val="14"/>
            <color rgb="FF000000"/>
            <rFont val="Times New Roman"/>
            <family val="18"/>
          </rPr>
          <t>Mit auswärtiger Gebühr Krank in Spital in Oberitz</t>
        </r>
        <r>
          <rPr>
            <sz val="14"/>
            <color rgb="FF000000"/>
            <rFont val="Times New Roman"/>
            <family val="18"/>
          </rPr>
          <t xml:space="preserve"> [ST July 1809]</t>
        </r>
        <r>
          <rPr>
            <sz val="14"/>
            <color rgb="FF000000"/>
            <rFont val="Calibri"/>
            <family val="34"/>
          </rPr>
          <t xml:space="preserve">
</t>
        </r>
        <r>
          <rPr>
            <sz val="14"/>
            <color rgb="FF000000"/>
            <rFont val="Times New Roman"/>
            <family val="18"/>
          </rPr>
          <t xml:space="preserve">01/09/1809 </t>
        </r>
        <r>
          <rPr>
            <i/>
            <sz val="14"/>
            <color rgb="FF000000"/>
            <rFont val="Times New Roman"/>
            <family val="18"/>
          </rPr>
          <t>Von dissolvierte 6. Komp. Zum 1. Komp transferiert</t>
        </r>
        <r>
          <rPr>
            <sz val="14"/>
            <color rgb="FF000000"/>
            <rFont val="Times New Roman"/>
            <family val="18"/>
          </rPr>
          <t xml:space="preserve"> [ST Sept 1809]</t>
        </r>
        <r>
          <rPr>
            <sz val="14"/>
            <color rgb="FF000000"/>
            <rFont val="Calibri"/>
            <family val="34"/>
          </rPr>
          <t xml:space="preserve">
</t>
        </r>
        <r>
          <rPr>
            <sz val="14"/>
            <color rgb="FF000000"/>
            <rFont val="Times New Roman"/>
            <family val="18"/>
          </rPr>
          <t>31/01/1810 Revision: 3 Bat 1. Komp Nr. 149 [Auf unbestimmte Urlaub]</t>
        </r>
        <r>
          <rPr>
            <sz val="14"/>
            <color rgb="FF000000"/>
            <rFont val="Calibri"/>
            <family val="34"/>
          </rPr>
          <t xml:space="preserve">
</t>
        </r>
        <r>
          <rPr>
            <sz val="14"/>
            <color rgb="FF000000"/>
            <rFont val="Times New Roman"/>
            <family val="18"/>
          </rPr>
          <t xml:space="preserve">28/02/1810 </t>
        </r>
        <r>
          <rPr>
            <i/>
            <sz val="14"/>
            <color rgb="FF000000"/>
            <rFont val="Times New Roman"/>
            <family val="18"/>
          </rPr>
          <t>In Folge der Vorgeführten Verordnung P. 406 Mit Abschied entlassen</t>
        </r>
        <r>
          <rPr>
            <sz val="14"/>
            <color rgb="FF000000"/>
            <rFont val="Times New Roman"/>
            <family val="18"/>
          </rPr>
          <t xml:space="preserve"> [ST Feb 1810]</t>
        </r>
      </text>
    </comment>
    <comment ref="BG692" authorId="0" shapeId="0" xr:uid="{F29745EB-060D-364C-A5D2-840D55E11368}">
      <text>
        <r>
          <rPr>
            <sz val="14"/>
            <color rgb="FF000000"/>
            <rFont val="Times New Roman"/>
            <family val="18"/>
          </rPr>
          <t>ST 11.821 Mähr-Schls. FW 1-3. Bats (1809-10) – RL 3. Bat 1. Komp. Nr. 149 (Poppowitz 31/01/1810)</t>
        </r>
        <r>
          <rPr>
            <sz val="14"/>
            <color rgb="FF000000"/>
            <rFont val="Calibri"/>
            <family val="34"/>
          </rPr>
          <t xml:space="preserve">
</t>
        </r>
        <r>
          <rPr>
            <sz val="14"/>
            <color rgb="FF000000"/>
            <rFont val="Times New Roman"/>
            <family val="18"/>
          </rPr>
          <t>ST 11.823 Mähr-Schls. FW 3. Bat (1809-10) – PL Nr. 30 (Olmütz 31/03/1811), April (Olmütz 01/12/1810), May (Olmütz 01/12/1810), July (Olmütz 05/01/1811), ST Feb 1810 (Olmütz 31/03/1811)</t>
        </r>
      </text>
    </comment>
    <comment ref="BH692" authorId="0" shapeId="0" xr:uid="{51F3A852-1FF4-7740-AA6D-019BCCCC1493}">
      <text>
        <r>
          <rPr>
            <sz val="14"/>
            <color rgb="FF000000"/>
            <rFont val="Calibri"/>
            <family val="34"/>
          </rPr>
          <t>Mährisch-schlesischen Freiwillige (1809-10)</t>
        </r>
      </text>
    </comment>
    <comment ref="BF693" authorId="0" shapeId="0" xr:uid="{7070BF0C-1166-424F-8700-3A9DFC685BBB}">
      <text>
        <r>
          <rPr>
            <sz val="14"/>
            <color rgb="FF000000"/>
            <rFont val="Times New Roman"/>
            <family val="18"/>
          </rPr>
          <t xml:space="preserve">17/04/1809 </t>
        </r>
        <r>
          <rPr>
            <i/>
            <sz val="14"/>
            <color rgb="FF000000"/>
            <rFont val="Times New Roman"/>
            <family val="18"/>
          </rPr>
          <t>Gegen 3Fl Handgeld für EH Carl Legion 6. Bataillon als Inländer Rekrut freiwillig assentiert und zum 4. Kompanie eingeteilt</t>
        </r>
        <r>
          <rPr>
            <sz val="14"/>
            <color rgb="FF000000"/>
            <rFont val="Times New Roman"/>
            <family val="18"/>
          </rPr>
          <t xml:space="preserve"> [AL April 1809]</t>
        </r>
        <r>
          <rPr>
            <sz val="14"/>
            <color rgb="FF000000"/>
            <rFont val="Calibri"/>
            <family val="34"/>
          </rPr>
          <t xml:space="preserve">
</t>
        </r>
        <r>
          <rPr>
            <sz val="14"/>
            <color rgb="FF000000"/>
            <rFont val="Times New Roman"/>
            <family val="18"/>
          </rPr>
          <t xml:space="preserve">06/06/1809 </t>
        </r>
        <r>
          <rPr>
            <i/>
            <sz val="14"/>
            <color rgb="FF000000"/>
            <rFont val="Times New Roman"/>
            <family val="18"/>
          </rPr>
          <t>Von 4. Zum 5. Kompanie transferiert</t>
        </r>
        <r>
          <rPr>
            <sz val="14"/>
            <color rgb="FF000000"/>
            <rFont val="Times New Roman"/>
            <family val="18"/>
          </rPr>
          <t xml:space="preserve"> [ST June 1809]</t>
        </r>
        <r>
          <rPr>
            <sz val="14"/>
            <color rgb="FF000000"/>
            <rFont val="Calibri"/>
            <family val="34"/>
          </rPr>
          <t xml:space="preserve">
</t>
        </r>
        <r>
          <rPr>
            <sz val="14"/>
            <color rgb="FF000000"/>
            <rFont val="Times New Roman"/>
            <family val="18"/>
          </rPr>
          <t xml:space="preserve">19/12/1809 </t>
        </r>
        <r>
          <rPr>
            <i/>
            <sz val="14"/>
            <color rgb="FF000000"/>
            <rFont val="Times New Roman"/>
            <family val="18"/>
          </rPr>
          <t xml:space="preserve">Auf dem Marsch von Hustanowitz nach Kremsier unwissend verloren </t>
        </r>
        <r>
          <rPr>
            <sz val="14"/>
            <color rgb="FF000000"/>
            <rFont val="Times New Roman"/>
            <family val="18"/>
          </rPr>
          <t>[ST Dec 1809]</t>
        </r>
      </text>
    </comment>
    <comment ref="BG693" authorId="0" shapeId="0" xr:uid="{C75E5DF2-C0AA-5D4E-B1B6-C8C589C2BFE0}">
      <text>
        <r>
          <rPr>
            <sz val="14"/>
            <color rgb="FF000000"/>
            <rFont val="Times New Roman"/>
            <family val="18"/>
          </rPr>
          <t>ML 10.819 Legion EH Carl 6. Bat – AL Nr. 6 (Kuttenberg 18/04/1809), ST April (Prague 11/05/1810), ST June (Prague 31/05/1810), ST Dec (31/08/1810)</t>
        </r>
        <r>
          <rPr>
            <sz val="14"/>
            <color rgb="FF000000"/>
            <rFont val="Calibri"/>
            <family val="34"/>
          </rPr>
          <t xml:space="preserve">
</t>
        </r>
      </text>
    </comment>
    <comment ref="BH693" authorId="0" shapeId="0" xr:uid="{75AF2869-C717-2C47-9357-FC5BCA6F2C8D}">
      <text>
        <r>
          <rPr>
            <sz val="14"/>
            <color rgb="FF000000"/>
            <rFont val="Calibri"/>
            <family val="34"/>
          </rPr>
          <t>Legion EH Carl (1809)</t>
        </r>
      </text>
    </comment>
    <comment ref="T694" authorId="0" shapeId="0" xr:uid="{C0CF6723-AFA6-0E4B-ADDF-7C381A634595}">
      <text>
        <r>
          <rPr>
            <sz val="14"/>
            <color rgb="FF000000"/>
            <rFont val="Calibri"/>
            <family val="34"/>
          </rPr>
          <t xml:space="preserve">5.2.1 [163.48 (1809)]
</t>
        </r>
        <r>
          <rPr>
            <sz val="14"/>
            <color rgb="FF000000"/>
            <rFont val="Calibri"/>
            <family val="34"/>
          </rPr>
          <t>5.4 [165.52 (1810)]</t>
        </r>
      </text>
    </comment>
    <comment ref="BF694" authorId="0" shapeId="0" xr:uid="{E1E2C61B-89B3-0D45-9B7F-40D30B19B397}">
      <text>
        <r>
          <rPr>
            <sz val="14"/>
            <color rgb="FF000000"/>
            <rFont val="Times New Roman"/>
            <family val="18"/>
          </rPr>
          <t xml:space="preserve">21/04/1809 </t>
        </r>
        <r>
          <rPr>
            <i/>
            <sz val="14"/>
            <color rgb="FF000000"/>
            <rFont val="Times New Roman"/>
            <family val="18"/>
          </rPr>
          <t>A 3 Fl Handgeld als landständischer Recrout in III Reserve Battalion asssentiert</t>
        </r>
        <r>
          <rPr>
            <sz val="14"/>
            <color rgb="FF000000"/>
            <rFont val="Times New Roman"/>
            <family val="18"/>
          </rPr>
          <t xml:space="preserve"> [AL April 1809]</t>
        </r>
        <r>
          <rPr>
            <sz val="14"/>
            <color rgb="FF000000"/>
            <rFont val="Calibri"/>
            <family val="34"/>
          </rPr>
          <t xml:space="preserve">
</t>
        </r>
        <r>
          <rPr>
            <sz val="14"/>
            <color rgb="FF000000"/>
            <rFont val="Times New Roman"/>
            <family val="18"/>
          </rPr>
          <t xml:space="preserve">06/07/1809 </t>
        </r>
        <r>
          <rPr>
            <i/>
            <sz val="14"/>
            <color rgb="FF000000"/>
            <rFont val="Times New Roman"/>
            <family val="18"/>
          </rPr>
          <t>In der Schlacht von Deutsch Wagram in rechten Oberarm verletzt</t>
        </r>
        <r>
          <rPr>
            <sz val="14"/>
            <color rgb="FF000000"/>
            <rFont val="Times New Roman"/>
            <family val="18"/>
          </rPr>
          <t xml:space="preserve"> [SUP 1811]</t>
        </r>
        <r>
          <rPr>
            <sz val="14"/>
            <color rgb="FF000000"/>
            <rFont val="Calibri"/>
            <family val="34"/>
          </rPr>
          <t xml:space="preserve">
</t>
        </r>
        <r>
          <rPr>
            <sz val="14"/>
            <color rgb="FF000000"/>
            <rFont val="Times New Roman"/>
            <family val="18"/>
          </rPr>
          <t>24/09/1810 Revision: IR 42 8. Fus. Komp. Nr. 241 [</t>
        </r>
        <r>
          <rPr>
            <i/>
            <sz val="14"/>
            <color rgb="FF000000"/>
            <rFont val="Times New Roman"/>
            <family val="18"/>
          </rPr>
          <t>Beurlaubt bis zur Exercierzeit</t>
        </r>
        <r>
          <rPr>
            <sz val="14"/>
            <color rgb="FF000000"/>
            <rFont val="Times New Roman"/>
            <family val="18"/>
          </rPr>
          <t>]</t>
        </r>
        <r>
          <rPr>
            <sz val="14"/>
            <color rgb="FF000000"/>
            <rFont val="Calibri"/>
            <family val="34"/>
          </rPr>
          <t xml:space="preserve">
</t>
        </r>
        <r>
          <rPr>
            <sz val="14"/>
            <color rgb="FF000000"/>
            <rFont val="Times New Roman"/>
            <family val="18"/>
          </rPr>
          <t xml:space="preserve">30/09/1810 Superarbietrierung in Prag: </t>
        </r>
        <r>
          <rPr>
            <i/>
            <sz val="14"/>
            <color rgb="FF000000"/>
            <rFont val="Times New Roman"/>
            <family val="18"/>
          </rPr>
          <t>Mit Reservations Urkunde zu entlassen</t>
        </r>
        <r>
          <rPr>
            <sz val="14"/>
            <color rgb="FF000000"/>
            <rFont val="Calibri"/>
            <family val="34"/>
          </rPr>
          <t xml:space="preserve">
</t>
        </r>
        <r>
          <rPr>
            <sz val="14"/>
            <color rgb="FF000000"/>
            <rFont val="Times New Roman"/>
            <family val="18"/>
          </rPr>
          <t xml:space="preserve">05/10/1810 </t>
        </r>
        <r>
          <rPr>
            <i/>
            <sz val="14"/>
            <color rgb="FF000000"/>
            <rFont val="Times New Roman"/>
            <family val="18"/>
          </rPr>
          <t>Als Reale Invalid zum Prager Invaliden Haus transferiert</t>
        </r>
        <r>
          <rPr>
            <sz val="14"/>
            <color rgb="FF000000"/>
            <rFont val="Times New Roman"/>
            <family val="18"/>
          </rPr>
          <t xml:space="preserve"> [ML 1811]</t>
        </r>
      </text>
    </comment>
    <comment ref="BG694" authorId="0" shapeId="0" xr:uid="{05AD127B-C3F3-2048-82A4-F220DF7959F5}">
      <text>
        <r>
          <rPr>
            <sz val="14"/>
            <color rgb="FF000000"/>
            <rFont val="Times New Roman"/>
            <family val="18"/>
          </rPr>
          <t>ML 3774 IR 42 (1810) – 8. Fus. Komp. Nr. 241 (Theresienstadt 24/09/1810)</t>
        </r>
        <r>
          <rPr>
            <sz val="14"/>
            <color rgb="FF000000"/>
            <rFont val="Calibri"/>
            <family val="34"/>
          </rPr>
          <t xml:space="preserve">
</t>
        </r>
        <r>
          <rPr>
            <sz val="14"/>
            <color rgb="FF000000"/>
            <rFont val="Times New Roman"/>
            <family val="18"/>
          </rPr>
          <t>ML 3775 IR 42 (1811) – 8. Fus. Komp. Abgang (Theresienstadt 10/09/1811)</t>
        </r>
        <r>
          <rPr>
            <sz val="14"/>
            <color rgb="FF000000"/>
            <rFont val="Calibri"/>
            <family val="34"/>
          </rPr>
          <t xml:space="preserve">
</t>
        </r>
        <r>
          <rPr>
            <sz val="14"/>
            <color rgb="FF000000"/>
            <rFont val="Times New Roman"/>
            <family val="18"/>
          </rPr>
          <t>ML 3835 IR 42 (1809) – AL IR 42 3. Reserve Bataillon Nr. 121 (Elbogen 28/04/1809)</t>
        </r>
        <r>
          <rPr>
            <sz val="14"/>
            <color rgb="FF000000"/>
            <rFont val="Calibri"/>
            <family val="34"/>
          </rPr>
          <t xml:space="preserve">
</t>
        </r>
        <r>
          <rPr>
            <sz val="14"/>
            <color rgb="FF000000"/>
            <rFont val="Times New Roman"/>
            <family val="18"/>
          </rPr>
          <t>ML 3838 IR 42 (1810) – SUP Nr. 1 (Prague 30/09/1810); TL IR 42-&gt; InvH Prag Nr. 1 (Eger 16/10/1810)</t>
        </r>
        <r>
          <rPr>
            <sz val="14"/>
            <color rgb="FF000000"/>
            <rFont val="Calibri"/>
            <family val="34"/>
          </rPr>
          <t xml:space="preserve">
</t>
        </r>
      </text>
    </comment>
    <comment ref="BH694" authorId="0" shapeId="0" xr:uid="{C44360F2-CEE1-CF42-980B-1AC065DF8F50}">
      <text>
        <r>
          <rPr>
            <sz val="14"/>
            <color rgb="FF000000"/>
            <rFont val="Calibri"/>
            <family val="34"/>
          </rPr>
          <t>IR 42 (1809-1810)</t>
        </r>
      </text>
    </comment>
    <comment ref="BI694" authorId="0" shapeId="0" xr:uid="{6D114524-525A-5B4B-9F16-88646D427E87}">
      <text>
        <r>
          <rPr>
            <sz val="14"/>
            <color rgb="FF000000"/>
            <rFont val="Calibri"/>
            <family val="34"/>
          </rPr>
          <t>Gut [SUP 1810]</t>
        </r>
      </text>
    </comment>
    <comment ref="BJ694" authorId="0" shapeId="0" xr:uid="{99AFDDB7-1812-3642-AE0B-9C40635D769A}">
      <text>
        <r>
          <rPr>
            <i/>
            <sz val="14"/>
            <color rgb="FF000000"/>
            <rFont val="Times New Roman"/>
            <family val="18"/>
          </rPr>
          <t>Plesirt am Rechten ober Arm, dahero Schwach und schwäche desselben‘ &amp; ‚bey Deutsch Wagram den 6. Juli 1809 eine Schuss erhalten, und sind zu dessen Herstellung Mitteln angewendet worden</t>
        </r>
        <r>
          <rPr>
            <sz val="14"/>
            <color rgb="FF000000"/>
            <rFont val="Times New Roman"/>
            <family val="18"/>
          </rPr>
          <t xml:space="preserve"> [SUP Sept 1810]</t>
        </r>
      </text>
    </comment>
    <comment ref="BF695" authorId="0" shapeId="0" xr:uid="{B9FCDA5B-0E16-374A-BF8A-0060379133A1}">
      <text>
        <r>
          <rPr>
            <sz val="14"/>
            <color rgb="FF000000"/>
            <rFont val="Times New Roman"/>
            <family val="18"/>
          </rPr>
          <t>22/04/1809</t>
        </r>
        <r>
          <rPr>
            <i/>
            <sz val="14"/>
            <color rgb="FF000000"/>
            <rFont val="Times New Roman"/>
            <family val="18"/>
          </rPr>
          <t xml:space="preserve"> 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assentiert und zum 4. Komp. eingeheilt </t>
        </r>
        <r>
          <rPr>
            <sz val="14"/>
            <color rgb="FF000000"/>
            <rFont val="Times New Roman"/>
            <family val="18"/>
          </rPr>
          <t>[AL April 1809]</t>
        </r>
        <r>
          <rPr>
            <sz val="14"/>
            <color rgb="FF000000"/>
            <rFont val="Calibri"/>
            <family val="34"/>
          </rPr>
          <t xml:space="preserve">
</t>
        </r>
        <r>
          <rPr>
            <sz val="14"/>
            <color rgb="FF000000"/>
            <rFont val="Times New Roman"/>
            <family val="18"/>
          </rPr>
          <t xml:space="preserve">06/12/1809 </t>
        </r>
        <r>
          <rPr>
            <i/>
            <sz val="14"/>
            <color rgb="FF000000"/>
            <rFont val="Times New Roman"/>
            <family val="18"/>
          </rPr>
          <t>Krank auswärts</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24/01/1810 </t>
        </r>
        <r>
          <rPr>
            <i/>
            <sz val="14"/>
            <color rgb="FF000000"/>
            <rFont val="Times New Roman"/>
            <family val="18"/>
          </rPr>
          <t>Mit Viaticum von 2Fl 30Xr mit Abschied entlassen</t>
        </r>
        <r>
          <rPr>
            <sz val="14"/>
            <color rgb="FF000000"/>
            <rFont val="Times New Roman"/>
            <family val="18"/>
          </rPr>
          <t xml:space="preserve"> [ST Jan 1810]</t>
        </r>
      </text>
    </comment>
    <comment ref="BG695" authorId="0" shapeId="0" xr:uid="{E9903D2B-FB24-3842-B775-0D7AF1FB5B90}">
      <text>
        <r>
          <rPr>
            <sz val="14"/>
            <color rgb="FF000000"/>
            <rFont val="Times New Roman"/>
            <family val="18"/>
          </rPr>
          <t>ML 10.831 WGal FB 2 (1809-10) – AL Nr. 83 (Krakow 40/04/1809), ST April (Politzka 13/07/1810), ST Dec (Tichmenitz 12/02/1811), ST 1810 Jan (Tichnowitz 03/03/1811)</t>
        </r>
        <r>
          <rPr>
            <sz val="14"/>
            <color rgb="FF000000"/>
            <rFont val="Calibri"/>
            <family val="34"/>
          </rPr>
          <t xml:space="preserve">
</t>
        </r>
      </text>
    </comment>
    <comment ref="BH695" authorId="0" shapeId="0" xr:uid="{F7319626-1705-BB48-A82B-E9E8A3B1967B}">
      <text>
        <r>
          <rPr>
            <sz val="14"/>
            <color rgb="FF000000"/>
            <rFont val="Calibri"/>
            <family val="34"/>
          </rPr>
          <t>WGal FB 2 (1809-10)</t>
        </r>
      </text>
    </comment>
    <comment ref="I696" authorId="0" shapeId="0" xr:uid="{0DC0AC6F-A4B1-C945-B193-4B911709E329}">
      <text>
        <r>
          <rPr>
            <sz val="14"/>
            <color rgb="FF000000"/>
            <rFont val="Calibri"/>
            <family val="34"/>
          </rPr>
          <t xml:space="preserve">1786 [31 (1817)
</t>
        </r>
        <r>
          <rPr>
            <sz val="14"/>
            <color rgb="FF000000"/>
            <rFont val="Calibri"/>
            <family val="34"/>
          </rPr>
          <t xml:space="preserve">1790 [19 (1809)]
</t>
        </r>
        <r>
          <rPr>
            <sz val="14"/>
            <color rgb="FF000000"/>
            <rFont val="Calibri"/>
            <family val="34"/>
          </rPr>
          <t xml:space="preserve">1792 [18 (1810)] </t>
        </r>
      </text>
    </comment>
    <comment ref="T696" authorId="0" shapeId="0" xr:uid="{159E5569-F24E-074B-8CE3-FD3ED99F0292}">
      <text>
        <r>
          <rPr>
            <sz val="14"/>
            <color rgb="FF000000"/>
            <rFont val="Calibri"/>
            <family val="34"/>
          </rPr>
          <t xml:space="preserve">155.33 (1809)
</t>
        </r>
        <r>
          <rPr>
            <sz val="14"/>
            <color rgb="FF000000"/>
            <rFont val="Calibri"/>
            <family val="34"/>
          </rPr>
          <t>163.9 (1810/17)</t>
        </r>
      </text>
    </comment>
    <comment ref="BF696" authorId="0" shapeId="0" xr:uid="{9998E8C8-2516-DA4B-B4FC-DB86FEB2798E}">
      <text>
        <r>
          <rPr>
            <sz val="14"/>
            <color rgb="FF000000"/>
            <rFont val="Times New Roman"/>
            <family val="18"/>
          </rPr>
          <t xml:space="preserve">25/04/1809 </t>
        </r>
        <r>
          <rPr>
            <i/>
            <sz val="14"/>
            <color rgb="FF000000"/>
            <rFont val="Times New Roman"/>
            <family val="18"/>
          </rPr>
          <t xml:space="preserve">Zum Westgalizischen Frei Bat. Nr. 2 auf Werbgeld von 15Fl </t>
        </r>
        <r>
          <rPr>
            <sz val="14"/>
            <color rgb="FF000000"/>
            <rFont val="Times New Roman"/>
            <family val="18"/>
          </rPr>
          <t xml:space="preserve">[davon 5 Handgeld, 8 sonstige Unkosten und 2. Anbringsgeld] </t>
        </r>
        <r>
          <rPr>
            <i/>
            <sz val="14"/>
            <color rgb="FF000000"/>
            <rFont val="Times New Roman"/>
            <family val="18"/>
          </rPr>
          <t xml:space="preserve">auf Kriegsdauer assentiert und zur 3. Komp. von Haupt. Vetter eingeheilt </t>
        </r>
        <r>
          <rPr>
            <sz val="14"/>
            <color rgb="FF000000"/>
            <rFont val="Times New Roman"/>
            <family val="18"/>
          </rPr>
          <t>[AL April 1809 &amp; ST April 1809]</t>
        </r>
        <r>
          <rPr>
            <sz val="14"/>
            <color rgb="FF000000"/>
            <rFont val="Calibri"/>
            <family val="34"/>
          </rPr>
          <t xml:space="preserve">
</t>
        </r>
        <r>
          <rPr>
            <sz val="14"/>
            <color rgb="FFFF0000"/>
            <rFont val="Times New Roman"/>
            <family val="18"/>
          </rPr>
          <t xml:space="preserve">26/05/1809 </t>
        </r>
        <r>
          <rPr>
            <i/>
            <sz val="14"/>
            <color rgb="FFFF0000"/>
            <rFont val="Times New Roman"/>
            <family val="18"/>
          </rPr>
          <t xml:space="preserve">Zum Westgalizischen Frei Bat. Nr. 2 auf Werbgeld von 15Fl </t>
        </r>
        <r>
          <rPr>
            <sz val="14"/>
            <color rgb="FFFF0000"/>
            <rFont val="Times New Roman"/>
            <family val="18"/>
          </rPr>
          <t xml:space="preserve">[davon 5 Handgeld, 8 Umkosten und 2. Anbringsgeld] </t>
        </r>
        <r>
          <rPr>
            <i/>
            <sz val="14"/>
            <color rgb="FFFF0000"/>
            <rFont val="Times New Roman"/>
            <family val="18"/>
          </rPr>
          <t xml:space="preserve">auf Kriegsdauer assentiert und zum 5. Komp. ‘Drak’ eingeheilt </t>
        </r>
        <r>
          <rPr>
            <sz val="14"/>
            <color rgb="FFFF0000"/>
            <rFont val="Times New Roman"/>
            <family val="18"/>
          </rPr>
          <t>[AL May 1809]</t>
        </r>
        <r>
          <rPr>
            <sz val="14"/>
            <color rgb="FF000000"/>
            <rFont val="Calibri"/>
            <family val="34"/>
          </rPr>
          <t xml:space="preserve">
</t>
        </r>
        <r>
          <rPr>
            <sz val="14"/>
            <color rgb="FF000000"/>
            <rFont val="Times New Roman"/>
            <family val="18"/>
          </rPr>
          <t xml:space="preserve">20/01/1810 </t>
        </r>
        <r>
          <rPr>
            <i/>
            <sz val="14"/>
            <color rgb="FF000000"/>
            <rFont val="Times New Roman"/>
            <family val="18"/>
          </rPr>
          <t>Ohne Viaticum mit Abschied entlassen</t>
        </r>
        <r>
          <rPr>
            <sz val="14"/>
            <color rgb="FF000000"/>
            <rFont val="Times New Roman"/>
            <family val="18"/>
          </rPr>
          <t xml:space="preserve"> [ST Jan 1810] </t>
        </r>
        <r>
          <rPr>
            <sz val="14"/>
            <color rgb="FF000000"/>
            <rFont val="Calibri"/>
            <family val="34"/>
          </rPr>
          <t xml:space="preserve">
</t>
        </r>
        <r>
          <rPr>
            <i/>
            <sz val="14"/>
            <color rgb="FFFF0000"/>
            <rFont val="Times New Roman"/>
            <family val="18"/>
          </rPr>
          <t>Hat Früher bei den 2. Westgallizischen FB gedient</t>
        </r>
        <r>
          <rPr>
            <sz val="14"/>
            <color rgb="FFFF0000"/>
            <rFont val="Times New Roman"/>
            <family val="18"/>
          </rPr>
          <t xml:space="preserve"> [AL Jan 1810]</t>
        </r>
        <r>
          <rPr>
            <sz val="14"/>
            <color rgb="FF000000"/>
            <rFont val="Calibri"/>
            <family val="34"/>
          </rPr>
          <t xml:space="preserve">
</t>
        </r>
        <r>
          <rPr>
            <sz val="14"/>
            <color rgb="FF000000"/>
            <rFont val="Times New Roman"/>
            <family val="18"/>
          </rPr>
          <t xml:space="preserve">21/01/1810 </t>
        </r>
        <r>
          <rPr>
            <i/>
            <sz val="14"/>
            <color rgb="FF000000"/>
            <rFont val="Times New Roman"/>
            <family val="18"/>
          </rPr>
          <t xml:space="preserve">Auf 12Fl Werbgeld in IR 63 als Ausländer assentiert, zur 4. Kompanie zugeheilt und seitdem mit loco Verpflegung in Leitomischel commandiert </t>
        </r>
        <r>
          <rPr>
            <sz val="14"/>
            <color rgb="FF000000"/>
            <rFont val="Times New Roman"/>
            <family val="18"/>
          </rPr>
          <t xml:space="preserve"> [AL Jan 1810 &amp; ST Jan 1810] </t>
        </r>
        <r>
          <rPr>
            <sz val="14"/>
            <color rgb="FF000000"/>
            <rFont val="Calibri"/>
            <family val="34"/>
          </rPr>
          <t xml:space="preserve">
</t>
        </r>
        <r>
          <rPr>
            <sz val="14"/>
            <color rgb="FFFF0000"/>
            <rFont val="Times New Roman"/>
            <family val="18"/>
          </rPr>
          <t xml:space="preserve">21/01/1810 </t>
        </r>
        <r>
          <rPr>
            <i/>
            <sz val="14"/>
            <color rgb="FFFF0000"/>
            <rFont val="Times New Roman"/>
            <family val="18"/>
          </rPr>
          <t>Auf 10 Jahre assentiert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12/02/1810 </t>
        </r>
        <r>
          <rPr>
            <i/>
            <sz val="14"/>
            <color rgb="FF000000"/>
            <rFont val="Times New Roman"/>
            <family val="18"/>
          </rPr>
          <t>In der Kompanie eingerückt</t>
        </r>
        <r>
          <rPr>
            <sz val="14"/>
            <color rgb="FF000000"/>
            <rFont val="Times New Roman"/>
            <family val="18"/>
          </rPr>
          <t xml:space="preserve"> [ST Feb 1810]</t>
        </r>
        <r>
          <rPr>
            <sz val="14"/>
            <color rgb="FF000000"/>
            <rFont val="Calibri"/>
            <family val="34"/>
          </rPr>
          <t xml:space="preserve">
</t>
        </r>
        <r>
          <rPr>
            <sz val="14"/>
            <color rgb="FF000000"/>
            <rFont val="Times New Roman"/>
            <family val="18"/>
          </rPr>
          <t xml:space="preserve">21/08/1810 </t>
        </r>
        <r>
          <rPr>
            <i/>
            <sz val="14"/>
            <color rgb="FF000000"/>
            <rFont val="Times New Roman"/>
            <family val="18"/>
          </rPr>
          <t>Auf Arbeit zu Comorn commandiert</t>
        </r>
        <r>
          <rPr>
            <sz val="14"/>
            <color rgb="FF000000"/>
            <rFont val="Times New Roman"/>
            <family val="18"/>
          </rPr>
          <t xml:space="preserve"> [ST Aug 1810]</t>
        </r>
        <r>
          <rPr>
            <sz val="14"/>
            <color rgb="FF000000"/>
            <rFont val="Calibri"/>
            <family val="34"/>
          </rPr>
          <t xml:space="preserve">
</t>
        </r>
        <r>
          <rPr>
            <sz val="14"/>
            <color rgb="FF000000"/>
            <rFont val="Times New Roman"/>
            <family val="18"/>
          </rPr>
          <t xml:space="preserve">01/11/1810 </t>
        </r>
        <r>
          <rPr>
            <i/>
            <sz val="14"/>
            <color rgb="FF000000"/>
            <rFont val="Times New Roman"/>
            <family val="18"/>
          </rPr>
          <t xml:space="preserve">Auf Arbeit in Comorn beurlaubt </t>
        </r>
        <r>
          <rPr>
            <sz val="14"/>
            <color rgb="FF000000"/>
            <rFont val="Times New Roman"/>
            <family val="18"/>
          </rPr>
          <t>[ST Nov 1810]</t>
        </r>
        <r>
          <rPr>
            <sz val="14"/>
            <color rgb="FF000000"/>
            <rFont val="Calibri"/>
            <family val="34"/>
          </rPr>
          <t xml:space="preserve">
</t>
        </r>
        <r>
          <rPr>
            <sz val="14"/>
            <color rgb="FF000000"/>
            <rFont val="Times New Roman"/>
            <family val="18"/>
          </rPr>
          <t xml:space="preserve">18/11/1813 </t>
        </r>
        <r>
          <rPr>
            <i/>
            <sz val="14"/>
            <color rgb="FF000000"/>
            <rFont val="Times New Roman"/>
            <family val="18"/>
          </rPr>
          <t xml:space="preserve">zum Gefreyter avanciert </t>
        </r>
        <r>
          <rPr>
            <sz val="14"/>
            <color rgb="FF000000"/>
            <rFont val="Times New Roman"/>
            <family val="18"/>
          </rPr>
          <t>[ML 1817]</t>
        </r>
        <r>
          <rPr>
            <sz val="14"/>
            <color rgb="FF000000"/>
            <rFont val="Calibri"/>
            <family val="34"/>
          </rPr>
          <t xml:space="preserve">
</t>
        </r>
        <r>
          <rPr>
            <sz val="14"/>
            <color rgb="FF000000"/>
            <rFont val="Times New Roman"/>
            <family val="18"/>
          </rPr>
          <t xml:space="preserve">01/06/1815 </t>
        </r>
        <r>
          <rPr>
            <i/>
            <sz val="14"/>
            <color rgb="FF000000"/>
            <rFont val="Times New Roman"/>
            <family val="18"/>
          </rPr>
          <t>Von Bianchi Inf.</t>
        </r>
        <r>
          <rPr>
            <sz val="14"/>
            <color rgb="FF000000"/>
            <rFont val="Times New Roman"/>
            <family val="18"/>
          </rPr>
          <t xml:space="preserve"> </t>
        </r>
        <r>
          <rPr>
            <b/>
            <sz val="14"/>
            <color rgb="FF000000"/>
            <rFont val="Times New Roman"/>
            <family val="18"/>
          </rPr>
          <t>[NIR 63]</t>
        </r>
        <r>
          <rPr>
            <sz val="14"/>
            <color rgb="FF000000"/>
            <rFont val="Times New Roman"/>
            <family val="18"/>
          </rPr>
          <t xml:space="preserve"> </t>
        </r>
        <r>
          <rPr>
            <i/>
            <sz val="14"/>
            <color rgb="FF000000"/>
            <rFont val="Times New Roman"/>
            <family val="18"/>
          </rPr>
          <t>anherro</t>
        </r>
        <r>
          <rPr>
            <sz val="14"/>
            <color rgb="FF000000"/>
            <rFont val="Times New Roman"/>
            <family val="18"/>
          </rPr>
          <t xml:space="preserve"> </t>
        </r>
        <r>
          <rPr>
            <b/>
            <sz val="14"/>
            <color rgb="FF000000"/>
            <rFont val="Times New Roman"/>
            <family val="18"/>
          </rPr>
          <t>[IR 40]</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29/09/1817 Muster: IR 63 4. Fus Komp. Nr. 19</t>
        </r>
      </text>
    </comment>
    <comment ref="BG696" authorId="0" shapeId="0" xr:uid="{796DCB71-A666-B745-A4CA-F0809FC71A40}">
      <text>
        <r>
          <rPr>
            <sz val="14"/>
            <color rgb="FF000000"/>
            <rFont val="Times New Roman"/>
            <family val="18"/>
          </rPr>
          <t>ML 3598 IR 40 (1817) – 4. Fus. Komp. Nr. 19 (Myszlenitz 29/09/1817)</t>
        </r>
        <r>
          <rPr>
            <sz val="14"/>
            <color rgb="FF000000"/>
            <rFont val="Calibri"/>
            <family val="34"/>
          </rPr>
          <t xml:space="preserve">
</t>
        </r>
        <r>
          <rPr>
            <sz val="14"/>
            <color rgb="FF000000"/>
            <rFont val="Times New Roman"/>
            <family val="18"/>
          </rPr>
          <t>ML 5292 IR 63 (1810) – Jan (Preßburg 20/06/1811), Feb (Preßburg 26/06/1811), Aug (31/10/1811), Nov (Br</t>
        </r>
        <r>
          <rPr>
            <sz val="14"/>
            <color rgb="FF000000"/>
            <rFont val="german"/>
            <charset val="1"/>
          </rPr>
          <t xml:space="preserve">ünn </t>
        </r>
        <r>
          <rPr>
            <sz val="14"/>
            <color rgb="FF000000"/>
            <rFont val="Times New Roman"/>
            <family val="18"/>
          </rPr>
          <t>20/11/1811)</t>
        </r>
        <r>
          <rPr>
            <sz val="14"/>
            <color rgb="FF000000"/>
            <rFont val="Calibri"/>
            <family val="34"/>
          </rPr>
          <t xml:space="preserve">
</t>
        </r>
        <r>
          <rPr>
            <sz val="14"/>
            <color rgb="FF000000"/>
            <rFont val="Times New Roman"/>
            <family val="18"/>
          </rPr>
          <t>ML 5293 IR 63 (1810) AL/TL – AL Nr. 2 (Leitmoschil 21/01/1810)</t>
        </r>
        <r>
          <rPr>
            <sz val="14"/>
            <color rgb="FF000000"/>
            <rFont val="Calibri"/>
            <family val="34"/>
          </rPr>
          <t xml:space="preserve">
</t>
        </r>
        <r>
          <rPr>
            <sz val="14"/>
            <color rgb="FF000000"/>
            <rFont val="Times New Roman"/>
            <family val="18"/>
          </rPr>
          <t>ML 10.831 WGal FB 2 (1809-10) – AL Nr. 91 (Krakow 30/04/1809) &amp; AL Nr. 83 (Krakow 30/05/1809), ST April (Politzka 13/07/1810), ST 1810 Jan (Tichnowitz 03/03/1811)</t>
        </r>
        <r>
          <rPr>
            <sz val="14"/>
            <color rgb="FF000000"/>
            <rFont val="Calibri"/>
            <family val="34"/>
          </rPr>
          <t xml:space="preserve">
</t>
        </r>
      </text>
    </comment>
    <comment ref="BH696" authorId="0" shapeId="0" xr:uid="{757B1551-2E9E-794B-AD0C-4273B42E8FBB}">
      <text>
        <r>
          <rPr>
            <sz val="14"/>
            <color rgb="FF000000"/>
            <rFont val="Calibri"/>
            <family val="34"/>
          </rPr>
          <t xml:space="preserve">WGal FB 2 (1809-10)
</t>
        </r>
        <r>
          <rPr>
            <sz val="14"/>
            <color rgb="FF000000"/>
            <rFont val="Calibri"/>
            <family val="34"/>
          </rPr>
          <t xml:space="preserve">IR 63 (1810-15)
</t>
        </r>
        <r>
          <rPr>
            <sz val="14"/>
            <color rgb="FF000000"/>
            <rFont val="Calibri"/>
            <family val="34"/>
          </rPr>
          <t>IR 40 (1815-17)</t>
        </r>
      </text>
    </comment>
    <comment ref="BF697" authorId="0" shapeId="0" xr:uid="{C817BD8B-F525-1C44-8A9D-0E29F2457D0A}">
      <text>
        <r>
          <rPr>
            <sz val="14"/>
            <color rgb="FF000000"/>
            <rFont val="Times New Roman"/>
            <family val="18"/>
          </rPr>
          <t xml:space="preserve">27/04/1809 </t>
        </r>
        <r>
          <rPr>
            <i/>
            <sz val="14"/>
            <color rgb="FF000000"/>
            <rFont val="Times New Roman"/>
            <family val="18"/>
          </rPr>
          <t>Auf 15 fl Handgeld zum s. Bataillon von Mährisch-schlesischen Freiwillige auf die Dauer des Krieges angeworben und zum 1. Kompanie ‚D‘Estang‘ eingeteilt</t>
        </r>
        <r>
          <rPr>
            <sz val="14"/>
            <color rgb="FF000000"/>
            <rFont val="Times New Roman"/>
            <family val="18"/>
          </rPr>
          <t xml:space="preserve"> [AL April 1809 &amp; ST April]</t>
        </r>
        <r>
          <rPr>
            <sz val="14"/>
            <color rgb="FF000000"/>
            <rFont val="Calibri"/>
            <family val="34"/>
          </rPr>
          <t xml:space="preserve">
</t>
        </r>
        <r>
          <rPr>
            <sz val="14"/>
            <color rgb="FF000000"/>
            <rFont val="Times New Roman"/>
            <family val="18"/>
          </rPr>
          <t xml:space="preserve">06/07/1809 </t>
        </r>
        <r>
          <rPr>
            <i/>
            <sz val="14"/>
            <color rgb="FF000000"/>
            <rFont val="Times New Roman"/>
            <family val="18"/>
          </rPr>
          <t>Als blessiert</t>
        </r>
        <r>
          <rPr>
            <sz val="14"/>
            <color rgb="FF000000"/>
            <rFont val="Times New Roman"/>
            <family val="18"/>
          </rPr>
          <t xml:space="preserve"> </t>
        </r>
        <r>
          <rPr>
            <b/>
            <sz val="14"/>
            <color rgb="FF000000"/>
            <rFont val="Times New Roman"/>
            <family val="18"/>
          </rPr>
          <t>[Bei Marktgrafneusiedl]</t>
        </r>
        <r>
          <rPr>
            <sz val="14"/>
            <color rgb="FF000000"/>
            <rFont val="Times New Roman"/>
            <family val="18"/>
          </rPr>
          <t xml:space="preserve"> </t>
        </r>
        <r>
          <rPr>
            <i/>
            <sz val="14"/>
            <color rgb="FF000000"/>
            <rFont val="Times New Roman"/>
            <family val="18"/>
          </rPr>
          <t>krank in Armee Spital</t>
        </r>
        <r>
          <rPr>
            <sz val="14"/>
            <color rgb="FF000000"/>
            <rFont val="Times New Roman"/>
            <family val="18"/>
          </rPr>
          <t xml:space="preserve"> [ST July 1809] </t>
        </r>
        <r>
          <rPr>
            <i/>
            <sz val="14"/>
            <color rgb="FF000000"/>
            <rFont val="Times New Roman"/>
            <family val="18"/>
          </rPr>
          <t>derselbe Tag in Kriegsgefangenschaft gerathen</t>
        </r>
        <r>
          <rPr>
            <sz val="14"/>
            <color rgb="FF000000"/>
            <rFont val="Times New Roman"/>
            <family val="18"/>
          </rPr>
          <t xml:space="preserve"> [ST March-Oct 1810]</t>
        </r>
        <r>
          <rPr>
            <sz val="14"/>
            <color rgb="FF000000"/>
            <rFont val="Calibri"/>
            <family val="34"/>
          </rPr>
          <t xml:space="preserve">
</t>
        </r>
        <r>
          <rPr>
            <sz val="14"/>
            <color rgb="FF000000"/>
            <rFont val="Times New Roman"/>
            <family val="18"/>
          </rPr>
          <t>30/01/1810 Dissolvierung: 1. Bat 6. Komp Nr. 146 [</t>
        </r>
        <r>
          <rPr>
            <i/>
            <sz val="14"/>
            <color rgb="FF000000"/>
            <rFont val="Times New Roman"/>
            <family val="18"/>
          </rPr>
          <t>In Armée Spitälern Krank und Blessiert</t>
        </r>
        <r>
          <rPr>
            <sz val="14"/>
            <color rgb="FF000000"/>
            <rFont val="Times New Roman"/>
            <family val="18"/>
          </rPr>
          <t>]</t>
        </r>
        <r>
          <rPr>
            <sz val="14"/>
            <color rgb="FF000000"/>
            <rFont val="Calibri"/>
            <family val="34"/>
          </rPr>
          <t xml:space="preserve">
</t>
        </r>
        <r>
          <rPr>
            <sz val="14"/>
            <color rgb="FF000000"/>
            <rFont val="Times New Roman"/>
            <family val="18"/>
          </rPr>
          <t xml:space="preserve">31/03/1810 </t>
        </r>
        <r>
          <rPr>
            <i/>
            <sz val="14"/>
            <color rgb="FF000000"/>
            <rFont val="Times New Roman"/>
            <family val="18"/>
          </rPr>
          <t>In loco Präsentiert als von Kriegsgefangenschaft Zurück und als ausgedienter Kriegscapitulant mit Abschied entlassen</t>
        </r>
        <r>
          <rPr>
            <sz val="14"/>
            <color rgb="FF000000"/>
            <rFont val="Times New Roman"/>
            <family val="18"/>
          </rPr>
          <t xml:space="preserve"> [ST March-Oct 1810] </t>
        </r>
      </text>
    </comment>
    <comment ref="BG697" authorId="0" shapeId="0" xr:uid="{0F8014A1-D470-9348-963D-145EE1056908}">
      <text>
        <r>
          <rPr>
            <sz val="14"/>
            <color rgb="FF000000"/>
            <rFont val="Times New Roman"/>
            <family val="18"/>
          </rPr>
          <t>ST 10.820 Mähr-Schls. FW 1-2. Bats (1809-10) – DL 2. Bat 1. Komp Nr. 146 (Austerlitz 30/01/1802)</t>
        </r>
        <r>
          <rPr>
            <sz val="14"/>
            <color rgb="FF000000"/>
            <rFont val="Calibri"/>
            <family val="34"/>
          </rPr>
          <t xml:space="preserve">
</t>
        </r>
        <r>
          <rPr>
            <sz val="14"/>
            <color rgb="FF000000"/>
            <rFont val="Times New Roman"/>
            <family val="18"/>
          </rPr>
          <t xml:space="preserve">ST 10.821 Mähr-Schls. FW 1-2. Bats (1809-10) – AL Nr. 61 (Olmütz 30/04/1809), ST April (30/04/1810), ST July (15/08/1810) </t>
        </r>
        <r>
          <rPr>
            <sz val="14"/>
            <color rgb="FF000000"/>
            <rFont val="Calibri"/>
            <family val="34"/>
          </rPr>
          <t xml:space="preserve">
</t>
        </r>
        <r>
          <rPr>
            <sz val="14"/>
            <color rgb="FF000000"/>
            <rFont val="Times New Roman"/>
            <family val="18"/>
          </rPr>
          <t>ST 10.822 Mähr-Schls. FW 1-2. Bats (1810) – ST March-Oct (28/02/1811)</t>
        </r>
      </text>
    </comment>
    <comment ref="BH697" authorId="0" shapeId="0" xr:uid="{7D025CCC-329A-6E42-9E8D-CD15C4AAD18B}">
      <text>
        <r>
          <rPr>
            <sz val="14"/>
            <color rgb="FF000000"/>
            <rFont val="Calibri"/>
            <family val="34"/>
          </rPr>
          <t>Mährisch-schlesischen Freiwillige (1809-10)</t>
        </r>
      </text>
    </comment>
    <comment ref="BF698" authorId="0" shapeId="0" xr:uid="{FA4D69E9-2B01-6D4B-BDC4-328FC8D16409}">
      <text>
        <r>
          <rPr>
            <sz val="14"/>
            <color rgb="FF000000"/>
            <rFont val="Times New Roman"/>
            <family val="18"/>
          </rPr>
          <t xml:space="preserve">01/05/1809 </t>
        </r>
        <r>
          <rPr>
            <i/>
            <sz val="14"/>
            <color rgb="FF000000"/>
            <rFont val="Times New Roman"/>
            <family val="18"/>
          </rPr>
          <t>A 3Fl Handgeld von der G. St. gestellt und zu Kerpen Inf</t>
        </r>
        <r>
          <rPr>
            <sz val="14"/>
            <color rgb="FF000000"/>
            <rFont val="Times New Roman"/>
            <family val="18"/>
          </rPr>
          <t xml:space="preserve">. </t>
        </r>
        <r>
          <rPr>
            <b/>
            <sz val="14"/>
            <color rgb="FF000000"/>
            <rFont val="Times New Roman"/>
            <family val="18"/>
          </rPr>
          <t>[IR 49]</t>
        </r>
        <r>
          <rPr>
            <i/>
            <sz val="14"/>
            <color rgb="FF000000"/>
            <rFont val="Times New Roman"/>
            <family val="18"/>
          </rPr>
          <t xml:space="preserve"> assentiert</t>
        </r>
        <r>
          <rPr>
            <sz val="14"/>
            <color rgb="FF000000"/>
            <rFont val="Times New Roman"/>
            <family val="18"/>
          </rPr>
          <t xml:space="preserve"> [ML 1811] </t>
        </r>
        <r>
          <rPr>
            <sz val="14"/>
            <color rgb="FF000000"/>
            <rFont val="Calibri"/>
            <family val="34"/>
          </rPr>
          <t xml:space="preserve">
</t>
        </r>
        <r>
          <rPr>
            <sz val="14"/>
            <color rgb="FF000000"/>
            <rFont val="Times New Roman"/>
            <family val="18"/>
          </rPr>
          <t xml:space="preserve">06/11/1810 </t>
        </r>
        <r>
          <rPr>
            <i/>
            <sz val="14"/>
            <color rgb="FF000000"/>
            <rFont val="Times New Roman"/>
            <family val="18"/>
          </rPr>
          <t>Von da</t>
        </r>
        <r>
          <rPr>
            <sz val="14"/>
            <color rgb="FF000000"/>
            <rFont val="Times New Roman"/>
            <family val="18"/>
          </rPr>
          <t xml:space="preserve"> </t>
        </r>
        <r>
          <rPr>
            <b/>
            <sz val="14"/>
            <color rgb="FF000000"/>
            <rFont val="Times New Roman"/>
            <family val="18"/>
          </rPr>
          <t xml:space="preserve">[IR 49] </t>
        </r>
        <r>
          <rPr>
            <i/>
            <sz val="14"/>
            <color rgb="FF000000"/>
            <rFont val="Times New Roman"/>
            <family val="18"/>
          </rPr>
          <t>zu k.k. Niederösterreichische militär Granz Cordon transferiert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Muster: GK NÖ 1. Komp. Nr. 38</t>
        </r>
        <r>
          <rPr>
            <sz val="14"/>
            <color rgb="FF000000"/>
            <rFont val="Calibri"/>
            <family val="34"/>
          </rPr>
          <t xml:space="preserve">
</t>
        </r>
        <r>
          <rPr>
            <sz val="14"/>
            <color rgb="FF000000"/>
            <rFont val="Times New Roman"/>
            <family val="18"/>
          </rPr>
          <t>22/09/1812 Revision: GK NÖ 1. Komp. Nr. 33</t>
        </r>
        <r>
          <rPr>
            <sz val="14"/>
            <color rgb="FF000000"/>
            <rFont val="Calibri"/>
            <family val="34"/>
          </rPr>
          <t xml:space="preserve">
</t>
        </r>
        <r>
          <rPr>
            <sz val="14"/>
            <color rgb="FF000000"/>
            <rFont val="Times New Roman"/>
            <family val="18"/>
          </rPr>
          <t>15/09/1817 Muster: GK NÖ 1. Komp. Nr. 115</t>
        </r>
        <r>
          <rPr>
            <sz val="14"/>
            <color rgb="FF000000"/>
            <rFont val="Calibri"/>
            <family val="34"/>
          </rPr>
          <t xml:space="preserve">
</t>
        </r>
        <r>
          <rPr>
            <sz val="14"/>
            <color rgb="FF000000"/>
            <rFont val="Times New Roman"/>
            <family val="18"/>
          </rPr>
          <t>22/09/1818 Muster: GK NÖ 1. Komp. Nr. 116</t>
        </r>
        <r>
          <rPr>
            <sz val="14"/>
            <color rgb="FF000000"/>
            <rFont val="Calibri"/>
            <family val="34"/>
          </rPr>
          <t xml:space="preserve">
</t>
        </r>
        <r>
          <rPr>
            <sz val="14"/>
            <color rgb="FF000000"/>
            <rFont val="Times New Roman"/>
            <family val="18"/>
          </rPr>
          <t>??/09/1819 Muster: GK NÖ 1. Komp. Nr. 156</t>
        </r>
        <r>
          <rPr>
            <sz val="14"/>
            <color rgb="FF000000"/>
            <rFont val="Calibri"/>
            <family val="34"/>
          </rPr>
          <t xml:space="preserve">
</t>
        </r>
        <r>
          <rPr>
            <sz val="14"/>
            <color rgb="FF000000"/>
            <rFont val="Times New Roman"/>
            <family val="18"/>
          </rPr>
          <t xml:space="preserve">10/10/1819 </t>
        </r>
        <r>
          <rPr>
            <i/>
            <sz val="14"/>
            <color rgb="FF000000"/>
            <rFont val="Times New Roman"/>
            <family val="18"/>
          </rPr>
          <t>Als ausgedineter Capitulant mit Abschied entlassen</t>
        </r>
        <r>
          <rPr>
            <sz val="14"/>
            <color rgb="FF000000"/>
            <rFont val="Times New Roman"/>
            <family val="18"/>
          </rPr>
          <t xml:space="preserve"> [ML 1820]</t>
        </r>
        <r>
          <rPr>
            <sz val="14"/>
            <color rgb="FF000000"/>
            <rFont val="Calibri"/>
            <family val="34"/>
          </rPr>
          <t xml:space="preserve">
</t>
        </r>
      </text>
    </comment>
    <comment ref="BG698" authorId="0" shapeId="0" xr:uid="{E318BB5B-9C4D-484D-BC81-ABD295C96E05}">
      <text>
        <r>
          <rPr>
            <sz val="14"/>
            <color rgb="FF000000"/>
            <rFont val="Times New Roman"/>
            <family val="18"/>
          </rPr>
          <t>ML 8750 GK NÖ (1811) – 1. Komp Nr. 38 (Wiener Neustat 21/09/1811)</t>
        </r>
        <r>
          <rPr>
            <sz val="14"/>
            <color rgb="FF000000"/>
            <rFont val="Calibri"/>
            <family val="34"/>
          </rPr>
          <t xml:space="preserve">
</t>
        </r>
        <r>
          <rPr>
            <sz val="14"/>
            <color rgb="FF000000"/>
            <rFont val="Times New Roman"/>
            <family val="18"/>
          </rPr>
          <t>ML 8750 GK NÖ (1812) – 1. Komp. Nr. 33 (Wiener Neustat 22/09/1812)</t>
        </r>
        <r>
          <rPr>
            <sz val="14"/>
            <color rgb="FF000000"/>
            <rFont val="Calibri"/>
            <family val="34"/>
          </rPr>
          <t xml:space="preserve">
</t>
        </r>
        <r>
          <rPr>
            <sz val="14"/>
            <color rgb="FF000000"/>
            <rFont val="Times New Roman"/>
            <family val="18"/>
          </rPr>
          <t>ML 8750 GK NÖ (1817) –1. Komp. Nr. 115 (Wiener Neustadt 15/09/1817)</t>
        </r>
        <r>
          <rPr>
            <sz val="14"/>
            <color rgb="FF000000"/>
            <rFont val="Calibri"/>
            <family val="34"/>
          </rPr>
          <t xml:space="preserve">
</t>
        </r>
        <r>
          <rPr>
            <sz val="14"/>
            <color rgb="FF000000"/>
            <rFont val="Times New Roman"/>
            <family val="18"/>
          </rPr>
          <t>ML 8750 GK NÖ (1818) –1. Komp. Nr. 116 (Wiener Neustadt 22/09/1818)</t>
        </r>
        <r>
          <rPr>
            <sz val="14"/>
            <color rgb="FF000000"/>
            <rFont val="Calibri"/>
            <family val="34"/>
          </rPr>
          <t xml:space="preserve">
</t>
        </r>
        <r>
          <rPr>
            <sz val="14"/>
            <color rgb="FF000000"/>
            <rFont val="Times New Roman"/>
            <family val="18"/>
          </rPr>
          <t>ML 8750 GK NÖ (1819) –1. Komp. Nr. 156 (Sept 1819?)</t>
        </r>
        <r>
          <rPr>
            <sz val="14"/>
            <color rgb="FF000000"/>
            <rFont val="Calibri"/>
            <family val="34"/>
          </rPr>
          <t xml:space="preserve">
</t>
        </r>
        <r>
          <rPr>
            <sz val="14"/>
            <color rgb="FF000000"/>
            <rFont val="Times New Roman"/>
            <family val="18"/>
          </rPr>
          <t>ML 8750 GK NÖ (1820) –1. Komp. Abgang (Sept 1820?)</t>
        </r>
        <r>
          <rPr>
            <sz val="14"/>
            <color rgb="FF000000"/>
            <rFont val="Calibri"/>
            <family val="34"/>
          </rPr>
          <t xml:space="preserve">
</t>
        </r>
      </text>
    </comment>
    <comment ref="BH698" authorId="0" shapeId="0" xr:uid="{9C372110-9B91-7E40-9D27-4A2BC5471907}">
      <text>
        <r>
          <rPr>
            <sz val="14"/>
            <color rgb="FF000000"/>
            <rFont val="Calibri"/>
            <family val="34"/>
          </rPr>
          <t xml:space="preserve">IR 49 (1809-1810)
</t>
        </r>
        <r>
          <rPr>
            <sz val="14"/>
            <color rgb="FF000000"/>
            <rFont val="Calibri"/>
            <family val="34"/>
          </rPr>
          <t>GK NÖ (1810-1819)</t>
        </r>
      </text>
    </comment>
    <comment ref="BF699" authorId="0" shapeId="0" xr:uid="{CCE1B464-80C0-7449-8232-8D9AB78448ED}">
      <text>
        <r>
          <rPr>
            <sz val="14"/>
            <color rgb="FF000000"/>
            <rFont val="Times New Roman"/>
            <family val="18"/>
          </rPr>
          <t xml:space="preserve">01/05/1809 </t>
        </r>
        <r>
          <rPr>
            <i/>
            <sz val="14"/>
            <color rgb="FF000000"/>
            <rFont val="Times New Roman"/>
            <family val="18"/>
          </rPr>
          <t>Als landständische Rekrut a 3Fl zum IR 4 assentiert und zur 1. Depot Komp. eingeheilt</t>
        </r>
        <r>
          <rPr>
            <sz val="14"/>
            <color rgb="FF000000"/>
            <rFont val="Times New Roman"/>
            <family val="18"/>
          </rPr>
          <t xml:space="preserve"> [TL May 1809]</t>
        </r>
        <r>
          <rPr>
            <sz val="14"/>
            <color rgb="FF000000"/>
            <rFont val="Calibri"/>
            <family val="34"/>
          </rPr>
          <t xml:space="preserve">
</t>
        </r>
      </text>
    </comment>
    <comment ref="BG699" authorId="0" shapeId="0" xr:uid="{55E72261-4BFB-7046-A767-7978A1C0229E}">
      <text>
        <r>
          <rPr>
            <sz val="14"/>
            <color rgb="FF000000"/>
            <rFont val="Times New Roman"/>
            <family val="18"/>
          </rPr>
          <t>ML 400/1 IR 4 (1809) – AL Nr. 53 (Vienna 08/05/1809)</t>
        </r>
      </text>
    </comment>
    <comment ref="BH699" authorId="0" shapeId="0" xr:uid="{694213A4-F252-2B41-A9A0-4002EECE1968}">
      <text>
        <r>
          <rPr>
            <sz val="14"/>
            <color rgb="FF000000"/>
            <rFont val="Calibri"/>
            <family val="34"/>
          </rPr>
          <t>IR 4 (1809)</t>
        </r>
      </text>
    </comment>
    <comment ref="BF700" authorId="0" shapeId="0" xr:uid="{642FDC8E-EDBC-D841-AF1A-58093FF9142B}">
      <text>
        <r>
          <rPr>
            <sz val="14"/>
            <color rgb="FF000000"/>
            <rFont val="Times New Roman"/>
            <family val="18"/>
          </rPr>
          <t xml:space="preserve">06/05/1809 </t>
        </r>
        <r>
          <rPr>
            <i/>
            <sz val="14"/>
            <color rgb="FF000000"/>
            <rFont val="Times New Roman"/>
            <family val="18"/>
          </rPr>
          <t>Als ärztliche</t>
        </r>
        <r>
          <rPr>
            <sz val="14"/>
            <color rgb="FF000000"/>
            <rFont val="Times New Roman"/>
            <family val="18"/>
          </rPr>
          <t xml:space="preserve"> </t>
        </r>
        <r>
          <rPr>
            <i/>
            <sz val="14"/>
            <color rgb="FF000000"/>
            <rFont val="Times New Roman"/>
            <family val="18"/>
          </rPr>
          <t>Praktikant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15/01/1810 </t>
        </r>
        <r>
          <rPr>
            <i/>
            <sz val="14"/>
            <color rgb="FF000000"/>
            <rFont val="Times New Roman"/>
            <family val="18"/>
          </rPr>
          <t>Mit Abschied entlassen</t>
        </r>
        <r>
          <rPr>
            <sz val="14"/>
            <color rgb="FF000000"/>
            <rFont val="Times New Roman"/>
            <family val="18"/>
          </rPr>
          <t xml:space="preserve"> [VrpfL. Jan 1810]
</t>
        </r>
      </text>
    </comment>
    <comment ref="BG700" authorId="0" shapeId="0" xr:uid="{C75A0F29-92C1-524B-A49C-3F87F53CFC91}">
      <text>
        <r>
          <rPr>
            <sz val="14"/>
            <color rgb="FF000000"/>
            <rFont val="Times New Roman"/>
            <family val="18"/>
          </rPr>
          <t>ST 11.994 HFS (1809-14) – AL Nr. 13 (Prague 23/05/1810); VerpfL Juni 1809 (Geyersberg 31/12/1809); VerpfL Jan 1810 (Opochno 30/06/1810)</t>
        </r>
        <r>
          <rPr>
            <sz val="14"/>
            <color rgb="FF000000"/>
            <rFont val="Times New Roman"/>
            <family val="18"/>
          </rPr>
          <t xml:space="preserve">
</t>
        </r>
      </text>
    </comment>
    <comment ref="BH700" authorId="0" shapeId="0" xr:uid="{DDC2A209-176A-C14D-8FC8-C1F381EC2699}">
      <text>
        <r>
          <rPr>
            <sz val="14"/>
            <color rgb="FF000000"/>
            <rFont val="Calibri"/>
            <family val="34"/>
          </rPr>
          <t xml:space="preserve">HFS 1 (1809) 
</t>
        </r>
        <r>
          <rPr>
            <sz val="14"/>
            <color rgb="FF000000"/>
            <rFont val="Calibri"/>
            <family val="34"/>
          </rPr>
          <t>HFS 32 (1809-1810)</t>
        </r>
      </text>
    </comment>
    <comment ref="BF701" authorId="0" shapeId="0" xr:uid="{1E73AF28-2DF3-3E41-BC03-05CCA61DFC45}">
      <text>
        <r>
          <rPr>
            <sz val="14"/>
            <color rgb="FF000000"/>
            <rFont val="Times New Roman"/>
            <family val="18"/>
          </rPr>
          <t xml:space="preserve">09/05/1809 </t>
        </r>
        <r>
          <rPr>
            <i/>
            <sz val="14"/>
            <color rgb="FF000000"/>
            <rFont val="Times New Roman"/>
            <family val="18"/>
          </rPr>
          <t>A 3Fl Handgeld auf 10 Jahren von Ständen gestellt</t>
        </r>
        <r>
          <rPr>
            <sz val="14"/>
            <color rgb="FF000000"/>
            <rFont val="Times New Roman"/>
            <family val="18"/>
          </rPr>
          <t xml:space="preserve"> [TL Mai 1809]</t>
        </r>
        <r>
          <rPr>
            <sz val="14"/>
            <color rgb="FF000000"/>
            <rFont val="Calibri"/>
            <family val="34"/>
          </rPr>
          <t xml:space="preserve">
</t>
        </r>
        <r>
          <rPr>
            <sz val="14"/>
            <color rgb="FF000000"/>
            <rFont val="Times New Roman"/>
            <family val="18"/>
          </rPr>
          <t xml:space="preserve">16/05/1809 </t>
        </r>
        <r>
          <rPr>
            <i/>
            <sz val="14"/>
            <color rgb="FF000000"/>
            <rFont val="Times New Roman"/>
            <family val="18"/>
          </rPr>
          <t>Von IR 28 1. Dept Komp. Haupt, Schranz zum CR 8 transferiert</t>
        </r>
        <r>
          <rPr>
            <sz val="14"/>
            <color rgb="FF000000"/>
            <rFont val="Times New Roman"/>
            <family val="18"/>
          </rPr>
          <t xml:space="preserve"> [TL Mai 1809]</t>
        </r>
        <r>
          <rPr>
            <sz val="14"/>
            <color rgb="FF000000"/>
            <rFont val="Calibri"/>
            <family val="34"/>
          </rPr>
          <t xml:space="preserve">
</t>
        </r>
      </text>
    </comment>
    <comment ref="BG701" authorId="0" shapeId="0" xr:uid="{9399D168-048E-F345-9C33-897C448B8F74}">
      <text>
        <r>
          <rPr>
            <sz val="14"/>
            <color rgb="FF000000"/>
            <rFont val="Times New Roman"/>
            <family val="18"/>
          </rPr>
          <t>ML CR 8 (1809) – TL IR 28-&gt;CR 8 Nr. 46 (Königgrätz 13/09/1809)</t>
        </r>
      </text>
    </comment>
    <comment ref="BH701" authorId="0" shapeId="0" xr:uid="{48B5C537-77DF-2941-B66A-954EE0B24322}">
      <text>
        <r>
          <rPr>
            <sz val="14"/>
            <color rgb="FF000000"/>
            <rFont val="Calibri"/>
            <family val="34"/>
          </rPr>
          <t xml:space="preserve">IR 28 (1809)
</t>
        </r>
        <r>
          <rPr>
            <sz val="14"/>
            <color rgb="FF000000"/>
            <rFont val="Calibri"/>
            <family val="34"/>
          </rPr>
          <t>CR 8 (1809)</t>
        </r>
      </text>
    </comment>
    <comment ref="BI701" authorId="0" shapeId="0" xr:uid="{FEE03056-A1AF-0447-97A3-196C035F5F51}">
      <text>
        <r>
          <rPr>
            <sz val="14"/>
            <color rgb="FF000000"/>
            <rFont val="Calibri"/>
            <family val="34"/>
          </rPr>
          <t>Gut [TL 1809]</t>
        </r>
      </text>
    </comment>
    <comment ref="BF702" authorId="0" shapeId="0" xr:uid="{5EB73AB6-459F-9841-9437-18F7027DBD7D}">
      <text>
        <r>
          <rPr>
            <sz val="14"/>
            <color rgb="FF000000"/>
            <rFont val="Times New Roman"/>
            <family val="18"/>
          </rPr>
          <t xml:space="preserve">09/05/1809 </t>
        </r>
        <r>
          <rPr>
            <i/>
            <sz val="14"/>
            <color rgb="FF000000"/>
            <rFont val="Times New Roman"/>
            <family val="18"/>
          </rPr>
          <t xml:space="preserve">Von königliche Freistadt Debreczyn </t>
        </r>
        <r>
          <rPr>
            <b/>
            <sz val="14"/>
            <color rgb="FF000000"/>
            <rFont val="Times New Roman"/>
            <family val="18"/>
          </rPr>
          <t>[</t>
        </r>
        <r>
          <rPr>
            <b/>
            <u/>
            <sz val="14"/>
            <color rgb="FF0563C1"/>
            <rFont val="Times New Roman"/>
            <family val="18"/>
          </rPr>
          <t>Debrecen, Hungary</t>
        </r>
        <r>
          <rPr>
            <b/>
            <sz val="14"/>
            <color rgb="FF000000"/>
            <rFont val="Times New Roman"/>
            <family val="18"/>
          </rPr>
          <t>]</t>
        </r>
        <r>
          <rPr>
            <sz val="14"/>
            <color rgb="FF000000"/>
            <rFont val="Times New Roman"/>
            <family val="18"/>
          </rPr>
          <t xml:space="preserve">, </t>
        </r>
        <r>
          <rPr>
            <i/>
            <sz val="14"/>
            <color rgb="FF000000"/>
            <rFont val="Times New Roman"/>
            <family val="18"/>
          </rPr>
          <t>in Bihar</t>
        </r>
        <r>
          <rPr>
            <sz val="14"/>
            <color rgb="FF000000"/>
            <rFont val="Times New Roman"/>
            <family val="18"/>
          </rPr>
          <t xml:space="preserve"> </t>
        </r>
        <r>
          <rPr>
            <i/>
            <sz val="14"/>
            <color rgb="FF000000"/>
            <rFont val="Times New Roman"/>
            <family val="18"/>
          </rPr>
          <t xml:space="preserve">Komität von Land gestellt und gegen 3 FL auf dem Werbplatz Debreczyn zum IR 39 assentiert und zum 20. Fus. Komp. eingeteilt </t>
        </r>
        <r>
          <rPr>
            <sz val="14"/>
            <color rgb="FF000000"/>
            <rFont val="Times New Roman"/>
            <family val="18"/>
          </rPr>
          <t>[AL März 1809]</t>
        </r>
        <r>
          <rPr>
            <sz val="14"/>
            <color rgb="FF000000"/>
            <rFont val="Calibri"/>
            <family val="34"/>
          </rPr>
          <t xml:space="preserve">
</t>
        </r>
        <r>
          <rPr>
            <sz val="14"/>
            <color rgb="FF000000"/>
            <rFont val="Times New Roman"/>
            <family val="18"/>
          </rPr>
          <t xml:space="preserve">23/08/1809 </t>
        </r>
        <r>
          <rPr>
            <i/>
            <sz val="14"/>
            <color rgb="FF000000"/>
            <rFont val="Times New Roman"/>
            <family val="18"/>
          </rPr>
          <t>Zu Pest in Militärspital gestorben</t>
        </r>
        <r>
          <rPr>
            <sz val="14"/>
            <color rgb="FF000000"/>
            <rFont val="Times New Roman"/>
            <family val="18"/>
          </rPr>
          <t xml:space="preserve"> [ML 1811]</t>
        </r>
        <r>
          <rPr>
            <sz val="14"/>
            <color rgb="FF000000"/>
            <rFont val="Calibri"/>
            <family val="2"/>
            <scheme val="minor"/>
          </rPr>
          <t xml:space="preserve"> </t>
        </r>
      </text>
    </comment>
    <comment ref="BG702" authorId="0" shapeId="0" xr:uid="{2F69D3EE-3107-114C-8FCF-FD300BE40DAF}">
      <text>
        <r>
          <rPr>
            <sz val="14"/>
            <color rgb="FF000000"/>
            <rFont val="Times New Roman"/>
            <family val="18"/>
          </rPr>
          <t>ML 3501/2 IR 39 (1811) – 20. Fus. Komp. Abgang (Ofen 19/09/1811)</t>
        </r>
        <r>
          <rPr>
            <sz val="14"/>
            <color rgb="FF000000"/>
            <rFont val="Calibri"/>
            <family val="34"/>
          </rPr>
          <t xml:space="preserve">
</t>
        </r>
        <r>
          <rPr>
            <sz val="14"/>
            <color rgb="FF000000"/>
            <rFont val="Times New Roman"/>
            <family val="18"/>
          </rPr>
          <t>ML 3550 IR 39 (1809) – AL Nr. 189 (Debrecen 10/05/1809)</t>
        </r>
      </text>
    </comment>
    <comment ref="BH702" authorId="0" shapeId="0" xr:uid="{C2DAA8AC-44FD-B547-9EDC-501FA2B68B6F}">
      <text>
        <r>
          <rPr>
            <sz val="14"/>
            <color rgb="FF000000"/>
            <rFont val="Calibri"/>
            <family val="34"/>
          </rPr>
          <t>IR 39 (1809)</t>
        </r>
      </text>
    </comment>
    <comment ref="BF703" authorId="0" shapeId="0" xr:uid="{4DA73192-542A-E94B-9658-E73D429A353A}">
      <text>
        <r>
          <rPr>
            <sz val="14"/>
            <color rgb="FF000000"/>
            <rFont val="Times New Roman"/>
            <family val="18"/>
          </rPr>
          <t xml:space="preserve">10/05/1809 </t>
        </r>
        <r>
          <rPr>
            <i/>
            <sz val="14"/>
            <color rgb="FF000000"/>
            <rFont val="Times New Roman"/>
            <family val="18"/>
          </rPr>
          <t xml:space="preserve">von Chrudimer Kreis gestellt und mit 3Fl Handgeld und 12 Jährigen Capitulation zum DR 6 assentiert </t>
        </r>
        <r>
          <rPr>
            <sz val="14"/>
            <color rgb="FF000000"/>
            <rFont val="Times New Roman"/>
            <family val="18"/>
          </rPr>
          <t>[AL Mai 1809]</t>
        </r>
        <r>
          <rPr>
            <sz val="14"/>
            <color rgb="FF000000"/>
            <rFont val="Calibri"/>
            <family val="34"/>
          </rPr>
          <t xml:space="preserve">
</t>
        </r>
        <r>
          <rPr>
            <sz val="14"/>
            <color rgb="FF000000"/>
            <rFont val="Calibri"/>
            <family val="34"/>
          </rPr>
          <t xml:space="preserve">
</t>
        </r>
      </text>
    </comment>
    <comment ref="BG703" authorId="0" shapeId="0" xr:uid="{3A0609F1-3D05-C649-A964-772ACBBF6BB8}">
      <text>
        <r>
          <rPr>
            <sz val="14"/>
            <color rgb="FF000000"/>
            <rFont val="Times New Roman"/>
            <family val="18"/>
          </rPr>
          <t>ML 7008 DR 6 (1809) – AL Nr. 9 (Chrudim 15/05/1809)</t>
        </r>
      </text>
    </comment>
    <comment ref="BH703" authorId="0" shapeId="0" xr:uid="{50C49B20-AAE4-8F4B-9E06-6A496DB64555}">
      <text>
        <r>
          <rPr>
            <sz val="14"/>
            <color rgb="FF000000"/>
            <rFont val="Calibri"/>
            <family val="34"/>
          </rPr>
          <t>DR 6 (1809)</t>
        </r>
      </text>
    </comment>
    <comment ref="BF704" authorId="0" shapeId="0" xr:uid="{1B7F93B9-18C3-144C-8559-EF91D9A1BBEA}">
      <text>
        <r>
          <rPr>
            <sz val="14"/>
            <color rgb="FF000000"/>
            <rFont val="Times New Roman"/>
            <family val="18"/>
          </rPr>
          <t xml:space="preserve">11/05/1809 </t>
        </r>
        <r>
          <rPr>
            <i/>
            <sz val="14"/>
            <color rgb="FF000000"/>
            <rFont val="Times New Roman"/>
            <family val="18"/>
          </rPr>
          <t>Als ärztliche</t>
        </r>
        <r>
          <rPr>
            <sz val="14"/>
            <color rgb="FF000000"/>
            <rFont val="Times New Roman"/>
            <family val="18"/>
          </rPr>
          <t xml:space="preserve"> </t>
        </r>
        <r>
          <rPr>
            <i/>
            <sz val="14"/>
            <color rgb="FF000000"/>
            <rFont val="Times New Roman"/>
            <family val="18"/>
          </rPr>
          <t>Praktikant neu assentiert</t>
        </r>
        <r>
          <rPr>
            <sz val="14"/>
            <color rgb="FF000000"/>
            <rFont val="Times New Roman"/>
            <family val="18"/>
          </rPr>
          <t xml:space="preserve"> [TL Mai 1809]
</t>
        </r>
        <r>
          <rPr>
            <sz val="14"/>
            <color rgb="FF000000"/>
            <rFont val="Times New Roman"/>
            <family val="18"/>
          </rPr>
          <t xml:space="preserve">31/05/1809 </t>
        </r>
        <r>
          <rPr>
            <i/>
            <sz val="14"/>
            <color rgb="FF000000"/>
            <rFont val="Times New Roman"/>
            <family val="18"/>
          </rPr>
          <t>Von HFS 1 zum HFS 32 transferiert</t>
        </r>
        <r>
          <rPr>
            <sz val="14"/>
            <color rgb="FF000000"/>
            <rFont val="Times New Roman"/>
            <family val="18"/>
          </rPr>
          <t xml:space="preserve"> [TL Mai 1809]
</t>
        </r>
        <r>
          <rPr>
            <sz val="14"/>
            <color rgb="FF000000"/>
            <rFont val="Times New Roman"/>
            <family val="18"/>
          </rPr>
          <t xml:space="preserve">15/04/1810 </t>
        </r>
        <r>
          <rPr>
            <i/>
            <sz val="14"/>
            <color rgb="FF000000"/>
            <rFont val="Times New Roman"/>
            <family val="18"/>
          </rPr>
          <t>Mit Abschied und drei Monatliche Abfertigungsgage von 36Fl entlassen</t>
        </r>
        <r>
          <rPr>
            <sz val="14"/>
            <color rgb="FF000000"/>
            <rFont val="Times New Roman"/>
            <family val="18"/>
          </rPr>
          <t xml:space="preserve"> [Ent-Cons. April 1810 &amp; Verpf.-Cons. April 1810]
</t>
        </r>
      </text>
    </comment>
    <comment ref="BG704" authorId="0" shapeId="0" xr:uid="{A8B19DD0-9D03-EC4B-BEF9-2DF53F2CE56E}">
      <text>
        <r>
          <rPr>
            <sz val="14"/>
            <color rgb="FF000000"/>
            <rFont val="Times New Roman"/>
            <family val="18"/>
          </rPr>
          <t>ST 11.994 HFS (1809-14) – AL HFS 32 Nr. 5 (Prague 23/05/1810); Ent-Cons. HFS 32 Nr. 14 (Opočno 16/04/1810); VerpfL Juni 1809 (Geyersberg 31/12/1809); VerpfL April 1810 (Opočno 07/08/1810)</t>
        </r>
        <r>
          <rPr>
            <sz val="14"/>
            <color rgb="FF000000"/>
            <rFont val="Times New Roman"/>
            <family val="18"/>
          </rPr>
          <t xml:space="preserve">
</t>
        </r>
      </text>
    </comment>
    <comment ref="BH704" authorId="0" shapeId="0" xr:uid="{7CC3FEA6-BA99-2744-895B-4548C7F22472}">
      <text>
        <r>
          <rPr>
            <sz val="14"/>
            <color rgb="FF000000"/>
            <rFont val="Calibri"/>
            <family val="34"/>
          </rPr>
          <t xml:space="preserve">HFS 1 (1809) 
</t>
        </r>
        <r>
          <rPr>
            <sz val="14"/>
            <color rgb="FF000000"/>
            <rFont val="Calibri"/>
            <family val="34"/>
          </rPr>
          <t>HFS 32 (1809-1810)</t>
        </r>
      </text>
    </comment>
    <comment ref="BF705" authorId="0" shapeId="0" xr:uid="{31413A51-8C62-104F-B8B2-BF35CA0E8199}">
      <text>
        <r>
          <rPr>
            <sz val="14"/>
            <color rgb="FF000000"/>
            <rFont val="Times New Roman"/>
            <family val="18"/>
          </rPr>
          <t xml:space="preserve">10 </t>
        </r>
        <r>
          <rPr>
            <i/>
            <sz val="14"/>
            <color rgb="FF000000"/>
            <rFont val="Times New Roman"/>
            <family val="18"/>
          </rPr>
          <t>Jahre Franzosen gedient unc von da entweichen</t>
        </r>
        <r>
          <rPr>
            <sz val="14"/>
            <color rgb="FF000000"/>
            <rFont val="Calibri"/>
            <family val="34"/>
          </rPr>
          <t xml:space="preserve">
</t>
        </r>
        <r>
          <rPr>
            <sz val="14"/>
            <color rgb="FF000000"/>
            <rFont val="Times New Roman"/>
            <family val="18"/>
          </rPr>
          <t xml:space="preserve">11/05/1809 </t>
        </r>
        <r>
          <rPr>
            <i/>
            <sz val="14"/>
            <color rgb="FF000000"/>
            <rFont val="Times New Roman"/>
            <family val="18"/>
          </rPr>
          <t xml:space="preserve">Zum Westgalizischen Frei Bat. Nr. 2 auf Werbgeld von 15Fl auf Kriegsdauer assentiert und zum 2. Komp. ‘St Delis’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03/07/1809 </t>
        </r>
        <r>
          <rPr>
            <i/>
            <sz val="14"/>
            <color rgb="FF000000"/>
            <rFont val="Times New Roman"/>
            <family val="18"/>
          </rPr>
          <t xml:space="preserve">Desertiert </t>
        </r>
        <r>
          <rPr>
            <sz val="14"/>
            <color rgb="FF000000"/>
            <rFont val="Times New Roman"/>
            <family val="18"/>
          </rPr>
          <t>[ST July 1809]</t>
        </r>
      </text>
    </comment>
    <comment ref="BG705" authorId="0" shapeId="0" xr:uid="{C340E515-F3F9-CB42-836F-E5C11D6AA4D0}">
      <text>
        <r>
          <rPr>
            <sz val="14"/>
            <color rgb="FF000000"/>
            <rFont val="Times New Roman"/>
            <family val="18"/>
          </rPr>
          <t>ML 10.831 WGal FB 2 (1809-10) – AL Nr. 156 (Warsaw 23/05/1809), ST May (Tischmanitz 10/10/1810), ST July (Brünn 20/12/1810)</t>
        </r>
        <r>
          <rPr>
            <sz val="14"/>
            <color rgb="FF000000"/>
            <rFont val="Calibri"/>
            <family val="34"/>
          </rPr>
          <t xml:space="preserve">
</t>
        </r>
      </text>
    </comment>
    <comment ref="BH705" authorId="0" shapeId="0" xr:uid="{8CC2872D-B4AB-704A-A4C5-A1B857B2C4A5}">
      <text>
        <r>
          <rPr>
            <sz val="14"/>
            <color rgb="FF000000"/>
            <rFont val="Calibri"/>
            <family val="34"/>
          </rPr>
          <t>WGal FB 2 (1809)</t>
        </r>
      </text>
    </comment>
    <comment ref="BF706" authorId="0" shapeId="0" xr:uid="{B430ED50-0E1D-8D47-9FDA-976D342660BF}">
      <text>
        <r>
          <rPr>
            <sz val="14"/>
            <color rgb="FF000000"/>
            <rFont val="Times New Roman"/>
            <family val="18"/>
          </rPr>
          <t xml:space="preserve">14/05/1809 </t>
        </r>
        <r>
          <rPr>
            <i/>
            <sz val="14"/>
            <color rgb="FF000000"/>
            <rFont val="Times New Roman"/>
            <family val="18"/>
          </rPr>
          <t xml:space="preserve">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zu Biala assentiert und zum 4. Komp.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Auf March Desertiert</t>
        </r>
        <r>
          <rPr>
            <sz val="14"/>
            <color rgb="FF000000"/>
            <rFont val="Times New Roman"/>
            <family val="18"/>
          </rPr>
          <t xml:space="preserve"> [ST May 1809] </t>
        </r>
      </text>
    </comment>
    <comment ref="BG706" authorId="0" shapeId="0" xr:uid="{0876B1BF-157A-E243-BB20-A149464E3963}">
      <text>
        <r>
          <rPr>
            <sz val="14"/>
            <color rgb="FF000000"/>
            <rFont val="Times New Roman"/>
            <family val="18"/>
          </rPr>
          <t>ML 10.831 WGal FB 2 (1809-10) – AL Nr. 6 (Biala 18/05/1809), ST May (Tischmanitz 10/10/1810)</t>
        </r>
        <r>
          <rPr>
            <sz val="14"/>
            <color rgb="FF000000"/>
            <rFont val="Calibri"/>
            <family val="34"/>
          </rPr>
          <t xml:space="preserve">
</t>
        </r>
      </text>
    </comment>
    <comment ref="BH706" authorId="0" shapeId="0" xr:uid="{DFF73386-6C07-E94F-9C06-923EFB2DE198}">
      <text>
        <r>
          <rPr>
            <sz val="14"/>
            <color rgb="FF000000"/>
            <rFont val="Calibri"/>
            <family val="34"/>
          </rPr>
          <t>WGal FB 2 (1809)</t>
        </r>
      </text>
    </comment>
    <comment ref="BF707" authorId="0" shapeId="0" xr:uid="{850A9439-2970-5E4A-8E1C-554355539537}">
      <text>
        <r>
          <rPr>
            <sz val="14"/>
            <color rgb="FF000000"/>
            <rFont val="Times New Roman"/>
            <family val="18"/>
          </rPr>
          <t xml:space="preserve">14/05/1809 </t>
        </r>
        <r>
          <rPr>
            <i/>
            <sz val="14"/>
            <color rgb="FF000000"/>
            <rFont val="Times New Roman"/>
            <family val="18"/>
          </rPr>
          <t xml:space="preserve">Zum Westgalizischen Frei Bat. Nr. 2 auf Werbgeld von 15Fl </t>
        </r>
        <r>
          <rPr>
            <sz val="14"/>
            <color rgb="FF000000"/>
            <rFont val="Times New Roman"/>
            <family val="18"/>
          </rPr>
          <t xml:space="preserve">[davon 8 Handgeld, 5 sonstige Unkosten und 2. Anbringsgeld] </t>
        </r>
        <r>
          <rPr>
            <i/>
            <sz val="14"/>
            <color rgb="FF000000"/>
            <rFont val="Times New Roman"/>
            <family val="18"/>
          </rPr>
          <t xml:space="preserve">auf Kriegsdauer zu Biala assentiert und zum 4. Komp. eingeheilt </t>
        </r>
        <r>
          <rPr>
            <sz val="14"/>
            <color rgb="FF000000"/>
            <rFont val="Times New Roman"/>
            <family val="18"/>
          </rPr>
          <t>[AL May 1809 &amp; ST May 1809]</t>
        </r>
        <r>
          <rPr>
            <sz val="14"/>
            <color rgb="FF000000"/>
            <rFont val="Calibri"/>
            <family val="34"/>
          </rPr>
          <t xml:space="preserve">
</t>
        </r>
        <r>
          <rPr>
            <sz val="14"/>
            <color rgb="FF000000"/>
            <rFont val="Times New Roman"/>
            <family val="18"/>
          </rPr>
          <t xml:space="preserve">15/05/1809 </t>
        </r>
        <r>
          <rPr>
            <i/>
            <sz val="14"/>
            <color rgb="FF000000"/>
            <rFont val="Times New Roman"/>
            <family val="18"/>
          </rPr>
          <t>Auf March Desertiert</t>
        </r>
        <r>
          <rPr>
            <sz val="14"/>
            <color rgb="FF000000"/>
            <rFont val="Times New Roman"/>
            <family val="18"/>
          </rPr>
          <t xml:space="preserve"> [ST May 1809] </t>
        </r>
      </text>
    </comment>
    <comment ref="BG707" authorId="0" shapeId="0" xr:uid="{58AF9CD2-5A6E-7147-A3EA-5AEE3300F676}">
      <text>
        <r>
          <rPr>
            <sz val="14"/>
            <color rgb="FF000000"/>
            <rFont val="Times New Roman"/>
            <family val="18"/>
          </rPr>
          <t>ML 10.380 IR 45 (1809) – TL IR 41-&gt; IR 46 Nr. 90 (Sanok 08/08/1809); ST Sept-Oct (Vienna 01/05/1811), Nov (Vienna 04/05/1811)</t>
        </r>
        <r>
          <rPr>
            <sz val="14"/>
            <color rgb="FF000000"/>
            <rFont val="Calibri"/>
            <family val="34"/>
          </rPr>
          <t xml:space="preserve">
</t>
        </r>
        <r>
          <rPr>
            <sz val="14"/>
            <color rgb="FF000000"/>
            <rFont val="Times New Roman"/>
            <family val="18"/>
          </rPr>
          <t>ML 10.381 IR 45 (1810) – ST March-Oct (20/06/1811)</t>
        </r>
        <r>
          <rPr>
            <sz val="14"/>
            <color rgb="FF000000"/>
            <rFont val="Calibri"/>
            <family val="34"/>
          </rPr>
          <t xml:space="preserve">
</t>
        </r>
      </text>
    </comment>
    <comment ref="BH707" authorId="0" shapeId="0" xr:uid="{80F89810-F5A5-634D-910E-EBFD173DAA00}">
      <text>
        <r>
          <rPr>
            <sz val="14"/>
            <color rgb="FF000000"/>
            <rFont val="Calibri"/>
            <family val="34"/>
          </rPr>
          <t xml:space="preserve">IR 41 (1809)
</t>
        </r>
        <r>
          <rPr>
            <sz val="14"/>
            <color rgb="FF000000"/>
            <rFont val="Calibri"/>
            <family val="34"/>
          </rPr>
          <t>IR 45 (1809-1810)</t>
        </r>
      </text>
    </comment>
    <comment ref="I708" authorId="0" shapeId="0" xr:uid="{8A47233D-5655-9A4A-84C2-CACA2E2F6623}">
      <text>
        <r>
          <rPr>
            <sz val="14"/>
            <color rgb="FF000000"/>
            <rFont val="Calibri"/>
            <family val="34"/>
          </rPr>
          <t xml:space="preserve">1786 [23 (1809)]
</t>
        </r>
        <r>
          <rPr>
            <sz val="14"/>
            <color rgb="FF000000"/>
            <rFont val="Calibri"/>
            <family val="34"/>
          </rPr>
          <t xml:space="preserve">OR 
</t>
        </r>
        <r>
          <rPr>
            <sz val="14"/>
            <color rgb="FF000000"/>
            <rFont val="Calibri"/>
            <family val="34"/>
          </rPr>
          <t>1788 [30 (1818)]</t>
        </r>
      </text>
    </comment>
    <comment ref="K708" authorId="0" shapeId="0" xr:uid="{8E367A42-AC35-7D47-85D8-23EDB5784DA4}">
      <text>
        <r>
          <rPr>
            <sz val="14"/>
            <color rgb="FF000000"/>
            <rFont val="Calibri"/>
            <family val="34"/>
          </rPr>
          <t xml:space="preserve">Ohne (1809)
</t>
        </r>
        <r>
          <rPr>
            <sz val="14"/>
            <color rgb="FF000000"/>
            <rFont val="Calibri"/>
            <family val="34"/>
          </rPr>
          <t>Schuster  (1811-1818)</t>
        </r>
      </text>
    </comment>
    <comment ref="T708" authorId="0" shapeId="0" xr:uid="{27A93588-6516-6D47-B77A-C4392A6878EB}">
      <text>
        <r>
          <rPr>
            <sz val="14"/>
            <color rgb="FF000000"/>
            <rFont val="Calibri"/>
            <family val="34"/>
          </rPr>
          <t xml:space="preserve">5.1 [160.63 (1809)]
</t>
        </r>
        <r>
          <rPr>
            <sz val="14"/>
            <color rgb="FF000000"/>
            <rFont val="Calibri"/>
            <family val="34"/>
          </rPr>
          <t>5.3 [165.89 (1811-18)]</t>
        </r>
      </text>
    </comment>
    <comment ref="BF708" authorId="0" shapeId="0" xr:uid="{187C26EF-5E2F-9E45-AFAE-2CBD9EAC4997}">
      <text>
        <r>
          <rPr>
            <sz val="14"/>
            <color rgb="FFFF0000"/>
            <rFont val="Times New Roman"/>
            <family val="18"/>
          </rPr>
          <t xml:space="preserve">25/02/1809 </t>
        </r>
        <r>
          <rPr>
            <i/>
            <sz val="14"/>
            <color rgb="FFFF0000"/>
            <rFont val="Times New Roman"/>
            <family val="18"/>
          </rPr>
          <t>dient seit in De Veaux als St. Rekrut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15/05/1809 </t>
        </r>
        <r>
          <rPr>
            <i/>
            <sz val="14"/>
            <color rgb="FF000000"/>
            <rFont val="Times New Roman"/>
            <family val="18"/>
          </rPr>
          <t>zu</t>
        </r>
        <r>
          <rPr>
            <sz val="14"/>
            <color rgb="FF000000"/>
            <rFont val="Times New Roman"/>
            <family val="18"/>
          </rPr>
          <t xml:space="preserve"> </t>
        </r>
        <r>
          <rPr>
            <i/>
            <sz val="14"/>
            <color rgb="FF000000"/>
            <rFont val="Times New Roman"/>
            <family val="18"/>
          </rPr>
          <t>Zalleszick</t>
        </r>
        <r>
          <rPr>
            <sz val="14"/>
            <color rgb="FF000000"/>
            <rFont val="Times New Roman"/>
            <family val="18"/>
          </rPr>
          <t xml:space="preserve"> </t>
        </r>
        <r>
          <rPr>
            <b/>
            <sz val="14"/>
            <color rgb="FF000000"/>
            <rFont val="Times New Roman"/>
            <family val="18"/>
          </rPr>
          <t>[</t>
        </r>
        <r>
          <rPr>
            <b/>
            <u/>
            <sz val="14"/>
            <color rgb="FF0563C1"/>
            <rFont val="Times New Roman"/>
            <family val="18"/>
          </rPr>
          <t>Zaleszczyki, Ukraine</t>
        </r>
        <r>
          <rPr>
            <b/>
            <sz val="14"/>
            <color rgb="FF000000"/>
            <rFont val="Times New Roman"/>
            <family val="18"/>
          </rPr>
          <t>]</t>
        </r>
        <r>
          <rPr>
            <sz val="14"/>
            <color rgb="FF000000"/>
            <rFont val="Times New Roman"/>
            <family val="18"/>
          </rPr>
          <t xml:space="preserve"> </t>
        </r>
        <r>
          <rPr>
            <i/>
            <sz val="14"/>
            <color rgb="FF000000"/>
            <rFont val="Times New Roman"/>
            <family val="18"/>
          </rPr>
          <t>auf 10 Jahr a 3Fl Handgeld zum IR 41 assentiert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31/07/1809 </t>
        </r>
        <r>
          <rPr>
            <i/>
            <sz val="14"/>
            <color rgb="FF000000"/>
            <rFont val="Times New Roman"/>
            <family val="18"/>
          </rPr>
          <t>Von IR 41 2. Reserve zum IR 45 transferiert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12/09/1809 </t>
        </r>
        <r>
          <rPr>
            <i/>
            <sz val="14"/>
            <color rgb="FF000000"/>
            <rFont val="Times New Roman"/>
            <family val="18"/>
          </rPr>
          <t>Ins Regiment eingerückt und zur 5. Fus Komp. eingeheilt</t>
        </r>
        <r>
          <rPr>
            <sz val="14"/>
            <color rgb="FF000000"/>
            <rFont val="Times New Roman"/>
            <family val="18"/>
          </rPr>
          <t xml:space="preserve"> [ST Sept-Oct 1809]</t>
        </r>
        <r>
          <rPr>
            <sz val="14"/>
            <color rgb="FF000000"/>
            <rFont val="Calibri"/>
            <family val="34"/>
          </rPr>
          <t xml:space="preserve">
</t>
        </r>
        <r>
          <rPr>
            <sz val="14"/>
            <color rgb="FF000000"/>
            <rFont val="Times New Roman"/>
            <family val="18"/>
          </rPr>
          <t xml:space="preserve">06/11/1809 </t>
        </r>
        <r>
          <rPr>
            <i/>
            <sz val="14"/>
            <color rgb="FF000000"/>
            <rFont val="Times New Roman"/>
            <family val="18"/>
          </rPr>
          <t>Commandiert bei der Artillerie Bespannung</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28/02/1810 </t>
        </r>
        <r>
          <rPr>
            <i/>
            <sz val="14"/>
            <color rgb="FF000000"/>
            <rFont val="Times New Roman"/>
            <family val="18"/>
          </rPr>
          <t>Von IR 45 5. Fus. Komp. zum IR 16 ‘Luisignan’ transferiert</t>
        </r>
        <r>
          <rPr>
            <sz val="14"/>
            <color rgb="FF000000"/>
            <rFont val="Times New Roman"/>
            <family val="18"/>
          </rPr>
          <t xml:space="preserve"> [ST March-Oct 1810]</t>
        </r>
        <r>
          <rPr>
            <sz val="14"/>
            <color rgb="FF000000"/>
            <rFont val="Calibri"/>
            <family val="34"/>
          </rPr>
          <t xml:space="preserve">
</t>
        </r>
        <r>
          <rPr>
            <sz val="14"/>
            <color rgb="FFFF0000"/>
            <rFont val="Times New Roman"/>
            <family val="18"/>
          </rPr>
          <t xml:space="preserve">06/08/1810 </t>
        </r>
        <r>
          <rPr>
            <i/>
            <sz val="14"/>
            <color rgb="FFFF0000"/>
            <rFont val="Times New Roman"/>
            <family val="18"/>
          </rPr>
          <t>Zum Luisignan transferiert</t>
        </r>
        <r>
          <rPr>
            <sz val="14"/>
            <color rgb="FFFF0000"/>
            <rFont val="Times New Roman"/>
            <family val="18"/>
          </rPr>
          <t xml:space="preserve"> [ML 1811]</t>
        </r>
        <r>
          <rPr>
            <sz val="14"/>
            <color rgb="FF000000"/>
            <rFont val="Calibri"/>
            <family val="34"/>
          </rPr>
          <t xml:space="preserve">
</t>
        </r>
        <r>
          <rPr>
            <sz val="14"/>
            <color rgb="FF000000"/>
            <rFont val="Times New Roman"/>
            <family val="18"/>
          </rPr>
          <t xml:space="preserve">01/03/1811 </t>
        </r>
        <r>
          <rPr>
            <i/>
            <sz val="14"/>
            <color rgb="FF000000"/>
            <rFont val="Times New Roman"/>
            <family val="18"/>
          </rPr>
          <t>Von IR 16 zum GK Stiermark transferiert</t>
        </r>
        <r>
          <rPr>
            <sz val="14"/>
            <color rgb="FF000000"/>
            <rFont val="Calibri"/>
            <family val="34"/>
          </rPr>
          <t xml:space="preserve">
</t>
        </r>
        <r>
          <rPr>
            <sz val="14"/>
            <color rgb="FF000000"/>
            <rFont val="Times New Roman"/>
            <family val="18"/>
          </rPr>
          <t>23/09/1811 Muster: GK Steiermark 2. Komp. Nr. 117</t>
        </r>
        <r>
          <rPr>
            <sz val="14"/>
            <color rgb="FF000000"/>
            <rFont val="Calibri"/>
            <family val="34"/>
          </rPr>
          <t xml:space="preserve">
</t>
        </r>
        <r>
          <rPr>
            <sz val="14"/>
            <color rgb="FF000000"/>
            <rFont val="Times New Roman"/>
            <family val="18"/>
          </rPr>
          <t xml:space="preserve">09/09/1812 Revision: GK Steiermark 2. Komp. Nr. 107 </t>
        </r>
        <r>
          <rPr>
            <sz val="14"/>
            <color rgb="FF000000"/>
            <rFont val="Calibri"/>
            <family val="34"/>
          </rPr>
          <t xml:space="preserve">
</t>
        </r>
        <r>
          <rPr>
            <sz val="14"/>
            <color rgb="FF000000"/>
            <rFont val="Times New Roman"/>
            <family val="18"/>
          </rPr>
          <t>13/10/1817 Muster: GK Steiermark 2. Komp. Nr. 84</t>
        </r>
        <r>
          <rPr>
            <sz val="14"/>
            <color rgb="FF000000"/>
            <rFont val="Calibri"/>
            <family val="34"/>
          </rPr>
          <t xml:space="preserve">
</t>
        </r>
        <r>
          <rPr>
            <sz val="14"/>
            <color rgb="FF000000"/>
            <rFont val="Times New Roman"/>
            <family val="18"/>
          </rPr>
          <t>03/10/1818 Muster: GK Steirmark 2. Komp. Nr. 82</t>
        </r>
        <r>
          <rPr>
            <sz val="14"/>
            <color rgb="FF000000"/>
            <rFont val="Calibri"/>
            <family val="34"/>
          </rPr>
          <t xml:space="preserve">
</t>
        </r>
      </text>
    </comment>
    <comment ref="BG708" authorId="0" shapeId="0" xr:uid="{8BB16729-FCD0-624F-AD97-CB06BD857C80}">
      <text>
        <r>
          <rPr>
            <sz val="14"/>
            <color rgb="FF000000"/>
            <rFont val="Times New Roman"/>
            <family val="18"/>
          </rPr>
          <t>ML 10.380 IR 45 (1809) – TL IR 41-&gt; IR 46 Nr. 90 (Sanok 08/08/1809); ST Sept-Oct (Vienna 01/05/1811) Nov (Vienna 04/05/1811)</t>
        </r>
        <r>
          <rPr>
            <sz val="14"/>
            <color rgb="FF000000"/>
            <rFont val="Calibri"/>
            <family val="34"/>
          </rPr>
          <t xml:space="preserve">
</t>
        </r>
        <r>
          <rPr>
            <sz val="14"/>
            <color rgb="FF000000"/>
            <rFont val="Times New Roman"/>
            <family val="18"/>
          </rPr>
          <t>ML 10.381 IR 45 (1810) – ST March-Oct (20/06/1811)</t>
        </r>
        <r>
          <rPr>
            <sz val="14"/>
            <color rgb="FF000000"/>
            <rFont val="Calibri"/>
            <family val="34"/>
          </rPr>
          <t xml:space="preserve">
</t>
        </r>
        <r>
          <rPr>
            <sz val="14"/>
            <color rgb="FF000000"/>
            <rFont val="Times New Roman"/>
            <family val="18"/>
          </rPr>
          <t>ML 8796 GK Styer. (1808-12) – ML 1811 2. Komp. Nr. 117 (Graz 23/09/1811), RL 2. Komp. Nr. 107 (Hartberg 09/09/1812)</t>
        </r>
        <r>
          <rPr>
            <sz val="14"/>
            <color rgb="FF000000"/>
            <rFont val="Calibri"/>
            <family val="34"/>
          </rPr>
          <t xml:space="preserve">
</t>
        </r>
        <r>
          <rPr>
            <sz val="14"/>
            <color rgb="FF000000"/>
            <rFont val="Times New Roman"/>
            <family val="18"/>
          </rPr>
          <t>ML 8797 GK Styr. (1817-18) – ML 1817 2. Komp. Nr. 84 (Hartberg 13/10/1818), ML 1818 2. Komp. Nr. 82 (Fürstenfeld 03/10/1818)</t>
        </r>
        <r>
          <rPr>
            <sz val="14"/>
            <color rgb="FF000000"/>
            <rFont val="Calibri"/>
            <family val="34"/>
          </rPr>
          <t xml:space="preserve">
</t>
        </r>
      </text>
    </comment>
    <comment ref="BH708" authorId="0" shapeId="0" xr:uid="{51FFDC51-434B-C345-BC09-DAAF242B4F40}">
      <text>
        <r>
          <rPr>
            <sz val="14"/>
            <color rgb="FF000000"/>
            <rFont val="Calibri"/>
            <family val="34"/>
          </rPr>
          <t xml:space="preserve">IR 41 (1809)
</t>
        </r>
        <r>
          <rPr>
            <sz val="14"/>
            <color rgb="FF000000"/>
            <rFont val="Calibri"/>
            <family val="34"/>
          </rPr>
          <t xml:space="preserve">IR 45 (1809-1810)
</t>
        </r>
        <r>
          <rPr>
            <sz val="14"/>
            <color rgb="FF000000"/>
            <rFont val="Calibri"/>
            <family val="34"/>
          </rPr>
          <t xml:space="preserve">IR 16 (1810-1811)
</t>
        </r>
        <r>
          <rPr>
            <sz val="14"/>
            <color rgb="FF000000"/>
            <rFont val="Calibri"/>
            <family val="34"/>
          </rPr>
          <t>GK Styr. (1811-1818)</t>
        </r>
      </text>
    </comment>
    <comment ref="I709" authorId="0" shapeId="0" xr:uid="{E4A30F7C-904D-D04F-BDA7-F31422AB6B9A}">
      <text>
        <r>
          <rPr>
            <sz val="14"/>
            <color rgb="FF000000"/>
            <rFont val="Calibri"/>
            <family val="34"/>
          </rPr>
          <t xml:space="preserve">1789 [20 (1809)]
</t>
        </r>
        <r>
          <rPr>
            <sz val="14"/>
            <color rgb="FF000000"/>
            <rFont val="Calibri"/>
            <family val="34"/>
          </rPr>
          <t xml:space="preserve">OR 
</t>
        </r>
        <r>
          <rPr>
            <sz val="14"/>
            <color rgb="FF000000"/>
            <rFont val="Calibri"/>
            <family val="34"/>
          </rPr>
          <t>1780 [29 (1810)]</t>
        </r>
      </text>
    </comment>
    <comment ref="BF709" authorId="0" shapeId="0" xr:uid="{F005C9C2-5BE9-8B49-BF15-3768ACCA8A11}">
      <text>
        <r>
          <rPr>
            <sz val="14"/>
            <color rgb="FF000000"/>
            <rFont val="+mn-lt"/>
            <charset val="1"/>
          </rPr>
          <t xml:space="preserve">16/05/1809 auf 3Fl mit 10-Jähriger Capitulaiton zu Zaleszczyk gestellt und zu, IR 41 assentiert [TL 1809]
</t>
        </r>
        <r>
          <rPr>
            <sz val="14"/>
            <color rgb="FF000000"/>
            <rFont val="+mn-lt"/>
            <charset val="1"/>
          </rPr>
          <t xml:space="preserve">01/08/1809 von Kuttulinsky IR 41 anhero transferiert seitdem auf Anmarsch [TL 1809 &amp; ST Aug 1809]
</t>
        </r>
        <r>
          <rPr>
            <sz val="14"/>
            <color rgb="FF000000"/>
            <rFont val="+mn-lt"/>
            <charset val="1"/>
          </rPr>
          <t xml:space="preserve">16/08/1809 In Regiment eingerückt und zum 11. Fus Comp eingeteilt [ST Aug 1809]
</t>
        </r>
        <r>
          <rPr>
            <sz val="14"/>
            <color rgb="FF000000"/>
            <rFont val="+mn-lt"/>
            <charset val="1"/>
          </rPr>
          <t xml:space="preserve">22/10/1809 Krank auswärts in Armee Spitälern [ST Okt 1809]
</t>
        </r>
        <r>
          <rPr>
            <sz val="14"/>
            <color rgb="FF000000"/>
            <rFont val="+mn-lt"/>
            <charset val="1"/>
          </rPr>
          <t xml:space="preserve">31/12/1809 Reconvalesciert [ST Jan 1810] 
</t>
        </r>
        <r>
          <rPr>
            <sz val="14"/>
            <color rgb="FF000000"/>
            <rFont val="+mn-lt"/>
            <charset val="1"/>
          </rPr>
          <t xml:space="preserve">25/02/1810 Dissolvierung: IR 43 11. Fus Nr. 82 [Zu IR 9 Czartoryski einzuteilen]
</t>
        </r>
        <r>
          <rPr>
            <sz val="14"/>
            <color rgb="FF000000"/>
            <rFont val="+mn-lt"/>
            <charset val="1"/>
          </rPr>
          <t xml:space="preserve">06/03/1810 Von 11. Fus Comp des Dissolvierte IR 43 zum IR 9 Czartoryski transferiert [ST March 1810]
</t>
        </r>
        <r>
          <rPr>
            <sz val="14"/>
            <color rgb="FF000000"/>
            <rFont val="+mn-lt"/>
            <charset val="1"/>
          </rPr>
          <t xml:space="preserve">31/07/1811 als Real Invalid Gegen Renuncierung mit Abschied entlassen [ML 1811]
</t>
        </r>
      </text>
    </comment>
    <comment ref="BG709" authorId="0" shapeId="0" xr:uid="{B08EBFDE-C6A1-7945-8C35-98D088C3491A}">
      <text>
        <r>
          <rPr>
            <sz val="14"/>
            <color rgb="FF000000"/>
            <rFont val="Calibri"/>
            <family val="34"/>
          </rPr>
          <t xml:space="preserve">ML 10.279 IR 43 (1808-10) –DL IR 43 11. Fus Comp Nr. 82 (Vordenberg 25/02/1810)
</t>
        </r>
        <r>
          <rPr>
            <sz val="14"/>
            <color rgb="FF000000"/>
            <rFont val="Calibri"/>
            <family val="34"/>
          </rPr>
          <t xml:space="preserve">ML 10.323 IR 43 (1809) – ST August (12/12/1810) und Oktober (01/02/1811)
</t>
        </r>
        <r>
          <rPr>
            <sz val="14"/>
            <color rgb="FF000000"/>
            <rFont val="Calibri"/>
            <family val="34"/>
          </rPr>
          <t xml:space="preserve">ML 10.324 IR 43 (1809) – TL IR 41-&gt; IR 43 Nr. 74 (Przemysl 01/09/1810)
</t>
        </r>
        <r>
          <rPr>
            <sz val="14"/>
            <color rgb="FF000000"/>
            <rFont val="Calibri"/>
            <family val="34"/>
          </rPr>
          <t xml:space="preserve">ML 10.325 IR 43 (1810) – ST Jänner (01/03/1811) und März (11/03/1811)
</t>
        </r>
        <r>
          <rPr>
            <sz val="14"/>
            <color rgb="FF000000"/>
            <rFont val="Calibri"/>
            <family val="34"/>
          </rPr>
          <t xml:space="preserve">ML 10.326 IR 43 (1810) – TL IR 43-&gt; IR 9 Nr. 98 (Klagenfurt, 16/06/1810)
</t>
        </r>
        <r>
          <rPr>
            <sz val="14"/>
            <color rgb="FF000000"/>
            <rFont val="Calibri"/>
            <family val="34"/>
          </rPr>
          <t xml:space="preserve">ML 634 IR 9 (1811) </t>
        </r>
        <r>
          <rPr>
            <sz val="10"/>
            <color rgb="FF000000"/>
            <rFont val="Calibri"/>
            <family val="2"/>
          </rPr>
          <t xml:space="preserve">– </t>
        </r>
        <r>
          <rPr>
            <sz val="14"/>
            <color rgb="FF000000"/>
            <rFont val="Calibri"/>
            <family val="34"/>
          </rPr>
          <t xml:space="preserve"> 8. Fus Comp. – Abgang (Caschau 19/09/1811)
</t>
        </r>
      </text>
    </comment>
    <comment ref="BH709" authorId="0" shapeId="0" xr:uid="{A07DC9A3-1CD0-1B49-8A1F-8A5190F99EB3}">
      <text>
        <r>
          <rPr>
            <sz val="14"/>
            <color rgb="FF000000"/>
            <rFont val="Calibri"/>
            <family val="34"/>
          </rPr>
          <t xml:space="preserve">IR 41 (1809)
</t>
        </r>
        <r>
          <rPr>
            <sz val="14"/>
            <color rgb="FF000000"/>
            <rFont val="Calibri"/>
            <family val="34"/>
          </rPr>
          <t xml:space="preserve">IR 43 (1809-10)
</t>
        </r>
        <r>
          <rPr>
            <sz val="14"/>
            <color rgb="FF000000"/>
            <rFont val="Calibri"/>
            <family val="34"/>
          </rPr>
          <t>IR 9 (1810)</t>
        </r>
      </text>
    </comment>
    <comment ref="BI709" authorId="0" shapeId="0" xr:uid="{4F69FE36-73D1-7E4A-8ACF-E2F62D8D4AFB}">
      <text>
        <r>
          <rPr>
            <sz val="14"/>
            <color rgb="FF000000"/>
            <rFont val="Calibri"/>
            <family val="34"/>
          </rPr>
          <t>1810: Gut</t>
        </r>
      </text>
    </comment>
    <comment ref="BF710" authorId="0" shapeId="0" xr:uid="{6DF7A3B3-F3F1-144F-AB60-492D67C7315E}">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710" authorId="0" shapeId="0" xr:uid="{0D3DB13B-2010-3343-8480-39EB8C71EF3E}">
      <text>
        <r>
          <rPr>
            <sz val="14"/>
            <color rgb="FF000000"/>
            <rFont val="Times New Roman"/>
            <family val="18"/>
          </rPr>
          <t>ML 2683 IR 30 (1809) – AL Nr. 293 (Zagota 16/08/1809)</t>
        </r>
      </text>
    </comment>
    <comment ref="BH710" authorId="0" shapeId="0" xr:uid="{FCE1F97D-B753-7D47-8CDE-17F43CEA7D1F}">
      <text>
        <r>
          <rPr>
            <sz val="14"/>
            <color rgb="FF000000"/>
            <rFont val="Calibri"/>
            <family val="34"/>
          </rPr>
          <t>IR 30 (1809)</t>
        </r>
      </text>
    </comment>
    <comment ref="BF711" authorId="0" shapeId="0" xr:uid="{4106F9D5-A149-9446-9390-B1D300E52A15}">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711" authorId="0" shapeId="0" xr:uid="{66DC1284-5520-554D-9745-DE7B85EA4288}">
      <text>
        <r>
          <rPr>
            <sz val="14"/>
            <color rgb="FF000000"/>
            <rFont val="Times New Roman"/>
            <family val="18"/>
          </rPr>
          <t>ML 2683 IR 30 (1809) – AL Nr. 49 (Zagota 16/08/1809)</t>
        </r>
      </text>
    </comment>
    <comment ref="BH711" authorId="0" shapeId="0" xr:uid="{57F1F804-B339-C642-9F3E-5C9E766627AC}">
      <text>
        <r>
          <rPr>
            <sz val="14"/>
            <color rgb="FF000000"/>
            <rFont val="Calibri"/>
            <family val="34"/>
          </rPr>
          <t>IR 30 (1809)</t>
        </r>
      </text>
    </comment>
    <comment ref="BF712" authorId="0" shapeId="0" xr:uid="{7E7A58CA-9D4D-E646-829D-2FAB75A2A9EA}">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712" authorId="0" shapeId="0" xr:uid="{58FCB409-D7C5-8742-B00A-DBD38A65D0D0}">
      <text>
        <r>
          <rPr>
            <sz val="14"/>
            <color rgb="FF000000"/>
            <rFont val="Times New Roman"/>
            <family val="18"/>
          </rPr>
          <t>ML 2683 IR 30 (1809) – AL Nr. 96 (Zagota 16/08/1809)</t>
        </r>
      </text>
    </comment>
    <comment ref="BH712" authorId="0" shapeId="0" xr:uid="{C2B24A0B-EB1C-9141-A56A-281026AD2703}">
      <text>
        <r>
          <rPr>
            <sz val="14"/>
            <color rgb="FF000000"/>
            <rFont val="Calibri"/>
            <family val="34"/>
          </rPr>
          <t>IR 30 (1809)</t>
        </r>
      </text>
    </comment>
    <comment ref="BF713" authorId="0" shapeId="0" xr:uid="{C6768AC9-9AD6-4B4D-8423-8958CB8441AA}">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713" authorId="0" shapeId="0" xr:uid="{14F11CCD-F518-E34A-A6E4-F2BA488F35C4}">
      <text>
        <r>
          <rPr>
            <sz val="14"/>
            <color rgb="FF000000"/>
            <rFont val="Times New Roman"/>
            <family val="18"/>
          </rPr>
          <t>ML 2683 IR 30 (1809) – AL Nr. 48 (Zagota 16/08/1809)</t>
        </r>
      </text>
    </comment>
    <comment ref="BH713" authorId="0" shapeId="0" xr:uid="{D352F0E8-204F-7D4D-96EC-AF5D9A4A6488}">
      <text>
        <r>
          <rPr>
            <sz val="14"/>
            <color rgb="FF000000"/>
            <rFont val="Calibri"/>
            <family val="34"/>
          </rPr>
          <t>IR 30 (1809)</t>
        </r>
      </text>
    </comment>
    <comment ref="BF714" authorId="0" shapeId="0" xr:uid="{6AB01BAF-C103-1748-85DD-55CA380C9F84}">
      <text>
        <r>
          <rPr>
            <sz val="14"/>
            <color rgb="FF000000"/>
            <rFont val="Times New Roman"/>
            <family val="18"/>
          </rPr>
          <t xml:space="preserve">17/05/1809 </t>
        </r>
        <r>
          <rPr>
            <i/>
            <sz val="14"/>
            <color rgb="FF000000"/>
            <rFont val="Times New Roman"/>
            <family val="18"/>
          </rPr>
          <t xml:space="preserve">Gegen 3 Fl Handgeld Landständisch zum IR 30 assentiert </t>
        </r>
        <r>
          <rPr>
            <sz val="14"/>
            <color rgb="FF000000"/>
            <rFont val="Times New Roman"/>
            <family val="18"/>
          </rPr>
          <t>[AL Aug 1809]</t>
        </r>
        <r>
          <rPr>
            <sz val="14"/>
            <color rgb="FF000000"/>
            <rFont val="Calibri"/>
            <family val="34"/>
          </rPr>
          <t xml:space="preserve">
</t>
        </r>
        <r>
          <rPr>
            <i/>
            <sz val="14"/>
            <color rgb="FF000000"/>
            <rFont val="Times New Roman"/>
            <family val="18"/>
          </rPr>
          <t xml:space="preserve">Auf Kreisämtliche Anverlangen entlassen </t>
        </r>
        <r>
          <rPr>
            <sz val="14"/>
            <color rgb="FF000000"/>
            <rFont val="Times New Roman"/>
            <family val="18"/>
          </rPr>
          <t>[AL Aug 1809]</t>
        </r>
        <r>
          <rPr>
            <sz val="14"/>
            <color rgb="FF000000"/>
            <rFont val="Calibri"/>
            <family val="34"/>
          </rPr>
          <t xml:space="preserve">
</t>
        </r>
      </text>
    </comment>
    <comment ref="BG714" authorId="0" shapeId="0" xr:uid="{AC9B03D8-CD31-2C4A-9AB5-2CAC9DDA3C27}">
      <text>
        <r>
          <rPr>
            <sz val="14"/>
            <color rgb="FF000000"/>
            <rFont val="Times New Roman"/>
            <family val="18"/>
          </rPr>
          <t>ML 2683 IR 30 (1809) – AL Nr. 216 (Zagota 16/08/1809)</t>
        </r>
      </text>
    </comment>
    <comment ref="BH714" authorId="0" shapeId="0" xr:uid="{E726B8B5-013C-F64D-AA22-A7BEDF41DAED}">
      <text>
        <r>
          <rPr>
            <sz val="14"/>
            <color rgb="FF000000"/>
            <rFont val="Calibri"/>
            <family val="34"/>
          </rPr>
          <t>IR 30 (1809)</t>
        </r>
      </text>
    </comment>
    <comment ref="BF715" authorId="0" shapeId="0" xr:uid="{DB4B6823-4A30-0648-A524-6A827D06E20B}">
      <text>
        <r>
          <rPr>
            <sz val="14"/>
            <color rgb="FF000000"/>
            <rFont val="Times New Roman"/>
            <family val="18"/>
          </rPr>
          <t xml:space="preserve">18/05/1809 </t>
        </r>
        <r>
          <rPr>
            <i/>
            <sz val="14"/>
            <color rgb="FF000000"/>
            <rFont val="Times New Roman"/>
            <family val="18"/>
          </rPr>
          <t xml:space="preserve">Gegen 3 Fl Handgeld Landständisch zum IR 30 assentiert und zur 1. Depot Komp. zugeheilt </t>
        </r>
        <r>
          <rPr>
            <sz val="14"/>
            <color rgb="FF000000"/>
            <rFont val="Times New Roman"/>
            <family val="18"/>
          </rPr>
          <t>[AL Aug 1809]</t>
        </r>
        <r>
          <rPr>
            <sz val="14"/>
            <color rgb="FF000000"/>
            <rFont val="Calibri"/>
            <family val="34"/>
          </rPr>
          <t xml:space="preserve">
</t>
        </r>
        <r>
          <rPr>
            <sz val="14"/>
            <color rgb="FF000000"/>
            <rFont val="Times New Roman"/>
            <family val="18"/>
          </rPr>
          <t xml:space="preserve">31/08/1809 </t>
        </r>
        <r>
          <rPr>
            <i/>
            <sz val="14"/>
            <color rgb="FF000000"/>
            <rFont val="Times New Roman"/>
            <family val="18"/>
          </rPr>
          <t>Von IR 30 1. Depot Komp. Zum IR 50 Stain transferiert</t>
        </r>
        <r>
          <rPr>
            <sz val="14"/>
            <color rgb="FF000000"/>
            <rFont val="Times New Roman"/>
            <family val="18"/>
          </rPr>
          <t xml:space="preserve"> [ML Sept 1809]</t>
        </r>
        <r>
          <rPr>
            <sz val="14"/>
            <color rgb="FF000000"/>
            <rFont val="Calibri"/>
            <family val="34"/>
          </rPr>
          <t xml:space="preserve">
</t>
        </r>
      </text>
    </comment>
    <comment ref="BG715" authorId="0" shapeId="0" xr:uid="{D07FF8E1-5E7B-BC45-987D-B875FFAFE965}">
      <text>
        <r>
          <rPr>
            <sz val="14"/>
            <color rgb="FF000000"/>
            <rFont val="Times New Roman"/>
            <family val="18"/>
          </rPr>
          <t>ML 2683 IR 30 (1809) – AL Nr. 318 (Zagota 16/08/1809); ST Sept (Stanislau 25/02/1811)</t>
        </r>
        <r>
          <rPr>
            <sz val="14"/>
            <color rgb="FF000000"/>
            <rFont val="Calibri"/>
            <family val="2"/>
          </rPr>
          <t xml:space="preserve"> </t>
        </r>
      </text>
    </comment>
    <comment ref="BH715" authorId="0" shapeId="0" xr:uid="{C1FA8BFE-82FD-AA40-9C49-890CB45782B0}">
      <text>
        <r>
          <rPr>
            <sz val="14"/>
            <color rgb="FF000000"/>
            <rFont val="Calibri"/>
            <family val="34"/>
          </rPr>
          <t xml:space="preserve">IR 30 (1809)
</t>
        </r>
        <r>
          <rPr>
            <sz val="14"/>
            <color rgb="FF000000"/>
            <rFont val="Calibri"/>
            <family val="34"/>
          </rPr>
          <t>IR 50 (1809)</t>
        </r>
      </text>
    </comment>
    <comment ref="BF716" authorId="0" shapeId="0" xr:uid="{64CA0994-BF0B-5243-8720-22A47C9D2EE1}">
      <text>
        <r>
          <rPr>
            <sz val="14"/>
            <color rgb="FF000000"/>
            <rFont val="Times New Roman"/>
            <family val="18"/>
          </rPr>
          <t xml:space="preserve">19/05/1809 </t>
        </r>
        <r>
          <rPr>
            <i/>
            <sz val="14"/>
            <color rgb="FF000000"/>
            <rFont val="Times New Roman"/>
            <family val="18"/>
          </rPr>
          <t xml:space="preserve">Gegen 3 Fl Handgeld Landständisch zum IR 30 assentiert und zur 1. Depot Komp. zugeheilt </t>
        </r>
        <r>
          <rPr>
            <sz val="14"/>
            <color rgb="FF000000"/>
            <rFont val="Times New Roman"/>
            <family val="18"/>
          </rPr>
          <t>[AL Aug 1809]</t>
        </r>
        <r>
          <rPr>
            <sz val="14"/>
            <color rgb="FF000000"/>
            <rFont val="Calibri"/>
            <family val="34"/>
          </rPr>
          <t xml:space="preserve">
</t>
        </r>
        <r>
          <rPr>
            <sz val="14"/>
            <color rgb="FF000000"/>
            <rFont val="Times New Roman"/>
            <family val="18"/>
          </rPr>
          <t xml:space="preserve">28/07/1809 </t>
        </r>
        <r>
          <rPr>
            <i/>
            <sz val="14"/>
            <color rgb="FF000000"/>
            <rFont val="Times New Roman"/>
            <family val="18"/>
          </rPr>
          <t>Von Transport mit Rittmeister Steickert desertiert</t>
        </r>
        <r>
          <rPr>
            <sz val="14"/>
            <color rgb="FF000000"/>
            <rFont val="Times New Roman"/>
            <family val="18"/>
          </rPr>
          <t xml:space="preserve"> [ML July 1809]</t>
        </r>
        <r>
          <rPr>
            <sz val="14"/>
            <color rgb="FF000000"/>
            <rFont val="Calibri"/>
            <family val="34"/>
          </rPr>
          <t xml:space="preserve">
</t>
        </r>
      </text>
    </comment>
    <comment ref="BG716" authorId="0" shapeId="0" xr:uid="{B727FBCA-B397-5B40-ACA0-079DFFD24FCF}">
      <text>
        <r>
          <rPr>
            <sz val="14"/>
            <color rgb="FF000000"/>
            <rFont val="Times New Roman"/>
            <family val="18"/>
          </rPr>
          <t>ML 2683 IR 30 (1809) – AL Nr. 329 (Zagota 16/08/1809); ST Juli (Stanislau 20/01/1811)</t>
        </r>
        <r>
          <rPr>
            <sz val="14"/>
            <color rgb="FF000000"/>
            <rFont val="Calibri"/>
            <family val="34"/>
          </rPr>
          <t xml:space="preserve">
</t>
        </r>
      </text>
    </comment>
    <comment ref="BH716" authorId="0" shapeId="0" xr:uid="{6EB11C86-E440-0243-8731-D372A4D50D73}">
      <text>
        <r>
          <rPr>
            <sz val="14"/>
            <color rgb="FF000000"/>
            <rFont val="Calibri"/>
            <family val="34"/>
          </rPr>
          <t>IR 30 (1809)</t>
        </r>
      </text>
    </comment>
    <comment ref="BF717" authorId="0" shapeId="0" xr:uid="{CA6D9D32-EBF5-7D4E-A1FD-E4E0BFD860D1}">
      <text>
        <r>
          <rPr>
            <sz val="14"/>
            <color rgb="FF000000"/>
            <rFont val="Times New Roman"/>
            <family val="18"/>
          </rPr>
          <t xml:space="preserve">01/06/1809 </t>
        </r>
        <r>
          <rPr>
            <i/>
            <sz val="14"/>
            <color rgb="FF000000"/>
            <rFont val="Times New Roman"/>
            <family val="18"/>
          </rPr>
          <t xml:space="preserve">Von HFS 1 zum HFS 32 transferiert </t>
        </r>
        <r>
          <rPr>
            <sz val="14"/>
            <color rgb="FF000000"/>
            <rFont val="Times New Roman"/>
            <family val="18"/>
          </rPr>
          <t xml:space="preserve">[Verpf.-Ent. Juni 1809]
</t>
        </r>
        <r>
          <rPr>
            <sz val="14"/>
            <color rgb="FF000000"/>
            <rFont val="Times New Roman"/>
            <family val="18"/>
          </rPr>
          <t xml:space="preserve">06/06/1809 </t>
        </r>
        <r>
          <rPr>
            <i/>
            <sz val="14"/>
            <color rgb="FF000000"/>
            <rFont val="Times New Roman"/>
            <family val="18"/>
          </rPr>
          <t>Krank ohne Gebühr</t>
        </r>
        <r>
          <rPr>
            <sz val="14"/>
            <color rgb="FF000000"/>
            <rFont val="Times New Roman"/>
            <family val="18"/>
          </rPr>
          <t xml:space="preserve"> [VerpfL Juni 1809]
</t>
        </r>
        <r>
          <rPr>
            <sz val="14"/>
            <color rgb="FF000000"/>
            <rFont val="Times New Roman"/>
            <family val="18"/>
          </rPr>
          <t xml:space="preserve">01/08/1809 </t>
        </r>
        <r>
          <rPr>
            <i/>
            <sz val="14"/>
            <color rgb="FF000000"/>
            <rFont val="Times New Roman"/>
            <family val="18"/>
          </rPr>
          <t>Kommt wieder in Stand und Gebühr</t>
        </r>
        <r>
          <rPr>
            <sz val="14"/>
            <color rgb="FF000000"/>
            <rFont val="Times New Roman"/>
            <family val="18"/>
          </rPr>
          <t xml:space="preserve"> [VerpfL Aug 1809]
</t>
        </r>
        <r>
          <rPr>
            <sz val="14"/>
            <color rgb="FF000000"/>
            <rFont val="Times New Roman"/>
            <family val="18"/>
          </rPr>
          <t xml:space="preserve">21/08/1809 </t>
        </r>
        <r>
          <rPr>
            <i/>
            <sz val="14"/>
            <color rgb="FF000000"/>
            <rFont val="Times New Roman"/>
            <family val="18"/>
          </rPr>
          <t>Nach Prag kommandiert</t>
        </r>
        <r>
          <rPr>
            <sz val="14"/>
            <color rgb="FF000000"/>
            <rFont val="Times New Roman"/>
            <family val="18"/>
          </rPr>
          <t xml:space="preserve"> [Verpf.-Ent. Aug 1809]
</t>
        </r>
        <r>
          <rPr>
            <sz val="14"/>
            <color rgb="FF000000"/>
            <rFont val="Times New Roman"/>
            <family val="18"/>
          </rPr>
          <t xml:space="preserve">31/08/1809 </t>
        </r>
        <r>
          <rPr>
            <i/>
            <sz val="14"/>
            <color rgb="FF000000"/>
            <rFont val="Times New Roman"/>
            <family val="18"/>
          </rPr>
          <t>Von HFS 32 zum HFS 1 in Prag transferiert</t>
        </r>
        <r>
          <rPr>
            <sz val="14"/>
            <color rgb="FF000000"/>
            <rFont val="Times New Roman"/>
            <family val="18"/>
          </rPr>
          <t xml:space="preserve"> [TL Aug 1810]
</t>
        </r>
      </text>
    </comment>
    <comment ref="BG717" authorId="0" shapeId="0" xr:uid="{06D9A2FB-F446-FA4C-801E-A533D2BC4942}">
      <text>
        <r>
          <rPr>
            <sz val="14"/>
            <color rgb="FF000000"/>
            <rFont val="Times New Roman"/>
            <family val="18"/>
          </rPr>
          <t xml:space="preserve">ST 11.994 HFS (1809-14) – TL HFS 32-&gt;HFS 1 Nr. 1 (Opočno 06/08/1810); HFS 32 VerpfL. Juni 1809 (Geyersburg 31/12/1809); HFS 32 VerpfL. Aug 1809 (Opočno 30/06/1810)
</t>
        </r>
      </text>
    </comment>
    <comment ref="BH717" authorId="0" shapeId="0" xr:uid="{63918AA5-10B7-024D-A489-F7772C57948A}">
      <text>
        <r>
          <rPr>
            <sz val="14"/>
            <color rgb="FF000000"/>
            <rFont val="Calibri"/>
            <family val="34"/>
          </rPr>
          <t xml:space="preserve">HFS 1 (1809) 
</t>
        </r>
        <r>
          <rPr>
            <sz val="14"/>
            <color rgb="FF000000"/>
            <rFont val="Calibri"/>
            <family val="34"/>
          </rPr>
          <t xml:space="preserve">HFS 32 (1809)
</t>
        </r>
        <r>
          <rPr>
            <sz val="14"/>
            <color rgb="FF000000"/>
            <rFont val="Calibri"/>
            <family val="34"/>
          </rPr>
          <t>HFS 1 (1809)</t>
        </r>
      </text>
    </comment>
    <comment ref="BF718" authorId="0" shapeId="0" xr:uid="{9A31FB0A-C95D-6E4D-8C2D-5946A89864A1}">
      <text>
        <r>
          <rPr>
            <sz val="14"/>
            <color rgb="FF000000"/>
            <rFont val="Times New Roman"/>
            <family val="18"/>
          </rPr>
          <t>06</t>
        </r>
        <r>
          <rPr>
            <sz val="14"/>
            <color rgb="FF000000"/>
            <rFont val="Times New Roman"/>
            <family val="18"/>
          </rPr>
          <t xml:space="preserve">/06/1809 </t>
        </r>
        <r>
          <rPr>
            <i/>
            <sz val="14"/>
            <color rgb="FF000000"/>
            <rFont val="Times New Roman"/>
            <family val="18"/>
          </rPr>
          <t>A 3 Fl Handgeld als landständischer Recrout in V Reserve Battalion von IR 42 ‚Erbach‘ zu Luditz asssentiert</t>
        </r>
        <r>
          <rPr>
            <sz val="14"/>
            <color rgb="FF000000"/>
            <rFont val="Times New Roman"/>
            <family val="18"/>
          </rPr>
          <t xml:space="preserve"> [AL June 1809]</t>
        </r>
        <r>
          <rPr>
            <sz val="14"/>
            <color rgb="FF000000"/>
            <rFont val="Calibri"/>
            <family val="34"/>
          </rPr>
          <t xml:space="preserve">
</t>
        </r>
        <r>
          <rPr>
            <sz val="14"/>
            <color rgb="FF000000"/>
            <rFont val="Times New Roman"/>
            <family val="18"/>
          </rPr>
          <t xml:space="preserve">15/08/1809 </t>
        </r>
        <r>
          <rPr>
            <i/>
            <sz val="14"/>
            <color rgb="FF000000"/>
            <rFont val="Times New Roman"/>
            <family val="18"/>
          </rPr>
          <t>Von IR 42 ‚Erbach‘ zum IR 4 ‚Deutschmeister‘ transferiert</t>
        </r>
        <r>
          <rPr>
            <sz val="14"/>
            <color rgb="FF000000"/>
            <rFont val="Times New Roman"/>
            <family val="18"/>
          </rPr>
          <t xml:space="preserve"> [TL Aug 1809]</t>
        </r>
        <r>
          <rPr>
            <sz val="14"/>
            <color rgb="FF000000"/>
            <rFont val="Calibri"/>
            <family val="34"/>
          </rPr>
          <t xml:space="preserve">
</t>
        </r>
        <r>
          <rPr>
            <sz val="14"/>
            <color rgb="FF000000"/>
            <rFont val="Times New Roman"/>
            <family val="18"/>
          </rPr>
          <t xml:space="preserve">09/01/1801 </t>
        </r>
        <r>
          <rPr>
            <i/>
            <sz val="14"/>
            <color rgb="FF000000"/>
            <rFont val="Times New Roman"/>
            <family val="18"/>
          </rPr>
          <t>Von IR 4 ‚Deutschmeister‘ zur IR 42 ‚Erbach‘ transferiert und zur 13. Fus. Komp.</t>
        </r>
        <r>
          <rPr>
            <sz val="14"/>
            <color rgb="FF000000"/>
            <rFont val="Times New Roman"/>
            <family val="18"/>
          </rPr>
          <t xml:space="preserve"> </t>
        </r>
        <r>
          <rPr>
            <i/>
            <sz val="14"/>
            <color rgb="FF000000"/>
            <rFont val="Times New Roman"/>
            <family val="18"/>
          </rPr>
          <t>eingeteilt</t>
        </r>
        <r>
          <rPr>
            <sz val="14"/>
            <color rgb="FF000000"/>
            <rFont val="Times New Roman"/>
            <family val="18"/>
          </rPr>
          <t xml:space="preserve"> [TL Aug 1810]</t>
        </r>
        <r>
          <rPr>
            <sz val="14"/>
            <color rgb="FF000000"/>
            <rFont val="Calibri"/>
            <family val="34"/>
          </rPr>
          <t xml:space="preserve">
</t>
        </r>
        <r>
          <rPr>
            <sz val="14"/>
            <color rgb="FF000000"/>
            <rFont val="Times New Roman"/>
            <family val="18"/>
          </rPr>
          <t>30/04/1810 Superarbietrierung in Hauptfeldspital Nr. 1:</t>
        </r>
        <r>
          <rPr>
            <i/>
            <sz val="14"/>
            <color rgb="FF000000"/>
            <rFont val="Times New Roman"/>
            <family val="18"/>
          </rPr>
          <t xml:space="preserve"> Organische Fehler in deren Respirations-Organ dehero standes Fieber</t>
        </r>
        <r>
          <rPr>
            <sz val="14"/>
            <color rgb="FF000000"/>
            <rFont val="Times New Roman"/>
            <family val="18"/>
          </rPr>
          <t xml:space="preserve"> [SUP April]</t>
        </r>
        <r>
          <rPr>
            <sz val="14"/>
            <color rgb="FF000000"/>
            <rFont val="Calibri"/>
            <family val="34"/>
          </rPr>
          <t xml:space="preserve">
</t>
        </r>
        <r>
          <rPr>
            <sz val="14"/>
            <color rgb="FF000000"/>
            <rFont val="Times New Roman"/>
            <family val="18"/>
          </rPr>
          <t xml:space="preserve">05/05/1810 </t>
        </r>
        <r>
          <rPr>
            <i/>
            <sz val="14"/>
            <color rgb="FF000000"/>
            <rFont val="Times New Roman"/>
            <family val="18"/>
          </rPr>
          <t>Wegen kurze Dienstzeit mit Laufpass entlassen</t>
        </r>
        <r>
          <rPr>
            <sz val="14"/>
            <color rgb="FF000000"/>
            <rFont val="Times New Roman"/>
            <family val="18"/>
          </rPr>
          <t xml:space="preserve"> [SUP April 1810]</t>
        </r>
        <r>
          <rPr>
            <sz val="14"/>
            <color rgb="FF000000"/>
            <rFont val="Calibri"/>
            <family val="34"/>
          </rPr>
          <t xml:space="preserve">
</t>
        </r>
      </text>
    </comment>
    <comment ref="BG718" authorId="0" shapeId="0" xr:uid="{FF36C3D8-F779-C548-BF32-5DCFE23412C9}">
      <text>
        <r>
          <rPr>
            <sz val="14"/>
            <color rgb="FF000000"/>
            <rFont val="Times New Roman"/>
            <family val="18"/>
          </rPr>
          <t>ML 3835 IR 42 (1809) – AL IR 42 5. Reserve Bataillon (1. Heft) Nr. 67 (Luditz 30/06/1809)</t>
        </r>
        <r>
          <rPr>
            <sz val="14"/>
            <color rgb="FF000000"/>
            <rFont val="Calibri"/>
            <family val="34"/>
          </rPr>
          <t xml:space="preserve">
</t>
        </r>
        <r>
          <rPr>
            <sz val="14"/>
            <color rgb="FF000000"/>
            <rFont val="Times New Roman"/>
            <family val="18"/>
          </rPr>
          <t>ML 3836 IR 42 (1809) – TL IR 42 zu IR 4 Nr. 114 (15/08/1809)</t>
        </r>
        <r>
          <rPr>
            <sz val="14"/>
            <color rgb="FF000000"/>
            <rFont val="Calibri"/>
            <family val="34"/>
          </rPr>
          <t xml:space="preserve">
</t>
        </r>
        <r>
          <rPr>
            <sz val="14"/>
            <color rgb="FF000000"/>
            <rFont val="Times New Roman"/>
            <family val="18"/>
          </rPr>
          <t>ML 3838 IR 42 (1810) – TL IR 4-&gt; IR 42 Nr. 254 (Wien 20/11/1810); SUP 13. Fus. Comp. pro Mai 1810 Nr. 1 (Prag 30/04/1810)</t>
        </r>
        <r>
          <rPr>
            <sz val="14"/>
            <color rgb="FF000000"/>
            <rFont val="Calibri"/>
            <family val="34"/>
          </rPr>
          <t xml:space="preserve">
</t>
        </r>
      </text>
    </comment>
    <comment ref="BH718" authorId="0" shapeId="0" xr:uid="{9BCAA67D-6A16-9D49-9A2E-04ABB201D790}">
      <text>
        <r>
          <rPr>
            <sz val="14"/>
            <color rgb="FF000000"/>
            <rFont val="Calibri"/>
            <family val="34"/>
          </rPr>
          <t xml:space="preserve">IR 42 (1809) 
</t>
        </r>
        <r>
          <rPr>
            <sz val="14"/>
            <color rgb="FF000000"/>
            <rFont val="Calibri"/>
            <family val="34"/>
          </rPr>
          <t xml:space="preserve">IR 4 (1809-1810)
</t>
        </r>
        <r>
          <rPr>
            <sz val="14"/>
            <color rgb="FF000000"/>
            <rFont val="Calibri"/>
            <family val="34"/>
          </rPr>
          <t>IR 42 (1810)</t>
        </r>
      </text>
    </comment>
    <comment ref="BI718" authorId="0" shapeId="0" xr:uid="{24FDBBF4-1FFB-2048-B10F-997B513A2ED1}">
      <text>
        <r>
          <rPr>
            <sz val="14"/>
            <color rgb="FF000000"/>
            <rFont val="Calibri"/>
            <family val="34"/>
          </rPr>
          <t>Gut ([SUP April 1810]</t>
        </r>
      </text>
    </comment>
    <comment ref="BJ718" authorId="0" shapeId="0" xr:uid="{5BB13412-7388-2E42-8071-947B0B106DB7}">
      <text>
        <r>
          <rPr>
            <i/>
            <sz val="14"/>
            <color rgb="FF000000"/>
            <rFont val="Times New Roman"/>
            <family val="18"/>
          </rPr>
          <t>Organische Fehler in deren Respirations-Organ dehero standes Fieber‘ &amp; ‚diesem Defekt nach 2 Mahl Lungenentzündung erhalten, ist bereits lange Zeit in Spital und sind zu seine Herstellung alle Mittel fruchtlos angewendet worden</t>
        </r>
        <r>
          <rPr>
            <sz val="14"/>
            <color rgb="FF000000"/>
            <rFont val="Times New Roman"/>
            <family val="18"/>
          </rPr>
          <t xml:space="preserve"> [SUP April 1810]</t>
        </r>
        <r>
          <rPr>
            <sz val="14"/>
            <color rgb="FF000000"/>
            <rFont val="Calibri"/>
            <family val="2"/>
            <scheme val="minor"/>
          </rPr>
          <t xml:space="preserve"> </t>
        </r>
      </text>
    </comment>
    <comment ref="BF719" authorId="0" shapeId="0" xr:uid="{15F44F5A-19FC-F945-959B-F445FA0F2E98}">
      <text>
        <r>
          <rPr>
            <sz val="14"/>
            <color rgb="FF000000"/>
            <rFont val="Times New Roman"/>
            <family val="18"/>
          </rPr>
          <t xml:space="preserve">08/06/1809 </t>
        </r>
        <r>
          <rPr>
            <i/>
            <sz val="14"/>
            <color rgb="FF000000"/>
            <rFont val="Times New Roman"/>
            <family val="18"/>
          </rPr>
          <t>Als Unterarzt neu assentiert</t>
        </r>
        <r>
          <rPr>
            <sz val="14"/>
            <color rgb="FF000000"/>
            <rFont val="Times New Roman"/>
            <family val="18"/>
          </rPr>
          <t xml:space="preserve"> [VerpfL Juni 1809]
</t>
        </r>
        <r>
          <rPr>
            <sz val="14"/>
            <color rgb="FF000000"/>
            <rFont val="Times New Roman"/>
            <family val="18"/>
          </rPr>
          <t xml:space="preserve">10/03/1810 </t>
        </r>
        <r>
          <rPr>
            <i/>
            <sz val="14"/>
            <color rgb="FF000000"/>
            <rFont val="Times New Roman"/>
            <family val="18"/>
          </rPr>
          <t>Mit Abschied entlassen</t>
        </r>
        <r>
          <rPr>
            <sz val="14"/>
            <color rgb="FF000000"/>
            <rFont val="Times New Roman"/>
            <family val="18"/>
          </rPr>
          <t xml:space="preserve"> [Ent-Cons. März 1810 &amp; Veprf. März 1810]
</t>
        </r>
      </text>
    </comment>
    <comment ref="BG719" authorId="0" shapeId="0" xr:uid="{741C4F5D-D24E-C846-ADBA-74D51DA28D09}">
      <text>
        <r>
          <rPr>
            <sz val="14"/>
            <color rgb="FF000000"/>
            <rFont val="Times New Roman"/>
            <family val="18"/>
          </rPr>
          <t xml:space="preserve">ST 11.994 HFS (1809-14) – Ent-Cons. Nr. 2 (Opočno 08/03/1810); VerpfL Juni 1809 (Geyersberg 31/12/1809); VerpfL März (Opočno 30/07/1810)
</t>
        </r>
      </text>
    </comment>
    <comment ref="BH719" authorId="0" shapeId="0" xr:uid="{2491CACD-0E72-594B-8CE9-7EE942FD9B2F}">
      <text>
        <r>
          <rPr>
            <sz val="14"/>
            <color rgb="FF000000"/>
            <rFont val="Calibri"/>
            <family val="34"/>
          </rPr>
          <t>HFS 32 (1809-1810)</t>
        </r>
      </text>
    </comment>
    <comment ref="BF720" authorId="0" shapeId="0" xr:uid="{F5B14E4B-44C7-1D47-89B7-20CAA47F27D0}">
      <text>
        <r>
          <rPr>
            <sz val="14"/>
            <color rgb="FF000000"/>
            <rFont val="Times New Roman"/>
            <family val="18"/>
          </rPr>
          <t xml:space="preserve">16/06/1809 </t>
        </r>
        <r>
          <rPr>
            <i/>
            <sz val="14"/>
            <color rgb="FF000000"/>
            <rFont val="Times New Roman"/>
            <family val="18"/>
          </rPr>
          <t>Zu dem Aufgebot hat sich freiwillig und ohneentgeld des Arerai ins k.k. Bucowiner Anrauten Corps zu Fuß als Wehrmann beigetreten und zum Czernowitz assentiert Beim Assentierung hat die folgende Armatur und Munition bekommen: Feuergewehr, Kugelzieher, 24 Scharfe Patronen und 2 Steine</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18/07/1809 </t>
        </r>
        <r>
          <rPr>
            <i/>
            <sz val="14"/>
            <color rgb="FF000000"/>
            <rFont val="Times New Roman"/>
            <family val="18"/>
          </rPr>
          <t>bey Viniaska in Kriegsgefangenschaft gefallen</t>
        </r>
        <r>
          <rPr>
            <sz val="14"/>
            <color rgb="FF000000"/>
            <rFont val="Times New Roman"/>
            <family val="18"/>
          </rPr>
          <t xml:space="preserve"> [ST Juli 1809]</t>
        </r>
        <r>
          <rPr>
            <sz val="14"/>
            <color rgb="FF000000"/>
            <rFont val="Calibri"/>
            <family val="34"/>
          </rPr>
          <t xml:space="preserve">
</t>
        </r>
        <r>
          <rPr>
            <sz val="14"/>
            <color rgb="FF000000"/>
            <rFont val="+mn-lt"/>
            <charset val="1"/>
          </rPr>
          <t xml:space="preserve">
</t>
        </r>
      </text>
    </comment>
    <comment ref="BG720" authorId="0" shapeId="0" xr:uid="{E691129E-42DB-894C-BD2F-5A2BA36AFC29}">
      <text>
        <r>
          <rPr>
            <sz val="14"/>
            <color rgb="FF000000"/>
            <rFont val="Calibri"/>
            <family val="34"/>
          </rPr>
          <t xml:space="preserve">ML 10.835 Bukovianer FK (1809) – AL Nr. 13 (Czernowitz 20/06/1809), ST Juni (Czernowitz 29/04/1810, Juli (Czernowitz 27/06/1809)
</t>
        </r>
      </text>
    </comment>
    <comment ref="BH720" authorId="0" shapeId="0" xr:uid="{DDC9BD69-E022-AE4A-B495-4C9DC60DC4F4}">
      <text>
        <r>
          <rPr>
            <sz val="14"/>
            <color rgb="FF000000"/>
            <rFont val="Calibri"/>
            <family val="34"/>
          </rPr>
          <t>Buccovianer Insurrections Truppen (1809)</t>
        </r>
      </text>
    </comment>
    <comment ref="BF721" authorId="0" shapeId="0" xr:uid="{473D2D78-6247-5749-A42C-614F904DB8C3}">
      <text>
        <r>
          <rPr>
            <sz val="14"/>
            <color rgb="FF000000"/>
            <rFont val="Times New Roman"/>
            <family val="18"/>
          </rPr>
          <t xml:space="preserve">19/06/1809 </t>
        </r>
        <r>
          <rPr>
            <i/>
            <sz val="14"/>
            <color rgb="FF000000"/>
            <rFont val="Times New Roman"/>
            <family val="18"/>
          </rPr>
          <t xml:space="preserve">Zu Prag assentiert </t>
        </r>
        <r>
          <rPr>
            <sz val="14"/>
            <color rgb="FF000000"/>
            <rFont val="Times New Roman"/>
            <family val="18"/>
          </rPr>
          <t>[TL 1809]</t>
        </r>
        <r>
          <rPr>
            <sz val="14"/>
            <color rgb="FF000000"/>
            <rFont val="Calibri"/>
            <family val="34"/>
          </rPr>
          <t xml:space="preserve">
</t>
        </r>
        <r>
          <rPr>
            <sz val="14"/>
            <color rgb="FF000000"/>
            <rFont val="Times New Roman"/>
            <family val="18"/>
          </rPr>
          <t xml:space="preserve">20/07/1809 </t>
        </r>
        <r>
          <rPr>
            <i/>
            <sz val="14"/>
            <color rgb="FF000000"/>
            <rFont val="Times New Roman"/>
            <family val="18"/>
          </rPr>
          <t xml:space="preserve">Von HFS 1 zum HFS 33 transferiert </t>
        </r>
        <r>
          <rPr>
            <sz val="14"/>
            <color rgb="FF000000"/>
            <rFont val="Times New Roman"/>
            <family val="18"/>
          </rPr>
          <t>[TL 1809]</t>
        </r>
        <r>
          <rPr>
            <sz val="14"/>
            <color rgb="FF000000"/>
            <rFont val="Calibri"/>
            <family val="34"/>
          </rPr>
          <t xml:space="preserve">
</t>
        </r>
        <r>
          <rPr>
            <sz val="14"/>
            <color rgb="FF000000"/>
            <rFont val="Times New Roman"/>
            <family val="18"/>
          </rPr>
          <t>09/03/1810</t>
        </r>
        <r>
          <rPr>
            <i/>
            <sz val="14"/>
            <color rgb="FF000000"/>
            <rFont val="Times New Roman"/>
            <family val="18"/>
          </rPr>
          <t xml:space="preserve"> Krank</t>
        </r>
        <r>
          <rPr>
            <sz val="14"/>
            <color rgb="FF000000"/>
            <rFont val="Times New Roman"/>
            <family val="18"/>
          </rPr>
          <t xml:space="preserve"> [VerpfL März 1810]</t>
        </r>
        <r>
          <rPr>
            <sz val="14"/>
            <color rgb="FF000000"/>
            <rFont val="Calibri"/>
            <family val="34"/>
          </rPr>
          <t xml:space="preserve">
</t>
        </r>
        <r>
          <rPr>
            <sz val="14"/>
            <color rgb="FF000000"/>
            <rFont val="Times New Roman"/>
            <family val="18"/>
          </rPr>
          <t xml:space="preserve">10/03/1810 </t>
        </r>
        <r>
          <rPr>
            <i/>
            <sz val="14"/>
            <color rgb="FF000000"/>
            <rFont val="Times New Roman"/>
            <family val="18"/>
          </rPr>
          <t xml:space="preserve">Rekonvalesziert </t>
        </r>
        <r>
          <rPr>
            <sz val="14"/>
            <color rgb="FF000000"/>
            <rFont val="Times New Roman"/>
            <family val="18"/>
          </rPr>
          <t xml:space="preserve">[VerpfL März 1810] </t>
        </r>
        <r>
          <rPr>
            <sz val="14"/>
            <color rgb="FF000000"/>
            <rFont val="Calibri"/>
            <family val="34"/>
          </rPr>
          <t xml:space="preserve">
</t>
        </r>
        <r>
          <rPr>
            <sz val="14"/>
            <color rgb="FF000000"/>
            <rFont val="Times New Roman"/>
            <family val="18"/>
          </rPr>
          <t xml:space="preserve">20/03/1810 </t>
        </r>
        <r>
          <rPr>
            <i/>
            <sz val="14"/>
            <color rgb="FF000000"/>
            <rFont val="Times New Roman"/>
            <family val="18"/>
          </rPr>
          <t xml:space="preserve">In folge Hoher Löbl k.k. Hauptfeldspitalern Oberdirections Verordnung dd. Prag am 23. Feb 810 und Nr. 539in das Unterlages Spital Nr. 21 nach Raudnitz transferiert </t>
        </r>
        <r>
          <rPr>
            <sz val="14"/>
            <color rgb="FF000000"/>
            <rFont val="Times New Roman"/>
            <family val="18"/>
          </rPr>
          <t>[VerpfL März 1810]</t>
        </r>
        <r>
          <rPr>
            <sz val="14"/>
            <color rgb="FF000000"/>
            <rFont val="Calibri"/>
            <family val="34"/>
          </rPr>
          <t xml:space="preserve">
</t>
        </r>
      </text>
    </comment>
    <comment ref="BG721" authorId="0" shapeId="0" xr:uid="{18B6FDCE-BF55-4E4F-8C97-58460D1EE7CF}">
      <text>
        <r>
          <rPr>
            <sz val="14"/>
            <color rgb="FF000000"/>
            <rFont val="Times New Roman"/>
            <family val="18"/>
          </rPr>
          <t>ML 11.997 HFS (1809-1814) – TL HFS 1-&gt;HFS 33 Nr. 38 (Prague ??/??/1809); VeprfL März 1810</t>
        </r>
        <r>
          <rPr>
            <sz val="14"/>
            <color rgb="FF000000"/>
            <rFont val="Calibri"/>
            <family val="34"/>
          </rPr>
          <t xml:space="preserve">
</t>
        </r>
      </text>
    </comment>
    <comment ref="BH721" authorId="0" shapeId="0" xr:uid="{CBA76C79-D10A-5641-B7BF-2AD067C997F5}">
      <text>
        <r>
          <rPr>
            <sz val="14"/>
            <color rgb="FF000000"/>
            <rFont val="Calibri"/>
            <family val="34"/>
          </rPr>
          <t xml:space="preserve">HFS 1 (1809)
</t>
        </r>
        <r>
          <rPr>
            <sz val="14"/>
            <color rgb="FF000000"/>
            <rFont val="Calibri"/>
            <family val="34"/>
          </rPr>
          <t xml:space="preserve">HFS 33 (1809-10)
</t>
        </r>
        <r>
          <rPr>
            <sz val="14"/>
            <color rgb="FF000000"/>
            <rFont val="Calibri"/>
            <family val="34"/>
          </rPr>
          <t>US 21 (1810)</t>
        </r>
      </text>
    </comment>
    <comment ref="BF722" authorId="0" shapeId="0" xr:uid="{652040F7-0D3D-B642-984F-894C5EF973C3}">
      <text>
        <r>
          <rPr>
            <sz val="14"/>
            <color rgb="FF000000"/>
            <rFont val="Times New Roman"/>
            <family val="18"/>
          </rPr>
          <t xml:space="preserve">07/07/1809 </t>
        </r>
        <r>
          <rPr>
            <i/>
            <sz val="14"/>
            <color rgb="FF000000"/>
            <rFont val="Times New Roman"/>
            <family val="18"/>
          </rPr>
          <t>Als Unterarzt In Hauptfeldspital Nr. 32 in Prag assentiert</t>
        </r>
        <r>
          <rPr>
            <sz val="14"/>
            <color rgb="FF000000"/>
            <rFont val="Times New Roman"/>
            <family val="18"/>
          </rPr>
          <t xml:space="preserve"> [AL Juli 1809]
</t>
        </r>
        <r>
          <rPr>
            <sz val="14"/>
            <color rgb="FF000000"/>
            <rFont val="Times New Roman"/>
            <family val="18"/>
          </rPr>
          <t xml:space="preserve">01/10/1809 </t>
        </r>
        <r>
          <rPr>
            <i/>
            <sz val="14"/>
            <color rgb="FF000000"/>
            <rFont val="Times New Roman"/>
            <family val="18"/>
          </rPr>
          <t>Am Leitomischler Civil Spital zugeheilt</t>
        </r>
        <r>
          <rPr>
            <sz val="14"/>
            <color rgb="FF000000"/>
            <rFont val="Times New Roman"/>
            <family val="18"/>
          </rPr>
          <t xml:space="preserve"> [TL Aug 1810]
</t>
        </r>
        <r>
          <rPr>
            <sz val="14"/>
            <color rgb="FF000000"/>
            <rFont val="Times New Roman"/>
            <family val="18"/>
          </rPr>
          <t xml:space="preserve">31/01/1810 </t>
        </r>
        <r>
          <rPr>
            <i/>
            <sz val="14"/>
            <color rgb="FF000000"/>
            <rFont val="Times New Roman"/>
            <family val="18"/>
          </rPr>
          <t xml:space="preserve">Von HFS 32 von HFS zum Leitomischler Civil Spital offiziell transferiert </t>
        </r>
        <r>
          <rPr>
            <sz val="14"/>
            <color rgb="FF000000"/>
            <rFont val="Times New Roman"/>
            <family val="18"/>
          </rPr>
          <t xml:space="preserve">[TL Aug 1810 &amp; VerpfL Jan 1810]
</t>
        </r>
      </text>
    </comment>
    <comment ref="BG722" authorId="0" shapeId="0" xr:uid="{283D17BD-A220-CA47-9EF0-D2695E15F822}">
      <text>
        <r>
          <rPr>
            <sz val="14"/>
            <color rgb="FF000000"/>
            <rFont val="Times New Roman"/>
            <family val="18"/>
          </rPr>
          <t>ST 11.994 HFS (1809-14) – HFS 32 AL Nr. 2 (Prague 07/07/1809); TL HFS 32-&gt; Leitmoschler Civil FS Nr. 2 (Opočno 06/08/1810); VrpfL Jan 1810 (Opochno 30/06/1810)</t>
        </r>
        <r>
          <rPr>
            <sz val="14"/>
            <color rgb="FF000000"/>
            <rFont val="Times New Roman"/>
            <family val="18"/>
          </rPr>
          <t xml:space="preserve">
</t>
        </r>
      </text>
    </comment>
    <comment ref="BH722" authorId="0" shapeId="0" xr:uid="{ABFFCB37-62F9-2D4C-9AA9-B7650947C91B}">
      <text>
        <r>
          <rPr>
            <sz val="14"/>
            <color rgb="FF000000"/>
            <rFont val="Calibri"/>
            <family val="34"/>
          </rPr>
          <t xml:space="preserve">HFS 32 (1809-1810)
</t>
        </r>
        <r>
          <rPr>
            <sz val="14"/>
            <color rgb="FF000000"/>
            <rFont val="Calibri"/>
            <family val="34"/>
          </rPr>
          <t>Leitomyschl Civil FS (1810)</t>
        </r>
      </text>
    </comment>
    <comment ref="O723" authorId="0" shapeId="0" xr:uid="{5350B2F1-0A8A-D74A-A772-AFCBDAFB4492}">
      <text>
        <r>
          <rPr>
            <sz val="14"/>
            <color rgb="FF000000"/>
            <rFont val="Calibri"/>
            <family val="34"/>
          </rPr>
          <t>2 Kinder (ohne weitere Angaben)</t>
        </r>
      </text>
    </comment>
    <comment ref="BF723" authorId="0" shapeId="0" xr:uid="{09296838-2ADD-6646-A23C-38E4C9102B91}">
      <text>
        <r>
          <rPr>
            <sz val="14"/>
            <color rgb="FF000000"/>
            <rFont val="Times New Roman"/>
            <family val="18"/>
          </rPr>
          <t xml:space="preserve">07/07/1809 </t>
        </r>
        <r>
          <rPr>
            <i/>
            <sz val="14"/>
            <color rgb="FF000000"/>
            <rFont val="Times New Roman"/>
            <family val="18"/>
          </rPr>
          <t>Als Unterarzt In Hauptfeldspital Nr. 32 in Prag assentiert</t>
        </r>
        <r>
          <rPr>
            <sz val="14"/>
            <color rgb="FF000000"/>
            <rFont val="Times New Roman"/>
            <family val="18"/>
          </rPr>
          <t xml:space="preserve"> [AL Juli 1809]
</t>
        </r>
        <r>
          <rPr>
            <sz val="14"/>
            <color rgb="FF000000"/>
            <rFont val="Times New Roman"/>
            <family val="18"/>
          </rPr>
          <t xml:space="preserve">15/09/1809 </t>
        </r>
        <r>
          <rPr>
            <i/>
            <sz val="14"/>
            <color rgb="FF000000"/>
            <rFont val="Times New Roman"/>
            <family val="18"/>
          </rPr>
          <t>nach Prag dem Criminal Gericht übergeben</t>
        </r>
        <r>
          <rPr>
            <sz val="14"/>
            <color rgb="FF000000"/>
            <rFont val="Times New Roman"/>
            <family val="18"/>
          </rPr>
          <t xml:space="preserve"> [Verpf.-Ent. Sept 1809]
</t>
        </r>
      </text>
    </comment>
    <comment ref="BG723" authorId="0" shapeId="0" xr:uid="{B18D7A18-9B1E-5B48-9A4C-628100FD75B1}">
      <text>
        <r>
          <rPr>
            <sz val="14"/>
            <color rgb="FF000000"/>
            <rFont val="Times New Roman"/>
            <family val="18"/>
          </rPr>
          <t xml:space="preserve">ST 11.994 HFS (1809-14) – HFS 32 AL Nr. 2 (Prague 07/07/1809); TL HFS 32-&gt; Leitmoschler Civil FS Nr. 2 (Opočno 06/08/1810); VrpfL Jan 1810 (Opochno 30/06/1810)
</t>
        </r>
      </text>
    </comment>
    <comment ref="BH723" authorId="0" shapeId="0" xr:uid="{44E7D19E-ED04-E147-9761-779740703D65}">
      <text>
        <r>
          <rPr>
            <sz val="14"/>
            <color rgb="FF000000"/>
            <rFont val="Calibri"/>
            <family val="34"/>
          </rPr>
          <t xml:space="preserve">HFS 32 (1809)
</t>
        </r>
        <r>
          <rPr>
            <sz val="14"/>
            <color rgb="FF000000"/>
            <rFont val="Calibri"/>
            <family val="34"/>
          </rPr>
          <t>Prag Criminal Gericht(1809)</t>
        </r>
      </text>
    </comment>
    <comment ref="BF724" authorId="0" shapeId="0" xr:uid="{1A5CE85C-7FFF-8148-9A94-5C5D2C6ED6CE}">
      <text>
        <r>
          <rPr>
            <sz val="14"/>
            <color rgb="FF000000"/>
            <rFont val="Times New Roman"/>
            <family val="18"/>
          </rPr>
          <t xml:space="preserve">07/07/1809 </t>
        </r>
        <r>
          <rPr>
            <i/>
            <sz val="14"/>
            <color rgb="FF000000"/>
            <rFont val="Times New Roman"/>
            <family val="18"/>
          </rPr>
          <t>Zum UL 1 Reserve gestellt</t>
        </r>
        <r>
          <rPr>
            <sz val="14"/>
            <color rgb="FF000000"/>
            <rFont val="Times New Roman"/>
            <family val="18"/>
          </rPr>
          <t xml:space="preserve"> [AL Juli 1809 &amp; ST Juli 1809]</t>
        </r>
        <r>
          <rPr>
            <sz val="14"/>
            <color rgb="FF000000"/>
            <rFont val="Calibri"/>
            <family val="34"/>
          </rPr>
          <t xml:space="preserve">
</t>
        </r>
        <r>
          <rPr>
            <sz val="14"/>
            <color rgb="FF000000"/>
            <rFont val="Times New Roman"/>
            <family val="18"/>
          </rPr>
          <t xml:space="preserve">10/07/1809 </t>
        </r>
        <r>
          <rPr>
            <i/>
            <sz val="14"/>
            <color rgb="FF000000"/>
            <rFont val="Times New Roman"/>
            <family val="18"/>
          </rPr>
          <t>Während des March aus Galizien nach Böhmen desertiert</t>
        </r>
        <r>
          <rPr>
            <sz val="14"/>
            <color rgb="FF000000"/>
            <rFont val="Times New Roman"/>
            <family val="18"/>
          </rPr>
          <t xml:space="preserve"> [ST Aug 1809]</t>
        </r>
        <r>
          <rPr>
            <sz val="14"/>
            <color rgb="FF000000"/>
            <rFont val="Calibri"/>
            <family val="34"/>
          </rPr>
          <t xml:space="preserve">
</t>
        </r>
      </text>
    </comment>
    <comment ref="BG724" authorId="0" shapeId="0" xr:uid="{FF4F3643-9ED9-C64F-8B7D-04198F453FF0}">
      <text>
        <r>
          <rPr>
            <sz val="14"/>
            <color rgb="FF000000"/>
            <rFont val="Times New Roman"/>
            <family val="18"/>
          </rPr>
          <t>ML 7848 UL 1 (1809) – AL Nr. 1 (Neu Sandetz 07/07/1809), ST Juli (07/06/1810), ST August (??)</t>
        </r>
        <r>
          <rPr>
            <sz val="14"/>
            <color rgb="FF000000"/>
            <rFont val="Calibri"/>
            <family val="34"/>
          </rPr>
          <t xml:space="preserve">
</t>
        </r>
      </text>
    </comment>
    <comment ref="BH724" authorId="0" shapeId="0" xr:uid="{F72082A1-6392-5B46-B1CC-EF1327D43CF2}">
      <text>
        <r>
          <rPr>
            <sz val="14"/>
            <color rgb="FF000000"/>
            <rFont val="Calibri"/>
            <family val="34"/>
          </rPr>
          <t>UL 1 (1809)</t>
        </r>
      </text>
    </comment>
    <comment ref="BF725" authorId="0" shapeId="0" xr:uid="{B02A05D2-0449-FF41-BE00-31BA4684DBF2}">
      <text>
        <r>
          <rPr>
            <sz val="14"/>
            <color rgb="FF000000"/>
            <rFont val="Times New Roman"/>
            <family val="18"/>
          </rPr>
          <t xml:space="preserve">08/08/1809 </t>
        </r>
        <r>
          <rPr>
            <i/>
            <sz val="14"/>
            <color rgb="FF000000"/>
            <rFont val="Times New Roman"/>
            <family val="18"/>
          </rPr>
          <t xml:space="preserve">Von Csanad </t>
        </r>
        <r>
          <rPr>
            <b/>
            <sz val="14"/>
            <color rgb="FF000000"/>
            <rFont val="Times New Roman"/>
            <family val="18"/>
          </rPr>
          <t>[?]</t>
        </r>
        <r>
          <rPr>
            <sz val="14"/>
            <color rgb="FF000000"/>
            <rFont val="Times New Roman"/>
            <family val="18"/>
          </rPr>
          <t xml:space="preserve"> </t>
        </r>
        <r>
          <rPr>
            <i/>
            <sz val="14"/>
            <color rgb="FF000000"/>
            <rFont val="Times New Roman"/>
            <family val="18"/>
          </rPr>
          <t xml:space="preserve">in Csongrád Komität Von Land gestellt und gegen 30FL auf dem Werbplatz Szegedin zum IR 39 assentiert </t>
        </r>
        <r>
          <rPr>
            <sz val="14"/>
            <color rgb="FF000000"/>
            <rFont val="Times New Roman"/>
            <family val="18"/>
          </rPr>
          <t>[AL Aug 1809]</t>
        </r>
        <r>
          <rPr>
            <sz val="14"/>
            <color rgb="FF000000"/>
            <rFont val="Calibri"/>
            <family val="34"/>
          </rPr>
          <t xml:space="preserve">
</t>
        </r>
        <r>
          <rPr>
            <sz val="14"/>
            <color rgb="FFFF0000"/>
            <rFont val="Times New Roman"/>
            <family val="18"/>
          </rPr>
          <t xml:space="preserve">14/09/1809 </t>
        </r>
        <r>
          <rPr>
            <i/>
            <sz val="14"/>
            <color rgb="FFFF0000"/>
            <rFont val="Times New Roman"/>
            <family val="18"/>
          </rPr>
          <t>Von Sztaray Regiment transferiert</t>
        </r>
        <r>
          <rPr>
            <sz val="14"/>
            <color rgb="FFFF0000"/>
            <rFont val="Times New Roman"/>
            <family val="18"/>
          </rPr>
          <t xml:space="preserve"> [ML 1811] [SIC!]</t>
        </r>
        <r>
          <rPr>
            <sz val="14"/>
            <color rgb="FF000000"/>
            <rFont val="Calibri"/>
            <family val="34"/>
          </rPr>
          <t xml:space="preserve">
</t>
        </r>
        <r>
          <rPr>
            <sz val="14"/>
            <color rgb="FF000000"/>
            <rFont val="Times New Roman"/>
            <family val="18"/>
          </rPr>
          <t xml:space="preserve">05/09/1810 </t>
        </r>
        <r>
          <rPr>
            <i/>
            <sz val="14"/>
            <color rgb="FF000000"/>
            <rFont val="Times New Roman"/>
            <family val="18"/>
          </rPr>
          <t>Als Kriegscapitulant mit Abschied entlassen</t>
        </r>
        <r>
          <rPr>
            <sz val="14"/>
            <color rgb="FF000000"/>
            <rFont val="Times New Roman"/>
            <family val="18"/>
          </rPr>
          <t xml:space="preserve"> [ML 1811]</t>
        </r>
        <r>
          <rPr>
            <sz val="14"/>
            <color rgb="FF000000"/>
            <rFont val="Calibri"/>
            <family val="34"/>
          </rPr>
          <t xml:space="preserve">
</t>
        </r>
      </text>
    </comment>
    <comment ref="BG725" authorId="0" shapeId="0" xr:uid="{30FDDDB3-202F-5D45-B51D-839FF65FBA4D}">
      <text>
        <r>
          <rPr>
            <sz val="14"/>
            <color rgb="FF000000"/>
            <rFont val="Times New Roman"/>
            <family val="18"/>
          </rPr>
          <t>ML 3501/2 IR 39 (1811) – 1. Fus. Komp. Abgang (Szent Andree 14/09/1811)</t>
        </r>
        <r>
          <rPr>
            <sz val="14"/>
            <color rgb="FF000000"/>
            <rFont val="Calibri"/>
            <family val="34"/>
          </rPr>
          <t xml:space="preserve">
</t>
        </r>
        <r>
          <rPr>
            <sz val="14"/>
            <color rgb="FF000000"/>
            <rFont val="Times New Roman"/>
            <family val="18"/>
          </rPr>
          <t>ML 3550 IR 39 (1809) – AL Nr. 24 (Szegedin 08/08/1809)</t>
        </r>
        <r>
          <rPr>
            <sz val="14"/>
            <color rgb="FF000000"/>
            <rFont val="Calibri"/>
            <family val="34"/>
          </rPr>
          <t xml:space="preserve">
</t>
        </r>
      </text>
    </comment>
    <comment ref="BH725" authorId="0" shapeId="0" xr:uid="{C0BCEE83-0C26-5642-B128-8C25C8A9EC16}">
      <text>
        <r>
          <rPr>
            <sz val="14"/>
            <color rgb="FF000000"/>
            <rFont val="Calibri"/>
            <family val="34"/>
          </rPr>
          <t>IR 39 (1809-1810)</t>
        </r>
      </text>
    </comment>
    <comment ref="BF726" authorId="0" shapeId="0" xr:uid="{F04E8CCF-AB66-E14C-90E8-9F988B76CB4C}">
      <text>
        <r>
          <rPr>
            <sz val="14"/>
            <color rgb="FF000000"/>
            <rFont val="Times New Roman"/>
            <family val="18"/>
          </rPr>
          <t xml:space="preserve">11/08/1809 </t>
        </r>
        <r>
          <rPr>
            <i/>
            <sz val="14"/>
            <color rgb="FF000000"/>
            <rFont val="Times New Roman"/>
            <family val="18"/>
          </rPr>
          <t>Von Halas in Klein Cumanien zum HR 12 gestellt</t>
        </r>
        <r>
          <rPr>
            <sz val="14"/>
            <color rgb="FF000000"/>
            <rFont val="Times New Roman"/>
            <family val="18"/>
          </rPr>
          <t xml:space="preserve"> [AL Aug 1809]</t>
        </r>
        <r>
          <rPr>
            <sz val="14"/>
            <color rgb="FF000000"/>
            <rFont val="Calibri"/>
            <family val="34"/>
          </rPr>
          <t xml:space="preserve">
</t>
        </r>
      </text>
    </comment>
    <comment ref="BG726" authorId="0" shapeId="0" xr:uid="{7CD210A1-F78F-3541-9ACC-FA8F123ED32C}">
      <text>
        <r>
          <rPr>
            <sz val="14"/>
            <color rgb="FF000000"/>
            <rFont val="Times New Roman"/>
            <family val="18"/>
          </rPr>
          <t xml:space="preserve">ML 7811 HR 12 (1809) – AL Nr. 228 (?? ??/08/1809) </t>
        </r>
        <r>
          <rPr>
            <sz val="14"/>
            <color rgb="FF000000"/>
            <rFont val="Calibri"/>
            <family val="34"/>
          </rPr>
          <t xml:space="preserve">
</t>
        </r>
      </text>
    </comment>
    <comment ref="BH726" authorId="0" shapeId="0" xr:uid="{CB76E93D-7B97-7448-B17B-2742A7650B0D}">
      <text>
        <r>
          <rPr>
            <sz val="14"/>
            <color rgb="FF000000"/>
            <rFont val="Calibri"/>
            <family val="34"/>
          </rPr>
          <t>IR 37 (1809)</t>
        </r>
      </text>
    </comment>
    <comment ref="BF727" authorId="0" shapeId="0" xr:uid="{9056CEC1-2A0E-C041-B397-4E25CD88B3C1}">
      <text>
        <r>
          <rPr>
            <sz val="14"/>
            <color rgb="FF000000"/>
            <rFont val="Times New Roman"/>
            <family val="18"/>
          </rPr>
          <t xml:space="preserve">05/09/1809 </t>
        </r>
        <r>
          <rPr>
            <i/>
            <sz val="14"/>
            <color rgb="FF000000"/>
            <rFont val="Times New Roman"/>
            <family val="18"/>
          </rPr>
          <t>Von Pfarre Samson</t>
        </r>
        <r>
          <rPr>
            <sz val="14"/>
            <color rgb="FF000000"/>
            <rFont val="Times New Roman"/>
            <family val="18"/>
          </rPr>
          <t xml:space="preserve"> </t>
        </r>
        <r>
          <rPr>
            <b/>
            <sz val="14"/>
            <color rgb="FF000000"/>
            <rFont val="Times New Roman"/>
            <family val="18"/>
          </rPr>
          <t>[</t>
        </r>
        <r>
          <rPr>
            <b/>
            <u/>
            <sz val="14"/>
            <color rgb="FF0563C1"/>
            <rFont val="Times New Roman"/>
            <family val="18"/>
          </rPr>
          <t>Hajdúsámson, Hungary</t>
        </r>
        <r>
          <rPr>
            <b/>
            <sz val="14"/>
            <color rgb="FF000000"/>
            <rFont val="Times New Roman"/>
            <family val="18"/>
          </rPr>
          <t>]</t>
        </r>
        <r>
          <rPr>
            <sz val="14"/>
            <color rgb="FF000000"/>
            <rFont val="Times New Roman"/>
            <family val="18"/>
          </rPr>
          <t xml:space="preserve">  </t>
        </r>
        <r>
          <rPr>
            <i/>
            <sz val="14"/>
            <color rgb="FF000000"/>
            <rFont val="Times New Roman"/>
            <family val="18"/>
          </rPr>
          <t>Hr. von Miskolzki Biharer Comitat als landständischer Recrout gestellt, zum IR 37 assentiert, und zur 2. Depot Komp. eingeheilt</t>
        </r>
        <r>
          <rPr>
            <sz val="14"/>
            <color rgb="FF000000"/>
            <rFont val="Times New Roman"/>
            <family val="18"/>
          </rPr>
          <t xml:space="preserve"> [AL Sept 1809 &amp; ST Sept 1809]</t>
        </r>
        <r>
          <rPr>
            <sz val="14"/>
            <color rgb="FF000000"/>
            <rFont val="Calibri"/>
            <family val="34"/>
          </rPr>
          <t xml:space="preserve">
</t>
        </r>
      </text>
    </comment>
    <comment ref="BG727" authorId="0" shapeId="0" xr:uid="{C852174B-A845-A04B-B3ED-891C0E05B88B}">
      <text>
        <r>
          <rPr>
            <sz val="14"/>
            <color rgb="FF000000"/>
            <rFont val="Times New Roman"/>
            <family val="18"/>
          </rPr>
          <t>ML 3440 IR 37 (1809) – AL Nr. 38 (Gorsswardein 25/09/1809); ST Sept (1809 10/10/1810)</t>
        </r>
        <r>
          <rPr>
            <sz val="14"/>
            <color rgb="FF000000"/>
            <rFont val="Calibri"/>
            <family val="34"/>
          </rPr>
          <t xml:space="preserve">
</t>
        </r>
      </text>
    </comment>
    <comment ref="BH727" authorId="0" shapeId="0" xr:uid="{4A30243D-0BFA-2040-A2AF-32DE410B208B}">
      <text>
        <r>
          <rPr>
            <sz val="14"/>
            <color rgb="FF000000"/>
            <rFont val="Calibri"/>
            <family val="34"/>
          </rPr>
          <t>HR 12 (1809)</t>
        </r>
      </text>
    </comment>
    <comment ref="BF728" authorId="0" shapeId="0" xr:uid="{36DD981A-5D60-5142-8EC8-1E9DFC59EE18}">
      <text>
        <r>
          <rPr>
            <sz val="14"/>
            <color rgb="FF000000"/>
            <rFont val="Times New Roman"/>
            <family val="18"/>
          </rPr>
          <t xml:space="preserve">15/09/1809 </t>
        </r>
        <r>
          <rPr>
            <i/>
            <sz val="14"/>
            <color rgb="FF000000"/>
            <rFont val="Times New Roman"/>
            <family val="18"/>
          </rPr>
          <t>Als ärztliche Praktikant in HFS 32 assentiert</t>
        </r>
        <r>
          <rPr>
            <sz val="14"/>
            <color rgb="FF000000"/>
            <rFont val="Times New Roman"/>
            <family val="18"/>
          </rPr>
          <t xml:space="preserve"> [Verpf.-Ent Sept 1809]
</t>
        </r>
        <r>
          <rPr>
            <sz val="14"/>
            <color rgb="FF000000"/>
            <rFont val="Times New Roman"/>
            <family val="18"/>
          </rPr>
          <t xml:space="preserve">10/03/1810 </t>
        </r>
        <r>
          <rPr>
            <i/>
            <sz val="14"/>
            <color rgb="FF000000"/>
            <rFont val="Times New Roman"/>
            <family val="18"/>
          </rPr>
          <t>Mit Abschied entlassen</t>
        </r>
        <r>
          <rPr>
            <sz val="14"/>
            <color rgb="FF000000"/>
            <rFont val="Times New Roman"/>
            <family val="18"/>
          </rPr>
          <t xml:space="preserve"> [Ent-Cons. März 1810 &amp; Veprf. März 1810]
</t>
        </r>
      </text>
    </comment>
    <comment ref="BG728" authorId="0" shapeId="0" xr:uid="{DA2BF583-0143-9E48-AF64-6FF4B159C7BA}">
      <text>
        <r>
          <rPr>
            <sz val="14"/>
            <color rgb="FF000000"/>
            <rFont val="Times New Roman"/>
            <family val="18"/>
          </rPr>
          <t xml:space="preserve">ST 11.994 HFS (1809-14) – Ent-Cons. Nr. 3 (Opočno 08/03/1810); VerpfL (Opočno 30/07/1810)
</t>
        </r>
      </text>
    </comment>
    <comment ref="BH728" authorId="0" shapeId="0" xr:uid="{E1BECBD6-351D-A142-A6C1-53B838EB18A1}">
      <text>
        <r>
          <rPr>
            <sz val="14"/>
            <color rgb="FF000000"/>
            <rFont val="Calibri"/>
            <family val="34"/>
          </rPr>
          <t>HFS 32 (1809-1810)</t>
        </r>
      </text>
    </comment>
    <comment ref="BF729" authorId="0" shapeId="0" xr:uid="{B93A84BC-3137-7248-9D15-C9D4CF2230E3}">
      <text>
        <r>
          <rPr>
            <sz val="14"/>
            <color rgb="FF000000"/>
            <rFont val="Times New Roman"/>
            <family val="18"/>
          </rPr>
          <t xml:space="preserve">16/09/1809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zugeheilt</t>
        </r>
        <r>
          <rPr>
            <sz val="14"/>
            <color rgb="FF000000"/>
            <rFont val="Times New Roman"/>
            <family val="18"/>
          </rPr>
          <t xml:space="preserve"> [AL Sept 1809 &amp; ST Sept 1809]</t>
        </r>
        <r>
          <rPr>
            <sz val="14"/>
            <color rgb="FF000000"/>
            <rFont val="Calibri"/>
            <family val="34"/>
          </rPr>
          <t xml:space="preserve">
</t>
        </r>
      </text>
    </comment>
    <comment ref="BG729" authorId="0" shapeId="0" xr:uid="{06A51AA7-1D79-D643-B0B9-ACAF16FBC599}">
      <text>
        <r>
          <rPr>
            <sz val="14"/>
            <color rgb="FF000000"/>
            <rFont val="Times New Roman"/>
            <family val="18"/>
          </rPr>
          <t>ML 3440 IR 37 (1809) – AL Nr. 89 (Gorsswardein 25/09/1809); ST Sept (1809 10/10/1810), ST Okt (Tarnow 15/01/1811)</t>
        </r>
        <r>
          <rPr>
            <sz val="14"/>
            <color rgb="FF000000"/>
            <rFont val="Calibri"/>
            <family val="34"/>
          </rPr>
          <t xml:space="preserve">
</t>
        </r>
      </text>
    </comment>
    <comment ref="BH729" authorId="0" shapeId="0" xr:uid="{46774D8C-B255-DE49-8F14-EE4AC0E20DC3}">
      <text>
        <r>
          <rPr>
            <sz val="14"/>
            <color rgb="FF000000"/>
            <rFont val="Calibri"/>
            <family val="34"/>
          </rPr>
          <t>HR 12 (1809)</t>
        </r>
      </text>
    </comment>
    <comment ref="BF730" authorId="0" shapeId="0" xr:uid="{19DD3C51-B7BA-D04F-B149-E2915094F933}">
      <text>
        <r>
          <rPr>
            <sz val="14"/>
            <color rgb="FF000000"/>
            <rFont val="Times New Roman"/>
            <family val="18"/>
          </rPr>
          <t xml:space="preserve">22/09/1809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eingeheilt</t>
        </r>
        <r>
          <rPr>
            <sz val="14"/>
            <color rgb="FF000000"/>
            <rFont val="Times New Roman"/>
            <family val="18"/>
          </rPr>
          <t xml:space="preserve"> [AL Sept 1809 &amp; ST Sept 1809]</t>
        </r>
        <r>
          <rPr>
            <sz val="14"/>
            <color rgb="FF000000"/>
            <rFont val="Calibri"/>
            <family val="34"/>
          </rPr>
          <t xml:space="preserve">
</t>
        </r>
      </text>
    </comment>
    <comment ref="BG730" authorId="0" shapeId="0" xr:uid="{4F36DC2B-095B-7145-B1FB-832F3E6CFAD7}">
      <text>
        <r>
          <rPr>
            <sz val="14"/>
            <color rgb="FF000000"/>
            <rFont val="Times New Roman"/>
            <family val="18"/>
          </rPr>
          <t>ML 3440 IR 37 (1809) – AL Nr. 121 (Gorsswardein 25/09/1809); ST Sept (1809 10/10/1810)</t>
        </r>
        <r>
          <rPr>
            <sz val="14"/>
            <color rgb="FF000000"/>
            <rFont val="Calibri"/>
            <family val="2"/>
          </rPr>
          <t xml:space="preserve"> </t>
        </r>
      </text>
    </comment>
    <comment ref="BH730" authorId="0" shapeId="0" xr:uid="{8C81B3AA-2D48-AB42-89C6-7D2F0A60139A}">
      <text>
        <r>
          <rPr>
            <sz val="14"/>
            <color rgb="FF000000"/>
            <rFont val="Calibri"/>
            <family val="34"/>
          </rPr>
          <t>HR 12 (1809)</t>
        </r>
      </text>
    </comment>
    <comment ref="BF731" authorId="0" shapeId="0" xr:uid="{E467B8D1-10FB-2843-AE75-88B654FB729C}">
      <text>
        <r>
          <rPr>
            <sz val="14"/>
            <color rgb="FF000000"/>
            <rFont val="Times New Roman"/>
            <family val="18"/>
          </rPr>
          <t xml:space="preserve">22/09/1809 </t>
        </r>
        <r>
          <rPr>
            <i/>
            <sz val="14"/>
            <color rgb="FF000000"/>
            <rFont val="Times New Roman"/>
            <family val="18"/>
          </rPr>
          <t>Von Juden gemeinde Grosswardein</t>
        </r>
        <r>
          <rPr>
            <sz val="14"/>
            <color rgb="FF000000"/>
            <rFont val="Times New Roman"/>
            <family val="18"/>
          </rPr>
          <t xml:space="preserve"> </t>
        </r>
        <r>
          <rPr>
            <b/>
            <sz val="14"/>
            <color rgb="FF000000"/>
            <rFont val="Times New Roman"/>
            <family val="18"/>
          </rPr>
          <t>[</t>
        </r>
        <r>
          <rPr>
            <b/>
            <u/>
            <sz val="14"/>
            <color rgb="FF0563C1"/>
            <rFont val="Times New Roman"/>
            <family val="18"/>
          </rPr>
          <t>Oradea, Romania</t>
        </r>
        <r>
          <rPr>
            <b/>
            <sz val="14"/>
            <color rgb="FF000000"/>
            <rFont val="Times New Roman"/>
            <family val="18"/>
          </rPr>
          <t>]</t>
        </r>
        <r>
          <rPr>
            <sz val="14"/>
            <color rgb="FF000000"/>
            <rFont val="Times New Roman"/>
            <family val="18"/>
          </rPr>
          <t xml:space="preserve">, </t>
        </r>
        <r>
          <rPr>
            <i/>
            <sz val="14"/>
            <color rgb="FF000000"/>
            <rFont val="Times New Roman"/>
            <family val="18"/>
          </rPr>
          <t>Biharer Comitat als landständischer Recrout gestellt, zum IR 37 assentiert, und zur 2. Depot Komp. eingeheilt</t>
        </r>
        <r>
          <rPr>
            <sz val="14"/>
            <color rgb="FF000000"/>
            <rFont val="Times New Roman"/>
            <family val="18"/>
          </rPr>
          <t xml:space="preserve"> [AL Sept 1809 ST Sept 1809]</t>
        </r>
        <r>
          <rPr>
            <sz val="14"/>
            <color rgb="FF000000"/>
            <rFont val="Calibri"/>
            <family val="34"/>
          </rPr>
          <t xml:space="preserve">
</t>
        </r>
      </text>
    </comment>
    <comment ref="BG731" authorId="0" shapeId="0" xr:uid="{1C5A7258-A364-8E4D-A528-E54B58AA2EF9}">
      <text>
        <r>
          <rPr>
            <sz val="14"/>
            <color rgb="FF000000"/>
            <rFont val="Times New Roman"/>
            <family val="18"/>
          </rPr>
          <t>ML 3440 IR 37 (1809) – AL Nr. 122 (Gorsswardein 25/09/1809); ST Sept (1809 10/10/1810)</t>
        </r>
        <r>
          <rPr>
            <sz val="14"/>
            <color rgb="FF000000"/>
            <rFont val="Calibri"/>
            <family val="34"/>
          </rPr>
          <t xml:space="preserve">
</t>
        </r>
      </text>
    </comment>
    <comment ref="BH731" authorId="0" shapeId="0" xr:uid="{D7AFD158-1241-2C43-AF42-52374B4F4931}">
      <text>
        <r>
          <rPr>
            <sz val="14"/>
            <color rgb="FF000000"/>
            <rFont val="Calibri"/>
            <family val="34"/>
          </rPr>
          <t>HR 12 (1809)</t>
        </r>
      </text>
    </comment>
    <comment ref="BF732" authorId="0" shapeId="0" xr:uid="{3041DA01-81A4-004D-A0AB-4E7EB942490A}">
      <text>
        <r>
          <rPr>
            <sz val="14"/>
            <color rgb="FF000000"/>
            <rFont val="Times New Roman"/>
            <family val="18"/>
          </rPr>
          <t>27/10/1809</t>
        </r>
        <r>
          <rPr>
            <i/>
            <sz val="14"/>
            <color rgb="FF000000"/>
            <rFont val="Times New Roman"/>
            <family val="18"/>
          </rPr>
          <t xml:space="preserve"> Zum 1. Ostgalizische Freibataillon gestellt, zum Kolomea assentiert und zum 2. Kompanie eingeheilt. Laut assentlisten das Handgeld zu 3 Gulden noch zu fordern</t>
        </r>
        <r>
          <rPr>
            <sz val="14"/>
            <color rgb="FF000000"/>
            <rFont val="Times New Roman"/>
            <family val="18"/>
          </rPr>
          <t xml:space="preserve"> [AL Nov 1809 &amp; ST Nov 1809]</t>
        </r>
        <r>
          <rPr>
            <sz val="14"/>
            <color rgb="FF000000"/>
            <rFont val="Calibri"/>
            <family val="34"/>
          </rPr>
          <t xml:space="preserve">
</t>
        </r>
        <r>
          <rPr>
            <sz val="14"/>
            <color rgb="FF000000"/>
            <rFont val="Times New Roman"/>
            <family val="18"/>
          </rPr>
          <t xml:space="preserve">26/11/1809 </t>
        </r>
        <r>
          <rPr>
            <i/>
            <sz val="14"/>
            <color rgb="FF000000"/>
            <rFont val="Times New Roman"/>
            <family val="18"/>
          </rPr>
          <t>Krank in auswärtiger Spital</t>
        </r>
        <r>
          <rPr>
            <sz val="14"/>
            <color rgb="FF000000"/>
            <rFont val="Times New Roman"/>
            <family val="18"/>
          </rPr>
          <t xml:space="preserve"> [ST Nov 1809]</t>
        </r>
        <r>
          <rPr>
            <sz val="14"/>
            <color rgb="FF000000"/>
            <rFont val="Calibri"/>
            <family val="34"/>
          </rPr>
          <t xml:space="preserve">
</t>
        </r>
        <r>
          <rPr>
            <sz val="14"/>
            <color rgb="FFFF0000"/>
            <rFont val="Times New Roman"/>
            <family val="18"/>
          </rPr>
          <t xml:space="preserve">11/12/1809 </t>
        </r>
        <r>
          <rPr>
            <i/>
            <sz val="14"/>
            <color rgb="FFFF0000"/>
            <rFont val="Times New Roman"/>
            <family val="18"/>
          </rPr>
          <t>gestorben</t>
        </r>
        <r>
          <rPr>
            <sz val="14"/>
            <color rgb="FFFF0000"/>
            <rFont val="Times New Roman"/>
            <family val="18"/>
          </rPr>
          <t xml:space="preserve"> [ST Dec 1809]</t>
        </r>
        <r>
          <rPr>
            <sz val="14"/>
            <color rgb="FF000000"/>
            <rFont val="Calibri"/>
            <family val="34"/>
          </rPr>
          <t xml:space="preserve">
</t>
        </r>
        <r>
          <rPr>
            <sz val="14"/>
            <color rgb="FF000000"/>
            <rFont val="Times New Roman"/>
            <family val="18"/>
          </rPr>
          <t xml:space="preserve">05/01/1810 Von </t>
        </r>
        <r>
          <rPr>
            <i/>
            <sz val="14"/>
            <color rgb="FF000000"/>
            <rFont val="Times New Roman"/>
            <family val="18"/>
          </rPr>
          <t xml:space="preserve">1. Ostgalizische Freibataillon 2. Kompanie zum IR 41 Kottulinsky transferiert </t>
        </r>
        <r>
          <rPr>
            <sz val="14"/>
            <color rgb="FF000000"/>
            <rFont val="Times New Roman"/>
            <family val="18"/>
          </rPr>
          <t>[TL Jan 1810 &amp; ST Jan 1810]</t>
        </r>
        <r>
          <rPr>
            <sz val="14"/>
            <color rgb="FF000000"/>
            <rFont val="Calibri"/>
            <family val="34"/>
          </rPr>
          <t xml:space="preserve">
</t>
        </r>
      </text>
    </comment>
    <comment ref="BG732" authorId="0" shapeId="0" xr:uid="{B7B48ACF-21CA-BD4F-B8A4-8BBCE11A8125}">
      <text>
        <r>
          <rPr>
            <sz val="14"/>
            <color rgb="FF000000"/>
            <rFont val="Times New Roman"/>
            <family val="18"/>
          </rPr>
          <t>ML 10.829 Ostgalizische 1. FB (1809) – AL Nr. 49 (Kolomea 03/11/1809), ST Nov (Stanislau 03/08/1810), Dec (Stanislau 03/08/1810)</t>
        </r>
        <r>
          <rPr>
            <sz val="14"/>
            <color rgb="FF000000"/>
            <rFont val="Calibri"/>
            <family val="34"/>
          </rPr>
          <t xml:space="preserve">
</t>
        </r>
        <r>
          <rPr>
            <sz val="14"/>
            <color rgb="FF000000"/>
            <rFont val="Times New Roman"/>
            <family val="18"/>
          </rPr>
          <t>ML 10.830 Ostgalizische 1. FB (1810) – TL Nr. 42 (Stanislau 02/07/1809)</t>
        </r>
        <r>
          <rPr>
            <sz val="14"/>
            <color rgb="FF000000"/>
            <rFont val="Calibri"/>
            <family val="34"/>
          </rPr>
          <t xml:space="preserve">
</t>
        </r>
      </text>
    </comment>
    <comment ref="BH732" authorId="0" shapeId="0" xr:uid="{0929B66C-080A-5F46-BC21-112499CF82A0}">
      <text>
        <r>
          <rPr>
            <sz val="14"/>
            <color rgb="FF000000"/>
            <rFont val="Calibri"/>
            <family val="34"/>
          </rPr>
          <t xml:space="preserve">Ostgalizische 1. Freibataillon (1809-10)
</t>
        </r>
        <r>
          <rPr>
            <sz val="14"/>
            <color rgb="FF000000"/>
            <rFont val="Calibri"/>
            <family val="34"/>
          </rPr>
          <t>IR 41 (1810)</t>
        </r>
      </text>
    </comment>
    <comment ref="BI732" authorId="0" shapeId="0" xr:uid="{EC63EEBA-828F-1B48-AEA4-FE5479A81BD8}">
      <text>
        <r>
          <rPr>
            <sz val="14"/>
            <color rgb="FF000000"/>
            <rFont val="Calibri"/>
            <family val="34"/>
          </rPr>
          <t>1810: Gut</t>
        </r>
      </text>
    </comment>
    <comment ref="BF733" authorId="0" shapeId="0" xr:uid="{7F438FB4-4E25-594E-A54C-09D9546DC7D6}">
      <text>
        <r>
          <rPr>
            <sz val="14"/>
            <color rgb="FF000000"/>
            <rFont val="Times New Roman"/>
            <family val="18"/>
          </rPr>
          <t>27/10/1809</t>
        </r>
        <r>
          <rPr>
            <i/>
            <sz val="14"/>
            <color rgb="FF000000"/>
            <rFont val="Times New Roman"/>
            <family val="18"/>
          </rPr>
          <t xml:space="preserve"> mit zehnjährigen Capitulation zum 1. Ostgalizische Freibataillon von der Stanislauer Kreis gestellt und zum 4. Kompanie eingeheilt</t>
        </r>
        <r>
          <rPr>
            <sz val="14"/>
            <color rgb="FF000000"/>
            <rFont val="Times New Roman"/>
            <family val="18"/>
          </rPr>
          <t xml:space="preserve"> [AL Oct 1809 &amp; ST Nov 1809]</t>
        </r>
        <r>
          <rPr>
            <sz val="14"/>
            <color rgb="FF000000"/>
            <rFont val="Calibri"/>
            <family val="34"/>
          </rPr>
          <t xml:space="preserve">
</t>
        </r>
        <r>
          <rPr>
            <sz val="14"/>
            <color rgb="FF000000"/>
            <rFont val="Times New Roman"/>
            <family val="18"/>
          </rPr>
          <t xml:space="preserve">14/12/1809 </t>
        </r>
        <r>
          <rPr>
            <i/>
            <sz val="14"/>
            <color rgb="FF000000"/>
            <rFont val="Times New Roman"/>
            <family val="18"/>
          </rPr>
          <t>Bis zur erhoffenden Entlausung beurlaubt</t>
        </r>
        <r>
          <rPr>
            <sz val="14"/>
            <color rgb="FF000000"/>
            <rFont val="Times New Roman"/>
            <family val="18"/>
          </rPr>
          <t xml:space="preserve"> [ST Dec 1809]</t>
        </r>
        <r>
          <rPr>
            <sz val="14"/>
            <color rgb="FF000000"/>
            <rFont val="Calibri"/>
            <family val="34"/>
          </rPr>
          <t xml:space="preserve">
</t>
        </r>
        <r>
          <rPr>
            <sz val="14"/>
            <color rgb="FF000000"/>
            <rFont val="Times New Roman"/>
            <family val="18"/>
          </rPr>
          <t xml:space="preserve">13/12/1809 </t>
        </r>
        <r>
          <rPr>
            <i/>
            <sz val="14"/>
            <color rgb="FF000000"/>
            <rFont val="Times New Roman"/>
            <family val="18"/>
          </rPr>
          <t>Gegen Stellung des Gemeinen Johann Schiminski so in diesem Monat bei eben derselben companie in zuwachs erscheinend und Erlag des Monturgeldes gr. 53Fl 28xr laut hoher General Commando Verordnung det. Lemberg am 12 Jannuer 1810 Nr. 22 Lit U auf Steuerbare Wirtschaft mit Abschied entlassen</t>
        </r>
        <r>
          <rPr>
            <sz val="14"/>
            <color rgb="FF000000"/>
            <rFont val="Times New Roman"/>
            <family val="18"/>
          </rPr>
          <t xml:space="preserve"> [ST Jan 1810]</t>
        </r>
        <r>
          <rPr>
            <sz val="14"/>
            <color rgb="FF000000"/>
            <rFont val="Calibri"/>
            <family val="34"/>
          </rPr>
          <t xml:space="preserve">
</t>
        </r>
      </text>
    </comment>
    <comment ref="BG733" authorId="0" shapeId="0" xr:uid="{0018EAAF-7A95-AF41-B64B-80E93ABA9B29}">
      <text>
        <r>
          <rPr>
            <sz val="14"/>
            <color rgb="FF000000"/>
            <rFont val="Times New Roman"/>
            <family val="18"/>
          </rPr>
          <t>ML 10.829 Ostgalizische 1. FB (1809) – AL Nr. 47 (Stanislau 27/10/1809), ST Nov (Stanislau 03/08/1810), ST Dec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733" authorId="0" shapeId="0" xr:uid="{4CA3BBD0-AA51-2F45-8486-88C2B5A3A2B9}">
      <text>
        <r>
          <rPr>
            <sz val="14"/>
            <color rgb="FF000000"/>
            <rFont val="Calibri"/>
            <family val="34"/>
          </rPr>
          <t>Ostgalizische 1. Freibataillon (1809)</t>
        </r>
      </text>
    </comment>
    <comment ref="BF734" authorId="0" shapeId="0" xr:uid="{9FC08126-4E26-C241-A8B5-252F42B676CF}">
      <text>
        <r>
          <rPr>
            <sz val="14"/>
            <color rgb="FF000000"/>
            <rFont val="Times New Roman"/>
            <family val="18"/>
          </rPr>
          <t>29/10/1809</t>
        </r>
        <r>
          <rPr>
            <i/>
            <sz val="14"/>
            <color rgb="FF000000"/>
            <rFont val="Times New Roman"/>
            <family val="18"/>
          </rPr>
          <t xml:space="preserve"> Zum 1. Ostgalizische Freibataillon gestellt, zum Kolomea assentiert und zum 3. Kompanie eingeheilt. Laut assentlisten das Handgeld zu 3 Gulden noch zu fordern</t>
        </r>
        <r>
          <rPr>
            <sz val="14"/>
            <color rgb="FF000000"/>
            <rFont val="Times New Roman"/>
            <family val="18"/>
          </rPr>
          <t xml:space="preserve"> [AL Nov 1809 &amp; ST Nov 1809] [AL Nov 1809 &amp; ST Nov 1809]</t>
        </r>
        <r>
          <rPr>
            <sz val="14"/>
            <color rgb="FF000000"/>
            <rFont val="Calibri"/>
            <family val="34"/>
          </rPr>
          <t xml:space="preserve">
</t>
        </r>
        <r>
          <rPr>
            <sz val="14"/>
            <color rgb="FF000000"/>
            <rFont val="Times New Roman"/>
            <family val="18"/>
          </rPr>
          <t xml:space="preserve">31/12/1809 </t>
        </r>
        <r>
          <rPr>
            <i/>
            <sz val="14"/>
            <color rgb="FF000000"/>
            <rFont val="Times New Roman"/>
            <family val="18"/>
          </rPr>
          <t>Gegen Stellung des Gemeinen Conrad Konszarowski so in diesem Monat bei eben derselben companie in zuwachs erscheinend und Erlad des Monturgeldes gr. 53Fl 28xr laut hoher General Commando Verordnung det. Lemberg am 12 Jannuer 1810 Nr. 22 Lit U auf Steurbare Wirtschaft mit Abschied entlassen</t>
        </r>
        <r>
          <rPr>
            <sz val="14"/>
            <color rgb="FF000000"/>
            <rFont val="Times New Roman"/>
            <family val="18"/>
          </rPr>
          <t xml:space="preserve"> [ST Jan 1810]</t>
        </r>
        <r>
          <rPr>
            <sz val="14"/>
            <color rgb="FF000000"/>
            <rFont val="Calibri"/>
            <family val="34"/>
          </rPr>
          <t xml:space="preserve">
</t>
        </r>
      </text>
    </comment>
    <comment ref="BG734" authorId="0" shapeId="0" xr:uid="{95822672-DAA6-B14A-895B-B818E1142DBC}">
      <text>
        <r>
          <rPr>
            <sz val="14"/>
            <color rgb="FF000000"/>
            <rFont val="Times New Roman"/>
            <family val="18"/>
          </rPr>
          <t>ML 10.829 Ostgalizische 1. FB (1809) – AL Nr. 79 (Kolomea 03/11/1809), ST Nov (Stanislau 03/08/1810)</t>
        </r>
        <r>
          <rPr>
            <sz val="14"/>
            <color rgb="FF000000"/>
            <rFont val="Calibri"/>
            <family val="34"/>
          </rPr>
          <t xml:space="preserve">
</t>
        </r>
        <r>
          <rPr>
            <sz val="14"/>
            <color rgb="FF000000"/>
            <rFont val="Times New Roman"/>
            <family val="18"/>
          </rPr>
          <t>ML 10.830 Ostgalizische 1. FB (1810) – ST Jan (Stanislau 03/08/1810)</t>
        </r>
        <r>
          <rPr>
            <sz val="14"/>
            <color rgb="FF000000"/>
            <rFont val="Calibri"/>
            <family val="34"/>
          </rPr>
          <t xml:space="preserve">
</t>
        </r>
      </text>
    </comment>
    <comment ref="BH734" authorId="0" shapeId="0" xr:uid="{28CF3D79-F65E-8A41-BD40-CE832D912F3E}">
      <text>
        <r>
          <rPr>
            <sz val="14"/>
            <color rgb="FF000000"/>
            <rFont val="Calibri"/>
            <family val="34"/>
          </rPr>
          <t>Ostgalizische 1. Freibataillon (1809)</t>
        </r>
      </text>
    </comment>
    <comment ref="BF735" authorId="0" shapeId="0" xr:uid="{7E3DA33E-0C62-3F41-A0AE-E157BF8DD0DE}">
      <text>
        <r>
          <rPr>
            <sz val="14"/>
            <color rgb="FF000000"/>
            <rFont val="Times New Roman"/>
            <family val="18"/>
          </rPr>
          <t xml:space="preserve">16/11/1809 </t>
        </r>
        <r>
          <rPr>
            <i/>
            <sz val="14"/>
            <color rgb="FF000000"/>
            <rFont val="Times New Roman"/>
            <family val="18"/>
          </rPr>
          <t>Von der Galizischen Fuhr- und Packwesen Einrichtungsdivision Zum 1. Ostgalizische FBat transferiert</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21/11/1809 </t>
        </r>
        <r>
          <rPr>
            <i/>
            <sz val="14"/>
            <color rgb="FF000000"/>
            <rFont val="Times New Roman"/>
            <family val="18"/>
          </rPr>
          <t>Krank auswärts</t>
        </r>
        <r>
          <rPr>
            <sz val="14"/>
            <color rgb="FF000000"/>
            <rFont val="Times New Roman"/>
            <family val="18"/>
          </rPr>
          <t xml:space="preserve"> [ST Nov 1809]</t>
        </r>
        <r>
          <rPr>
            <sz val="14"/>
            <color rgb="FF000000"/>
            <rFont val="Calibri"/>
            <family val="34"/>
          </rPr>
          <t xml:space="preserve">
</t>
        </r>
        <r>
          <rPr>
            <sz val="14"/>
            <color rgb="FF000000"/>
            <rFont val="Times New Roman"/>
            <family val="18"/>
          </rPr>
          <t xml:space="preserve">05/01/1809 </t>
        </r>
        <r>
          <rPr>
            <i/>
            <sz val="14"/>
            <color rgb="FF000000"/>
            <rFont val="Times New Roman"/>
            <family val="18"/>
          </rPr>
          <t>Zur Galizische Fuhr- und Packeinrichtungsdivision transferiert</t>
        </r>
        <r>
          <rPr>
            <sz val="14"/>
            <color rgb="FF000000"/>
            <rFont val="Times New Roman"/>
            <family val="18"/>
          </rPr>
          <t xml:space="preserve"> [ST Jan 1810]</t>
        </r>
        <r>
          <rPr>
            <sz val="14"/>
            <color rgb="FF000000"/>
            <rFont val="Calibri"/>
            <family val="34"/>
          </rPr>
          <t xml:space="preserve">
</t>
        </r>
      </text>
    </comment>
    <comment ref="BG735" authorId="0" shapeId="0" xr:uid="{0A78C4CF-25C0-B14B-AE4C-6648302256B5}">
      <text>
        <r>
          <rPr>
            <sz val="14"/>
            <color rgb="FF000000"/>
            <rFont val="Times New Roman"/>
            <family val="18"/>
          </rPr>
          <t>ML 10.829 Ostgalizische 1. FB (1809) – ST Nov (Stanislau 03/08/1810)</t>
        </r>
        <r>
          <rPr>
            <sz val="14"/>
            <color rgb="FF000000"/>
            <rFont val="Calibri"/>
            <family val="34"/>
          </rPr>
          <t xml:space="preserve">
</t>
        </r>
        <r>
          <rPr>
            <sz val="14"/>
            <color rgb="FF000000"/>
            <rFont val="Times New Roman"/>
            <family val="18"/>
          </rPr>
          <t>ML 10.830 Ostgalizische 1. FB (1809) – ST Jan (Stanislau 03/08/1810)</t>
        </r>
        <r>
          <rPr>
            <sz val="14"/>
            <color rgb="FF000000"/>
            <rFont val="Calibri"/>
            <family val="34"/>
          </rPr>
          <t xml:space="preserve">
</t>
        </r>
      </text>
    </comment>
    <comment ref="BH735" authorId="0" shapeId="0" xr:uid="{22FAC09F-C259-6340-8CF4-767F2174591F}">
      <text>
        <r>
          <rPr>
            <sz val="14"/>
            <color rgb="FF000000"/>
            <rFont val="Calibri"/>
            <family val="34"/>
          </rPr>
          <t>MFWK (1809)</t>
        </r>
      </text>
    </comment>
    <comment ref="BF736" authorId="0" shapeId="0" xr:uid="{D8F2BB9D-476E-2848-8FCE-5119B9E04130}">
      <text>
        <r>
          <rPr>
            <sz val="14"/>
            <color rgb="FF000000"/>
            <rFont val="Times New Roman"/>
            <family val="18"/>
          </rPr>
          <t xml:space="preserve">16/11/1809 </t>
        </r>
        <r>
          <rPr>
            <i/>
            <sz val="14"/>
            <color rgb="FF000000"/>
            <rFont val="Times New Roman"/>
            <family val="18"/>
          </rPr>
          <t>Von Dominien a drey Gulden Handgeld aud die Kriegsdauer gestellt und ins k.k. Buccoviner Cavallerie Frey Corps 2. Jager Escadron in Czernowitz assentiert; hat mit seinem eigenen Pferd beigetreten</t>
        </r>
        <r>
          <rPr>
            <sz val="14"/>
            <color rgb="FF000000"/>
            <rFont val="Times New Roman"/>
            <family val="18"/>
          </rPr>
          <t xml:space="preserve"> [AL 1809]</t>
        </r>
        <r>
          <rPr>
            <sz val="14"/>
            <color rgb="FF000000"/>
            <rFont val="Calibri"/>
            <family val="34"/>
          </rPr>
          <t xml:space="preserve">
</t>
        </r>
        <r>
          <rPr>
            <sz val="14"/>
            <color rgb="FF000000"/>
            <rFont val="Times New Roman"/>
            <family val="18"/>
          </rPr>
          <t xml:space="preserve">20/02/1810 </t>
        </r>
        <r>
          <rPr>
            <i/>
            <sz val="14"/>
            <color rgb="FF000000"/>
            <rFont val="Times New Roman"/>
            <family val="18"/>
          </rPr>
          <t>In Folge hoher General Commando Verordnung det. Lemberg ddt. Den 20. Janner 810 als unentbehrlich bei der Wirtschaft als Kriegscapitulant mit Abschied entlassen</t>
        </r>
        <r>
          <rPr>
            <sz val="14"/>
            <color rgb="FF000000"/>
            <rFont val="Times New Roman"/>
            <family val="18"/>
          </rPr>
          <t xml:space="preserve"> [ST Feb 1810]</t>
        </r>
        <r>
          <rPr>
            <sz val="14"/>
            <color rgb="FF000000"/>
            <rFont val="Calibri"/>
            <family val="34"/>
          </rPr>
          <t xml:space="preserve">
</t>
        </r>
        <r>
          <rPr>
            <sz val="14"/>
            <color rgb="FF000000"/>
            <rFont val="+mn-lt"/>
            <charset val="1"/>
          </rPr>
          <t xml:space="preserve">
</t>
        </r>
      </text>
    </comment>
    <comment ref="BG736" authorId="0" shapeId="0" xr:uid="{F74F01C6-0960-F646-9FFE-843B2B2D7165}">
      <text>
        <r>
          <rPr>
            <sz val="14"/>
            <color rgb="FF000000"/>
            <rFont val="Calibri"/>
            <family val="34"/>
          </rPr>
          <t xml:space="preserve">ML 10.835 Bukovianer FK (1809) – AL Nr. 13 (Czernowitz 27/11/1809) &amp; ST Nov (Czernowitz 23/02/1811)
</t>
        </r>
        <r>
          <rPr>
            <sz val="14"/>
            <color rgb="FF000000"/>
            <rFont val="Calibri"/>
            <family val="34"/>
          </rPr>
          <t xml:space="preserve">ML 10.836 Bukovianer FK (1810) – ST Feb (Czernowitz 01/03/1811)
</t>
        </r>
      </text>
    </comment>
    <comment ref="BH736" authorId="0" shapeId="0" xr:uid="{2BDE300F-8D78-5344-9622-E81E41CA9303}">
      <text>
        <r>
          <rPr>
            <sz val="14"/>
            <color rgb="FF000000"/>
            <rFont val="Calibri"/>
            <family val="34"/>
          </rPr>
          <t>Buccovianer KavallerieiFK  (1809-10)</t>
        </r>
      </text>
    </comment>
    <comment ref="BF737" authorId="0" shapeId="0" xr:uid="{C36B3BB3-78B6-C842-B95B-8AF67BB24DDC}">
      <text>
        <r>
          <rPr>
            <sz val="14"/>
            <color rgb="FF000000"/>
            <rFont val="Times New Roman"/>
            <family val="18"/>
          </rPr>
          <t xml:space="preserve">Pro October 1810 </t>
        </r>
        <r>
          <rPr>
            <i/>
            <sz val="14"/>
            <color rgb="FF000000"/>
            <rFont val="Times New Roman"/>
            <family val="18"/>
          </rPr>
          <t>von IR 45 De Vaux zu, IR 30 De Ligne transferiert und zum 5. Fus Comp eingeteilt</t>
        </r>
        <r>
          <rPr>
            <sz val="14"/>
            <color rgb="FF000000"/>
            <rFont val="Times New Roman"/>
            <family val="18"/>
          </rPr>
          <t xml:space="preserve"> [ML 1811]</t>
        </r>
        <r>
          <rPr>
            <sz val="14"/>
            <color rgb="FF000000"/>
            <rFont val="Calibri"/>
            <family val="34"/>
          </rPr>
          <t xml:space="preserve">
</t>
        </r>
        <r>
          <rPr>
            <sz val="14"/>
            <color rgb="FF000000"/>
            <rFont val="Times New Roman"/>
            <family val="18"/>
          </rPr>
          <t>21/09/1811 Muster: IR 30 5. Fus Komp. Nr. 276</t>
        </r>
        <r>
          <rPr>
            <sz val="14"/>
            <color rgb="FF000000"/>
            <rFont val="Calibri"/>
            <family val="34"/>
          </rPr>
          <t xml:space="preserve">
</t>
        </r>
        <r>
          <rPr>
            <sz val="14"/>
            <color rgb="FF000000"/>
            <rFont val="Times New Roman"/>
            <family val="18"/>
          </rPr>
          <t xml:space="preserve">25/05/1817 </t>
        </r>
        <r>
          <rPr>
            <i/>
            <sz val="14"/>
            <color rgb="FF000000"/>
            <rFont val="Times New Roman"/>
            <family val="18"/>
          </rPr>
          <t>Vermog hoher galizische Militär Commando Verordnung det. Lemberg am 5. Mai 1817 R 4943 als West Galizier mit Abschied entlassen</t>
        </r>
        <r>
          <rPr>
            <sz val="14"/>
            <color rgb="FF000000"/>
            <rFont val="Times New Roman"/>
            <family val="18"/>
          </rPr>
          <t xml:space="preserve"> [ML 1817]</t>
        </r>
        <r>
          <rPr>
            <sz val="14"/>
            <color rgb="FF000000"/>
            <rFont val="Calibri"/>
            <family val="34"/>
          </rPr>
          <t xml:space="preserve">
</t>
        </r>
      </text>
    </comment>
    <comment ref="BG737" authorId="0" shapeId="0" xr:uid="{9C8AA6D2-4EC9-F041-A3FA-7C2046C3070E}">
      <text>
        <r>
          <rPr>
            <sz val="14"/>
            <color rgb="FF000000"/>
            <rFont val="Times New Roman"/>
            <family val="18"/>
          </rPr>
          <t>ML 2633 IR 30 (1811) –5. Fus. Komp Nr. 275 (Stanislau 21/09/1811)</t>
        </r>
        <r>
          <rPr>
            <sz val="14"/>
            <color rgb="FF000000"/>
            <rFont val="Calibri"/>
            <family val="34"/>
          </rPr>
          <t xml:space="preserve">
</t>
        </r>
        <r>
          <rPr>
            <sz val="14"/>
            <color rgb="FF000000"/>
            <rFont val="Times New Roman"/>
            <family val="18"/>
          </rPr>
          <t>ML 2635 IR 30 (1817) – 5. Fus. Komp – Abgang (Stry 15/10/1817)</t>
        </r>
        <r>
          <rPr>
            <sz val="14"/>
            <color rgb="FF000000"/>
            <rFont val="Calibri"/>
            <family val="34"/>
          </rPr>
          <t xml:space="preserve">
</t>
        </r>
      </text>
    </comment>
    <comment ref="BH737" authorId="0" shapeId="0" xr:uid="{51D65537-7FA9-D04C-A8D1-0780D2F3A5BA}">
      <text>
        <r>
          <rPr>
            <sz val="14"/>
            <color rgb="FF000000"/>
            <rFont val="Calibri"/>
            <family val="34"/>
          </rPr>
          <t xml:space="preserve">IR 45 (????-1810)
</t>
        </r>
        <r>
          <rPr>
            <sz val="14"/>
            <color rgb="FF000000"/>
            <rFont val="Calibri"/>
            <family val="34"/>
          </rPr>
          <t>IR 30 (1810-1817)</t>
        </r>
      </text>
    </comment>
    <comment ref="BF738" authorId="0" shapeId="0" xr:uid="{EF09AAA0-488A-D549-9D2E-FABB315861E2}">
      <text>
        <r>
          <rPr>
            <sz val="14"/>
            <color rgb="FF000000"/>
            <rFont val="Times New Roman"/>
            <family val="18"/>
          </rPr>
          <t xml:space="preserve">28/12/1810 </t>
        </r>
        <r>
          <rPr>
            <i/>
            <sz val="14"/>
            <color rgb="FF000000"/>
            <rFont val="Times New Roman"/>
            <family val="18"/>
          </rPr>
          <t>auf 25 Fl Handgeld zum IR 2 ‘Hiller’ auf beständig angeworben und zu Trentischin assentiert</t>
        </r>
        <r>
          <rPr>
            <sz val="14"/>
            <color rgb="FF000000"/>
            <rFont val="Times New Roman"/>
            <family val="18"/>
          </rPr>
          <t xml:space="preserve"> [AL 1810 &amp; ST Feb 1811]</t>
        </r>
        <r>
          <rPr>
            <sz val="14"/>
            <color rgb="FF000000"/>
            <rFont val="Calibri"/>
            <family val="34"/>
          </rPr>
          <t xml:space="preserve">
</t>
        </r>
        <r>
          <rPr>
            <sz val="14"/>
            <color rgb="FF000000"/>
            <rFont val="Times New Roman"/>
            <family val="18"/>
          </rPr>
          <t xml:space="preserve">09/02/1811 </t>
        </r>
        <r>
          <rPr>
            <i/>
            <sz val="14"/>
            <color rgb="FF000000"/>
            <rFont val="Times New Roman"/>
            <family val="18"/>
          </rPr>
          <t>In 14. Fusilier Comp. eingerückt</t>
        </r>
        <r>
          <rPr>
            <sz val="14"/>
            <color rgb="FF000000"/>
            <rFont val="Times New Roman"/>
            <family val="18"/>
          </rPr>
          <t xml:space="preserve"> [ST Feb 1811]</t>
        </r>
        <r>
          <rPr>
            <sz val="14"/>
            <color rgb="FF000000"/>
            <rFont val="Calibri"/>
            <family val="34"/>
          </rPr>
          <t xml:space="preserve">
</t>
        </r>
        <r>
          <rPr>
            <sz val="14"/>
            <color rgb="FF000000"/>
            <rFont val="Times New Roman"/>
            <family val="18"/>
          </rPr>
          <t xml:space="preserve">20/02/1811 </t>
        </r>
        <r>
          <rPr>
            <i/>
            <sz val="14"/>
            <color rgb="FF000000"/>
            <rFont val="Times New Roman"/>
            <family val="18"/>
          </rPr>
          <t>Ex loco ohne Feuerwehr Desertiert</t>
        </r>
        <r>
          <rPr>
            <sz val="14"/>
            <color rgb="FF000000"/>
            <rFont val="Times New Roman"/>
            <family val="18"/>
          </rPr>
          <t xml:space="preserve"> [ST Feb 1811]</t>
        </r>
        <r>
          <rPr>
            <sz val="14"/>
            <color rgb="FF000000"/>
            <rFont val="Calibri"/>
            <family val="34"/>
          </rPr>
          <t xml:space="preserve">
</t>
        </r>
      </text>
    </comment>
    <comment ref="BG738" authorId="0" shapeId="0" xr:uid="{DCB9478D-4956-994E-93FD-B2BAE29AAC4B}">
      <text>
        <r>
          <rPr>
            <sz val="14"/>
            <color rgb="FF000000"/>
            <rFont val="Times New Roman"/>
            <family val="18"/>
          </rPr>
          <t>ML 195 IR 2 (1811) – AL Nr. 3 (Trentschin, 28/12/1810) &amp; 14. Fus ST Feb. – ‚Angeworben‘ &amp; ‚Deserteurt‘ (Wien 04/12/1811)</t>
        </r>
        <r>
          <rPr>
            <sz val="14"/>
            <color rgb="FF000000"/>
            <rFont val="Calibri"/>
            <family val="34"/>
          </rPr>
          <t xml:space="preserve">
</t>
        </r>
      </text>
    </comment>
    <comment ref="BH738" authorId="0" shapeId="0" xr:uid="{4089B36C-C8A8-EC41-AA6D-62852D108C2B}">
      <text>
        <r>
          <rPr>
            <sz val="14"/>
            <color rgb="FF000000"/>
            <rFont val="Calibri"/>
            <family val="34"/>
          </rPr>
          <t>IR 2 (1810-1811)</t>
        </r>
      </text>
    </comment>
    <comment ref="BF739" authorId="0" shapeId="0" xr:uid="{C94515F5-B618-BD42-8D53-4736A2B631A1}">
      <text>
        <r>
          <rPr>
            <sz val="14"/>
            <color rgb="FF000000"/>
            <rFont val="Times New Roman"/>
            <family val="18"/>
          </rPr>
          <t xml:space="preserve">21/05/1811 </t>
        </r>
        <r>
          <rPr>
            <i/>
            <sz val="14"/>
            <color rgb="FF000000"/>
            <rFont val="Times New Roman"/>
            <family val="18"/>
          </rPr>
          <t xml:space="preserve">zu Prinz Coburg Inf. Regiment </t>
        </r>
        <r>
          <rPr>
            <b/>
            <sz val="14"/>
            <color rgb="FF000000"/>
            <rFont val="Times New Roman"/>
            <family val="18"/>
          </rPr>
          <t>[IR 22]</t>
        </r>
        <r>
          <rPr>
            <i/>
            <sz val="14"/>
            <color rgb="FF000000"/>
            <rFont val="Times New Roman"/>
            <family val="18"/>
          </rPr>
          <t xml:space="preserve">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01/11/1812 </t>
        </r>
        <r>
          <rPr>
            <i/>
            <sz val="14"/>
            <color rgb="FF000000"/>
            <rFont val="Times New Roman"/>
            <family val="18"/>
          </rPr>
          <t>Von IR 22 zum IR 1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23/09/1817 Muster: IR 1 11. Fus. Komp. Nr. 26 </t>
        </r>
        <r>
          <rPr>
            <sz val="14"/>
            <color rgb="FF000000"/>
            <rFont val="Calibri"/>
            <family val="34"/>
          </rPr>
          <t xml:space="preserve">
</t>
        </r>
        <r>
          <rPr>
            <sz val="14"/>
            <color rgb="FF000000"/>
            <rFont val="Times New Roman"/>
            <family val="18"/>
          </rPr>
          <t xml:space="preserve">05/11/1817 </t>
        </r>
        <r>
          <rPr>
            <i/>
            <sz val="14"/>
            <color rgb="FF000000"/>
            <rFont val="Times New Roman"/>
            <family val="18"/>
          </rPr>
          <t>als ausgedienter Ausländischer Capitulant in Folge hoher General Kommando Verordnung det. Brünn am 5. October 817 R. 962 mit Abschied entlassen</t>
        </r>
        <r>
          <rPr>
            <sz val="14"/>
            <color rgb="FF000000"/>
            <rFont val="Times New Roman"/>
            <family val="18"/>
          </rPr>
          <t xml:space="preserve"> [ST Nov 1817]</t>
        </r>
        <r>
          <rPr>
            <sz val="14"/>
            <color rgb="FF000000"/>
            <rFont val="Calibri"/>
            <family val="34"/>
          </rPr>
          <t xml:space="preserve">
</t>
        </r>
        <r>
          <rPr>
            <sz val="14"/>
            <color rgb="FF000000"/>
            <rFont val="Times New Roman"/>
            <family val="18"/>
          </rPr>
          <t> </t>
        </r>
        <r>
          <rPr>
            <sz val="14"/>
            <color rgb="FF000000"/>
            <rFont val="Calibri"/>
            <family val="34"/>
          </rPr>
          <t xml:space="preserve">
</t>
        </r>
      </text>
    </comment>
    <comment ref="BG739" authorId="0" shapeId="0" xr:uid="{00461958-AB2B-7945-8E10-5277452603C4}">
      <text>
        <r>
          <rPr>
            <sz val="14"/>
            <color rgb="FF000000"/>
            <rFont val="Times New Roman"/>
            <family val="18"/>
          </rPr>
          <t xml:space="preserve">ML 34 IR 1 (1817) – IR 1 11. Fus. Komp. Nr. 26 (Austerlitz 23/09/1817) </t>
        </r>
        <r>
          <rPr>
            <sz val="14"/>
            <color rgb="FF000000"/>
            <rFont val="Calibri"/>
            <family val="34"/>
          </rPr>
          <t xml:space="preserve">
</t>
        </r>
        <r>
          <rPr>
            <sz val="14"/>
            <color rgb="FF000000"/>
            <rFont val="Times New Roman"/>
            <family val="18"/>
          </rPr>
          <t>ML 109 IR 1 (1817) – ST Nov 11. Komp. – Abgang (Brünn 01/01/1818)</t>
        </r>
        <r>
          <rPr>
            <sz val="14"/>
            <color rgb="FF000000"/>
            <rFont val="Calibri"/>
            <family val="34"/>
          </rPr>
          <t xml:space="preserve">
</t>
        </r>
        <r>
          <rPr>
            <sz val="14"/>
            <color rgb="FF000000"/>
            <rFont val="Calibri"/>
            <family val="34"/>
          </rPr>
          <t> </t>
        </r>
        <r>
          <rPr>
            <sz val="14"/>
            <color rgb="FF000000"/>
            <rFont val="Calibri"/>
            <family val="34"/>
          </rPr>
          <t xml:space="preserve">
</t>
        </r>
      </text>
    </comment>
    <comment ref="BH739" authorId="0" shapeId="0" xr:uid="{24F30D2B-9B17-7F44-BB1E-D22F1C449204}">
      <text>
        <r>
          <rPr>
            <sz val="14"/>
            <color rgb="FF000000"/>
            <rFont val="Calibri"/>
            <family val="34"/>
          </rPr>
          <t xml:space="preserve">IR 22 (1811-1812)
</t>
        </r>
        <r>
          <rPr>
            <sz val="14"/>
            <color rgb="FF000000"/>
            <rFont val="Calibri"/>
            <family val="34"/>
          </rPr>
          <t>IR 1 (1812-1817)</t>
        </r>
      </text>
    </comment>
    <comment ref="T740" authorId="0" shapeId="0" xr:uid="{C0EF65FC-EA66-964E-BD16-F021C41BCB9B}">
      <text>
        <r>
          <rPr>
            <sz val="14"/>
            <color rgb="FF000000"/>
            <rFont val="Calibri"/>
            <family val="34"/>
          </rPr>
          <t xml:space="preserve">5.1.2 [161.07] [ML 1819)
</t>
        </r>
        <r>
          <rPr>
            <sz val="14"/>
            <color rgb="FF000000"/>
            <rFont val="Calibri"/>
            <family val="34"/>
          </rPr>
          <t>5.2 [163.26] (ML 1819)</t>
        </r>
      </text>
    </comment>
    <comment ref="BF740" authorId="0" shapeId="0" xr:uid="{A719593C-934A-2141-8884-469BA4056DB2}">
      <text>
        <r>
          <rPr>
            <sz val="14"/>
            <color rgb="FF000000"/>
            <rFont val="Times New Roman"/>
            <family val="18"/>
          </rPr>
          <t xml:space="preserve">23/01/1812 </t>
        </r>
        <r>
          <rPr>
            <i/>
            <sz val="14"/>
            <color rgb="FF000000"/>
            <rFont val="Times New Roman"/>
            <family val="18"/>
          </rPr>
          <t>Gegen 3 Fl Handgeld auf 12 Jahre Capitulation freywillig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28/09/1818 Muster: IR 62 1. Fus. Komp. Nr. 184 [</t>
        </r>
        <r>
          <rPr>
            <i/>
            <sz val="14"/>
            <color rgb="FF000000"/>
            <rFont val="Times New Roman"/>
            <family val="18"/>
          </rPr>
          <t>Beurlaubt auf bestimmte Zeit</t>
        </r>
        <r>
          <rPr>
            <sz val="14"/>
            <color rgb="FF000000"/>
            <rFont val="Times New Roman"/>
            <family val="18"/>
          </rPr>
          <t>]</t>
        </r>
        <r>
          <rPr>
            <sz val="14"/>
            <color rgb="FF000000"/>
            <rFont val="Calibri"/>
            <family val="34"/>
          </rPr>
          <t xml:space="preserve">
</t>
        </r>
        <r>
          <rPr>
            <sz val="14"/>
            <color rgb="FF000000"/>
            <rFont val="Times New Roman"/>
            <family val="18"/>
          </rPr>
          <t xml:space="preserve">07/09/1819 </t>
        </r>
        <r>
          <rPr>
            <i/>
            <sz val="14"/>
            <color rgb="FF000000"/>
            <rFont val="Times New Roman"/>
            <family val="18"/>
          </rPr>
          <t>Von 1. zum 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07/10/1819 Muster: IR 62 8. Fus. Komp. Nr. 180 [</t>
        </r>
        <r>
          <rPr>
            <i/>
            <sz val="14"/>
            <color rgb="FF000000"/>
            <rFont val="Times New Roman"/>
            <family val="18"/>
          </rPr>
          <t>Beurlaubt mit Herrn OberLt. Nicodem zu Prag</t>
        </r>
        <r>
          <rPr>
            <sz val="14"/>
            <color rgb="FF000000"/>
            <rFont val="Times New Roman"/>
            <family val="18"/>
          </rPr>
          <t>]</t>
        </r>
        <r>
          <rPr>
            <sz val="14"/>
            <color rgb="FF000000"/>
            <rFont val="Calibri"/>
            <family val="34"/>
          </rPr>
          <t xml:space="preserve">
</t>
        </r>
        <r>
          <rPr>
            <sz val="14"/>
            <color rgb="FF000000"/>
            <rFont val="Times New Roman"/>
            <family val="18"/>
          </rPr>
          <t>04/09/1820 Revision: IR 62 8. Fus. Komp. Nr. 177 [</t>
        </r>
        <r>
          <rPr>
            <i/>
            <sz val="14"/>
            <color rgb="FF000000"/>
            <rFont val="Times New Roman"/>
            <family val="18"/>
          </rPr>
          <t>Zugetheilt beim 3. Baon in Siebenburgen</t>
        </r>
        <r>
          <rPr>
            <sz val="14"/>
            <color rgb="FF000000"/>
            <rFont val="Times New Roman"/>
            <family val="18"/>
          </rPr>
          <t>]</t>
        </r>
        <r>
          <rPr>
            <sz val="14"/>
            <color rgb="FF000000"/>
            <rFont val="Calibri"/>
            <family val="34"/>
          </rPr>
          <t xml:space="preserve">
</t>
        </r>
      </text>
    </comment>
    <comment ref="BG740" authorId="0" shapeId="0" xr:uid="{E5B862E0-A39D-3349-8247-26F80A14185D}">
      <text>
        <r>
          <rPr>
            <sz val="14"/>
            <color rgb="FF000000"/>
            <rFont val="Times New Roman"/>
            <family val="18"/>
          </rPr>
          <t>ML 5213/4 IR 62 (1818) – 1. Fus. Komp. Nr. 184 (Mantua 28/09/1818)</t>
        </r>
        <r>
          <rPr>
            <sz val="14"/>
            <color rgb="FF000000"/>
            <rFont val="Calibri"/>
            <family val="34"/>
          </rPr>
          <t xml:space="preserve">
</t>
        </r>
        <r>
          <rPr>
            <sz val="14"/>
            <color rgb="FF000000"/>
            <rFont val="Times New Roman"/>
            <family val="18"/>
          </rPr>
          <t>ML 5215/6 IR 62 (1819) – 8. Fus. Komp. Nr. 180 (Mantua 07/10/1819)</t>
        </r>
        <r>
          <rPr>
            <sz val="14"/>
            <color rgb="FF000000"/>
            <rFont val="Calibri"/>
            <family val="34"/>
          </rPr>
          <t xml:space="preserve">
</t>
        </r>
        <r>
          <rPr>
            <sz val="14"/>
            <color rgb="FF000000"/>
            <rFont val="Times New Roman"/>
            <family val="18"/>
          </rPr>
          <t>ML 5217 IR 62 (1820) – 8. Fus. Komp. Nr. 177 (Cremona 04/09/1820)</t>
        </r>
        <r>
          <rPr>
            <sz val="14"/>
            <color rgb="FF000000"/>
            <rFont val="Calibri"/>
            <family val="34"/>
          </rPr>
          <t xml:space="preserve">
</t>
        </r>
      </text>
    </comment>
    <comment ref="BH740" authorId="0" shapeId="0" xr:uid="{92A9D2CD-2CDC-8643-AF56-64D76F701CFA}">
      <text>
        <r>
          <rPr>
            <sz val="14"/>
            <color rgb="FF000000"/>
            <rFont val="Calibri"/>
            <family val="34"/>
          </rPr>
          <t>IR 62 (1812-1820)</t>
        </r>
      </text>
    </comment>
    <comment ref="BF741" authorId="0" shapeId="0" xr:uid="{3B9CED2E-B7FF-8A41-B739-E280BFF09425}">
      <text>
        <r>
          <rPr>
            <sz val="14"/>
            <color rgb="FF000000"/>
            <rFont val="Times New Roman"/>
            <family val="18"/>
          </rPr>
          <t xml:space="preserve">??/03/1812 </t>
        </r>
        <r>
          <rPr>
            <i/>
            <sz val="14"/>
            <color rgb="FF000000"/>
            <rFont val="Times New Roman"/>
            <family val="18"/>
          </rPr>
          <t>Dienst seit</t>
        </r>
        <r>
          <rPr>
            <sz val="14"/>
            <color rgb="FF000000"/>
            <rFont val="Times New Roman"/>
            <family val="18"/>
          </rPr>
          <t xml:space="preserve"> [Desert. Con March 1813]</t>
        </r>
        <r>
          <rPr>
            <sz val="14"/>
            <color rgb="FF000000"/>
            <rFont val="Calibri"/>
            <family val="34"/>
          </rPr>
          <t xml:space="preserve">
</t>
        </r>
        <r>
          <rPr>
            <sz val="14"/>
            <color rgb="FF000000"/>
            <rFont val="Times New Roman"/>
            <family val="18"/>
          </rPr>
          <t xml:space="preserve">29/08/1812 </t>
        </r>
        <r>
          <rPr>
            <i/>
            <sz val="14"/>
            <color rgb="FF000000"/>
            <rFont val="Times New Roman"/>
            <family val="18"/>
          </rPr>
          <t>Aus dem Feldlager bei Weschwa Desertiert ‘Wegen beschlechtiger Dienstes Nachlässigkeit und am bei der hang zum Diebstall‘</t>
        </r>
        <r>
          <rPr>
            <sz val="14"/>
            <color rgb="FF000000"/>
            <rFont val="Times New Roman"/>
            <family val="18"/>
          </rPr>
          <t xml:space="preserve"> [Desert. Con March 1813]</t>
        </r>
        <r>
          <rPr>
            <sz val="14"/>
            <color rgb="FF000000"/>
            <rFont val="Calibri"/>
            <family val="34"/>
          </rPr>
          <t xml:space="preserve">
</t>
        </r>
      </text>
    </comment>
    <comment ref="BG741" authorId="0" shapeId="0" xr:uid="{5BBEF4FD-D639-BB4F-8AE7-86F8BC87CC00}">
      <text>
        <r>
          <rPr>
            <sz val="14"/>
            <color rgb="FF000000"/>
            <rFont val="Times New Roman"/>
            <family val="18"/>
          </rPr>
          <t>ML 9226 MFK LPK Galizien (1813) – Deserteur Consignation, Nr. 32 (Berzesko 24/03/1813)</t>
        </r>
      </text>
    </comment>
    <comment ref="BH741" authorId="0" shapeId="0" xr:uid="{F63CA789-987B-FA4E-B1CF-97ED61CE1CB2}">
      <text>
        <r>
          <rPr>
            <sz val="14"/>
            <color rgb="FF000000"/>
            <rFont val="Calibri"/>
            <family val="34"/>
          </rPr>
          <t>MFWK LPK Galizien (1812)</t>
        </r>
      </text>
    </comment>
    <comment ref="BF742" authorId="0" shapeId="0" xr:uid="{531FAC59-FAF1-3C4B-9684-7B1188EF96F1}">
      <text>
        <r>
          <rPr>
            <sz val="14"/>
            <color rgb="FF000000"/>
            <rFont val="Times New Roman"/>
            <family val="18"/>
          </rPr>
          <t xml:space="preserve">??/05/1812 </t>
        </r>
        <r>
          <rPr>
            <i/>
            <sz val="14"/>
            <color rgb="FF000000"/>
            <rFont val="Times New Roman"/>
            <family val="18"/>
          </rPr>
          <t>Dienst seit</t>
        </r>
        <r>
          <rPr>
            <sz val="14"/>
            <color rgb="FF000000"/>
            <rFont val="Times New Roman"/>
            <family val="18"/>
          </rPr>
          <t xml:space="preserve"> [Desert. Con March 1813]</t>
        </r>
        <r>
          <rPr>
            <sz val="14"/>
            <color rgb="FF000000"/>
            <rFont val="Calibri"/>
            <family val="34"/>
          </rPr>
          <t xml:space="preserve">
</t>
        </r>
        <r>
          <rPr>
            <sz val="14"/>
            <color rgb="FF000000"/>
            <rFont val="Times New Roman"/>
            <family val="18"/>
          </rPr>
          <t xml:space="preserve">29/08/1812 </t>
        </r>
        <r>
          <rPr>
            <i/>
            <sz val="14"/>
            <color rgb="FF000000"/>
            <rFont val="Times New Roman"/>
            <family val="18"/>
          </rPr>
          <t>Aus dem Feldlager bei Weschwa Desertiert ‘Wegen beschlechtiger Dienstes Nachlässigkeit und am bei der hang zum Diebstall‘</t>
        </r>
        <r>
          <rPr>
            <sz val="14"/>
            <color rgb="FF000000"/>
            <rFont val="Times New Roman"/>
            <family val="18"/>
          </rPr>
          <t xml:space="preserve"> [Desert. Con March 1813]</t>
        </r>
        <r>
          <rPr>
            <sz val="14"/>
            <color rgb="FF000000"/>
            <rFont val="Calibri"/>
            <family val="34"/>
          </rPr>
          <t xml:space="preserve">
</t>
        </r>
      </text>
    </comment>
    <comment ref="BG742" authorId="0" shapeId="0" xr:uid="{178A1C01-521A-0440-A486-E6E1483B4364}">
      <text>
        <r>
          <rPr>
            <sz val="14"/>
            <color rgb="FF000000"/>
            <rFont val="Times New Roman"/>
            <family val="18"/>
          </rPr>
          <t xml:space="preserve">ML 9226 </t>
        </r>
        <r>
          <rPr>
            <sz val="14"/>
            <color rgb="FF000000"/>
            <rFont val="Times New Roman"/>
            <family val="18"/>
          </rPr>
          <t>MFK LPK Galizien (1813) – Deserteur Consignation, Nr. 34 (Berzesko 24/03/1813)</t>
        </r>
      </text>
    </comment>
    <comment ref="BH742" authorId="0" shapeId="0" xr:uid="{3EE11422-2F5F-8F42-B5DD-B05BCD43FC68}">
      <text>
        <r>
          <rPr>
            <sz val="14"/>
            <color rgb="FF000000"/>
            <rFont val="Calibri"/>
            <family val="34"/>
          </rPr>
          <t>MFWK LPK Galizien (1812)</t>
        </r>
      </text>
    </comment>
    <comment ref="BF743" authorId="0" shapeId="0" xr:uid="{8E28124F-74AA-064B-929F-88B697044BE8}">
      <text>
        <r>
          <rPr>
            <sz val="14"/>
            <color rgb="FF000000"/>
            <rFont val="Times New Roman"/>
            <family val="18"/>
          </rPr>
          <t xml:space="preserve">06/06/1812 </t>
        </r>
        <r>
          <rPr>
            <i/>
            <sz val="14"/>
            <color rgb="FF000000"/>
            <rFont val="Times New Roman"/>
            <family val="18"/>
          </rPr>
          <t>Gegen 15Fl Handgeld auf 12 Jahren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23/09/1817 Musterung: HR 7 Obrist 2. Esk. Nr. 118 [</t>
        </r>
        <r>
          <rPr>
            <i/>
            <sz val="14"/>
            <color rgb="FF000000"/>
            <rFont val="Times New Roman"/>
            <family val="18"/>
          </rPr>
          <t>Krank in loco Regiments Spital</t>
        </r>
        <r>
          <rPr>
            <sz val="14"/>
            <color rgb="FF000000"/>
            <rFont val="Times New Roman"/>
            <family val="18"/>
          </rPr>
          <t>]</t>
        </r>
        <r>
          <rPr>
            <sz val="14"/>
            <color rgb="FF000000"/>
            <rFont val="Calibri"/>
            <family val="34"/>
          </rPr>
          <t xml:space="preserve">
</t>
        </r>
      </text>
    </comment>
    <comment ref="BG743" authorId="0" shapeId="0" xr:uid="{9FBE7C5D-4A01-7A43-A81C-5A93B1843D87}">
      <text>
        <r>
          <rPr>
            <sz val="14"/>
            <color rgb="FF000000"/>
            <rFont val="Times New Roman"/>
            <family val="18"/>
          </rPr>
          <t>ML 7595 HR 7 (1817) – Heft von Obrist 2. Esk. Nr. 118 (Esseg 23/09/1817)</t>
        </r>
      </text>
    </comment>
    <comment ref="BH743" authorId="0" shapeId="0" xr:uid="{C82FEF81-1573-BE40-A8F8-ACDE987D9056}">
      <text>
        <r>
          <rPr>
            <sz val="14"/>
            <color rgb="FF000000"/>
            <rFont val="Calibri"/>
            <family val="34"/>
          </rPr>
          <t>HR 2 (1812-17)</t>
        </r>
      </text>
    </comment>
    <comment ref="BF744" authorId="0" shapeId="0" xr:uid="{ED8A5EBE-74CB-1540-811F-45A3BC38BCB6}">
      <text>
        <r>
          <rPr>
            <sz val="14"/>
            <color rgb="FF000000"/>
            <rFont val="Times New Roman"/>
            <family val="18"/>
          </rPr>
          <t xml:space="preserve">24/08/1812 </t>
        </r>
        <r>
          <rPr>
            <i/>
            <sz val="14"/>
            <color rgb="FF000000"/>
            <rFont val="Times New Roman"/>
            <family val="18"/>
          </rPr>
          <t>bei der Regiment Assentiert</t>
        </r>
        <r>
          <rPr>
            <sz val="14"/>
            <color rgb="FF000000"/>
            <rFont val="Times New Roman"/>
            <family val="18"/>
          </rPr>
          <t xml:space="preserve"> [ML 1817]</t>
        </r>
        <r>
          <rPr>
            <sz val="14"/>
            <color rgb="FF000000"/>
            <rFont val="Calibri"/>
            <family val="34"/>
          </rPr>
          <t xml:space="preserve">
</t>
        </r>
        <r>
          <rPr>
            <sz val="14"/>
            <color rgb="FF000000"/>
            <rFont val="Times New Roman"/>
            <family val="18"/>
          </rPr>
          <t>19/09/1817 Musterung: HR 7 1. Major 2. Esk Nr. 113 [</t>
        </r>
        <r>
          <rPr>
            <i/>
            <sz val="14"/>
            <color rgb="FF000000"/>
            <rFont val="Times New Roman"/>
            <family val="18"/>
          </rPr>
          <t>Krank in loco Spital</t>
        </r>
        <r>
          <rPr>
            <sz val="14"/>
            <color rgb="FF000000"/>
            <rFont val="Times New Roman"/>
            <family val="18"/>
          </rPr>
          <t xml:space="preserve">] </t>
        </r>
        <r>
          <rPr>
            <sz val="14"/>
            <color rgb="FF000000"/>
            <rFont val="Calibri"/>
            <family val="34"/>
          </rPr>
          <t xml:space="preserve">
</t>
        </r>
      </text>
    </comment>
    <comment ref="BG744" authorId="0" shapeId="0" xr:uid="{D82E1C86-1025-A547-8BA7-ECE30AE8C454}">
      <text>
        <r>
          <rPr>
            <sz val="14"/>
            <color rgb="FF000000"/>
            <rFont val="Times New Roman"/>
            <family val="18"/>
          </rPr>
          <t>ML 7595 HR 7 (1817) – Heft von 1. Major 2. Esk. Nr. 113 (Czernek 19/09/1817)</t>
        </r>
      </text>
    </comment>
    <comment ref="BH744" authorId="0" shapeId="0" xr:uid="{00C1A215-F0E2-4742-8289-684A2DAE999E}">
      <text>
        <r>
          <rPr>
            <sz val="14"/>
            <color rgb="FF000000"/>
            <rFont val="Calibri"/>
            <family val="34"/>
          </rPr>
          <t>HR 2 (1812-17)</t>
        </r>
      </text>
    </comment>
    <comment ref="BF745" authorId="0" shapeId="0" xr:uid="{C347286C-6828-A24D-B729-357688C39B14}">
      <text>
        <r>
          <rPr>
            <sz val="14"/>
            <color rgb="FFFF0000"/>
            <rFont val="Times New Roman"/>
            <family val="18"/>
          </rPr>
          <t xml:space="preserve">Im Jahr 1808 </t>
        </r>
        <r>
          <rPr>
            <i/>
            <sz val="14"/>
            <color rgb="FFFF0000"/>
            <rFont val="Times New Roman"/>
            <family val="18"/>
          </rPr>
          <t>Zu Prinz Vied</t>
        </r>
        <r>
          <rPr>
            <sz val="14"/>
            <color rgb="FFFF0000"/>
            <rFont val="Times New Roman"/>
            <family val="18"/>
          </rPr>
          <t xml:space="preserve"> </t>
        </r>
        <r>
          <rPr>
            <b/>
            <sz val="14"/>
            <color rgb="FFFF0000"/>
            <rFont val="Times New Roman"/>
            <family val="18"/>
          </rPr>
          <t>[IR 34]</t>
        </r>
        <r>
          <rPr>
            <sz val="14"/>
            <color rgb="FFFF0000"/>
            <rFont val="Times New Roman"/>
            <family val="18"/>
          </rPr>
          <t xml:space="preserve"> </t>
        </r>
        <r>
          <rPr>
            <i/>
            <sz val="14"/>
            <color rgb="FFFF0000"/>
            <rFont val="Times New Roman"/>
            <family val="18"/>
          </rPr>
          <t>ohne Capitulation assentiert</t>
        </r>
        <r>
          <rPr>
            <sz val="14"/>
            <color rgb="FFFF0000"/>
            <rFont val="Times New Roman"/>
            <family val="18"/>
          </rPr>
          <t xml:space="preserve"> [TL June 1816]</t>
        </r>
        <r>
          <rPr>
            <sz val="14"/>
            <color rgb="FF000000"/>
            <rFont val="Calibri"/>
            <family val="34"/>
          </rPr>
          <t xml:space="preserve">
</t>
        </r>
        <r>
          <rPr>
            <sz val="14"/>
            <color rgb="FF000000"/>
            <rFont val="Times New Roman"/>
            <family val="18"/>
          </rPr>
          <t xml:space="preserve">26/08/1812 </t>
        </r>
        <r>
          <rPr>
            <i/>
            <sz val="14"/>
            <color rgb="FF000000"/>
            <rFont val="Times New Roman"/>
            <family val="18"/>
          </rPr>
          <t>Durch das Zempliner Komität a 10Fl Handgeld auf Beständig gestellt</t>
        </r>
        <r>
          <rPr>
            <sz val="14"/>
            <color rgb="FF000000"/>
            <rFont val="Times New Roman"/>
            <family val="18"/>
          </rPr>
          <t xml:space="preserve"> [TL Juli 1816]</t>
        </r>
        <r>
          <rPr>
            <sz val="14"/>
            <color rgb="FF000000"/>
            <rFont val="Calibri"/>
            <family val="34"/>
          </rPr>
          <t xml:space="preserve">
</t>
        </r>
        <r>
          <rPr>
            <sz val="14"/>
            <color rgb="FF000000"/>
            <rFont val="Times New Roman"/>
            <family val="18"/>
          </rPr>
          <t xml:space="preserve">15/10/1814 </t>
        </r>
        <r>
          <rPr>
            <i/>
            <sz val="14"/>
            <color rgb="FF000000"/>
            <rFont val="Times New Roman"/>
            <family val="18"/>
          </rPr>
          <t xml:space="preserve">Von IR 34 2. Fus. Komp. zum HFS 32 transferiert </t>
        </r>
        <r>
          <rPr>
            <sz val="14"/>
            <color rgb="FF000000"/>
            <rFont val="Times New Roman"/>
            <family val="18"/>
          </rPr>
          <t>[TL Juli 1816]</t>
        </r>
        <r>
          <rPr>
            <sz val="14"/>
            <color rgb="FF000000"/>
            <rFont val="Calibri"/>
            <family val="34"/>
          </rPr>
          <t xml:space="preserve">
</t>
        </r>
        <r>
          <rPr>
            <sz val="14"/>
            <color rgb="FF000000"/>
            <rFont val="Times New Roman"/>
            <family val="18"/>
          </rPr>
          <t xml:space="preserve">10/08/1815 </t>
        </r>
        <r>
          <rPr>
            <i/>
            <sz val="14"/>
            <color rgb="FF000000"/>
            <rFont val="Times New Roman"/>
            <family val="18"/>
          </rPr>
          <t>Von HFS 32 zum HFS 24 transferiert</t>
        </r>
        <r>
          <rPr>
            <sz val="14"/>
            <color rgb="FF000000"/>
            <rFont val="Times New Roman"/>
            <family val="18"/>
          </rPr>
          <t xml:space="preserve"> [VrpfL Aug 1815]</t>
        </r>
        <r>
          <rPr>
            <sz val="14"/>
            <color rgb="FF000000"/>
            <rFont val="Calibri"/>
            <family val="34"/>
          </rPr>
          <t xml:space="preserve">
</t>
        </r>
        <r>
          <rPr>
            <sz val="14"/>
            <color rgb="FF000000"/>
            <rFont val="Times New Roman"/>
            <family val="18"/>
          </rPr>
          <t xml:space="preserve">06/11/1815 </t>
        </r>
        <r>
          <rPr>
            <i/>
            <sz val="14"/>
            <color rgb="FF000000"/>
            <rFont val="Times New Roman"/>
            <family val="18"/>
          </rPr>
          <t>Von HFS 24 zum HFS 32	 transferiert</t>
        </r>
        <r>
          <rPr>
            <sz val="14"/>
            <color rgb="FF000000"/>
            <rFont val="Times New Roman"/>
            <family val="18"/>
          </rPr>
          <t xml:space="preserve"> [VrpfL Nov 1815]</t>
        </r>
        <r>
          <rPr>
            <sz val="14"/>
            <color rgb="FF000000"/>
            <rFont val="Calibri"/>
            <family val="34"/>
          </rPr>
          <t xml:space="preserve">
</t>
        </r>
        <r>
          <rPr>
            <sz val="14"/>
            <color rgb="FF000000"/>
            <rFont val="Times New Roman"/>
            <family val="18"/>
          </rPr>
          <t xml:space="preserve">31/12/1815 </t>
        </r>
        <r>
          <rPr>
            <i/>
            <sz val="14"/>
            <color rgb="FF000000"/>
            <rFont val="Times New Roman"/>
            <family val="18"/>
          </rPr>
          <t>Von HFS 32 zum HFS 34 transferiert</t>
        </r>
        <r>
          <rPr>
            <sz val="14"/>
            <color rgb="FF000000"/>
            <rFont val="Times New Roman"/>
            <family val="18"/>
          </rPr>
          <t xml:space="preserve"> [TL June 1815]</t>
        </r>
        <r>
          <rPr>
            <sz val="14"/>
            <color rgb="FF000000"/>
            <rFont val="Calibri"/>
            <family val="34"/>
          </rPr>
          <t xml:space="preserve">
</t>
        </r>
      </text>
    </comment>
    <comment ref="BG745" authorId="0" shapeId="0" xr:uid="{644AA9A1-4115-2B46-95AA-8A861FAC3393}">
      <text>
        <r>
          <rPr>
            <sz val="14"/>
            <color rgb="FF000000"/>
            <rFont val="Times New Roman"/>
            <family val="18"/>
          </rPr>
          <t>ML 11.994 HFS (1809/10; 1813/4) – 1814 TL IR 34-&gt;HFS Nr. 3 (Caschau 12/07/1816); 1815 VrpfL Aug (Padua 05/11/1815); Nov (Padua 10/12/1815); Dec (Padua 10/01/1816)</t>
        </r>
        <r>
          <rPr>
            <sz val="14"/>
            <color rgb="FF000000"/>
            <rFont val="Calibri"/>
            <family val="34"/>
          </rPr>
          <t xml:space="preserve">
</t>
        </r>
        <r>
          <rPr>
            <sz val="14"/>
            <color rgb="FF000000"/>
            <rFont val="Times New Roman"/>
            <family val="18"/>
          </rPr>
          <t>ML 11.995 HFS 32 (1815/6) – TL HFS 32-&gt; HFS 34 Nr. 20 (Padua 17/06/1816)</t>
        </r>
        <r>
          <rPr>
            <sz val="14"/>
            <color rgb="FF000000"/>
            <rFont val="Calibri"/>
            <family val="34"/>
          </rPr>
          <t xml:space="preserve">
</t>
        </r>
        <r>
          <rPr>
            <sz val="14"/>
            <color rgb="FF000000"/>
            <rFont val="Times New Roman"/>
            <family val="18"/>
          </rPr>
          <t>)</t>
        </r>
      </text>
    </comment>
    <comment ref="BH745" authorId="0" shapeId="0" xr:uid="{B962AD16-0D1D-AF43-8931-0D2969C4FB0C}">
      <text>
        <r>
          <rPr>
            <sz val="14"/>
            <color rgb="FF000000"/>
            <rFont val="Calibri"/>
            <family val="34"/>
          </rPr>
          <t xml:space="preserve">IR 34 (1812-1814)
</t>
        </r>
        <r>
          <rPr>
            <sz val="14"/>
            <color rgb="FF000000"/>
            <rFont val="Calibri"/>
            <family val="34"/>
          </rPr>
          <t xml:space="preserve">HFS 32 (1814-1815)
</t>
        </r>
        <r>
          <rPr>
            <sz val="14"/>
            <color rgb="FF000000"/>
            <rFont val="Calibri"/>
            <family val="34"/>
          </rPr>
          <t xml:space="preserve">HFS 24 (1815)
</t>
        </r>
        <r>
          <rPr>
            <sz val="14"/>
            <color rgb="FF000000"/>
            <rFont val="Calibri"/>
            <family val="34"/>
          </rPr>
          <t xml:space="preserve">HFS 32 (1815)
</t>
        </r>
        <r>
          <rPr>
            <sz val="14"/>
            <color rgb="FF000000"/>
            <rFont val="Calibri"/>
            <family val="34"/>
          </rPr>
          <t>HFS 34 (1816)</t>
        </r>
      </text>
    </comment>
    <comment ref="BI745" authorId="0" shapeId="0" xr:uid="{5D0B8356-E3B2-704F-B64F-25E8AD996F5B}">
      <text>
        <r>
          <rPr>
            <i/>
            <sz val="14"/>
            <color rgb="FF000000"/>
            <rFont val="Times New Roman"/>
            <family val="18"/>
          </rPr>
          <t>Gutte</t>
        </r>
        <r>
          <rPr>
            <sz val="14"/>
            <color rgb="FF000000"/>
            <rFont val="Calibri"/>
            <family val="2"/>
            <scheme val="minor"/>
          </rPr>
          <t xml:space="preserve"> [TL July 1816]</t>
        </r>
      </text>
    </comment>
    <comment ref="BJ745" authorId="0" shapeId="0" xr:uid="{A624043A-DA5B-9643-972D-7E4714AF06A5}">
      <text>
        <r>
          <rPr>
            <i/>
            <sz val="14"/>
            <color rgb="FF000000"/>
            <rFont val="Times New Roman"/>
            <family val="18"/>
          </rPr>
          <t xml:space="preserve">Mit einem Erbgründ behattet (In Dienst) </t>
        </r>
        <r>
          <rPr>
            <sz val="14"/>
            <color rgb="FF000000"/>
            <rFont val="Times New Roman"/>
            <family val="18"/>
          </rPr>
          <t>[TL July 1816]</t>
        </r>
      </text>
    </comment>
    <comment ref="BF746" authorId="0" shapeId="0" xr:uid="{291C4C3A-11FD-A741-95FB-91A85706C348}">
      <text>
        <r>
          <rPr>
            <sz val="14"/>
            <color rgb="FF000000"/>
            <rFont val="Times New Roman"/>
            <family val="18"/>
          </rPr>
          <t xml:space="preserve">07/04/1813 </t>
        </r>
        <r>
          <rPr>
            <i/>
            <sz val="14"/>
            <color rgb="FF000000"/>
            <rFont val="Times New Roman"/>
            <family val="18"/>
          </rPr>
          <t xml:space="preserve">Von die Hommenauer </t>
        </r>
        <r>
          <rPr>
            <b/>
            <sz val="14"/>
            <color rgb="FF000000"/>
            <rFont val="Times New Roman"/>
            <family val="18"/>
          </rPr>
          <t>[</t>
        </r>
        <r>
          <rPr>
            <b/>
            <u/>
            <sz val="14"/>
            <color rgb="FF0563C1"/>
            <rFont val="Times New Roman"/>
            <family val="18"/>
          </rPr>
          <t>Humenné, Slovakia</t>
        </r>
        <r>
          <rPr>
            <b/>
            <sz val="14"/>
            <color rgb="FF000000"/>
            <rFont val="Times New Roman"/>
            <family val="18"/>
          </rPr>
          <t>]</t>
        </r>
        <r>
          <rPr>
            <sz val="14"/>
            <color rgb="FF000000"/>
            <rFont val="Times New Roman"/>
            <family val="18"/>
          </rPr>
          <t xml:space="preserve"> </t>
        </r>
        <r>
          <rPr>
            <i/>
            <sz val="14"/>
            <color rgb="FF000000"/>
            <rFont val="Times New Roman"/>
            <family val="18"/>
          </rPr>
          <t>Judengemeinde a 10Fl Handgeld gestellt ohne Capitulation</t>
        </r>
        <r>
          <rPr>
            <sz val="14"/>
            <color rgb="FF000000"/>
            <rFont val="Times New Roman"/>
            <family val="18"/>
          </rPr>
          <t xml:space="preserve"> [TL Juli 1816]</t>
        </r>
        <r>
          <rPr>
            <sz val="14"/>
            <color rgb="FF000000"/>
            <rFont val="Calibri"/>
            <family val="34"/>
          </rPr>
          <t xml:space="preserve">
</t>
        </r>
        <r>
          <rPr>
            <sz val="14"/>
            <color rgb="FF000000"/>
            <rFont val="Times New Roman"/>
            <family val="18"/>
          </rPr>
          <t xml:space="preserve">15/10/1814 </t>
        </r>
        <r>
          <rPr>
            <i/>
            <sz val="14"/>
            <color rgb="FF000000"/>
            <rFont val="Times New Roman"/>
            <family val="18"/>
          </rPr>
          <t>Von IR 34 4. Fus. Komp. zum HFS 32 transferiert</t>
        </r>
        <r>
          <rPr>
            <sz val="14"/>
            <color rgb="FF000000"/>
            <rFont val="Times New Roman"/>
            <family val="18"/>
          </rPr>
          <t xml:space="preserve"> [TL Juli 1816]</t>
        </r>
        <r>
          <rPr>
            <sz val="14"/>
            <color rgb="FF000000"/>
            <rFont val="Calibri"/>
            <family val="34"/>
          </rPr>
          <t xml:space="preserve">
</t>
        </r>
        <r>
          <rPr>
            <sz val="14"/>
            <color rgb="FF000000"/>
            <rFont val="Times New Roman"/>
            <family val="18"/>
          </rPr>
          <t xml:space="preserve">10/08/1815 </t>
        </r>
        <r>
          <rPr>
            <i/>
            <sz val="14"/>
            <color rgb="FF000000"/>
            <rFont val="Times New Roman"/>
            <family val="18"/>
          </rPr>
          <t>Von HFS 34 zum HFS 24 transferiert</t>
        </r>
        <r>
          <rPr>
            <sz val="14"/>
            <color rgb="FF000000"/>
            <rFont val="Times New Roman"/>
            <family val="18"/>
          </rPr>
          <t xml:space="preserve"> [VrpfL Aug 1815]</t>
        </r>
        <r>
          <rPr>
            <sz val="14"/>
            <color rgb="FF000000"/>
            <rFont val="Calibri"/>
            <family val="34"/>
          </rPr>
          <t xml:space="preserve">
</t>
        </r>
      </text>
    </comment>
    <comment ref="BG746" authorId="0" shapeId="0" xr:uid="{3C26C1C8-C86E-014F-B1D1-5F4E4F68BEFD}">
      <text>
        <r>
          <rPr>
            <sz val="14"/>
            <color rgb="FF000000"/>
            <rFont val="Times New Roman"/>
            <family val="18"/>
          </rPr>
          <t>ML 11.994 HFS (1809/10; 1813/4) – 1814 TL IR 34-&gt;HFS Nr. 7 (Caschau 12/07/1816); 1815 VrpfL Aug (Padua 05/11/1815)</t>
        </r>
      </text>
    </comment>
    <comment ref="BH746" authorId="0" shapeId="0" xr:uid="{E4FE99AE-784E-8F47-90E1-91A662B975CF}">
      <text>
        <r>
          <rPr>
            <sz val="14"/>
            <color rgb="FF000000"/>
            <rFont val="Calibri"/>
            <family val="34"/>
          </rPr>
          <t xml:space="preserve">IR 34 (1812-1814)
</t>
        </r>
        <r>
          <rPr>
            <sz val="14"/>
            <color rgb="FF000000"/>
            <rFont val="Calibri"/>
            <family val="34"/>
          </rPr>
          <t xml:space="preserve">HFS 32 (1814-1815)
</t>
        </r>
        <r>
          <rPr>
            <sz val="14"/>
            <color rgb="FF000000"/>
            <rFont val="Calibri"/>
            <family val="34"/>
          </rPr>
          <t>HFS 24 (1815)</t>
        </r>
      </text>
    </comment>
    <comment ref="BI746" authorId="0" shapeId="0" xr:uid="{A33AE316-6D14-BF44-A0F4-C9BEC5EAEE21}">
      <text>
        <r>
          <rPr>
            <i/>
            <sz val="14"/>
            <color rgb="FF000000"/>
            <rFont val="Times New Roman"/>
            <family val="18"/>
          </rPr>
          <t>Gutte</t>
        </r>
        <r>
          <rPr>
            <sz val="14"/>
            <color rgb="FF000000"/>
            <rFont val="Calibri"/>
            <family val="2"/>
            <scheme val="minor"/>
          </rPr>
          <t xml:space="preserve"> [TL July 1816]</t>
        </r>
      </text>
    </comment>
    <comment ref="BJ746" authorId="0" shapeId="0" xr:uid="{D59E09CB-C539-A343-A622-8CC1D8BB17B1}">
      <text>
        <r>
          <rPr>
            <i/>
            <sz val="14"/>
            <color rgb="FF000000"/>
            <rFont val="Times New Roman"/>
            <family val="18"/>
          </rPr>
          <t>Stieffheit das Linkes Fußes durch erlittenen Krankheit und Brustschwache, kann in Marsch nicht Vorkommen</t>
        </r>
        <r>
          <rPr>
            <sz val="14"/>
            <color rgb="FF000000"/>
            <rFont val="Calibri"/>
            <family val="2"/>
            <scheme val="minor"/>
          </rPr>
          <t xml:space="preserve"> </t>
        </r>
        <r>
          <rPr>
            <i/>
            <sz val="14"/>
            <color rgb="FF000000"/>
            <rFont val="Times New Roman"/>
            <family val="18"/>
          </rPr>
          <t xml:space="preserve"> </t>
        </r>
        <r>
          <rPr>
            <sz val="14"/>
            <color rgb="FF000000"/>
            <rFont val="Times New Roman"/>
            <family val="18"/>
          </rPr>
          <t>[TL July 1816]</t>
        </r>
      </text>
    </comment>
    <comment ref="BF747" authorId="0" shapeId="0" xr:uid="{8DC521D6-B2C3-DD48-9CBE-BED5C36261CD}">
      <text>
        <r>
          <rPr>
            <sz val="14"/>
            <color rgb="FF000000"/>
            <rFont val="Times New Roman"/>
            <family val="18"/>
          </rPr>
          <t xml:space="preserve">29/04/1813 </t>
        </r>
        <r>
          <rPr>
            <i/>
            <sz val="14"/>
            <color rgb="FF000000"/>
            <rFont val="Times New Roman"/>
            <family val="18"/>
          </rPr>
          <t>A 2Fl Auf 14 Jahr zu Sambor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10. Fus. Komp. Nr. 45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24/10/1818 Muster: IR 44 10. Fus. Komp. Nr. 44</t>
        </r>
        <r>
          <rPr>
            <sz val="14"/>
            <color rgb="FF000000"/>
            <rFont val="Calibri"/>
            <family val="34"/>
          </rPr>
          <t xml:space="preserve">
</t>
        </r>
        <r>
          <rPr>
            <sz val="14"/>
            <color rgb="FF000000"/>
            <rFont val="Times New Roman"/>
            <family val="18"/>
          </rPr>
          <t>18/10/1819 Muster: IR 44 10. Fus. Komp. Nr. 34</t>
        </r>
        <r>
          <rPr>
            <sz val="14"/>
            <color rgb="FF000000"/>
            <rFont val="Calibri"/>
            <family val="34"/>
          </rPr>
          <t xml:space="preserve">
</t>
        </r>
        <r>
          <rPr>
            <sz val="14"/>
            <color rgb="FF000000"/>
            <rFont val="Times New Roman"/>
            <family val="18"/>
          </rPr>
          <t xml:space="preserve">21/06/1820 </t>
        </r>
        <r>
          <rPr>
            <i/>
            <sz val="14"/>
            <color rgb="FF000000"/>
            <rFont val="Times New Roman"/>
            <family val="18"/>
          </rPr>
          <t>Zum Gefreyter avanciert</t>
        </r>
        <r>
          <rPr>
            <sz val="14"/>
            <color rgb="FF000000"/>
            <rFont val="Times New Roman"/>
            <family val="18"/>
          </rPr>
          <t xml:space="preserve"> [ML 1820]</t>
        </r>
        <r>
          <rPr>
            <sz val="14"/>
            <color rgb="FF000000"/>
            <rFont val="Calibri"/>
            <family val="34"/>
          </rPr>
          <t xml:space="preserve">
</t>
        </r>
        <r>
          <rPr>
            <sz val="14"/>
            <color rgb="FF000000"/>
            <rFont val="Times New Roman"/>
            <family val="18"/>
          </rPr>
          <t>25/09/1820 Muster: IR 44 10. Fus. Komp. Nr. 21</t>
        </r>
        <r>
          <rPr>
            <sz val="14"/>
            <color rgb="FF000000"/>
            <rFont val="Calibri"/>
            <family val="34"/>
          </rPr>
          <t xml:space="preserve">
</t>
        </r>
      </text>
    </comment>
    <comment ref="BG747" authorId="0" shapeId="0" xr:uid="{55A8A9B2-177B-7345-B139-6311DDB20B15}">
      <text>
        <r>
          <rPr>
            <sz val="14"/>
            <color rgb="FF000000"/>
            <rFont val="Times New Roman"/>
            <family val="18"/>
          </rPr>
          <t>ML 3915/6 IR 44 (1818) – 10. Fus. Komp. Nr. 45 (Pavia 05/01/1818); 10. Fus. Komp. Nr. 44 (Pavia 24/10/1818)</t>
        </r>
        <r>
          <rPr>
            <sz val="14"/>
            <color rgb="FF000000"/>
            <rFont val="Calibri"/>
            <family val="34"/>
          </rPr>
          <t xml:space="preserve">
</t>
        </r>
        <r>
          <rPr>
            <sz val="14"/>
            <color rgb="FF000000"/>
            <rFont val="Times New Roman"/>
            <family val="18"/>
          </rPr>
          <t>ML 3918/9 IR 44 (1819) – 10. Fus. Komp. Nr. 34 (Pavia 18/10/1819)</t>
        </r>
        <r>
          <rPr>
            <sz val="14"/>
            <color rgb="FF000000"/>
            <rFont val="Calibri"/>
            <family val="34"/>
          </rPr>
          <t xml:space="preserve">
</t>
        </r>
        <r>
          <rPr>
            <sz val="14"/>
            <color rgb="FF000000"/>
            <rFont val="Times New Roman"/>
            <family val="18"/>
          </rPr>
          <t>ML 3920 IR 44 (1820) – 10. Fus. Komp. Nr. 21 (Milan 25/09/1820)</t>
        </r>
      </text>
    </comment>
    <comment ref="BH747" authorId="0" shapeId="0" xr:uid="{5A14B43A-6BAD-1B42-B864-DC3646AC527C}">
      <text>
        <r>
          <rPr>
            <sz val="14"/>
            <color rgb="FF000000"/>
            <rFont val="Calibri"/>
            <family val="34"/>
          </rPr>
          <t>IR 44 (1813-1820)</t>
        </r>
      </text>
    </comment>
    <comment ref="BF748" authorId="0" shapeId="0" xr:uid="{27CCD422-3B14-6B49-B9CB-A560DCF4D7C7}">
      <text>
        <r>
          <rPr>
            <sz val="14"/>
            <color rgb="FF000000"/>
            <rFont val="Times New Roman"/>
            <family val="18"/>
          </rPr>
          <t xml:space="preserve">30/04/1813 </t>
        </r>
        <r>
          <rPr>
            <i/>
            <sz val="14"/>
            <color rgb="FF000000"/>
            <rFont val="Times New Roman"/>
            <family val="18"/>
          </rPr>
          <t>A 3Fl auf 14 Jahr zu Sambor präsentiert</t>
        </r>
        <r>
          <rPr>
            <sz val="14"/>
            <color rgb="FF000000"/>
            <rFont val="Times New Roman"/>
            <family val="18"/>
          </rPr>
          <t xml:space="preserve"> [ML 1818] </t>
        </r>
        <r>
          <rPr>
            <sz val="14"/>
            <color rgb="FF000000"/>
            <rFont val="Calibri"/>
            <family val="34"/>
          </rPr>
          <t xml:space="preserve">
</t>
        </r>
        <r>
          <rPr>
            <sz val="14"/>
            <color rgb="FF000000"/>
            <rFont val="Times New Roman"/>
            <family val="18"/>
          </rPr>
          <t xml:space="preserve">15/10/1813 </t>
        </r>
        <r>
          <rPr>
            <i/>
            <sz val="14"/>
            <color rgb="FF000000"/>
            <rFont val="Times New Roman"/>
            <family val="18"/>
          </rPr>
          <t xml:space="preserve">Zu Gefreyter avanciert </t>
        </r>
        <r>
          <rPr>
            <sz val="14"/>
            <color rgb="FF000000"/>
            <rFont val="Times New Roman"/>
            <family val="18"/>
          </rPr>
          <t>[ML 1818]</t>
        </r>
        <r>
          <rPr>
            <sz val="14"/>
            <color rgb="FF000000"/>
            <rFont val="Calibri"/>
            <family val="34"/>
          </rPr>
          <t xml:space="preserve">
</t>
        </r>
        <r>
          <rPr>
            <sz val="14"/>
            <color rgb="FF000000"/>
            <rFont val="Times New Roman"/>
            <family val="18"/>
          </rPr>
          <t>05/01/1818 Muster: IR 44 18. Fus. Komp. Nr. 18</t>
        </r>
        <r>
          <rPr>
            <sz val="14"/>
            <color rgb="FF000000"/>
            <rFont val="Calibri"/>
            <family val="34"/>
          </rPr>
          <t xml:space="preserve">
</t>
        </r>
        <r>
          <rPr>
            <sz val="14"/>
            <color rgb="FF000000"/>
            <rFont val="Times New Roman"/>
            <family val="18"/>
          </rPr>
          <t>24/10/1818 Muster: IR 44 18. Fus. Komp. Nr. 18</t>
        </r>
        <r>
          <rPr>
            <sz val="14"/>
            <color rgb="FF000000"/>
            <rFont val="Calibri"/>
            <family val="34"/>
          </rPr>
          <t xml:space="preserve">
</t>
        </r>
        <r>
          <rPr>
            <sz val="14"/>
            <color rgb="FF000000"/>
            <rFont val="Times New Roman"/>
            <family val="18"/>
          </rPr>
          <t>18/10/1819 Muster: IR 44 18. Fus. Komp. Nr. 16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27/09/1820 Muster: IR 44 18. Fus. Komp. Nr. 16</t>
        </r>
        <r>
          <rPr>
            <sz val="14"/>
            <color rgb="FF000000"/>
            <rFont val="Calibri"/>
            <family val="34"/>
          </rPr>
          <t xml:space="preserve">
</t>
        </r>
      </text>
    </comment>
    <comment ref="BG748" authorId="0" shapeId="0" xr:uid="{6113F51E-F971-CF49-AB67-AC584E46A7D9}">
      <text>
        <r>
          <rPr>
            <sz val="14"/>
            <color rgb="FF000000"/>
            <rFont val="Times New Roman"/>
            <family val="18"/>
          </rPr>
          <t>ML 3915/6 IR 44 (1818) – 18. Fus. Komp. Nr. 18 (Pavia 05/01/1818); 18. Fus. Komp. Nr. 18 (Pavia 24/10/1818)</t>
        </r>
        <r>
          <rPr>
            <sz val="14"/>
            <color rgb="FF000000"/>
            <rFont val="Calibri"/>
            <family val="34"/>
          </rPr>
          <t xml:space="preserve">
</t>
        </r>
        <r>
          <rPr>
            <sz val="14"/>
            <color rgb="FF000000"/>
            <rFont val="Times New Roman"/>
            <family val="18"/>
          </rPr>
          <t>ML 3918/9 IR 44 (1819) – 18. Fus. Komp. Nr. 16 (Pavia 18/10/1819)</t>
        </r>
        <r>
          <rPr>
            <sz val="14"/>
            <color rgb="FF000000"/>
            <rFont val="Calibri"/>
            <family val="34"/>
          </rPr>
          <t xml:space="preserve">
</t>
        </r>
        <r>
          <rPr>
            <sz val="14"/>
            <color rgb="FF000000"/>
            <rFont val="Times New Roman"/>
            <family val="18"/>
          </rPr>
          <t>ML 3920 IR 44 (1820) – 18. Fus. Komp. Nr. 15 (Como 27/09/1820)</t>
        </r>
      </text>
    </comment>
    <comment ref="BH748" authorId="0" shapeId="0" xr:uid="{141AB9F6-B142-3242-8081-CE1E5A6D3DD0}">
      <text>
        <r>
          <rPr>
            <sz val="14"/>
            <color rgb="FF000000"/>
            <rFont val="Calibri"/>
            <family val="34"/>
          </rPr>
          <t>IR 44 (1813-1820)</t>
        </r>
      </text>
    </comment>
    <comment ref="BF749" authorId="0" shapeId="0" xr:uid="{44A3033D-BAC5-AD48-87FA-054B4A4CC7DE}">
      <text>
        <r>
          <rPr>
            <sz val="14"/>
            <color rgb="FF000000"/>
            <rFont val="Times New Roman"/>
            <family val="18"/>
          </rPr>
          <t xml:space="preserve">13/07/1813 </t>
        </r>
        <r>
          <rPr>
            <i/>
            <sz val="14"/>
            <color rgb="FF000000"/>
            <rFont val="Times New Roman"/>
            <family val="18"/>
          </rPr>
          <t>A 3Fl Handgeld von Lande gestellt und zu Klausenburg auf Beständig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11/08/1814 </t>
        </r>
        <r>
          <rPr>
            <i/>
            <sz val="14"/>
            <color rgb="FF000000"/>
            <rFont val="Times New Roman"/>
            <family val="18"/>
          </rPr>
          <t>Zum Gefreiter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01/12/1815 </t>
        </r>
        <r>
          <rPr>
            <i/>
            <sz val="14"/>
            <color rgb="FF000000"/>
            <rFont val="Times New Roman"/>
            <family val="18"/>
          </rPr>
          <t>Zum Kopralen avanciert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26/09/1818 Muster: IR 62 11. Fus. Komp. Nr. 10 [</t>
        </r>
        <r>
          <rPr>
            <i/>
            <sz val="14"/>
            <color rgb="FF000000"/>
            <rFont val="Times New Roman"/>
            <family val="18"/>
          </rPr>
          <t>Zugeteilt beim 1. Battalion zu Mantua</t>
        </r>
        <r>
          <rPr>
            <sz val="14"/>
            <color rgb="FF000000"/>
            <rFont val="Times New Roman"/>
            <family val="18"/>
          </rPr>
          <t>]</t>
        </r>
        <r>
          <rPr>
            <sz val="14"/>
            <color rgb="FF000000"/>
            <rFont val="Calibri"/>
            <family val="34"/>
          </rPr>
          <t xml:space="preserve">
</t>
        </r>
        <r>
          <rPr>
            <sz val="14"/>
            <color rgb="FF000000"/>
            <rFont val="Times New Roman"/>
            <family val="18"/>
          </rPr>
          <t>07/10/1819 Muster: IR 62 11. Fus. Komp. Nr. 9 [</t>
        </r>
        <r>
          <rPr>
            <i/>
            <sz val="14"/>
            <color rgb="FF000000"/>
            <rFont val="Times New Roman"/>
            <family val="18"/>
          </rPr>
          <t>Halb Invalid</t>
        </r>
        <r>
          <rPr>
            <sz val="14"/>
            <color rgb="FF000000"/>
            <rFont val="Times New Roman"/>
            <family val="18"/>
          </rPr>
          <t>]</t>
        </r>
        <r>
          <rPr>
            <sz val="14"/>
            <color rgb="FF000000"/>
            <rFont val="Calibri"/>
            <family val="34"/>
          </rPr>
          <t xml:space="preserve">
</t>
        </r>
        <r>
          <rPr>
            <sz val="14"/>
            <color rgb="FF000000"/>
            <rFont val="Times New Roman"/>
            <family val="18"/>
          </rPr>
          <t>04/09/1820 Revision: IR 62 11. Fus. Komp. Nr. 10</t>
        </r>
        <r>
          <rPr>
            <sz val="14"/>
            <color rgb="FF000000"/>
            <rFont val="Calibri"/>
            <family val="34"/>
          </rPr>
          <t xml:space="preserve">
</t>
        </r>
      </text>
    </comment>
    <comment ref="BG749" authorId="0" shapeId="0" xr:uid="{9FA74737-75C9-B641-9E53-1A0957E2CD81}">
      <text>
        <r>
          <rPr>
            <sz val="14"/>
            <color rgb="FF000000"/>
            <rFont val="Times New Roman"/>
            <family val="18"/>
          </rPr>
          <t>ML 5213/4 IR 62 (1818) – 11. Fus. Komp. Nr. 10 (Cremona 26/09/1818)</t>
        </r>
        <r>
          <rPr>
            <sz val="14"/>
            <color rgb="FF000000"/>
            <rFont val="Calibri"/>
            <family val="34"/>
          </rPr>
          <t xml:space="preserve">
</t>
        </r>
        <r>
          <rPr>
            <sz val="14"/>
            <color rgb="FF000000"/>
            <rFont val="Times New Roman"/>
            <family val="18"/>
          </rPr>
          <t>ML 5215/6 IR 62 (1819) – 11. Fus. Komp. Nr. 9 (Mantua 07/10/1819)</t>
        </r>
        <r>
          <rPr>
            <sz val="14"/>
            <color rgb="FF000000"/>
            <rFont val="Calibri"/>
            <family val="34"/>
          </rPr>
          <t xml:space="preserve">
</t>
        </r>
        <r>
          <rPr>
            <sz val="14"/>
            <color rgb="FF000000"/>
            <rFont val="Times New Roman"/>
            <family val="18"/>
          </rPr>
          <t>ML 5217 IR 62 (1820) – 11. Fus. Komp. Nr. 10 (Cremona 04/0/1820)</t>
        </r>
      </text>
    </comment>
    <comment ref="BH749" authorId="0" shapeId="0" xr:uid="{627793E2-4F0A-904C-B22B-A966F3B12F98}">
      <text>
        <r>
          <rPr>
            <sz val="14"/>
            <color rgb="FF000000"/>
            <rFont val="Calibri"/>
            <family val="34"/>
          </rPr>
          <t>IR 62 (1813-20)</t>
        </r>
      </text>
    </comment>
    <comment ref="BF750" authorId="0" shapeId="0" xr:uid="{8EE0B74C-309C-2D46-B713-143EAA8DE616}">
      <text>
        <r>
          <rPr>
            <sz val="14"/>
            <color rgb="FF000000"/>
            <rFont val="Times New Roman"/>
            <family val="18"/>
          </rPr>
          <t xml:space="preserve">29/09/1813 </t>
        </r>
        <r>
          <rPr>
            <i/>
            <sz val="14"/>
            <color rgb="FF000000"/>
            <rFont val="Times New Roman"/>
            <family val="18"/>
          </rPr>
          <t xml:space="preserve">a 3Fl Handgeld von Dominien auf 14 Jahr gestellt </t>
        </r>
        <r>
          <rPr>
            <sz val="14"/>
            <color rgb="FF000000"/>
            <rFont val="Times New Roman"/>
            <family val="18"/>
          </rPr>
          <t>[TL Juli 1815]</t>
        </r>
        <r>
          <rPr>
            <sz val="14"/>
            <color rgb="FF000000"/>
            <rFont val="Calibri"/>
            <family val="34"/>
          </rPr>
          <t xml:space="preserve">
</t>
        </r>
        <r>
          <rPr>
            <sz val="14"/>
            <color rgb="FF000000"/>
            <rFont val="Times New Roman"/>
            <family val="18"/>
          </rPr>
          <t xml:space="preserve">01/05/1815 </t>
        </r>
        <r>
          <rPr>
            <i/>
            <sz val="14"/>
            <color rgb="FF000000"/>
            <rFont val="Times New Roman"/>
            <family val="18"/>
          </rPr>
          <t>Von GB 8 4. Komp. Zum neu errichtete HFS 48 transferiert</t>
        </r>
        <r>
          <rPr>
            <sz val="14"/>
            <color rgb="FF000000"/>
            <rFont val="Times New Roman"/>
            <family val="18"/>
          </rPr>
          <t xml:space="preserve"> [TL Jul 1815]</t>
        </r>
        <r>
          <rPr>
            <sz val="14"/>
            <color rgb="FF000000"/>
            <rFont val="Calibri"/>
            <family val="34"/>
          </rPr>
          <t xml:space="preserve">
</t>
        </r>
        <r>
          <rPr>
            <sz val="14"/>
            <color rgb="FF000000"/>
            <rFont val="Times New Roman"/>
            <family val="18"/>
          </rPr>
          <t xml:space="preserve">15/01/1816 </t>
        </r>
        <r>
          <rPr>
            <i/>
            <sz val="14"/>
            <color rgb="FF000000"/>
            <rFont val="Times New Roman"/>
            <family val="18"/>
          </rPr>
          <t>Von Dissolvierte HFS 48 zum GB 8 transferiert</t>
        </r>
        <r>
          <rPr>
            <sz val="14"/>
            <color rgb="FF000000"/>
            <rFont val="Times New Roman"/>
            <family val="18"/>
          </rPr>
          <t xml:space="preserve"> [VerpfL Jan 1816]</t>
        </r>
        <r>
          <rPr>
            <sz val="14"/>
            <color rgb="FF000000"/>
            <rFont val="Calibri"/>
            <family val="34"/>
          </rPr>
          <t xml:space="preserve">
</t>
        </r>
      </text>
    </comment>
    <comment ref="BG750" authorId="0" shapeId="0" xr:uid="{79E2CAD6-AC6D-2F4E-B024-3FA90A6367FF}">
      <text>
        <r>
          <rPr>
            <sz val="14"/>
            <color rgb="FF000000"/>
            <rFont val="Times New Roman"/>
            <family val="18"/>
          </rPr>
          <t>ML 12.017 HFS 48 (1815) – TL GB 8-&gt;HFS 48 Nr. 13 (Czernowitz 31/07/1815)</t>
        </r>
        <r>
          <rPr>
            <sz val="14"/>
            <color rgb="FF000000"/>
            <rFont val="Calibri"/>
            <family val="34"/>
          </rPr>
          <t xml:space="preserve">
</t>
        </r>
        <r>
          <rPr>
            <sz val="14"/>
            <color rgb="FF000000"/>
            <rFont val="Times New Roman"/>
            <family val="18"/>
          </rPr>
          <t>ML 12.018 HFS 48 (1816) – VerpfL Jan 1816 (Prague 20/01/1816)</t>
        </r>
      </text>
    </comment>
    <comment ref="BH750" authorId="0" shapeId="0" xr:uid="{0F8E4DC6-11DE-6B4D-8A07-4F0AAB94C239}">
      <text>
        <r>
          <rPr>
            <sz val="14"/>
            <color rgb="FF000000"/>
            <rFont val="Calibri"/>
            <family val="34"/>
          </rPr>
          <t xml:space="preserve">GB 8 (1813-15)
</t>
        </r>
        <r>
          <rPr>
            <sz val="14"/>
            <color rgb="FF000000"/>
            <rFont val="Calibri"/>
            <family val="34"/>
          </rPr>
          <t xml:space="preserve">HFS 48 (1815-1816)
</t>
        </r>
        <r>
          <rPr>
            <sz val="14"/>
            <color rgb="FF000000"/>
            <rFont val="Calibri"/>
            <family val="34"/>
          </rPr>
          <t>GB 8 (1816)</t>
        </r>
      </text>
    </comment>
    <comment ref="BI750" authorId="0" shapeId="0" xr:uid="{543B3559-CAB9-8047-8E53-62220059803C}">
      <text>
        <r>
          <rPr>
            <sz val="14"/>
            <color rgb="FF000000"/>
            <rFont val="Calibri"/>
            <family val="34"/>
          </rPr>
          <t>Gut [TL Juli 1815]</t>
        </r>
      </text>
    </comment>
    <comment ref="BF751" authorId="0" shapeId="0" xr:uid="{03B56673-F008-0946-9C32-6F43B5CB2669}">
      <text>
        <r>
          <rPr>
            <i/>
            <sz val="14"/>
            <color rgb="FF000000"/>
            <rFont val="Times New Roman"/>
            <family val="18"/>
          </rPr>
          <t>Hat vorher beim 2. Schweizer Regiment als Feldwebel durch 4 Jahren gedient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20/12/1813 </t>
        </r>
        <r>
          <rPr>
            <i/>
            <sz val="14"/>
            <color rgb="FF000000"/>
            <rFont val="Times New Roman"/>
            <family val="18"/>
          </rPr>
          <t>Ohne Handgeld auf 14 Jahr zu Lemberg</t>
        </r>
        <r>
          <rPr>
            <sz val="14"/>
            <color rgb="FF000000"/>
            <rFont val="Times New Roman"/>
            <family val="18"/>
          </rPr>
          <t xml:space="preserve"> </t>
        </r>
        <r>
          <rPr>
            <b/>
            <sz val="14"/>
            <color rgb="FF000000"/>
            <rFont val="Times New Roman"/>
            <family val="18"/>
          </rPr>
          <t>[</t>
        </r>
        <r>
          <rPr>
            <b/>
            <u/>
            <sz val="14"/>
            <color rgb="FF0563C1"/>
            <rFont val="Times New Roman"/>
            <family val="18"/>
          </rPr>
          <t>Lviv, Ukraine</t>
        </r>
        <r>
          <rPr>
            <b/>
            <sz val="14"/>
            <color rgb="FF000000"/>
            <rFont val="Times New Roman"/>
            <family val="18"/>
          </rPr>
          <t>]</t>
        </r>
        <r>
          <rPr>
            <sz val="14"/>
            <color rgb="FF000000"/>
            <rFont val="Times New Roman"/>
            <family val="18"/>
          </rPr>
          <t xml:space="preserve"> </t>
        </r>
        <r>
          <rPr>
            <i/>
            <sz val="14"/>
            <color rgb="FF000000"/>
            <rFont val="Times New Roman"/>
            <family val="18"/>
          </rPr>
          <t>assentiert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19/07/1815 </t>
        </r>
        <r>
          <rPr>
            <i/>
            <sz val="14"/>
            <color rgb="FF000000"/>
            <rFont val="Times New Roman"/>
            <family val="18"/>
          </rPr>
          <t>Von Gemeiner zur Corporal avanciert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 xml:space="preserve">01/11/1819 </t>
        </r>
        <r>
          <rPr>
            <i/>
            <sz val="14"/>
            <color rgb="FF000000"/>
            <rFont val="Times New Roman"/>
            <family val="18"/>
          </rPr>
          <t>Von IR 47 6. Fus. Komp Zum IR 28 transferiert</t>
        </r>
        <r>
          <rPr>
            <sz val="14"/>
            <color rgb="FF000000"/>
            <rFont val="Times New Roman"/>
            <family val="18"/>
          </rPr>
          <t xml:space="preserve"> [TL Nov 1819]</t>
        </r>
        <r>
          <rPr>
            <sz val="14"/>
            <color rgb="FF000000"/>
            <rFont val="Calibri"/>
            <family val="34"/>
          </rPr>
          <t xml:space="preserve">
</t>
        </r>
        <r>
          <rPr>
            <sz val="14"/>
            <color rgb="FF000000"/>
            <rFont val="Times New Roman"/>
            <family val="18"/>
          </rPr>
          <t>21/09/1820 Muster: IR 28 18. Fus. Komp. Nr. 10 [</t>
        </r>
        <r>
          <rPr>
            <i/>
            <sz val="14"/>
            <color rgb="FF000000"/>
            <rFont val="Times New Roman"/>
            <family val="18"/>
          </rPr>
          <t>Beurlaubt in seinem Geburtsort bis zur Einberufung</t>
        </r>
        <r>
          <rPr>
            <sz val="14"/>
            <color rgb="FF000000"/>
            <rFont val="Times New Roman"/>
            <family val="18"/>
          </rPr>
          <t>]</t>
        </r>
        <r>
          <rPr>
            <sz val="14"/>
            <color rgb="FF000000"/>
            <rFont val="Calibri"/>
            <family val="34"/>
          </rPr>
          <t xml:space="preserve">
</t>
        </r>
      </text>
    </comment>
    <comment ref="BG751" authorId="0" shapeId="0" xr:uid="{4AA0CB01-B75E-F544-A979-63CF8116E53E}">
      <text>
        <r>
          <rPr>
            <sz val="14"/>
            <color rgb="FF000000"/>
            <rFont val="Times New Roman"/>
            <family val="18"/>
          </rPr>
          <t>ML 4099 IR 47 (1819) AL/TL – TL IR 47-&gt;IR 28 Nr. 1 (Marburg 19/11/1819)</t>
        </r>
        <r>
          <rPr>
            <sz val="14"/>
            <color rgb="FF000000"/>
            <rFont val="Calibri"/>
            <family val="34"/>
          </rPr>
          <t xml:space="preserve">
</t>
        </r>
        <r>
          <rPr>
            <sz val="14"/>
            <color rgb="FF000000"/>
            <rFont val="Times New Roman"/>
            <family val="18"/>
          </rPr>
          <t>ML 2416/7 IR 28 (1820) 18. Fus. Komp. Nr. 10 (Prague 21/09/1820)</t>
        </r>
      </text>
    </comment>
    <comment ref="BH751" authorId="0" shapeId="0" xr:uid="{19814F55-DE17-B44F-B5CF-0329472FD31E}">
      <text>
        <r>
          <rPr>
            <sz val="14"/>
            <color rgb="FF000000"/>
            <rFont val="Calibri"/>
            <family val="34"/>
          </rPr>
          <t xml:space="preserve">4 Jahren in 2. Schwezer Regt. (NAP)
</t>
        </r>
        <r>
          <rPr>
            <sz val="14"/>
            <color rgb="FF000000"/>
            <rFont val="Calibri"/>
            <family val="34"/>
          </rPr>
          <t xml:space="preserve">IR 47 (1813-1819)
</t>
        </r>
        <r>
          <rPr>
            <sz val="14"/>
            <color rgb="FF000000"/>
            <rFont val="Calibri"/>
            <family val="34"/>
          </rPr>
          <t>IR 28 (1819-1820)</t>
        </r>
      </text>
    </comment>
    <comment ref="BF752" authorId="0" shapeId="0" xr:uid="{BB27C3A6-6354-7C4E-926E-50CE92A10B2B}">
      <text>
        <r>
          <rPr>
            <sz val="14"/>
            <color rgb="FF000000"/>
            <rFont val="Times New Roman"/>
            <family val="18"/>
          </rPr>
          <t xml:space="preserve">30/01/1814 </t>
        </r>
        <r>
          <rPr>
            <i/>
            <sz val="14"/>
            <color rgb="FF000000"/>
            <rFont val="Times New Roman"/>
            <family val="18"/>
          </rPr>
          <t xml:space="preserve">Gegen 10Fl Handgeld von Land ausgehoben und zum HR 9 ‚Frimond‘ in Arad auf Beständig assentiert </t>
        </r>
        <r>
          <rPr>
            <sz val="14"/>
            <color rgb="FF000000"/>
            <rFont val="Times New Roman"/>
            <family val="18"/>
          </rPr>
          <t>[AL Feb 1814]</t>
        </r>
        <r>
          <rPr>
            <sz val="14"/>
            <color rgb="FF000000"/>
            <rFont val="Calibri"/>
            <family val="34"/>
          </rPr>
          <t xml:space="preserve">
</t>
        </r>
      </text>
    </comment>
    <comment ref="BG752" authorId="0" shapeId="0" xr:uid="{71BB2C30-EFD7-BD48-8D26-3634C12DE28D}">
      <text>
        <r>
          <rPr>
            <sz val="14"/>
            <color rgb="FF000000"/>
            <rFont val="Times New Roman"/>
            <family val="18"/>
          </rPr>
          <t>ML 5184 IR 61 (1814) AL/TL – AL. Nr. 13 (Arad 14/03/1814)</t>
        </r>
        <r>
          <rPr>
            <sz val="14"/>
            <color rgb="FF000000"/>
            <rFont val="Calibri"/>
            <family val="34"/>
          </rPr>
          <t xml:space="preserve">
</t>
        </r>
      </text>
    </comment>
    <comment ref="BH752" authorId="0" shapeId="0" xr:uid="{28A5BC38-E30F-0E47-AC80-2F5555BA50BC}">
      <text>
        <r>
          <rPr>
            <sz val="14"/>
            <color rgb="FF000000"/>
            <rFont val="Calibri"/>
            <family val="34"/>
          </rPr>
          <t>HR 9 (1814)</t>
        </r>
      </text>
    </comment>
    <comment ref="BF753" authorId="0" shapeId="0" xr:uid="{A5D6E12E-E10A-A24A-A219-6237A96A69AB}">
      <text>
        <r>
          <rPr>
            <i/>
            <sz val="14"/>
            <color rgb="FF000000"/>
            <rFont val="Times New Roman"/>
            <family val="18"/>
          </rPr>
          <t xml:space="preserve">Hat beim Feldt Spital Nr. 21 als Unterarzt durch 1 Jahr 3 Monat gedient </t>
        </r>
        <r>
          <rPr>
            <sz val="14"/>
            <color rgb="FF000000"/>
            <rFont val="Times New Roman"/>
            <family val="18"/>
          </rPr>
          <t>[AL April 1815]</t>
        </r>
        <r>
          <rPr>
            <sz val="14"/>
            <color rgb="FF000000"/>
            <rFont val="Calibri"/>
            <family val="34"/>
          </rPr>
          <t xml:space="preserve">
</t>
        </r>
        <r>
          <rPr>
            <sz val="14"/>
            <color rgb="FF000000"/>
            <rFont val="Times New Roman"/>
            <family val="18"/>
          </rPr>
          <t>01/04/1815</t>
        </r>
        <r>
          <rPr>
            <i/>
            <sz val="14"/>
            <color rgb="FF000000"/>
            <rFont val="Times New Roman"/>
            <family val="18"/>
          </rPr>
          <t xml:space="preserve"> Zum HFS 44 als Unterarzt neu assentiert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 Folge N.Ö General Commando Verordnung d. 21/ Januar a:C: Nr, 1507 mit einer 2. Monatliche Gage entlassen</t>
        </r>
        <r>
          <rPr>
            <sz val="14"/>
            <color rgb="FF000000"/>
            <rFont val="Times New Roman"/>
            <family val="18"/>
          </rPr>
          <t xml:space="preserve"> [Vepf. Jan 1816]</t>
        </r>
      </text>
    </comment>
    <comment ref="BG753" authorId="0" shapeId="0" xr:uid="{485D61D3-F824-6546-B382-628AE7A3A7EF}">
      <text>
        <r>
          <rPr>
            <sz val="14"/>
            <color rgb="FF000000"/>
            <rFont val="Times New Roman"/>
            <family val="18"/>
          </rPr>
          <t>ML 12.011 HFS 44 (1815-16) – TL Nr. 1 (Vienna 01/04/1815); VerpfL Jan 1816 (Rohrbach 29/02/1816)</t>
        </r>
        <r>
          <rPr>
            <sz val="14"/>
            <color rgb="FF000000"/>
            <rFont val="Calibri"/>
            <family val="34"/>
          </rPr>
          <t xml:space="preserve">
</t>
        </r>
      </text>
    </comment>
    <comment ref="BH753" authorId="0" shapeId="0" xr:uid="{4AE799B7-003D-724F-A94C-585100EC4DC5}">
      <text>
        <r>
          <rPr>
            <sz val="14"/>
            <color rgb="FF000000"/>
            <rFont val="Calibri"/>
            <family val="34"/>
          </rPr>
          <t xml:space="preserve">HFS 21 (?1814-?1815)
</t>
        </r>
        <r>
          <rPr>
            <sz val="14"/>
            <color rgb="FF000000"/>
            <rFont val="Calibri"/>
            <family val="34"/>
          </rPr>
          <t>HFS 44 (1815-1816)</t>
        </r>
      </text>
    </comment>
    <comment ref="BF754" authorId="0" shapeId="0" xr:uid="{F11A670D-9EBA-F140-8E0D-10424CAB2F0D}">
      <text>
        <r>
          <rPr>
            <sz val="14"/>
            <color rgb="FF000000"/>
            <rFont val="Times New Roman"/>
            <family val="18"/>
          </rPr>
          <t xml:space="preserve">03/02/1814 </t>
        </r>
        <r>
          <rPr>
            <i/>
            <sz val="14"/>
            <color rgb="FF000000"/>
            <rFont val="Times New Roman"/>
            <family val="18"/>
          </rPr>
          <t>A 10Fl Handgeld ohne Kapitulation bey IR 34 in Venedig assentiert</t>
        </r>
        <r>
          <rPr>
            <sz val="14"/>
            <color rgb="FF000000"/>
            <rFont val="Times New Roman"/>
            <family val="18"/>
          </rPr>
          <t xml:space="preserve"> [TL Feb 1817 &amp; ML 1818]</t>
        </r>
        <r>
          <rPr>
            <sz val="14"/>
            <color rgb="FF000000"/>
            <rFont val="Calibri"/>
            <family val="34"/>
          </rPr>
          <t xml:space="preserve">
</t>
        </r>
        <r>
          <rPr>
            <sz val="14"/>
            <color rgb="FF000000"/>
            <rFont val="Times New Roman"/>
            <family val="18"/>
          </rPr>
          <t xml:space="preserve">31/01/1817 </t>
        </r>
        <r>
          <rPr>
            <i/>
            <sz val="14"/>
            <color rgb="FF000000"/>
            <rFont val="Times New Roman"/>
            <family val="18"/>
          </rPr>
          <t>Von IR 34 17. Fus. Komp. zum IR 29 transferiert und zur 13. Fus. Komp. eingeheilt</t>
        </r>
        <r>
          <rPr>
            <sz val="14"/>
            <color rgb="FF000000"/>
            <rFont val="Times New Roman"/>
            <family val="18"/>
          </rPr>
          <t xml:space="preserve"> [TL Feb 1817]</t>
        </r>
        <r>
          <rPr>
            <sz val="14"/>
            <color rgb="FF000000"/>
            <rFont val="Calibri"/>
            <family val="34"/>
          </rPr>
          <t xml:space="preserve">
</t>
        </r>
        <r>
          <rPr>
            <sz val="14"/>
            <color rgb="FF000000"/>
            <rFont val="Times New Roman"/>
            <family val="18"/>
          </rPr>
          <t>29/09/1817 Revision: IR 29 13. Fus. Komp. Nr. 199 [</t>
        </r>
        <r>
          <rPr>
            <i/>
            <sz val="14"/>
            <color rgb="FF000000"/>
            <rFont val="Times New Roman"/>
            <family val="18"/>
          </rPr>
          <t>Beurlaubt bis zur Einberufung</t>
        </r>
        <r>
          <rPr>
            <sz val="14"/>
            <color rgb="FF000000"/>
            <rFont val="Times New Roman"/>
            <family val="18"/>
          </rPr>
          <t xml:space="preserve">] </t>
        </r>
        <r>
          <rPr>
            <sz val="14"/>
            <color rgb="FF000000"/>
            <rFont val="Calibri"/>
            <family val="34"/>
          </rPr>
          <t xml:space="preserve">
</t>
        </r>
        <r>
          <rPr>
            <sz val="14"/>
            <color rgb="FF000000"/>
            <rFont val="Times New Roman"/>
            <family val="18"/>
          </rPr>
          <t xml:space="preserve">31/10/1817 </t>
        </r>
        <r>
          <rPr>
            <i/>
            <sz val="14"/>
            <color rgb="FF000000"/>
            <rFont val="Times New Roman"/>
            <family val="18"/>
          </rPr>
          <t xml:space="preserve">Von IR 29 13. Fus. Komp. zur Mazzucheli Inf. </t>
        </r>
        <r>
          <rPr>
            <b/>
            <sz val="14"/>
            <color rgb="FF000000"/>
            <rFont val="Times New Roman"/>
            <family val="18"/>
          </rPr>
          <t>[IR 10]</t>
        </r>
        <r>
          <rPr>
            <i/>
            <sz val="14"/>
            <color rgb="FF000000"/>
            <rFont val="Times New Roman"/>
            <family val="18"/>
          </rPr>
          <t xml:space="preserve"> transferiert und zur 1. Fus. Komp. eingeteilt</t>
        </r>
        <r>
          <rPr>
            <sz val="14"/>
            <color rgb="FF000000"/>
            <rFont val="Times New Roman"/>
            <family val="18"/>
          </rPr>
          <t xml:space="preserve"> [ML 1818]</t>
        </r>
        <r>
          <rPr>
            <sz val="14"/>
            <color rgb="FF000000"/>
            <rFont val="Calibri"/>
            <family val="34"/>
          </rPr>
          <t xml:space="preserve">
</t>
        </r>
        <r>
          <rPr>
            <sz val="14"/>
            <color rgb="FF000000"/>
            <rFont val="Times New Roman"/>
            <family val="18"/>
          </rPr>
          <t>14/09/1818 Muster: IR 10 1. Fus. Komp. Nr. 104 [</t>
        </r>
        <r>
          <rPr>
            <i/>
            <sz val="14"/>
            <color rgb="FF000000"/>
            <rFont val="Times New Roman"/>
            <family val="18"/>
          </rPr>
          <t>In Geburtsort bis zur Einberufung beurlaubt</t>
        </r>
        <r>
          <rPr>
            <sz val="14"/>
            <color rgb="FF000000"/>
            <rFont val="Times New Roman"/>
            <family val="18"/>
          </rPr>
          <t>]</t>
        </r>
        <r>
          <rPr>
            <sz val="14"/>
            <color rgb="FF000000"/>
            <rFont val="Calibri"/>
            <family val="34"/>
          </rPr>
          <t xml:space="preserve">
</t>
        </r>
        <r>
          <rPr>
            <sz val="14"/>
            <color rgb="FF000000"/>
            <rFont val="Times New Roman"/>
            <family val="18"/>
          </rPr>
          <t>18/09/1819 Muster: IR 10 1. Fus. Komp. Nr. 106 [</t>
        </r>
        <r>
          <rPr>
            <i/>
            <sz val="14"/>
            <color rgb="FF000000"/>
            <rFont val="Times New Roman"/>
            <family val="18"/>
          </rPr>
          <t>Bis zur Einberufung in seinem Geburtsort beurlaubt</t>
        </r>
        <r>
          <rPr>
            <sz val="14"/>
            <color rgb="FF000000"/>
            <rFont val="Times New Roman"/>
            <family val="18"/>
          </rPr>
          <t>]</t>
        </r>
        <r>
          <rPr>
            <sz val="14"/>
            <color rgb="FF000000"/>
            <rFont val="Calibri"/>
            <family val="34"/>
          </rPr>
          <t xml:space="preserve">
</t>
        </r>
        <r>
          <rPr>
            <sz val="14"/>
            <color rgb="FF000000"/>
            <rFont val="Times New Roman"/>
            <family val="18"/>
          </rPr>
          <t>16/08/1820 Muster: IR 10 1. Fus. Komp/ Nr. 140 [</t>
        </r>
        <r>
          <rPr>
            <i/>
            <sz val="14"/>
            <color rgb="FF000000"/>
            <rFont val="Times New Roman"/>
            <family val="18"/>
          </rPr>
          <t>bis zur Einberufung in seinem Geburtsort beurlaubt</t>
        </r>
        <r>
          <rPr>
            <sz val="14"/>
            <color rgb="FF000000"/>
            <rFont val="Times New Roman"/>
            <family val="18"/>
          </rPr>
          <t>]</t>
        </r>
      </text>
    </comment>
    <comment ref="BG754" authorId="0" shapeId="0" xr:uid="{409EFBDA-F34C-0245-B0A1-DA7A9B09CA11}">
      <text>
        <r>
          <rPr>
            <sz val="14"/>
            <color rgb="FF000000"/>
            <rFont val="Times New Roman"/>
            <family val="18"/>
          </rPr>
          <t>ML 3155 IR 34 (1817) – TL IR 34-&gt;IR 29 Nr. 1 (Venice 28/02/1817)</t>
        </r>
        <r>
          <rPr>
            <sz val="14"/>
            <color rgb="FF000000"/>
            <rFont val="Calibri"/>
            <family val="34"/>
          </rPr>
          <t xml:space="preserve">
</t>
        </r>
        <r>
          <rPr>
            <sz val="14"/>
            <color rgb="FF000000"/>
            <rFont val="Times New Roman"/>
            <family val="18"/>
          </rPr>
          <t>ML 2527 IR 29 (1812-18) – RL 1817 13. Fus. Komp. Nr. 199 (Karthaus 29/09/1817); RL 13. Fus. Komp Abgang (Brünn 18/09/1818)</t>
        </r>
        <r>
          <rPr>
            <sz val="14"/>
            <color rgb="FF000000"/>
            <rFont val="Calibri"/>
            <family val="34"/>
          </rPr>
          <t xml:space="preserve">
</t>
        </r>
        <r>
          <rPr>
            <sz val="14"/>
            <color rgb="FF000000"/>
            <rFont val="Times New Roman"/>
            <family val="18"/>
          </rPr>
          <t xml:space="preserve">ML 719 IR 10 (1818) – 1. Fus. Komp. Nr. 104 (Caschau 14/09/1818) </t>
        </r>
        <r>
          <rPr>
            <sz val="14"/>
            <color rgb="FF000000"/>
            <rFont val="Calibri"/>
            <family val="34"/>
          </rPr>
          <t xml:space="preserve">
</t>
        </r>
        <r>
          <rPr>
            <sz val="14"/>
            <color rgb="FF000000"/>
            <rFont val="Times New Roman"/>
            <family val="18"/>
          </rPr>
          <t>ML 720/1 IR 10 (1819) – 1. Fus. Komp. Nr. 106 (Caschau 18/09/1819)</t>
        </r>
        <r>
          <rPr>
            <sz val="14"/>
            <color rgb="FF000000"/>
            <rFont val="Calibri"/>
            <family val="34"/>
          </rPr>
          <t xml:space="preserve">
</t>
        </r>
        <r>
          <rPr>
            <sz val="14"/>
            <color rgb="FF000000"/>
            <rFont val="Times New Roman"/>
            <family val="18"/>
          </rPr>
          <t>ML 722 IR 10 (1820) – 1. Fus. Komp. Nr. 140 (Caschau 16/08/1820)</t>
        </r>
        <r>
          <rPr>
            <sz val="14"/>
            <color rgb="FF000000"/>
            <rFont val="Calibri"/>
            <family val="34"/>
          </rPr>
          <t xml:space="preserve">
</t>
        </r>
      </text>
    </comment>
    <comment ref="BH754" authorId="0" shapeId="0" xr:uid="{405B8374-B24D-4F4C-AC34-114CE368C937}">
      <text>
        <r>
          <rPr>
            <sz val="14"/>
            <color rgb="FF000000"/>
            <rFont val="Calibri"/>
            <family val="34"/>
          </rPr>
          <t xml:space="preserve">IR 34 (?1814-1817)
</t>
        </r>
        <r>
          <rPr>
            <sz val="14"/>
            <color rgb="FF000000"/>
            <rFont val="Calibri"/>
            <family val="34"/>
          </rPr>
          <t xml:space="preserve">IR 29 (1817)
</t>
        </r>
        <r>
          <rPr>
            <sz val="14"/>
            <color rgb="FF000000"/>
            <rFont val="Calibri"/>
            <family val="34"/>
          </rPr>
          <t>IR 10 (1817-1820)</t>
        </r>
      </text>
    </comment>
    <comment ref="BI754" authorId="0" shapeId="0" xr:uid="{7D0BB03B-2A19-4146-B370-13C4FEB0AF31}">
      <text>
        <r>
          <rPr>
            <sz val="14"/>
            <color rgb="FF000000"/>
            <rFont val="Calibri"/>
            <family val="34"/>
          </rPr>
          <t>Gut [TL Feb 181]</t>
        </r>
      </text>
    </comment>
    <comment ref="BF755" authorId="0" shapeId="0" xr:uid="{48C6DA8D-CFD6-174A-8CFD-572B81F7567D}">
      <text>
        <r>
          <rPr>
            <sz val="14"/>
            <color rgb="FF000000"/>
            <rFont val="Times New Roman"/>
            <family val="18"/>
          </rPr>
          <t xml:space="preserve">08/02/1814 </t>
        </r>
        <r>
          <rPr>
            <i/>
            <sz val="14"/>
            <color rgb="FF000000"/>
            <rFont val="Times New Roman"/>
            <family val="18"/>
          </rPr>
          <t xml:space="preserve">A 3Fl Handgeld auf 14 Jahr zu Argentau Inft </t>
        </r>
        <r>
          <rPr>
            <b/>
            <sz val="14"/>
            <color rgb="FF000000"/>
            <rFont val="Times New Roman"/>
            <family val="18"/>
          </rPr>
          <t>[IR 35]</t>
        </r>
        <r>
          <rPr>
            <sz val="14"/>
            <color rgb="FF000000"/>
            <rFont val="Times New Roman"/>
            <family val="18"/>
          </rPr>
          <t xml:space="preserve"> </t>
        </r>
        <r>
          <rPr>
            <i/>
            <sz val="14"/>
            <color rgb="FF000000"/>
            <rFont val="Times New Roman"/>
            <family val="18"/>
          </rPr>
          <t xml:space="preserve">assentiert </t>
        </r>
        <r>
          <rPr>
            <sz val="14"/>
            <color rgb="FF000000"/>
            <rFont val="Times New Roman"/>
            <family val="18"/>
          </rPr>
          <t>[TL Okt 1817]</t>
        </r>
        <r>
          <rPr>
            <sz val="14"/>
            <color rgb="FF000000"/>
            <rFont val="Calibri"/>
            <family val="34"/>
          </rPr>
          <t xml:space="preserve">
</t>
        </r>
        <r>
          <rPr>
            <sz val="14"/>
            <color rgb="FF000000"/>
            <rFont val="Times New Roman"/>
            <family val="18"/>
          </rPr>
          <t xml:space="preserve">11/03/1814 </t>
        </r>
        <r>
          <rPr>
            <i/>
            <sz val="14"/>
            <color rgb="FF000000"/>
            <rFont val="Times New Roman"/>
            <family val="18"/>
          </rPr>
          <t>Von IR 35 zum IR 18 transferiert</t>
        </r>
        <r>
          <rPr>
            <sz val="14"/>
            <color rgb="FF000000"/>
            <rFont val="Times New Roman"/>
            <family val="18"/>
          </rPr>
          <t xml:space="preserve"> [TL Okt 1817]</t>
        </r>
        <r>
          <rPr>
            <sz val="14"/>
            <color rgb="FF000000"/>
            <rFont val="Calibri"/>
            <family val="34"/>
          </rPr>
          <t xml:space="preserve">
</t>
        </r>
        <r>
          <rPr>
            <sz val="14"/>
            <color rgb="FF000000"/>
            <rFont val="Times New Roman"/>
            <family val="18"/>
          </rPr>
          <t>18/09/1817 Musterung: IR 18 11. Fus Komp. Nr. 148</t>
        </r>
        <r>
          <rPr>
            <sz val="14"/>
            <color rgb="FF000000"/>
            <rFont val="Calibri"/>
            <family val="34"/>
          </rPr>
          <t xml:space="preserve">
</t>
        </r>
        <r>
          <rPr>
            <sz val="14"/>
            <color rgb="FF000000"/>
            <rFont val="Times New Roman"/>
            <family val="18"/>
          </rPr>
          <t xml:space="preserve">06/11/1817 </t>
        </r>
        <r>
          <rPr>
            <i/>
            <sz val="14"/>
            <color rgb="FF000000"/>
            <rFont val="Times New Roman"/>
            <family val="18"/>
          </rPr>
          <t>Von IR 18 11. Fus. Komp. zum IR 35 Argenteau 9. Fus. Komp. wegen Einverständnis transferiert</t>
        </r>
        <r>
          <rPr>
            <sz val="14"/>
            <color rgb="FF000000"/>
            <rFont val="Times New Roman"/>
            <family val="18"/>
          </rPr>
          <t xml:space="preserve"> [TL Okt 1817, ST Nov 1817]</t>
        </r>
        <r>
          <rPr>
            <sz val="14"/>
            <color rgb="FF000000"/>
            <rFont val="Calibri"/>
            <family val="34"/>
          </rPr>
          <t xml:space="preserve">
</t>
        </r>
        <r>
          <rPr>
            <sz val="14"/>
            <color rgb="FF000000"/>
            <rFont val="Times New Roman"/>
            <family val="18"/>
          </rPr>
          <t>24/09/1818 Muster: IR 35 9. Fus. Komp. Nr. 50 [</t>
        </r>
        <r>
          <rPr>
            <i/>
            <sz val="14"/>
            <color rgb="FF000000"/>
            <rFont val="Times New Roman"/>
            <family val="18"/>
          </rPr>
          <t>Commandiert in Garnisonsspital zu Theresienstadt</t>
        </r>
        <r>
          <rPr>
            <sz val="14"/>
            <color rgb="FF000000"/>
            <rFont val="Times New Roman"/>
            <family val="18"/>
          </rPr>
          <t xml:space="preserve"> </t>
        </r>
        <r>
          <rPr>
            <b/>
            <sz val="14"/>
            <color rgb="FF000000"/>
            <rFont val="Times New Roman"/>
            <family val="18"/>
          </rPr>
          <t>[</t>
        </r>
        <r>
          <rPr>
            <b/>
            <u/>
            <sz val="14"/>
            <color rgb="FF0563C1"/>
            <rFont val="Times New Roman"/>
            <family val="18"/>
          </rPr>
          <t>Terezín, Czech Republic</t>
        </r>
        <r>
          <rPr>
            <b/>
            <sz val="14"/>
            <color rgb="FF000000"/>
            <rFont val="Times New Roman"/>
            <family val="18"/>
          </rPr>
          <t>]</t>
        </r>
        <r>
          <rPr>
            <i/>
            <sz val="14"/>
            <color rgb="FF000000"/>
            <rFont val="Times New Roman"/>
            <family val="18"/>
          </rPr>
          <t>, Böhmen</t>
        </r>
        <r>
          <rPr>
            <sz val="14"/>
            <color rgb="FF000000"/>
            <rFont val="Times New Roman"/>
            <family val="18"/>
          </rPr>
          <t>]</t>
        </r>
        <r>
          <rPr>
            <sz val="14"/>
            <color rgb="FF000000"/>
            <rFont val="Calibri"/>
            <family val="34"/>
          </rPr>
          <t xml:space="preserve">
</t>
        </r>
        <r>
          <rPr>
            <sz val="14"/>
            <color rgb="FF000000"/>
            <rFont val="Times New Roman"/>
            <family val="18"/>
          </rPr>
          <t>16/09/1819 Muster: IR 35 9. Fus. Komp. Nr. 51</t>
        </r>
        <r>
          <rPr>
            <sz val="14"/>
            <color rgb="FF000000"/>
            <rFont val="Calibri"/>
            <family val="34"/>
          </rPr>
          <t xml:space="preserve">
</t>
        </r>
        <r>
          <rPr>
            <sz val="14"/>
            <color rgb="FF000000"/>
            <rFont val="Times New Roman"/>
            <family val="18"/>
          </rPr>
          <t>15/09/1820 Muster: IR 35 9. Fus. Komp, Nr. 41 [</t>
        </r>
        <r>
          <rPr>
            <i/>
            <sz val="14"/>
            <color rgb="FF000000"/>
            <rFont val="Times New Roman"/>
            <family val="18"/>
          </rPr>
          <t>Halb Invalid</t>
        </r>
        <r>
          <rPr>
            <sz val="14"/>
            <color rgb="FF000000"/>
            <rFont val="Times New Roman"/>
            <family val="18"/>
          </rPr>
          <t>]</t>
        </r>
        <r>
          <rPr>
            <sz val="14"/>
            <color rgb="FF000000"/>
            <rFont val="Calibri"/>
            <family val="34"/>
          </rPr>
          <t xml:space="preserve">
</t>
        </r>
      </text>
    </comment>
    <comment ref="BG755" authorId="0" shapeId="0" xr:uid="{FC68F8F4-2AF4-4B4A-B738-5891A170F73B}">
      <text>
        <r>
          <rPr>
            <sz val="14"/>
            <color rgb="FF000000"/>
            <rFont val="Times New Roman"/>
            <family val="18"/>
          </rPr>
          <t>ML 1435 IR 18 (1817) – 11. Fus Komp. Nr. 148 (Königgrätz 18/09/1817)</t>
        </r>
        <r>
          <rPr>
            <sz val="14"/>
            <color rgb="FF000000"/>
            <rFont val="Calibri"/>
            <family val="34"/>
          </rPr>
          <t xml:space="preserve">
</t>
        </r>
        <r>
          <rPr>
            <sz val="14"/>
            <color rgb="FF000000"/>
            <rFont val="Times New Roman"/>
            <family val="18"/>
          </rPr>
          <t>ML 1494 IR 18 (1817) – TL IR 18-&gt;IR 35 Nr. 1 (Gitschin 30/10/1817), ST Nov (Jungbunzlau 26/12/1817)</t>
        </r>
        <r>
          <rPr>
            <sz val="14"/>
            <color rgb="FF000000"/>
            <rFont val="Calibri"/>
            <family val="34"/>
          </rPr>
          <t xml:space="preserve">
</t>
        </r>
        <r>
          <rPr>
            <sz val="14"/>
            <color rgb="FF000000"/>
            <rFont val="Times New Roman"/>
            <family val="18"/>
          </rPr>
          <t>ML 3201/2 IR 35 (1818) – 9. Fus. Komp. Nr. 50 (Theresienstadt, 24/09/1818)</t>
        </r>
        <r>
          <rPr>
            <sz val="14"/>
            <color rgb="FF000000"/>
            <rFont val="Calibri"/>
            <family val="34"/>
          </rPr>
          <t xml:space="preserve">
</t>
        </r>
        <r>
          <rPr>
            <sz val="14"/>
            <color rgb="FF000000"/>
            <rFont val="Times New Roman"/>
            <family val="18"/>
          </rPr>
          <t>ML 3204 IR 35 (1819) – 9. Fus. Komp. Nr. 51 (Theresienstadt 16/09/1819)</t>
        </r>
        <r>
          <rPr>
            <sz val="14"/>
            <color rgb="FF000000"/>
            <rFont val="Calibri"/>
            <family val="34"/>
          </rPr>
          <t xml:space="preserve">
</t>
        </r>
        <r>
          <rPr>
            <sz val="14"/>
            <color rgb="FF000000"/>
            <rFont val="Times New Roman"/>
            <family val="18"/>
          </rPr>
          <t>ML 3206/7 IR 35 (1820) – 9. Fus. Komp. Nr. 41 (Pilsen 15/09/1820)</t>
        </r>
        <r>
          <rPr>
            <sz val="14"/>
            <color rgb="FF000000"/>
            <rFont val="Calibri"/>
            <family val="34"/>
          </rPr>
          <t xml:space="preserve">
</t>
        </r>
        <r>
          <rPr>
            <sz val="14"/>
            <color rgb="FF000000"/>
            <rFont val="Calibri"/>
            <family val="34"/>
          </rPr>
          <t xml:space="preserve">
</t>
        </r>
      </text>
    </comment>
    <comment ref="BH755" authorId="0" shapeId="0" xr:uid="{D5379C56-4EF2-E54D-9132-009AF5A2F054}">
      <text>
        <r>
          <rPr>
            <sz val="14"/>
            <color rgb="FF000000"/>
            <rFont val="Calibri"/>
            <family val="34"/>
          </rPr>
          <t xml:space="preserve">IR 35 (1814)
</t>
        </r>
        <r>
          <rPr>
            <sz val="14"/>
            <color rgb="FF000000"/>
            <rFont val="Calibri"/>
            <family val="34"/>
          </rPr>
          <t xml:space="preserve">IR 18 (1814-1817)
</t>
        </r>
        <r>
          <rPr>
            <sz val="14"/>
            <color rgb="FF000000"/>
            <rFont val="Calibri"/>
            <family val="34"/>
          </rPr>
          <t>IR 35 (1817-1820)</t>
        </r>
      </text>
    </comment>
    <comment ref="BF756" authorId="0" shapeId="0" xr:uid="{F84D549A-B02C-344D-9D20-D280C7506355}">
      <text>
        <r>
          <rPr>
            <sz val="14"/>
            <color rgb="FF000000"/>
            <rFont val="Times New Roman"/>
            <family val="18"/>
          </rPr>
          <t xml:space="preserve">17/02/1814 </t>
        </r>
        <r>
          <rPr>
            <i/>
            <sz val="14"/>
            <color rgb="FF000000"/>
            <rFont val="Times New Roman"/>
            <family val="18"/>
          </rPr>
          <t>Ohne Capitulation von Lande gestellt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10/07/1817 </t>
        </r>
        <r>
          <rPr>
            <i/>
            <sz val="14"/>
            <color rgb="FF000000"/>
            <rFont val="Times New Roman"/>
            <family val="18"/>
          </rPr>
          <t>Als Reale Invalid superarbietriert</t>
        </r>
        <r>
          <rPr>
            <sz val="14"/>
            <color rgb="FF000000"/>
            <rFont val="Times New Roman"/>
            <family val="18"/>
          </rPr>
          <t xml:space="preserve"> [SUP Juli 1817]</t>
        </r>
        <r>
          <rPr>
            <sz val="14"/>
            <color rgb="FF000000"/>
            <rFont val="Calibri"/>
            <family val="34"/>
          </rPr>
          <t xml:space="preserve">
</t>
        </r>
        <r>
          <rPr>
            <sz val="14"/>
            <color rgb="FF000000"/>
            <rFont val="Times New Roman"/>
            <family val="18"/>
          </rPr>
          <t xml:space="preserve">01/08/1817 </t>
        </r>
        <r>
          <rPr>
            <i/>
            <sz val="14"/>
            <color rgb="FF000000"/>
            <rFont val="Times New Roman"/>
            <family val="18"/>
          </rPr>
          <t>Von Feuergewehrstand zum obligante Fourierschütz übersetzt</t>
        </r>
        <r>
          <rPr>
            <sz val="14"/>
            <color rgb="FF000000"/>
            <rFont val="Times New Roman"/>
            <family val="18"/>
          </rPr>
          <t xml:space="preserve"> [ML 1817]</t>
        </r>
        <r>
          <rPr>
            <sz val="14"/>
            <color rgb="FF000000"/>
            <rFont val="Calibri"/>
            <family val="34"/>
          </rPr>
          <t xml:space="preserve">
</t>
        </r>
        <r>
          <rPr>
            <sz val="14"/>
            <color rgb="FF000000"/>
            <rFont val="Times New Roman"/>
            <family val="18"/>
          </rPr>
          <t>29/10/1817 Muster: IR 34 13. Fus. Komp. Nr. 15</t>
        </r>
        <r>
          <rPr>
            <sz val="14"/>
            <color rgb="FF000000"/>
            <rFont val="Calibri"/>
            <family val="34"/>
          </rPr>
          <t xml:space="preserve">
</t>
        </r>
        <r>
          <rPr>
            <sz val="14"/>
            <color rgb="FF000000"/>
            <rFont val="Times New Roman"/>
            <family val="18"/>
          </rPr>
          <t>13/10/1818 Muster: IR 34 13. Fus. Komp. Nr. 26</t>
        </r>
        <r>
          <rPr>
            <sz val="14"/>
            <color rgb="FF000000"/>
            <rFont val="Calibri"/>
            <family val="34"/>
          </rPr>
          <t xml:space="preserve">
</t>
        </r>
        <r>
          <rPr>
            <sz val="14"/>
            <color rgb="FF000000"/>
            <rFont val="Times New Roman"/>
            <family val="18"/>
          </rPr>
          <t>30/09/1819 Muster: IR 34 13. Fus. Komp. Nr. 22</t>
        </r>
        <r>
          <rPr>
            <sz val="14"/>
            <color rgb="FF000000"/>
            <rFont val="Calibri"/>
            <family val="34"/>
          </rPr>
          <t xml:space="preserve">
</t>
        </r>
        <r>
          <rPr>
            <sz val="14"/>
            <color rgb="FF000000"/>
            <rFont val="Times New Roman"/>
            <family val="18"/>
          </rPr>
          <t>05/09/1820 Muster: IR 34 13. Fus. Komp. Nr. 19</t>
        </r>
        <r>
          <rPr>
            <sz val="14"/>
            <color rgb="FF000000"/>
            <rFont val="Calibri"/>
            <family val="34"/>
          </rPr>
          <t xml:space="preserve">
</t>
        </r>
      </text>
    </comment>
    <comment ref="BG756" authorId="0" shapeId="0" xr:uid="{A511F64E-8E1F-1345-A15B-90B637D6F3EF}">
      <text>
        <r>
          <rPr>
            <sz val="14"/>
            <color rgb="FF000000"/>
            <rFont val="Times New Roman"/>
            <family val="18"/>
          </rPr>
          <t>ML 3085/6 IR 34 (1817) – 13. Fus. Komp. Nr. 15 (Venice 29/10/1817)</t>
        </r>
        <r>
          <rPr>
            <sz val="14"/>
            <color rgb="FF000000"/>
            <rFont val="Calibri"/>
            <family val="34"/>
          </rPr>
          <t xml:space="preserve">
</t>
        </r>
        <r>
          <rPr>
            <sz val="14"/>
            <color rgb="FF000000"/>
            <rFont val="Times New Roman"/>
            <family val="18"/>
          </rPr>
          <t xml:space="preserve">ML 3087/8 IR 34 (1818) – 13. Fus. Komp. Nr. 26 (Chiogga 13/10/1818) </t>
        </r>
        <r>
          <rPr>
            <sz val="14"/>
            <color rgb="FF000000"/>
            <rFont val="Calibri"/>
            <family val="34"/>
          </rPr>
          <t xml:space="preserve">
</t>
        </r>
        <r>
          <rPr>
            <sz val="14"/>
            <color rgb="FF000000"/>
            <rFont val="Times New Roman"/>
            <family val="18"/>
          </rPr>
          <t>ML 3089/90 (1819) – 13. Fus. Komp. Nr. 22 (Venice 30/09/1819)</t>
        </r>
        <r>
          <rPr>
            <sz val="14"/>
            <color rgb="FF000000"/>
            <rFont val="Calibri"/>
            <family val="34"/>
          </rPr>
          <t xml:space="preserve">
</t>
        </r>
        <r>
          <rPr>
            <sz val="14"/>
            <color rgb="FF000000"/>
            <rFont val="Times New Roman"/>
            <family val="18"/>
          </rPr>
          <t>ML 3091/2 (1820) – 13. Fus. Komp. Nr. 19 (Lido 05/09/1820)</t>
        </r>
        <r>
          <rPr>
            <sz val="14"/>
            <color rgb="FF000000"/>
            <rFont val="Calibri"/>
            <family val="34"/>
          </rPr>
          <t xml:space="preserve">
</t>
        </r>
        <r>
          <rPr>
            <sz val="14"/>
            <color rgb="FF000000"/>
            <rFont val="Times New Roman"/>
            <family val="18"/>
          </rPr>
          <t xml:space="preserve">ML 3155 IR 34 (1817) – SUP Nr. 3 (Venice 10/07/1817) </t>
        </r>
        <r>
          <rPr>
            <sz val="14"/>
            <color rgb="FF000000"/>
            <rFont val="Calibri"/>
            <family val="34"/>
          </rPr>
          <t xml:space="preserve">
</t>
        </r>
        <r>
          <rPr>
            <sz val="14"/>
            <color rgb="FF000000"/>
            <rFont val="Calibri"/>
            <family val="34"/>
          </rPr>
          <t xml:space="preserve">
</t>
        </r>
        <r>
          <rPr>
            <sz val="14"/>
            <color rgb="FF000000"/>
            <rFont val="Calibri"/>
            <family val="34"/>
          </rPr>
          <t xml:space="preserve">
</t>
        </r>
      </text>
    </comment>
    <comment ref="BH756" authorId="0" shapeId="0" xr:uid="{2EDB466E-77A6-DC4E-B5C4-EB8F22A2F0D2}">
      <text>
        <r>
          <rPr>
            <sz val="14"/>
            <color rgb="FF000000"/>
            <rFont val="Calibri"/>
            <family val="34"/>
          </rPr>
          <t>IR 34 (1814-1820)</t>
        </r>
      </text>
    </comment>
    <comment ref="BI756" authorId="0" shapeId="0" xr:uid="{8441A407-5DC8-8F49-B445-EEDCBD706E8B}">
      <text>
        <r>
          <rPr>
            <sz val="14"/>
            <color rgb="FF000000"/>
            <rFont val="Calibri"/>
            <family val="34"/>
          </rPr>
          <t>Gut [SUP Juli 1817]</t>
        </r>
      </text>
    </comment>
    <comment ref="BJ756" authorId="0" shapeId="0" xr:uid="{6CF0C08E-9697-0E4D-80D3-7B1428237D5E}">
      <text>
        <r>
          <rPr>
            <i/>
            <sz val="14"/>
            <color rgb="FF000000"/>
            <rFont val="Times New Roman"/>
            <family val="18"/>
          </rPr>
          <t>Mangel am Zahnen und mit Brust schwache belastet</t>
        </r>
        <r>
          <rPr>
            <sz val="14"/>
            <color rgb="FF000000"/>
            <rFont val="Calibri"/>
            <family val="2"/>
          </rPr>
          <t xml:space="preserve"> </t>
        </r>
        <r>
          <rPr>
            <sz val="14"/>
            <color rgb="FF000000"/>
            <rFont val="Times New Roman"/>
            <family val="18"/>
          </rPr>
          <t>[SUP Juli 1817]</t>
        </r>
      </text>
    </comment>
    <comment ref="BF757" authorId="0" shapeId="0" xr:uid="{5B48DBF0-7B6F-3C4E-A3AC-0782FC1AF34D}">
      <text>
        <r>
          <rPr>
            <sz val="14"/>
            <color rgb="FF000000"/>
            <rFont val="Times New Roman"/>
            <family val="18"/>
          </rPr>
          <t xml:space="preserve">24/02/1814 </t>
        </r>
        <r>
          <rPr>
            <i/>
            <sz val="14"/>
            <color rgb="FF000000"/>
            <rFont val="Times New Roman"/>
            <family val="18"/>
          </rPr>
          <t>Gegen 3Fl Handgeld als landständischer Rekrut um IR 61 auf beständig assentiert und zur 18. Kompanie eingeheilt</t>
        </r>
        <r>
          <rPr>
            <sz val="14"/>
            <color rgb="FF000000"/>
            <rFont val="Times New Roman"/>
            <family val="18"/>
          </rPr>
          <t xml:space="preserve"> [AL Feb 1814]</t>
        </r>
        <r>
          <rPr>
            <sz val="14"/>
            <color rgb="FF000000"/>
            <rFont val="Calibri"/>
            <family val="34"/>
          </rPr>
          <t xml:space="preserve">
</t>
        </r>
      </text>
    </comment>
    <comment ref="BG757" authorId="0" shapeId="0" xr:uid="{788F6925-D0B9-9846-9A3F-E9D61C21059C}">
      <text>
        <r>
          <rPr>
            <sz val="14"/>
            <color rgb="FF000000"/>
            <rFont val="Times New Roman"/>
            <family val="18"/>
          </rPr>
          <t>ML 5184 IR 61 (1814) AL/TL – AL. Nr. 2 (Tamesvar 24/02/1814)</t>
        </r>
        <r>
          <rPr>
            <sz val="14"/>
            <color rgb="FF000000"/>
            <rFont val="Calibri"/>
            <family val="34"/>
          </rPr>
          <t xml:space="preserve">
</t>
        </r>
      </text>
    </comment>
    <comment ref="BH757" authorId="0" shapeId="0" xr:uid="{5A3606B2-5355-1A48-B431-6CD9ACB26D59}">
      <text>
        <r>
          <rPr>
            <sz val="14"/>
            <color rgb="FF000000"/>
            <rFont val="Calibri"/>
            <family val="34"/>
          </rPr>
          <t>IR 61 (1814)</t>
        </r>
      </text>
    </comment>
    <comment ref="BF758" authorId="0" shapeId="0" xr:uid="{AAADEA38-FB6D-B642-B388-A3AC78C95BBA}">
      <text>
        <r>
          <rPr>
            <sz val="14"/>
            <color rgb="FF000000"/>
            <rFont val="Times New Roman"/>
            <family val="18"/>
          </rPr>
          <t>01/03/1814 auf 14 Jahren assentiert</t>
        </r>
        <r>
          <rPr>
            <sz val="14"/>
            <color rgb="FF000000"/>
            <rFont val="Calibri"/>
            <family val="34"/>
          </rPr>
          <t xml:space="preserve">
</t>
        </r>
        <r>
          <rPr>
            <sz val="14"/>
            <color rgb="FF000000"/>
            <rFont val="Times New Roman"/>
            <family val="18"/>
          </rPr>
          <t>22/09/1819 Musterung: HR 10 Obrist 2. Esk Nr. 62</t>
        </r>
        <r>
          <rPr>
            <sz val="14"/>
            <color rgb="FF000000"/>
            <rFont val="Calibri"/>
            <family val="34"/>
          </rPr>
          <t xml:space="preserve">
</t>
        </r>
      </text>
    </comment>
    <comment ref="BG758" authorId="0" shapeId="0" xr:uid="{A36BC39E-83C8-1F4A-8D6C-54AD587E87C2}">
      <text>
        <r>
          <rPr>
            <sz val="14"/>
            <color rgb="FF000000"/>
            <rFont val="Times New Roman"/>
            <family val="18"/>
          </rPr>
          <t>ML 7746 HR 10 (1819): Obrist 1. Esk. Nr. 62 (Jolsva 22/09/1819)</t>
        </r>
      </text>
    </comment>
    <comment ref="BH758" authorId="0" shapeId="0" xr:uid="{26389853-A622-3C42-A82C-D1004A7CBE73}">
      <text>
        <r>
          <rPr>
            <sz val="14"/>
            <color rgb="FF000000"/>
            <rFont val="Calibri"/>
            <family val="34"/>
          </rPr>
          <t>HR 2 (1814-19)</t>
        </r>
      </text>
    </comment>
    <comment ref="I759" authorId="0" shapeId="0" xr:uid="{7B419E6D-160D-5644-BAFC-E124FE70762D}">
      <text>
        <r>
          <rPr>
            <sz val="14"/>
            <color rgb="FF000000"/>
            <rFont val="Calibri"/>
            <family val="34"/>
          </rPr>
          <t xml:space="preserve">1789 [28 (1817)
</t>
        </r>
        <r>
          <rPr>
            <sz val="14"/>
            <color rgb="FF000000"/>
            <rFont val="Calibri"/>
            <family val="34"/>
          </rPr>
          <t xml:space="preserve">1791 [23 (1814)] </t>
        </r>
      </text>
    </comment>
    <comment ref="T759" authorId="0" shapeId="0" xr:uid="{78E1022A-0E92-D644-AE7B-2D81A9144585}">
      <text>
        <r>
          <rPr>
            <sz val="14"/>
            <color rgb="FF000000"/>
            <rFont val="Calibri"/>
            <family val="34"/>
          </rPr>
          <t xml:space="preserve">5.3.2 [166.33] [AL 1814)
</t>
        </r>
        <r>
          <rPr>
            <sz val="14"/>
            <color rgb="FF000000"/>
            <rFont val="Calibri"/>
            <family val="34"/>
          </rPr>
          <t>5.4 [168.52] (ML 1814)</t>
        </r>
      </text>
    </comment>
    <comment ref="BF759" authorId="0" shapeId="0" xr:uid="{F15D1C8B-460A-9544-BC6B-1BABAC8D747F}">
      <text>
        <r>
          <rPr>
            <sz val="14"/>
            <color rgb="FFFF0000"/>
            <rFont val="Times New Roman"/>
            <family val="18"/>
          </rPr>
          <t xml:space="preserve">17/02/1814 </t>
        </r>
        <r>
          <rPr>
            <i/>
            <sz val="14"/>
            <color rgb="FFFF0000"/>
            <rFont val="Times New Roman"/>
            <family val="18"/>
          </rPr>
          <t>Ohne Capitulation zu Peterwardin assentiert</t>
        </r>
        <r>
          <rPr>
            <sz val="14"/>
            <color rgb="FFFF0000"/>
            <rFont val="Times New Roman"/>
            <family val="18"/>
          </rPr>
          <t xml:space="preserve"> [ML 1817]</t>
        </r>
        <r>
          <rPr>
            <sz val="14"/>
            <color rgb="FF000000"/>
            <rFont val="Calibri"/>
            <family val="34"/>
          </rPr>
          <t xml:space="preserve">
</t>
        </r>
        <r>
          <rPr>
            <sz val="14"/>
            <color rgb="FF000000"/>
            <rFont val="Times New Roman"/>
            <family val="18"/>
          </rPr>
          <t xml:space="preserve">06/03/1814 </t>
        </r>
        <r>
          <rPr>
            <i/>
            <sz val="14"/>
            <color rgb="FF000000"/>
            <rFont val="Times New Roman"/>
            <family val="18"/>
          </rPr>
          <t xml:space="preserve">Gegen 10Fl Handgeld gestellt in Peterwardein </t>
        </r>
        <r>
          <rPr>
            <b/>
            <sz val="14"/>
            <color rgb="FF000000"/>
            <rFont val="Times New Roman"/>
            <family val="18"/>
          </rPr>
          <t>[Petrovaradin, Serbia]</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r>
          <rPr>
            <sz val="14"/>
            <color rgb="FF000000"/>
            <rFont val="Times New Roman"/>
            <family val="18"/>
          </rPr>
          <t>01/10/1817 Muster: IR 52 16. Fus. Komp. Nr. 144</t>
        </r>
        <r>
          <rPr>
            <sz val="14"/>
            <color rgb="FF000000"/>
            <rFont val="Calibri"/>
            <family val="34"/>
          </rPr>
          <t xml:space="preserve">
</t>
        </r>
      </text>
    </comment>
    <comment ref="BG759" authorId="0" shapeId="0" xr:uid="{C12B8CED-7D94-8342-94D4-E591A15294AD}">
      <text>
        <r>
          <rPr>
            <sz val="14"/>
            <color rgb="FF000000"/>
            <rFont val="Times New Roman"/>
            <family val="18"/>
          </rPr>
          <t>ML 5185 IR 52 (1814) AL/TL – AL. Nr. 4 (Peterwardein 06/03/1814)</t>
        </r>
        <r>
          <rPr>
            <sz val="14"/>
            <color rgb="FF000000"/>
            <rFont val="Calibri"/>
            <family val="34"/>
          </rPr>
          <t xml:space="preserve">
</t>
        </r>
        <r>
          <rPr>
            <sz val="14"/>
            <color rgb="FF000000"/>
            <rFont val="Times New Roman"/>
            <family val="18"/>
          </rPr>
          <t>ML 4410/1 IR 52 (1817) – 16. Fus. Komp. Nr. 144 (Verona 01/10/1814)</t>
        </r>
        <r>
          <rPr>
            <sz val="14"/>
            <color rgb="FF000000"/>
            <rFont val="Calibri"/>
            <family val="34"/>
          </rPr>
          <t xml:space="preserve">
</t>
        </r>
      </text>
    </comment>
    <comment ref="BH759" authorId="0" shapeId="0" xr:uid="{131710FC-926F-2D44-BD7A-CE8AC7B25C21}">
      <text>
        <r>
          <rPr>
            <sz val="14"/>
            <color rgb="FF000000"/>
            <rFont val="Calibri"/>
            <family val="34"/>
          </rPr>
          <t>IR 52 (1814-1817)</t>
        </r>
      </text>
    </comment>
    <comment ref="BF760" authorId="0" shapeId="0" xr:uid="{96C012B8-BC21-4246-9677-75CABCB8851B}">
      <text>
        <r>
          <rPr>
            <sz val="14"/>
            <color rgb="FF000000"/>
            <rFont val="Times New Roman"/>
            <family val="18"/>
          </rPr>
          <t xml:space="preserve">08/03/1814 </t>
        </r>
        <r>
          <rPr>
            <i/>
            <sz val="14"/>
            <color rgb="FF000000"/>
            <rFont val="Times New Roman"/>
            <family val="18"/>
          </rPr>
          <t xml:space="preserve">Gegen 10Fl Handgeld zum HR 6 ‚Blankenstein‘ auf beständig assentiert </t>
        </r>
        <r>
          <rPr>
            <sz val="14"/>
            <color rgb="FF000000"/>
            <rFont val="Times New Roman"/>
            <family val="18"/>
          </rPr>
          <t>[AL Feb 1814]</t>
        </r>
        <r>
          <rPr>
            <sz val="14"/>
            <color rgb="FF000000"/>
            <rFont val="Calibri"/>
            <family val="34"/>
          </rPr>
          <t xml:space="preserve">
</t>
        </r>
      </text>
    </comment>
    <comment ref="BG760" authorId="0" shapeId="0" xr:uid="{74AAC26E-E9BF-B740-B444-D706C7A8F315}">
      <text>
        <r>
          <rPr>
            <sz val="14"/>
            <color rgb="FF000000"/>
            <rFont val="Times New Roman"/>
            <family val="18"/>
          </rPr>
          <t>ML 5184 IR 61 (1814) AL/TL – AL. Nr. 2 (Arad 20/04/1814)</t>
        </r>
        <r>
          <rPr>
            <sz val="14"/>
            <color rgb="FF000000"/>
            <rFont val="Calibri"/>
            <family val="34"/>
          </rPr>
          <t xml:space="preserve">
</t>
        </r>
      </text>
    </comment>
    <comment ref="BH760" authorId="0" shapeId="0" xr:uid="{E7C13A16-5E36-DD45-8A85-2AB4C73DD21D}">
      <text>
        <r>
          <rPr>
            <sz val="14"/>
            <color rgb="FF000000"/>
            <rFont val="Calibri"/>
            <family val="34"/>
          </rPr>
          <t>HR 6 (1814)</t>
        </r>
      </text>
    </comment>
    <comment ref="I761" authorId="0" shapeId="0" xr:uid="{52520589-DF00-6B4C-B9CF-40D725B0D246}">
      <text>
        <r>
          <rPr>
            <sz val="14"/>
            <color rgb="FF000000"/>
            <rFont val="Calibri"/>
            <family val="34"/>
          </rPr>
          <t xml:space="preserve">1788 [30 (1818)]
</t>
        </r>
        <r>
          <rPr>
            <sz val="14"/>
            <color rgb="FF000000"/>
            <rFont val="Calibri"/>
            <family val="34"/>
          </rPr>
          <t xml:space="preserve">OR 
</t>
        </r>
        <r>
          <rPr>
            <sz val="14"/>
            <color rgb="FF000000"/>
            <rFont val="Calibri"/>
            <family val="34"/>
          </rPr>
          <t>1778 [41 (1819)]</t>
        </r>
      </text>
    </comment>
    <comment ref="BF761" authorId="0" shapeId="0" xr:uid="{D063D940-AE7A-A644-B381-44F89F052F36}">
      <text>
        <r>
          <rPr>
            <sz val="14"/>
            <color rgb="FF000000"/>
            <rFont val="Times New Roman"/>
            <family val="18"/>
          </rPr>
          <t xml:space="preserve">15/03/1814 </t>
        </r>
        <r>
          <rPr>
            <i/>
            <sz val="14"/>
            <color rgb="FF000000"/>
            <rFont val="Times New Roman"/>
            <family val="18"/>
          </rPr>
          <t>A 3Fl Handgeld von land gestellt und auf Beständig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26/03/1814 </t>
        </r>
        <r>
          <rPr>
            <i/>
            <sz val="14"/>
            <color rgb="FF000000"/>
            <rFont val="Times New Roman"/>
            <family val="18"/>
          </rPr>
          <t>von Baron Spleny Inf. Regiment</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 xml:space="preserve">anhero </t>
        </r>
        <r>
          <rPr>
            <b/>
            <sz val="14"/>
            <color rgb="FF000000"/>
            <rFont val="Times New Roman"/>
            <family val="18"/>
          </rPr>
          <t>[IR 62]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02/11/1818 Muster: IR 62 13. Fus. Komp. Nr. 245 [</t>
        </r>
        <r>
          <rPr>
            <i/>
            <sz val="14"/>
            <color rgb="FF000000"/>
            <rFont val="Times New Roman"/>
            <family val="18"/>
          </rPr>
          <t>Beurlaubt bis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25/10/1819 Muster: IR 62 13. Fus. Komp. Nr. 223 [</t>
        </r>
        <r>
          <rPr>
            <i/>
            <sz val="14"/>
            <color rgb="FF000000"/>
            <rFont val="Times New Roman"/>
            <family val="18"/>
          </rPr>
          <t>Beurlaubt bis zur Exercierzeit in seinem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31/05/1820 </t>
        </r>
        <r>
          <rPr>
            <i/>
            <sz val="14"/>
            <color rgb="FF000000"/>
            <rFont val="Times New Roman"/>
            <family val="18"/>
          </rPr>
          <t>Von Urlaub desertiert</t>
        </r>
        <r>
          <rPr>
            <sz val="14"/>
            <color rgb="FF000000"/>
            <rFont val="Times New Roman"/>
            <family val="18"/>
          </rPr>
          <t xml:space="preserve"> [RL 1820] </t>
        </r>
      </text>
    </comment>
    <comment ref="BG761" authorId="0" shapeId="0" xr:uid="{2B9E2005-7F28-5247-B47B-C3505EA6C4EC}">
      <text>
        <r>
          <rPr>
            <sz val="14"/>
            <color rgb="FF000000"/>
            <rFont val="Times New Roman"/>
            <family val="18"/>
          </rPr>
          <t>ML 5213/4 IR 62 (1818) – 13. Fus. Komp. Nr. 245 (Hermannstadt 02/11/1818)</t>
        </r>
        <r>
          <rPr>
            <sz val="14"/>
            <color rgb="FF000000"/>
            <rFont val="Calibri"/>
            <family val="34"/>
          </rPr>
          <t xml:space="preserve">
</t>
        </r>
        <r>
          <rPr>
            <sz val="14"/>
            <color rgb="FF000000"/>
            <rFont val="Times New Roman"/>
            <family val="18"/>
          </rPr>
          <t>ML 5215/6 IR 62 (1819) – 13. Fus. Komp. Nr. 223 (Kronstadt 25/10/1819)</t>
        </r>
        <r>
          <rPr>
            <sz val="14"/>
            <color rgb="FF000000"/>
            <rFont val="Calibri"/>
            <family val="34"/>
          </rPr>
          <t xml:space="preserve">
</t>
        </r>
        <r>
          <rPr>
            <sz val="14"/>
            <color rgb="FF000000"/>
            <rFont val="Times New Roman"/>
            <family val="18"/>
          </rPr>
          <t>ML 5217 IR 62 (1820) – 13. Fus. Komp. Abgang (Cronstadt 16/10/1820)</t>
        </r>
        <r>
          <rPr>
            <sz val="14"/>
            <color rgb="FF000000"/>
            <rFont val="Calibri"/>
            <family val="34"/>
          </rPr>
          <t xml:space="preserve">
</t>
        </r>
      </text>
    </comment>
    <comment ref="BH761" authorId="0" shapeId="0" xr:uid="{CC24E80E-B24D-414A-A1CA-9C96892BAA91}">
      <text>
        <r>
          <rPr>
            <sz val="14"/>
            <color rgb="FF000000"/>
            <rFont val="Calibri"/>
            <family val="34"/>
          </rPr>
          <t xml:space="preserve">IR 51 (1814)
</t>
        </r>
        <r>
          <rPr>
            <sz val="14"/>
            <color rgb="FF000000"/>
            <rFont val="Calibri"/>
            <family val="34"/>
          </rPr>
          <t>IR 62 (1814-1819)</t>
        </r>
      </text>
    </comment>
    <comment ref="BF762" authorId="0" shapeId="0" xr:uid="{44843995-B007-E34B-BA14-50FEB35D01A2}">
      <text>
        <r>
          <rPr>
            <sz val="14"/>
            <color rgb="FF000000"/>
            <rFont val="Times New Roman"/>
            <family val="18"/>
          </rPr>
          <t>19/03/1814</t>
        </r>
        <r>
          <rPr>
            <i/>
            <sz val="14"/>
            <color rgb="FF000000"/>
            <rFont val="Times New Roman"/>
            <family val="18"/>
          </rPr>
          <t xml:space="preserve"> Als landständischer Rekrut für königliche Freystadt Tamesvar Ort Kammeral gegen 90Fl Handgeld freiwillig engagiert und zum IR 61 ‚St Julien‘ in Tamesvar auf beständig assentiert </t>
        </r>
        <r>
          <rPr>
            <sz val="14"/>
            <color rgb="FF000000"/>
            <rFont val="Times New Roman"/>
            <family val="18"/>
          </rPr>
          <t>[AL March 1814]</t>
        </r>
        <r>
          <rPr>
            <sz val="14"/>
            <color rgb="FF000000"/>
            <rFont val="Calibri"/>
            <family val="34"/>
          </rPr>
          <t xml:space="preserve">
</t>
        </r>
      </text>
    </comment>
    <comment ref="BG762" authorId="0" shapeId="0" xr:uid="{D06A6CF6-5A53-B740-A696-8AE209B5D71A}">
      <text>
        <r>
          <rPr>
            <sz val="14"/>
            <color rgb="FF000000"/>
            <rFont val="Times New Roman"/>
            <family val="18"/>
          </rPr>
          <t>ML 5184 IR 61 (1814) AL/TL – AL. Nr. 1 (Tamesvar 25/03/1814)</t>
        </r>
        <r>
          <rPr>
            <sz val="14"/>
            <color rgb="FF000000"/>
            <rFont val="Calibri"/>
            <family val="34"/>
          </rPr>
          <t xml:space="preserve">
</t>
        </r>
      </text>
    </comment>
    <comment ref="BH762" authorId="0" shapeId="0" xr:uid="{88770C95-EFCC-2F4F-8710-A38F2A9EDF7F}">
      <text>
        <r>
          <rPr>
            <sz val="14"/>
            <color rgb="FF000000"/>
            <rFont val="Calibri"/>
            <family val="34"/>
          </rPr>
          <t>IR 61 (1814)</t>
        </r>
      </text>
    </comment>
    <comment ref="BF763" authorId="0" shapeId="0" xr:uid="{26EA8369-6691-9742-A467-58F27C8154CC}">
      <text>
        <r>
          <rPr>
            <sz val="14"/>
            <color rgb="FF000000"/>
            <rFont val="Times New Roman"/>
            <family val="18"/>
          </rPr>
          <t xml:space="preserve">23/03/1814 </t>
        </r>
        <r>
          <rPr>
            <i/>
            <sz val="14"/>
            <color rgb="FF000000"/>
            <rFont val="Times New Roman"/>
            <family val="18"/>
          </rPr>
          <t xml:space="preserve">Als landständischer Rekrut für Grosz Sant Miklos gegen 10Fl Handgeldgstelt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text>
    </comment>
    <comment ref="BG763" authorId="0" shapeId="0" xr:uid="{16FFA504-79D9-494C-8A80-636A23B4CE61}">
      <text>
        <r>
          <rPr>
            <sz val="14"/>
            <color rgb="FF000000"/>
            <rFont val="Times New Roman"/>
            <family val="18"/>
          </rPr>
          <t>ML 5184 IR 61 (1814) AL/TL – AL. Nr. 1 (Grosz St. Miklos 26/03/1814)</t>
        </r>
        <r>
          <rPr>
            <sz val="14"/>
            <color rgb="FF000000"/>
            <rFont val="Calibri"/>
            <family val="34"/>
          </rPr>
          <t xml:space="preserve">
</t>
        </r>
      </text>
    </comment>
    <comment ref="BH763" authorId="0" shapeId="0" xr:uid="{E729D59A-F196-664A-B536-BF4B15D70F1F}">
      <text>
        <r>
          <rPr>
            <sz val="14"/>
            <color rgb="FF000000"/>
            <rFont val="Calibri"/>
            <family val="34"/>
          </rPr>
          <t>IR 61 (1814)</t>
        </r>
      </text>
    </comment>
    <comment ref="BF764" authorId="0" shapeId="0" xr:uid="{D21D6521-97B6-774B-AAF8-0E160AA0F953}">
      <text>
        <r>
          <rPr>
            <sz val="14"/>
            <color rgb="FF000000"/>
            <rFont val="Times New Roman"/>
            <family val="18"/>
          </rPr>
          <t xml:space="preserve">23/03/1814 </t>
        </r>
        <r>
          <rPr>
            <i/>
            <sz val="14"/>
            <color rgb="FF000000"/>
            <rFont val="Times New Roman"/>
            <family val="18"/>
          </rPr>
          <t xml:space="preserve">Als landständischer Rekrut gegen 10Fl Handgeld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text>
    </comment>
    <comment ref="BG764" authorId="0" shapeId="0" xr:uid="{CB5F9EC2-FB23-954D-A924-04F6D6A0F39B}">
      <text>
        <r>
          <rPr>
            <sz val="14"/>
            <color rgb="FF000000"/>
            <rFont val="Times New Roman"/>
            <family val="18"/>
          </rPr>
          <t>ML 5184 IR 61 (1814) AL/TL – AL. Nr. 1 (Grosz St. Miklos 24/03/1814)</t>
        </r>
        <r>
          <rPr>
            <sz val="14"/>
            <color rgb="FF000000"/>
            <rFont val="Calibri"/>
            <family val="34"/>
          </rPr>
          <t xml:space="preserve">
</t>
        </r>
      </text>
    </comment>
    <comment ref="BH764" authorId="0" shapeId="0" xr:uid="{4E148119-A21E-3045-ADA8-E05B24693563}">
      <text>
        <r>
          <rPr>
            <sz val="14"/>
            <color rgb="FF000000"/>
            <rFont val="Calibri"/>
            <family val="34"/>
          </rPr>
          <t>IR 61 (1814)</t>
        </r>
      </text>
    </comment>
    <comment ref="BF765" authorId="0" shapeId="0" xr:uid="{78DECAE0-DCCE-534C-B395-BF93E63550AE}">
      <text>
        <r>
          <rPr>
            <sz val="14"/>
            <color rgb="FF000000"/>
            <rFont val="Times New Roman"/>
            <family val="18"/>
          </rPr>
          <t xml:space="preserve">31/03/1814 </t>
        </r>
        <r>
          <rPr>
            <i/>
            <sz val="14"/>
            <color rgb="FF000000"/>
            <rFont val="Times New Roman"/>
            <family val="18"/>
          </rPr>
          <t>A 3Fl Handgeld von Land gestellt</t>
        </r>
        <r>
          <rPr>
            <sz val="14"/>
            <color rgb="FF000000"/>
            <rFont val="Times New Roman"/>
            <family val="18"/>
          </rPr>
          <t xml:space="preserve"> [TL Aug 1815]</t>
        </r>
        <r>
          <rPr>
            <sz val="14"/>
            <color rgb="FF000000"/>
            <rFont val="Calibri"/>
            <family val="34"/>
          </rPr>
          <t xml:space="preserve">
</t>
        </r>
        <r>
          <rPr>
            <sz val="14"/>
            <color rgb="FF000000"/>
            <rFont val="Times New Roman"/>
            <family val="18"/>
          </rPr>
          <t xml:space="preserve">11/10/1814 </t>
        </r>
        <r>
          <rPr>
            <i/>
            <sz val="14"/>
            <color rgb="FF000000"/>
            <rFont val="Times New Roman"/>
            <family val="18"/>
          </rPr>
          <t>Von IR 24 zum GB 5 transferiert</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26/11/1816 </t>
        </r>
        <r>
          <rPr>
            <i/>
            <sz val="14"/>
            <color rgb="FF000000"/>
            <rFont val="Times New Roman"/>
            <family val="18"/>
          </rPr>
          <t>In Bataillon eingerückt und zum 4. Komp. eingeteilt</t>
        </r>
        <r>
          <rPr>
            <sz val="14"/>
            <color rgb="FF000000"/>
            <rFont val="Times New Roman"/>
            <family val="18"/>
          </rPr>
          <t xml:space="preserve"> [ST Nov 1814]</t>
        </r>
        <r>
          <rPr>
            <sz val="14"/>
            <color rgb="FF000000"/>
            <rFont val="Calibri"/>
            <family val="34"/>
          </rPr>
          <t xml:space="preserve">
</t>
        </r>
        <r>
          <rPr>
            <sz val="14"/>
            <color rgb="FF000000"/>
            <rFont val="Times New Roman"/>
            <family val="18"/>
          </rPr>
          <t xml:space="preserve">20/04/1815 </t>
        </r>
        <r>
          <rPr>
            <i/>
            <sz val="14"/>
            <color rgb="FF000000"/>
            <rFont val="Times New Roman"/>
            <family val="18"/>
          </rPr>
          <t>Von GB 5 4. Komp. zum neu errichtete HFS 48 transferiert</t>
        </r>
        <r>
          <rPr>
            <sz val="14"/>
            <color rgb="FF000000"/>
            <rFont val="Times New Roman"/>
            <family val="18"/>
          </rPr>
          <t xml:space="preserve"> [TL Aug 1815]</t>
        </r>
        <r>
          <rPr>
            <sz val="14"/>
            <color rgb="FF000000"/>
            <rFont val="Calibri"/>
            <family val="34"/>
          </rPr>
          <t xml:space="preserve">
</t>
        </r>
        <r>
          <rPr>
            <sz val="14"/>
            <color rgb="FF000000"/>
            <rFont val="Times New Roman"/>
            <family val="18"/>
          </rPr>
          <t xml:space="preserve">21/09/1815 </t>
        </r>
        <r>
          <rPr>
            <i/>
            <sz val="14"/>
            <color rgb="FF000000"/>
            <rFont val="Times New Roman"/>
            <family val="18"/>
          </rPr>
          <t xml:space="preserve">Von HFS 48 zum HFS 44 transferiert </t>
        </r>
        <r>
          <rPr>
            <sz val="14"/>
            <color rgb="FF000000"/>
            <rFont val="Times New Roman"/>
            <family val="18"/>
          </rPr>
          <t>[VrpfL Sept 1815 &amp; Verpf Oct 1815]</t>
        </r>
        <r>
          <rPr>
            <sz val="14"/>
            <color rgb="FF000000"/>
            <rFont val="Calibri"/>
            <family val="34"/>
          </rPr>
          <t xml:space="preserve">
</t>
        </r>
        <r>
          <rPr>
            <sz val="14"/>
            <color rgb="FF000000"/>
            <rFont val="Times New Roman"/>
            <family val="18"/>
          </rPr>
          <t xml:space="preserve">01/02/1816 </t>
        </r>
        <r>
          <rPr>
            <i/>
            <sz val="14"/>
            <color rgb="FF000000"/>
            <rFont val="Times New Roman"/>
            <family val="18"/>
          </rPr>
          <t>In Foge Hohe N.Ö General Commando Verordnung det. 13 Jannuar a:C: R 787 zum GB 2 transferiert</t>
        </r>
        <r>
          <rPr>
            <sz val="14"/>
            <color rgb="FF000000"/>
            <rFont val="Times New Roman"/>
            <family val="18"/>
          </rPr>
          <t xml:space="preserve"> [VerpfL Feb 1816]</t>
        </r>
      </text>
    </comment>
    <comment ref="BG765" authorId="0" shapeId="0" xr:uid="{4A224C98-1C82-D844-99DC-452A6D5F8BAD}">
      <text>
        <r>
          <rPr>
            <sz val="14"/>
            <color rgb="FF000000"/>
            <rFont val="Times New Roman"/>
            <family val="18"/>
          </rPr>
          <t>ML 5184 IR 61 (1814) AL/TL – AL. Nr. 1 (Grosz St. Miklos 24/03/1814)</t>
        </r>
        <r>
          <rPr>
            <sz val="14"/>
            <color rgb="FF000000"/>
            <rFont val="Calibri"/>
            <family val="34"/>
          </rPr>
          <t xml:space="preserve">
</t>
        </r>
      </text>
    </comment>
    <comment ref="BH765" authorId="0" shapeId="0" xr:uid="{B25276C0-4E6A-EE47-9D97-1B7F5877E906}">
      <text>
        <r>
          <rPr>
            <sz val="14"/>
            <color rgb="FF000000"/>
            <rFont val="Calibri"/>
            <family val="34"/>
          </rPr>
          <t xml:space="preserve">IR 24 (1814)
</t>
        </r>
        <r>
          <rPr>
            <sz val="14"/>
            <color rgb="FF000000"/>
            <rFont val="Calibri"/>
            <family val="34"/>
          </rPr>
          <t xml:space="preserve">GB 5 (1814-1815)
</t>
        </r>
        <r>
          <rPr>
            <sz val="14"/>
            <color rgb="FF000000"/>
            <rFont val="Calibri"/>
            <family val="34"/>
          </rPr>
          <t xml:space="preserve">HFS 48 (1815)
</t>
        </r>
        <r>
          <rPr>
            <sz val="14"/>
            <color rgb="FF000000"/>
            <rFont val="Calibri"/>
            <family val="34"/>
          </rPr>
          <t xml:space="preserve">HFS 44 (1815-1816)
</t>
        </r>
        <r>
          <rPr>
            <sz val="14"/>
            <color rgb="FF000000"/>
            <rFont val="Calibri"/>
            <family val="34"/>
          </rPr>
          <t>GB 2 (1816)</t>
        </r>
      </text>
    </comment>
    <comment ref="BI765" authorId="0" shapeId="0" xr:uid="{B2C5C82E-A372-5A43-82BD-E8C8E6EFD731}">
      <text>
        <r>
          <rPr>
            <sz val="14"/>
            <color rgb="FF000000"/>
            <rFont val="Calibri"/>
            <family val="34"/>
          </rPr>
          <t>Gut [TL April 1815]</t>
        </r>
      </text>
    </comment>
    <comment ref="BJ765" authorId="0" shapeId="0" xr:uid="{76AFACF0-45DD-CF48-B28A-F4A8EA1C833C}">
      <text>
        <r>
          <rPr>
            <i/>
            <sz val="14"/>
            <color rgb="FF000000"/>
            <rFont val="Times New Roman"/>
            <family val="18"/>
          </rPr>
          <t>Schwache Körperbau und Schache Brust</t>
        </r>
        <r>
          <rPr>
            <sz val="14"/>
            <color rgb="FF000000"/>
            <rFont val="Calibri"/>
            <family val="2"/>
          </rPr>
          <t xml:space="preserve"> </t>
        </r>
        <r>
          <rPr>
            <sz val="14"/>
            <color rgb="FF000000"/>
            <rFont val="Times New Roman"/>
            <family val="18"/>
          </rPr>
          <t>[TL April 1815]</t>
        </r>
      </text>
    </comment>
    <comment ref="BF766" authorId="0" shapeId="0" xr:uid="{A25E15ED-80A0-134F-8C74-D048E278D38F}">
      <text>
        <r>
          <rPr>
            <i/>
            <sz val="14"/>
            <color rgb="FF000000"/>
            <rFont val="Times New Roman"/>
            <family val="18"/>
          </rPr>
          <t>Hat beim Feldt Spital Nr. 21 als Unterarzt durch 1 Jahr gedient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01/04/1815 </t>
        </r>
        <r>
          <rPr>
            <i/>
            <sz val="14"/>
            <color rgb="FF000000"/>
            <rFont val="Times New Roman"/>
            <family val="18"/>
          </rPr>
          <t>Zum HFS 44 als Unterarzt neu assentiert</t>
        </r>
        <r>
          <rPr>
            <sz val="14"/>
            <color rgb="FF000000"/>
            <rFont val="Times New Roman"/>
            <family val="18"/>
          </rPr>
          <t xml:space="preserve"> [AL April 1815]</t>
        </r>
        <r>
          <rPr>
            <sz val="14"/>
            <color rgb="FF000000"/>
            <rFont val="Calibri"/>
            <family val="34"/>
          </rPr>
          <t xml:space="preserve">
</t>
        </r>
        <r>
          <rPr>
            <sz val="14"/>
            <color rgb="FF000000"/>
            <rFont val="Times New Roman"/>
            <family val="18"/>
          </rPr>
          <t xml:space="preserve">31/01/1816 </t>
        </r>
        <r>
          <rPr>
            <i/>
            <sz val="14"/>
            <color rgb="FF000000"/>
            <rFont val="Times New Roman"/>
            <family val="18"/>
          </rPr>
          <t>In Folge Verordnung mit 2er Monatliche Gage entlassen</t>
        </r>
        <r>
          <rPr>
            <sz val="14"/>
            <color rgb="FF000000"/>
            <rFont val="Times New Roman"/>
            <family val="18"/>
          </rPr>
          <t xml:space="preserve"> [Vepf. Jan 1816]</t>
        </r>
      </text>
    </comment>
    <comment ref="BG766" authorId="0" shapeId="0" xr:uid="{D85B9C65-69A6-9640-BC46-62E66667627B}">
      <text>
        <r>
          <rPr>
            <sz val="14"/>
            <color rgb="FF000000"/>
            <rFont val="Times New Roman"/>
            <family val="18"/>
          </rPr>
          <t>ML 12.011 HFS 44 (1815-16) – TL Nr. 3 (Vienna 01/04/1815); VerpfL Jan 1816 (Rohrbach 29/02/1816)</t>
        </r>
        <r>
          <rPr>
            <sz val="14"/>
            <color rgb="FF000000"/>
            <rFont val="Calibri"/>
            <family val="34"/>
          </rPr>
          <t xml:space="preserve">
</t>
        </r>
      </text>
    </comment>
    <comment ref="BH766" authorId="0" shapeId="0" xr:uid="{0FCE15B4-2D99-7441-9529-3B852273F0B4}">
      <text>
        <r>
          <rPr>
            <sz val="14"/>
            <color rgb="FF000000"/>
            <rFont val="Calibri"/>
            <family val="34"/>
          </rPr>
          <t xml:space="preserve">HFS 21 (?1814-?1815)
</t>
        </r>
        <r>
          <rPr>
            <sz val="14"/>
            <color rgb="FF000000"/>
            <rFont val="Calibri"/>
            <family val="34"/>
          </rPr>
          <t>HFS 44 (1815-1816)</t>
        </r>
      </text>
    </comment>
    <comment ref="BF767" authorId="0" shapeId="0" xr:uid="{49A9D84E-948C-AF4A-972D-CBAB679DC0A1}">
      <text>
        <r>
          <rPr>
            <sz val="14"/>
            <color rgb="FF000000"/>
            <rFont val="Times New Roman"/>
            <family val="18"/>
          </rPr>
          <t xml:space="preserve">09/05/1814 </t>
        </r>
        <r>
          <rPr>
            <i/>
            <sz val="14"/>
            <color rgb="FF000000"/>
            <rFont val="Times New Roman"/>
            <family val="18"/>
          </rPr>
          <t xml:space="preserve">Als landständischer Rekrut für Grosz Sant Miklos Herrschaft Josnako gegen 10Fl Handgeld gesattelt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March 1814]</t>
        </r>
        <r>
          <rPr>
            <sz val="14"/>
            <color rgb="FF000000"/>
            <rFont val="Calibri"/>
            <family val="34"/>
          </rPr>
          <t xml:space="preserve">
</t>
        </r>
      </text>
    </comment>
    <comment ref="BG767" authorId="0" shapeId="0" xr:uid="{6745F743-AC5B-234A-B717-9196F9C389DA}">
      <text>
        <r>
          <rPr>
            <sz val="14"/>
            <color rgb="FF000000"/>
            <rFont val="Times New Roman"/>
            <family val="18"/>
          </rPr>
          <t>ML 5185 IR 61 (1814) AL/TL – AL. Nr. 57 (Grosz St. Miklos 09/05/1814)</t>
        </r>
        <r>
          <rPr>
            <sz val="14"/>
            <color rgb="FF000000"/>
            <rFont val="Calibri"/>
            <family val="34"/>
          </rPr>
          <t xml:space="preserve">
</t>
        </r>
      </text>
    </comment>
    <comment ref="BH767" authorId="0" shapeId="0" xr:uid="{DF58E5A8-23D5-9342-ADEF-A6572BA985DD}">
      <text>
        <r>
          <rPr>
            <sz val="14"/>
            <color rgb="FF000000"/>
            <rFont val="Calibri"/>
            <family val="34"/>
          </rPr>
          <t>IR 61 (1814)</t>
        </r>
      </text>
    </comment>
    <comment ref="BF768" authorId="0" shapeId="0" xr:uid="{25EDCF2F-32E9-B140-86ED-C253C8EE6218}">
      <text>
        <r>
          <rPr>
            <sz val="14"/>
            <color rgb="FF000000"/>
            <rFont val="Times New Roman"/>
            <family val="18"/>
          </rPr>
          <t>10/05/1814</t>
        </r>
        <r>
          <rPr>
            <i/>
            <sz val="14"/>
            <color rgb="FF000000"/>
            <rFont val="Times New Roman"/>
            <family val="18"/>
          </rPr>
          <t xml:space="preserve"> Als landständischer Rekrut für Grosz Becskerek gegen 10Fl Handgeld gesttelt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text>
    </comment>
    <comment ref="BG768" authorId="0" shapeId="0" xr:uid="{81FAC06F-8B2C-1049-998B-999C1C68774E}">
      <text>
        <r>
          <rPr>
            <sz val="14"/>
            <color rgb="FF000000"/>
            <rFont val="Times New Roman"/>
            <family val="18"/>
          </rPr>
          <t>ML 5185 IR 61 (1814) AL/TL – AL. Nr. 1 (Grosz St. Miklos 17/05/1814)</t>
        </r>
        <r>
          <rPr>
            <sz val="14"/>
            <color rgb="FF000000"/>
            <rFont val="Calibri"/>
            <family val="34"/>
          </rPr>
          <t xml:space="preserve">
</t>
        </r>
      </text>
    </comment>
    <comment ref="BH768" authorId="0" shapeId="0" xr:uid="{2C21019B-D11A-FE49-B933-0EE26F986EE8}">
      <text>
        <r>
          <rPr>
            <sz val="14"/>
            <color rgb="FF000000"/>
            <rFont val="Calibri"/>
            <family val="34"/>
          </rPr>
          <t>IR 61 (1814)</t>
        </r>
      </text>
    </comment>
    <comment ref="BF769" authorId="0" shapeId="0" xr:uid="{F11BEB1D-6202-8E47-A1C0-63A48957C5E8}">
      <text>
        <r>
          <rPr>
            <sz val="14"/>
            <color rgb="FF000000"/>
            <rFont val="Times New Roman"/>
            <family val="18"/>
          </rPr>
          <t>16/05/1814</t>
        </r>
        <r>
          <rPr>
            <i/>
            <sz val="14"/>
            <color rgb="FF000000"/>
            <rFont val="Times New Roman"/>
            <family val="18"/>
          </rPr>
          <t xml:space="preserve"> Als landständischer Rekrut für Kikinda gegen 10Fl Handgeld gesttelt und zum IR 61 ‚St Julien‘ in Grosz Sant Miklos </t>
        </r>
        <r>
          <rPr>
            <b/>
            <sz val="14"/>
            <color rgb="FF000000"/>
            <rFont val="Times New Roman"/>
            <family val="18"/>
          </rPr>
          <t>[Sânnicolau Mare]</t>
        </r>
        <r>
          <rPr>
            <i/>
            <sz val="14"/>
            <color rgb="FF000000"/>
            <rFont val="Times New Roman"/>
            <family val="18"/>
          </rPr>
          <t xml:space="preserve"> auf beständig assentiert </t>
        </r>
        <r>
          <rPr>
            <sz val="14"/>
            <color rgb="FF000000"/>
            <rFont val="Times New Roman"/>
            <family val="18"/>
          </rPr>
          <t>[AL Mai 1814]</t>
        </r>
        <r>
          <rPr>
            <sz val="14"/>
            <color rgb="FF000000"/>
            <rFont val="Calibri"/>
            <family val="34"/>
          </rPr>
          <t xml:space="preserve">
</t>
        </r>
      </text>
    </comment>
    <comment ref="BG769" authorId="0" shapeId="0" xr:uid="{8C6C19D3-A8DB-E242-9EE1-09BFA29D4E25}">
      <text>
        <r>
          <rPr>
            <sz val="14"/>
            <color rgb="FF000000"/>
            <rFont val="Times New Roman"/>
            <family val="18"/>
          </rPr>
          <t>ML 5185 IR 61 (1814) AL/TL – AL. Nr. 47 (Grosz St. Miklos 18/05/1814)</t>
        </r>
        <r>
          <rPr>
            <sz val="14"/>
            <color rgb="FF000000"/>
            <rFont val="Calibri"/>
            <family val="34"/>
          </rPr>
          <t xml:space="preserve">
</t>
        </r>
      </text>
    </comment>
    <comment ref="BH769" authorId="0" shapeId="0" xr:uid="{D078D74F-197C-1E4B-875B-E6BCC97DB225}">
      <text>
        <r>
          <rPr>
            <sz val="14"/>
            <color rgb="FF000000"/>
            <rFont val="Calibri"/>
            <family val="34"/>
          </rPr>
          <t>IR 61 (1814)</t>
        </r>
      </text>
    </comment>
    <comment ref="BF770" authorId="0" shapeId="0" xr:uid="{65BE1AA2-16AF-2F49-B353-A13CCBF8D7E1}">
      <text>
        <r>
          <rPr>
            <sz val="14"/>
            <color rgb="FF000000"/>
            <rFont val="Times New Roman"/>
            <family val="18"/>
          </rPr>
          <t xml:space="preserve">17/06/1814 </t>
        </r>
        <r>
          <rPr>
            <i/>
            <sz val="14"/>
            <color rgb="FF000000"/>
            <rFont val="Times New Roman"/>
            <family val="18"/>
          </rPr>
          <t>Hat sich statt die zur Entlassung resolvierten diesseitigen Regiments Gemeinen NECZA UROSCH gestellt und zum IR 61 in Peterwardein assentiert und zum 24. Fus. Komp. eingeheilt; hat nichts von ARERAIO empfangen und ist mit dem Mann übereingekommen</t>
        </r>
        <r>
          <rPr>
            <sz val="14"/>
            <color rgb="FF000000"/>
            <rFont val="Times New Roman"/>
            <family val="18"/>
          </rPr>
          <t xml:space="preserve"> [AL Juni 1814]</t>
        </r>
        <r>
          <rPr>
            <sz val="14"/>
            <color rgb="FF000000"/>
            <rFont val="Calibri"/>
            <family val="34"/>
          </rPr>
          <t xml:space="preserve">
</t>
        </r>
      </text>
    </comment>
    <comment ref="BG770" authorId="0" shapeId="0" xr:uid="{00DCC9ED-5AB8-F642-B160-EE5B4DB7B80A}">
      <text>
        <r>
          <rPr>
            <sz val="14"/>
            <color rgb="FF000000"/>
            <rFont val="Times New Roman"/>
            <family val="18"/>
          </rPr>
          <t>ML 5185 IR 61 (1814) AL/TL – AL. Nr. 1 (Peterwardein 17/06/1814)</t>
        </r>
        <r>
          <rPr>
            <sz val="14"/>
            <color rgb="FF000000"/>
            <rFont val="Calibri"/>
            <family val="34"/>
          </rPr>
          <t xml:space="preserve">
</t>
        </r>
      </text>
    </comment>
    <comment ref="BH770" authorId="0" shapeId="0" xr:uid="{305B819E-25EF-E949-BB38-8606C307462D}">
      <text>
        <r>
          <rPr>
            <sz val="14"/>
            <color rgb="FF000000"/>
            <rFont val="Calibri"/>
            <family val="34"/>
          </rPr>
          <t>FJB 10 (1814)</t>
        </r>
      </text>
    </comment>
    <comment ref="BF771" authorId="0" shapeId="0" xr:uid="{D2D92F0B-B9C8-0448-86DC-584850200076}">
      <text>
        <r>
          <rPr>
            <sz val="14"/>
            <color rgb="FF000000"/>
            <rFont val="Times New Roman"/>
            <family val="18"/>
          </rPr>
          <t xml:space="preserve">16/11/1814 </t>
        </r>
        <r>
          <rPr>
            <i/>
            <sz val="14"/>
            <color rgb="FF000000"/>
            <rFont val="Times New Roman"/>
            <family val="18"/>
          </rPr>
          <t>Gegen 10 Handgeld auf 10 Jahre Ins 3. Füsilier Kompanie 4. österreichische Italienische Infanterie Regiment in loco Bergamo assentiert worden; hat vorher 12. Jahr bei Franzosen gedient und von da entlassen worden</t>
        </r>
        <r>
          <rPr>
            <sz val="14"/>
            <color rgb="FF000000"/>
            <rFont val="Times New Roman"/>
            <family val="18"/>
          </rPr>
          <t xml:space="preserve"> [AL 1814 &amp; ST Nov 1814]</t>
        </r>
        <r>
          <rPr>
            <sz val="14"/>
            <color rgb="FF000000"/>
            <rFont val="Calibri"/>
            <family val="34"/>
          </rPr>
          <t xml:space="preserve">
</t>
        </r>
        <r>
          <rPr>
            <sz val="14"/>
            <color rgb="FF000000"/>
            <rFont val="Times New Roman"/>
            <family val="18"/>
          </rPr>
          <t xml:space="preserve">26/12/1814 </t>
        </r>
        <r>
          <rPr>
            <i/>
            <sz val="14"/>
            <color rgb="FF000000"/>
            <rFont val="Times New Roman"/>
            <family val="18"/>
          </rPr>
          <t>Von 3. zum 7. Fus Komp. transferiert</t>
        </r>
        <r>
          <rPr>
            <sz val="14"/>
            <color rgb="FF000000"/>
            <rFont val="Times New Roman"/>
            <family val="18"/>
          </rPr>
          <t xml:space="preserve"> [ST Dez 1814]</t>
        </r>
        <r>
          <rPr>
            <sz val="14"/>
            <color rgb="FF000000"/>
            <rFont val="Calibri"/>
            <family val="34"/>
          </rPr>
          <t xml:space="preserve">
</t>
        </r>
        <r>
          <rPr>
            <sz val="14"/>
            <color rgb="FF000000"/>
            <rFont val="Times New Roman"/>
            <family val="18"/>
          </rPr>
          <t xml:space="preserve">10/01/1815 </t>
        </r>
        <r>
          <rPr>
            <i/>
            <sz val="14"/>
            <color rgb="FF000000"/>
            <rFont val="Times New Roman"/>
            <family val="18"/>
          </rPr>
          <t>Beim Staab in Arrest am taglich 4Xr</t>
        </r>
        <r>
          <rPr>
            <sz val="14"/>
            <color rgb="FF000000"/>
            <rFont val="Times New Roman"/>
            <family val="18"/>
          </rPr>
          <t xml:space="preserve"> [ST Jan 1815] </t>
        </r>
        <r>
          <rPr>
            <sz val="14"/>
            <color rgb="FFFF0000"/>
            <rFont val="Times New Roman"/>
            <family val="18"/>
          </rPr>
          <t>[1st Arrest]</t>
        </r>
        <r>
          <rPr>
            <sz val="14"/>
            <color rgb="FF000000"/>
            <rFont val="Calibri"/>
            <family val="34"/>
          </rPr>
          <t xml:space="preserve">
</t>
        </r>
        <r>
          <rPr>
            <sz val="14"/>
            <color rgb="FF000000"/>
            <rFont val="Times New Roman"/>
            <family val="18"/>
          </rPr>
          <t xml:space="preserve">13/01/1815 </t>
        </r>
        <r>
          <rPr>
            <i/>
            <sz val="14"/>
            <color rgb="FF000000"/>
            <rFont val="Times New Roman"/>
            <family val="18"/>
          </rPr>
          <t>Befreit</t>
        </r>
        <r>
          <rPr>
            <sz val="14"/>
            <color rgb="FF000000"/>
            <rFont val="Times New Roman"/>
            <family val="18"/>
          </rPr>
          <t xml:space="preserve"> [ST Jan 1815]</t>
        </r>
        <r>
          <rPr>
            <sz val="14"/>
            <color rgb="FF000000"/>
            <rFont val="Calibri"/>
            <family val="34"/>
          </rPr>
          <t xml:space="preserve">
</t>
        </r>
        <r>
          <rPr>
            <sz val="14"/>
            <color rgb="FF000000"/>
            <rFont val="Times New Roman"/>
            <family val="18"/>
          </rPr>
          <t xml:space="preserve">21/07/1815 </t>
        </r>
        <r>
          <rPr>
            <i/>
            <sz val="14"/>
            <color rgb="FF000000"/>
            <rFont val="Times New Roman"/>
            <family val="18"/>
          </rPr>
          <t>In Folge Hoher Hofgrigsratliche Reskript von 29 Juni G. 3052 von Gemeiner zum Gefreyter avanciert</t>
        </r>
        <r>
          <rPr>
            <sz val="14"/>
            <color rgb="FF000000"/>
            <rFont val="Times New Roman"/>
            <family val="18"/>
          </rPr>
          <t xml:space="preserve"> [ST July 1815]</t>
        </r>
        <r>
          <rPr>
            <sz val="14"/>
            <color rgb="FF000000"/>
            <rFont val="Calibri"/>
            <family val="34"/>
          </rPr>
          <t xml:space="preserve">
</t>
        </r>
        <r>
          <rPr>
            <sz val="14"/>
            <color rgb="FF000000"/>
            <rFont val="Times New Roman"/>
            <family val="18"/>
          </rPr>
          <t xml:space="preserve">16/12/1815 </t>
        </r>
        <r>
          <rPr>
            <i/>
            <sz val="14"/>
            <color rgb="FF000000"/>
            <rFont val="Times New Roman"/>
            <family val="18"/>
          </rPr>
          <t>Von 7. zum 8. Fusilier Komp. transferiert</t>
        </r>
        <r>
          <rPr>
            <sz val="14"/>
            <color rgb="FF000000"/>
            <rFont val="Times New Roman"/>
            <family val="18"/>
          </rPr>
          <t xml:space="preserve"> [ST Dez 1815]</t>
        </r>
        <r>
          <rPr>
            <sz val="14"/>
            <color rgb="FF000000"/>
            <rFont val="Calibri"/>
            <family val="34"/>
          </rPr>
          <t xml:space="preserve">
</t>
        </r>
        <r>
          <rPr>
            <sz val="14"/>
            <color rgb="FF000000"/>
            <rFont val="Times New Roman"/>
            <family val="18"/>
          </rPr>
          <t xml:space="preserve">19/03/1816 </t>
        </r>
        <r>
          <rPr>
            <i/>
            <sz val="14"/>
            <color rgb="FF000000"/>
            <rFont val="Times New Roman"/>
            <family val="18"/>
          </rPr>
          <t>Beim Staab in Arrest a 4xr</t>
        </r>
        <r>
          <rPr>
            <sz val="14"/>
            <color rgb="FF000000"/>
            <rFont val="Times New Roman"/>
            <family val="18"/>
          </rPr>
          <t xml:space="preserve"> [St März 1816] </t>
        </r>
        <r>
          <rPr>
            <sz val="14"/>
            <color rgb="FFFF0000"/>
            <rFont val="Times New Roman"/>
            <family val="18"/>
          </rPr>
          <t>[2nd Arrest]</t>
        </r>
        <r>
          <rPr>
            <sz val="14"/>
            <color rgb="FF000000"/>
            <rFont val="Calibri"/>
            <family val="34"/>
          </rPr>
          <t xml:space="preserve">
</t>
        </r>
        <r>
          <rPr>
            <sz val="14"/>
            <color rgb="FF000000"/>
            <rFont val="Times New Roman"/>
            <family val="18"/>
          </rPr>
          <t xml:space="preserve">21/03/1816 </t>
        </r>
        <r>
          <rPr>
            <i/>
            <sz val="14"/>
            <color rgb="FF000000"/>
            <rFont val="Times New Roman"/>
            <family val="18"/>
          </rPr>
          <t>Befreit</t>
        </r>
        <r>
          <rPr>
            <sz val="14"/>
            <color rgb="FF000000"/>
            <rFont val="Times New Roman"/>
            <family val="18"/>
          </rPr>
          <t xml:space="preserve"> [ST Marz 1816]</t>
        </r>
        <r>
          <rPr>
            <sz val="14"/>
            <color rgb="FF000000"/>
            <rFont val="Calibri"/>
            <family val="34"/>
          </rPr>
          <t xml:space="preserve">
</t>
        </r>
        <r>
          <rPr>
            <sz val="14"/>
            <color rgb="FF000000"/>
            <rFont val="Times New Roman"/>
            <family val="18"/>
          </rPr>
          <t xml:space="preserve">05/05/1816 </t>
        </r>
        <r>
          <rPr>
            <i/>
            <sz val="14"/>
            <color rgb="FF000000"/>
            <rFont val="Times New Roman"/>
            <family val="18"/>
          </rPr>
          <t xml:space="preserve">Beim Staab in Arrest a 4xr </t>
        </r>
        <r>
          <rPr>
            <sz val="14"/>
            <color rgb="FF000000"/>
            <rFont val="Times New Roman"/>
            <family val="18"/>
          </rPr>
          <t xml:space="preserve">[ST Mai 1816] </t>
        </r>
        <r>
          <rPr>
            <sz val="14"/>
            <color rgb="FFFF0000"/>
            <rFont val="Times New Roman"/>
            <family val="18"/>
          </rPr>
          <t>[3rd Arrest]</t>
        </r>
        <r>
          <rPr>
            <sz val="14"/>
            <color rgb="FF000000"/>
            <rFont val="Calibri"/>
            <family val="34"/>
          </rPr>
          <t xml:space="preserve">
</t>
        </r>
        <r>
          <rPr>
            <sz val="14"/>
            <color rgb="FF000000"/>
            <rFont val="Times New Roman"/>
            <family val="18"/>
          </rPr>
          <t>06/05/1816 Befreit [ST Mai 1816]</t>
        </r>
        <r>
          <rPr>
            <sz val="14"/>
            <color rgb="FF000000"/>
            <rFont val="Calibri"/>
            <family val="34"/>
          </rPr>
          <t xml:space="preserve">
</t>
        </r>
        <r>
          <rPr>
            <sz val="14"/>
            <color rgb="FF000000"/>
            <rFont val="Times New Roman"/>
            <family val="18"/>
          </rPr>
          <t>30/09/1817 Muster: IR 43 8. Fus Komp. Nr. 18</t>
        </r>
        <r>
          <rPr>
            <sz val="14"/>
            <color rgb="FF000000"/>
            <rFont val="Calibri"/>
            <family val="34"/>
          </rPr>
          <t xml:space="preserve">
</t>
        </r>
        <r>
          <rPr>
            <sz val="14"/>
            <color rgb="FF000000"/>
            <rFont val="Times New Roman"/>
            <family val="18"/>
          </rPr>
          <t>23/09/1818 Muster: IR 43 8. Fus Komp. Nr. 12</t>
        </r>
        <r>
          <rPr>
            <sz val="14"/>
            <color rgb="FF000000"/>
            <rFont val="Calibri"/>
            <family val="34"/>
          </rPr>
          <t xml:space="preserve">
</t>
        </r>
        <r>
          <rPr>
            <sz val="14"/>
            <color rgb="FF000000"/>
            <rFont val="Times New Roman"/>
            <family val="18"/>
          </rPr>
          <t>16/09/1819 Muster: IR 43 8. Fus Komp. Nr. 14</t>
        </r>
        <r>
          <rPr>
            <sz val="14"/>
            <color rgb="FF000000"/>
            <rFont val="Calibri"/>
            <family val="34"/>
          </rPr>
          <t xml:space="preserve">
</t>
        </r>
        <r>
          <rPr>
            <sz val="14"/>
            <color rgb="FF000000"/>
            <rFont val="Times New Roman"/>
            <family val="18"/>
          </rPr>
          <t>11/09/1820 Muster: IR 43 8. Fus Komp. Nr. 14</t>
        </r>
        <r>
          <rPr>
            <sz val="14"/>
            <color rgb="FF000000"/>
            <rFont val="Calibri"/>
            <family val="34"/>
          </rPr>
          <t xml:space="preserve">
</t>
        </r>
      </text>
    </comment>
    <comment ref="BG771" authorId="0" shapeId="0" xr:uid="{96F637AB-1300-C04B-98D0-866A4DDA7C6B}">
      <text>
        <r>
          <rPr>
            <sz val="14"/>
            <color rgb="FF000000"/>
            <rFont val="Times New Roman"/>
            <family val="18"/>
          </rPr>
          <t>ML 3862/3 IR 43 (1817): 8. Fus Komp. Nr. 18 (Preßburg 30/09/1817)</t>
        </r>
        <r>
          <rPr>
            <sz val="14"/>
            <color rgb="FF000000"/>
            <rFont val="Calibri"/>
            <family val="34"/>
          </rPr>
          <t xml:space="preserve">
</t>
        </r>
        <r>
          <rPr>
            <sz val="14"/>
            <color rgb="FF000000"/>
            <rFont val="Times New Roman"/>
            <family val="18"/>
          </rPr>
          <t>ML 3864/5 IR 43 (1818): 8. Fus Komp. Nr. 12 (Raab 23/09/1818)</t>
        </r>
        <r>
          <rPr>
            <sz val="14"/>
            <color rgb="FF000000"/>
            <rFont val="Calibri"/>
            <family val="34"/>
          </rPr>
          <t xml:space="preserve">
</t>
        </r>
        <r>
          <rPr>
            <sz val="14"/>
            <color rgb="FF000000"/>
            <rFont val="Times New Roman"/>
            <family val="18"/>
          </rPr>
          <t>ML 3866/7 IR 43 (1819): 43 8. Fus Komp Nr. 14 (Carlopago 16/09/1819)</t>
        </r>
        <r>
          <rPr>
            <sz val="14"/>
            <color rgb="FF000000"/>
            <rFont val="Calibri"/>
            <family val="34"/>
          </rPr>
          <t xml:space="preserve">
</t>
        </r>
        <r>
          <rPr>
            <sz val="14"/>
            <color rgb="FF000000"/>
            <rFont val="Times New Roman"/>
            <family val="18"/>
          </rPr>
          <t>ML 3868/9 IR 43 (1820): 8. Fus. Komo Nr. 14 (Carlstadt 11/09/1820)</t>
        </r>
        <r>
          <rPr>
            <sz val="14"/>
            <color rgb="FF000000"/>
            <rFont val="Calibri"/>
            <family val="34"/>
          </rPr>
          <t xml:space="preserve">
</t>
        </r>
        <r>
          <rPr>
            <sz val="14"/>
            <color rgb="FF000000"/>
            <rFont val="Times New Roman"/>
            <family val="18"/>
          </rPr>
          <t>ML 3870 IR 43 (1814): AL Nr. 1 (Bergamo 16/11/1814) &amp; ST Nov (Wien 15/09/1815) und Dec (14/02/1816)</t>
        </r>
        <r>
          <rPr>
            <sz val="14"/>
            <color rgb="FF000000"/>
            <rFont val="Calibri"/>
            <family val="34"/>
          </rPr>
          <t xml:space="preserve">
</t>
        </r>
        <r>
          <rPr>
            <sz val="14"/>
            <color rgb="FF000000"/>
            <rFont val="Times New Roman"/>
            <family val="18"/>
          </rPr>
          <t>ML 3871 IR 43 (1815): ST Jan (Preßburg 16/02/1816), Juli (Preßburg 15/07/1816), Dez (24/02/1817).</t>
        </r>
        <r>
          <rPr>
            <sz val="14"/>
            <color rgb="FF000000"/>
            <rFont val="Calibri"/>
            <family val="34"/>
          </rPr>
          <t xml:space="preserve">
</t>
        </r>
        <r>
          <rPr>
            <sz val="14"/>
            <color rgb="FF000000"/>
            <rFont val="Times New Roman"/>
            <family val="18"/>
          </rPr>
          <t>ML 3873 IR 43 (1816): ST Marz (20/04/1817), Mai (Preßburg 01/06/1817)</t>
        </r>
        <r>
          <rPr>
            <sz val="14"/>
            <color rgb="FF000000"/>
            <rFont val="Calibri"/>
            <family val="34"/>
          </rPr>
          <t xml:space="preserve">
</t>
        </r>
      </text>
    </comment>
    <comment ref="BH771" authorId="0" shapeId="0" xr:uid="{2E059306-69F5-1147-9ED1-E0EF84D9EFB1}">
      <text>
        <r>
          <rPr>
            <sz val="14"/>
            <color rgb="FF000000"/>
            <rFont val="Calibri"/>
            <family val="34"/>
          </rPr>
          <t>IR 43 (1814-1820)</t>
        </r>
      </text>
    </comment>
    <comment ref="BF772" authorId="0" shapeId="0" xr:uid="{ECF97144-8EAF-4A42-AA38-130EBDF38504}">
      <text>
        <r>
          <rPr>
            <sz val="14"/>
            <color rgb="FF000000"/>
            <rFont val="Times New Roman"/>
            <family val="18"/>
          </rPr>
          <t xml:space="preserve">19/11/1814 </t>
        </r>
        <r>
          <rPr>
            <i/>
            <sz val="14"/>
            <color rgb="FF000000"/>
            <rFont val="Times New Roman"/>
            <family val="18"/>
          </rPr>
          <t>Gegen 10Fl Handgeld und Sechs jähriger Capitulation als Außländer in 10 FJ Bataillon zu Cilly assentiert</t>
        </r>
        <r>
          <rPr>
            <sz val="14"/>
            <color rgb="FF000000"/>
            <rFont val="Times New Roman"/>
            <family val="18"/>
          </rPr>
          <t xml:space="preserve"> [AL Nov 1814]</t>
        </r>
        <r>
          <rPr>
            <sz val="14"/>
            <color rgb="FF000000"/>
            <rFont val="Calibri"/>
            <family val="34"/>
          </rPr>
          <t xml:space="preserve">
</t>
        </r>
      </text>
    </comment>
    <comment ref="BG772" authorId="0" shapeId="0" xr:uid="{07888AD4-9360-1D43-B69B-7D8FAB64C217}">
      <text>
        <r>
          <rPr>
            <sz val="14"/>
            <color rgb="FF000000"/>
            <rFont val="Times New Roman"/>
            <family val="18"/>
          </rPr>
          <t>ML 5452 FJ 10 (1814) AL/TL – AL Nr. 1 (Cilly 19/11/1814)</t>
        </r>
        <r>
          <rPr>
            <sz val="14"/>
            <color rgb="FF000000"/>
            <rFont val="Calibri"/>
            <family val="34"/>
          </rPr>
          <t xml:space="preserve">
</t>
        </r>
      </text>
    </comment>
    <comment ref="BH772" authorId="0" shapeId="0" xr:uid="{B49573EB-DCC5-D746-82D7-BC5DBC4828EC}">
      <text>
        <r>
          <rPr>
            <sz val="14"/>
            <color rgb="FF000000"/>
            <rFont val="Calibri"/>
            <family val="34"/>
          </rPr>
          <t>IR 61 (1814)</t>
        </r>
      </text>
    </comment>
    <comment ref="BF773" authorId="0" shapeId="0" xr:uid="{FCB0E141-8CB3-F841-B75D-10380DDFD3A9}">
      <text>
        <r>
          <rPr>
            <sz val="14"/>
            <color rgb="FF000000"/>
            <rFont val="Times New Roman"/>
            <family val="18"/>
          </rPr>
          <t>30/12/1814</t>
        </r>
        <r>
          <rPr>
            <i/>
            <sz val="14"/>
            <color rgb="FF000000"/>
            <rFont val="Times New Roman"/>
            <family val="18"/>
          </rPr>
          <t xml:space="preserve"> Als landständischer Rekrut für Tamesvar, gegen 10Fl Handgeld gestellt und zum IR 61 ‚St Julien‘ in Tamesvar auf Beständig assentiert und zur 2. Reserve eingeheilt </t>
        </r>
        <r>
          <rPr>
            <sz val="14"/>
            <color rgb="FF000000"/>
            <rFont val="Times New Roman"/>
            <family val="18"/>
          </rPr>
          <t>[AL Dez 1814]</t>
        </r>
        <r>
          <rPr>
            <sz val="14"/>
            <color rgb="FF000000"/>
            <rFont val="Calibri"/>
            <family val="34"/>
          </rPr>
          <t xml:space="preserve">
</t>
        </r>
      </text>
    </comment>
    <comment ref="BG773" authorId="0" shapeId="0" xr:uid="{1D3C7505-F200-AD40-B5DA-0EAF3314A72D}">
      <text>
        <r>
          <rPr>
            <sz val="14"/>
            <color rgb="FF000000"/>
            <rFont val="Times New Roman"/>
            <family val="18"/>
          </rPr>
          <t>ML 5185 IR 61 (1814) AL/TL – AL. Nr. 3 (Grosz Sant Miklosz 04/01/1815)</t>
        </r>
        <r>
          <rPr>
            <sz val="14"/>
            <color rgb="FF000000"/>
            <rFont val="Calibri"/>
            <family val="34"/>
          </rPr>
          <t xml:space="preserve">
</t>
        </r>
      </text>
    </comment>
    <comment ref="BH773" authorId="0" shapeId="0" xr:uid="{B338189F-7F97-674F-8C54-9E7D4861BF71}">
      <text>
        <r>
          <rPr>
            <sz val="14"/>
            <color rgb="FF000000"/>
            <rFont val="Calibri"/>
            <family val="34"/>
          </rPr>
          <t>IR 61 (1814)</t>
        </r>
      </text>
    </comment>
    <comment ref="BF774" authorId="0" shapeId="0" xr:uid="{F7DF9AD2-6C19-4442-98EF-2A71702CE049}">
      <text>
        <r>
          <rPr>
            <sz val="14"/>
            <color rgb="FF000000"/>
            <rFont val="Times New Roman"/>
            <family val="18"/>
          </rPr>
          <t>30/12/1814</t>
        </r>
        <r>
          <rPr>
            <i/>
            <sz val="14"/>
            <color rgb="FF000000"/>
            <rFont val="Times New Roman"/>
            <family val="18"/>
          </rPr>
          <t xml:space="preserve"> Als landständischer Rekrut für Tamesvar, Herrschaft Erzbischof Stratimirovic, gegen 10Fl Handgeld gestellt und zum IR 61 ‚St Julien‘ in Tamesvar auf Beständig assentiert und zur 2. Reserve eingeheilt  </t>
        </r>
        <r>
          <rPr>
            <sz val="14"/>
            <color rgb="FF000000"/>
            <rFont val="Times New Roman"/>
            <family val="18"/>
          </rPr>
          <t>[AL Dez 1814]</t>
        </r>
      </text>
    </comment>
    <comment ref="BG774" authorId="0" shapeId="0" xr:uid="{2A71300D-4EB9-0A47-88DC-C50F1F789873}">
      <text>
        <r>
          <rPr>
            <sz val="14"/>
            <color rgb="FF000000"/>
            <rFont val="Times New Roman"/>
            <family val="18"/>
          </rPr>
          <t>ML 5185 IR 61 (1814) AL/TL – AL. Nr. 2 (Tamesvar 31/12/1814)</t>
        </r>
        <r>
          <rPr>
            <sz val="14"/>
            <color rgb="FF000000"/>
            <rFont val="Calibri"/>
            <family val="34"/>
          </rPr>
          <t xml:space="preserve">
</t>
        </r>
      </text>
    </comment>
    <comment ref="BH774" authorId="0" shapeId="0" xr:uid="{F1E4A7D9-F62E-7648-BB0E-FB41141E30B1}">
      <text>
        <r>
          <rPr>
            <sz val="14"/>
            <color rgb="FF000000"/>
            <rFont val="Calibri"/>
            <family val="34"/>
          </rPr>
          <t>IR 61 (1814)</t>
        </r>
      </text>
    </comment>
    <comment ref="BF775" authorId="0" shapeId="0" xr:uid="{DF700BDF-D72B-DB49-B3AC-498627FA9648}">
      <text>
        <r>
          <rPr>
            <sz val="14"/>
            <color rgb="FF000000"/>
            <rFont val="Times New Roman"/>
            <family val="18"/>
          </rPr>
          <t>30/12/1814</t>
        </r>
        <r>
          <rPr>
            <i/>
            <sz val="14"/>
            <color rgb="FF000000"/>
            <rFont val="Times New Roman"/>
            <family val="18"/>
          </rPr>
          <t xml:space="preserve"> Als landständischer Rekrut für Grosz Sant Miklosz Herrschaft Graf Nako gegen 10Fl Handgeld gestellt und zum IR 61 ‚St Julien‘ in Tamesvar auf Beständig assentiert </t>
        </r>
        <r>
          <rPr>
            <sz val="14"/>
            <color rgb="FF000000"/>
            <rFont val="Times New Roman"/>
            <family val="18"/>
          </rPr>
          <t>[AL Jan 1815]</t>
        </r>
      </text>
    </comment>
    <comment ref="BG775" authorId="0" shapeId="0" xr:uid="{90A4C42A-DE2E-7448-86ED-4D2C0D347F4E}">
      <text>
        <r>
          <rPr>
            <sz val="14"/>
            <color rgb="FF000000"/>
            <rFont val="Times New Roman"/>
            <family val="18"/>
          </rPr>
          <t>ML 5185 IR 61 (1814) AL/TL – AL. Nr. 3 (Grosz Sant Miklosz 04/01/1815)</t>
        </r>
        <r>
          <rPr>
            <sz val="14"/>
            <color rgb="FF000000"/>
            <rFont val="Calibri"/>
            <family val="34"/>
          </rPr>
          <t xml:space="preserve">
</t>
        </r>
      </text>
    </comment>
    <comment ref="BH775" authorId="0" shapeId="0" xr:uid="{A5E4A210-E224-D946-9769-1E278F6D2B8B}">
      <text>
        <r>
          <rPr>
            <sz val="14"/>
            <color rgb="FF000000"/>
            <rFont val="Calibri"/>
            <family val="34"/>
          </rPr>
          <t>IR 61 (1814-1815)</t>
        </r>
      </text>
    </comment>
    <comment ref="J776" authorId="0" shapeId="0" xr:uid="{8BCA7985-D8D4-EB46-AC7D-AD5A6DE02C77}">
      <text>
        <r>
          <rPr>
            <i/>
            <sz val="14"/>
            <color rgb="FF000000"/>
            <rFont val="Calibri"/>
            <family val="34"/>
          </rPr>
          <t xml:space="preserve">Jetzt ledig vorher verheyratet </t>
        </r>
        <r>
          <rPr>
            <sz val="14"/>
            <color rgb="FF000000"/>
            <rFont val="Calibri"/>
            <family val="34"/>
          </rPr>
          <t>(ML 1818)</t>
        </r>
      </text>
    </comment>
    <comment ref="BF776" authorId="0" shapeId="0" xr:uid="{E1D9F8F0-0BD7-024D-9036-FDB7202A0891}">
      <text>
        <r>
          <rPr>
            <sz val="14"/>
            <color rgb="FF000000"/>
            <rFont val="Times New Roman"/>
            <family val="18"/>
          </rPr>
          <t xml:space="preserve">25/03/1815 </t>
        </r>
        <r>
          <rPr>
            <i/>
            <sz val="14"/>
            <color rgb="FF000000"/>
            <rFont val="Times New Roman"/>
            <family val="18"/>
          </rPr>
          <t>A 3Fl Handgeld zu Klausenburg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 Regiment</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zum IR 62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01/10/1817 </t>
        </r>
        <r>
          <rPr>
            <i/>
            <sz val="14"/>
            <color rgb="FF000000"/>
            <rFont val="Times New Roman"/>
            <family val="18"/>
          </rPr>
          <t>von Gemeinen zu Fourierschütz übersetzt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08/07/1818 </t>
        </r>
        <r>
          <rPr>
            <i/>
            <sz val="14"/>
            <color rgb="FF000000"/>
            <rFont val="Times New Roman"/>
            <family val="18"/>
          </rPr>
          <t>Sich zu ChristKatolischen glauben getkennt und zu Cremona angetauft worden</t>
        </r>
        <r>
          <rPr>
            <sz val="14"/>
            <color rgb="FF000000"/>
            <rFont val="Times New Roman"/>
            <family val="18"/>
          </rPr>
          <t xml:space="preserve"> [ML 1818]</t>
        </r>
        <r>
          <rPr>
            <sz val="14"/>
            <color rgb="FF000000"/>
            <rFont val="Calibri"/>
            <family val="34"/>
          </rPr>
          <t xml:space="preserve">
</t>
        </r>
        <r>
          <rPr>
            <sz val="14"/>
            <color rgb="FF000000"/>
            <rFont val="Times New Roman"/>
            <family val="18"/>
          </rPr>
          <t>26/09/1818 Muster: IR 62 10. Fus. Komp. Nr. 26</t>
        </r>
        <r>
          <rPr>
            <sz val="14"/>
            <color rgb="FF000000"/>
            <rFont val="Calibri"/>
            <family val="34"/>
          </rPr>
          <t xml:space="preserve">
</t>
        </r>
        <r>
          <rPr>
            <sz val="14"/>
            <color rgb="FF000000"/>
            <rFont val="Times New Roman"/>
            <family val="18"/>
          </rPr>
          <t xml:space="preserve">20/03/1819 </t>
        </r>
        <r>
          <rPr>
            <i/>
            <sz val="14"/>
            <color rgb="FF000000"/>
            <rFont val="Times New Roman"/>
            <family val="18"/>
          </rPr>
          <t>Vermog hofkriegsratlichen reskript von 21. Xbre 818 Lettra K. 4569 und General Commando Verordnung Mailand am 6. März L.R. 1568 Gegen Stellung Anderer AMnnes Mit Abschied entlassen</t>
        </r>
        <r>
          <rPr>
            <sz val="14"/>
            <color rgb="FF000000"/>
            <rFont val="Times New Roman"/>
            <family val="18"/>
          </rPr>
          <t xml:space="preserve"> [ML 1819] </t>
        </r>
      </text>
    </comment>
    <comment ref="BG776" authorId="0" shapeId="0" xr:uid="{AC97C164-1DF9-D94D-9EA1-856D0D4D0A60}">
      <text>
        <r>
          <rPr>
            <sz val="14"/>
            <color rgb="FF000000"/>
            <rFont val="Times New Roman"/>
            <family val="18"/>
          </rPr>
          <t>ML 5213/4 IR 62 (1818) – 10. Fus. Komp. Nr. 26 (Cremona 26/09/1818)</t>
        </r>
        <r>
          <rPr>
            <sz val="14"/>
            <color rgb="FF000000"/>
            <rFont val="Calibri"/>
            <family val="34"/>
          </rPr>
          <t xml:space="preserve">
</t>
        </r>
        <r>
          <rPr>
            <sz val="14"/>
            <color rgb="FF000000"/>
            <rFont val="Times New Roman"/>
            <family val="18"/>
          </rPr>
          <t>ML 5215/6 IR 62 (1819) – 10. Fus. Komp. Abgang (Mantua 07/10/1819)</t>
        </r>
        <r>
          <rPr>
            <sz val="14"/>
            <color rgb="FF000000"/>
            <rFont val="Calibri"/>
            <family val="34"/>
          </rPr>
          <t xml:space="preserve">
</t>
        </r>
      </text>
    </comment>
    <comment ref="BH776" authorId="0" shapeId="0" xr:uid="{163CF93A-15DC-8D42-977C-D7EDDF694170}">
      <text>
        <r>
          <rPr>
            <sz val="14"/>
            <color rgb="FF000000"/>
            <rFont val="Calibri"/>
            <family val="34"/>
          </rPr>
          <t xml:space="preserve">IR 51 (1815)
</t>
        </r>
        <r>
          <rPr>
            <sz val="14"/>
            <color rgb="FF000000"/>
            <rFont val="Calibri"/>
            <family val="34"/>
          </rPr>
          <t>IR 62 (1815-1819)</t>
        </r>
      </text>
    </comment>
    <comment ref="CR776" authorId="0" shapeId="0" xr:uid="{42820C27-5AEB-5E4B-A28B-F19E478FB802}">
      <text>
        <r>
          <rPr>
            <i/>
            <sz val="14"/>
            <color rgb="FF000000"/>
            <rFont val="Times New Roman"/>
            <family val="18"/>
          </rPr>
          <t>jetzt Katolisch Vorherr Jüdisch</t>
        </r>
        <r>
          <rPr>
            <sz val="14"/>
            <color rgb="FF000000"/>
            <rFont val="Calibri"/>
            <family val="2"/>
            <scheme val="minor"/>
          </rPr>
          <t xml:space="preserve"> (ML 1818)</t>
        </r>
      </text>
    </comment>
    <comment ref="BF777" authorId="0" shapeId="0" xr:uid="{D0F433B3-165D-644A-9467-0E3D88B91A1D}">
      <text>
        <r>
          <rPr>
            <sz val="14"/>
            <color rgb="FF000000"/>
            <rFont val="Times New Roman"/>
            <family val="18"/>
          </rPr>
          <t xml:space="preserve">17/05/1815 </t>
        </r>
        <r>
          <rPr>
            <i/>
            <sz val="14"/>
            <color rgb="FF000000"/>
            <rFont val="Times New Roman"/>
            <family val="18"/>
          </rPr>
          <t>Gegen 3Fl Handgeld von Land gestellt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 Regiment</t>
        </r>
        <r>
          <rPr>
            <sz val="14"/>
            <color rgb="FF000000"/>
            <rFont val="Times New Roman"/>
            <family val="18"/>
          </rPr>
          <t xml:space="preserve"> </t>
        </r>
        <r>
          <rPr>
            <b/>
            <sz val="14"/>
            <color rgb="FF000000"/>
            <rFont val="Times New Roman"/>
            <family val="18"/>
          </rPr>
          <t xml:space="preserve">[HIR 51] </t>
        </r>
        <r>
          <rPr>
            <i/>
            <sz val="14"/>
            <color rgb="FF000000"/>
            <rFont val="Times New Roman"/>
            <family val="18"/>
          </rPr>
          <t>zum IR 62 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09/11/1818 Muster: IR 62 17. Fus. Komp. Nr. 91 [</t>
        </r>
        <r>
          <rPr>
            <i/>
            <sz val="14"/>
            <color rgb="FF000000"/>
            <rFont val="Times New Roman"/>
            <family val="18"/>
          </rPr>
          <t>Beurlaubt in seinem Geburtsort</t>
        </r>
        <r>
          <rPr>
            <sz val="14"/>
            <color rgb="FF000000"/>
            <rFont val="Times New Roman"/>
            <family val="18"/>
          </rPr>
          <t>]</t>
        </r>
        <r>
          <rPr>
            <sz val="14"/>
            <color rgb="FF000000"/>
            <rFont val="Calibri"/>
            <family val="34"/>
          </rPr>
          <t xml:space="preserve">
</t>
        </r>
        <r>
          <rPr>
            <sz val="14"/>
            <color rgb="FF000000"/>
            <rFont val="Times New Roman"/>
            <family val="18"/>
          </rPr>
          <t>25/10/1819 Muster: IR 62 17. Fus. Komp. Nr. 86 [</t>
        </r>
        <r>
          <rPr>
            <i/>
            <sz val="14"/>
            <color rgb="FF000000"/>
            <rFont val="Times New Roman"/>
            <family val="18"/>
          </rPr>
          <t>Beurlaubt bis zur Einberufung in Geburtsort</t>
        </r>
        <r>
          <rPr>
            <sz val="14"/>
            <color rgb="FF000000"/>
            <rFont val="Times New Roman"/>
            <family val="18"/>
          </rPr>
          <t>]</t>
        </r>
        <r>
          <rPr>
            <sz val="14"/>
            <color rgb="FF000000"/>
            <rFont val="Calibri"/>
            <family val="34"/>
          </rPr>
          <t xml:space="preserve">
</t>
        </r>
        <r>
          <rPr>
            <sz val="14"/>
            <color rgb="FF000000"/>
            <rFont val="Times New Roman"/>
            <family val="18"/>
          </rPr>
          <t xml:space="preserve">31/03/1820 </t>
        </r>
        <r>
          <rPr>
            <i/>
            <sz val="14"/>
            <color rgb="FF000000"/>
            <rFont val="Times New Roman"/>
            <family val="18"/>
          </rPr>
          <t>Von 17. Zum 8. Fus. Komp. transferiert</t>
        </r>
        <r>
          <rPr>
            <sz val="14"/>
            <color rgb="FF000000"/>
            <rFont val="Times New Roman"/>
            <family val="18"/>
          </rPr>
          <t xml:space="preserve"> [RL 1820]</t>
        </r>
        <r>
          <rPr>
            <sz val="14"/>
            <color rgb="FF000000"/>
            <rFont val="Calibri"/>
            <family val="34"/>
          </rPr>
          <t xml:space="preserve">
</t>
        </r>
        <r>
          <rPr>
            <sz val="14"/>
            <color rgb="FF000000"/>
            <rFont val="Times New Roman"/>
            <family val="18"/>
          </rPr>
          <t>04/09/1820 Revision: IR 62 8. Fus. Komp. Nr. 22</t>
        </r>
      </text>
    </comment>
    <comment ref="BG777" authorId="0" shapeId="0" xr:uid="{F46DDF83-0E72-2C45-AF98-4F8703953249}">
      <text>
        <r>
          <rPr>
            <sz val="14"/>
            <color rgb="FF000000"/>
            <rFont val="Times New Roman"/>
            <family val="18"/>
          </rPr>
          <t>ML 5213/4 IR 62 (1818) – 17. Fus. Komp. Nr. 91 (Cronstadt 09/11/1818)</t>
        </r>
        <r>
          <rPr>
            <sz val="14"/>
            <color rgb="FF000000"/>
            <rFont val="Calibri"/>
            <family val="34"/>
          </rPr>
          <t xml:space="preserve">
</t>
        </r>
        <r>
          <rPr>
            <sz val="14"/>
            <color rgb="FF000000"/>
            <rFont val="Times New Roman"/>
            <family val="18"/>
          </rPr>
          <t>ML 5215/6 IR 62 (1819) – 17. Fus. Komp. Nr. 86 (Cronstadt 25/10/1819)</t>
        </r>
        <r>
          <rPr>
            <sz val="14"/>
            <color rgb="FF000000"/>
            <rFont val="Calibri"/>
            <family val="34"/>
          </rPr>
          <t xml:space="preserve">
</t>
        </r>
        <r>
          <rPr>
            <sz val="14"/>
            <color rgb="FF000000"/>
            <rFont val="Times New Roman"/>
            <family val="18"/>
          </rPr>
          <t>ML 5217 IR 62 (1820) – 8. Fus. Komp. Nr. 22 (Cremona 04/09/1820)</t>
        </r>
        <r>
          <rPr>
            <sz val="14"/>
            <color rgb="FF000000"/>
            <rFont val="Calibri"/>
            <family val="34"/>
          </rPr>
          <t xml:space="preserve">
</t>
        </r>
      </text>
    </comment>
    <comment ref="BH777" authorId="0" shapeId="0" xr:uid="{596E8A39-8FC3-CF44-AF7C-7C9DC92DAF57}">
      <text>
        <r>
          <rPr>
            <sz val="14"/>
            <color rgb="FF000000"/>
            <rFont val="Calibri"/>
            <family val="34"/>
          </rPr>
          <t xml:space="preserve">IR 51 (1815)
</t>
        </r>
        <r>
          <rPr>
            <sz val="14"/>
            <color rgb="FF000000"/>
            <rFont val="Calibri"/>
            <family val="34"/>
          </rPr>
          <t>IR 62 (1815-1820)</t>
        </r>
      </text>
    </comment>
    <comment ref="BF778" authorId="0" shapeId="0" xr:uid="{8D5E05A3-F1FD-A849-A706-B6613A01D981}">
      <text>
        <r>
          <rPr>
            <sz val="14"/>
            <color rgb="FF000000"/>
            <rFont val="Times New Roman"/>
            <family val="18"/>
          </rPr>
          <t xml:space="preserve">25/05/1815 </t>
        </r>
        <r>
          <rPr>
            <i/>
            <sz val="14"/>
            <color rgb="FF000000"/>
            <rFont val="Times New Roman"/>
            <family val="18"/>
          </rPr>
          <t>In Clausenburg a 3Fl handgeld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 xml:space="preserve">01/07/1815 </t>
        </r>
        <r>
          <rPr>
            <i/>
            <sz val="14"/>
            <color rgb="FF000000"/>
            <rFont val="Times New Roman"/>
            <family val="18"/>
          </rPr>
          <t>von Spleny Inf.</t>
        </r>
        <r>
          <rPr>
            <sz val="14"/>
            <color rgb="FF000000"/>
            <rFont val="Times New Roman"/>
            <family val="18"/>
          </rPr>
          <t xml:space="preserve"> </t>
        </r>
        <r>
          <rPr>
            <b/>
            <sz val="14"/>
            <color rgb="FF000000"/>
            <rFont val="Times New Roman"/>
            <family val="18"/>
          </rPr>
          <t>[HIR 51]</t>
        </r>
        <r>
          <rPr>
            <sz val="14"/>
            <color rgb="FF000000"/>
            <rFont val="Times New Roman"/>
            <family val="18"/>
          </rPr>
          <t xml:space="preserve"> </t>
        </r>
        <r>
          <rPr>
            <i/>
            <sz val="14"/>
            <color rgb="FF000000"/>
            <rFont val="Times New Roman"/>
            <family val="18"/>
          </rPr>
          <t>Anhero</t>
        </r>
        <r>
          <rPr>
            <sz val="14"/>
            <color rgb="FF000000"/>
            <rFont val="Times New Roman"/>
            <family val="18"/>
          </rPr>
          <t xml:space="preserve"> </t>
        </r>
        <r>
          <rPr>
            <b/>
            <sz val="14"/>
            <color rgb="FF000000"/>
            <rFont val="Times New Roman"/>
            <family val="18"/>
          </rPr>
          <t>[IR 62]</t>
        </r>
        <r>
          <rPr>
            <sz val="14"/>
            <color rgb="FF000000"/>
            <rFont val="Times New Roman"/>
            <family val="18"/>
          </rPr>
          <t xml:space="preserve"> </t>
        </r>
        <r>
          <rPr>
            <i/>
            <sz val="14"/>
            <color rgb="FF000000"/>
            <rFont val="Times New Roman"/>
            <family val="18"/>
          </rPr>
          <t>transferiert</t>
        </r>
        <r>
          <rPr>
            <sz val="14"/>
            <color rgb="FF000000"/>
            <rFont val="Times New Roman"/>
            <family val="18"/>
          </rPr>
          <t xml:space="preserve"> [ML 1818]</t>
        </r>
        <r>
          <rPr>
            <sz val="14"/>
            <color rgb="FF000000"/>
            <rFont val="Calibri"/>
            <family val="34"/>
          </rPr>
          <t xml:space="preserve">
</t>
        </r>
        <r>
          <rPr>
            <sz val="14"/>
            <color rgb="FF000000"/>
            <rFont val="Times New Roman"/>
            <family val="18"/>
          </rPr>
          <t>28/05/1817</t>
        </r>
        <r>
          <rPr>
            <i/>
            <sz val="14"/>
            <color rgb="FF000000"/>
            <rFont val="Times New Roman"/>
            <family val="18"/>
          </rPr>
          <t xml:space="preserve"> Desertiert </t>
        </r>
        <r>
          <rPr>
            <sz val="14"/>
            <color rgb="FF000000"/>
            <rFont val="Times New Roman"/>
            <family val="18"/>
          </rPr>
          <t>[ML 1818]</t>
        </r>
        <r>
          <rPr>
            <sz val="14"/>
            <color rgb="FF000000"/>
            <rFont val="Calibri"/>
            <family val="34"/>
          </rPr>
          <t xml:space="preserve">
</t>
        </r>
        <r>
          <rPr>
            <sz val="14"/>
            <color rgb="FF000000"/>
            <rFont val="Times New Roman"/>
            <family val="18"/>
          </rPr>
          <t xml:space="preserve">29/05/1817 </t>
        </r>
        <r>
          <rPr>
            <i/>
            <sz val="14"/>
            <color rgb="FF000000"/>
            <rFont val="Times New Roman"/>
            <family val="18"/>
          </rPr>
          <t xml:space="preserve">A 8fl Taglia von military eingebracht </t>
        </r>
        <r>
          <rPr>
            <sz val="14"/>
            <color rgb="FF000000"/>
            <rFont val="Times New Roman"/>
            <family val="18"/>
          </rPr>
          <t>[ML 1818]</t>
        </r>
        <r>
          <rPr>
            <sz val="14"/>
            <color rgb="FF000000"/>
            <rFont val="Calibri"/>
            <family val="34"/>
          </rPr>
          <t xml:space="preserve">
</t>
        </r>
        <r>
          <rPr>
            <sz val="14"/>
            <color rgb="FF000000"/>
            <rFont val="Times New Roman"/>
            <family val="18"/>
          </rPr>
          <t>09/11/1818 Muster: IR 62 17. Fus. Komp. Nr. 91 [</t>
        </r>
        <r>
          <rPr>
            <i/>
            <sz val="14"/>
            <color rgb="FF000000"/>
            <rFont val="Times New Roman"/>
            <family val="18"/>
          </rPr>
          <t>Comandiert Beurlaubt zu Clausenburg</t>
        </r>
        <r>
          <rPr>
            <sz val="14"/>
            <color rgb="FF000000"/>
            <rFont val="Times New Roman"/>
            <family val="18"/>
          </rPr>
          <t>]</t>
        </r>
        <r>
          <rPr>
            <sz val="14"/>
            <color rgb="FF000000"/>
            <rFont val="Calibri"/>
            <family val="34"/>
          </rPr>
          <t xml:space="preserve">
</t>
        </r>
        <r>
          <rPr>
            <sz val="14"/>
            <color rgb="FF000000"/>
            <rFont val="Times New Roman"/>
            <family val="18"/>
          </rPr>
          <t xml:space="preserve">11/05/1819 </t>
        </r>
        <r>
          <rPr>
            <i/>
            <sz val="14"/>
            <color rgb="FF000000"/>
            <rFont val="Times New Roman"/>
            <family val="18"/>
          </rPr>
          <t>Desertiert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16/05/1819 </t>
        </r>
        <r>
          <rPr>
            <i/>
            <sz val="14"/>
            <color rgb="FF000000"/>
            <rFont val="Times New Roman"/>
            <family val="18"/>
          </rPr>
          <t>Von Militär a 8Fl Taglia attrapiert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18/07/1819 </t>
        </r>
        <r>
          <rPr>
            <i/>
            <sz val="14"/>
            <color rgb="FF000000"/>
            <rFont val="Times New Roman"/>
            <family val="18"/>
          </rPr>
          <t xml:space="preserve">Desertiert </t>
        </r>
        <r>
          <rPr>
            <sz val="14"/>
            <color rgb="FF000000"/>
            <rFont val="Times New Roman"/>
            <family val="18"/>
          </rPr>
          <t>[ML 1819]</t>
        </r>
        <r>
          <rPr>
            <sz val="14"/>
            <color rgb="FF000000"/>
            <rFont val="Calibri"/>
            <family val="34"/>
          </rPr>
          <t xml:space="preserve">
</t>
        </r>
        <r>
          <rPr>
            <sz val="14"/>
            <color rgb="FF000000"/>
            <rFont val="Times New Roman"/>
            <family val="18"/>
          </rPr>
          <t xml:space="preserve">25/07/1819 </t>
        </r>
        <r>
          <rPr>
            <i/>
            <sz val="14"/>
            <color rgb="FF000000"/>
            <rFont val="Times New Roman"/>
            <family val="18"/>
          </rPr>
          <t>Von Land a 24Fl Taglia eingebracht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05/09/1819 </t>
        </r>
        <r>
          <rPr>
            <i/>
            <sz val="14"/>
            <color rgb="FF000000"/>
            <rFont val="Times New Roman"/>
            <family val="18"/>
          </rPr>
          <t>Von 17. Zum 18.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 xml:space="preserve">31/03/1820 </t>
        </r>
        <r>
          <rPr>
            <i/>
            <sz val="14"/>
            <color rgb="FF000000"/>
            <rFont val="Times New Roman"/>
            <family val="18"/>
          </rPr>
          <t>Von 18. Zum 9. Fus. Komp. transferiert</t>
        </r>
        <r>
          <rPr>
            <sz val="14"/>
            <color rgb="FF000000"/>
            <rFont val="Times New Roman"/>
            <family val="18"/>
          </rPr>
          <t xml:space="preserve"> [RL 1820]</t>
        </r>
        <r>
          <rPr>
            <sz val="14"/>
            <color rgb="FF000000"/>
            <rFont val="Calibri"/>
            <family val="34"/>
          </rPr>
          <t xml:space="preserve">
</t>
        </r>
        <r>
          <rPr>
            <sz val="14"/>
            <color rgb="FF000000"/>
            <rFont val="Times New Roman"/>
            <family val="18"/>
          </rPr>
          <t>04/09/1820 Revision: IR 62 9. Fus. Komp. Nr. 180</t>
        </r>
      </text>
    </comment>
    <comment ref="BG778" authorId="0" shapeId="0" xr:uid="{C4024D35-ECD9-F247-A3E6-BAE75DFA4329}">
      <text>
        <r>
          <rPr>
            <sz val="14"/>
            <color rgb="FF000000"/>
            <rFont val="Times New Roman"/>
            <family val="18"/>
          </rPr>
          <t>ML 5213/4 IR 62 (1818) – 15. Fus. Komp. Nr. 372 (Cronstadt 09/11/1818)</t>
        </r>
        <r>
          <rPr>
            <sz val="14"/>
            <color rgb="FF000000"/>
            <rFont val="Calibri"/>
            <family val="34"/>
          </rPr>
          <t xml:space="preserve">
</t>
        </r>
        <r>
          <rPr>
            <sz val="14"/>
            <color rgb="FF000000"/>
            <rFont val="Times New Roman"/>
            <family val="18"/>
          </rPr>
          <t>ML 5215/6 IR 62 (1819) – 18. Fus. Komp. Nr. 350 (Cronstadt 25/10/1819)</t>
        </r>
        <r>
          <rPr>
            <sz val="14"/>
            <color rgb="FF000000"/>
            <rFont val="Calibri"/>
            <family val="34"/>
          </rPr>
          <t xml:space="preserve">
</t>
        </r>
        <r>
          <rPr>
            <sz val="14"/>
            <color rgb="FF000000"/>
            <rFont val="Times New Roman"/>
            <family val="18"/>
          </rPr>
          <t>ML 5217 IR 62 (1820) – 9. Fus. Komp. Nr. 180 (Cremona 04/09/1820)</t>
        </r>
        <r>
          <rPr>
            <sz val="14"/>
            <color rgb="FF000000"/>
            <rFont val="Calibri"/>
            <family val="34"/>
          </rPr>
          <t xml:space="preserve">
</t>
        </r>
      </text>
    </comment>
    <comment ref="BH778" authorId="0" shapeId="0" xr:uid="{899CBB7B-0D7A-A543-A7D7-D5D9EAD4F048}">
      <text>
        <r>
          <rPr>
            <sz val="14"/>
            <color rgb="FF000000"/>
            <rFont val="Calibri"/>
            <family val="34"/>
          </rPr>
          <t xml:space="preserve">IR 51 (1815)
</t>
        </r>
        <r>
          <rPr>
            <sz val="14"/>
            <color rgb="FF000000"/>
            <rFont val="Calibri"/>
            <family val="34"/>
          </rPr>
          <t>IR 62 (1815-1820)</t>
        </r>
      </text>
    </comment>
    <comment ref="BF779" authorId="0" shapeId="0" xr:uid="{461E5B31-F5C0-D444-B3B7-35643164355E}">
      <text>
        <r>
          <rPr>
            <sz val="14"/>
            <color rgb="FF000000"/>
            <rFont val="Times New Roman"/>
            <family val="18"/>
          </rPr>
          <t xml:space="preserve">01/07/1815 A 10Fl Handgeld C.M. auf 6 Jahr zu Baron Fenner Tyroler Jäger Corps freiwillig assentiert und zur 10. Komp. eingeteilt [ML 1817 &amp; ST Juli 1815]
</t>
        </r>
        <r>
          <rPr>
            <sz val="14"/>
            <color rgb="FF000000"/>
            <rFont val="Times New Roman"/>
            <family val="18"/>
          </rPr>
          <t xml:space="preserve">01/09/1815 </t>
        </r>
        <r>
          <rPr>
            <i/>
            <sz val="14"/>
            <color rgb="FF000000"/>
            <rFont val="Times New Roman"/>
            <family val="18"/>
          </rPr>
          <t>Von 10. zum 14. Komp. transferiert und zum Patrouilleführer avanciert</t>
        </r>
        <r>
          <rPr>
            <sz val="14"/>
            <color rgb="FF000000"/>
            <rFont val="Times New Roman"/>
            <family val="18"/>
          </rPr>
          <t xml:space="preserve"> [ST Sept 1815]</t>
        </r>
        <r>
          <rPr>
            <sz val="14"/>
            <color rgb="FF000000"/>
            <rFont val="Calibri"/>
            <family val="34"/>
          </rPr>
          <t xml:space="preserve">
</t>
        </r>
        <r>
          <rPr>
            <sz val="14"/>
            <color rgb="FF000000"/>
            <rFont val="Times New Roman"/>
            <family val="18"/>
          </rPr>
          <t xml:space="preserve">01/10/1815 </t>
        </r>
        <r>
          <rPr>
            <i/>
            <sz val="14"/>
            <color rgb="FF000000"/>
            <rFont val="Times New Roman"/>
            <family val="18"/>
          </rPr>
          <t xml:space="preserve">Zum Unterjäger avanciert </t>
        </r>
        <r>
          <rPr>
            <sz val="14"/>
            <color rgb="FF000000"/>
            <rFont val="Times New Roman"/>
            <family val="18"/>
          </rPr>
          <t>[ST Oct 1815]</t>
        </r>
        <r>
          <rPr>
            <sz val="14"/>
            <color rgb="FF000000"/>
            <rFont val="Calibri"/>
            <family val="34"/>
          </rPr>
          <t xml:space="preserve">
</t>
        </r>
        <r>
          <rPr>
            <sz val="14"/>
            <color rgb="FF000000"/>
            <rFont val="Times New Roman"/>
            <family val="18"/>
          </rPr>
          <t xml:space="preserve">01/01/1816 </t>
        </r>
        <r>
          <rPr>
            <i/>
            <sz val="14"/>
            <color rgb="FF000000"/>
            <rFont val="Times New Roman"/>
            <family val="18"/>
          </rPr>
          <t>Nach Auflösung des Fennerischen Tyroler Jäger Corps Fenners zum Tiroler Jäger Regiment ‚Kaiser‘</t>
        </r>
        <r>
          <rPr>
            <sz val="14"/>
            <color rgb="FF000000"/>
            <rFont val="Times New Roman"/>
            <family val="18"/>
          </rPr>
          <t xml:space="preserve"> </t>
        </r>
        <r>
          <rPr>
            <i/>
            <sz val="14"/>
            <color rgb="FF000000"/>
            <rFont val="Times New Roman"/>
            <family val="18"/>
          </rPr>
          <t>transferiert und zum 14. Kompanie eingeteilt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01/12/1816 </t>
        </r>
        <r>
          <rPr>
            <i/>
            <sz val="14"/>
            <color rgb="FF000000"/>
            <rFont val="Times New Roman"/>
            <family val="18"/>
          </rPr>
          <t>Von 14. Zum 15. Companie transferiert</t>
        </r>
        <r>
          <rPr>
            <sz val="14"/>
            <color rgb="FF000000"/>
            <rFont val="Times New Roman"/>
            <family val="18"/>
          </rPr>
          <t xml:space="preserve"> [ML 1817]</t>
        </r>
        <r>
          <rPr>
            <sz val="14"/>
            <color rgb="FF000000"/>
            <rFont val="Calibri"/>
            <family val="34"/>
          </rPr>
          <t xml:space="preserve">
</t>
        </r>
        <r>
          <rPr>
            <sz val="14"/>
            <color rgb="FF000000"/>
            <rFont val="Times New Roman"/>
            <family val="18"/>
          </rPr>
          <t xml:space="preserve">04/10/1817 Musterung: IR 64 15. Comp. Nr. 14 </t>
        </r>
        <r>
          <rPr>
            <sz val="14"/>
            <color rgb="FF000000"/>
            <rFont val="Calibri"/>
            <family val="34"/>
          </rPr>
          <t xml:space="preserve">
</t>
        </r>
        <r>
          <rPr>
            <sz val="14"/>
            <color rgb="FF000000"/>
            <rFont val="Times New Roman"/>
            <family val="18"/>
          </rPr>
          <t xml:space="preserve">14/01/1818 </t>
        </r>
        <r>
          <rPr>
            <i/>
            <sz val="14"/>
            <color rgb="FF000000"/>
            <rFont val="Times New Roman"/>
            <family val="18"/>
          </rPr>
          <t>Das Kompanie einrückt ins Kufstein</t>
        </r>
        <r>
          <rPr>
            <sz val="14"/>
            <color rgb="FF000000"/>
            <rFont val="Times New Roman"/>
            <family val="18"/>
          </rPr>
          <t xml:space="preserve"> [ST Jan 1818]</t>
        </r>
        <r>
          <rPr>
            <sz val="14"/>
            <color rgb="FF000000"/>
            <rFont val="Calibri"/>
            <family val="34"/>
          </rPr>
          <t xml:space="preserve">
</t>
        </r>
        <r>
          <rPr>
            <sz val="14"/>
            <color rgb="FF000000"/>
            <rFont val="Times New Roman"/>
            <family val="18"/>
          </rPr>
          <t>25/09/1818 Musterung: IR 64 15. Comp. Nr. 14</t>
        </r>
        <r>
          <rPr>
            <sz val="14"/>
            <color rgb="FF000000"/>
            <rFont val="Calibri"/>
            <family val="34"/>
          </rPr>
          <t xml:space="preserve">
</t>
        </r>
        <r>
          <rPr>
            <sz val="14"/>
            <color rgb="FF000000"/>
            <rFont val="Times New Roman"/>
            <family val="18"/>
          </rPr>
          <t xml:space="preserve">17/11/1818 </t>
        </r>
        <r>
          <rPr>
            <i/>
            <sz val="14"/>
            <color rgb="FF000000"/>
            <rFont val="Times New Roman"/>
            <family val="18"/>
          </rPr>
          <t>Die Kompanie marschiert von Kufstein raus</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20/11/1818 </t>
        </r>
        <r>
          <rPr>
            <i/>
            <sz val="14"/>
            <color rgb="FF000000"/>
            <rFont val="Times New Roman"/>
            <family val="18"/>
          </rPr>
          <t>Die Kompanie einrückt ins Innsbruck</t>
        </r>
        <r>
          <rPr>
            <sz val="14"/>
            <color rgb="FF000000"/>
            <rFont val="Times New Roman"/>
            <family val="18"/>
          </rPr>
          <t xml:space="preserve"> [ST Nov 1818]</t>
        </r>
        <r>
          <rPr>
            <sz val="14"/>
            <color rgb="FF000000"/>
            <rFont val="Calibri"/>
            <family val="34"/>
          </rPr>
          <t xml:space="preserve">
</t>
        </r>
        <r>
          <rPr>
            <sz val="14"/>
            <color rgb="FF000000"/>
            <rFont val="Times New Roman"/>
            <family val="18"/>
          </rPr>
          <t>12/10/1819 Musterung: IR 64 15. Komp. Nr. 13</t>
        </r>
        <r>
          <rPr>
            <sz val="14"/>
            <color rgb="FF000000"/>
            <rFont val="Calibri"/>
            <family val="34"/>
          </rPr>
          <t xml:space="preserve">
</t>
        </r>
        <r>
          <rPr>
            <sz val="14"/>
            <color rgb="FF000000"/>
            <rFont val="Times New Roman"/>
            <family val="18"/>
          </rPr>
          <t xml:space="preserve">29/04/1820 </t>
        </r>
        <r>
          <rPr>
            <i/>
            <sz val="14"/>
            <color rgb="FF000000"/>
            <rFont val="Times New Roman"/>
            <family val="18"/>
          </rPr>
          <t>Die Kompanie Marschiert nach Kufstein Raus</t>
        </r>
        <r>
          <rPr>
            <sz val="14"/>
            <color rgb="FF000000"/>
            <rFont val="Times New Roman"/>
            <family val="18"/>
          </rPr>
          <t xml:space="preserve"> [ST April 1820)</t>
        </r>
        <r>
          <rPr>
            <sz val="14"/>
            <color rgb="FF000000"/>
            <rFont val="Calibri"/>
            <family val="34"/>
          </rPr>
          <t xml:space="preserve">
</t>
        </r>
        <r>
          <rPr>
            <sz val="14"/>
            <color rgb="FF000000"/>
            <rFont val="Times New Roman"/>
            <family val="18"/>
          </rPr>
          <t xml:space="preserve">01/05/1820 </t>
        </r>
        <r>
          <rPr>
            <i/>
            <sz val="14"/>
            <color rgb="FF000000"/>
            <rFont val="Times New Roman"/>
            <family val="18"/>
          </rPr>
          <t>Einkunft und Einquartierung der Kompanie ins Festung Kufstein</t>
        </r>
        <r>
          <rPr>
            <sz val="14"/>
            <color rgb="FF000000"/>
            <rFont val="Times New Roman"/>
            <family val="18"/>
          </rPr>
          <t xml:space="preserve"> [ST May 1820]</t>
        </r>
        <r>
          <rPr>
            <sz val="14"/>
            <color rgb="FF000000"/>
            <rFont val="Calibri"/>
            <family val="34"/>
          </rPr>
          <t xml:space="preserve">
</t>
        </r>
        <r>
          <rPr>
            <sz val="14"/>
            <color rgb="FF000000"/>
            <rFont val="Times New Roman"/>
            <family val="18"/>
          </rPr>
          <t xml:space="preserve">21/06/1820 </t>
        </r>
        <r>
          <rPr>
            <i/>
            <sz val="14"/>
            <color rgb="FF000000"/>
            <rFont val="Times New Roman"/>
            <family val="18"/>
          </rPr>
          <t>Von 15. zum 18. Komp. transferiert</t>
        </r>
        <r>
          <rPr>
            <sz val="14"/>
            <color rgb="FF000000"/>
            <rFont val="Times New Roman"/>
            <family val="18"/>
          </rPr>
          <t xml:space="preserve"> [RL 1820 &amp; ST June 1820]</t>
        </r>
        <r>
          <rPr>
            <sz val="14"/>
            <color rgb="FF000000"/>
            <rFont val="Calibri"/>
            <family val="34"/>
          </rPr>
          <t xml:space="preserve">
</t>
        </r>
        <r>
          <rPr>
            <sz val="14"/>
            <color rgb="FF000000"/>
            <rFont val="Times New Roman"/>
            <family val="18"/>
          </rPr>
          <t>13/10/1820 Revision: IR 64 18. Komp. Nr. 15</t>
        </r>
        <r>
          <rPr>
            <sz val="14"/>
            <color rgb="FF000000"/>
            <rFont val="Calibri"/>
            <family val="34"/>
          </rPr>
          <t xml:space="preserve">
</t>
        </r>
        <r>
          <rPr>
            <sz val="14"/>
            <color rgb="FF000000"/>
            <rFont val="Times New Roman"/>
            <family val="18"/>
          </rPr>
          <t xml:space="preserve">31/10/1821 </t>
        </r>
        <r>
          <rPr>
            <i/>
            <sz val="14"/>
            <color rgb="FF000000"/>
            <rFont val="Times New Roman"/>
            <family val="18"/>
          </rPr>
          <t>Als Ausgedienter Capitulant mit Abschied entlassen</t>
        </r>
        <r>
          <rPr>
            <sz val="14"/>
            <color rgb="FF000000"/>
            <rFont val="Times New Roman"/>
            <family val="18"/>
          </rPr>
          <t xml:space="preserve"> [GB TKJR 27]</t>
        </r>
      </text>
    </comment>
    <comment ref="BG779" authorId="0" shapeId="0" xr:uid="{6CDE015D-6317-494B-A3E5-6A63E56D8125}">
      <text>
        <r>
          <rPr>
            <sz val="14"/>
            <color rgb="FF000000"/>
            <rFont val="Times New Roman"/>
            <family val="18"/>
          </rPr>
          <t>ML 11.084 JFK Fenner (1815) – ST Juli (Innsbruck 28/02/1816), Sept (20/05/1816), Oct (30/05/1816), Dec (Innsbruck 26/08/1816)</t>
        </r>
        <r>
          <rPr>
            <sz val="14"/>
            <color rgb="FF000000"/>
            <rFont val="Calibri"/>
            <family val="34"/>
          </rPr>
          <t xml:space="preserve">
</t>
        </r>
        <r>
          <rPr>
            <sz val="14"/>
            <color rgb="FF000000"/>
            <rFont val="Times New Roman"/>
            <family val="18"/>
          </rPr>
          <t>ML 11.086/7 JFK Fenner (1816) – TL JFK Fenner-&gt;TKJR 14. Komp. Nr. 8 (Innsbruck 12/08/1816</t>
        </r>
        <r>
          <rPr>
            <sz val="14"/>
            <color rgb="FF000000"/>
            <rFont val="Calibri"/>
            <family val="34"/>
          </rPr>
          <t>)</t>
        </r>
        <r>
          <rPr>
            <sz val="14"/>
            <color rgb="FF000000"/>
            <rFont val="Calibri"/>
            <family val="34"/>
          </rPr>
          <t xml:space="preserve">
</t>
        </r>
        <r>
          <rPr>
            <sz val="14"/>
            <color rgb="FF000000"/>
            <rFont val="Times New Roman"/>
            <family val="18"/>
          </rPr>
          <t>ML 5118-20 IR 64 (1817): 14. Komp. Zuwachs &amp; Abgang (Bregenz 04/10/1817), 15. Komp. Nr. 14 (Bregenz 04/10/1817)</t>
        </r>
        <r>
          <rPr>
            <sz val="14"/>
            <color rgb="FF000000"/>
            <rFont val="Calibri"/>
            <family val="34"/>
          </rPr>
          <t xml:space="preserve">
</t>
        </r>
        <r>
          <rPr>
            <sz val="14"/>
            <color rgb="FF000000"/>
            <rFont val="Times New Roman"/>
            <family val="18"/>
          </rPr>
          <t>ML 5321-23 IR 64 (1818) – 15. Komp. Nr. 14 (Kufstein 25/09/1818)</t>
        </r>
        <r>
          <rPr>
            <sz val="14"/>
            <color rgb="FF000000"/>
            <rFont val="Calibri"/>
            <family val="34"/>
          </rPr>
          <t xml:space="preserve">
</t>
        </r>
        <r>
          <rPr>
            <sz val="14"/>
            <color rgb="FF000000"/>
            <rFont val="Times New Roman"/>
            <family val="18"/>
          </rPr>
          <t>ML 5324-26 IR 64 (1819) – 15. Komp. Nr. 13 (Innsbruck 12/10/1819)</t>
        </r>
        <r>
          <rPr>
            <sz val="14"/>
            <color rgb="FF000000"/>
            <rFont val="Calibri"/>
            <family val="34"/>
          </rPr>
          <t xml:space="preserve">
</t>
        </r>
        <r>
          <rPr>
            <sz val="14"/>
            <color rgb="FF000000"/>
            <rFont val="Times New Roman"/>
            <family val="18"/>
          </rPr>
          <t>ML 5327 IR 64 (1820) – 18. Komp. Nr. 15 (Innsbruck 13/10/1820)</t>
        </r>
        <r>
          <rPr>
            <sz val="14"/>
            <color rgb="FF000000"/>
            <rFont val="Calibri"/>
            <family val="34"/>
          </rPr>
          <t xml:space="preserve">
</t>
        </r>
        <r>
          <rPr>
            <sz val="14"/>
            <color rgb="FF000000"/>
            <rFont val="Times New Roman"/>
            <family val="18"/>
          </rPr>
          <t>ML 5333 IR 64 (1818) – January (Innsbruck 19/04/1818), November (Innsbruck 12/01/1819)</t>
        </r>
        <r>
          <rPr>
            <sz val="14"/>
            <color rgb="FF000000"/>
            <rFont val="Calibri"/>
            <family val="34"/>
          </rPr>
          <t xml:space="preserve">
</t>
        </r>
        <r>
          <rPr>
            <sz val="14"/>
            <color rgb="FF000000"/>
            <rFont val="Times New Roman"/>
            <family val="18"/>
          </rPr>
          <t>ML 5336 IR 64 (1820) – April (Innsbruck 20/05/1820), May (Innsbruck 24/06/1820), June (??/07/1820)</t>
        </r>
        <r>
          <rPr>
            <sz val="14"/>
            <color rgb="FF000000"/>
            <rFont val="Calibri"/>
            <family val="34"/>
          </rPr>
          <t xml:space="preserve">
</t>
        </r>
        <r>
          <rPr>
            <sz val="14"/>
            <color rgb="FF000000"/>
            <rFont val="Times New Roman"/>
            <family val="18"/>
          </rPr>
          <t xml:space="preserve">GB Kaiser Jäger Regiment 27: Abgang Klasse III 1820-1840 Heft 10 S. 183.  </t>
        </r>
        <r>
          <rPr>
            <sz val="14"/>
            <color rgb="FF000000"/>
            <rFont val="Calibri"/>
            <family val="34"/>
          </rPr>
          <t xml:space="preserve">
</t>
        </r>
        <r>
          <rPr>
            <sz val="14"/>
            <color rgb="FF000000"/>
            <rFont val="Times New Roman"/>
            <family val="18"/>
          </rPr>
          <t xml:space="preserve">Hohenems Geneologie </t>
        </r>
        <r>
          <rPr>
            <u/>
            <sz val="14"/>
            <color rgb="FF0563C1"/>
            <rFont val="Times New Roman"/>
            <family val="18"/>
          </rPr>
          <t>I2142</t>
        </r>
        <r>
          <rPr>
            <sz val="14"/>
            <color rgb="FF000000"/>
            <rFont val="Calibri"/>
            <family val="34"/>
          </rPr>
          <t xml:space="preserve">
</t>
        </r>
      </text>
    </comment>
    <comment ref="BH779" authorId="0" shapeId="0" xr:uid="{8DECB637-C26A-1641-A9D3-46B89D2F7460}">
      <text>
        <r>
          <rPr>
            <sz val="14"/>
            <color rgb="FF000000"/>
            <rFont val="Calibri"/>
            <family val="34"/>
          </rPr>
          <t xml:space="preserve">Fenner FJK (1814-1815)
</t>
        </r>
        <r>
          <rPr>
            <sz val="14"/>
            <color rgb="FF000000"/>
            <rFont val="Calibri"/>
            <family val="34"/>
          </rPr>
          <t>TKJR (1816-1821)</t>
        </r>
      </text>
    </comment>
    <comment ref="BF780" authorId="0" shapeId="0" xr:uid="{74273BD0-297B-E441-8643-E338DD455956}">
      <text>
        <r>
          <rPr>
            <sz val="14"/>
            <color rgb="FF000000"/>
            <rFont val="Times New Roman"/>
            <family val="18"/>
          </rPr>
          <t xml:space="preserve">06/07/1815 </t>
        </r>
        <r>
          <rPr>
            <i/>
            <sz val="14"/>
            <color rgb="FF000000"/>
            <rFont val="Times New Roman"/>
            <family val="18"/>
          </rPr>
          <t>Gegen 3Fl Handgeld auf 14 Jahr zu Przemysl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12. Fus. Komp. Nr. 62</t>
        </r>
        <r>
          <rPr>
            <sz val="14"/>
            <color rgb="FF000000"/>
            <rFont val="Calibri"/>
            <family val="34"/>
          </rPr>
          <t xml:space="preserve">
</t>
        </r>
        <r>
          <rPr>
            <sz val="14"/>
            <color rgb="FF000000"/>
            <rFont val="Times New Roman"/>
            <family val="18"/>
          </rPr>
          <t>24/10/1818 Muster: IR 44 12. Fus. Komp. Nr. 56</t>
        </r>
        <r>
          <rPr>
            <sz val="14"/>
            <color rgb="FF000000"/>
            <rFont val="Calibri"/>
            <family val="34"/>
          </rPr>
          <t xml:space="preserve">
</t>
        </r>
        <r>
          <rPr>
            <sz val="14"/>
            <color rgb="FF000000"/>
            <rFont val="Times New Roman"/>
            <family val="18"/>
          </rPr>
          <t xml:space="preserve">01/08/1819 </t>
        </r>
        <r>
          <rPr>
            <i/>
            <sz val="14"/>
            <color rgb="FF000000"/>
            <rFont val="Times New Roman"/>
            <family val="18"/>
          </rPr>
          <t>Von 12. Zur 18. Fus. Komp. transferiert</t>
        </r>
        <r>
          <rPr>
            <sz val="14"/>
            <color rgb="FF000000"/>
            <rFont val="Times New Roman"/>
            <family val="18"/>
          </rPr>
          <t xml:space="preserve"> [ML 1819]</t>
        </r>
        <r>
          <rPr>
            <sz val="14"/>
            <color rgb="FF000000"/>
            <rFont val="Calibri"/>
            <family val="34"/>
          </rPr>
          <t xml:space="preserve">
</t>
        </r>
        <r>
          <rPr>
            <sz val="14"/>
            <color rgb="FF000000"/>
            <rFont val="Times New Roman"/>
            <family val="18"/>
          </rPr>
          <t>18/10/1819 Muster: IR 44 18. Fus. Komp. Nr. 52</t>
        </r>
        <r>
          <rPr>
            <sz val="14"/>
            <color rgb="FF000000"/>
            <rFont val="Calibri"/>
            <family val="34"/>
          </rPr>
          <t xml:space="preserve">
</t>
        </r>
        <r>
          <rPr>
            <sz val="14"/>
            <color rgb="FF000000"/>
            <rFont val="Times New Roman"/>
            <family val="18"/>
          </rPr>
          <t>27/09/1820 Muster: IR 44 18. Fus. Komp. Nr. 42 [</t>
        </r>
        <r>
          <rPr>
            <i/>
            <sz val="14"/>
            <color rgb="FF000000"/>
            <rFont val="Times New Roman"/>
            <family val="18"/>
          </rPr>
          <t>Auf Grenz Cordon erteilt</t>
        </r>
        <r>
          <rPr>
            <sz val="14"/>
            <color rgb="FF000000"/>
            <rFont val="Times New Roman"/>
            <family val="18"/>
          </rPr>
          <t>]</t>
        </r>
      </text>
    </comment>
    <comment ref="BG780" authorId="0" shapeId="0" xr:uid="{24C5C719-0DE5-3A47-960E-9A1A1D25DA3E}">
      <text>
        <r>
          <rPr>
            <sz val="14"/>
            <color rgb="FF000000"/>
            <rFont val="Times New Roman"/>
            <family val="18"/>
          </rPr>
          <t>ML 3915/6 IR 44 (1818) – 12. Fus. Komp. Nr. 62 (Pavia 05/01/1818); 12. Fus. Komp. Nr. 56 (Pavia 24/10/1818)</t>
        </r>
        <r>
          <rPr>
            <sz val="14"/>
            <color rgb="FF000000"/>
            <rFont val="Calibri"/>
            <family val="34"/>
          </rPr>
          <t xml:space="preserve">
</t>
        </r>
        <r>
          <rPr>
            <sz val="14"/>
            <color rgb="FF000000"/>
            <rFont val="Times New Roman"/>
            <family val="18"/>
          </rPr>
          <t>ML 3918/9 IR 44 (1819) – 18. Fus. Komp. Nr. 52 (Pavia 18/10/1819)</t>
        </r>
        <r>
          <rPr>
            <sz val="14"/>
            <color rgb="FF000000"/>
            <rFont val="Calibri"/>
            <family val="34"/>
          </rPr>
          <t xml:space="preserve">
</t>
        </r>
        <r>
          <rPr>
            <sz val="14"/>
            <color rgb="FF000000"/>
            <rFont val="Times New Roman"/>
            <family val="18"/>
          </rPr>
          <t>ML 3920 IR 44 (1820) – 18. Fus. Komp. Nr. 42 (Como 27/09/1820)</t>
        </r>
        <r>
          <rPr>
            <sz val="14"/>
            <color rgb="FF000000"/>
            <rFont val="Calibri"/>
            <family val="34"/>
          </rPr>
          <t xml:space="preserve">
</t>
        </r>
      </text>
    </comment>
    <comment ref="BH780" authorId="0" shapeId="0" xr:uid="{A695BC0E-502A-F046-8538-CA5FFDDA72E5}">
      <text>
        <r>
          <rPr>
            <sz val="14"/>
            <color rgb="FF000000"/>
            <rFont val="Calibri"/>
            <family val="34"/>
          </rPr>
          <t>IR 44 (1815-1820)</t>
        </r>
      </text>
    </comment>
    <comment ref="CR780" authorId="0" shapeId="0" xr:uid="{DABF24DC-C3EB-8947-8F50-B5156BFAD2FF}">
      <text>
        <r>
          <rPr>
            <sz val="14"/>
            <color rgb="FF000000"/>
            <rFont val="Calibri"/>
            <family val="34"/>
          </rPr>
          <t>1818 I: Jüdisch [Isak GOLDSCHMIDT]</t>
        </r>
        <r>
          <rPr>
            <sz val="14"/>
            <color rgb="FF000000"/>
            <rFont val="Calibri"/>
            <family val="2"/>
          </rPr>
          <t xml:space="preserve"> </t>
        </r>
        <r>
          <rPr>
            <sz val="14"/>
            <color rgb="FF000000"/>
            <rFont val="Calibri"/>
            <family val="34"/>
          </rPr>
          <t xml:space="preserve">
</t>
        </r>
        <r>
          <rPr>
            <sz val="14"/>
            <color rgb="FF000000"/>
            <rFont val="Calibri"/>
            <family val="34"/>
          </rPr>
          <t xml:space="preserve">1818 II-20: Katolisch [Johann GOLDSCHMIDT]  </t>
        </r>
      </text>
    </comment>
    <comment ref="C781" authorId="0" shapeId="0" xr:uid="{AE512F92-5E17-C146-B871-67F9FE88FF8C}">
      <text>
        <r>
          <rPr>
            <b/>
            <u/>
            <sz val="14"/>
            <color rgb="FF0563C1"/>
            <rFont val="Times New Roman"/>
            <family val="18"/>
          </rPr>
          <t>San Martino Gusnago</t>
        </r>
        <r>
          <rPr>
            <sz val="14"/>
            <color rgb="FF000000"/>
            <rFont val="Times New Roman"/>
            <family val="18"/>
          </rPr>
          <t xml:space="preserve"> (1816)
</t>
        </r>
        <r>
          <rPr>
            <sz val="14"/>
            <color rgb="FF000000"/>
            <rFont val="Times New Roman"/>
            <family val="18"/>
          </rPr>
          <t xml:space="preserve">OR
</t>
        </r>
        <r>
          <rPr>
            <b/>
            <u/>
            <sz val="14"/>
            <color rgb="FF0563C1"/>
            <rFont val="Times New Roman"/>
            <family val="18"/>
          </rPr>
          <t>Ceresara, Italy</t>
        </r>
        <r>
          <rPr>
            <sz val="14"/>
            <color rgb="FF000000"/>
            <rFont val="Times New Roman"/>
            <family val="18"/>
          </rPr>
          <t xml:space="preserve"> (1817-1819)</t>
        </r>
      </text>
    </comment>
    <comment ref="I781" authorId="0" shapeId="0" xr:uid="{9142AB47-9AA9-404F-A62F-79E9B89062B0}">
      <text>
        <r>
          <rPr>
            <sz val="14"/>
            <color rgb="FF000000"/>
            <rFont val="Calibri"/>
            <family val="34"/>
          </rPr>
          <t xml:space="preserve">1789 [27 (1816)]
</t>
        </r>
        <r>
          <rPr>
            <sz val="14"/>
            <color rgb="FF000000"/>
            <rFont val="Calibri"/>
            <family val="34"/>
          </rPr>
          <t xml:space="preserve">OR 
</t>
        </r>
        <r>
          <rPr>
            <sz val="14"/>
            <color rgb="FF000000"/>
            <rFont val="Calibri"/>
            <family val="34"/>
          </rPr>
          <t>1780 [37 (1817)]</t>
        </r>
      </text>
    </comment>
    <comment ref="BF781" authorId="0" shapeId="0" xr:uid="{D5A1C913-B360-0F40-A6DC-ECCB07247428}">
      <text>
        <r>
          <rPr>
            <i/>
            <sz val="14"/>
            <color rgb="FF000000"/>
            <rFont val="Times New Roman"/>
            <family val="18"/>
          </rPr>
          <t>5 Jahr unter vorige italienische Regierung gedient</t>
        </r>
        <r>
          <rPr>
            <sz val="14"/>
            <color rgb="FF000000"/>
            <rFont val="Times New Roman"/>
            <family val="18"/>
          </rPr>
          <t xml:space="preserve"> [SUP Aug 1816]</t>
        </r>
        <r>
          <rPr>
            <sz val="14"/>
            <color rgb="FF000000"/>
            <rFont val="Calibri"/>
            <family val="34"/>
          </rPr>
          <t xml:space="preserve">
</t>
        </r>
        <r>
          <rPr>
            <sz val="14"/>
            <color rgb="FFFF0000"/>
            <rFont val="Times New Roman"/>
            <family val="18"/>
          </rPr>
          <t xml:space="preserve">11/09/1815 </t>
        </r>
        <r>
          <rPr>
            <i/>
            <sz val="14"/>
            <color rgb="FFFF0000"/>
            <rFont val="Times New Roman"/>
            <family val="18"/>
          </rPr>
          <t>von Ständen gestellt</t>
        </r>
        <r>
          <rPr>
            <sz val="14"/>
            <color rgb="FFFF0000"/>
            <rFont val="Times New Roman"/>
            <family val="18"/>
          </rPr>
          <t xml:space="preserve"> [SUP Aug 1816]</t>
        </r>
        <r>
          <rPr>
            <sz val="14"/>
            <color rgb="FF000000"/>
            <rFont val="Calibri"/>
            <family val="34"/>
          </rPr>
          <t xml:space="preserve">
</t>
        </r>
        <r>
          <rPr>
            <sz val="14"/>
            <color rgb="FF000000"/>
            <rFont val="Times New Roman"/>
            <family val="18"/>
          </rPr>
          <t xml:space="preserve">12/09/1815 </t>
        </r>
        <r>
          <rPr>
            <i/>
            <sz val="14"/>
            <color rgb="FF000000"/>
            <rFont val="Times New Roman"/>
            <family val="18"/>
          </rPr>
          <t>Von Ständen a 3Fl gestellt und zum 18. Fus Komp. eingeheilt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01/10/1815 </t>
        </r>
        <r>
          <rPr>
            <i/>
            <sz val="14"/>
            <color rgb="FF000000"/>
            <rFont val="Times New Roman"/>
            <family val="18"/>
          </rPr>
          <t>Von 18. Zum 8. Fus Komp. transferiert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06/10/1815 </t>
        </r>
        <r>
          <rPr>
            <i/>
            <sz val="14"/>
            <color rgb="FF000000"/>
            <rFont val="Times New Roman"/>
            <family val="18"/>
          </rPr>
          <t>Krank in Treviso</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31/12/1815 [Bis mindestens] </t>
        </r>
        <r>
          <rPr>
            <i/>
            <sz val="14"/>
            <color rgb="FF000000"/>
            <rFont val="Times New Roman"/>
            <family val="18"/>
          </rPr>
          <t xml:space="preserve">Krank in Treviso </t>
        </r>
        <r>
          <rPr>
            <sz val="14"/>
            <color rgb="FF000000"/>
            <rFont val="Times New Roman"/>
            <family val="18"/>
          </rPr>
          <t>[ST Dez 1815]</t>
        </r>
        <r>
          <rPr>
            <sz val="14"/>
            <color rgb="FF000000"/>
            <rFont val="Calibri"/>
            <family val="34"/>
          </rPr>
          <t xml:space="preserve">
</t>
        </r>
        <r>
          <rPr>
            <sz val="14"/>
            <color rgb="FF000000"/>
            <rFont val="Times New Roman"/>
            <family val="18"/>
          </rPr>
          <t xml:space="preserve">10/01/1816 [Bis] </t>
        </r>
        <r>
          <rPr>
            <i/>
            <sz val="14"/>
            <color rgb="FF000000"/>
            <rFont val="Times New Roman"/>
            <family val="18"/>
          </rPr>
          <t>Krank in Wien</t>
        </r>
        <r>
          <rPr>
            <sz val="14"/>
            <color rgb="FF000000"/>
            <rFont val="Times New Roman"/>
            <family val="18"/>
          </rPr>
          <t xml:space="preserve"> [SIC!] [ST Jan 1816]</t>
        </r>
        <r>
          <rPr>
            <sz val="14"/>
            <color rgb="FF000000"/>
            <rFont val="Calibri"/>
            <family val="34"/>
          </rPr>
          <t xml:space="preserve">
</t>
        </r>
        <r>
          <rPr>
            <sz val="14"/>
            <color rgb="FF000000"/>
            <rFont val="Times New Roman"/>
            <family val="18"/>
          </rPr>
          <t xml:space="preserve">11/01/1816 </t>
        </r>
        <r>
          <rPr>
            <i/>
            <sz val="14"/>
            <color rgb="FF000000"/>
            <rFont val="Times New Roman"/>
            <family val="18"/>
          </rPr>
          <t>Auf Anhero Marsch mit deutschen Gebühr</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16/01/1816 </t>
        </r>
        <r>
          <rPr>
            <i/>
            <sz val="14"/>
            <color rgb="FF000000"/>
            <rFont val="Times New Roman"/>
            <family val="18"/>
          </rPr>
          <t>Ins Companie eingerückt</t>
        </r>
        <r>
          <rPr>
            <sz val="14"/>
            <color rgb="FF000000"/>
            <rFont val="Times New Roman"/>
            <family val="18"/>
          </rPr>
          <t xml:space="preserve"> [ST Jan 1816] </t>
        </r>
        <r>
          <rPr>
            <sz val="14"/>
            <color rgb="FF000000"/>
            <rFont val="Calibri"/>
            <family val="34"/>
          </rPr>
          <t xml:space="preserve">
</t>
        </r>
        <r>
          <rPr>
            <sz val="14"/>
            <color rgb="FF000000"/>
            <rFont val="Times New Roman"/>
            <family val="18"/>
          </rPr>
          <t xml:space="preserve">24/01/1816 </t>
        </r>
        <r>
          <rPr>
            <i/>
            <sz val="14"/>
            <color rgb="FF000000"/>
            <rFont val="Times New Roman"/>
            <family val="18"/>
          </rPr>
          <t>Krank in Pressburg</t>
        </r>
        <r>
          <rPr>
            <sz val="14"/>
            <color rgb="FF000000"/>
            <rFont val="Times New Roman"/>
            <family val="18"/>
          </rPr>
          <t xml:space="preserve"> [ST Jan 1816]</t>
        </r>
        <r>
          <rPr>
            <sz val="14"/>
            <color rgb="FF000000"/>
            <rFont val="Calibri"/>
            <family val="34"/>
          </rPr>
          <t xml:space="preserve">
</t>
        </r>
        <r>
          <rPr>
            <sz val="14"/>
            <color rgb="FF000000"/>
            <rFont val="Times New Roman"/>
            <family val="18"/>
          </rPr>
          <t xml:space="preserve">10/02/1816 </t>
        </r>
        <r>
          <rPr>
            <i/>
            <sz val="14"/>
            <color rgb="FF000000"/>
            <rFont val="Times New Roman"/>
            <family val="18"/>
          </rPr>
          <t>Reconvalesciert</t>
        </r>
        <r>
          <rPr>
            <sz val="14"/>
            <color rgb="FF000000"/>
            <rFont val="Times New Roman"/>
            <family val="18"/>
          </rPr>
          <t xml:space="preserve"> [ST Feb 1816] </t>
        </r>
        <r>
          <rPr>
            <sz val="14"/>
            <color rgb="FF000000"/>
            <rFont val="Calibri"/>
            <family val="34"/>
          </rPr>
          <t xml:space="preserve">
</t>
        </r>
        <r>
          <rPr>
            <sz val="14"/>
            <color rgb="FF000000"/>
            <rFont val="Times New Roman"/>
            <family val="18"/>
          </rPr>
          <t xml:space="preserve">21/06/1816 </t>
        </r>
        <r>
          <rPr>
            <i/>
            <sz val="14"/>
            <color rgb="FF000000"/>
            <rFont val="Times New Roman"/>
            <family val="18"/>
          </rPr>
          <t xml:space="preserve">In Baad zu Pystiann </t>
        </r>
        <r>
          <rPr>
            <sz val="14"/>
            <color rgb="FF000000"/>
            <rFont val="Times New Roman"/>
            <family val="18"/>
          </rPr>
          <t xml:space="preserve">[ST June 1816] </t>
        </r>
        <r>
          <rPr>
            <sz val="14"/>
            <color rgb="FF000000"/>
            <rFont val="Calibri"/>
            <family val="34"/>
          </rPr>
          <t xml:space="preserve">
</t>
        </r>
        <r>
          <rPr>
            <sz val="14"/>
            <color rgb="FF000000"/>
            <rFont val="Times New Roman"/>
            <family val="18"/>
          </rPr>
          <t xml:space="preserve">25/07/1816 </t>
        </r>
        <r>
          <rPr>
            <i/>
            <sz val="14"/>
            <color rgb="FF000000"/>
            <rFont val="Times New Roman"/>
            <family val="18"/>
          </rPr>
          <t>Zurück in Companie</t>
        </r>
        <r>
          <rPr>
            <sz val="14"/>
            <color rgb="FF000000"/>
            <rFont val="Times New Roman"/>
            <family val="18"/>
          </rPr>
          <t xml:space="preserve"> [ST Juli 1816]</t>
        </r>
        <r>
          <rPr>
            <sz val="14"/>
            <color rgb="FF000000"/>
            <rFont val="Calibri"/>
            <family val="34"/>
          </rPr>
          <t xml:space="preserve">
</t>
        </r>
        <r>
          <rPr>
            <sz val="14"/>
            <color rgb="FF000000"/>
            <rFont val="Times New Roman"/>
            <family val="18"/>
          </rPr>
          <t xml:space="preserve">04/08/1816 </t>
        </r>
        <r>
          <rPr>
            <i/>
            <sz val="14"/>
            <color rgb="FF000000"/>
            <rFont val="Times New Roman"/>
            <family val="18"/>
          </rPr>
          <t>Als Angehörige von 8. Fus Comp in Mantua Superarbitriert: Hat noch fort zu dienen</t>
        </r>
        <r>
          <rPr>
            <sz val="14"/>
            <color rgb="FF000000"/>
            <rFont val="Times New Roman"/>
            <family val="18"/>
          </rPr>
          <t xml:space="preserve"> [SUP Aug 1816]</t>
        </r>
        <r>
          <rPr>
            <sz val="14"/>
            <color rgb="FF000000"/>
            <rFont val="Calibri"/>
            <family val="34"/>
          </rPr>
          <t xml:space="preserve">
</t>
        </r>
        <r>
          <rPr>
            <sz val="14"/>
            <color rgb="FF000000"/>
            <rFont val="Times New Roman"/>
            <family val="18"/>
          </rPr>
          <t>??/09/1816 Mit Loco Verpflegung auf dem Marsch zum Depot in Italien [ST Sept 1816]</t>
        </r>
        <r>
          <rPr>
            <sz val="14"/>
            <color rgb="FF000000"/>
            <rFont val="Calibri"/>
            <family val="34"/>
          </rPr>
          <t xml:space="preserve">
</t>
        </r>
        <r>
          <rPr>
            <sz val="14"/>
            <color rgb="FF000000"/>
            <rFont val="Times New Roman"/>
            <family val="18"/>
          </rPr>
          <t>??/11/1816 Ins Regiment Depot in Italien eingerückt [ST Nov 1816]</t>
        </r>
        <r>
          <rPr>
            <sz val="14"/>
            <color rgb="FF000000"/>
            <rFont val="Calibri"/>
            <family val="34"/>
          </rPr>
          <t xml:space="preserve">
</t>
        </r>
        <r>
          <rPr>
            <sz val="14"/>
            <color rgb="FF000000"/>
            <rFont val="Times New Roman"/>
            <family val="18"/>
          </rPr>
          <t>30/09/1817 Muster: 8. Fus Komp. Nr. 125 [</t>
        </r>
        <r>
          <rPr>
            <i/>
            <sz val="14"/>
            <color rgb="FF000000"/>
            <rFont val="Times New Roman"/>
            <family val="18"/>
          </rPr>
          <t>zugeheilt zum Regiments Depot</t>
        </r>
        <r>
          <rPr>
            <sz val="14"/>
            <color rgb="FF000000"/>
            <rFont val="Times New Roman"/>
            <family val="18"/>
          </rPr>
          <t>]</t>
        </r>
        <r>
          <rPr>
            <sz val="14"/>
            <color rgb="FF000000"/>
            <rFont val="Calibri"/>
            <family val="34"/>
          </rPr>
          <t xml:space="preserve">
</t>
        </r>
        <r>
          <rPr>
            <sz val="14"/>
            <color rgb="FF000000"/>
            <rFont val="Times New Roman"/>
            <family val="18"/>
          </rPr>
          <t>23/09/1818 Muster: IR 43 8. Fus Komp. Nr. 97</t>
        </r>
        <r>
          <rPr>
            <sz val="14"/>
            <color rgb="FF000000"/>
            <rFont val="Calibri"/>
            <family val="34"/>
          </rPr>
          <t xml:space="preserve">
</t>
        </r>
        <r>
          <rPr>
            <sz val="14"/>
            <color rgb="FF000000"/>
            <rFont val="Times New Roman"/>
            <family val="18"/>
          </rPr>
          <t>16/09/1819 Muster: IR 43 8. Fus Komp. Nr 28</t>
        </r>
        <r>
          <rPr>
            <sz val="14"/>
            <color rgb="FF000000"/>
            <rFont val="Calibri"/>
            <family val="34"/>
          </rPr>
          <t xml:space="preserve">
</t>
        </r>
        <r>
          <rPr>
            <sz val="14"/>
            <color rgb="FF000000"/>
            <rFont val="Times New Roman"/>
            <family val="18"/>
          </rPr>
          <t xml:space="preserve">31/10/1819 </t>
        </r>
        <r>
          <rPr>
            <i/>
            <sz val="14"/>
            <color rgb="FF000000"/>
            <rFont val="Times New Roman"/>
            <family val="18"/>
          </rPr>
          <t>in Folge Hohe hofkriegsratliche Reskript von 4. September a:c. R 3076 und hohe Banal General Commando Verordnung ddt Agram den 15. 7br a:c: R. 2313 als Ausgediente Inländer Capitulanten mit Abschied entlassen</t>
        </r>
        <r>
          <rPr>
            <sz val="14"/>
            <color rgb="FF000000"/>
            <rFont val="Times New Roman"/>
            <family val="18"/>
          </rPr>
          <t xml:space="preserve"> [ML 1820]</t>
        </r>
        <r>
          <rPr>
            <sz val="14"/>
            <color rgb="FF000000"/>
            <rFont val="Calibri"/>
            <family val="34"/>
          </rPr>
          <t xml:space="preserve">
</t>
        </r>
      </text>
    </comment>
    <comment ref="BG781" authorId="0" shapeId="0" xr:uid="{622136A6-FDBA-7949-9926-67ED04510054}">
      <text>
        <r>
          <rPr>
            <sz val="14"/>
            <color rgb="FF000000"/>
            <rFont val="Times New Roman"/>
            <family val="18"/>
          </rPr>
          <t>ML 3862/3 IR 43 (1817): 8. Fus Komp Nr. 125 (Preßburg 30/09/1817)</t>
        </r>
        <r>
          <rPr>
            <sz val="14"/>
            <color rgb="FF000000"/>
            <rFont val="Calibri"/>
            <family val="34"/>
          </rPr>
          <t xml:space="preserve">
</t>
        </r>
        <r>
          <rPr>
            <sz val="14"/>
            <color rgb="FF000000"/>
            <rFont val="Times New Roman"/>
            <family val="18"/>
          </rPr>
          <t>ML 3864/5 IR 43 (1818): 8. Fus Komp Nr. 97 (Raab 23/09/1818)</t>
        </r>
        <r>
          <rPr>
            <sz val="14"/>
            <color rgb="FF000000"/>
            <rFont val="Calibri"/>
            <family val="34"/>
          </rPr>
          <t xml:space="preserve">
</t>
        </r>
        <r>
          <rPr>
            <sz val="14"/>
            <color rgb="FF000000"/>
            <rFont val="Times New Roman"/>
            <family val="18"/>
          </rPr>
          <t>ML 3867/8 IR 43 (1819): 8. Fus. Komp. Nr. 28 (Carlopago 16/09/1819)</t>
        </r>
        <r>
          <rPr>
            <sz val="14"/>
            <color rgb="FF000000"/>
            <rFont val="Calibri"/>
            <family val="34"/>
          </rPr>
          <t xml:space="preserve">
</t>
        </r>
        <r>
          <rPr>
            <sz val="14"/>
            <color rgb="FF000000"/>
            <rFont val="Times New Roman"/>
            <family val="18"/>
          </rPr>
          <t>ML 3868/9 IR 43 (1820): 8. Fus. Komp. - Abgang (Carlstadt 11/09/1820)</t>
        </r>
        <r>
          <rPr>
            <sz val="14"/>
            <color rgb="FF000000"/>
            <rFont val="Calibri"/>
            <family val="34"/>
          </rPr>
          <t xml:space="preserve">
</t>
        </r>
        <r>
          <rPr>
            <sz val="14"/>
            <color rgb="FF000000"/>
            <rFont val="Times New Roman"/>
            <family val="18"/>
          </rPr>
          <t>ML 3871 IR 43 (1815) – ST Oct (28/11/1816)</t>
        </r>
        <r>
          <rPr>
            <sz val="14"/>
            <color rgb="FF000000"/>
            <rFont val="Calibri"/>
            <family val="34"/>
          </rPr>
          <t xml:space="preserve">
</t>
        </r>
        <r>
          <rPr>
            <sz val="14"/>
            <color rgb="FF000000"/>
            <rFont val="Times New Roman"/>
            <family val="18"/>
          </rPr>
          <t>ML 3872 IR 43 (1816) – ST Jan (15/03/1817), Feb (28/03/1817), Juni (01/06/1817), Juli (01/06/1817), Sept (Preßburg 12/07/1817); Nov (Preßburg 25/08/1817)</t>
        </r>
        <r>
          <rPr>
            <sz val="14"/>
            <color rgb="FF000000"/>
            <rFont val="Calibri"/>
            <family val="34"/>
          </rPr>
          <t xml:space="preserve">
</t>
        </r>
        <r>
          <rPr>
            <sz val="14"/>
            <color rgb="FF000000"/>
            <rFont val="Times New Roman"/>
            <family val="18"/>
          </rPr>
          <t>ML 3874 IR 43 (1816) – SUP Nr. 59 (Mantua 04/08/1816)</t>
        </r>
        <r>
          <rPr>
            <sz val="14"/>
            <color rgb="FF000000"/>
            <rFont val="Calibri"/>
            <family val="34"/>
          </rPr>
          <t xml:space="preserve">
</t>
        </r>
      </text>
    </comment>
    <comment ref="BH781" authorId="0" shapeId="0" xr:uid="{84672D07-8A3A-B940-95CE-DDECC6D86E8D}">
      <text>
        <r>
          <rPr>
            <sz val="14"/>
            <color rgb="FF000000"/>
            <rFont val="Calibri"/>
            <family val="34"/>
          </rPr>
          <t>IR 43 (1815-1819)</t>
        </r>
      </text>
    </comment>
    <comment ref="BI781" authorId="0" shapeId="0" xr:uid="{FB20947B-8015-6542-828D-85C352415A0F}">
      <text>
        <r>
          <rPr>
            <sz val="14"/>
            <color rgb="FF000000"/>
            <rFont val="Calibri"/>
            <family val="34"/>
          </rPr>
          <t>Gut [SUP Aug 1816]</t>
        </r>
      </text>
    </comment>
    <comment ref="BJ781" authorId="0" shapeId="0" xr:uid="{1BBDA1B6-0B16-0B4F-AAC5-244621BC08B4}">
      <text>
        <r>
          <rPr>
            <i/>
            <sz val="14"/>
            <color rgb="FF000000"/>
            <rFont val="Times New Roman"/>
            <family val="18"/>
          </rPr>
          <t>Schwäche Leibes Constitution: Immer kränklich, und veralteten Fußgeschwür</t>
        </r>
        <r>
          <rPr>
            <sz val="14"/>
            <color rgb="FF000000"/>
            <rFont val="Calibri"/>
            <family val="2"/>
          </rPr>
          <t xml:space="preserve"> </t>
        </r>
        <r>
          <rPr>
            <sz val="14"/>
            <color rgb="FF000000"/>
            <rFont val="Calibri"/>
            <family val="34"/>
          </rPr>
          <t>[SUP Aug 1816)</t>
        </r>
      </text>
    </comment>
    <comment ref="CR781" authorId="0" shapeId="0" xr:uid="{573DD558-E5CE-D44E-909B-33A5471217D6}">
      <text>
        <r>
          <rPr>
            <sz val="14"/>
            <color rgb="FF000000"/>
            <rFont val="Calibri"/>
            <family val="34"/>
          </rPr>
          <t>1816: Jüdisch</t>
        </r>
        <r>
          <rPr>
            <sz val="14"/>
            <color rgb="FF000000"/>
            <rFont val="Calibri"/>
            <family val="2"/>
          </rPr>
          <t xml:space="preserve"> </t>
        </r>
        <r>
          <rPr>
            <sz val="14"/>
            <color rgb="FF000000"/>
            <rFont val="Calibri"/>
            <family val="34"/>
          </rPr>
          <t xml:space="preserve">
</t>
        </r>
        <r>
          <rPr>
            <sz val="14"/>
            <color rgb="FF000000"/>
            <rFont val="Calibri"/>
            <family val="34"/>
          </rPr>
          <t xml:space="preserve">1817-19: Katolisch  </t>
        </r>
      </text>
    </comment>
    <comment ref="K782" authorId="0" shapeId="0" xr:uid="{081BF974-7C03-1B47-93CA-8FEB7CD63521}">
      <text>
        <r>
          <rPr>
            <sz val="14"/>
            <color rgb="FF000000"/>
            <rFont val="Calibri"/>
            <family val="34"/>
          </rPr>
          <t xml:space="preserve">Domestico  (1815)
</t>
        </r>
        <r>
          <rPr>
            <sz val="14"/>
            <color rgb="FF000000"/>
            <rFont val="Calibri"/>
            <family val="34"/>
          </rPr>
          <t>Schneider (1817-19)</t>
        </r>
      </text>
    </comment>
    <comment ref="BF782" authorId="0" shapeId="0" xr:uid="{865AE721-4BE9-FE40-9209-94AE697F04B0}">
      <text>
        <r>
          <rPr>
            <sz val="14"/>
            <color rgb="FF000000"/>
            <rFont val="Times New Roman"/>
            <family val="18"/>
          </rPr>
          <t xml:space="preserve">24/09/1815 </t>
        </r>
        <r>
          <rPr>
            <i/>
            <sz val="14"/>
            <color rgb="FF000000"/>
            <rFont val="Times New Roman"/>
            <family val="18"/>
          </rPr>
          <t>Von Ständen a 3Fl gestellt, zum Mantua assentiert und als conscritto zum 18. Fus. Komp. eingeteilt</t>
        </r>
        <r>
          <rPr>
            <sz val="14"/>
            <color rgb="FF000000"/>
            <rFont val="Times New Roman"/>
            <family val="18"/>
          </rPr>
          <t xml:space="preserve"> [AL Oct 1815 &amp; ML 1817]</t>
        </r>
        <r>
          <rPr>
            <sz val="14"/>
            <color rgb="FF000000"/>
            <rFont val="Calibri"/>
            <family val="34"/>
          </rPr>
          <t xml:space="preserve">
</t>
        </r>
        <r>
          <rPr>
            <sz val="14"/>
            <color rgb="FF000000"/>
            <rFont val="Times New Roman"/>
            <family val="18"/>
          </rPr>
          <t xml:space="preserve">11/10/1815 </t>
        </r>
        <r>
          <rPr>
            <i/>
            <sz val="14"/>
            <color rgb="FF000000"/>
            <rFont val="Times New Roman"/>
            <family val="18"/>
          </rPr>
          <t>Von 18. zum 8. Fusilier Komp. Transferiert</t>
        </r>
        <r>
          <rPr>
            <sz val="14"/>
            <color rgb="FF000000"/>
            <rFont val="Times New Roman"/>
            <family val="18"/>
          </rPr>
          <t xml:space="preserve"> [ST Oct 1815]</t>
        </r>
        <r>
          <rPr>
            <sz val="14"/>
            <color rgb="FF000000"/>
            <rFont val="Calibri"/>
            <family val="34"/>
          </rPr>
          <t xml:space="preserve">
</t>
        </r>
        <r>
          <rPr>
            <sz val="14"/>
            <color rgb="FF000000"/>
            <rFont val="Times New Roman"/>
            <family val="18"/>
          </rPr>
          <t xml:space="preserve">01/03/1816 </t>
        </r>
        <r>
          <rPr>
            <i/>
            <sz val="14"/>
            <color rgb="FF000000"/>
            <rFont val="Times New Roman"/>
            <family val="18"/>
          </rPr>
          <t>Krank zu Preßburg</t>
        </r>
        <r>
          <rPr>
            <sz val="14"/>
            <color rgb="FF000000"/>
            <rFont val="Times New Roman"/>
            <family val="18"/>
          </rPr>
          <t xml:space="preserve"> [ST Marz 1816]</t>
        </r>
        <r>
          <rPr>
            <sz val="14"/>
            <color rgb="FF000000"/>
            <rFont val="Calibri"/>
            <family val="34"/>
          </rPr>
          <t xml:space="preserve">
</t>
        </r>
        <r>
          <rPr>
            <sz val="14"/>
            <color rgb="FF000000"/>
            <rFont val="Times New Roman"/>
            <family val="18"/>
          </rPr>
          <t xml:space="preserve">15/05/1816 </t>
        </r>
        <r>
          <rPr>
            <i/>
            <sz val="14"/>
            <color rgb="FF000000"/>
            <rFont val="Times New Roman"/>
            <family val="18"/>
          </rPr>
          <t>Krank in Komorn</t>
        </r>
        <r>
          <rPr>
            <sz val="14"/>
            <color rgb="FF000000"/>
            <rFont val="Times New Roman"/>
            <family val="18"/>
          </rPr>
          <t xml:space="preserve"> [ST Mai 1816] </t>
        </r>
        <r>
          <rPr>
            <sz val="14"/>
            <color rgb="FF000000"/>
            <rFont val="Calibri"/>
            <family val="34"/>
          </rPr>
          <t xml:space="preserve">
</t>
        </r>
        <r>
          <rPr>
            <sz val="14"/>
            <color rgb="FF000000"/>
            <rFont val="Times New Roman"/>
            <family val="18"/>
          </rPr>
          <t>30/09/1817 Muster: IR 43 8. Fus Komp. Nr. 54</t>
        </r>
        <r>
          <rPr>
            <sz val="14"/>
            <color rgb="FF000000"/>
            <rFont val="Calibri"/>
            <family val="34"/>
          </rPr>
          <t xml:space="preserve">
</t>
        </r>
        <r>
          <rPr>
            <sz val="14"/>
            <color rgb="FF000000"/>
            <rFont val="Times New Roman"/>
            <family val="18"/>
          </rPr>
          <t>23/09/1818 Muster: IR 43 8. Fus Komp. Nr. 44</t>
        </r>
        <r>
          <rPr>
            <sz val="14"/>
            <color rgb="FF000000"/>
            <rFont val="Calibri"/>
            <family val="34"/>
          </rPr>
          <t xml:space="preserve">
</t>
        </r>
        <r>
          <rPr>
            <sz val="14"/>
            <color rgb="FF000000"/>
            <rFont val="Times New Roman"/>
            <family val="18"/>
          </rPr>
          <t>16/09/1819 Muster: IR 43 8. Fus. Komp. Nr. 44</t>
        </r>
        <r>
          <rPr>
            <sz val="14"/>
            <color rgb="FF000000"/>
            <rFont val="Calibri"/>
            <family val="34"/>
          </rPr>
          <t xml:space="preserve">
</t>
        </r>
        <r>
          <rPr>
            <sz val="14"/>
            <color rgb="FF000000"/>
            <rFont val="Times New Roman"/>
            <family val="18"/>
          </rPr>
          <t xml:space="preserve">31/10/1819 </t>
        </r>
        <r>
          <rPr>
            <i/>
            <sz val="14"/>
            <color rgb="FF000000"/>
            <rFont val="Times New Roman"/>
            <family val="18"/>
          </rPr>
          <t>in Folge Hohe hofkriegsratliche Reskript von 4. September a:c. R 3076 und hohe Banal General Commando Verordnung ddt Agram den 15. 7br a:c: R. 2313 als Ausgediente Inländer Capitulanten mit Abschied entlassen</t>
        </r>
        <r>
          <rPr>
            <sz val="14"/>
            <color rgb="FF000000"/>
            <rFont val="Times New Roman"/>
            <family val="18"/>
          </rPr>
          <t xml:space="preserve"> [ML 1820]</t>
        </r>
        <r>
          <rPr>
            <sz val="14"/>
            <color rgb="FF000000"/>
            <rFont val="Calibri"/>
            <family val="34"/>
          </rPr>
          <t xml:space="preserve">
</t>
        </r>
      </text>
    </comment>
    <comment ref="BG782" authorId="0" shapeId="0" xr:uid="{9DACB68D-E709-D844-AF3B-35604209687B}">
      <text>
        <r>
          <rPr>
            <sz val="14"/>
            <color rgb="FF000000"/>
            <rFont val="Times New Roman"/>
            <family val="18"/>
          </rPr>
          <t>ML 3862/3 IR 43 (1817): 8. Fus Komp. nr. 54 (Pressburg 30/09/1817)</t>
        </r>
        <r>
          <rPr>
            <sz val="14"/>
            <color rgb="FF000000"/>
            <rFont val="Calibri"/>
            <family val="34"/>
          </rPr>
          <t xml:space="preserve">
</t>
        </r>
        <r>
          <rPr>
            <sz val="14"/>
            <color rgb="FF000000"/>
            <rFont val="Times New Roman"/>
            <family val="18"/>
          </rPr>
          <t>ML 3864/5 (1818): IR 43 8. Fus Komp. Nr. 44</t>
        </r>
        <r>
          <rPr>
            <sz val="14"/>
            <color rgb="FF000000"/>
            <rFont val="Calibri"/>
            <family val="34"/>
          </rPr>
          <t xml:space="preserve">
</t>
        </r>
        <r>
          <rPr>
            <sz val="14"/>
            <color rgb="FF000000"/>
            <rFont val="Times New Roman"/>
            <family val="18"/>
          </rPr>
          <t>ML 3864/5 (1819): IR 43 8. Fus Komp. Nr. 44</t>
        </r>
        <r>
          <rPr>
            <sz val="14"/>
            <color rgb="FF000000"/>
            <rFont val="Calibri"/>
            <family val="34"/>
          </rPr>
          <t xml:space="preserve">
</t>
        </r>
        <r>
          <rPr>
            <sz val="14"/>
            <color rgb="FF000000"/>
            <rFont val="Times New Roman"/>
            <family val="18"/>
          </rPr>
          <t>ML 3868/9 IR 43 (1820): 8. Fus. Komp. - Abgang (Carlstadt 11/09/1810)</t>
        </r>
        <r>
          <rPr>
            <sz val="14"/>
            <color rgb="FF000000"/>
            <rFont val="Calibri"/>
            <family val="34"/>
          </rPr>
          <t xml:space="preserve">
</t>
        </r>
        <r>
          <rPr>
            <sz val="14"/>
            <color rgb="FF000000"/>
            <rFont val="Times New Roman"/>
            <family val="18"/>
          </rPr>
          <t>ML 3871 IR 43 (1815) – ST Oct (28/11/1816)</t>
        </r>
        <r>
          <rPr>
            <sz val="14"/>
            <color rgb="FF000000"/>
            <rFont val="Calibri"/>
            <family val="34"/>
          </rPr>
          <t xml:space="preserve">
</t>
        </r>
        <r>
          <rPr>
            <sz val="14"/>
            <color rgb="FF000000"/>
            <rFont val="Times New Roman"/>
            <family val="18"/>
          </rPr>
          <t>ML 3872 IR 43 (1815) AL Nr. 65 (Mantua 24/09/1815)</t>
        </r>
        <r>
          <rPr>
            <sz val="14"/>
            <color rgb="FF000000"/>
            <rFont val="Calibri"/>
            <family val="34"/>
          </rPr>
          <t xml:space="preserve">
</t>
        </r>
        <r>
          <rPr>
            <sz val="14"/>
            <color rgb="FF000000"/>
            <rFont val="Times New Roman"/>
            <family val="18"/>
          </rPr>
          <t>ML 3872 IR 43 (1816) – ST March (20/04/1817), Mai (Pressburg 01/06/1817)</t>
        </r>
        <r>
          <rPr>
            <sz val="14"/>
            <color rgb="FF000000"/>
            <rFont val="Calibri"/>
            <family val="34"/>
          </rPr>
          <t xml:space="preserve">
</t>
        </r>
      </text>
    </comment>
    <comment ref="BH782" authorId="0" shapeId="0" xr:uid="{9FA33178-930C-1E43-9C62-08CBB2682DE4}">
      <text>
        <r>
          <rPr>
            <sz val="14"/>
            <color rgb="FF000000"/>
            <rFont val="Calibri"/>
            <family val="34"/>
          </rPr>
          <t>IR 43 (1815-1819)</t>
        </r>
      </text>
    </comment>
    <comment ref="BF783" authorId="0" shapeId="0" xr:uid="{323F36F4-3853-8240-9C11-CDC7BD0A5ACE}">
      <text>
        <r>
          <rPr>
            <sz val="14"/>
            <color rgb="FF000000"/>
            <rFont val="Times New Roman"/>
            <family val="18"/>
          </rPr>
          <t xml:space="preserve">07/12/1815 </t>
        </r>
        <r>
          <rPr>
            <i/>
            <sz val="14"/>
            <color rgb="FF000000"/>
            <rFont val="Times New Roman"/>
            <family val="18"/>
          </rPr>
          <t>Auf 3Fl Handgeld auf 14 Jahre zu Sambor assentiert</t>
        </r>
        <r>
          <rPr>
            <sz val="14"/>
            <color rgb="FF000000"/>
            <rFont val="Times New Roman"/>
            <family val="18"/>
          </rPr>
          <t xml:space="preserve"> [ML 1818]</t>
        </r>
        <r>
          <rPr>
            <sz val="14"/>
            <color rgb="FF000000"/>
            <rFont val="Calibri"/>
            <family val="34"/>
          </rPr>
          <t xml:space="preserve">
</t>
        </r>
        <r>
          <rPr>
            <sz val="14"/>
            <color rgb="FF000000"/>
            <rFont val="Times New Roman"/>
            <family val="18"/>
          </rPr>
          <t>05/01/1818 Muster: IR 44 8. Fus. Komp. Nr. 82</t>
        </r>
        <r>
          <rPr>
            <sz val="14"/>
            <color rgb="FF000000"/>
            <rFont val="Calibri"/>
            <family val="34"/>
          </rPr>
          <t xml:space="preserve">
</t>
        </r>
        <r>
          <rPr>
            <sz val="14"/>
            <color rgb="FF000000"/>
            <rFont val="Times New Roman"/>
            <family val="18"/>
          </rPr>
          <t>24/10/1818 Muster: IR 44 8. Fus. Komp. Nr. 80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22/10/1819 Muster: IR 44 8. Fus. Komp. Nr. 55</t>
        </r>
        <r>
          <rPr>
            <sz val="14"/>
            <color rgb="FF000000"/>
            <rFont val="Calibri"/>
            <family val="34"/>
          </rPr>
          <t xml:space="preserve">
</t>
        </r>
        <r>
          <rPr>
            <sz val="14"/>
            <color rgb="FF000000"/>
            <rFont val="Times New Roman"/>
            <family val="18"/>
          </rPr>
          <t>25/09/1820 Muster: IR 44 8. Fus. Komp. Nr. 47 [</t>
        </r>
        <r>
          <rPr>
            <i/>
            <sz val="14"/>
            <color rgb="FF000000"/>
            <rFont val="Times New Roman"/>
            <family val="18"/>
          </rPr>
          <t>Auf Wache zu Piacenza</t>
        </r>
        <r>
          <rPr>
            <sz val="14"/>
            <color rgb="FF000000"/>
            <rFont val="Times New Roman"/>
            <family val="18"/>
          </rPr>
          <t>]</t>
        </r>
      </text>
    </comment>
    <comment ref="BG783" authorId="0" shapeId="0" xr:uid="{EC912A87-F5FD-B242-9084-081775881127}">
      <text>
        <r>
          <rPr>
            <sz val="14"/>
            <color rgb="FF000000"/>
            <rFont val="Times New Roman"/>
            <family val="18"/>
          </rPr>
          <t>ML 3915/6 IR 44 (1818) – 8. Fus. Komp. Nr. 82 (Pavia 05/01/1818); 8. Fus. Komp. Nr. 80 (Pavia 24/10/1818)</t>
        </r>
        <r>
          <rPr>
            <sz val="14"/>
            <color rgb="FF000000"/>
            <rFont val="Calibri"/>
            <family val="34"/>
          </rPr>
          <t xml:space="preserve">
</t>
        </r>
        <r>
          <rPr>
            <sz val="14"/>
            <color rgb="FF000000"/>
            <rFont val="Times New Roman"/>
            <family val="18"/>
          </rPr>
          <t>ML 3918/9 IR 44 (1819) – 8. Fus. Komp. Nr. 55 (Pavia 18/10/1819)</t>
        </r>
        <r>
          <rPr>
            <sz val="14"/>
            <color rgb="FF000000"/>
            <rFont val="Calibri"/>
            <family val="34"/>
          </rPr>
          <t xml:space="preserve">
</t>
        </r>
        <r>
          <rPr>
            <sz val="14"/>
            <color rgb="FF000000"/>
            <rFont val="Times New Roman"/>
            <family val="18"/>
          </rPr>
          <t>ML 3920 IR 44 (1820) – 8. Fus. Komp. Nr. 47 (Milan 25/09/1820)</t>
        </r>
        <r>
          <rPr>
            <sz val="14"/>
            <color rgb="FF000000"/>
            <rFont val="Calibri"/>
            <family val="34"/>
          </rPr>
          <t xml:space="preserve">
</t>
        </r>
      </text>
    </comment>
    <comment ref="BH783" authorId="0" shapeId="0" xr:uid="{238CEDF6-C97A-0248-929C-F6A3D0B74E40}">
      <text>
        <r>
          <rPr>
            <sz val="14"/>
            <color rgb="FF000000"/>
            <rFont val="Calibri"/>
            <family val="34"/>
          </rPr>
          <t>IR 44 (1815-1820)</t>
        </r>
      </text>
    </comment>
    <comment ref="BF784" authorId="0" shapeId="0" xr:uid="{0859F4C9-CF98-064B-847D-5EDA1C0132FC}">
      <text>
        <r>
          <rPr>
            <sz val="14"/>
            <color rgb="FF000000"/>
            <rFont val="Times New Roman"/>
            <family val="18"/>
          </rPr>
          <t xml:space="preserve">22/03/1816 </t>
        </r>
        <r>
          <rPr>
            <i/>
            <sz val="14"/>
            <color rgb="FF000000"/>
            <rFont val="Times New Roman"/>
            <family val="18"/>
          </rPr>
          <t>Gegen 10Fl Handgeld in C.M. auf 8 Jahr ins TKJR in loco assentiert und zur 22. Kompanie eingeteilt</t>
        </r>
        <r>
          <rPr>
            <sz val="14"/>
            <color rgb="FF000000"/>
            <rFont val="Times New Roman"/>
            <family val="18"/>
          </rPr>
          <t xml:space="preserve"> [ML 1817]</t>
        </r>
        <r>
          <rPr>
            <sz val="14"/>
            <color rgb="FF000000"/>
            <rFont val="Calibri"/>
            <family val="34"/>
          </rPr>
          <t xml:space="preserve">
</t>
        </r>
        <r>
          <rPr>
            <sz val="14"/>
            <color rgb="FF000000"/>
            <rFont val="Times New Roman"/>
            <family val="18"/>
          </rPr>
          <t>27/09/1817 Musterung: TKJR 22. Komp. Nr. 67</t>
        </r>
        <r>
          <rPr>
            <sz val="14"/>
            <color rgb="FF000000"/>
            <rFont val="Calibri"/>
            <family val="34"/>
          </rPr>
          <t xml:space="preserve">
</t>
        </r>
        <r>
          <rPr>
            <sz val="14"/>
            <color rgb="FF000000"/>
            <rFont val="Times New Roman"/>
            <family val="18"/>
          </rPr>
          <t>20/10/1818 Musterung: TKJR 22. Komp. Nr. 60</t>
        </r>
        <r>
          <rPr>
            <sz val="14"/>
            <color rgb="FF000000"/>
            <rFont val="Calibri"/>
            <family val="34"/>
          </rPr>
          <t xml:space="preserve">
</t>
        </r>
        <r>
          <rPr>
            <sz val="14"/>
            <color rgb="FF000000"/>
            <rFont val="Times New Roman"/>
            <family val="18"/>
          </rPr>
          <t xml:space="preserve">01/11/1819 </t>
        </r>
        <r>
          <rPr>
            <i/>
            <sz val="14"/>
            <color rgb="FF000000"/>
            <rFont val="Times New Roman"/>
            <family val="18"/>
          </rPr>
          <t>Die Kompanie verlässt Innsbruck</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05/11/1819 </t>
        </r>
        <r>
          <rPr>
            <i/>
            <sz val="14"/>
            <color rgb="FF000000"/>
            <rFont val="Times New Roman"/>
            <family val="18"/>
          </rPr>
          <t>Die Kompanie kommt in Kasernen in Trient</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22/01/1819 </t>
        </r>
        <r>
          <rPr>
            <i/>
            <sz val="14"/>
            <color rgb="FF000000"/>
            <rFont val="Times New Roman"/>
            <family val="18"/>
          </rPr>
          <t>Krank im Bürger Spital in Trient</t>
        </r>
        <r>
          <rPr>
            <sz val="14"/>
            <color rgb="FF000000"/>
            <rFont val="Times New Roman"/>
            <family val="18"/>
          </rPr>
          <t xml:space="preserve"> [ST Jan 1819]</t>
        </r>
        <r>
          <rPr>
            <sz val="14"/>
            <color rgb="FF000000"/>
            <rFont val="Calibri"/>
            <family val="34"/>
          </rPr>
          <t xml:space="preserve">
</t>
        </r>
        <r>
          <rPr>
            <sz val="14"/>
            <color rgb="FF000000"/>
            <rFont val="Times New Roman"/>
            <family val="18"/>
          </rPr>
          <t xml:space="preserve">15/02/1819 </t>
        </r>
        <r>
          <rPr>
            <i/>
            <sz val="14"/>
            <color rgb="FF000000"/>
            <rFont val="Times New Roman"/>
            <family val="18"/>
          </rPr>
          <t>Rekonvalesziert</t>
        </r>
        <r>
          <rPr>
            <sz val="14"/>
            <color rgb="FF000000"/>
            <rFont val="Times New Roman"/>
            <family val="18"/>
          </rPr>
          <t xml:space="preserve"> [ST Feb 1819]</t>
        </r>
        <r>
          <rPr>
            <sz val="14"/>
            <color rgb="FF000000"/>
            <rFont val="Calibri"/>
            <family val="34"/>
          </rPr>
          <t xml:space="preserve">
</t>
        </r>
        <r>
          <rPr>
            <sz val="14"/>
            <color rgb="FF000000"/>
            <rFont val="Times New Roman"/>
            <family val="18"/>
          </rPr>
          <t xml:space="preserve">25/05/1819 </t>
        </r>
        <r>
          <rPr>
            <i/>
            <sz val="14"/>
            <color rgb="FF000000"/>
            <rFont val="Times New Roman"/>
            <family val="18"/>
          </rPr>
          <t>Auf 6 Wochen beurlaubt mit Bezahlung und Brot bis 31. Mai</t>
        </r>
        <r>
          <rPr>
            <sz val="14"/>
            <color rgb="FF000000"/>
            <rFont val="Times New Roman"/>
            <family val="18"/>
          </rPr>
          <t xml:space="preserve"> [ST Juni 1809]</t>
        </r>
        <r>
          <rPr>
            <sz val="14"/>
            <color rgb="FF000000"/>
            <rFont val="Calibri"/>
            <family val="34"/>
          </rPr>
          <t xml:space="preserve">
</t>
        </r>
        <r>
          <rPr>
            <sz val="14"/>
            <color rgb="FF000000"/>
            <rFont val="Times New Roman"/>
            <family val="18"/>
          </rPr>
          <t xml:space="preserve">31/05/1819 </t>
        </r>
        <r>
          <rPr>
            <i/>
            <sz val="14"/>
            <color rgb="FF000000"/>
            <rFont val="Times New Roman"/>
            <family val="18"/>
          </rPr>
          <t>Von der Station Trient aus dem Urlaub desertiert</t>
        </r>
        <r>
          <rPr>
            <sz val="14"/>
            <color rgb="FF000000"/>
            <rFont val="Times New Roman"/>
            <family val="18"/>
          </rPr>
          <t xml:space="preserve"> [ML 1819 &amp; ST Juni 1809]</t>
        </r>
      </text>
    </comment>
    <comment ref="BG784" authorId="0" shapeId="0" xr:uid="{80AF3D9B-A9E3-D640-BA80-0D9B29581FEF}">
      <text>
        <r>
          <rPr>
            <sz val="14"/>
            <color rgb="FF000000"/>
            <rFont val="Times New Roman"/>
            <family val="18"/>
          </rPr>
          <t>ML 5318-20 TKJR (1817) – 22. Komp Nr. 67 (Innsbruck 27/09/1817)</t>
        </r>
        <r>
          <rPr>
            <sz val="14"/>
            <color rgb="FF000000"/>
            <rFont val="Calibri"/>
            <family val="34"/>
          </rPr>
          <t xml:space="preserve">
</t>
        </r>
        <r>
          <rPr>
            <sz val="14"/>
            <color rgb="FF000000"/>
            <rFont val="Times New Roman"/>
            <family val="18"/>
          </rPr>
          <t>ML 5321-23 TKJR (1818) – 22. Komp. Nr. 60 (Innsbruck 20/10/1818)</t>
        </r>
        <r>
          <rPr>
            <sz val="14"/>
            <color rgb="FF000000"/>
            <rFont val="Calibri"/>
            <family val="34"/>
          </rPr>
          <t xml:space="preserve">
</t>
        </r>
        <r>
          <rPr>
            <sz val="14"/>
            <color rgb="FF000000"/>
            <rFont val="Times New Roman"/>
            <family val="18"/>
          </rPr>
          <t>ML 5324-26 TKJR (1819) – 22. Komp. Abgang (Trient 24/09/1819)</t>
        </r>
        <r>
          <rPr>
            <sz val="14"/>
            <color rgb="FF000000"/>
            <rFont val="Calibri"/>
            <family val="34"/>
          </rPr>
          <t xml:space="preserve">
</t>
        </r>
        <r>
          <rPr>
            <sz val="14"/>
            <color rgb="FF000000"/>
            <rFont val="Times New Roman"/>
            <family val="18"/>
          </rPr>
          <t>ML 5333 TKJR (1818) – November (12/01/1819)</t>
        </r>
        <r>
          <rPr>
            <sz val="14"/>
            <color rgb="FF000000"/>
            <rFont val="Calibri"/>
            <family val="34"/>
          </rPr>
          <t xml:space="preserve">
</t>
        </r>
        <r>
          <rPr>
            <sz val="14"/>
            <color rgb="FF000000"/>
            <rFont val="Times New Roman"/>
            <family val="18"/>
          </rPr>
          <t>ML 5334 TKJR (1819) – January (Innsbruck 15/03/1819), February (Innsbruck 31/03/1819), June (Innsbruck 31/07/1819)</t>
        </r>
        <r>
          <rPr>
            <sz val="14"/>
            <color rgb="FF000000"/>
            <rFont val="Calibri"/>
            <family val="34"/>
          </rPr>
          <t xml:space="preserve">
</t>
        </r>
        <r>
          <rPr>
            <sz val="14"/>
            <color rgb="FF000000"/>
            <rFont val="Times New Roman"/>
            <family val="18"/>
          </rPr>
          <t xml:space="preserve">Hohenems Genealogie </t>
        </r>
        <r>
          <rPr>
            <u/>
            <sz val="14"/>
            <color rgb="FF0563C1"/>
            <rFont val="Times New Roman"/>
            <family val="18"/>
          </rPr>
          <t>I2132</t>
        </r>
        <r>
          <rPr>
            <sz val="14"/>
            <color rgb="FF000000"/>
            <rFont val="Calibri"/>
            <family val="34"/>
          </rPr>
          <t xml:space="preserve">
</t>
        </r>
      </text>
    </comment>
    <comment ref="BH784" authorId="0" shapeId="0" xr:uid="{7F496ECC-3FE3-CE4F-B120-7D849D868D1A}">
      <text>
        <r>
          <rPr>
            <sz val="14"/>
            <color rgb="FF000000"/>
            <rFont val="Calibri"/>
            <family val="34"/>
          </rPr>
          <t>TKJR (1816-1819)</t>
        </r>
      </text>
    </comment>
    <comment ref="BF785" authorId="0" shapeId="0" xr:uid="{E4D7189C-2F0C-B246-BC81-C2F63912AA35}">
      <text>
        <r>
          <rPr>
            <sz val="14"/>
            <color rgb="FF000000"/>
            <rFont val="Times New Roman"/>
            <family val="18"/>
          </rPr>
          <t xml:space="preserve">01/10/1816 </t>
        </r>
        <r>
          <rPr>
            <i/>
            <sz val="14"/>
            <color rgb="FF000000"/>
            <rFont val="Times New Roman"/>
            <family val="18"/>
          </rPr>
          <t>Gegen 3Fl Handgeld mit 14 Jähriger Capitulation In IR 44 zu Lemberg assentiert und zur 11. Fus. Komp. zugeteilt</t>
        </r>
        <r>
          <rPr>
            <sz val="14"/>
            <color rgb="FF000000"/>
            <rFont val="Times New Roman"/>
            <family val="18"/>
          </rPr>
          <t xml:space="preserve"> [ML 1818 &amp; ML 1819]</t>
        </r>
        <r>
          <rPr>
            <sz val="14"/>
            <color rgb="FF000000"/>
            <rFont val="Calibri"/>
            <family val="34"/>
          </rPr>
          <t xml:space="preserve">
</t>
        </r>
        <r>
          <rPr>
            <sz val="14"/>
            <color rgb="FF000000"/>
            <rFont val="Times New Roman"/>
            <family val="18"/>
          </rPr>
          <t>05/01/1818 Muster: IR 44 11. Fus. Komp. Nr. 60 [</t>
        </r>
        <r>
          <rPr>
            <i/>
            <sz val="14"/>
            <color rgb="FF000000"/>
            <rFont val="Times New Roman"/>
            <family val="18"/>
          </rPr>
          <t>Marode</t>
        </r>
        <r>
          <rPr>
            <sz val="14"/>
            <color rgb="FF000000"/>
            <rFont val="Times New Roman"/>
            <family val="18"/>
          </rPr>
          <t>]</t>
        </r>
        <r>
          <rPr>
            <sz val="14"/>
            <color rgb="FF000000"/>
            <rFont val="Calibri"/>
            <family val="34"/>
          </rPr>
          <t xml:space="preserve">
</t>
        </r>
        <r>
          <rPr>
            <sz val="14"/>
            <color rgb="FF000000"/>
            <rFont val="Times New Roman"/>
            <family val="18"/>
          </rPr>
          <t>24/10/1818 Muster: IR 44 11. Fus. Komp. Nr. 50</t>
        </r>
        <r>
          <rPr>
            <sz val="14"/>
            <color rgb="FF000000"/>
            <rFont val="Calibri"/>
            <family val="34"/>
          </rPr>
          <t xml:space="preserve">
</t>
        </r>
        <r>
          <rPr>
            <sz val="14"/>
            <color rgb="FF000000"/>
            <rFont val="Times New Roman"/>
            <family val="18"/>
          </rPr>
          <t xml:space="preserve">21/03/1819 </t>
        </r>
        <r>
          <rPr>
            <i/>
            <sz val="14"/>
            <color rgb="FF000000"/>
            <rFont val="Times New Roman"/>
            <family val="18"/>
          </rPr>
          <t xml:space="preserve">Zum Gefreyter avanciert </t>
        </r>
        <r>
          <rPr>
            <sz val="14"/>
            <color rgb="FF000000"/>
            <rFont val="Times New Roman"/>
            <family val="18"/>
          </rPr>
          <t>[ML 1819]</t>
        </r>
        <r>
          <rPr>
            <sz val="14"/>
            <color rgb="FF000000"/>
            <rFont val="Calibri"/>
            <family val="34"/>
          </rPr>
          <t xml:space="preserve">
</t>
        </r>
        <r>
          <rPr>
            <sz val="14"/>
            <color rgb="FF000000"/>
            <rFont val="Times New Roman"/>
            <family val="18"/>
          </rPr>
          <t>18/10/1819 Muster: IR 44 11. Fus. Komp. Nr. 19</t>
        </r>
        <r>
          <rPr>
            <sz val="14"/>
            <color rgb="FF000000"/>
            <rFont val="Calibri"/>
            <family val="34"/>
          </rPr>
          <t xml:space="preserve">
</t>
        </r>
        <r>
          <rPr>
            <sz val="14"/>
            <color rgb="FF000000"/>
            <rFont val="Times New Roman"/>
            <family val="18"/>
          </rPr>
          <t>25/09/1820 Muster: IR 44 11. Fus. Komp. Nr. 18]</t>
        </r>
      </text>
    </comment>
    <comment ref="BG785" authorId="0" shapeId="0" xr:uid="{1C54ACF8-7598-1445-8EAC-C023C025312E}">
      <text>
        <r>
          <rPr>
            <sz val="14"/>
            <color rgb="FF000000"/>
            <rFont val="Times New Roman"/>
            <family val="18"/>
          </rPr>
          <t>ML 3915/6 IR 44 (1818) – 11. Fus. Komp. Nr. 60 (Pavia 05/01/1818); 11. Fus. Komp. Nr. 50 (Pavia 24/10/1818)</t>
        </r>
        <r>
          <rPr>
            <sz val="14"/>
            <color rgb="FF000000"/>
            <rFont val="Calibri"/>
            <family val="34"/>
          </rPr>
          <t xml:space="preserve">
</t>
        </r>
        <r>
          <rPr>
            <sz val="14"/>
            <color rgb="FF000000"/>
            <rFont val="Times New Roman"/>
            <family val="18"/>
          </rPr>
          <t>ML 3918/9 IR 44 (1819) – 11. Fus. Komp. Nr. 19 (Pavia 18/10/1819)</t>
        </r>
        <r>
          <rPr>
            <sz val="14"/>
            <color rgb="FF000000"/>
            <rFont val="Calibri"/>
            <family val="34"/>
          </rPr>
          <t xml:space="preserve">
</t>
        </r>
        <r>
          <rPr>
            <sz val="14"/>
            <color rgb="FF000000"/>
            <rFont val="Times New Roman"/>
            <family val="18"/>
          </rPr>
          <t>ML 3920 IR 44 (1820) – 11. Fus. Komp. Nr. 18 (Milan 25/09/1820)</t>
        </r>
        <r>
          <rPr>
            <sz val="14"/>
            <color rgb="FF000000"/>
            <rFont val="Calibri"/>
            <family val="34"/>
          </rPr>
          <t xml:space="preserve">
</t>
        </r>
      </text>
    </comment>
    <comment ref="BH785" authorId="0" shapeId="0" xr:uid="{A633D14E-2CB1-A54A-BD45-785FC4C8591B}">
      <text>
        <r>
          <rPr>
            <sz val="14"/>
            <color rgb="FF000000"/>
            <rFont val="Calibri"/>
            <family val="34"/>
          </rPr>
          <t>IR 44 (1816-1820)</t>
        </r>
      </text>
    </comment>
    <comment ref="BF786" authorId="0" shapeId="0" xr:uid="{13FD84DB-3A04-5440-87B8-E709833072F2}">
      <text>
        <r>
          <rPr>
            <sz val="14"/>
            <color rgb="FF000000"/>
            <rFont val="Times New Roman"/>
            <family val="18"/>
          </rPr>
          <t xml:space="preserve">16/12/1816 </t>
        </r>
        <r>
          <rPr>
            <i/>
            <sz val="14"/>
            <color rgb="FF000000"/>
            <rFont val="Times New Roman"/>
            <family val="18"/>
          </rPr>
          <t>Statt entlassenen Privat Diener Peter Hagy gegen 50Fl gestellt</t>
        </r>
        <r>
          <rPr>
            <sz val="14"/>
            <color rgb="FF000000"/>
            <rFont val="Times New Roman"/>
            <family val="18"/>
          </rPr>
          <t xml:space="preserve"> [According to Docierung Abraham was enlisted on 16/12/1806 and Hagy was discharged on 25/12/1816; In the ML enlistment on  01/01/1817 is given]</t>
        </r>
        <r>
          <rPr>
            <sz val="14"/>
            <color rgb="FF000000"/>
            <rFont val="Calibri"/>
            <family val="2"/>
          </rPr>
          <t xml:space="preserve">
</t>
        </r>
        <r>
          <rPr>
            <sz val="14"/>
            <color rgb="FF000000"/>
            <rFont val="Times New Roman"/>
            <family val="18"/>
          </rPr>
          <t>23/10/1817 Musterung: HR 2 ObristLt 2. Esk Nr. 114</t>
        </r>
        <r>
          <rPr>
            <sz val="14"/>
            <color rgb="FF000000"/>
            <rFont val="Calibri"/>
            <family val="2"/>
          </rPr>
          <t xml:space="preserve">
</t>
        </r>
      </text>
    </comment>
    <comment ref="BG786" authorId="0" shapeId="0" xr:uid="{44E1AA3D-27DE-014A-9507-45A76B8FD79A}">
      <text>
        <r>
          <rPr>
            <sz val="14"/>
            <color rgb="FF000000"/>
            <rFont val="Times New Roman"/>
            <family val="18"/>
          </rPr>
          <t>ML 7356 HR 2 (1817) – ML Heft von ObristLr 2. Esk Nr. 114 (Szászváros 23/10/1817)</t>
        </r>
      </text>
    </comment>
    <comment ref="BH786" authorId="0" shapeId="0" xr:uid="{AFB5E371-8076-D141-AE1A-B850E1D0BB74}">
      <text>
        <r>
          <rPr>
            <sz val="14"/>
            <color rgb="FF000000"/>
            <rFont val="Calibri"/>
            <family val="34"/>
          </rPr>
          <t>HR 2 (1816-17)</t>
        </r>
      </text>
    </comment>
    <comment ref="BF787" authorId="0" shapeId="0" xr:uid="{2091C705-C3AB-DA4E-9922-B4FE99B4201C}">
      <text>
        <r>
          <rPr>
            <sz val="14"/>
            <color rgb="FF000000"/>
            <rFont val="Times New Roman"/>
            <family val="18"/>
          </rPr>
          <t>01/03/1817 Ohne Transferierungslista zum HR 10 transferiert</t>
        </r>
        <r>
          <rPr>
            <sz val="14"/>
            <color rgb="FF000000"/>
            <rFont val="Calibri"/>
            <family val="34"/>
          </rPr>
          <t xml:space="preserve">
</t>
        </r>
        <r>
          <rPr>
            <sz val="14"/>
            <color rgb="FF000000"/>
            <rFont val="Times New Roman"/>
            <family val="18"/>
          </rPr>
          <t>01/06/1818 von 1. Obrest zum 2. Major 1. Esk. Transferiert</t>
        </r>
        <r>
          <rPr>
            <sz val="14"/>
            <color rgb="FF000000"/>
            <rFont val="Calibri"/>
            <family val="34"/>
          </rPr>
          <t xml:space="preserve">
</t>
        </r>
        <r>
          <rPr>
            <sz val="14"/>
            <color rgb="FF000000"/>
            <rFont val="Times New Roman"/>
            <family val="18"/>
          </rPr>
          <t>23/09/1819 Musterung: HR 10 2. Major 1. Esk Nr. 46</t>
        </r>
        <r>
          <rPr>
            <sz val="14"/>
            <color rgb="FF000000"/>
            <rFont val="Calibri"/>
            <family val="34"/>
          </rPr>
          <t xml:space="preserve">
</t>
        </r>
      </text>
    </comment>
    <comment ref="BG787" authorId="0" shapeId="0" xr:uid="{46701338-B40B-2848-A638-7A7A6ED8D717}">
      <text>
        <r>
          <rPr>
            <sz val="14"/>
            <color rgb="FF000000"/>
            <rFont val="Times New Roman"/>
            <family val="18"/>
          </rPr>
          <t>ML 7746 HR 10 (1819): 2. Major 1. Esk Nr. 46 (Jolsva 23/09/1819)</t>
        </r>
      </text>
    </comment>
    <comment ref="BH787" authorId="0" shapeId="0" xr:uid="{D8BFF5A2-00C7-C944-8682-117ABF06E12F}">
      <text>
        <r>
          <rPr>
            <sz val="14"/>
            <color rgb="FF000000"/>
            <rFont val="Calibri"/>
            <family val="34"/>
          </rPr>
          <t>HR 2 (1817-19)</t>
        </r>
      </text>
    </comment>
    <comment ref="BF788" authorId="0" shapeId="0" xr:uid="{176C3274-A6A4-4444-B00E-800842530FBC}">
      <text>
        <r>
          <rPr>
            <sz val="14"/>
            <color rgb="FF000000"/>
            <rFont val="Times New Roman"/>
            <family val="18"/>
          </rPr>
          <t xml:space="preserve">25/04/1817 </t>
        </r>
        <r>
          <rPr>
            <i/>
            <sz val="14"/>
            <color rgb="FF000000"/>
            <rFont val="Times New Roman"/>
            <family val="18"/>
          </rPr>
          <t>Hat sich in Bregenz gegen 3Fl Handgeld auf 6</t>
        </r>
        <r>
          <rPr>
            <sz val="14"/>
            <color rgb="FF000000"/>
            <rFont val="Times New Roman"/>
            <family val="18"/>
          </rPr>
          <t xml:space="preserve"> </t>
        </r>
        <r>
          <rPr>
            <i/>
            <sz val="14"/>
            <color rgb="FF000000"/>
            <rFont val="Times New Roman"/>
            <family val="18"/>
          </rPr>
          <t xml:space="preserve">Jahre zum Kaiser Tyroler Jager Regiment </t>
        </r>
        <r>
          <rPr>
            <b/>
            <sz val="14"/>
            <color rgb="FF000000"/>
            <rFont val="Times New Roman"/>
            <family val="18"/>
          </rPr>
          <t xml:space="preserve">[TKJR] </t>
        </r>
        <r>
          <rPr>
            <i/>
            <sz val="14"/>
            <color rgb="FF000000"/>
            <rFont val="Times New Roman"/>
            <family val="18"/>
          </rPr>
          <t>freiwillig engagiert und zur 16.</t>
        </r>
        <r>
          <rPr>
            <sz val="14"/>
            <color rgb="FF000000"/>
            <rFont val="Times New Roman"/>
            <family val="18"/>
          </rPr>
          <t xml:space="preserve"> </t>
        </r>
        <r>
          <rPr>
            <i/>
            <sz val="14"/>
            <color rgb="FF000000"/>
            <rFont val="Times New Roman"/>
            <family val="18"/>
          </rPr>
          <t>Kompanie eingeteilt</t>
        </r>
        <r>
          <rPr>
            <sz val="14"/>
            <color rgb="FF000000"/>
            <rFont val="Times New Roman"/>
            <family val="18"/>
          </rPr>
          <t xml:space="preserve"> [AL April 1817 &amp; ST May 1817 &amp; ML 1817]</t>
        </r>
        <r>
          <rPr>
            <sz val="14"/>
            <color rgb="FF000000"/>
            <rFont val="Calibri"/>
            <family val="34"/>
          </rPr>
          <t xml:space="preserve">
</t>
        </r>
        <r>
          <rPr>
            <sz val="14"/>
            <color rgb="FFFF0000"/>
            <rFont val="Times New Roman"/>
            <family val="18"/>
          </rPr>
          <t xml:space="preserve">25/04/1817 </t>
        </r>
        <r>
          <rPr>
            <i/>
            <sz val="14"/>
            <color rgb="FFFF0000"/>
            <rFont val="Times New Roman"/>
            <family val="18"/>
          </rPr>
          <t>Von Land gestellter Rekrut gegen 3Fl Handgeld auf 8 Jahre assentiert</t>
        </r>
        <r>
          <rPr>
            <sz val="14"/>
            <color rgb="FFFF0000"/>
            <rFont val="Times New Roman"/>
            <family val="18"/>
          </rPr>
          <t xml:space="preserve"> [SIC!] [GB KJR 24]</t>
        </r>
        <r>
          <rPr>
            <sz val="14"/>
            <color rgb="FF000000"/>
            <rFont val="Calibri"/>
            <family val="34"/>
          </rPr>
          <t xml:space="preserve">
</t>
        </r>
        <r>
          <rPr>
            <sz val="14"/>
            <color rgb="FF000000"/>
            <rFont val="Times New Roman"/>
            <family val="18"/>
          </rPr>
          <t>[Nach der Assentierung wurde die Capitulation von 6 auf 8 Jahre verlängert]</t>
        </r>
        <r>
          <rPr>
            <sz val="14"/>
            <color rgb="FF000000"/>
            <rFont val="Calibri"/>
            <family val="34"/>
          </rPr>
          <t xml:space="preserve">
</t>
        </r>
        <r>
          <rPr>
            <sz val="14"/>
            <color rgb="FF000000"/>
            <rFont val="Times New Roman"/>
            <family val="18"/>
          </rPr>
          <t>04/10/1817 Musterung: TKJR 16. Komp. Nr. 94</t>
        </r>
        <r>
          <rPr>
            <sz val="14"/>
            <color rgb="FF000000"/>
            <rFont val="Calibri"/>
            <family val="34"/>
          </rPr>
          <t xml:space="preserve">
</t>
        </r>
        <r>
          <rPr>
            <sz val="14"/>
            <color rgb="FF000000"/>
            <rFont val="Times New Roman"/>
            <family val="18"/>
          </rPr>
          <t xml:space="preserve">29/12/1817 </t>
        </r>
        <r>
          <rPr>
            <i/>
            <sz val="14"/>
            <color rgb="FF000000"/>
            <rFont val="Times New Roman"/>
            <family val="18"/>
          </rPr>
          <t>Marsch nach Kufstein</t>
        </r>
        <r>
          <rPr>
            <sz val="14"/>
            <color rgb="FF000000"/>
            <rFont val="Times New Roman"/>
            <family val="18"/>
          </rPr>
          <t xml:space="preserve"> [ST Dec 1817]</t>
        </r>
        <r>
          <rPr>
            <sz val="14"/>
            <color rgb="FF000000"/>
            <rFont val="Calibri"/>
            <family val="34"/>
          </rPr>
          <t xml:space="preserve">
</t>
        </r>
        <r>
          <rPr>
            <sz val="14"/>
            <color rgb="FF000000"/>
            <rFont val="Times New Roman"/>
            <family val="18"/>
          </rPr>
          <t xml:space="preserve">15/01/1818 </t>
        </r>
        <r>
          <rPr>
            <i/>
            <sz val="14"/>
            <color rgb="FF000000"/>
            <rFont val="Times New Roman"/>
            <family val="18"/>
          </rPr>
          <t>Die Kompanie rückt in Kufstein mit ordinärem Kasernen Service ein</t>
        </r>
        <r>
          <rPr>
            <sz val="14"/>
            <color rgb="FF000000"/>
            <rFont val="Times New Roman"/>
            <family val="18"/>
          </rPr>
          <t xml:space="preserve"> [ST Jan 1818]</t>
        </r>
        <r>
          <rPr>
            <sz val="14"/>
            <color rgb="FF000000"/>
            <rFont val="Calibri"/>
            <family val="34"/>
          </rPr>
          <t xml:space="preserve">
</t>
        </r>
        <r>
          <rPr>
            <sz val="14"/>
            <color rgb="FF000000"/>
            <rFont val="Times New Roman"/>
            <family val="18"/>
          </rPr>
          <t>25/09/1818 Musterung: TKJR 16. Komp. Nr. 88</t>
        </r>
        <r>
          <rPr>
            <sz val="14"/>
            <color rgb="FF000000"/>
            <rFont val="Calibri"/>
            <family val="34"/>
          </rPr>
          <t xml:space="preserve">
</t>
        </r>
        <r>
          <rPr>
            <sz val="14"/>
            <color rgb="FF000000"/>
            <rFont val="Times New Roman"/>
            <family val="18"/>
          </rPr>
          <t xml:space="preserve">17/11/1818 </t>
        </r>
        <r>
          <rPr>
            <i/>
            <sz val="14"/>
            <color rgb="FF000000"/>
            <rFont val="Times New Roman"/>
            <family val="18"/>
          </rPr>
          <t>Die Kompanie verlässt Kufstein</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20/11/1818 </t>
        </r>
        <r>
          <rPr>
            <i/>
            <sz val="14"/>
            <color rgb="FF000000"/>
            <rFont val="Times New Roman"/>
            <family val="18"/>
          </rPr>
          <t>Die Kompanie kommt nach Innsbruck</t>
        </r>
        <r>
          <rPr>
            <sz val="14"/>
            <color rgb="FF000000"/>
            <rFont val="Times New Roman"/>
            <family val="18"/>
          </rPr>
          <t xml:space="preserve"> [ST Nov 1818]</t>
        </r>
        <r>
          <rPr>
            <sz val="14"/>
            <color rgb="FF000000"/>
            <rFont val="Calibri"/>
            <family val="34"/>
          </rPr>
          <t xml:space="preserve">
</t>
        </r>
        <r>
          <rPr>
            <sz val="14"/>
            <color rgb="FF000000"/>
            <rFont val="Times New Roman"/>
            <family val="18"/>
          </rPr>
          <t xml:space="preserve">16/09/1819 </t>
        </r>
        <r>
          <rPr>
            <i/>
            <sz val="14"/>
            <color rgb="FF000000"/>
            <rFont val="Times New Roman"/>
            <family val="18"/>
          </rPr>
          <t>Mit Viaticum auf 25 Meilen von unbestimmtem Urlaub zurück</t>
        </r>
        <r>
          <rPr>
            <sz val="14"/>
            <color rgb="FF000000"/>
            <rFont val="Times New Roman"/>
            <family val="18"/>
          </rPr>
          <t xml:space="preserve"> [ST Sept 1819)</t>
        </r>
        <r>
          <rPr>
            <sz val="14"/>
            <color rgb="FF000000"/>
            <rFont val="Calibri"/>
            <family val="34"/>
          </rPr>
          <t xml:space="preserve">
</t>
        </r>
        <r>
          <rPr>
            <sz val="14"/>
            <color rgb="FF000000"/>
            <rFont val="Times New Roman"/>
            <family val="18"/>
          </rPr>
          <t xml:space="preserve">21/09/1819 </t>
        </r>
        <r>
          <rPr>
            <i/>
            <sz val="14"/>
            <color rgb="FF000000"/>
            <rFont val="Times New Roman"/>
            <family val="18"/>
          </rPr>
          <t>Krank im Loco Spital</t>
        </r>
        <r>
          <rPr>
            <sz val="14"/>
            <color rgb="FF000000"/>
            <rFont val="Times New Roman"/>
            <family val="18"/>
          </rPr>
          <t xml:space="preserve"> [ST Sept 1819]</t>
        </r>
        <r>
          <rPr>
            <sz val="14"/>
            <color rgb="FF000000"/>
            <rFont val="Calibri"/>
            <family val="34"/>
          </rPr>
          <t xml:space="preserve">
</t>
        </r>
        <r>
          <rPr>
            <sz val="14"/>
            <color rgb="FF000000"/>
            <rFont val="Times New Roman"/>
            <family val="18"/>
          </rPr>
          <t>12/10/1819 Musterung: TKJR 16. Komp. Nr. 76 [</t>
        </r>
        <r>
          <rPr>
            <i/>
            <sz val="14"/>
            <color rgb="FF000000"/>
            <rFont val="Times New Roman"/>
            <family val="18"/>
          </rPr>
          <t>Krank im Loco Spital zu Innsbruck</t>
        </r>
        <r>
          <rPr>
            <sz val="14"/>
            <color rgb="FF000000"/>
            <rFont val="Times New Roman"/>
            <family val="18"/>
          </rPr>
          <t>]</t>
        </r>
        <r>
          <rPr>
            <sz val="14"/>
            <color rgb="FF000000"/>
            <rFont val="Calibri"/>
            <family val="34"/>
          </rPr>
          <t xml:space="preserve">
</t>
        </r>
        <r>
          <rPr>
            <sz val="14"/>
            <color rgb="FF000000"/>
            <rFont val="Times New Roman"/>
            <family val="18"/>
          </rPr>
          <t xml:space="preserve">20/10/1819 </t>
        </r>
        <r>
          <rPr>
            <i/>
            <sz val="14"/>
            <color rgb="FF000000"/>
            <rFont val="Times New Roman"/>
            <family val="18"/>
          </rPr>
          <t>Rekonvalesziert</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27/10/1819 </t>
        </r>
        <r>
          <rPr>
            <i/>
            <sz val="14"/>
            <color rgb="FF000000"/>
            <rFont val="Times New Roman"/>
            <family val="18"/>
          </rPr>
          <t>Mit Viaticum auf 25 Meilen auf unbestimmten Urlaub entlassen</t>
        </r>
        <r>
          <rPr>
            <sz val="14"/>
            <color rgb="FF000000"/>
            <rFont val="Times New Roman"/>
            <family val="18"/>
          </rPr>
          <t xml:space="preserve"> [ST Oct 1819]</t>
        </r>
        <r>
          <rPr>
            <sz val="14"/>
            <color rgb="FF000000"/>
            <rFont val="Calibri"/>
            <family val="34"/>
          </rPr>
          <t xml:space="preserve">
</t>
        </r>
        <r>
          <rPr>
            <sz val="14"/>
            <color rgb="FF000000"/>
            <rFont val="Times New Roman"/>
            <family val="18"/>
          </rPr>
          <t xml:space="preserve">29/04/1820 </t>
        </r>
        <r>
          <rPr>
            <i/>
            <sz val="14"/>
            <color rgb="FF000000"/>
            <rFont val="Times New Roman"/>
            <family val="18"/>
          </rPr>
          <t xml:space="preserve">Die Kompanie verlässt Innsbruck </t>
        </r>
        <r>
          <rPr>
            <sz val="14"/>
            <color rgb="FF000000"/>
            <rFont val="Times New Roman"/>
            <family val="18"/>
          </rPr>
          <t>[ST April 1820)</t>
        </r>
        <r>
          <rPr>
            <sz val="14"/>
            <color rgb="FF000000"/>
            <rFont val="Calibri"/>
            <family val="34"/>
          </rPr>
          <t xml:space="preserve">
</t>
        </r>
        <r>
          <rPr>
            <sz val="14"/>
            <color rgb="FF000000"/>
            <rFont val="Times New Roman"/>
            <family val="18"/>
          </rPr>
          <t xml:space="preserve">01/05/1820 </t>
        </r>
        <r>
          <rPr>
            <i/>
            <sz val="14"/>
            <color rgb="FF000000"/>
            <rFont val="Times New Roman"/>
            <family val="18"/>
          </rPr>
          <t>Ankunft und Einquartierung der Kompanie in der Festung Kufstein</t>
        </r>
        <r>
          <rPr>
            <sz val="14"/>
            <color rgb="FF000000"/>
            <rFont val="Times New Roman"/>
            <family val="18"/>
          </rPr>
          <t xml:space="preserve"> [ST May 1820]</t>
        </r>
        <r>
          <rPr>
            <sz val="14"/>
            <color rgb="FF000000"/>
            <rFont val="Calibri"/>
            <family val="34"/>
          </rPr>
          <t xml:space="preserve">
</t>
        </r>
        <r>
          <rPr>
            <sz val="14"/>
            <color rgb="FF000000"/>
            <rFont val="Times New Roman"/>
            <family val="18"/>
          </rPr>
          <t xml:space="preserve">01/09/1820 </t>
        </r>
        <r>
          <rPr>
            <i/>
            <sz val="14"/>
            <color rgb="FF000000"/>
            <rFont val="Times New Roman"/>
            <family val="18"/>
          </rPr>
          <t xml:space="preserve">Die 16. Kompanie verlässt Kufstein </t>
        </r>
        <r>
          <rPr>
            <sz val="14"/>
            <color rgb="FF000000"/>
            <rFont val="Times New Roman"/>
            <family val="18"/>
          </rPr>
          <t>[ST Sept 1820]</t>
        </r>
        <r>
          <rPr>
            <sz val="14"/>
            <color rgb="FF000000"/>
            <rFont val="Calibri"/>
            <family val="34"/>
          </rPr>
          <t xml:space="preserve">
</t>
        </r>
        <r>
          <rPr>
            <sz val="14"/>
            <color rgb="FF000000"/>
            <rFont val="Times New Roman"/>
            <family val="18"/>
          </rPr>
          <t xml:space="preserve">04/09/1820 </t>
        </r>
        <r>
          <rPr>
            <i/>
            <sz val="14"/>
            <color rgb="FF000000"/>
            <rFont val="Times New Roman"/>
            <family val="18"/>
          </rPr>
          <t>Ankunft und Einquartierung ins Kasernen Service in Innsbruck</t>
        </r>
        <r>
          <rPr>
            <sz val="14"/>
            <color rgb="FF000000"/>
            <rFont val="Times New Roman"/>
            <family val="18"/>
          </rPr>
          <t xml:space="preserve"> [ST Sept 1820]</t>
        </r>
        <r>
          <rPr>
            <sz val="14"/>
            <color rgb="FF000000"/>
            <rFont val="Calibri"/>
            <family val="34"/>
          </rPr>
          <t xml:space="preserve">
</t>
        </r>
        <r>
          <rPr>
            <sz val="14"/>
            <color rgb="FF000000"/>
            <rFont val="Times New Roman"/>
            <family val="18"/>
          </rPr>
          <t xml:space="preserve">14/09/1820 </t>
        </r>
        <r>
          <rPr>
            <i/>
            <sz val="14"/>
            <color rgb="FF000000"/>
            <rFont val="Times New Roman"/>
            <family val="18"/>
          </rPr>
          <t>Von unbestimmtem Urlaub in die Kompanie eingerückt</t>
        </r>
        <r>
          <rPr>
            <sz val="14"/>
            <color rgb="FF000000"/>
            <rFont val="Times New Roman"/>
            <family val="18"/>
          </rPr>
          <t xml:space="preserve"> [ST Sept 1820]</t>
        </r>
        <r>
          <rPr>
            <sz val="14"/>
            <color rgb="FF000000"/>
            <rFont val="Calibri"/>
            <family val="34"/>
          </rPr>
          <t xml:space="preserve">
</t>
        </r>
        <r>
          <rPr>
            <sz val="14"/>
            <color rgb="FF000000"/>
            <rFont val="Times New Roman"/>
            <family val="18"/>
          </rPr>
          <t>06/10/1820 Revision: TKJR 16. Komp. Nr. 150 [</t>
        </r>
        <r>
          <rPr>
            <i/>
            <sz val="14"/>
            <color rgb="FF000000"/>
            <rFont val="Times New Roman"/>
            <family val="18"/>
          </rPr>
          <t>Real Invalid</t>
        </r>
        <r>
          <rPr>
            <sz val="14"/>
            <color rgb="FF000000"/>
            <rFont val="Times New Roman"/>
            <family val="18"/>
          </rPr>
          <t>]</t>
        </r>
        <r>
          <rPr>
            <sz val="14"/>
            <color rgb="FF000000"/>
            <rFont val="Calibri"/>
            <family val="34"/>
          </rPr>
          <t xml:space="preserve">
</t>
        </r>
        <r>
          <rPr>
            <sz val="14"/>
            <color rgb="FF000000"/>
            <rFont val="Times New Roman"/>
            <family val="18"/>
          </rPr>
          <t xml:space="preserve">20/08/1821 </t>
        </r>
        <r>
          <rPr>
            <i/>
            <sz val="14"/>
            <color rgb="FF000000"/>
            <rFont val="Times New Roman"/>
            <family val="18"/>
          </rPr>
          <t>Laut Verordnung det. Gratz am 20. Julius 1821 R. 5485 als Reale Invalid mit Abschied entlassen</t>
        </r>
        <r>
          <rPr>
            <sz val="14"/>
            <color rgb="FF000000"/>
            <rFont val="Times New Roman"/>
            <family val="18"/>
          </rPr>
          <t xml:space="preserve"> [GB KJR 24]</t>
        </r>
      </text>
    </comment>
    <comment ref="BG788" authorId="0" shapeId="0" xr:uid="{8B254611-4FCE-F047-952D-4D637683CAF9}">
      <text>
        <r>
          <rPr>
            <sz val="14"/>
            <color rgb="FF000000"/>
            <rFont val="Times New Roman"/>
            <family val="18"/>
          </rPr>
          <t>ML 5118-20 TKJR (1817): 14. Komp. Zuwachs &amp; Abgang (Bregenz 04/10/1817), 15. Komp. Nr. 14 (Bregenz 04/10/1817)</t>
        </r>
        <r>
          <rPr>
            <sz val="14"/>
            <color rgb="FF000000"/>
            <rFont val="Calibri"/>
            <family val="34"/>
          </rPr>
          <t xml:space="preserve">
</t>
        </r>
        <r>
          <rPr>
            <sz val="14"/>
            <color rgb="FF000000"/>
            <rFont val="Times New Roman"/>
            <family val="18"/>
          </rPr>
          <t>ML 5321-23 TKJR (1818) – 15. Komp. Nr. 14 (Kufstein 25/09/1818)</t>
        </r>
        <r>
          <rPr>
            <sz val="14"/>
            <color rgb="FF000000"/>
            <rFont val="Calibri"/>
            <family val="34"/>
          </rPr>
          <t xml:space="preserve">
</t>
        </r>
        <r>
          <rPr>
            <sz val="14"/>
            <color rgb="FF000000"/>
            <rFont val="Times New Roman"/>
            <family val="18"/>
          </rPr>
          <t>ML 5324-26 TKJR (1819) – 15. Komp. Nr. 13 (Innsbruck 12/10/1819)</t>
        </r>
        <r>
          <rPr>
            <sz val="14"/>
            <color rgb="FF000000"/>
            <rFont val="Calibri"/>
            <family val="34"/>
          </rPr>
          <t xml:space="preserve">
</t>
        </r>
        <r>
          <rPr>
            <sz val="14"/>
            <color rgb="FF000000"/>
            <rFont val="Times New Roman"/>
            <family val="18"/>
          </rPr>
          <t>ML 5327 TKJR (1820) – 18. Komp. Nr. 15 (Innsbruck 13/10/1820)</t>
        </r>
        <r>
          <rPr>
            <sz val="14"/>
            <color rgb="FF000000"/>
            <rFont val="Calibri"/>
            <family val="34"/>
          </rPr>
          <t xml:space="preserve">
</t>
        </r>
        <r>
          <rPr>
            <sz val="14"/>
            <color rgb="FF000000"/>
            <rFont val="Times New Roman"/>
            <family val="18"/>
          </rPr>
          <t>ML 5331 TKJR (1817) – ST December (Innsbruck 26/03/1818)</t>
        </r>
        <r>
          <rPr>
            <sz val="14"/>
            <color rgb="FF000000"/>
            <rFont val="Calibri"/>
            <family val="34"/>
          </rPr>
          <t xml:space="preserve">
</t>
        </r>
        <r>
          <rPr>
            <sz val="14"/>
            <color rgb="FF000000"/>
            <rFont val="Times New Roman"/>
            <family val="18"/>
          </rPr>
          <t>ML 5333 TKJR (1818) – ST January (Innsbruck 19/04/1818), November (Innsbruck 12/01/1819)</t>
        </r>
        <r>
          <rPr>
            <sz val="14"/>
            <color rgb="FF000000"/>
            <rFont val="Calibri"/>
            <family val="34"/>
          </rPr>
          <t xml:space="preserve">
</t>
        </r>
        <r>
          <rPr>
            <sz val="14"/>
            <color rgb="FF000000"/>
            <rFont val="Times New Roman"/>
            <family val="18"/>
          </rPr>
          <t>ML 5336 TKJR (1820) – ST April (Innsbruck 20/05/1820), May (Innsbruck 24/06/1820), June (??/07/1820)</t>
        </r>
        <r>
          <rPr>
            <sz val="14"/>
            <color rgb="FF000000"/>
            <rFont val="Calibri"/>
            <family val="34"/>
          </rPr>
          <t xml:space="preserve">
</t>
        </r>
        <r>
          <rPr>
            <sz val="14"/>
            <color rgb="FF000000"/>
            <rFont val="Times New Roman"/>
            <family val="18"/>
          </rPr>
          <t xml:space="preserve">GB Kaiser Jäger Regiment 27: Abgang Klasse III 1820-1840 Heft 10 S. 183.  </t>
        </r>
        <r>
          <rPr>
            <sz val="14"/>
            <color rgb="FF000000"/>
            <rFont val="Calibri"/>
            <family val="34"/>
          </rPr>
          <t xml:space="preserve">
</t>
        </r>
        <r>
          <rPr>
            <sz val="14"/>
            <color rgb="FF000000"/>
            <rFont val="Times New Roman"/>
            <family val="18"/>
          </rPr>
          <t xml:space="preserve">Hohenems Genealogie </t>
        </r>
        <r>
          <rPr>
            <u/>
            <sz val="14"/>
            <color rgb="FF0563C1"/>
            <rFont val="Times New Roman"/>
            <family val="18"/>
          </rPr>
          <t>I2142</t>
        </r>
        <r>
          <rPr>
            <sz val="14"/>
            <color rgb="FF000000"/>
            <rFont val="Calibri"/>
            <family val="34"/>
          </rPr>
          <t xml:space="preserve">
</t>
        </r>
      </text>
    </comment>
    <comment ref="BH788" authorId="0" shapeId="0" xr:uid="{1F15193C-DA20-794F-AD48-5FAE7E422640}">
      <text>
        <r>
          <rPr>
            <sz val="14"/>
            <color rgb="FF000000"/>
            <rFont val="Calibri"/>
            <family val="34"/>
          </rPr>
          <t>TKJR (1817-1821)</t>
        </r>
      </text>
    </comment>
    <comment ref="BF789" authorId="0" shapeId="0" xr:uid="{395869BF-1B0F-2740-8CFD-6BDC640C9176}">
      <text>
        <r>
          <rPr>
            <sz val="14"/>
            <color rgb="FF000000"/>
            <rFont val="Times New Roman"/>
            <family val="18"/>
          </rPr>
          <t xml:space="preserve">19/08/1820 </t>
        </r>
        <r>
          <rPr>
            <i/>
            <sz val="14"/>
            <color rgb="FF000000"/>
            <rFont val="Times New Roman"/>
            <family val="18"/>
          </rPr>
          <t>Gegen 10Fl Handgeld als Regiments Recrout auf 6 Jahr zu Mailand freiwillig zum IR 44</t>
        </r>
        <r>
          <rPr>
            <sz val="14"/>
            <color rgb="FF000000"/>
            <rFont val="Times New Roman"/>
            <family val="18"/>
          </rPr>
          <t xml:space="preserve"> </t>
        </r>
        <r>
          <rPr>
            <i/>
            <sz val="14"/>
            <color rgb="FF000000"/>
            <rFont val="Times New Roman"/>
            <family val="18"/>
          </rPr>
          <t xml:space="preserve">engagiert und zur 18. Komp. eingeteilt </t>
        </r>
        <r>
          <rPr>
            <sz val="14"/>
            <color rgb="FF000000"/>
            <rFont val="Times New Roman"/>
            <family val="18"/>
          </rPr>
          <t>[ML 1820]</t>
        </r>
        <r>
          <rPr>
            <sz val="14"/>
            <color rgb="FF000000"/>
            <rFont val="Calibri"/>
            <family val="34"/>
          </rPr>
          <t xml:space="preserve">
</t>
        </r>
        <r>
          <rPr>
            <sz val="14"/>
            <color rgb="FF000000"/>
            <rFont val="Times New Roman"/>
            <family val="18"/>
          </rPr>
          <t>27/09/1820 Muster: IR 44 18. Fus. Komp. Nr. 100 [</t>
        </r>
        <r>
          <rPr>
            <i/>
            <sz val="14"/>
            <color rgb="FF000000"/>
            <rFont val="Times New Roman"/>
            <family val="18"/>
          </rPr>
          <t>Marode</t>
        </r>
        <r>
          <rPr>
            <sz val="14"/>
            <color rgb="FF000000"/>
            <rFont val="Times New Roman"/>
            <family val="18"/>
          </rPr>
          <t>]</t>
        </r>
        <r>
          <rPr>
            <sz val="14"/>
            <color rgb="FF000000"/>
            <rFont val="Calibri"/>
            <family val="34"/>
          </rPr>
          <t xml:space="preserve">
</t>
        </r>
      </text>
    </comment>
    <comment ref="BG789" authorId="0" shapeId="0" xr:uid="{5B2BCA72-0649-A44E-BCE9-A5491EC280F9}">
      <text>
        <r>
          <rPr>
            <sz val="14"/>
            <color rgb="FF000000"/>
            <rFont val="Times New Roman"/>
            <family val="18"/>
          </rPr>
          <t>ML 3920 IR 44 (1820) – 18. Fus. Komp. Nr. 100 (Como 27/09/1820)</t>
        </r>
        <r>
          <rPr>
            <sz val="14"/>
            <color rgb="FF000000"/>
            <rFont val="Calibri"/>
            <family val="34"/>
          </rPr>
          <t xml:space="preserve">
</t>
        </r>
      </text>
    </comment>
    <comment ref="BH789" authorId="0" shapeId="0" xr:uid="{08FF9FC9-16FA-704A-A2FF-9A12A447CE04}">
      <text>
        <r>
          <rPr>
            <sz val="14"/>
            <color rgb="FF000000"/>
            <rFont val="Calibri"/>
            <family val="34"/>
          </rPr>
          <t>IR 44 (1820)</t>
        </r>
      </text>
    </comment>
  </commentList>
</comments>
</file>

<file path=xl/sharedStrings.xml><?xml version="1.0" encoding="utf-8"?>
<sst xmlns="http://schemas.openxmlformats.org/spreadsheetml/2006/main" count="26718" uniqueCount="4760">
  <si>
    <t>NAME</t>
  </si>
  <si>
    <t>ISACHI, Lazaro</t>
  </si>
  <si>
    <t>Ort</t>
  </si>
  <si>
    <t>Herrschaft</t>
  </si>
  <si>
    <t>Kreis</t>
  </si>
  <si>
    <t>Land</t>
  </si>
  <si>
    <t>Aus</t>
  </si>
  <si>
    <t>*</t>
  </si>
  <si>
    <t>Mondovì, Italy</t>
  </si>
  <si>
    <t>Stand</t>
  </si>
  <si>
    <t>Ledig</t>
  </si>
  <si>
    <t>Profession</t>
  </si>
  <si>
    <t>Ohne</t>
  </si>
  <si>
    <t>Gebürtig aus</t>
  </si>
  <si>
    <t>Pr</t>
  </si>
  <si>
    <t>Abs</t>
  </si>
  <si>
    <t>Weiber</t>
  </si>
  <si>
    <t>Geburts- Jahr</t>
  </si>
  <si>
    <t>Knb</t>
  </si>
  <si>
    <t>Mäd</t>
  </si>
  <si>
    <t>Kinder</t>
  </si>
  <si>
    <t>Maß</t>
  </si>
  <si>
    <t>CM</t>
  </si>
  <si>
    <t>Assentiert</t>
  </si>
  <si>
    <t>26/10/1794</t>
  </si>
  <si>
    <t>18/11/1795</t>
  </si>
  <si>
    <t>DIED</t>
  </si>
  <si>
    <t>State</t>
  </si>
  <si>
    <t>Serves?</t>
  </si>
  <si>
    <t>F</t>
  </si>
  <si>
    <t>Record</t>
  </si>
  <si>
    <t>Source</t>
  </si>
  <si>
    <t>Units</t>
  </si>
  <si>
    <t>Piemont</t>
  </si>
  <si>
    <t>Conscript</t>
  </si>
  <si>
    <t>Reservist</t>
  </si>
  <si>
    <t>Volunteer</t>
  </si>
  <si>
    <t>Reengaged</t>
  </si>
  <si>
    <t>Cavalry</t>
  </si>
  <si>
    <t>Grenzer</t>
  </si>
  <si>
    <t>Garrison Reg/Bat</t>
  </si>
  <si>
    <t>Defekten?</t>
  </si>
  <si>
    <t>Conduite?</t>
  </si>
  <si>
    <t>Grenz Cordon</t>
  </si>
  <si>
    <t>Artillery/Technial</t>
  </si>
  <si>
    <t>Fuhrwesen</t>
  </si>
  <si>
    <t xml:space="preserve">BRD/MÖK </t>
  </si>
  <si>
    <t>Invaliden Haus?</t>
  </si>
  <si>
    <t xml:space="preserve">Hospitals &amp; Sanitary </t>
  </si>
  <si>
    <t>Cadet/Officer?</t>
  </si>
  <si>
    <t>NCO?</t>
  </si>
  <si>
    <t>Grenadier?</t>
  </si>
  <si>
    <t>Musician?</t>
  </si>
  <si>
    <t>Fourierschutz/Privat Diener</t>
  </si>
  <si>
    <t>Professionist?</t>
  </si>
  <si>
    <t>Transferred?</t>
  </si>
  <si>
    <t>Prisoner?</t>
  </si>
  <si>
    <t>Deserted?</t>
  </si>
  <si>
    <t>Revertiert</t>
  </si>
  <si>
    <t>Attrapiert?</t>
  </si>
  <si>
    <t>KanonKreuz?</t>
  </si>
  <si>
    <t>Converted?</t>
  </si>
  <si>
    <t>IR 44</t>
  </si>
  <si>
    <t>Last Unit</t>
  </si>
  <si>
    <t>Oświęcim, Poland</t>
  </si>
  <si>
    <t>Ost Galizien</t>
  </si>
  <si>
    <t>c. 04/1798</t>
  </si>
  <si>
    <t>SALOMON, Samuel</t>
  </si>
  <si>
    <t>SCHMOLL, Joseph</t>
  </si>
  <si>
    <t>Verheiratet</t>
  </si>
  <si>
    <t>MFWK</t>
  </si>
  <si>
    <t>Was attached to IR 44</t>
  </si>
  <si>
    <t>?</t>
  </si>
  <si>
    <t>P</t>
  </si>
  <si>
    <t>Inländer</t>
  </si>
  <si>
    <t>Ausländer</t>
  </si>
  <si>
    <t>Schuch</t>
  </si>
  <si>
    <t>Zoll</t>
  </si>
  <si>
    <t>Strich</t>
  </si>
  <si>
    <t>STEINER, Hirsch</t>
  </si>
  <si>
    <t>≤10/03/1789</t>
  </si>
  <si>
    <t>YES</t>
  </si>
  <si>
    <t>Was attached to IR 43</t>
  </si>
  <si>
    <t>ENDMACHER, Israel</t>
  </si>
  <si>
    <t>≤17/06/1789</t>
  </si>
  <si>
    <t>FEDERCH, Moises</t>
  </si>
  <si>
    <t>SAPIER, Aron</t>
  </si>
  <si>
    <t>Kanek</t>
  </si>
  <si>
    <t>Polen</t>
  </si>
  <si>
    <t>≤31/10/1789</t>
  </si>
  <si>
    <t>HIPP, Jacob</t>
  </si>
  <si>
    <t>≤03/11/1789</t>
  </si>
  <si>
    <t>FEIDEL, David</t>
  </si>
  <si>
    <t>Schogett</t>
  </si>
  <si>
    <t>≤24/09/1789</t>
  </si>
  <si>
    <t>KAGER, Moises</t>
  </si>
  <si>
    <t>In 02/1790</t>
  </si>
  <si>
    <t>PFEIFFER, Leib</t>
  </si>
  <si>
    <t>SPALLAR, Cheim</t>
  </si>
  <si>
    <t>TRAGER, Itzik</t>
  </si>
  <si>
    <t>ZEICHEN, Jacob</t>
  </si>
  <si>
    <t>≤30/04/1790</t>
  </si>
  <si>
    <t>21/10/1790</t>
  </si>
  <si>
    <t>DISCHARGED</t>
  </si>
  <si>
    <t>In Pavia gestorben</t>
  </si>
  <si>
    <t>LEWOWITZ, Nathan</t>
  </si>
  <si>
    <t>Janislov</t>
  </si>
  <si>
    <t>Russland</t>
  </si>
  <si>
    <t>31/10/1810</t>
  </si>
  <si>
    <t>MISSING</t>
  </si>
  <si>
    <t xml:space="preserve">als auswärtig Krank als deren Existenz über 1 Jahr unbekannt als unwissend verlore </t>
  </si>
  <si>
    <t>Transferred to MFWK</t>
  </si>
  <si>
    <t>ARON, Baruch</t>
  </si>
  <si>
    <t>Biłgoraj, Poland</t>
  </si>
  <si>
    <t>Josephow</t>
  </si>
  <si>
    <t>West Galizien</t>
  </si>
  <si>
    <t>Fleischhacker</t>
  </si>
  <si>
    <t>12/07/1799</t>
  </si>
  <si>
    <t>IR 30</t>
  </si>
  <si>
    <t>Corporal in IR 30</t>
  </si>
  <si>
    <t>Silberne Tapferkeitsmedaille</t>
  </si>
  <si>
    <t>Iwaniska, Poland</t>
  </si>
  <si>
    <t>Sandomierz</t>
  </si>
  <si>
    <t>12/08/1799</t>
  </si>
  <si>
    <t>IR 24</t>
  </si>
  <si>
    <t>IR 43</t>
  </si>
  <si>
    <t>HIRSCHEL, Lippe</t>
  </si>
  <si>
    <t>Precise enlistment date unknown</t>
  </si>
  <si>
    <t>DORNBUSCH, Aron</t>
  </si>
  <si>
    <t>Przemyśl, Poland</t>
  </si>
  <si>
    <t>Przemysl</t>
  </si>
  <si>
    <t>28/02/1807</t>
  </si>
  <si>
    <t>MORAWSKY, Ignatz</t>
  </si>
  <si>
    <t>Hliadky, Ukraine</t>
  </si>
  <si>
    <t>26/01/1801</t>
  </si>
  <si>
    <t>HERSCH, Moises</t>
  </si>
  <si>
    <t>Seget</t>
  </si>
  <si>
    <t>16/05/1809</t>
  </si>
  <si>
    <t>ABRAHAM, Leib</t>
  </si>
  <si>
    <t>Zaklików, Poland</t>
  </si>
  <si>
    <t>Kirschner</t>
  </si>
  <si>
    <t>15/07/1799</t>
  </si>
  <si>
    <t>Transferred to IR 24</t>
  </si>
  <si>
    <t>KORALL, Simon</t>
  </si>
  <si>
    <t>12/02/1801</t>
  </si>
  <si>
    <t>Bolekhiv, Ukraine</t>
  </si>
  <si>
    <t>Stry</t>
  </si>
  <si>
    <t>BRINDEL, Joseph</t>
  </si>
  <si>
    <t>Grabowiec, Zamość County, Poland</t>
  </si>
  <si>
    <t>01/03/1801</t>
  </si>
  <si>
    <t>Transferred to IR 58</t>
  </si>
  <si>
    <t>IR 9</t>
  </si>
  <si>
    <t>GB 1</t>
  </si>
  <si>
    <t>Gemeiner in GB 1</t>
  </si>
  <si>
    <t>15/07/1811</t>
  </si>
  <si>
    <t>DRACZUK, Semko</t>
  </si>
  <si>
    <t>Gefreyter in IR 24</t>
  </si>
  <si>
    <t>13/05/1800</t>
  </si>
  <si>
    <t>Dobrovody (Ternopil Oblast) Ukraine</t>
  </si>
  <si>
    <t>ITZIK, Moyses [Senior]</t>
  </si>
  <si>
    <t>Bychawa, Poland</t>
  </si>
  <si>
    <t>08/07/1799</t>
  </si>
  <si>
    <t>17/05/1809</t>
  </si>
  <si>
    <t>MIA</t>
  </si>
  <si>
    <t xml:space="preserve">bei der Affaire von Podgary vermisst </t>
  </si>
  <si>
    <t>LÖWY, Jankel</t>
  </si>
  <si>
    <t>Brody Ukraine</t>
  </si>
  <si>
    <t>09/02/1801</t>
  </si>
  <si>
    <t xml:space="preserve">Bei der Affaire von Podgary vermisst </t>
  </si>
  <si>
    <t>23/11/1803 Von Urlaub Desertiert; 21/12/1808 Ohnentgeldich attraapirt</t>
  </si>
  <si>
    <t>13/05/1809</t>
  </si>
  <si>
    <t xml:space="preserve">auf den Rückzug aus Italien vermisst </t>
  </si>
  <si>
    <t>DAVIDOWIZ, David</t>
  </si>
  <si>
    <t>Końskowola, Poland</t>
  </si>
  <si>
    <t>03/07/1799</t>
  </si>
  <si>
    <t>BERTH, Salomon</t>
  </si>
  <si>
    <t>Józefów nad Wisłą, Poland</t>
  </si>
  <si>
    <t>05/07/1799</t>
  </si>
  <si>
    <t>10/04/1808</t>
  </si>
  <si>
    <t>In Spital Gestorben</t>
  </si>
  <si>
    <t>STÖHR, Paniko/STEHER, Pinkus</t>
  </si>
  <si>
    <t>Loschi</t>
  </si>
  <si>
    <t>21/02/1801</t>
  </si>
  <si>
    <t>GK IÖ</t>
  </si>
  <si>
    <t>Gemeiner in GK IÖ</t>
  </si>
  <si>
    <t>21/05/1809 Taken prisoner; 26/10/1814 Returns</t>
  </si>
  <si>
    <t>HIRSCHKOWIZ, Mortke</t>
  </si>
  <si>
    <t>Raków, Poland</t>
  </si>
  <si>
    <t>03/08/1799</t>
  </si>
  <si>
    <t>20/01/1808</t>
  </si>
  <si>
    <t>GELB, Hersch</t>
  </si>
  <si>
    <t>Lviv, Ukraine</t>
  </si>
  <si>
    <t>Stadt</t>
  </si>
  <si>
    <t>Lemberg</t>
  </si>
  <si>
    <t>In 1788</t>
  </si>
  <si>
    <t>31/08/1807</t>
  </si>
  <si>
    <t>JOSELL, Zacharias</t>
  </si>
  <si>
    <t>Schneider</t>
  </si>
  <si>
    <t>31/10/1806</t>
  </si>
  <si>
    <t>Als Untauglich entassen</t>
  </si>
  <si>
    <t>JANTOSCHEG, Jandro/Anton</t>
  </si>
  <si>
    <t>MOISES, Hersch</t>
  </si>
  <si>
    <t>26/07/1799</t>
  </si>
  <si>
    <t>Gegen Stellung mit Abschied entlassen</t>
  </si>
  <si>
    <t>Replacement</t>
  </si>
  <si>
    <t>BORUCH, Elias/ BARAK, Eli</t>
  </si>
  <si>
    <t>23/05/1800</t>
  </si>
  <si>
    <t>RAUCH, Joseph</t>
  </si>
  <si>
    <t>Tyszowce, Poland</t>
  </si>
  <si>
    <t>Blechschmied</t>
  </si>
  <si>
    <t>MOISES, Schmull</t>
  </si>
  <si>
    <t>Międzyrzec Podlaski, Poland</t>
  </si>
  <si>
    <t>In 03/1797</t>
  </si>
  <si>
    <t>Correct differs from actual rolls</t>
  </si>
  <si>
    <t>22/03/1797</t>
  </si>
  <si>
    <t>FEYER, Juthka</t>
  </si>
  <si>
    <t>Čáslav, Czech Republic</t>
  </si>
  <si>
    <t>Reich</t>
  </si>
  <si>
    <t>Böhmen</t>
  </si>
  <si>
    <t>In 09/1805</t>
  </si>
  <si>
    <t>In Fuhrwesen, was attached to IR 32 (1790)</t>
  </si>
  <si>
    <t>Was Attached to HR 4</t>
  </si>
  <si>
    <t>Precise enlistent date unknown</t>
  </si>
  <si>
    <t>BERKOWITZ, Samuel</t>
  </si>
  <si>
    <t>Opatów, Poland</t>
  </si>
  <si>
    <t>05/08/1799</t>
  </si>
  <si>
    <t>SCHMOLLERITZ/SMOLERICH, Sallomon</t>
  </si>
  <si>
    <t>Włodawa, Poland</t>
  </si>
  <si>
    <t>03/02/1797</t>
  </si>
  <si>
    <t>MORGENSTERN, Itzig</t>
  </si>
  <si>
    <t>Zolochiv, Ukraine</t>
  </si>
  <si>
    <t>19/06/1800</t>
  </si>
  <si>
    <t>LAYBUSCH/LAYBIS, Moyses</t>
  </si>
  <si>
    <t>Koray</t>
  </si>
  <si>
    <t>Galizien</t>
  </si>
  <si>
    <t>20/05/1800</t>
  </si>
  <si>
    <t>FREYMANN, Eleazer/Leiser</t>
  </si>
  <si>
    <t>Rawa-Ruska, Ukraine</t>
  </si>
  <si>
    <t>Zolkiew</t>
  </si>
  <si>
    <t>15/07/1800</t>
  </si>
  <si>
    <t>BERTH/PERTH, Jankel</t>
  </si>
  <si>
    <t>Potok Wielki (Lublin Voivodship), Poland</t>
  </si>
  <si>
    <t>MAGOWITZ, Moyses</t>
  </si>
  <si>
    <t>Staszów, Poland</t>
  </si>
  <si>
    <t>VEISS, Ludwig</t>
  </si>
  <si>
    <t>Lackenbach, Austria</t>
  </si>
  <si>
    <t>Odenburg</t>
  </si>
  <si>
    <t>Ungarn</t>
  </si>
  <si>
    <t>04/03/1809</t>
  </si>
  <si>
    <t>HR 1</t>
  </si>
  <si>
    <t>Corporal in HR 1</t>
  </si>
  <si>
    <t>16/12/1816</t>
  </si>
  <si>
    <t>ABRAHAM, Jacob</t>
  </si>
  <si>
    <t>Medieșu Aurit, Romania</t>
  </si>
  <si>
    <t>Szatmar</t>
  </si>
  <si>
    <t>HR 2</t>
  </si>
  <si>
    <t>Gemeiner in HR 2</t>
  </si>
  <si>
    <t>≤20/10/1805</t>
  </si>
  <si>
    <t>ARENSTEIN, Maximilian von</t>
  </si>
  <si>
    <t>??/12/1813</t>
  </si>
  <si>
    <t>KIA</t>
  </si>
  <si>
    <t>HR 4</t>
  </si>
  <si>
    <t>Vor Feind Geblieben</t>
  </si>
  <si>
    <t>Original Enlistment date unknown</t>
  </si>
  <si>
    <t>Was cadet in IR 63 at the surrender of Ulm</t>
  </si>
  <si>
    <t>SZMULOWICZ, Mortke</t>
  </si>
  <si>
    <t>23/07/1799</t>
  </si>
  <si>
    <t>NACHMOROWITZ, Sholem</t>
  </si>
  <si>
    <t>Łuków, Poland</t>
  </si>
  <si>
    <t>01/03/1797</t>
  </si>
  <si>
    <t>SEELICK, Joseph</t>
  </si>
  <si>
    <t>Biala</t>
  </si>
  <si>
    <t>02/05/1797</t>
  </si>
  <si>
    <t>10/11/1797</t>
  </si>
  <si>
    <t>SCHEPSEL, Simon</t>
  </si>
  <si>
    <t>15/09/1797</t>
  </si>
  <si>
    <t>DAVID, Aron</t>
  </si>
  <si>
    <t>Als Untauglich mit Laufpass entlassen</t>
  </si>
  <si>
    <t>ICZKOWITZ, Benjamin</t>
  </si>
  <si>
    <t>25/08/1799</t>
  </si>
  <si>
    <t>DESERTED</t>
  </si>
  <si>
    <t>Von Anhero Marsch Desertiert</t>
  </si>
  <si>
    <t>JOSSEL, Gedalie</t>
  </si>
  <si>
    <t>24/06/1799</t>
  </si>
  <si>
    <t>Ex loco ohne Feuergewehr Desertiert</t>
  </si>
  <si>
    <t>MARTKOWITZ, Nochim</t>
  </si>
  <si>
    <t>Łosice, Poland</t>
  </si>
  <si>
    <t>07/08/1798</t>
  </si>
  <si>
    <t>HERSCHEL, Benjamin</t>
  </si>
  <si>
    <t>In 05/1797</t>
  </si>
  <si>
    <t>21/12/1801</t>
  </si>
  <si>
    <t>in Loco Cattaro Gestorben</t>
  </si>
  <si>
    <t>WOLF, Isak</t>
  </si>
  <si>
    <t>19/11/1799</t>
  </si>
  <si>
    <t>In Perugia Gestorben</t>
  </si>
  <si>
    <t>SCHEPS, Jacob</t>
  </si>
  <si>
    <t>22/12/1799</t>
  </si>
  <si>
    <t>In Loco Gestorben</t>
  </si>
  <si>
    <t>WEINSAFT/WEINSCHATZ, Leib</t>
  </si>
  <si>
    <t>30/09/1796</t>
  </si>
  <si>
    <t>12/12/1796</t>
  </si>
  <si>
    <t>Zum Pest Gestorben</t>
  </si>
  <si>
    <t>BLOMGARTEN, Jedel</t>
  </si>
  <si>
    <t>27/09/1796</t>
  </si>
  <si>
    <t>07/06/1800</t>
  </si>
  <si>
    <t>POW</t>
  </si>
  <si>
    <t>Bei der Aktion in Montlto in Krieggefangenschaft Gefallen</t>
  </si>
  <si>
    <t>ABRAMOWICZ, Leizer</t>
  </si>
  <si>
    <t>31/07/1801</t>
  </si>
  <si>
    <t xml:space="preserve">mit Lafpaß entlassen </t>
  </si>
  <si>
    <t>HERSCH, Juda</t>
  </si>
  <si>
    <t>19/04/1802</t>
  </si>
  <si>
    <t>LEYZEROWICZ, Chlawne</t>
  </si>
  <si>
    <t>30/06/1798</t>
  </si>
  <si>
    <t>SPEISER, Leibel</t>
  </si>
  <si>
    <t>03/07/1797</t>
  </si>
  <si>
    <t>05/04/1799</t>
  </si>
  <si>
    <t>KASTAIN, Judas</t>
  </si>
  <si>
    <t>04/08/1799</t>
  </si>
  <si>
    <t>Zu Udine Gestorben</t>
  </si>
  <si>
    <t>ANSZEL, Salomon</t>
  </si>
  <si>
    <t>02/12/1799</t>
  </si>
  <si>
    <t>In Loco Ancona Gestorben</t>
  </si>
  <si>
    <t>23/02/1797</t>
  </si>
  <si>
    <t>30/09/1801</t>
  </si>
  <si>
    <t>DOCK, Judtka</t>
  </si>
  <si>
    <t>JUDKOWITZ, Kopel</t>
  </si>
  <si>
    <t>04/09/1801</t>
  </si>
  <si>
    <t>Desertiert</t>
  </si>
  <si>
    <t>HERZENSCHOTT, Hersch</t>
  </si>
  <si>
    <t>28/09/1796</t>
  </si>
  <si>
    <t>26/01/1798</t>
  </si>
  <si>
    <t>In Sittich Gestorben</t>
  </si>
  <si>
    <t>HAUER, Abraham</t>
  </si>
  <si>
    <t>05/07/1797</t>
  </si>
  <si>
    <t>DINZEL, Benjamin</t>
  </si>
  <si>
    <t>15/09/1796</t>
  </si>
  <si>
    <t>≤31/10/1798</t>
  </si>
  <si>
    <t>UNBEKANNT</t>
  </si>
  <si>
    <t>U</t>
  </si>
  <si>
    <t>UNBEKANNT: vermutlich im Spital gestorben oder verloren gegangen</t>
  </si>
  <si>
    <t>FUCHSKEHL, Tobias</t>
  </si>
  <si>
    <t>≤25/05/1798</t>
  </si>
  <si>
    <t>HIRNBACH, David</t>
  </si>
  <si>
    <t>HOSZEL, Hosia</t>
  </si>
  <si>
    <t>JUDKOWITZ, Berco</t>
  </si>
  <si>
    <t>MORTKE, Leib</t>
  </si>
  <si>
    <t>KIrschner</t>
  </si>
  <si>
    <t>BAITEL, Abel</t>
  </si>
  <si>
    <t>Ternopil, Ukraine</t>
  </si>
  <si>
    <t>28/02/1806</t>
  </si>
  <si>
    <t>Von Sonsten Desertiert</t>
  </si>
  <si>
    <t>MARZY, Josel/Joseph</t>
  </si>
  <si>
    <t>Zbarazh, Ukraine</t>
  </si>
  <si>
    <t>Als auf Urlaub verbliebene unwissend Verloren</t>
  </si>
  <si>
    <t>PANN/BANN, Samuel</t>
  </si>
  <si>
    <t>Prostějov, Czech Republic</t>
  </si>
  <si>
    <t>Mähren</t>
  </si>
  <si>
    <t>Glaser</t>
  </si>
  <si>
    <t>30/05/1802</t>
  </si>
  <si>
    <t>FAR 2</t>
  </si>
  <si>
    <t>Gegen Renuncierung mit Abschied entlassen</t>
  </si>
  <si>
    <t>15/08/1805</t>
  </si>
  <si>
    <t>OPPENHEIMER, Moyses</t>
  </si>
  <si>
    <t>Bratislava, Slovakia</t>
  </si>
  <si>
    <t>Student</t>
  </si>
  <si>
    <t>29/07/1805</t>
  </si>
  <si>
    <t>14/01/1806</t>
  </si>
  <si>
    <t>Gestorben</t>
  </si>
  <si>
    <t>Cannonier in FAR 2</t>
  </si>
  <si>
    <t>Stoislowitz</t>
  </si>
  <si>
    <t>JERSCHKOWICZ, Szloma/Marek</t>
  </si>
  <si>
    <t>Carlahut</t>
  </si>
  <si>
    <t>ISKOVITZ, Semko/ IZKOWIZ, Sinze</t>
  </si>
  <si>
    <t>Stary Garbów, Poland</t>
  </si>
  <si>
    <t>02/08/1799</t>
  </si>
  <si>
    <t>In 07/1799</t>
  </si>
  <si>
    <t>LEIBKOWIZ, Maszko</t>
  </si>
  <si>
    <t>Kasnatin</t>
  </si>
  <si>
    <t>SAMSON, Joel</t>
  </si>
  <si>
    <t>19/08/1801</t>
  </si>
  <si>
    <t xml:space="preserve">Aus der Station Sign desertiert </t>
  </si>
  <si>
    <t>Enlistment Date Unknown</t>
  </si>
  <si>
    <t>MICHEL, Chaim</t>
  </si>
  <si>
    <t>16/03/1801≤</t>
  </si>
  <si>
    <t>06/06/1812</t>
  </si>
  <si>
    <t xml:space="preserve">HÜTLER, Barthol: </t>
  </si>
  <si>
    <t>Pegmetz</t>
  </si>
  <si>
    <t>Abaújvár</t>
  </si>
  <si>
    <t>HR 7</t>
  </si>
  <si>
    <t>Gemeiner in HR 7</t>
  </si>
  <si>
    <t>SCHLESINGER, Jacob</t>
  </si>
  <si>
    <t>Vitenz</t>
  </si>
  <si>
    <t>Neutra</t>
  </si>
  <si>
    <t>24/08/1812</t>
  </si>
  <si>
    <t>POLATSCHEK, Lazar</t>
  </si>
  <si>
    <t>Hubczdorf</t>
  </si>
  <si>
    <t>Zips</t>
  </si>
  <si>
    <t>01/03/1814</t>
  </si>
  <si>
    <t>HR 10</t>
  </si>
  <si>
    <t>Gemeiner in HR 10</t>
  </si>
  <si>
    <t>MENGEL, Markus</t>
  </si>
  <si>
    <t>Linga</t>
  </si>
  <si>
    <t>≤01/03/1817</t>
  </si>
  <si>
    <t>Previous service before transfer into HR 10 unknown</t>
  </si>
  <si>
    <t>Marine</t>
  </si>
  <si>
    <t>In 08/1799</t>
  </si>
  <si>
    <t>FRIEDMANN, Sallomon</t>
  </si>
  <si>
    <t>Tykocin, Poland</t>
  </si>
  <si>
    <t>Preußisches Polen</t>
  </si>
  <si>
    <t>15/07/1812</t>
  </si>
  <si>
    <t>GAD 7Burgen</t>
  </si>
  <si>
    <t>Als Ausgedienter Capitulant mit Abschied Entlassen</t>
  </si>
  <si>
    <t xml:space="preserve">HÖFFLING, Marcus </t>
  </si>
  <si>
    <t>Sadhora, Ukraine</t>
  </si>
  <si>
    <t>Czernowitz</t>
  </si>
  <si>
    <t>Bukowina</t>
  </si>
  <si>
    <t>16/06/1809</t>
  </si>
  <si>
    <t>18/07/1809</t>
  </si>
  <si>
    <t>FK Buk</t>
  </si>
  <si>
    <t xml:space="preserve">bey Viniaska in Kriegsgefangenschaft gefallen </t>
  </si>
  <si>
    <t>LEDERER, Salomon</t>
  </si>
  <si>
    <t>Chernivtsi, Ukraine</t>
  </si>
  <si>
    <t>16/11/1809</t>
  </si>
  <si>
    <t>20/02/1810</t>
  </si>
  <si>
    <t xml:space="preserve">Als unentbehrlich bei der Wirtschaft als Kriegscapitulant mit Abschied entlassen </t>
  </si>
  <si>
    <t>Landwehr</t>
  </si>
  <si>
    <t>LEVITUS, Jacob</t>
  </si>
  <si>
    <t>Stašov (Beroun District), Czech Republic</t>
  </si>
  <si>
    <t>Lochovice, Czech Republic</t>
  </si>
  <si>
    <t>Beraun</t>
  </si>
  <si>
    <t>18/03/1809</t>
  </si>
  <si>
    <t>23/01/1810</t>
  </si>
  <si>
    <t>Leg EH Carl</t>
  </si>
  <si>
    <t>SALOMON, Abraham</t>
  </si>
  <si>
    <t>07/04/1800</t>
  </si>
  <si>
    <t>16/12/1800</t>
  </si>
  <si>
    <t>IR 60</t>
  </si>
  <si>
    <t xml:space="preserve">Während der Retirade in die Kriegsgefangenschaft geraten </t>
  </si>
  <si>
    <t>MÜNTZER, Baruch</t>
  </si>
  <si>
    <t>08/02/1800</t>
  </si>
  <si>
    <t>31/10/1801</t>
  </si>
  <si>
    <t xml:space="preserve">Als nicht zu evidente auswärts befindliche als unwissend verloren </t>
  </si>
  <si>
    <t>CZWENGEL, Isak</t>
  </si>
  <si>
    <t>25/02/1800</t>
  </si>
  <si>
    <t>05/08/1802</t>
  </si>
  <si>
    <t>SORGER, Isak</t>
  </si>
  <si>
    <t>30/04/1800</t>
  </si>
  <si>
    <t xml:space="preserve">Mit Laufpass als Untauglich entlassen </t>
  </si>
  <si>
    <t>LÖBEL, Isak</t>
  </si>
  <si>
    <t>22/02/1800</t>
  </si>
  <si>
    <t>15/09/1801</t>
  </si>
  <si>
    <t xml:space="preserve">Laut Besondere Verordnung unentgeltlich mit Abschied entlassen </t>
  </si>
  <si>
    <t>ARON, Samuel</t>
  </si>
  <si>
    <t>12/06/1800</t>
  </si>
  <si>
    <t xml:space="preserve">Ins Kriegsgefangenschaft geraten </t>
  </si>
  <si>
    <t>02/02/1801</t>
  </si>
  <si>
    <t>In Marienbaum gestorben</t>
  </si>
  <si>
    <t>SZALLAMON, Aron</t>
  </si>
  <si>
    <t>≤01/09/1801</t>
  </si>
  <si>
    <t>31/05/1802</t>
  </si>
  <si>
    <t>Previous service before return from captivity unknown</t>
  </si>
  <si>
    <t>SAMUEL, Jacob/Johann</t>
  </si>
  <si>
    <t>01/03/1800</t>
  </si>
  <si>
    <t>25/06/1800</t>
  </si>
  <si>
    <t xml:space="preserve">In Folge hoher General Commando Verordnung dem 4ten Juny mit Lauf Pass entlassen </t>
  </si>
  <si>
    <t>WEISZ, Abraham</t>
  </si>
  <si>
    <t>31/07/1800</t>
  </si>
  <si>
    <t xml:space="preserve">In Folge hoher General Commando Verordnung dem 2te April mit Lauf Pass entlassen </t>
  </si>
  <si>
    <t xml:space="preserve">MEISZEL, Löw </t>
  </si>
  <si>
    <t xml:space="preserve">MANULLA/MANJO, Marcus </t>
  </si>
  <si>
    <t>IR 32</t>
  </si>
  <si>
    <t>Transferred to IR 32</t>
  </si>
  <si>
    <t>STEINSCHEIDER, Jacob</t>
  </si>
  <si>
    <t>13/01/1801</t>
  </si>
  <si>
    <t xml:space="preserve">Gegen Stellung eines anderen Mannes mit Abschied Entlassen </t>
  </si>
  <si>
    <t>BUSCHAK, Enoch</t>
  </si>
  <si>
    <t>Sallkov</t>
  </si>
  <si>
    <t>Transferred to MWFK</t>
  </si>
  <si>
    <t>Was attached to IR 60</t>
  </si>
  <si>
    <t xml:space="preserve">LÖBL, Joseph/ WORSSCHLAG, Löbel </t>
  </si>
  <si>
    <t>Zloczow</t>
  </si>
  <si>
    <t>In 1786/7</t>
  </si>
  <si>
    <t>In 04/1799</t>
  </si>
  <si>
    <t>EISOVITS/LISIKOVITS, Martin</t>
  </si>
  <si>
    <t>Livans</t>
  </si>
  <si>
    <t>In 01/1798</t>
  </si>
  <si>
    <t>DAVID, Jacob</t>
  </si>
  <si>
    <t>≤01/03/1800</t>
  </si>
  <si>
    <t>Enlistment date unknown</t>
  </si>
  <si>
    <t>KLEIN, Simon</t>
  </si>
  <si>
    <t>Bánovce nad Bebravou, Slovakia</t>
  </si>
  <si>
    <t>10/03/1800</t>
  </si>
  <si>
    <t>GABRIEL, Jacob</t>
  </si>
  <si>
    <t>Neustadl</t>
  </si>
  <si>
    <t>Spengler</t>
  </si>
  <si>
    <t>21/02/1800</t>
  </si>
  <si>
    <t>31/08/1803</t>
  </si>
  <si>
    <t>HECHT, Jacob</t>
  </si>
  <si>
    <t>Trentsin</t>
  </si>
  <si>
    <t>Trenčín, Slovakia</t>
  </si>
  <si>
    <t>Steinmetz</t>
  </si>
  <si>
    <t>20/02/1803</t>
  </si>
  <si>
    <t>HERZ, Benedictus Edler von</t>
  </si>
  <si>
    <t>Wien, Austria</t>
  </si>
  <si>
    <t>Niederösterreich</t>
  </si>
  <si>
    <t>Offizier</t>
  </si>
  <si>
    <t>16/04/1797</t>
  </si>
  <si>
    <t>Transferred to IR 23</t>
  </si>
  <si>
    <t>Bei Affaire von Verona vor Feind geblieben</t>
  </si>
  <si>
    <t>Freycorps/ Freiwillige?</t>
  </si>
  <si>
    <t>Leichte Bat?</t>
  </si>
  <si>
    <t>Jäger/Feldjäger?</t>
  </si>
  <si>
    <t>Light Inf</t>
  </si>
  <si>
    <t>Line Infantry</t>
  </si>
  <si>
    <t>RETILER, Elias</t>
  </si>
  <si>
    <t>Rakonitz</t>
  </si>
  <si>
    <t>Beřovice, Czech Republic</t>
  </si>
  <si>
    <t>Zlonice, Czech Republic</t>
  </si>
  <si>
    <t>06/03/1809</t>
  </si>
  <si>
    <t>Als freiwillig auf die Kriegsdauer gestellte mit Abschied Entlassen</t>
  </si>
  <si>
    <t>STIPEMAN, Franz</t>
  </si>
  <si>
    <t>Praha, (Czech Republic)</t>
  </si>
  <si>
    <t>Fischer</t>
  </si>
  <si>
    <t>16/02/1810</t>
  </si>
  <si>
    <t>SAND, Samuel</t>
  </si>
  <si>
    <t>Svinařov (Slabce) Czech Republic</t>
  </si>
  <si>
    <t>Slabce, Czech Republic</t>
  </si>
  <si>
    <t>11/03/1809</t>
  </si>
  <si>
    <t>10/02/1810</t>
  </si>
  <si>
    <t>LEDERER, Wolf</t>
  </si>
  <si>
    <t>Kusow</t>
  </si>
  <si>
    <t>Křivoklát, Czech Republic</t>
  </si>
  <si>
    <t>25/01/1810</t>
  </si>
  <si>
    <t>ALTSCHUL, Marcus</t>
  </si>
  <si>
    <t>HOFFMANN, Simon</t>
  </si>
  <si>
    <t>Žebrákov, Zduchovice, Czech Republic</t>
  </si>
  <si>
    <t>Rotgerber</t>
  </si>
  <si>
    <t>01/04/1809</t>
  </si>
  <si>
    <t>CZERWENKA, Joseph</t>
  </si>
  <si>
    <t>Luže, Czech Republic</t>
  </si>
  <si>
    <t>Košumberk, Luže, Czech Republic</t>
  </si>
  <si>
    <t>Chrudim</t>
  </si>
  <si>
    <t>16/03/1809</t>
  </si>
  <si>
    <t>24/01/1810</t>
  </si>
  <si>
    <t>FRIEDLER, Marcus</t>
  </si>
  <si>
    <t>Olmütz</t>
  </si>
  <si>
    <t>Úsov, Czech Republic</t>
  </si>
  <si>
    <t>24/03/1809</t>
  </si>
  <si>
    <t>HOCH, Herschel</t>
  </si>
  <si>
    <t>16/11/1799</t>
  </si>
  <si>
    <t>≤22/03/1807</t>
  </si>
  <si>
    <t>WIENER, Isak</t>
  </si>
  <si>
    <t>Radouň (Štětí), Czech Republic</t>
  </si>
  <si>
    <t>Liběchov, Czech Republic</t>
  </si>
  <si>
    <t>Leitmeritz</t>
  </si>
  <si>
    <t>23/04/1809</t>
  </si>
  <si>
    <t>Während der Marche vermisst</t>
  </si>
  <si>
    <t>WOLF, Abraham</t>
  </si>
  <si>
    <t>Saatz</t>
  </si>
  <si>
    <t>Postoloprty, Czech Republic</t>
  </si>
  <si>
    <t>Gläßer</t>
  </si>
  <si>
    <t>26/03/1809</t>
  </si>
  <si>
    <t>HIRSCH, Jacob</t>
  </si>
  <si>
    <t>Holešov, Czech Republic</t>
  </si>
  <si>
    <t>Hradisch</t>
  </si>
  <si>
    <t>31/01/1810</t>
  </si>
  <si>
    <t>KLEIN, Abraham</t>
  </si>
  <si>
    <t>LANGER, Joseph</t>
  </si>
  <si>
    <t>Nesměřice, Czech Republic</t>
  </si>
  <si>
    <t>Unter Kralowitz</t>
  </si>
  <si>
    <t>Czaslau</t>
  </si>
  <si>
    <t>Tichlawitz</t>
  </si>
  <si>
    <t xml:space="preserve">Gierschabek Viertel </t>
  </si>
  <si>
    <t>31/08/1810</t>
  </si>
  <si>
    <t>04/05/1809</t>
  </si>
  <si>
    <t xml:space="preserve">Auf der Rückzug von Ebersberg in die Kriegsgefangenschaft geraten </t>
  </si>
  <si>
    <t xml:space="preserve">Als ein in der Armee Spitalern Unwissend verloren </t>
  </si>
  <si>
    <t>JOSSEL, Hermann</t>
  </si>
  <si>
    <t>Jičín, Czech Republic</t>
  </si>
  <si>
    <t>Bidschow</t>
  </si>
  <si>
    <t>Graf Trautmansdorf</t>
  </si>
  <si>
    <t>19/12/1809</t>
  </si>
  <si>
    <t xml:space="preserve">Auf dem Marsch von Hustanowitz nach Kremsier unwissend verloren </t>
  </si>
  <si>
    <t>SAMUEL. David</t>
  </si>
  <si>
    <t>Horné Ozorovce, Sovakia</t>
  </si>
  <si>
    <t>Gemeiner in IR 60</t>
  </si>
  <si>
    <t>WALDMANN, Marcus</t>
  </si>
  <si>
    <t>Martin, Slovakia</t>
  </si>
  <si>
    <t>17/11/1799</t>
  </si>
  <si>
    <t>STRASKOBER, Aron</t>
  </si>
  <si>
    <t>Dubková (Lazy pod Makytou-Dolná Dubková) Slovakia</t>
  </si>
  <si>
    <t>Transferred to IR 17</t>
  </si>
  <si>
    <t>ABRAHAM, Wolf</t>
  </si>
  <si>
    <t>Wiechteitz</t>
  </si>
  <si>
    <t>Preußen</t>
  </si>
  <si>
    <t>07/03/1809</t>
  </si>
  <si>
    <t>17/04/1809</t>
  </si>
  <si>
    <t>BROD, Isak</t>
  </si>
  <si>
    <t>Brünn</t>
  </si>
  <si>
    <t>16/04/1809</t>
  </si>
  <si>
    <t>28/02/1810</t>
  </si>
  <si>
    <t>Mäh-Sch FW</t>
  </si>
  <si>
    <t xml:space="preserve">In Folge der Vorgeführten Verordnung P. 406 Mit Abschied entlassen </t>
  </si>
  <si>
    <t>BAUER, Moises</t>
  </si>
  <si>
    <t xml:space="preserve">In Rückzug gegen Znaym unwissend verloren </t>
  </si>
  <si>
    <t>FEIN, Elias</t>
  </si>
  <si>
    <t>09/07/1809</t>
  </si>
  <si>
    <t>VEITH, Isak</t>
  </si>
  <si>
    <t>Brno-Starý Lískovec, Czech Republic</t>
  </si>
  <si>
    <t>BERGER, Maximilian</t>
  </si>
  <si>
    <t>Teplice, Czech Republic</t>
  </si>
  <si>
    <t>27/04/1809</t>
  </si>
  <si>
    <t>31/03/1809</t>
  </si>
  <si>
    <t>Als Ausgedienter Kriegscapitulant mit Abschied entlassen</t>
  </si>
  <si>
    <t>PIVAT, Salomon</t>
  </si>
  <si>
    <t>Tampowitz</t>
  </si>
  <si>
    <t>Ždánice, Czech Republic</t>
  </si>
  <si>
    <t>01/03/1809</t>
  </si>
  <si>
    <t>06/05/1809</t>
  </si>
  <si>
    <t xml:space="preserve">Unwissend verloren </t>
  </si>
  <si>
    <t>FUCHS, Joseph</t>
  </si>
  <si>
    <t>PRAGER, Moyses</t>
  </si>
  <si>
    <t>Kolín, Czech Republic</t>
  </si>
  <si>
    <t>Kaurim</t>
  </si>
  <si>
    <t>16/03/1810</t>
  </si>
  <si>
    <t>Třebíč, Czech Republic</t>
  </si>
  <si>
    <t>Iglau</t>
  </si>
  <si>
    <t>17/02/1810</t>
  </si>
  <si>
    <t>COHEN, Servi</t>
  </si>
  <si>
    <t>FREY, Abraham</t>
  </si>
  <si>
    <t>HIRSCHBERG, Abraham</t>
  </si>
  <si>
    <t>In 04/1809</t>
  </si>
  <si>
    <t>14/05/1809</t>
  </si>
  <si>
    <t>31/05/1809</t>
  </si>
  <si>
    <t>20/05/1809</t>
  </si>
  <si>
    <t>LW Triest</t>
  </si>
  <si>
    <t xml:space="preserve">Provisorisch entlassen </t>
  </si>
  <si>
    <t>Precise enlistment date not given</t>
  </si>
  <si>
    <t>Vermisst</t>
  </si>
  <si>
    <t xml:space="preserve">Bei Duino zurückgeblieben und als unwissend verloren in Abgang </t>
  </si>
  <si>
    <t>In Spital zu Fiume verbeliben</t>
  </si>
  <si>
    <t>Triester FJK</t>
  </si>
  <si>
    <t>LOLLY, Moises</t>
  </si>
  <si>
    <t>Trieste, Italy</t>
  </si>
  <si>
    <t>Litorale</t>
  </si>
  <si>
    <t>Handslungsdiener</t>
  </si>
  <si>
    <t>27/10/1809</t>
  </si>
  <si>
    <t>29/10/1809</t>
  </si>
  <si>
    <t>≤16/11/1809</t>
  </si>
  <si>
    <t>DUCHMANN, Jankew/ GURMANN, Joseph</t>
  </si>
  <si>
    <t>HAMMER, Aron</t>
  </si>
  <si>
    <t>KESSLER, Salomon/Samuel</t>
  </si>
  <si>
    <t>SCHOLUM, Wolf</t>
  </si>
  <si>
    <t>Stanislau</t>
  </si>
  <si>
    <t>Pistyn, Ukaine</t>
  </si>
  <si>
    <t>Kuty,Ukraine</t>
  </si>
  <si>
    <t>05/01/1810</t>
  </si>
  <si>
    <t>31/12/1809</t>
  </si>
  <si>
    <t>13/12/1809</t>
  </si>
  <si>
    <t>Was Attached to OstGal 1. Fbat</t>
  </si>
  <si>
    <t>Transferred to IR 41</t>
  </si>
  <si>
    <t>Gegen Stellung auf Steuerbare Wirtschaft mit Abschied Entlassen</t>
  </si>
  <si>
    <t>BLUM, Herschel/Israel</t>
  </si>
  <si>
    <t>Pińczów, Poland</t>
  </si>
  <si>
    <t>03/03/1809</t>
  </si>
  <si>
    <t>08/08/1809</t>
  </si>
  <si>
    <t>EGal FB 3</t>
  </si>
  <si>
    <t>EGal FB 1</t>
  </si>
  <si>
    <t>NOSEN, Hirsch</t>
  </si>
  <si>
    <t>Biała Podlaska Poland</t>
  </si>
  <si>
    <t>15/11/1805</t>
  </si>
  <si>
    <t xml:space="preserve">WGal FB 2 </t>
  </si>
  <si>
    <t>DICKER, Lorenz</t>
  </si>
  <si>
    <t>Maheriv, Ukraine</t>
  </si>
  <si>
    <t>23/08/1808</t>
  </si>
  <si>
    <t>GUTMANN, Markus</t>
  </si>
  <si>
    <t>Gdansk, Poland</t>
  </si>
  <si>
    <t>Danzig</t>
  </si>
  <si>
    <t>Mit Viaticum und Abschied entlassen</t>
  </si>
  <si>
    <t>LEIB, Herschel</t>
  </si>
  <si>
    <t>Kodeń, Poland</t>
  </si>
  <si>
    <t>11/09/1805</t>
  </si>
  <si>
    <t>Auf dem Marsch bis Dorf Komorowitz Desertiert</t>
  </si>
  <si>
    <t>BEITEL/PEUTEL, Isak</t>
  </si>
  <si>
    <t>Transferred to IR 1</t>
  </si>
  <si>
    <t>LEWEK, Abraham</t>
  </si>
  <si>
    <t>Mikolaiew</t>
  </si>
  <si>
    <t>15/05/1809</t>
  </si>
  <si>
    <t>Auf Marsch desertiert</t>
  </si>
  <si>
    <t>BEER/BERDON, Michael</t>
  </si>
  <si>
    <t>Komorowka</t>
  </si>
  <si>
    <t>11/10/1805</t>
  </si>
  <si>
    <t>21/06/1809</t>
  </si>
  <si>
    <t>TAUB, David</t>
  </si>
  <si>
    <t>Nowamiesta</t>
  </si>
  <si>
    <t>Krakau</t>
  </si>
  <si>
    <t>15/08/1809</t>
  </si>
  <si>
    <t>22/04/1809</t>
  </si>
  <si>
    <t>SCHALA/ Jacob/Joseph</t>
  </si>
  <si>
    <t>Podgórze (Kraków), Poland</t>
  </si>
  <si>
    <t>Marquer</t>
  </si>
  <si>
    <t>24/04/1809</t>
  </si>
  <si>
    <t>REISZ, Johann/ RUSZ, Joachim</t>
  </si>
  <si>
    <t>Mainz, Germany</t>
  </si>
  <si>
    <t>Mainz</t>
  </si>
  <si>
    <t>11/05/1809</t>
  </si>
  <si>
    <t>03/07/1809</t>
  </si>
  <si>
    <t>JOSEPH, Aron</t>
  </si>
  <si>
    <t>Szulhewka</t>
  </si>
  <si>
    <t>Chelm</t>
  </si>
  <si>
    <t>06/04/1797</t>
  </si>
  <si>
    <t>IR 11</t>
  </si>
  <si>
    <t>Gemeiner in IR 11</t>
  </si>
  <si>
    <t>SCHWARZ, Aron</t>
  </si>
  <si>
    <t>Handschuhmacher</t>
  </si>
  <si>
    <t>05/11/1798</t>
  </si>
  <si>
    <t>05/12/1798</t>
  </si>
  <si>
    <t xml:space="preserve">Als untauglicher Reale Invalid wegen kurzer Dienstzeit mit Laufpass entlassen </t>
  </si>
  <si>
    <t>IR 40</t>
  </si>
  <si>
    <t>Gefreyter in IR 40</t>
  </si>
  <si>
    <t>GOLDSCHMID, Emanuel</t>
  </si>
  <si>
    <t>Mikulov, Czech Republic</t>
  </si>
  <si>
    <t>Handlungsbedienstete</t>
  </si>
  <si>
    <t>25/11/1796</t>
  </si>
  <si>
    <t>30/04/1798</t>
  </si>
  <si>
    <t>Wien FW</t>
  </si>
  <si>
    <t>Als freiwillig auf die Kriegsdauer gestellte mit Zertificat Entlassen</t>
  </si>
  <si>
    <t>BARALL, Abraham</t>
  </si>
  <si>
    <t>Smíchov (Prague 5) Czech Republic</t>
  </si>
  <si>
    <t>Bandmacher</t>
  </si>
  <si>
    <t>19/08/1797</t>
  </si>
  <si>
    <t>FRANZBLAU, Pinkas</t>
  </si>
  <si>
    <t>Thaura</t>
  </si>
  <si>
    <t>DAMM/BAM, Chaima</t>
  </si>
  <si>
    <t>Bach</t>
  </si>
  <si>
    <t>13/02/1801</t>
  </si>
  <si>
    <t>NACHMANN, Josel</t>
  </si>
  <si>
    <t>Zwierzyń (Gmina Olszanica), Poland</t>
  </si>
  <si>
    <t>Myczkowce (Gmina Solina), Poland</t>
  </si>
  <si>
    <t>Sanok</t>
  </si>
  <si>
    <t>BLUM, Jonas/Thomas</t>
  </si>
  <si>
    <t>16/10/1796</t>
  </si>
  <si>
    <t>15/12/1796</t>
  </si>
  <si>
    <t>FK Gr Laud</t>
  </si>
  <si>
    <t xml:space="preserve">Auf dem Marsch Desertiert </t>
  </si>
  <si>
    <t>BAISICHOWITZ, Löwel</t>
  </si>
  <si>
    <t>Lutsk, Ukraine</t>
  </si>
  <si>
    <t>Neu Russland</t>
  </si>
  <si>
    <t>12/04/1796</t>
  </si>
  <si>
    <t>09/04/1796</t>
  </si>
  <si>
    <t>21/03/1796</t>
  </si>
  <si>
    <t>FALETNICKER, Salomon</t>
  </si>
  <si>
    <t>HERZ, Markus</t>
  </si>
  <si>
    <t>Tulchyn, Ukraine</t>
  </si>
  <si>
    <t>28/03/1796</t>
  </si>
  <si>
    <t>29/07/1796</t>
  </si>
  <si>
    <t>DEUTSCH, Abraham</t>
  </si>
  <si>
    <t>Csaswar</t>
  </si>
  <si>
    <t>Ugosca</t>
  </si>
  <si>
    <t>06/03/1814</t>
  </si>
  <si>
    <t>IR 52</t>
  </si>
  <si>
    <t>Gemeiner in IR 52</t>
  </si>
  <si>
    <t>GOTTLIEB, David</t>
  </si>
  <si>
    <t>Sátoraljaújhely, Hungary</t>
  </si>
  <si>
    <t xml:space="preserve">Sáros </t>
  </si>
  <si>
    <t>30/01/1814</t>
  </si>
  <si>
    <t>HR 9</t>
  </si>
  <si>
    <t>Gemeiner in HR 9</t>
  </si>
  <si>
    <t>POLAK, Mayer</t>
  </si>
  <si>
    <t>Szeged, Hungary</t>
  </si>
  <si>
    <t>Schlosser</t>
  </si>
  <si>
    <t>24/02/1814</t>
  </si>
  <si>
    <t>IR 61</t>
  </si>
  <si>
    <t>Gemeiner in IR 61</t>
  </si>
  <si>
    <t>08/03/1814</t>
  </si>
  <si>
    <t>GEMEL, Johann</t>
  </si>
  <si>
    <t>Arad, Romania</t>
  </si>
  <si>
    <t>Arad</t>
  </si>
  <si>
    <t>HR 6</t>
  </si>
  <si>
    <t>Gemeiner in HR 6</t>
  </si>
  <si>
    <t>FISCHER, Hermann</t>
  </si>
  <si>
    <t>Nové Mesto nad Váhom, Slovakia</t>
  </si>
  <si>
    <t>19/03/1814</t>
  </si>
  <si>
    <t>23/03/1814</t>
  </si>
  <si>
    <t>SZERAKELY, Izak</t>
  </si>
  <si>
    <t>Zrenjanin, Serbia</t>
  </si>
  <si>
    <t>Torontál</t>
  </si>
  <si>
    <t>SZALOMSKY, Gottlieb</t>
  </si>
  <si>
    <t>Sinitz</t>
  </si>
  <si>
    <t>Schuhmacher</t>
  </si>
  <si>
    <t>ISRAEL, Jacob</t>
  </si>
  <si>
    <t>Sânnicolau Mare, Romania</t>
  </si>
  <si>
    <t>Banat</t>
  </si>
  <si>
    <t>09/05/1814</t>
  </si>
  <si>
    <t>LÖWY, Jakob</t>
  </si>
  <si>
    <t>Meiestetz</t>
  </si>
  <si>
    <t>Lehrer</t>
  </si>
  <si>
    <t>10/05/1814</t>
  </si>
  <si>
    <t>JACOB, Abraham</t>
  </si>
  <si>
    <t>Kikinda, Serbia</t>
  </si>
  <si>
    <t>16/05/1814</t>
  </si>
  <si>
    <t>MALFORN, David</t>
  </si>
  <si>
    <t>KESPER, Jakob</t>
  </si>
  <si>
    <t>Alba Iulia, Romania</t>
  </si>
  <si>
    <t>Siebenbürgen</t>
  </si>
  <si>
    <t>30/12/1814</t>
  </si>
  <si>
    <t>Bacs</t>
  </si>
  <si>
    <t>Sulpin</t>
  </si>
  <si>
    <t>STEIN, Jacob</t>
  </si>
  <si>
    <t>Turá Lúka (Myjava), Slovakia</t>
  </si>
  <si>
    <t>WINK, David</t>
  </si>
  <si>
    <t>Bonyhád, Hungary</t>
  </si>
  <si>
    <t>17/06/1814</t>
  </si>
  <si>
    <t>BOLWEIN, Chaim</t>
  </si>
  <si>
    <t>Yavoriv, Ukraine</t>
  </si>
  <si>
    <t>27/02/1809</t>
  </si>
  <si>
    <t>LEITNEZ, Samuel</t>
  </si>
  <si>
    <t>Nowy Żmigród, Poland</t>
  </si>
  <si>
    <t>28/02/1797</t>
  </si>
  <si>
    <t>IR 63</t>
  </si>
  <si>
    <t>WACHTEL, Karl</t>
  </si>
  <si>
    <t>Pechenizhyn, Ukraine</t>
  </si>
  <si>
    <t>08/03/1807</t>
  </si>
  <si>
    <t>Gemeiner in IR 63</t>
  </si>
  <si>
    <t>WEINZIERL, Jurko</t>
  </si>
  <si>
    <t>Kolomyia, Ukraine</t>
  </si>
  <si>
    <t>11/03/1807</t>
  </si>
  <si>
    <t>GK 1. Gal</t>
  </si>
  <si>
    <t>Gemeiner in GK 1. Gal.</t>
  </si>
  <si>
    <t>FUNK, Herschel</t>
  </si>
  <si>
    <t>Tarnogród, Poland</t>
  </si>
  <si>
    <t>Zamosc</t>
  </si>
  <si>
    <t>24/01/1809</t>
  </si>
  <si>
    <t>RENNER, Rubin</t>
  </si>
  <si>
    <t>ABRAHAMOVICH, Herschel/Matzko</t>
  </si>
  <si>
    <t>Wieniawa (Lublin), Poland</t>
  </si>
  <si>
    <t>Lublin</t>
  </si>
  <si>
    <t>GROSCHAN, David</t>
  </si>
  <si>
    <t>Lány (Chrudim District), Czech Republic</t>
  </si>
  <si>
    <t>Heřmanův Městec, Czech Republic</t>
  </si>
  <si>
    <t>09/05/1809</t>
  </si>
  <si>
    <t>CR 8</t>
  </si>
  <si>
    <t>Gemeiner in CR 8</t>
  </si>
  <si>
    <t>06/05/1796</t>
  </si>
  <si>
    <t>TILLER, Abraham</t>
  </si>
  <si>
    <t>Neustad</t>
  </si>
  <si>
    <t>13/08/1798</t>
  </si>
  <si>
    <t>KILLED</t>
  </si>
  <si>
    <t>LB 3</t>
  </si>
  <si>
    <t xml:space="preserve">Am Canal zu Rovigo ertrunken </t>
  </si>
  <si>
    <t>HOTKES, Hersz</t>
  </si>
  <si>
    <t>22/04/1797</t>
  </si>
  <si>
    <t xml:space="preserve">Vermog Revisions Erledigung als Unwissend Verloren in Abgang </t>
  </si>
  <si>
    <t>ROSENSTEIN, Abraham</t>
  </si>
  <si>
    <t>11/04/1796</t>
  </si>
  <si>
    <t>08/04/1799</t>
  </si>
  <si>
    <t xml:space="preserve">In die Kriegsgefangenschaft gefallen </t>
  </si>
  <si>
    <t>MORTKOWITZ, Simon</t>
  </si>
  <si>
    <t>Gross</t>
  </si>
  <si>
    <t>Piaski, Świdnik County, Poland</t>
  </si>
  <si>
    <t>02/03/1807</t>
  </si>
  <si>
    <t>Frompal</t>
  </si>
  <si>
    <t>JANKEL, Benjamin</t>
  </si>
  <si>
    <t>20/04/1807</t>
  </si>
  <si>
    <t>IR 55</t>
  </si>
  <si>
    <t xml:space="preserve">Mit Laufpass entlassen </t>
  </si>
  <si>
    <t>DAVIDOWITZ, Abraham/Itzig</t>
  </si>
  <si>
    <t>Czernow</t>
  </si>
  <si>
    <t>Tarnow</t>
  </si>
  <si>
    <t>Transferred to GR 2</t>
  </si>
  <si>
    <t>FORGEL, Simko</t>
  </si>
  <si>
    <t>26/03/1796</t>
  </si>
  <si>
    <t>10/11/1802</t>
  </si>
  <si>
    <t>GR 2</t>
  </si>
  <si>
    <t>Aus Tartakof desertiert</t>
  </si>
  <si>
    <t>ROSENBLATT, Joseph</t>
  </si>
  <si>
    <t>Szanic</t>
  </si>
  <si>
    <t>20/11/1801</t>
  </si>
  <si>
    <t>SCWARZ, Itzig/ TERNAWSKY, Sebastian</t>
  </si>
  <si>
    <t>27/10/1799</t>
  </si>
  <si>
    <t xml:space="preserve">In Spital zu Vicenza gestorben </t>
  </si>
  <si>
    <t>DAGENSTREICH, Markus</t>
  </si>
  <si>
    <t xml:space="preserve">Skalat [Skalat, Ukraine] </t>
  </si>
  <si>
    <t>17/09/1800</t>
  </si>
  <si>
    <t xml:space="preserve">In Montagnana in Spital gestorben </t>
  </si>
  <si>
    <t>13/12/1796</t>
  </si>
  <si>
    <t>LEWYCK, Moises</t>
  </si>
  <si>
    <t>Zavallya, Ukraine</t>
  </si>
  <si>
    <t>14/04/1800</t>
  </si>
  <si>
    <t>ABRAHAMOVITZ, Mayer/ PITUMINSKY, Franz Carl</t>
  </si>
  <si>
    <t>01/05/1796</t>
  </si>
  <si>
    <t>30/04/1801</t>
  </si>
  <si>
    <t>Auf dem Marsch als Unwissend verloren in abgang</t>
  </si>
  <si>
    <t xml:space="preserve">DERES, Jüdel </t>
  </si>
  <si>
    <t>Kammacher</t>
  </si>
  <si>
    <t>20/07/1802</t>
  </si>
  <si>
    <t>Gegen Stellung einen Rekrouten und einfache Monturs-Geld zahlung mit Abschied entlassen</t>
  </si>
  <si>
    <t>REITZER, Moise/Maus</t>
  </si>
  <si>
    <t>Warschau [Warszawa, Poland]</t>
  </si>
  <si>
    <t>Schuster</t>
  </si>
  <si>
    <t>In 1798</t>
  </si>
  <si>
    <t>Transferred to Feldspital Stand</t>
  </si>
  <si>
    <t>SPEISER, Jacob</t>
  </si>
  <si>
    <t>Bader</t>
  </si>
  <si>
    <t>02/05/1796</t>
  </si>
  <si>
    <t>BENJAMINOWITZ, Nachmann/ ROSANSKY, Lorenz</t>
  </si>
  <si>
    <t>Hrodna, Belarus</t>
  </si>
  <si>
    <t>Russich Polen</t>
  </si>
  <si>
    <t>04/12/1796</t>
  </si>
  <si>
    <t>29/12/1806</t>
  </si>
  <si>
    <t>Von Cannonier Schalupe desertiert</t>
  </si>
  <si>
    <t>29/06/1799</t>
  </si>
  <si>
    <t>01/07/1799</t>
  </si>
  <si>
    <t>NUDOWITZ, Michael</t>
  </si>
  <si>
    <t xml:space="preserve">Alt Schubnitz </t>
  </si>
  <si>
    <t>10/12/1802</t>
  </si>
  <si>
    <t>Von sonsten Desertiert</t>
  </si>
  <si>
    <t>DAVIDOWICZ, Judtko</t>
  </si>
  <si>
    <t>Węgrów, Poland</t>
  </si>
  <si>
    <t>Siedlce</t>
  </si>
  <si>
    <t>12/10/1798</t>
  </si>
  <si>
    <t>06/03/1803</t>
  </si>
  <si>
    <t>Aus der Station Hrubitzow desertiert</t>
  </si>
  <si>
    <t>09/11/1796</t>
  </si>
  <si>
    <t>PFEIFFER, David</t>
  </si>
  <si>
    <t>30/04/1799</t>
  </si>
  <si>
    <t>LB 4</t>
  </si>
  <si>
    <t>LIEBE, Michael</t>
  </si>
  <si>
    <t>15/12/1799</t>
  </si>
  <si>
    <t xml:space="preserve">In Kriegsgefangenschaft geraten </t>
  </si>
  <si>
    <t>ISAKOWITZ, Rachmiul</t>
  </si>
  <si>
    <t>Brody, Ukraine</t>
  </si>
  <si>
    <t>[Vor Feind] vermisst</t>
  </si>
  <si>
    <t>BEERMANN, Salomon</t>
  </si>
  <si>
    <t>29/08/1800</t>
  </si>
  <si>
    <t xml:space="preserve">In Spital zu Este gestorben </t>
  </si>
  <si>
    <t>Innsbruck, Austria</t>
  </si>
  <si>
    <t>Sonnenburg</t>
  </si>
  <si>
    <t>Schwatz</t>
  </si>
  <si>
    <t>Tirol</t>
  </si>
  <si>
    <t>01/07/1815</t>
  </si>
  <si>
    <t>31/10/1821</t>
  </si>
  <si>
    <t>TKJR</t>
  </si>
  <si>
    <t>DANNHAUSER, Elias</t>
  </si>
  <si>
    <t>22/03/1816</t>
  </si>
  <si>
    <t>31/05/1819</t>
  </si>
  <si>
    <t>Von Urlaub desertiert</t>
  </si>
  <si>
    <t>25/04/1817</t>
  </si>
  <si>
    <t>Vorarlberg</t>
  </si>
  <si>
    <t>Bregenz</t>
  </si>
  <si>
    <t>Dornbirn</t>
  </si>
  <si>
    <t>Hohenems, Austria</t>
  </si>
  <si>
    <t>BIKARD, Wolf</t>
  </si>
  <si>
    <t>20/08/1821</t>
  </si>
  <si>
    <t>Als Reale Invalid mit Abschied entlassen</t>
  </si>
  <si>
    <t>DANNOWITZ, Jankel</t>
  </si>
  <si>
    <t xml:space="preserve">Schulkowsky </t>
  </si>
  <si>
    <t>04/07/1799</t>
  </si>
  <si>
    <t>INVALIDED</t>
  </si>
  <si>
    <t>01/12/1801</t>
  </si>
  <si>
    <t>InvHPet</t>
  </si>
  <si>
    <t>Als Invalid in Versorgung</t>
  </si>
  <si>
    <t>BECK, Hirschel</t>
  </si>
  <si>
    <t>Skonsz</t>
  </si>
  <si>
    <t>C. 07/1792</t>
  </si>
  <si>
    <t>Gemeiner in MFWK</t>
  </si>
  <si>
    <t>PRAGER, Samuel</t>
  </si>
  <si>
    <t>24/12/1796</t>
  </si>
  <si>
    <t>IR 29</t>
  </si>
  <si>
    <t>10/02/1802</t>
  </si>
  <si>
    <t>FUCHSKEHL, Mayer</t>
  </si>
  <si>
    <t>Barbier</t>
  </si>
  <si>
    <t>13/04/1796</t>
  </si>
  <si>
    <t>03/07/1803</t>
  </si>
  <si>
    <t>IR 13</t>
  </si>
  <si>
    <t>Ulanów, Poland</t>
  </si>
  <si>
    <t>12/02/1797</t>
  </si>
  <si>
    <t>15/10/1802</t>
  </si>
  <si>
    <t>REINER, Berko/Peter</t>
  </si>
  <si>
    <t>Zu Wien gestorben</t>
  </si>
  <si>
    <t>KRITZ, Wolf/Wolfgang</t>
  </si>
  <si>
    <t>31/07/1805</t>
  </si>
  <si>
    <t>GELDMANN, Mayer</t>
  </si>
  <si>
    <t>Szaslau</t>
  </si>
  <si>
    <t>02/04/1796</t>
  </si>
  <si>
    <t>Als ausgedienter Kriegscapitulant mit Abschied entlassen</t>
  </si>
  <si>
    <t>LANZEK, Isack</t>
  </si>
  <si>
    <t>EUSEN, Israel/Franz</t>
  </si>
  <si>
    <t>28/05/1796</t>
  </si>
  <si>
    <t>SänC 9</t>
  </si>
  <si>
    <t xml:space="preserve">Während die Retirade aus Italien vermisst </t>
  </si>
  <si>
    <t>RAAB, Viktor</t>
  </si>
  <si>
    <t>01/11/1797</t>
  </si>
  <si>
    <t>26/05/1804</t>
  </si>
  <si>
    <t>DANNHAUSER, Johann</t>
  </si>
  <si>
    <t>FISCHELES, Markus/Emanuel</t>
  </si>
  <si>
    <t>Chyrurgus</t>
  </si>
  <si>
    <t>15/04/1810</t>
  </si>
  <si>
    <t>HFS 32</t>
  </si>
  <si>
    <t>Mit Abschied entlassen</t>
  </si>
  <si>
    <t>BETTLHEIM, Herrmann</t>
  </si>
  <si>
    <t>Stupava, Slovakia</t>
  </si>
  <si>
    <t>Preßburg</t>
  </si>
  <si>
    <t>28/03/1809</t>
  </si>
  <si>
    <t>RAUDNITZ, Abraham</t>
  </si>
  <si>
    <t>14/04/1809</t>
  </si>
  <si>
    <t>Transferred to HFS 1</t>
  </si>
  <si>
    <t>KNINA, Johann Joachim</t>
  </si>
  <si>
    <t>POLLAK, abraham</t>
  </si>
  <si>
    <t>15/04/1809</t>
  </si>
  <si>
    <t>05/04/1810</t>
  </si>
  <si>
    <t>Mit Certificat entlassen</t>
  </si>
  <si>
    <t>SAMCH, Daniel/ SAMUEL, David</t>
  </si>
  <si>
    <t>Libowitz</t>
  </si>
  <si>
    <t>15/01/1810</t>
  </si>
  <si>
    <t>LEVI, Wolf</t>
  </si>
  <si>
    <t>Hořice, Czech Republic</t>
  </si>
  <si>
    <t>Mit Abschied und drei Monatliche Abfertigungsgage von 36Fl entlassen</t>
  </si>
  <si>
    <t>08/06/1809</t>
  </si>
  <si>
    <t>HARTMANN, Simon/Heinrich</t>
  </si>
  <si>
    <t>Kamina</t>
  </si>
  <si>
    <t>10/03/1810</t>
  </si>
  <si>
    <t>07/07/1809</t>
  </si>
  <si>
    <t>EPSTEIN, Markus</t>
  </si>
  <si>
    <t>Mirovice, Czech Republic</t>
  </si>
  <si>
    <t>Transferred to Leitomyschl Civil Feld Spital</t>
  </si>
  <si>
    <t>SPRINGER, Wolf</t>
  </si>
  <si>
    <t>Oettingen in Bayern, Germany</t>
  </si>
  <si>
    <t>Given up to Prague Criminal Court</t>
  </si>
  <si>
    <t>VANDORFER, Markus</t>
  </si>
  <si>
    <t>Jerchin</t>
  </si>
  <si>
    <t>Marschovitz</t>
  </si>
  <si>
    <t>15/09/1809</t>
  </si>
  <si>
    <t>Zbraslavice, Czech Republic</t>
  </si>
  <si>
    <t>NEUGRÖSCHELL, Jacob</t>
  </si>
  <si>
    <t>≤31/05/1809</t>
  </si>
  <si>
    <t>Enlistment date and type unknown</t>
  </si>
  <si>
    <t>11/08/1809</t>
  </si>
  <si>
    <t>HÖLLANDER, Jacob</t>
  </si>
  <si>
    <t>Kiskunhalas, Hungary</t>
  </si>
  <si>
    <t>Klein Cumanien</t>
  </si>
  <si>
    <t>HR 12</t>
  </si>
  <si>
    <t>Gemeiner in HR 12</t>
  </si>
  <si>
    <t>BLAUSTEIN, Jacob</t>
  </si>
  <si>
    <t>08/04/1809</t>
  </si>
  <si>
    <t>HFS 33</t>
  </si>
  <si>
    <t>Transferred to HFS 2</t>
  </si>
  <si>
    <t>19/06/1809</t>
  </si>
  <si>
    <t>Badendiener</t>
  </si>
  <si>
    <t>WARTER, Wolf</t>
  </si>
  <si>
    <t>Transferred to US 21</t>
  </si>
  <si>
    <t>In 05/1799</t>
  </si>
  <si>
    <t>GRINTESZ, Jankel</t>
  </si>
  <si>
    <t>Was attached to IR 39</t>
  </si>
  <si>
    <t>BRENNER, Perl</t>
  </si>
  <si>
    <t>Opowa</t>
  </si>
  <si>
    <t>In 06/1799</t>
  </si>
  <si>
    <t>SZEELIG, David</t>
  </si>
  <si>
    <t>Gatschin</t>
  </si>
  <si>
    <t>UNGER, Moises</t>
  </si>
  <si>
    <t>Zagreb, Croatia</t>
  </si>
  <si>
    <t>Kroatien</t>
  </si>
  <si>
    <t>In 10/1799</t>
  </si>
  <si>
    <t>05/01/1802</t>
  </si>
  <si>
    <t>IR 39</t>
  </si>
  <si>
    <t>Als auf Kriegsdauer gestelle mit Abschied entlassen</t>
  </si>
  <si>
    <t>Enlistment type unknown</t>
  </si>
  <si>
    <t>MERMELSTEIN, David</t>
  </si>
  <si>
    <t>Uzhhorod, Ukraine</t>
  </si>
  <si>
    <t>13/08/1805</t>
  </si>
  <si>
    <t>In Caschau in Arrest gestorben</t>
  </si>
  <si>
    <t>REITER, Jacob/Paul/Fabian</t>
  </si>
  <si>
    <t>Chminianska Nová Ves, Slovakia</t>
  </si>
  <si>
    <t>Sáros</t>
  </si>
  <si>
    <t>15/04/1800</t>
  </si>
  <si>
    <t>30/09/1805</t>
  </si>
  <si>
    <t>KLIMSTEIN, Aron</t>
  </si>
  <si>
    <t>Raslavice, Slovakia</t>
  </si>
  <si>
    <t>17/04/1800</t>
  </si>
  <si>
    <t>HIRSCHKOVITS, Hersch</t>
  </si>
  <si>
    <t>Hanušovce nad Topľou, Slovakia</t>
  </si>
  <si>
    <t>UNTERBERGER, Jacob</t>
  </si>
  <si>
    <t>Nowy Sącz, Poland</t>
  </si>
  <si>
    <t>Sandecz</t>
  </si>
  <si>
    <t>04/10/1805</t>
  </si>
  <si>
    <t>Als in Spital unwissend Verloren in Abgang gebracht</t>
  </si>
  <si>
    <t>Hejőcsaba, Hungary</t>
  </si>
  <si>
    <t>Borsod</t>
  </si>
  <si>
    <t>MARTON/MAYER, Joseph</t>
  </si>
  <si>
    <t>12/10/1805</t>
  </si>
  <si>
    <t>05/09/1806</t>
  </si>
  <si>
    <t>WOLF, Elias</t>
  </si>
  <si>
    <t>Mád, Hungary</t>
  </si>
  <si>
    <t>Zemplin</t>
  </si>
  <si>
    <t>06/12/1805</t>
  </si>
  <si>
    <t>Als Untauglich mit Laufpaß entlassen</t>
  </si>
  <si>
    <t>21/04/1806</t>
  </si>
  <si>
    <t>JANKOVITS, Elias</t>
  </si>
  <si>
    <t>Rohožník, Slovakia</t>
  </si>
  <si>
    <t>31/12/1806</t>
  </si>
  <si>
    <t>HOFMANN, Mendel</t>
  </si>
  <si>
    <t>Kolbovce, Slovakia</t>
  </si>
  <si>
    <t>15/01/1807</t>
  </si>
  <si>
    <t>MANDT, Joseph</t>
  </si>
  <si>
    <t>Bihar</t>
  </si>
  <si>
    <t>Patantha</t>
  </si>
  <si>
    <t>Hr. von Miskolski</t>
  </si>
  <si>
    <t>05/09/1809</t>
  </si>
  <si>
    <t>IR 37</t>
  </si>
  <si>
    <t>Gemeiner in IR 37</t>
  </si>
  <si>
    <t>16/09/1809</t>
  </si>
  <si>
    <t>22/09/1809</t>
  </si>
  <si>
    <t>JACOB, Salomon</t>
  </si>
  <si>
    <t>DUBER, Jacob</t>
  </si>
  <si>
    <t>Oradea, Romania</t>
  </si>
  <si>
    <t>Mukachevo, Ukraine</t>
  </si>
  <si>
    <t>Ung</t>
  </si>
  <si>
    <t>Janoski</t>
  </si>
  <si>
    <t>FARKAS, Jacob</t>
  </si>
  <si>
    <t>21/11/1805</t>
  </si>
  <si>
    <t>23/11/1805</t>
  </si>
  <si>
    <t>GOLDSTEIN, Jacob, Aron</t>
  </si>
  <si>
    <t>BESTA, Berko</t>
  </si>
  <si>
    <t>Brugel</t>
  </si>
  <si>
    <t xml:space="preserve">Gegen Stellung zwei andere Manner mit Abschied Entlassen </t>
  </si>
  <si>
    <t>WOLF, Moises</t>
  </si>
  <si>
    <t>Zbudské Dlhé, Slovakia</t>
  </si>
  <si>
    <t>Baligród, Poland</t>
  </si>
  <si>
    <t>In Pest gestorben</t>
  </si>
  <si>
    <t>22/11/1805</t>
  </si>
  <si>
    <t>07/02/1806</t>
  </si>
  <si>
    <t>JUDKOVITS, Moises/Mosko</t>
  </si>
  <si>
    <t>03/10/1805</t>
  </si>
  <si>
    <t>WOLF, Berko/Benko</t>
  </si>
  <si>
    <t>Harhaj, Slovakia</t>
  </si>
  <si>
    <t>JACUBOVITS, Isac</t>
  </si>
  <si>
    <t>Marhaň, Slovakia</t>
  </si>
  <si>
    <t>JACUBOVITS, Marco</t>
  </si>
  <si>
    <t>Veľký Šariš, Slovakia</t>
  </si>
  <si>
    <t>02/10/1805</t>
  </si>
  <si>
    <t>FREUND, Samuel</t>
  </si>
  <si>
    <t>Spišská Nová Ves, Slovakia</t>
  </si>
  <si>
    <t>DORN, David</t>
  </si>
  <si>
    <t>Tachov, Czech Republic</t>
  </si>
  <si>
    <t>Pilsen</t>
  </si>
  <si>
    <t>Fleischhauer</t>
  </si>
  <si>
    <t>IR 35</t>
  </si>
  <si>
    <t>Gemeiner in IR 35</t>
  </si>
  <si>
    <t>LEDERER, Adelbert</t>
  </si>
  <si>
    <t>Maleč, Czech Republic</t>
  </si>
  <si>
    <t>10/05/1809</t>
  </si>
  <si>
    <t>DR 6</t>
  </si>
  <si>
    <t>Gemeiner in DR 6</t>
  </si>
  <si>
    <t>ARVIES, Salomon</t>
  </si>
  <si>
    <t>Tarnov, Slovakia</t>
  </si>
  <si>
    <t>01/04/1800</t>
  </si>
  <si>
    <t>10/03/1807</t>
  </si>
  <si>
    <t>MOSKOWITZ, Aron</t>
  </si>
  <si>
    <t>Jarovnice, Slovakia</t>
  </si>
  <si>
    <t>25/04/1807</t>
  </si>
  <si>
    <t>VOGEL, Aron</t>
  </si>
  <si>
    <t>Herow</t>
  </si>
  <si>
    <t>20/11/1805</t>
  </si>
  <si>
    <t>15/03/1807</t>
  </si>
  <si>
    <t>04/06/1806</t>
  </si>
  <si>
    <t>Michalovce, Slovakia</t>
  </si>
  <si>
    <t>NACHMANN, Moises</t>
  </si>
  <si>
    <t>08/10/1805</t>
  </si>
  <si>
    <t>WOLFF, Johann</t>
  </si>
  <si>
    <t>Raslavice, Slovakia]</t>
  </si>
  <si>
    <t>05/07/1807</t>
  </si>
  <si>
    <t>MOSKOVITS, Pinces</t>
  </si>
  <si>
    <t>Krivany, Slovakia</t>
  </si>
  <si>
    <t>14/05/1807</t>
  </si>
  <si>
    <t>Teflans</t>
  </si>
  <si>
    <t>Alpin</t>
  </si>
  <si>
    <t>10/10/1807</t>
  </si>
  <si>
    <t>SCHAUER, Samuel/Salomon/Adam</t>
  </si>
  <si>
    <t>Ács, Hungary</t>
  </si>
  <si>
    <t>Komorn</t>
  </si>
  <si>
    <t>16/10/1805</t>
  </si>
  <si>
    <t>LEBEL, Abraham</t>
  </si>
  <si>
    <t>23/03/1804</t>
  </si>
  <si>
    <t>CL 5</t>
  </si>
  <si>
    <t>Transferred to StabsDR</t>
  </si>
  <si>
    <t>STEIN, Aron</t>
  </si>
  <si>
    <t>25/03/1807</t>
  </si>
  <si>
    <t>LEFKOVITS, Aron</t>
  </si>
  <si>
    <t>Chantilow</t>
  </si>
  <si>
    <t>Ruská, Slovakia</t>
  </si>
  <si>
    <t>GRUNWALD, Levi</t>
  </si>
  <si>
    <t>Hubošovce, Slovakia</t>
  </si>
  <si>
    <t>ABRAHAMOVITS, Masko</t>
  </si>
  <si>
    <t>Vranov nad Topľou, Slovakia</t>
  </si>
  <si>
    <t>LEFKOVITZ, Herschel/Hersko</t>
  </si>
  <si>
    <t>Gesztely, Hungary</t>
  </si>
  <si>
    <t>25/06/1807</t>
  </si>
  <si>
    <t>ALTSCHUL, Moritz</t>
  </si>
  <si>
    <t>Domousnice, Czech Republic</t>
  </si>
  <si>
    <t>Jungbunzlau</t>
  </si>
  <si>
    <t>20/12/1813</t>
  </si>
  <si>
    <t>IR 28</t>
  </si>
  <si>
    <t>Corporal in IR 28</t>
  </si>
  <si>
    <t>Previously served 4 years in Napoleon's army</t>
  </si>
  <si>
    <t>WOLFF, Sroly/Salomon</t>
  </si>
  <si>
    <t>HERSCHEL, Samuel/Salamon</t>
  </si>
  <si>
    <t>Kurów, Poland</t>
  </si>
  <si>
    <t>Óbuda (Budapest III), Hungary</t>
  </si>
  <si>
    <t>LEBEL, Iszack</t>
  </si>
  <si>
    <t>14/03/1806</t>
  </si>
  <si>
    <t>ABRAHAM, Salomon/Slam</t>
  </si>
  <si>
    <t>Lesko, Poland</t>
  </si>
  <si>
    <t>29/11/1805</t>
  </si>
  <si>
    <t>01//11/1809</t>
  </si>
  <si>
    <t xml:space="preserve">In auswärtiger Feldspital gestorben </t>
  </si>
  <si>
    <t>ZACHLOWITZ, Jacob/ SZAKLOVITS, Iszul</t>
  </si>
  <si>
    <t>24/11/1805</t>
  </si>
  <si>
    <t>31/07/1811</t>
  </si>
  <si>
    <t>Betjete</t>
  </si>
  <si>
    <t>MAYER, Lebo</t>
  </si>
  <si>
    <t>31/11/1807</t>
  </si>
  <si>
    <t>MÜHLSTEIN, Aron</t>
  </si>
  <si>
    <t>Jarosław, Poland</t>
  </si>
  <si>
    <t>20/02/1818</t>
  </si>
  <si>
    <t>Artzt/ Medical personnel?</t>
  </si>
  <si>
    <t>Als Ausgedienter inländische Capitulant mit Abschied Entlassen</t>
  </si>
  <si>
    <t>JUDKOVICH, Lebel</t>
  </si>
  <si>
    <t>Moravany, Slovakia</t>
  </si>
  <si>
    <t>HERSCHKO, Elias/ELIAS, Herschel</t>
  </si>
  <si>
    <t>Ondrašovce, Slovakia</t>
  </si>
  <si>
    <t>HERSCHKO, Moises</t>
  </si>
  <si>
    <t>Košice, Slovakia</t>
  </si>
  <si>
    <t>REITER, Joseph [Junior]</t>
  </si>
  <si>
    <t>REITER, Joseph [Senior]</t>
  </si>
  <si>
    <t>Bardejovská Nová Ves, Slovakia</t>
  </si>
  <si>
    <t>15/05/1807</t>
  </si>
  <si>
    <t>BERNARD, Lorinz</t>
  </si>
  <si>
    <t>EINER/EMER, Jacob</t>
  </si>
  <si>
    <t>Kolbuszowa, Poland</t>
  </si>
  <si>
    <t>25/05/1808</t>
  </si>
  <si>
    <t>IZSAK, Joseph</t>
  </si>
  <si>
    <t>01/12/1807</t>
  </si>
  <si>
    <t>Ex loco desertiert</t>
  </si>
  <si>
    <t>CZUNN, Berko</t>
  </si>
  <si>
    <t>Barycz, Brzozów County, Poland</t>
  </si>
  <si>
    <t>10/05/1808</t>
  </si>
  <si>
    <t>BRUNNTIF, Salomon/Simon</t>
  </si>
  <si>
    <t>Staroniwa (Rzeszów) Poland</t>
  </si>
  <si>
    <t>25/03/1808</t>
  </si>
  <si>
    <t>JAKUBOVICH, Herschel</t>
  </si>
  <si>
    <t>Uzovské Pekľany, Slovakia</t>
  </si>
  <si>
    <t>LAIZEROVICS, Mosco</t>
  </si>
  <si>
    <t>Bardejov, Slovakia</t>
  </si>
  <si>
    <t>15/06/1807</t>
  </si>
  <si>
    <t>LEWKOWITZ, Leib/Berek</t>
  </si>
  <si>
    <t>15/08/1816</t>
  </si>
  <si>
    <t>InvH tyrn</t>
  </si>
  <si>
    <t>31/01/1816 Auf Versorgung zum Tyrnauer Invaliden Haus; 15/08/1815 Auf Vorbehalt</t>
  </si>
  <si>
    <t>BECK, Simon</t>
  </si>
  <si>
    <t>≤31/03/1814</t>
  </si>
  <si>
    <t>Hostitz</t>
  </si>
  <si>
    <t>31/01/1816</t>
  </si>
  <si>
    <t>HFS 44</t>
  </si>
  <si>
    <t>Precise service dates in HFS 21 unknown</t>
  </si>
  <si>
    <t>≤31/01/1814</t>
  </si>
  <si>
    <t>Roudnice nad Labem, Czech Republic</t>
  </si>
  <si>
    <t>GOLDSCHMIDT, Jacob</t>
  </si>
  <si>
    <t>RODBERG, Herrmann</t>
  </si>
  <si>
    <t>31/03/1814</t>
  </si>
  <si>
    <t>Transferred to GB 2</t>
  </si>
  <si>
    <t>08/02/1814</t>
  </si>
  <si>
    <t>EBERSBACH, Jacob</t>
  </si>
  <si>
    <t>Mostyska, Ukraine</t>
  </si>
  <si>
    <t>29/09/1813</t>
  </si>
  <si>
    <t>HFS 48</t>
  </si>
  <si>
    <t>Transferred to GB 8</t>
  </si>
  <si>
    <t>FAJOS, Itzig</t>
  </si>
  <si>
    <t>LAZUR, Elias</t>
  </si>
  <si>
    <t>Dovhe, Ukraine</t>
  </si>
  <si>
    <t>Libertin</t>
  </si>
  <si>
    <t>Máramaros</t>
  </si>
  <si>
    <t>Von Darvay</t>
  </si>
  <si>
    <t>Crăciunești, Romania</t>
  </si>
  <si>
    <t>23/03/1809</t>
  </si>
  <si>
    <t>STADLER, Benedict</t>
  </si>
  <si>
    <t>Strážov, Czech Republic</t>
  </si>
  <si>
    <t>Bystřice nad Úhlavou, Czech Republic</t>
  </si>
  <si>
    <t>Klattau</t>
  </si>
  <si>
    <t>30/03/1804</t>
  </si>
  <si>
    <t>15/01/1812</t>
  </si>
  <si>
    <t>CL 6</t>
  </si>
  <si>
    <t>≤16/01/1808</t>
  </si>
  <si>
    <t>FISCHER, Jacob</t>
  </si>
  <si>
    <t>Chrást (Tišice), Czech Republic</t>
  </si>
  <si>
    <t>Brandýs nad Labem, Czech Republic</t>
  </si>
  <si>
    <t>Färber</t>
  </si>
  <si>
    <t>Gemeiner in CL 6</t>
  </si>
  <si>
    <t>SCHWARZ, Abraham</t>
  </si>
  <si>
    <t>Perín (Perín-Chym), Slovakia</t>
  </si>
  <si>
    <t>17/02/1814</t>
  </si>
  <si>
    <t>IR 34</t>
  </si>
  <si>
    <t>Fourierschütz in IR 34</t>
  </si>
  <si>
    <t>03/02/1814</t>
  </si>
  <si>
    <t>LINDENBAUM, Berko</t>
  </si>
  <si>
    <t>Rzeszów, Poland</t>
  </si>
  <si>
    <t>Rzeszow</t>
  </si>
  <si>
    <t>IR 10</t>
  </si>
  <si>
    <t>Gemeiner in IR 10</t>
  </si>
  <si>
    <t>Age, place of enlistment and change in place of birth, suggest initial investment as a mercenary</t>
  </si>
  <si>
    <t>SCHMULOWITZ, Abraham</t>
  </si>
  <si>
    <t>Sandomierz, Poland</t>
  </si>
  <si>
    <t>16/05/1800</t>
  </si>
  <si>
    <t>Auf Marsch nach Regiment unwissend Verloren</t>
  </si>
  <si>
    <t>CZERMESS/SCHERMER, Wolf</t>
  </si>
  <si>
    <t>Mogribin</t>
  </si>
  <si>
    <t>23/06/1800</t>
  </si>
  <si>
    <t>InvH Pet</t>
  </si>
  <si>
    <t>30/10/1806 Auf Versorgung zum Pettauer Invaliden Haus; 30/01/1809 als emansor in abgang</t>
  </si>
  <si>
    <t>BENSEL, Moyses</t>
  </si>
  <si>
    <t>26/03/1800</t>
  </si>
  <si>
    <t>29/05/1809</t>
  </si>
  <si>
    <t xml:space="preserve">[Während der Retirade aus Italien] Unwissend Verloren </t>
  </si>
  <si>
    <t>WASSERMANN, Leiser</t>
  </si>
  <si>
    <t>Skała, Poland</t>
  </si>
  <si>
    <t>05/01/1806</t>
  </si>
  <si>
    <t>Auf Urlaub gestorben</t>
  </si>
  <si>
    <t>ABRAHAM, Moises</t>
  </si>
  <si>
    <t>Hrubieszów, Poland</t>
  </si>
  <si>
    <t>31/10/1805</t>
  </si>
  <si>
    <t>Von unbestimmte Urlaub desertiert</t>
  </si>
  <si>
    <t>STEHER, Michael</t>
  </si>
  <si>
    <t>FEUERSTEIN, Joachim</t>
  </si>
  <si>
    <t>Pidhaitsi, Ukraine</t>
  </si>
  <si>
    <t>20/06/1800</t>
  </si>
  <si>
    <t>SCHMIDL,/SCHMIDEL, Joseph</t>
  </si>
  <si>
    <t>Lublin, Poland</t>
  </si>
  <si>
    <t xml:space="preserve">Von unbestimmte Urlaub desertiert </t>
  </si>
  <si>
    <t>SCHIEFMANN, Leiser</t>
  </si>
  <si>
    <t>Kalush, Ukraine</t>
  </si>
  <si>
    <t>25/09/1805</t>
  </si>
  <si>
    <t>Als untauglich mit Abschied entlassen</t>
  </si>
  <si>
    <t>WALDMANN, Isias</t>
  </si>
  <si>
    <t>10/07/1809</t>
  </si>
  <si>
    <t>UL 1</t>
  </si>
  <si>
    <t xml:space="preserve">Während des March aus Galizien nach Böhmen desertiert </t>
  </si>
  <si>
    <t>ICZKOWICZ, Laib</t>
  </si>
  <si>
    <t>Tudorów, Poland</t>
  </si>
  <si>
    <t>25/08/1805</t>
  </si>
  <si>
    <t>MAJOROWITZ, Klent</t>
  </si>
  <si>
    <t>Ostrowiec Świętokrzyski, Poland</t>
  </si>
  <si>
    <t>Goldschmied</t>
  </si>
  <si>
    <t>02/04/1800</t>
  </si>
  <si>
    <t>31/03/1805</t>
  </si>
  <si>
    <t xml:space="preserve">Gegen Stellung anderen von unbestimmtem Urlaub mit Abschied entlassen </t>
  </si>
  <si>
    <t>WOLF, Martko</t>
  </si>
  <si>
    <t>Janów Lubelski, Poland</t>
  </si>
  <si>
    <t>24/09/1798</t>
  </si>
  <si>
    <t>25/03/1805</t>
  </si>
  <si>
    <t xml:space="preserve">Zu loco Castelnovo gestorben </t>
  </si>
  <si>
    <t>SCHMILZ, Herschel</t>
  </si>
  <si>
    <t>31/12/1804</t>
  </si>
  <si>
    <t>LITWACK, Hersch/ Herzmann</t>
  </si>
  <si>
    <t>21/02/1797</t>
  </si>
  <si>
    <t>ALBRECHT, Joseph</t>
  </si>
  <si>
    <t>11/07/1797</t>
  </si>
  <si>
    <t>≤31/10/1799</t>
  </si>
  <si>
    <t xml:space="preserve">UNBEKANNT: Fehlt ab Nov 1799  in die Standes- und Dienst-Tabellen </t>
  </si>
  <si>
    <t>MOSES, Efraim</t>
  </si>
  <si>
    <t>21/09/1802</t>
  </si>
  <si>
    <t>Ex loco Cattaro desertiert</t>
  </si>
  <si>
    <t>SLOMOWITZ, Szmul</t>
  </si>
  <si>
    <t>Józefów, Biłgoraj County Poland</t>
  </si>
  <si>
    <t>13/02/1800</t>
  </si>
  <si>
    <t>20/09/1804</t>
  </si>
  <si>
    <t>LAIBOWITZ, Jankel</t>
  </si>
  <si>
    <t>≤07/06/1804</t>
  </si>
  <si>
    <t>07/06/1804</t>
  </si>
  <si>
    <t xml:space="preserve">Als untauglich mit Laufpaß entlassen </t>
  </si>
  <si>
    <t>Details of enlistment unknown</t>
  </si>
  <si>
    <t>BENJAMIN, Model</t>
  </si>
  <si>
    <t>Radom</t>
  </si>
  <si>
    <t>22/06/1804</t>
  </si>
  <si>
    <t>25/07/1804</t>
  </si>
  <si>
    <t>SCHMOLL, Mathia</t>
  </si>
  <si>
    <t>Oppole</t>
  </si>
  <si>
    <t>24/05/1800</t>
  </si>
  <si>
    <t>20/07/1804</t>
  </si>
  <si>
    <t>Gegen Stellung 2 Ausländischen Capitulanten und doppelten Monturgeld mit Abschied entlassen</t>
  </si>
  <si>
    <t>WOLF, Joseph/ Israel</t>
  </si>
  <si>
    <t>25/05/1800</t>
  </si>
  <si>
    <t xml:space="preserve">Als untauglich gegen Stellung eines anderes Jude mit Laufpass entlassen </t>
  </si>
  <si>
    <t>PFEIDEL, Isaac</t>
  </si>
  <si>
    <t>Opolle</t>
  </si>
  <si>
    <t>WOLFOWICZ, Isak</t>
  </si>
  <si>
    <t>Rzeszów, Poland]</t>
  </si>
  <si>
    <t>22/07/1799</t>
  </si>
  <si>
    <t>15/05/1805</t>
  </si>
  <si>
    <t>Als steuerbare Grundbesitzer gegen Stellung 1 Recrout mit Abschied entlassen</t>
  </si>
  <si>
    <t>Als Steuerbare Wirschaftsbesitzer und Halb Invalid gegen Stellung 1 Recrout und einfache Monturgled mit Abschied entlassen</t>
  </si>
  <si>
    <t>HIRSCHEL, Abraham</t>
  </si>
  <si>
    <t>Kraśnik, Poland</t>
  </si>
  <si>
    <t>29/02/1804</t>
  </si>
  <si>
    <t>FALBEL/FAIBEL, Janek/Jankel</t>
  </si>
  <si>
    <t xml:space="preserve">Als Capitulant auf Kriegsdauer ohnentgeldich zum Betrieb der Wirtschaft Mit Abschied entlassen </t>
  </si>
  <si>
    <t>04/04/1797</t>
  </si>
  <si>
    <t>SCHWARZ, Salomon</t>
  </si>
  <si>
    <t>28/11/1798</t>
  </si>
  <si>
    <t>20/08/1803</t>
  </si>
  <si>
    <t>Als Real Invalid, gegen Renuncierung mit Abschied entlassen</t>
  </si>
  <si>
    <t>BERGER, Jankel</t>
  </si>
  <si>
    <t>21/11/1798</t>
  </si>
  <si>
    <t>31/07/1803</t>
  </si>
  <si>
    <t xml:space="preserve">Auf seinem Urlaub Ort Stry in Galizien desertiert </t>
  </si>
  <si>
    <t>WOLTACH, Mordicho/ WALTAG, Markus</t>
  </si>
  <si>
    <t>Hrymailiv, Ukraine</t>
  </si>
  <si>
    <t>31/03/1803</t>
  </si>
  <si>
    <t>Zur Provincial Beschäftigung  gegen Stellung 1. Rekrout mit Abschied entlassen</t>
  </si>
  <si>
    <t>ULBERT, Joseph</t>
  </si>
  <si>
    <t>15/08/1800</t>
  </si>
  <si>
    <t>31/10/1802</t>
  </si>
  <si>
    <t xml:space="preserve">Als Reale Invalid gegen Renuncierung mit Abschied entlassen </t>
  </si>
  <si>
    <t>Frankfurt-am-Main, Germany</t>
  </si>
  <si>
    <t>LAIBOWITZ, Kaim/Kain</t>
  </si>
  <si>
    <t>NATHAN, Hersch</t>
  </si>
  <si>
    <t>Ex Loco desertiert</t>
  </si>
  <si>
    <t>DAVID, Moises</t>
  </si>
  <si>
    <t>Chervonohrad, Ukraine</t>
  </si>
  <si>
    <t>06/09/1802</t>
  </si>
  <si>
    <t>Ex Loco Cattaro desertiert</t>
  </si>
  <si>
    <t>30/08/1810</t>
  </si>
  <si>
    <t xml:space="preserve">Als aus dem in letztem Friedensserschluss abgetrennte Provinzien gebürtig mit Abschied entlassen </t>
  </si>
  <si>
    <t>Auf dem Marsch ins Pettauer Invalidenhaus unwissend verloren</t>
  </si>
  <si>
    <t>20/10/1810</t>
  </si>
  <si>
    <t>ZOROF, Fabian</t>
  </si>
  <si>
    <t>Dukla, Poland</t>
  </si>
  <si>
    <t>19/11/1814</t>
  </si>
  <si>
    <t>FJB 10</t>
  </si>
  <si>
    <t>Gemeiner in FJB 10</t>
  </si>
  <si>
    <t>Enlisted as foriegner</t>
  </si>
  <si>
    <t>BRETCHER, Jankel</t>
  </si>
  <si>
    <t>Snyatin, Ukraine</t>
  </si>
  <si>
    <t>Zaleszczyki</t>
  </si>
  <si>
    <t>IR 45</t>
  </si>
  <si>
    <t>08/01/1810</t>
  </si>
  <si>
    <t>Zu Blyte desertiert</t>
  </si>
  <si>
    <t>HIRSCH, Daniel/David</t>
  </si>
  <si>
    <t>GK Styr</t>
  </si>
  <si>
    <t>Gemeinr in GK Styr</t>
  </si>
  <si>
    <t>31/03/1813</t>
  </si>
  <si>
    <t>Als auf Urlaub ausgeliebende als Deserteur in Abgang gebracht</t>
  </si>
  <si>
    <t>20/06/1816</t>
  </si>
  <si>
    <t>14/07/1799</t>
  </si>
  <si>
    <t>BRONSTEIN/BRUNSCH, Hersch</t>
  </si>
  <si>
    <t>17/03/1803</t>
  </si>
  <si>
    <t xml:space="preserve">In Regiments Spital zu Venedig gestorben </t>
  </si>
  <si>
    <t>ICZYKOWITZ, Perl/Barth</t>
  </si>
  <si>
    <t>Pierse</t>
  </si>
  <si>
    <t>12/11/1802</t>
  </si>
  <si>
    <t>In Regiments Spital zu Venedig gestorben</t>
  </si>
  <si>
    <t>GETZELT, Mathes</t>
  </si>
  <si>
    <t>Seifenmacher</t>
  </si>
  <si>
    <t>26/02/1801</t>
  </si>
  <si>
    <t>30/09/1809</t>
  </si>
  <si>
    <t xml:space="preserve">In Folge hoher Verordnung als unwissend Verloren </t>
  </si>
  <si>
    <t>JOSSEL, Michael</t>
  </si>
  <si>
    <t>Kaliningrad, Russia</t>
  </si>
  <si>
    <t>20/04/1805</t>
  </si>
  <si>
    <t>Gegen Renuncierung alle Militar Beneficien Vermog besondere Verordnung mit Abschied entlassen</t>
  </si>
  <si>
    <t xml:space="preserve">Gegen 3Fl Handgeld als Vagabund auf Beständig assentiert </t>
  </si>
  <si>
    <t>SCHÖN, Benjamin</t>
  </si>
  <si>
    <t>Rastan</t>
  </si>
  <si>
    <t>30/09/1806</t>
  </si>
  <si>
    <t>Als unwissend Verloren in Abgang</t>
  </si>
  <si>
    <t>PAISACH, Jankel</t>
  </si>
  <si>
    <t>Als unwissend Verloren in Abgang gebracht</t>
  </si>
  <si>
    <t>JONAS/IRZENS, Moyses</t>
  </si>
  <si>
    <t>Modliborzyce (Lublin District), Poland</t>
  </si>
  <si>
    <t>06/06/1799</t>
  </si>
  <si>
    <t>SZMULOWICZ, David</t>
  </si>
  <si>
    <t>01/08/1799</t>
  </si>
  <si>
    <t>MENDLOWICZ, Chaskel</t>
  </si>
  <si>
    <t>Kzembin</t>
  </si>
  <si>
    <t>MANDEL, Abraham</t>
  </si>
  <si>
    <t>Sladitz</t>
  </si>
  <si>
    <t>PFEIFFER, Wolfgang</t>
  </si>
  <si>
    <t>30/09/1804</t>
  </si>
  <si>
    <t xml:space="preserve">Unter unbekannte Dato von Urlaub ohne Feuergeweht und Bajonett desertiert </t>
  </si>
  <si>
    <t>HOCHBERGER, Fisel</t>
  </si>
  <si>
    <t>BERLOWITZ, Salomon</t>
  </si>
  <si>
    <t>Bilyi Kamin, Ukraine</t>
  </si>
  <si>
    <t>09/02/1800</t>
  </si>
  <si>
    <t>28/05/1804</t>
  </si>
  <si>
    <t>Auf Urlaub in Lemberg gestorben</t>
  </si>
  <si>
    <t>BERCHIN, Jankel</t>
  </si>
  <si>
    <t>Wysoka k Radomia (Szydłowiec), Poland</t>
  </si>
  <si>
    <t>17/08/1799</t>
  </si>
  <si>
    <t>16/02/1807</t>
  </si>
  <si>
    <t>In RegimentsSpital zu Fiume Gestorben</t>
  </si>
  <si>
    <t>ABRAHAM, Chaim</t>
  </si>
  <si>
    <t>Sokal, Ukraine</t>
  </si>
  <si>
    <t>31/08/1806</t>
  </si>
  <si>
    <t>IR 59</t>
  </si>
  <si>
    <t>Jud until 1818; Afterwards catholic with name change</t>
  </si>
  <si>
    <t>15/11/1810</t>
  </si>
  <si>
    <t>Als Ausgedienter Veteran mit Abschied entlassen</t>
  </si>
  <si>
    <t>GB 2</t>
  </si>
  <si>
    <t>Gefreyter in GB 2</t>
  </si>
  <si>
    <t>Kostzlolan</t>
  </si>
  <si>
    <t>14/03/1809</t>
  </si>
  <si>
    <t>20/11/1811</t>
  </si>
  <si>
    <t>IR 2</t>
  </si>
  <si>
    <t>Als anerkannter Real Invalid gegen Renuncierung mit Abschied entlassen</t>
  </si>
  <si>
    <t>≤ Oct 1810</t>
  </si>
  <si>
    <t>MAYER, Abraham</t>
  </si>
  <si>
    <t>Pmslo</t>
  </si>
  <si>
    <t>Nagraby</t>
  </si>
  <si>
    <t>25/05/1817</t>
  </si>
  <si>
    <t>Als West Galizier mit Abschied entlassen</t>
  </si>
  <si>
    <t>Service before transfer to IR 30 unknown</t>
  </si>
  <si>
    <t>ABRAHAMOWITZ, Isak</t>
  </si>
  <si>
    <t>14/08/1805</t>
  </si>
  <si>
    <t>ABRAMOWITZ, Isak</t>
  </si>
  <si>
    <t>Dmochy-Rogale, Poland</t>
  </si>
  <si>
    <t>01/02/1800</t>
  </si>
  <si>
    <t>ARRONOWITZ, Lewek</t>
  </si>
  <si>
    <t>Odonów, Poland</t>
  </si>
  <si>
    <t>16/12/1799</t>
  </si>
  <si>
    <t>30/11/1803</t>
  </si>
  <si>
    <t>IR 41</t>
  </si>
  <si>
    <t>BALDIS, Victor</t>
  </si>
  <si>
    <t>Wodzislaw, Poland</t>
  </si>
  <si>
    <t>Konskie</t>
  </si>
  <si>
    <t>11/10/1799</t>
  </si>
  <si>
    <t>BAUCH, Leiser/RAUCH, Elias</t>
  </si>
  <si>
    <t>Shchyrets, Ukraine]</t>
  </si>
  <si>
    <t>Cammeral</t>
  </si>
  <si>
    <t>24/03/1790</t>
  </si>
  <si>
    <t>25/11/1790</t>
  </si>
  <si>
    <t>Auf Unbstimmte Urlaub entlassen</t>
  </si>
  <si>
    <t>Was attached to IR 32</t>
  </si>
  <si>
    <t>ULRICH, Benedict</t>
  </si>
  <si>
    <t>Rohrbach (Heidelberg), Germany</t>
  </si>
  <si>
    <t>Pfalz</t>
  </si>
  <si>
    <t>09/01/1802</t>
  </si>
  <si>
    <t>15/01/1804</t>
  </si>
  <si>
    <t>BERL, Mendel</t>
  </si>
  <si>
    <t>Jurroflotz</t>
  </si>
  <si>
    <t>Süd Preußen</t>
  </si>
  <si>
    <t>Brandwein Brenner</t>
  </si>
  <si>
    <t>29/05/1797</t>
  </si>
  <si>
    <t>In Florenz Gestorben</t>
  </si>
  <si>
    <t>BÖHM, Isak</t>
  </si>
  <si>
    <t>Chlum, Czech Republic</t>
  </si>
  <si>
    <t>Žlutice, Czech Republic</t>
  </si>
  <si>
    <t>Elbogen</t>
  </si>
  <si>
    <t>21/04/1809</t>
  </si>
  <si>
    <t>05/10/1810</t>
  </si>
  <si>
    <t>InvH Prag</t>
  </si>
  <si>
    <t xml:space="preserve">Ins Prager Invalidenhauß abzugeben, und von da seinen Verlangen gemäß mit Reservations Urkunde zu entlassen </t>
  </si>
  <si>
    <t>BRUCKSTEIN, Abraham</t>
  </si>
  <si>
    <t>Horodenka, Ukraine</t>
  </si>
  <si>
    <t>14/09/1805</t>
  </si>
  <si>
    <t>20/04/1806</t>
  </si>
  <si>
    <t>IR 20</t>
  </si>
  <si>
    <t>Wegen Schwäche und sonst aufhabenden Defecten mit Laufpaß als Untauglich entlassen</t>
  </si>
  <si>
    <t xml:space="preserve">BRÜHL, Schmul </t>
  </si>
  <si>
    <t>18/11/1805</t>
  </si>
  <si>
    <t>30/08/1808</t>
  </si>
  <si>
    <t>SZAPOSOWICZ, Jossel</t>
  </si>
  <si>
    <t>Somno</t>
  </si>
  <si>
    <t>28/07/1799</t>
  </si>
  <si>
    <t xml:space="preserve">MOSKIEWITZ, Löb </t>
  </si>
  <si>
    <t>Laskrinic</t>
  </si>
  <si>
    <t>12/07/1796</t>
  </si>
  <si>
    <t>07/03/1799</t>
  </si>
  <si>
    <t>LB 1</t>
  </si>
  <si>
    <t>[Bei Chur] In kriegsgefangeschaft gefallen</t>
  </si>
  <si>
    <t>Przeworsk, Poland</t>
  </si>
  <si>
    <t>CHASIL, Nachmann</t>
  </si>
  <si>
    <t>08/07/1796</t>
  </si>
  <si>
    <t>FK O'Don</t>
  </si>
  <si>
    <t>Gemeiner in FK O'Donnel</t>
  </si>
  <si>
    <t>26/01/1803</t>
  </si>
  <si>
    <t>Bozzolo, Italy</t>
  </si>
  <si>
    <t>Cisalpinien</t>
  </si>
  <si>
    <t>LEVI, Giuseppe/Aron</t>
  </si>
  <si>
    <t>IZIG, Moyses [Junior]</t>
  </si>
  <si>
    <t>06/07/1809</t>
  </si>
  <si>
    <t>Bei Enzersdorf in Kriegsgefangeschaft gefallen</t>
  </si>
  <si>
    <t>MAVRUVICH, Moises</t>
  </si>
  <si>
    <t>Plonie</t>
  </si>
  <si>
    <t>13/07/1799</t>
  </si>
  <si>
    <t>Als in Spital verbeliebene als Unwissend Verloren in Abgang</t>
  </si>
  <si>
    <t>København, Denmark</t>
  </si>
  <si>
    <t>Dänemark</t>
  </si>
  <si>
    <t>06/08/1805</t>
  </si>
  <si>
    <t>HEINEMANN, Isack</t>
  </si>
  <si>
    <t>25/07/1811</t>
  </si>
  <si>
    <t>06/07/1805</t>
  </si>
  <si>
    <t>ABRAHAMOVICH, Jankel/ Ludwig</t>
  </si>
  <si>
    <t>Brest, Belarus</t>
  </si>
  <si>
    <t>Als auf Marsch verbliene Unwissend Verloren in Abgang</t>
  </si>
  <si>
    <t>ABRAMOWICZ, Herszel</t>
  </si>
  <si>
    <t>Tarłów, Poland</t>
  </si>
  <si>
    <t>25/07/1799</t>
  </si>
  <si>
    <t>10/11/1810</t>
  </si>
  <si>
    <t>Rachów (Annopol-Rachów), Poland</t>
  </si>
  <si>
    <t>30/09/1810</t>
  </si>
  <si>
    <t>Als Ausgedienter Capitulant mit Abschied entlassen</t>
  </si>
  <si>
    <t>WINTERMÜNZ, Alexander</t>
  </si>
  <si>
    <t>REINHARD, Herschel</t>
  </si>
  <si>
    <t>Radomyśl Wielki, Poland</t>
  </si>
  <si>
    <t>30/09/1812</t>
  </si>
  <si>
    <t xml:space="preserve">Unter unbekannte Dato von Urlaub desertiert </t>
  </si>
  <si>
    <t>HARTMANN, Abraham</t>
  </si>
  <si>
    <t>Grybów, Poland</t>
  </si>
  <si>
    <t>25/12/1817</t>
  </si>
  <si>
    <t>IR 58</t>
  </si>
  <si>
    <t>DAVIDOVICH, Kolmann</t>
  </si>
  <si>
    <t>25/02/1812</t>
  </si>
  <si>
    <t>BURANN/ BAUMANN, Simon</t>
  </si>
  <si>
    <t>MALKUS, Heinrich</t>
  </si>
  <si>
    <t>Krzyż, Tarnów, Poland</t>
  </si>
  <si>
    <t>Tarnów, Poland</t>
  </si>
  <si>
    <t>28/03/1807</t>
  </si>
  <si>
    <t>Transferred to IR 22</t>
  </si>
  <si>
    <t>FINGER, Salomon</t>
  </si>
  <si>
    <t>Staryi Sambir, Ukraine]</t>
  </si>
  <si>
    <t>Sambir, Ukraine</t>
  </si>
  <si>
    <t>Sambor</t>
  </si>
  <si>
    <t>06/01/1809</t>
  </si>
  <si>
    <t>05/06/1812</t>
  </si>
  <si>
    <t>Auf Steuerbare Wirtschaft gegen Stellung entlassen</t>
  </si>
  <si>
    <t>HAUT, Herschel</t>
  </si>
  <si>
    <t>Hermanowice, Poland</t>
  </si>
  <si>
    <t>21/02/1809</t>
  </si>
  <si>
    <t>Transferred to IR 30</t>
  </si>
  <si>
    <t>HASENHAUT, Moises</t>
  </si>
  <si>
    <t>Transferred to IR 9</t>
  </si>
  <si>
    <t>ONKEL, Jakob</t>
  </si>
  <si>
    <t>Wodzisław, Poland</t>
  </si>
  <si>
    <t>10/06/1817</t>
  </si>
  <si>
    <t>KOPPEL, Lippi</t>
  </si>
  <si>
    <t>Opole Lubelskie, Poland</t>
  </si>
  <si>
    <t>15/01/1816</t>
  </si>
  <si>
    <t>GB 9</t>
  </si>
  <si>
    <t>JANKEL, Mayer/ IGLOWITZ, Maier</t>
  </si>
  <si>
    <t>Mazelowischütz</t>
  </si>
  <si>
    <t>≤31/01/1816</t>
  </si>
  <si>
    <t>UNBEKANNT: Als fourierschütz is nicht in der Verpflegs-Liste eingetragen. Hauptmann Herrmann verlässt das Spital am 31. Januar 1816 [Verpf Jan 1816)</t>
  </si>
  <si>
    <t>KOTTEL, Pinkas</t>
  </si>
  <si>
    <t>03/03/1802</t>
  </si>
  <si>
    <t>JUNGFRAU, Boruch</t>
  </si>
  <si>
    <t>30/11/1801</t>
  </si>
  <si>
    <t>Vermog HKR Reskripts  gegen Stellung andere Leute und erlag einfaches Monturgeldes mit Abschied entlassen</t>
  </si>
  <si>
    <t>WEICHHERZ, Chaim</t>
  </si>
  <si>
    <t>PAUL, Benjamin</t>
  </si>
  <si>
    <t>SCHMUL, David</t>
  </si>
  <si>
    <t>04/12/1801</t>
  </si>
  <si>
    <t>In Loco Spolatto gestorben</t>
  </si>
  <si>
    <t>KAUFMANN, Marcus</t>
  </si>
  <si>
    <t>Lubartów, Poland</t>
  </si>
  <si>
    <t>25/05/1798≤</t>
  </si>
  <si>
    <t>UNBEKANNT: Erscheint nicht in der Revisions-Liste von Haupt Schmoll Kompanie zwischen 25. Mai 1798 und Jänner 1799</t>
  </si>
  <si>
    <t>10/05/1797</t>
  </si>
  <si>
    <t>KLEINER, Jacob</t>
  </si>
  <si>
    <t>26/12/1799</t>
  </si>
  <si>
    <t>In Laibach Gestorben</t>
  </si>
  <si>
    <t>KLINGSTEIN, Elias</t>
  </si>
  <si>
    <t>23/11/1799</t>
  </si>
  <si>
    <t>HASKEL, Jacob</t>
  </si>
  <si>
    <t xml:space="preserve">Als ins auswärtiger Feldspitalern als über ½ Jahr auswärts und deren Existenz gänzlich Unbewusst  </t>
  </si>
  <si>
    <t>Als Vagabund gestellt</t>
  </si>
  <si>
    <t>08/05/1797</t>
  </si>
  <si>
    <t>MOYSES, Herschel</t>
  </si>
  <si>
    <t>Łęczna, Poland</t>
  </si>
  <si>
    <t>Kotmierz</t>
  </si>
  <si>
    <t>01/12/1799</t>
  </si>
  <si>
    <t>05/05/1797</t>
  </si>
  <si>
    <t>Kosiv, Ukraine</t>
  </si>
  <si>
    <t>29/01/1801</t>
  </si>
  <si>
    <t>In Klagenfurt gestorben</t>
  </si>
  <si>
    <t>TISCHLER, Leib</t>
  </si>
  <si>
    <t>01/07/1798</t>
  </si>
  <si>
    <t>Von Udine desertiert</t>
  </si>
  <si>
    <t>04/05/1797</t>
  </si>
  <si>
    <t>18/03/1798</t>
  </si>
  <si>
    <t>TISCHLER, Hertz</t>
  </si>
  <si>
    <t>20/11/1798</t>
  </si>
  <si>
    <t>UNBEKANNT: Erscheint nach der Lücke im Oktober 1799 nicht mehr in den Stades-Tabellen</t>
  </si>
  <si>
    <t>LIEBE, David</t>
  </si>
  <si>
    <t>05/11/1799</t>
  </si>
  <si>
    <t>HIRSCH, Leiser</t>
  </si>
  <si>
    <t>07/01/1800</t>
  </si>
  <si>
    <t>Zu Laibach in Loco gestorben</t>
  </si>
  <si>
    <t>NOSEN, Abraham</t>
  </si>
  <si>
    <t>24/01/1800</t>
  </si>
  <si>
    <t>Auf Marsch Zum Regiment in Verona gestorben</t>
  </si>
  <si>
    <t>In Spital zu Perugia Gestorben</t>
  </si>
  <si>
    <t>ISRAEL, Scholl</t>
  </si>
  <si>
    <t>TOBIAS, Feibel</t>
  </si>
  <si>
    <t>30/05/1800</t>
  </si>
  <si>
    <t>JACUBOVICH, Boruch</t>
  </si>
  <si>
    <t>JANKELOWITZ, Schmul</t>
  </si>
  <si>
    <t>02/05/1800</t>
  </si>
  <si>
    <t>07/05/1800</t>
  </si>
  <si>
    <t>Zu Krakau gestorben</t>
  </si>
  <si>
    <t>HERSCHKOWITZ, Itzig</t>
  </si>
  <si>
    <t>JAKUBOWICZ, Elias</t>
  </si>
  <si>
    <t>10/05/1800</t>
  </si>
  <si>
    <t>LAIBOWITZ, Schmul</t>
  </si>
  <si>
    <t>28/07/1801</t>
  </si>
  <si>
    <t>BUGEL, Joseph</t>
  </si>
  <si>
    <t>11/02/1801</t>
  </si>
  <si>
    <t>MORTKOWITZ, Nochem</t>
  </si>
  <si>
    <t>28/04/1800</t>
  </si>
  <si>
    <t>SEELIG, Josel</t>
  </si>
  <si>
    <t>JOSEL, Gdalie</t>
  </si>
  <si>
    <t>03/05/1800</t>
  </si>
  <si>
    <t>04/05/1800</t>
  </si>
  <si>
    <t>JOSEZEL, Schaie</t>
  </si>
  <si>
    <t>SIMON, Herschel</t>
  </si>
  <si>
    <t>08/05/1800</t>
  </si>
  <si>
    <t>LEIBEL, Moises</t>
  </si>
  <si>
    <t>WOLF, Nosze</t>
  </si>
  <si>
    <t>BOZANER, Markus</t>
  </si>
  <si>
    <t>14/07/1800</t>
  </si>
  <si>
    <t>BEER, Jakob</t>
  </si>
  <si>
    <t>BACHMANN, Michael</t>
  </si>
  <si>
    <t>11/08/1801</t>
  </si>
  <si>
    <t>In Loco Zara Gestorben</t>
  </si>
  <si>
    <t>JAKOWITZ, Benjamin</t>
  </si>
  <si>
    <t>31/03/1801</t>
  </si>
  <si>
    <t>JASSEL, Nasel</t>
  </si>
  <si>
    <t>Kielce</t>
  </si>
  <si>
    <t>Bierbrauer</t>
  </si>
  <si>
    <t>In 07/1798</t>
  </si>
  <si>
    <t>NEFTULOWICZ, Mortke</t>
  </si>
  <si>
    <t>Szydłów, Poland</t>
  </si>
  <si>
    <t>12/12/1799</t>
  </si>
  <si>
    <t>In Spital zu Laibach Gestorben</t>
  </si>
  <si>
    <t>ABUSZOWICZ, Joseph</t>
  </si>
  <si>
    <t>Pielaszów (Wilczyce) Poland</t>
  </si>
  <si>
    <t>Ożarów, Poland</t>
  </si>
  <si>
    <t>In Spital zu Laibach in Loco gestorben</t>
  </si>
  <si>
    <t>05/10/1811</t>
  </si>
  <si>
    <t>Als Real Invalid gegen Renuncierung mit Abschied entlassen</t>
  </si>
  <si>
    <t>Strumpfstricker</t>
  </si>
  <si>
    <t>15/09/1814</t>
  </si>
  <si>
    <t>GK Styer</t>
  </si>
  <si>
    <t>BENJAMIN, Herschel</t>
  </si>
  <si>
    <t>RIFORES, Leib</t>
  </si>
  <si>
    <t>≤14/07/1800</t>
  </si>
  <si>
    <t>Als Untauglich mit Laufpaß entassen</t>
  </si>
  <si>
    <t>MARKE, Moysze</t>
  </si>
  <si>
    <t>OBRAMOWICZ, Szaja</t>
  </si>
  <si>
    <t>Lechówek, Poland</t>
  </si>
  <si>
    <t>08/08/1799</t>
  </si>
  <si>
    <t>MAJOROWICZ, Iezig</t>
  </si>
  <si>
    <t>Gołębice, Poland</t>
  </si>
  <si>
    <t>29/07/1799</t>
  </si>
  <si>
    <t>30/06/1801</t>
  </si>
  <si>
    <t>Ins Armee Spital Unwissend verloren gegangen</t>
  </si>
  <si>
    <t>JANKEL, Joseph</t>
  </si>
  <si>
    <t>Przytyk, Poland</t>
  </si>
  <si>
    <t>06/07/1799</t>
  </si>
  <si>
    <t>10/08/1799</t>
  </si>
  <si>
    <t>LEFKOWIZ, Abraham/ KLEINMAYERN, Franz/ Vital</t>
  </si>
  <si>
    <t>31/08/1811</t>
  </si>
  <si>
    <t>IR 27</t>
  </si>
  <si>
    <t>Als Ausgediente Inländer Capitulant mit Abschied entlassen</t>
  </si>
  <si>
    <t>Rose to Feldwebel and then degraded</t>
  </si>
  <si>
    <t>SETMARACK, Salomon</t>
  </si>
  <si>
    <t>16/07/1800</t>
  </si>
  <si>
    <t>RYFKE, Leiser</t>
  </si>
  <si>
    <t>Dobrómyl’, Ukraine</t>
  </si>
  <si>
    <t>28/03/1801</t>
  </si>
  <si>
    <t>SAWEL, Moises</t>
  </si>
  <si>
    <t>31/07/1801≤</t>
  </si>
  <si>
    <t>UNBEKANNT: Ohne weitere Zugaben in Abgang gebracht</t>
  </si>
  <si>
    <t>HANIEL, Jacob/ LEIBEL, Jankel</t>
  </si>
  <si>
    <t>31/08/1801</t>
  </si>
  <si>
    <t xml:space="preserve">Mit Laufpaß entlassen </t>
  </si>
  <si>
    <t xml:space="preserve">NACHMANOWICZ, Szolem </t>
  </si>
  <si>
    <t>16/02/1801≤</t>
  </si>
  <si>
    <t>UNBEKANNT: Der Soldat erscheint danach nicht mehr in die Quellen</t>
  </si>
  <si>
    <t>12/02/1800</t>
  </si>
  <si>
    <t>31/06/1801≤</t>
  </si>
  <si>
    <t>LAIBOWICZ, Nisen</t>
  </si>
  <si>
    <t>Mydłowiec, Iwaniska, Poland</t>
  </si>
  <si>
    <t>Jepha</t>
  </si>
  <si>
    <t>≤15/10/1800</t>
  </si>
  <si>
    <t>KNAPP, Hersch</t>
  </si>
  <si>
    <t>21/07/1800</t>
  </si>
  <si>
    <t>15/12/1800</t>
  </si>
  <si>
    <t>ISRAELOWICZ, Szmul</t>
  </si>
  <si>
    <t>Połaniec, Poland</t>
  </si>
  <si>
    <t>29/09/1800</t>
  </si>
  <si>
    <t>15/11/1800</t>
  </si>
  <si>
    <t>Als Untauglich gegen Stellung anderer mit Laufpaß entassen</t>
  </si>
  <si>
    <t>EISIKOWIZ, Heller</t>
  </si>
  <si>
    <t>25/11/1799</t>
  </si>
  <si>
    <t>NOEWICZ, Eisig</t>
  </si>
  <si>
    <t>15/11/1799</t>
  </si>
  <si>
    <t>ISAAC, Schimon</t>
  </si>
  <si>
    <t>≤01/11/1799</t>
  </si>
  <si>
    <t>10/05/1801</t>
  </si>
  <si>
    <t>ISAAC, Michael</t>
  </si>
  <si>
    <t>20/05/1801</t>
  </si>
  <si>
    <t>JOSKA, Jaab</t>
  </si>
  <si>
    <t>LEIBEL, Schmul</t>
  </si>
  <si>
    <t>Schauof</t>
  </si>
  <si>
    <t>Slomniki</t>
  </si>
  <si>
    <t>SALPETER, Abraham</t>
  </si>
  <si>
    <t>Lollaun</t>
  </si>
  <si>
    <t>LEVI, Israel</t>
  </si>
  <si>
    <t>Colmar, France</t>
  </si>
  <si>
    <t>Frankreich</t>
  </si>
  <si>
    <t>Büchsenmacher</t>
  </si>
  <si>
    <t>16/11/1814</t>
  </si>
  <si>
    <t>Gefreyter in IR 43</t>
  </si>
  <si>
    <t>ROSSENA, Israel</t>
  </si>
  <si>
    <t>Sabionetta, Italy</t>
  </si>
  <si>
    <t>Lombadia-Veneto</t>
  </si>
  <si>
    <t>Domestico</t>
  </si>
  <si>
    <t>24/09/1815</t>
  </si>
  <si>
    <t>31/10/1819</t>
  </si>
  <si>
    <t xml:space="preserve">Als ausgedienter nländischer Capitulant mit Abschied entlassen </t>
  </si>
  <si>
    <t>BIGNOSI, Vinzenzo</t>
  </si>
  <si>
    <t>San Martino Gusnago, Italy</t>
  </si>
  <si>
    <t>Castel Goffredo, Italy</t>
  </si>
  <si>
    <t>Mincio</t>
  </si>
  <si>
    <t>12/09/1815</t>
  </si>
  <si>
    <t>SALOMON, Aron</t>
  </si>
  <si>
    <t>Olesko, Ukraine</t>
  </si>
  <si>
    <t>Juden Gemeinde</t>
  </si>
  <si>
    <t>14/02/1801</t>
  </si>
  <si>
    <t>30/11/1804</t>
  </si>
  <si>
    <t>15/07/1816</t>
  </si>
  <si>
    <t>Laut Besondere Verirdnung mit Abschied entlassen</t>
  </si>
  <si>
    <t>28/11/1812</t>
  </si>
  <si>
    <t>In Kriegsgefangeschaft gefallen</t>
  </si>
  <si>
    <t>ZIEGENDORF, Paul (Perl)</t>
  </si>
  <si>
    <t>31/03/1818</t>
  </si>
  <si>
    <t>MIA in Dresden, returns to the regiment two months later</t>
  </si>
  <si>
    <t>BAROTH, David</t>
  </si>
  <si>
    <t>05/03/1807</t>
  </si>
  <si>
    <t>30/01/1818</t>
  </si>
  <si>
    <t>FRIED, Jossel</t>
  </si>
  <si>
    <t>21/09/1808</t>
  </si>
  <si>
    <t>ADLER, Joseph</t>
  </si>
  <si>
    <t>Barsa</t>
  </si>
  <si>
    <t>26/06/1800</t>
  </si>
  <si>
    <t>IR 62</t>
  </si>
  <si>
    <t>Gemeiner in IR 62</t>
  </si>
  <si>
    <t>BENOVITS, Joseph</t>
  </si>
  <si>
    <t xml:space="preserve">Stare Davydkovo </t>
  </si>
  <si>
    <t>Bereg</t>
  </si>
  <si>
    <t>Musikus</t>
  </si>
  <si>
    <t>06/12/1801</t>
  </si>
  <si>
    <t>Gemeiner in 62</t>
  </si>
  <si>
    <t>25/03/1815</t>
  </si>
  <si>
    <t>TEÚBEL, Jacob/ Franz</t>
  </si>
  <si>
    <t>Șintereag, Romania</t>
  </si>
  <si>
    <t>Szolnok</t>
  </si>
  <si>
    <t>Geschieden</t>
  </si>
  <si>
    <t>20/03/1819</t>
  </si>
  <si>
    <t>Gegen Stellung Anderen mit Abschied entlassen</t>
  </si>
  <si>
    <t>MICHAEL, Jacob</t>
  </si>
  <si>
    <t>Șimian, Romania</t>
  </si>
  <si>
    <t>LAZAR, Jacob</t>
  </si>
  <si>
    <t>Șieu-Măgheruș, Romania</t>
  </si>
  <si>
    <t>Doboka</t>
  </si>
  <si>
    <t>17/05/1815</t>
  </si>
  <si>
    <t>Zimmermann in IR 62</t>
  </si>
  <si>
    <t>DAWID, Izak</t>
  </si>
  <si>
    <t xml:space="preserve">St. Gÿorgÿ </t>
  </si>
  <si>
    <t>23/01/1812</t>
  </si>
  <si>
    <t>Privat Diener in IR 62</t>
  </si>
  <si>
    <t>JOSEPH, Abraham</t>
  </si>
  <si>
    <t>Hollomeszo</t>
  </si>
  <si>
    <t>25/05/1815</t>
  </si>
  <si>
    <t>ISZAK, Lorinz</t>
  </si>
  <si>
    <t>Zentelyke</t>
  </si>
  <si>
    <t>Clausenburg</t>
  </si>
  <si>
    <t>13/07/1813</t>
  </si>
  <si>
    <t>Corporal in IR 62</t>
  </si>
  <si>
    <t>CHAYMOWICZ, Herschel</t>
  </si>
  <si>
    <t>20/06/1805</t>
  </si>
  <si>
    <t>DANZINGER, Abraham</t>
  </si>
  <si>
    <t>Leszno, Poland</t>
  </si>
  <si>
    <t>26/10/1805</t>
  </si>
  <si>
    <t>03/06/1806</t>
  </si>
  <si>
    <t>In Loco desertiert</t>
  </si>
  <si>
    <t>DAVID, Kaim</t>
  </si>
  <si>
    <t>Zielonki, Poland</t>
  </si>
  <si>
    <t>Seifenseider</t>
  </si>
  <si>
    <t>15/02/1797</t>
  </si>
  <si>
    <t>26/08/1806</t>
  </si>
  <si>
    <t>01/02/1797</t>
  </si>
  <si>
    <t>DAVIDOVICS, Baruch</t>
  </si>
  <si>
    <t>02/02/1797</t>
  </si>
  <si>
    <t>02/03/1797</t>
  </si>
  <si>
    <t>IR 3</t>
  </si>
  <si>
    <t>In 05/1812</t>
  </si>
  <si>
    <t>DIESSBER, Itzig</t>
  </si>
  <si>
    <t>Zhovka, Ukraine</t>
  </si>
  <si>
    <t>29/08/1812</t>
  </si>
  <si>
    <t>Aus Feldlager desertiert</t>
  </si>
  <si>
    <t>DRUCKER, Isak</t>
  </si>
  <si>
    <t>Bereschany, Ukraine</t>
  </si>
  <si>
    <t xml:space="preserve">Brzezan </t>
  </si>
  <si>
    <t>01/05/1809</t>
  </si>
  <si>
    <t>10/10/1819</t>
  </si>
  <si>
    <t xml:space="preserve">GK NÖ </t>
  </si>
  <si>
    <t>ERSTEIN, Moyses</t>
  </si>
  <si>
    <t>Mitrovice (Mezno), Czech Republic</t>
  </si>
  <si>
    <t>Nemyšl, Czech Republic</t>
  </si>
  <si>
    <t>Tabor</t>
  </si>
  <si>
    <t>06/05/1797</t>
  </si>
  <si>
    <t>30/09/1797</t>
  </si>
  <si>
    <t>IR 54</t>
  </si>
  <si>
    <t>26/09/1800</t>
  </si>
  <si>
    <t>KAUFMANN, Eisig</t>
  </si>
  <si>
    <t>Kozienice, Poland</t>
  </si>
  <si>
    <t>30/08/1803</t>
  </si>
  <si>
    <t>Von Urlaub emigriert</t>
  </si>
  <si>
    <t>FEIBUSCH, Slom</t>
  </si>
  <si>
    <t>Dubienka, Poland</t>
  </si>
  <si>
    <t>15/09/1803</t>
  </si>
  <si>
    <t>FEUERMANN, Herschel</t>
  </si>
  <si>
    <t>Rajka, Hungary</t>
  </si>
  <si>
    <t>Wieselburg</t>
  </si>
  <si>
    <t>28/12/1810</t>
  </si>
  <si>
    <t>20/02/1811</t>
  </si>
  <si>
    <t>FIEDLER, Juda</t>
  </si>
  <si>
    <t>15/09/1805</t>
  </si>
  <si>
    <t>19/09/1806</t>
  </si>
  <si>
    <t>FINER, Israel</t>
  </si>
  <si>
    <t>Łukowica, Poland</t>
  </si>
  <si>
    <t>Jüdische Gemeinschaft</t>
  </si>
  <si>
    <t>Neu Sandez</t>
  </si>
  <si>
    <t>16/09/1805</t>
  </si>
  <si>
    <t>30/04/1809</t>
  </si>
  <si>
    <t xml:space="preserve">Als Reale Invalid mit Abschied entlassen </t>
  </si>
  <si>
    <t>≤20/09/1802</t>
  </si>
  <si>
    <t>LOIBEL, Schaya</t>
  </si>
  <si>
    <t>30/06/1803</t>
  </si>
  <si>
    <t>Als Kriegscapitulant mit Abschied entlassen</t>
  </si>
  <si>
    <t>LIEBLOW, Joseph</t>
  </si>
  <si>
    <t>Von Urlaub entwiechen</t>
  </si>
  <si>
    <t>FRIEDEL, Herschel</t>
  </si>
  <si>
    <t>Buchach, Ukraine</t>
  </si>
  <si>
    <t>HORN, Elias</t>
  </si>
  <si>
    <t>Fürstin Lubomirski</t>
  </si>
  <si>
    <t>23/01/1809</t>
  </si>
  <si>
    <t>Aus Warschau mit Feuergewehr desertiert</t>
  </si>
  <si>
    <t>27/09/1808</t>
  </si>
  <si>
    <t>WAITZ, Abraham/ WOLLMANN, Elias</t>
  </si>
  <si>
    <t>25/05/1809</t>
  </si>
  <si>
    <t>In Lemberg in Spital Kriegsgefangen</t>
  </si>
  <si>
    <t>Ex officio in Reserve gestellt</t>
  </si>
  <si>
    <t>ISAK, Abraham</t>
  </si>
  <si>
    <t>Vybranivka, Ukraine</t>
  </si>
  <si>
    <t>≤01/01/1809</t>
  </si>
  <si>
    <t>WERZBERGER, Chaim</t>
  </si>
  <si>
    <t>25/04/1809</t>
  </si>
  <si>
    <t>GRUB, Leiser</t>
  </si>
  <si>
    <t>LIMPER, Israel</t>
  </si>
  <si>
    <t>Von Transport desertiert</t>
  </si>
  <si>
    <t>KATZ, Jacob</t>
  </si>
  <si>
    <t>19/05/1809</t>
  </si>
  <si>
    <t>Peremyshlyany, Ukraine</t>
  </si>
  <si>
    <t>28/07/1809</t>
  </si>
  <si>
    <t>18/05/1809</t>
  </si>
  <si>
    <t>JACOB, Simon</t>
  </si>
  <si>
    <t>Brzesdowice</t>
  </si>
  <si>
    <t>Transferred to IR 50</t>
  </si>
  <si>
    <t>BLITZ, Mortko</t>
  </si>
  <si>
    <t>FELDMANN, Perl</t>
  </si>
  <si>
    <t>PASS, Berl</t>
  </si>
  <si>
    <t>SZIMONOWICZ, Elie</t>
  </si>
  <si>
    <t>WERBA, Abraham</t>
  </si>
  <si>
    <t>Burshtyn, Ukraine</t>
  </si>
  <si>
    <t xml:space="preserve">Auf Kreisämtliche Anverlangen entlassen </t>
  </si>
  <si>
    <t>FRÜMEL, Leib</t>
  </si>
  <si>
    <t>25/11/1805</t>
  </si>
  <si>
    <t>Vor Feind Vermisst</t>
  </si>
  <si>
    <t>FUHRMANN, Joseph</t>
  </si>
  <si>
    <t>Monastyryska, Ukraine</t>
  </si>
  <si>
    <t xml:space="preserve">In den auswärtigen Spitalern unwissend verloren </t>
  </si>
  <si>
    <t>GASS, Hirsch</t>
  </si>
  <si>
    <t>09/04/1790</t>
  </si>
  <si>
    <t>23/11/1790</t>
  </si>
  <si>
    <t>GOLDWIRTH, Herschel</t>
  </si>
  <si>
    <t>Siedlce, Poland</t>
  </si>
  <si>
    <t>Fürst Czartoryski</t>
  </si>
  <si>
    <t>Wittwer</t>
  </si>
  <si>
    <t>20/05/1817</t>
  </si>
  <si>
    <t>GK OÖ</t>
  </si>
  <si>
    <t>HALBERN, Juda</t>
  </si>
  <si>
    <t>Zhovkva, Ukraine</t>
  </si>
  <si>
    <t>24/11/1798</t>
  </si>
  <si>
    <t>15/02/1799</t>
  </si>
  <si>
    <t>IR 23</t>
  </si>
  <si>
    <t>12/07/1802</t>
  </si>
  <si>
    <t>HAMER, Joseph</t>
  </si>
  <si>
    <t>22/11/1803</t>
  </si>
  <si>
    <t>HERSCHEL, Moises</t>
  </si>
  <si>
    <t>Biała Podlaska, Poland</t>
  </si>
  <si>
    <t>10/10/1812</t>
  </si>
  <si>
    <t>GK Gal 2. Abt</t>
  </si>
  <si>
    <t>In Spital zu Podkamien Gestorben</t>
  </si>
  <si>
    <t>Miednik, Poland</t>
  </si>
  <si>
    <t>25/07/1800</t>
  </si>
  <si>
    <t>HERSCHKOWITZ, Moises</t>
  </si>
  <si>
    <t>Walke</t>
  </si>
  <si>
    <t>Dombrowsky</t>
  </si>
  <si>
    <t>LEBEL, Jacob</t>
  </si>
  <si>
    <t>19/03/1808</t>
  </si>
  <si>
    <t>06/05/1808</t>
  </si>
  <si>
    <t>Auf sonsten Desertiert</t>
  </si>
  <si>
    <t>Satu Mare, Romania</t>
  </si>
  <si>
    <t>13/03/1808</t>
  </si>
  <si>
    <t>POLYAK, Hersl</t>
  </si>
  <si>
    <t>SCHMID, Abraham</t>
  </si>
  <si>
    <t>FEITER, Simon</t>
  </si>
  <si>
    <t>29/03/1808</t>
  </si>
  <si>
    <t>GUBNAR, Abraham</t>
  </si>
  <si>
    <t>Radvanka (Uzhhorod), Ukraine</t>
  </si>
  <si>
    <t>10/03/1808</t>
  </si>
  <si>
    <t>12/04/1808</t>
  </si>
  <si>
    <t>In auswärtigen Spital zu Eperies gestorben</t>
  </si>
  <si>
    <t>ISAK, Johann</t>
  </si>
  <si>
    <t>Nádudvar, Hungary</t>
  </si>
  <si>
    <t>Szabolcs</t>
  </si>
  <si>
    <t>09/03/1808</t>
  </si>
  <si>
    <t>08/05/1808</t>
  </si>
  <si>
    <t>HIRSCH, Janki/ Jacob</t>
  </si>
  <si>
    <t>Sighetu Marmației, Romania</t>
  </si>
  <si>
    <t>19/03/1810</t>
  </si>
  <si>
    <t>IMELOWSKY, Johann</t>
  </si>
  <si>
    <t>20/09/1805</t>
  </si>
  <si>
    <t>Lekasz</t>
  </si>
  <si>
    <t>08/12/1796</t>
  </si>
  <si>
    <t>ISKOWITZ, Abraham</t>
  </si>
  <si>
    <t>Gonezow</t>
  </si>
  <si>
    <t>13/01/1806</t>
  </si>
  <si>
    <t>ITZIG, Herschel</t>
  </si>
  <si>
    <t>Chrzanów, Poland</t>
  </si>
  <si>
    <t>Olkusz</t>
  </si>
  <si>
    <t>07/12/1798</t>
  </si>
  <si>
    <t>MAYER, Salomon</t>
  </si>
  <si>
    <t>Wyszków, Węgrów County Poland</t>
  </si>
  <si>
    <t>10/08/1805</t>
  </si>
  <si>
    <t>02/02/1806</t>
  </si>
  <si>
    <t>MENASES, Gerson</t>
  </si>
  <si>
    <t>Domanice-Kolonia, Poland</t>
  </si>
  <si>
    <t>Wiśniew, Poland</t>
  </si>
  <si>
    <t>11/08/1805</t>
  </si>
  <si>
    <t>ABRAHAMOVITS, Leiser</t>
  </si>
  <si>
    <t>Auf den Anmarsch zu Prellenkirchen gestorben</t>
  </si>
  <si>
    <t>Široké, Slovakia</t>
  </si>
  <si>
    <t>07/03/1808</t>
  </si>
  <si>
    <t>KOPMANN, Itzig</t>
  </si>
  <si>
    <t>Mordy, Poland</t>
  </si>
  <si>
    <t>LEWKOWITZ, Herschko</t>
  </si>
  <si>
    <t>Kałuszyn, Poland</t>
  </si>
  <si>
    <t>17/09/1805</t>
  </si>
  <si>
    <t>03/02/1806</t>
  </si>
  <si>
    <t>Von Szelkowice desertiert</t>
  </si>
  <si>
    <t>LAUSCHMANN, Kobel</t>
  </si>
  <si>
    <t>BRUCHOWIZ, Herschko</t>
  </si>
  <si>
    <t>21/09/1805</t>
  </si>
  <si>
    <t>REICHMANN, Schlomo</t>
  </si>
  <si>
    <t>Cielemęc, Poland</t>
  </si>
  <si>
    <t>23/09/1805</t>
  </si>
  <si>
    <t>JEKOWICZ, Scholima</t>
  </si>
  <si>
    <t>07/12/1805</t>
  </si>
  <si>
    <t>ZUSMANOWIZ, Herschel</t>
  </si>
  <si>
    <t>26/02/1806</t>
  </si>
  <si>
    <t>Zu Selkowicze gestorben</t>
  </si>
  <si>
    <t>ISKOWITZ, Roby</t>
  </si>
  <si>
    <t>WOLFF, Faige</t>
  </si>
  <si>
    <t>13/12/1805</t>
  </si>
  <si>
    <t>23/12/1805</t>
  </si>
  <si>
    <t>ARON, Sasche</t>
  </si>
  <si>
    <t>Borowie, Poland</t>
  </si>
  <si>
    <t>Als Untauglich gegen Renuncierung mit Abschied entlassen</t>
  </si>
  <si>
    <t>EISIKOWICZ, Abel</t>
  </si>
  <si>
    <t>17/11/1805</t>
  </si>
  <si>
    <t>19/11/1805</t>
  </si>
  <si>
    <t>ARANOWICZ, Moische</t>
  </si>
  <si>
    <t>Żelechów, Poland</t>
  </si>
  <si>
    <t>Zu Slomnik gestorben</t>
  </si>
  <si>
    <t>MOSKOIWOCZm Kellman</t>
  </si>
  <si>
    <t>Syroszyn</t>
  </si>
  <si>
    <t>12/01/1806</t>
  </si>
  <si>
    <t>Zu Station Slomnik</t>
  </si>
  <si>
    <t>JACOBOWIZ, Moses</t>
  </si>
  <si>
    <t>Końskie, Poland</t>
  </si>
  <si>
    <t>15/08/1806</t>
  </si>
  <si>
    <t>Wegen Schwäche und sonst aufhabenden Defecten mit Abschied als Untauglich entlassen</t>
  </si>
  <si>
    <t>MOSZKOWIZ, Ascher</t>
  </si>
  <si>
    <t>16/11/1805</t>
  </si>
  <si>
    <t>MAYER, Schmul</t>
  </si>
  <si>
    <t>Przysucha, Poland</t>
  </si>
  <si>
    <t>BORUCH, Mayer</t>
  </si>
  <si>
    <t>Opoczno, Poland</t>
  </si>
  <si>
    <t>25/08/1806</t>
  </si>
  <si>
    <t>JACUBOWITZ, Moyses</t>
  </si>
  <si>
    <t>SCHWARZ, Hersch</t>
  </si>
  <si>
    <t>LETZTER, Joseph</t>
  </si>
  <si>
    <t>25/04/1806</t>
  </si>
  <si>
    <t>TALLER, Jankel</t>
  </si>
  <si>
    <t>Rosokhach, Tarnopil Oblast, Ukraine</t>
  </si>
  <si>
    <t>13/09/1805</t>
  </si>
  <si>
    <t>LÖWENHAR, Hersch</t>
  </si>
  <si>
    <t>Tarnopil, Ukraine</t>
  </si>
  <si>
    <t>Poniatowski</t>
  </si>
  <si>
    <t>Tarnopol</t>
  </si>
  <si>
    <t>09/07/1805</t>
  </si>
  <si>
    <t>Während der Marche und in Spitälern unwissend verloren gegangen</t>
  </si>
  <si>
    <t>Żarnów, Poland</t>
  </si>
  <si>
    <t>LUSTIG, Israel</t>
  </si>
  <si>
    <t>Zülz/ Biała Prudnicka, Poland</t>
  </si>
  <si>
    <t>Preußische Schlesien</t>
  </si>
  <si>
    <t>30/11/1805</t>
  </si>
  <si>
    <t>Von Regiment Depot in Troppau desertiert</t>
  </si>
  <si>
    <t>In 01/1806</t>
  </si>
  <si>
    <t>Precise enistment and capture dates unknwon</t>
  </si>
  <si>
    <t>SPOTTBERGER, Leibel</t>
  </si>
  <si>
    <t>Czipa</t>
  </si>
  <si>
    <t>25/07/1806</t>
  </si>
  <si>
    <t>WOLFOWIECZ, Hersch</t>
  </si>
  <si>
    <t>SCHIRACK, Isack</t>
  </si>
  <si>
    <t>Sieniawa, Poland</t>
  </si>
  <si>
    <t>28/01/1805</t>
  </si>
  <si>
    <t>25/09/1795</t>
  </si>
  <si>
    <t>WURFBACH, David</t>
  </si>
  <si>
    <t>Stanisławczyk, Poland</t>
  </si>
  <si>
    <t>MOYSEL, Josel/ MAYER, Joseph</t>
  </si>
  <si>
    <t>03/09/1804≤</t>
  </si>
  <si>
    <t>ROSKOWIEC, Rubin</t>
  </si>
  <si>
    <t>Gowarczów, Poland</t>
  </si>
  <si>
    <t>JACUBOWITZ, Chaim</t>
  </si>
  <si>
    <t>MATYSOWICZ, Juda</t>
  </si>
  <si>
    <t>18/10/1805</t>
  </si>
  <si>
    <t>BERL, Moische</t>
  </si>
  <si>
    <t>21/01/1806</t>
  </si>
  <si>
    <t>04/07/1805</t>
  </si>
  <si>
    <t>DAVID, Berek</t>
  </si>
  <si>
    <t>08/08/1805</t>
  </si>
  <si>
    <t>SRULOWICZ, Mayer</t>
  </si>
  <si>
    <t>Jagnie</t>
  </si>
  <si>
    <t>SCHARMANN, Jankel</t>
  </si>
  <si>
    <t>MECHLER, Joachim</t>
  </si>
  <si>
    <t>FINDELHAUS, Elias</t>
  </si>
  <si>
    <t>18/09/1805</t>
  </si>
  <si>
    <t>MAJORKOWITZ, Jacob</t>
  </si>
  <si>
    <t>Bobrowniki (Ryki), Poland</t>
  </si>
  <si>
    <t>Dęblin, Poland</t>
  </si>
  <si>
    <t>JUDKOWITZ, Laibusch</t>
  </si>
  <si>
    <t>03/07/1805</t>
  </si>
  <si>
    <t>NUSSIM, Hersch</t>
  </si>
  <si>
    <t>12/09/1805</t>
  </si>
  <si>
    <t>MOSKOWITZ, Susche</t>
  </si>
  <si>
    <t>Dębe Małe (Latowicz), Poland</t>
  </si>
  <si>
    <t>Łukówiec (Mrozy), Poland</t>
  </si>
  <si>
    <t>SEELIG, Joseph</t>
  </si>
  <si>
    <t>14/06/1805</t>
  </si>
  <si>
    <t>Gegen Renuncierung als Reale Invalid mit Abschied entlassen</t>
  </si>
  <si>
    <t>JOSEL, Szlome</t>
  </si>
  <si>
    <t>Berlin, Germany</t>
  </si>
  <si>
    <t>Naturalised Habsburg Subject</t>
  </si>
  <si>
    <t>17/10/1799</t>
  </si>
  <si>
    <t>KARPEL, Selig</t>
  </si>
  <si>
    <t>Kazimierz (Kraków), Poland</t>
  </si>
  <si>
    <t>08/02/1797</t>
  </si>
  <si>
    <t>RAPHAEL, Daniel</t>
  </si>
  <si>
    <t>LOIBES, Binkas</t>
  </si>
  <si>
    <t>Moszewicz</t>
  </si>
  <si>
    <t>06/02/1797</t>
  </si>
  <si>
    <t>SECZIA, Josel</t>
  </si>
  <si>
    <t>Chmielnik, Poland</t>
  </si>
  <si>
    <t>01/11/1799</t>
  </si>
  <si>
    <t>LEVKOWIZ, Hirsch</t>
  </si>
  <si>
    <t>26/04/1797</t>
  </si>
  <si>
    <t>30/06/1805</t>
  </si>
  <si>
    <t>LORET, Itzig</t>
  </si>
  <si>
    <t>Schmidt</t>
  </si>
  <si>
    <t>04/05/1798</t>
  </si>
  <si>
    <t>BENJOMOWITZ, Callel/ BERISMOWITZ, Salomon</t>
  </si>
  <si>
    <t>WOLFF, Moyses</t>
  </si>
  <si>
    <t>ITZIG, Perl</t>
  </si>
  <si>
    <t>Kuzki (Włoszczowa), Poland</t>
  </si>
  <si>
    <t>Graf Kinsky</t>
  </si>
  <si>
    <t>05/07/1805</t>
  </si>
  <si>
    <t>Zu Sancingnow gestorben</t>
  </si>
  <si>
    <t>SZIJOMOWITZ, Josel</t>
  </si>
  <si>
    <t>Stężnica, Poland</t>
  </si>
  <si>
    <t>15/02/1801</t>
  </si>
  <si>
    <t>26/09/1796</t>
  </si>
  <si>
    <t>SANDEL, Mayer</t>
  </si>
  <si>
    <t>Bohorodchany, Ukraine</t>
  </si>
  <si>
    <t>30/09/1803</t>
  </si>
  <si>
    <t>RATZENBERGER. TRAZENBERG, Victor</t>
  </si>
  <si>
    <t>25/09/1796</t>
  </si>
  <si>
    <t>PLOTZBERG, Victor</t>
  </si>
  <si>
    <t>18/02/1801</t>
  </si>
  <si>
    <t>24/07/1800</t>
  </si>
  <si>
    <t>ABRAHAMOWITZ, Wolfus</t>
  </si>
  <si>
    <t>Czarnowiec (Osiek), Poland</t>
  </si>
  <si>
    <t>30/10/1799</t>
  </si>
  <si>
    <t>Biała Rawska, Poland</t>
  </si>
  <si>
    <t>Von Picquet desertiert</t>
  </si>
  <si>
    <t>JANKIEWITZ, Mannes/ Nachmann</t>
  </si>
  <si>
    <t>Zaskwiera</t>
  </si>
  <si>
    <t>Latowicz, Poland</t>
  </si>
  <si>
    <t>28/11/1800</t>
  </si>
  <si>
    <t>MOSZKOWITZ, Boroch/ Lorenz</t>
  </si>
  <si>
    <t>Sokołów Podlaski, Poland</t>
  </si>
  <si>
    <t>31/12/1805</t>
  </si>
  <si>
    <t>≤22/09/1802</t>
  </si>
  <si>
    <t>DAWIDOWITZ, Moyses</t>
  </si>
  <si>
    <t>ISRAEL, Berel</t>
  </si>
  <si>
    <t>≤23/09/1802</t>
  </si>
  <si>
    <t>15/07/1803</t>
  </si>
  <si>
    <t>JACOBOWITZ, Herschel</t>
  </si>
  <si>
    <t>ERDHEIM, David</t>
  </si>
  <si>
    <t>LACHMANN, Pinquas</t>
  </si>
  <si>
    <t>05/08/1803</t>
  </si>
  <si>
    <t>≤21/09/1802</t>
  </si>
  <si>
    <t>DICHTER, Abraham</t>
  </si>
  <si>
    <t>SCHLAGER, Michael</t>
  </si>
  <si>
    <t>INSEL, Moyses</t>
  </si>
  <si>
    <t>WEISSENBERGER, Jakob</t>
  </si>
  <si>
    <t>JELLINECK, Jakob</t>
  </si>
  <si>
    <t>Podveky, Czech Republic</t>
  </si>
  <si>
    <t>Weber</t>
  </si>
  <si>
    <t>26/08/1805</t>
  </si>
  <si>
    <t xml:space="preserve">GK IÖ </t>
  </si>
  <si>
    <t>KOHN, Seligmann</t>
  </si>
  <si>
    <t>Stebno, Czech Republic</t>
  </si>
  <si>
    <t>Petrohrad, Czech Republic</t>
  </si>
  <si>
    <t>03/08/1805</t>
  </si>
  <si>
    <t>10/02/1808 Auf Versorgung in Prager Invalidenhaus</t>
  </si>
  <si>
    <t>KRAPP, Elias</t>
  </si>
  <si>
    <t>Ivano-Frankove, Ukraine</t>
  </si>
  <si>
    <t>Janow</t>
  </si>
  <si>
    <t>16/07/1790</t>
  </si>
  <si>
    <t>Aus dem Station Brody desertiert</t>
  </si>
  <si>
    <t>TRAPP, Leib</t>
  </si>
  <si>
    <t>WASSERMANN, David</t>
  </si>
  <si>
    <t>Działoszyce, Poland</t>
  </si>
  <si>
    <t>Podsinitz</t>
  </si>
  <si>
    <t>01/03/1789</t>
  </si>
  <si>
    <t>Attached to IR 32 3rd Bat</t>
  </si>
  <si>
    <t>KÜSSEL, Abraham</t>
  </si>
  <si>
    <t>Markt</t>
  </si>
  <si>
    <t>20/11/1790</t>
  </si>
  <si>
    <t>ROZENFELD, Marcus</t>
  </si>
  <si>
    <t>Belz, Ukraine</t>
  </si>
  <si>
    <t>25/03/1790</t>
  </si>
  <si>
    <t>24/11/1790</t>
  </si>
  <si>
    <t>26/03/1790</t>
  </si>
  <si>
    <t>POLLACK, Leibel/Löbl</t>
  </si>
  <si>
    <t>STAUB, Ephraim</t>
  </si>
  <si>
    <t>NIESEL/ KISZELL, Abraham</t>
  </si>
  <si>
    <t>08/08/1790</t>
  </si>
  <si>
    <t>Gläser</t>
  </si>
  <si>
    <t>28/11/1790</t>
  </si>
  <si>
    <t>After desertion, was aprehended by IR 13</t>
  </si>
  <si>
    <t>MORATNIK, Berl</t>
  </si>
  <si>
    <t>Cuitanassa</t>
  </si>
  <si>
    <t>Attached to IR 32 Feld Bats</t>
  </si>
  <si>
    <t>FLICK, David</t>
  </si>
  <si>
    <t>HIRSCH, Israel</t>
  </si>
  <si>
    <t>≤16/10/1789</t>
  </si>
  <si>
    <t>≤12/04/1790</t>
  </si>
  <si>
    <t>≤31/07/1790</t>
  </si>
  <si>
    <t>UNBEKANNT: In Dienst bis mindestens 12/04/1790</t>
  </si>
  <si>
    <t>UNBEKANNT: In Dienst bis mindestens 30/07/1790</t>
  </si>
  <si>
    <t>UNBEKANNT: In Dienst bis mindestens 16/10/1789</t>
  </si>
  <si>
    <t>13/04/1790</t>
  </si>
  <si>
    <t>15/04/1790</t>
  </si>
  <si>
    <t>ZIM, Sllig</t>
  </si>
  <si>
    <t>FIBER, Hirsch</t>
  </si>
  <si>
    <t>Jurkowa</t>
  </si>
  <si>
    <t>? [Klemerer]</t>
  </si>
  <si>
    <t>≤30/06/1790</t>
  </si>
  <si>
    <t>UNBEKANNT: In Dienst bis mindestens 30/06/1790</t>
  </si>
  <si>
    <t>LACHMANN, Israel</t>
  </si>
  <si>
    <t>Zaleszczyki, Ukraine</t>
  </si>
  <si>
    <t>07/02/1800</t>
  </si>
  <si>
    <t>04/06/1800</t>
  </si>
  <si>
    <t>Gegen Stellung einen Rekrouten und einfache Monturs-Geld zahlung als Untaglich mit Abschied entlassen</t>
  </si>
  <si>
    <t>LAIBOWITZ, Boruch</t>
  </si>
  <si>
    <t>Żdżar (Kotuń) Poland</t>
  </si>
  <si>
    <t>Radzyn</t>
  </si>
  <si>
    <t>10/09/1800</t>
  </si>
  <si>
    <t>In 04/1804</t>
  </si>
  <si>
    <t>LEMONY, Josel</t>
  </si>
  <si>
    <t>Warszawa, Poland</t>
  </si>
  <si>
    <t>16/03/1801</t>
  </si>
  <si>
    <t>04/06/1804</t>
  </si>
  <si>
    <t>Foreign born conscript?</t>
  </si>
  <si>
    <t>09/09/1800</t>
  </si>
  <si>
    <t>MOSZKOWITZ, Itzig</t>
  </si>
  <si>
    <t>Trojanów, Poland</t>
  </si>
  <si>
    <t>In 11/1803</t>
  </si>
  <si>
    <t>15/01/1812 Zu Eger InvH als Reale Invalid zu Versorgung</t>
  </si>
  <si>
    <t>20/03/1810 Ins InvH Prag zur Versorgung</t>
  </si>
  <si>
    <t>07/01/1807 Ins InvH Prag zu Versorgung</t>
  </si>
  <si>
    <t>IR 42</t>
  </si>
  <si>
    <t>LEDERER, Jacob</t>
  </si>
  <si>
    <t>Dolní Jamné, Bezvěrov, Czech Republic</t>
  </si>
  <si>
    <t>Bezdružice, Czech Republic</t>
  </si>
  <si>
    <t>01/11/1796</t>
  </si>
  <si>
    <t>07/01/1807</t>
  </si>
  <si>
    <t>ROSITATER, Israel</t>
  </si>
  <si>
    <t xml:space="preserve">Wegen Untauglichkeit und kurzer Dienstzeit mit Laufpaß entlassen </t>
  </si>
  <si>
    <t>STEIN, Joseph</t>
  </si>
  <si>
    <t>Luka (Verušičky), Czech Republic</t>
  </si>
  <si>
    <t>Radošov [No longer exists] (Hradiště), Czech Republic</t>
  </si>
  <si>
    <t>31/03/1808</t>
  </si>
  <si>
    <t>31/03/1808 Auf Versorgung in Prager Invalidenhaus</t>
  </si>
  <si>
    <t>14/07/1805</t>
  </si>
  <si>
    <t>SACHER, Seligmann</t>
  </si>
  <si>
    <t>Liběšice u Žatce, Czech Republic</t>
  </si>
  <si>
    <t>Dobříčany, Czech Republic</t>
  </si>
  <si>
    <t>31/07/1808</t>
  </si>
  <si>
    <t>31/07/1808 zu Prager InvH al Reale Invalid zur Versorgung</t>
  </si>
  <si>
    <t>InvH Eger</t>
  </si>
  <si>
    <t>SCHÖMANN, Simon</t>
  </si>
  <si>
    <t>Libyně (Lubenec), Czech Republic</t>
  </si>
  <si>
    <t>06/06/1809</t>
  </si>
  <si>
    <t>05/05/1810</t>
  </si>
  <si>
    <t xml:space="preserve">Wegen kurze Dienstzeit mit Laufpass entlassen </t>
  </si>
  <si>
    <t>LEWKOWITZ, Joseph</t>
  </si>
  <si>
    <t>Kalinowszczyzna, Lublin, Poland</t>
  </si>
  <si>
    <t>25/07/1797</t>
  </si>
  <si>
    <t>wegen Untauglichkeit mit Laufpaß entlassen</t>
  </si>
  <si>
    <t>LUKOVITS, Herschmann</t>
  </si>
  <si>
    <t>Libeň (Praha 8), Czech Republic</t>
  </si>
  <si>
    <t>31/10/1811</t>
  </si>
  <si>
    <t>MANGEL, Morthko/ Mathias</t>
  </si>
  <si>
    <t>Otynija, Ukraine</t>
  </si>
  <si>
    <t>30/05/1799</t>
  </si>
  <si>
    <t>15/10/1810</t>
  </si>
  <si>
    <t>16/10/1810 Auf Versorgung zum Prager Invaliden Haus</t>
  </si>
  <si>
    <t>In 08/1803</t>
  </si>
  <si>
    <t>MAYER, Jacob</t>
  </si>
  <si>
    <t>Münischrothe</t>
  </si>
  <si>
    <t>Ansbach</t>
  </si>
  <si>
    <t>Fleischer</t>
  </si>
  <si>
    <t>15/03/1810</t>
  </si>
  <si>
    <t>15/03/1810 Ins InvH Prag zur Versorgung</t>
  </si>
  <si>
    <t>POPPER, Jacob</t>
  </si>
  <si>
    <t>Hostivař (Praha 15), Czech Republic</t>
  </si>
  <si>
    <t>Obrist Burggraf von Prag</t>
  </si>
  <si>
    <t>Metzger</t>
  </si>
  <si>
    <t>C. 06/1791</t>
  </si>
  <si>
    <t>31/07/1810</t>
  </si>
  <si>
    <t>01/08/1810 In InvH Prag zur Versorgung</t>
  </si>
  <si>
    <t>In 03/1800</t>
  </si>
  <si>
    <t>WILL, Markus</t>
  </si>
  <si>
    <t>Údlice, Czech Republic</t>
  </si>
  <si>
    <t>25/02/1810</t>
  </si>
  <si>
    <t>25/02/1810 Von Regiment entlassen; 19/04/1811 Von Vorbehalt Stand ins InvH auf Musterung genommen</t>
  </si>
  <si>
    <t>MAYER, Chaim</t>
  </si>
  <si>
    <t>Czemierniki, Poland</t>
  </si>
  <si>
    <t>25/06/1797</t>
  </si>
  <si>
    <t xml:space="preserve">Wegen Untauglichkeit gegen verursachten Unkosten Ersatz mit Laufpaß entlassen </t>
  </si>
  <si>
    <t>MANDEL, Leiser</t>
  </si>
  <si>
    <t>Solkow</t>
  </si>
  <si>
    <t>15/12/1805</t>
  </si>
  <si>
    <t>15/03/1814</t>
  </si>
  <si>
    <t>MORTKOWITZ, Berl</t>
  </si>
  <si>
    <t>06/02/1800</t>
  </si>
  <si>
    <t>23/07/1802</t>
  </si>
  <si>
    <t xml:space="preserve">Bei dem Einsturz einer Mauer zu Ehrenhaußen nachgeschlagen </t>
  </si>
  <si>
    <t>In 1806</t>
  </si>
  <si>
    <t>MORGENSTERN, Chaim</t>
  </si>
  <si>
    <t>Kraków, Poland</t>
  </si>
  <si>
    <t>MOSZKOWITZ/ MARKUS, Leibel</t>
  </si>
  <si>
    <t>NAGEL, Isack</t>
  </si>
  <si>
    <t>Czeborsky</t>
  </si>
  <si>
    <t>19/10/1811</t>
  </si>
  <si>
    <t>InvH Tyrn</t>
  </si>
  <si>
    <t>19/10/1811 Auf Versorgung in Tyrnauer Invalidenhaus</t>
  </si>
  <si>
    <t>12/05/1790</t>
  </si>
  <si>
    <t>NEUMANN, Naphtali</t>
  </si>
  <si>
    <t>Mezholezy (Miskovice), Czech Republic</t>
  </si>
  <si>
    <t>31/03/1792</t>
  </si>
  <si>
    <t>≤06/11/1789</t>
  </si>
  <si>
    <t>FRÜGEL, Salomon</t>
  </si>
  <si>
    <t>HAMMERSCHLAG, Moyses</t>
  </si>
  <si>
    <t>Mamostetz</t>
  </si>
  <si>
    <t>Was attached to IR 1</t>
  </si>
  <si>
    <t>Prischko</t>
  </si>
  <si>
    <t>Baron Levantovski</t>
  </si>
  <si>
    <t>Bochina</t>
  </si>
  <si>
    <t>21/05/1811</t>
  </si>
  <si>
    <t>OPINETZNIK, Jakob</t>
  </si>
  <si>
    <t>05/11/1817</t>
  </si>
  <si>
    <t>IR 1</t>
  </si>
  <si>
    <t xml:space="preserve">als ausgedienter Ausländischer Capitulant mit Abschied entlassen </t>
  </si>
  <si>
    <t>ORLANDER, Elias</t>
  </si>
  <si>
    <t>08/12/1798</t>
  </si>
  <si>
    <t>PRAGER, Hirschel</t>
  </si>
  <si>
    <t>Mykulyntsi, Ukraine</t>
  </si>
  <si>
    <t>22/08/1805</t>
  </si>
  <si>
    <t>GK Gal 4. Abt</t>
  </si>
  <si>
    <t>25/12/1816</t>
  </si>
  <si>
    <t>Als Veteran mit Abschied entlassen</t>
  </si>
  <si>
    <t>Conscript who was born abroad &amp; enlisted in FK</t>
  </si>
  <si>
    <t>ROSENTHAL, Samuel</t>
  </si>
  <si>
    <t>31/08/1817</t>
  </si>
  <si>
    <t>SAWIER. Wolf</t>
  </si>
  <si>
    <t>Locary</t>
  </si>
  <si>
    <t>Hutmacher</t>
  </si>
  <si>
    <t>20/12/1805</t>
  </si>
  <si>
    <t>10/01/1818</t>
  </si>
  <si>
    <t>SCHALOEN, Salomon</t>
  </si>
  <si>
    <t>Zamość, Poland</t>
  </si>
  <si>
    <t>22/11/1798</t>
  </si>
  <si>
    <t>25/09/1817</t>
  </si>
  <si>
    <t>Inv Pest</t>
  </si>
  <si>
    <t>25/09/1817 Auf Versorgung zum Pester Invaliden Haus</t>
  </si>
  <si>
    <t>SCHERNEZEL, Isaac</t>
  </si>
  <si>
    <t>Dobrómyl’ (Lviv Oblast), Ukraine</t>
  </si>
  <si>
    <t>Judengrund</t>
  </si>
  <si>
    <t>29/07/1797</t>
  </si>
  <si>
    <t>20/10/1797</t>
  </si>
  <si>
    <t>SCHMULEWICZ, Simon</t>
  </si>
  <si>
    <t>Ukiesko</t>
  </si>
  <si>
    <t>20/09/1817</t>
  </si>
  <si>
    <t>20/09/1810 Aus Versorger in Tyrnauer Invalidenhaus</t>
  </si>
  <si>
    <t>SCHRAGER, Leib</t>
  </si>
  <si>
    <t>Ivano-Frankivsk, Ukraine</t>
  </si>
  <si>
    <t>21/10/1799</t>
  </si>
  <si>
    <t>10/08/1811</t>
  </si>
  <si>
    <t>SELLMANN, Moises</t>
  </si>
  <si>
    <t>Kośmin (Żyrzyn), Poland</t>
  </si>
  <si>
    <t>26/02/1800</t>
  </si>
  <si>
    <t>30/04/1812</t>
  </si>
  <si>
    <t>In 03/1812</t>
  </si>
  <si>
    <t>SILBERMANN, Mayer</t>
  </si>
  <si>
    <t>Hoffnow</t>
  </si>
  <si>
    <t>SCHMULOWITZ, Simon/ SKOSOS, Jacob</t>
  </si>
  <si>
    <t>31/05/1817</t>
  </si>
  <si>
    <t>20/01/1809</t>
  </si>
  <si>
    <t>SLOMOWITZ, Leibel</t>
  </si>
  <si>
    <t>STAING, Isaak</t>
  </si>
  <si>
    <t>29/12/1798</t>
  </si>
  <si>
    <t>09/05/1790</t>
  </si>
  <si>
    <t>STIASNY, Bernhard/ Georg</t>
  </si>
  <si>
    <t>Humpolec, Czech Republic</t>
  </si>
  <si>
    <t>Herálec (Havlíčkův Brod District), Czech Republic</t>
  </si>
  <si>
    <t>08/09/1791</t>
  </si>
  <si>
    <t>WEINTRAUBE, Herschel</t>
  </si>
  <si>
    <t>20/08/1816</t>
  </si>
  <si>
    <t>05/08/1808</t>
  </si>
  <si>
    <t>KIMMEL, Chaim</t>
  </si>
  <si>
    <t>Horodnia</t>
  </si>
  <si>
    <t>25/10/1818</t>
  </si>
  <si>
    <t>23/09/1808</t>
  </si>
  <si>
    <t>GOLDBACH, Simon</t>
  </si>
  <si>
    <t>Tuchmacher</t>
  </si>
  <si>
    <t>Degraded from corporal to private following court martial</t>
  </si>
  <si>
    <t>23/02/1809</t>
  </si>
  <si>
    <t>GOTTLIEB, Herschel</t>
  </si>
  <si>
    <t>Drohobych, Ukraine</t>
  </si>
  <si>
    <t>MAGAZIN, Tubiel</t>
  </si>
  <si>
    <t>19/02/1809</t>
  </si>
  <si>
    <t>Grenadier in IR 44</t>
  </si>
  <si>
    <t>WOLF, Hirschel</t>
  </si>
  <si>
    <t>Turka, Ukraine</t>
  </si>
  <si>
    <t>Leinweber</t>
  </si>
  <si>
    <t>Unobligater fourierschutz at IR 44</t>
  </si>
  <si>
    <t>PFEIFFER, Joseph</t>
  </si>
  <si>
    <t>Gefreyter in IR 44</t>
  </si>
  <si>
    <t>HIRSCH, Salomon</t>
  </si>
  <si>
    <t>Beniowa (Lutowiska), Poland]</t>
  </si>
  <si>
    <t>07/12/1815</t>
  </si>
  <si>
    <t>Gemeiner in IR 44</t>
  </si>
  <si>
    <t>EISMANN, Simon</t>
  </si>
  <si>
    <t>Komarno, Ukraine</t>
  </si>
  <si>
    <t>29/04/1813</t>
  </si>
  <si>
    <t>LÖWEK, Joseph</t>
  </si>
  <si>
    <t>Wełecz, Poland</t>
  </si>
  <si>
    <t>Szaniec, Poland</t>
  </si>
  <si>
    <t>07/07/1799</t>
  </si>
  <si>
    <t>WERNER, Perl</t>
  </si>
  <si>
    <t>Stara Sil, Ukraine</t>
  </si>
  <si>
    <t>16/10/1816</t>
  </si>
  <si>
    <t>DOMB, David</t>
  </si>
  <si>
    <t>Głogów Małopolski, Poland</t>
  </si>
  <si>
    <t>MONTAG, Johann</t>
  </si>
  <si>
    <t>Bayreuth, Germany</t>
  </si>
  <si>
    <t>Bayreuth</t>
  </si>
  <si>
    <t>26/11/1801</t>
  </si>
  <si>
    <t>Corporal in IR 44</t>
  </si>
  <si>
    <t>HEIDENFELD, Jakob</t>
  </si>
  <si>
    <t>Biskovychi, Ukraine</t>
  </si>
  <si>
    <t>30/04/1813</t>
  </si>
  <si>
    <t>06/07/1815</t>
  </si>
  <si>
    <t>GOLDSCHMIDT, Isak/ Johann</t>
  </si>
  <si>
    <t>Warschau</t>
  </si>
  <si>
    <t>VITTA, Moise David</t>
  </si>
  <si>
    <t>Casale Monferrato, Italy</t>
  </si>
  <si>
    <t>Monferrato</t>
  </si>
  <si>
    <t>Piedmont</t>
  </si>
  <si>
    <t>19/08/1820</t>
  </si>
  <si>
    <t>LEIBEL, Hirschel</t>
  </si>
  <si>
    <t>Bäcker</t>
  </si>
  <si>
    <t>06/08/1800</t>
  </si>
  <si>
    <t>10/05/1817</t>
  </si>
  <si>
    <t>GAD Gal</t>
  </si>
  <si>
    <t>BEER, David</t>
  </si>
  <si>
    <t>01/11/1788</t>
  </si>
  <si>
    <t>Was attached to IR 53</t>
  </si>
  <si>
    <t>BLUMENFELD, Moyses</t>
  </si>
  <si>
    <t>Sokolof</t>
  </si>
  <si>
    <t>Was attached to IR 24</t>
  </si>
  <si>
    <t>FÜGSL, Salomon</t>
  </si>
  <si>
    <t>KEIL, Israel</t>
  </si>
  <si>
    <t>Attached to IR 24 Feld Bats</t>
  </si>
  <si>
    <t>SCHUR, Elias</t>
  </si>
  <si>
    <t>In 07/1789</t>
  </si>
  <si>
    <t>BEER, Joachim</t>
  </si>
  <si>
    <t>Salikek</t>
  </si>
  <si>
    <t>SKONITZ, Osias</t>
  </si>
  <si>
    <t>Premislaw</t>
  </si>
  <si>
    <t>≤25/11/1789</t>
  </si>
  <si>
    <t>CHATZ, Nachmann</t>
  </si>
  <si>
    <t>Stragan</t>
  </si>
  <si>
    <t>GOLDENBLUM, Israel</t>
  </si>
  <si>
    <t>Nový Bydžov, Czech Republic</t>
  </si>
  <si>
    <t>≤15/05/1789</t>
  </si>
  <si>
    <t>LEITNER, Joseph</t>
  </si>
  <si>
    <t>REISER, Isak</t>
  </si>
  <si>
    <t>Slatsch</t>
  </si>
  <si>
    <t>In 01/1788</t>
  </si>
  <si>
    <t>LEHNER, Salomon</t>
  </si>
  <si>
    <t>Tuklo</t>
  </si>
  <si>
    <t>WÄCHTER, Nachmias</t>
  </si>
  <si>
    <t>Brodt</t>
  </si>
  <si>
    <t>C. 08/1788</t>
  </si>
  <si>
    <t>THIR, Jacob</t>
  </si>
  <si>
    <t>≤12/02/1800</t>
  </si>
  <si>
    <t>JACOBOWITZ, Itzig</t>
  </si>
  <si>
    <t>LÖWENTHAL, Hirschel</t>
  </si>
  <si>
    <t>10/06/1800</t>
  </si>
  <si>
    <t>Sonsten desertiert</t>
  </si>
  <si>
    <t>MOSHKOWITZ, Mayer</t>
  </si>
  <si>
    <t>10/01/1801</t>
  </si>
  <si>
    <t>SCHMONOWITZ, Moises</t>
  </si>
  <si>
    <t>09/04/1800</t>
  </si>
  <si>
    <t>Zu Alessandria gestorben</t>
  </si>
  <si>
    <t>SCHLOMOWITZ, Feibel</t>
  </si>
  <si>
    <t>15/07/1801</t>
  </si>
  <si>
    <t>15/07/1801 Auf Versorgung in Tyrnauer Invaliden Haus</t>
  </si>
  <si>
    <t>AUSTRIEB, Szmul</t>
  </si>
  <si>
    <t>16/08/1794</t>
  </si>
  <si>
    <t>01/03/1795</t>
  </si>
  <si>
    <t>Aus der Station Dubno desertiert</t>
  </si>
  <si>
    <t>BERKOWITZ/ PERKOWICZ, Abraham</t>
  </si>
  <si>
    <t>Kriwezo</t>
  </si>
  <si>
    <t>21/10/1794</t>
  </si>
  <si>
    <t>≤06/04/1799</t>
  </si>
  <si>
    <t>HIRSCHKOWITZ, David</t>
  </si>
  <si>
    <t>06/04/1799</t>
  </si>
  <si>
    <t>SCHMULL, Wolf</t>
  </si>
  <si>
    <t>31/08/1802</t>
  </si>
  <si>
    <t>LEISEROWIZ, Herschel</t>
  </si>
  <si>
    <t>GROSZ, Joseph</t>
  </si>
  <si>
    <t>Ófehértó, Hungary</t>
  </si>
  <si>
    <t>11/03/1808</t>
  </si>
  <si>
    <t>LEBOVIS, Joseph</t>
  </si>
  <si>
    <t>Săpânța, Romania</t>
  </si>
  <si>
    <t>Transferred to Artillerie Handlanger Korps</t>
  </si>
  <si>
    <t>ILKO/ ITZKO/ JESKO, Abraham</t>
  </si>
  <si>
    <t>Tristak</t>
  </si>
  <si>
    <t>Jaslo</t>
  </si>
  <si>
    <t>31/10/1809</t>
  </si>
  <si>
    <t>JONAS, Joseph</t>
  </si>
  <si>
    <t>08/05/1810</t>
  </si>
  <si>
    <t>Zu Ofen gestorben</t>
  </si>
  <si>
    <t>VEINBERGER, Joseph</t>
  </si>
  <si>
    <t>Szemnat</t>
  </si>
  <si>
    <t>Csanád</t>
  </si>
  <si>
    <t>BLAUSTEIN, Joseph</t>
  </si>
  <si>
    <t>≤03/09/1802</t>
  </si>
  <si>
    <t>23/11/1802</t>
  </si>
  <si>
    <t>Ex loco einzig ohne Feuergewehr desertiert</t>
  </si>
  <si>
    <t>DAWIDOWICH, Hirsch</t>
  </si>
  <si>
    <t>30/08/1802</t>
  </si>
  <si>
    <t>JACUBOWITZ, Mendel</t>
  </si>
  <si>
    <t>≤30/08/1802</t>
  </si>
  <si>
    <t>FRIEDMANN, Abraham</t>
  </si>
  <si>
    <t>JACOB, Joseph</t>
  </si>
  <si>
    <t>22/09/1802</t>
  </si>
  <si>
    <t>Ex loco ausser dienst Ohne Feuergeweht mit Complotte desertiert</t>
  </si>
  <si>
    <t>DAVIDOWIZ, Leib</t>
  </si>
  <si>
    <t>≤21/06/1800</t>
  </si>
  <si>
    <t>19/02/1801</t>
  </si>
  <si>
    <t>Von sonsten desertiert</t>
  </si>
  <si>
    <t>≤16/05/1801</t>
  </si>
  <si>
    <t>FLEISCHMANN, Löbl</t>
  </si>
  <si>
    <t>01/10/1801</t>
  </si>
  <si>
    <t xml:space="preserve">Laut Besondere Verordnung mit Abshied entlassen </t>
  </si>
  <si>
    <t>SCHIE, Kalman</t>
  </si>
  <si>
    <t>01/02/1801</t>
  </si>
  <si>
    <t>In Triest gestorben</t>
  </si>
  <si>
    <t>10/04/1800</t>
  </si>
  <si>
    <t>10/04/1800 auf Versorgung in Pettauer Invaliden Haus</t>
  </si>
  <si>
    <t>MOSKOVITS, Lazar</t>
  </si>
  <si>
    <t>04/06/1808</t>
  </si>
  <si>
    <t>BERKOVITS, Isak</t>
  </si>
  <si>
    <t>Hornyo</t>
  </si>
  <si>
    <t>22/05/1810</t>
  </si>
  <si>
    <t>02/03/1808</t>
  </si>
  <si>
    <t>STEINER, Nathanel</t>
  </si>
  <si>
    <t>Vynohradiv, Ukraine</t>
  </si>
  <si>
    <t>25/09/1810</t>
  </si>
  <si>
    <t>In 03/1809</t>
  </si>
  <si>
    <t>HANN, Isack</t>
  </si>
  <si>
    <t>Transferred to MFWK Wien</t>
  </si>
  <si>
    <t>Was attached to IR 4</t>
  </si>
  <si>
    <t>CREMSIER, Wolf</t>
  </si>
  <si>
    <t>Praha (Czech Republic)</t>
  </si>
  <si>
    <t>Magistrat</t>
  </si>
  <si>
    <t>IR 4</t>
  </si>
  <si>
    <t>Gemeiner in IR 4</t>
  </si>
  <si>
    <t>MAYER, Philipp</t>
  </si>
  <si>
    <t>Turnov, Czech Republic</t>
  </si>
  <si>
    <t>Bunzlau</t>
  </si>
  <si>
    <t>Journalist</t>
  </si>
  <si>
    <t>≤16/11/1800</t>
  </si>
  <si>
    <t>24/11/1800</t>
  </si>
  <si>
    <t>EISNER, Lazar</t>
  </si>
  <si>
    <t>Zu Verona gestorben</t>
  </si>
  <si>
    <t>FEUER, Isack</t>
  </si>
  <si>
    <t>09/06/1800</t>
  </si>
  <si>
    <t>In Cremona in Kriegsgefangeschaft geraten</t>
  </si>
  <si>
    <t>HIRSCH, Lazar</t>
  </si>
  <si>
    <t>04/02/1801</t>
  </si>
  <si>
    <t>JANKEL, Fischel</t>
  </si>
  <si>
    <t>15/11/1801</t>
  </si>
  <si>
    <t>≤23/12/1800</t>
  </si>
  <si>
    <t>MENDEL, Chaim</t>
  </si>
  <si>
    <t>c. 23/12/1800</t>
  </si>
  <si>
    <t>Gegen Stellung des Recruttens Jankel BARTA entlassen</t>
  </si>
  <si>
    <t>≤10/11/1800</t>
  </si>
  <si>
    <t>BRAND, Leib</t>
  </si>
  <si>
    <t>c. 10/11/1800</t>
  </si>
  <si>
    <t>Gegen Stellung des Recruttens Hirsch SCHWARZENBERG entlassen</t>
  </si>
  <si>
    <t>HERSCHKOVITS, Heinrich</t>
  </si>
  <si>
    <t>≤04/12/1799</t>
  </si>
  <si>
    <t>c. 04/12/1799</t>
  </si>
  <si>
    <t>Gegen Stellung des Recruttens Heinrich HERSCHKOVITS mit Laufpaß entlassen</t>
  </si>
  <si>
    <t>SAUM, Abraham</t>
  </si>
  <si>
    <t>≤17/12/1799</t>
  </si>
  <si>
    <t>c. 17/12/1799</t>
  </si>
  <si>
    <t>Gegen Stellung des Recruttens Schmul MERK mit Laufpaß entlassen</t>
  </si>
  <si>
    <t>MENDEL, Zelek</t>
  </si>
  <si>
    <t>Pest</t>
  </si>
  <si>
    <t>19/12/1805</t>
  </si>
  <si>
    <t>22/05/1809</t>
  </si>
  <si>
    <t>Bei Schlacht von Aspern-Essling in die Kriegsgefangenschaft geraten</t>
  </si>
  <si>
    <t>08/03/1808</t>
  </si>
  <si>
    <t>BORN/BORU, Herschel</t>
  </si>
  <si>
    <t>Malá Poľana, Slovakia</t>
  </si>
  <si>
    <t>20/05/1810</t>
  </si>
  <si>
    <t>22/12/1808</t>
  </si>
  <si>
    <t>Băbășești, Romania</t>
  </si>
  <si>
    <t>KHAIM, Iszak/ HAIM, Iwan</t>
  </si>
  <si>
    <t>GOLDGAYER, Joseph</t>
  </si>
  <si>
    <t>ALTMANN, Lazar</t>
  </si>
  <si>
    <t>05/05/1809</t>
  </si>
  <si>
    <t>Gegen Stellung anderen Mannes und Erllad von Montur Geld mit Abschied entlassen</t>
  </si>
  <si>
    <t>IZRAEL, Mojses</t>
  </si>
  <si>
    <t>Narnesalocz</t>
  </si>
  <si>
    <t>Bei Schlacht von Neumarkt-Sankt Viet in Die Kriegsgefangenschaft geraten</t>
  </si>
  <si>
    <t>MARCUS, Peter</t>
  </si>
  <si>
    <t>27/03/1808</t>
  </si>
  <si>
    <t>Transferred to HR 6</t>
  </si>
  <si>
    <t>≤07/08/1796</t>
  </si>
  <si>
    <t>KOPPEL, Hertz</t>
  </si>
  <si>
    <t>GRÜNBERGER, Joseph</t>
  </si>
  <si>
    <t>26/08/1812</t>
  </si>
  <si>
    <t>Transferred to HFS 34</t>
  </si>
  <si>
    <t>FINK, Raphael</t>
  </si>
  <si>
    <t>07/04/1813</t>
  </si>
  <si>
    <t>Transferred to HFS 24</t>
  </si>
  <si>
    <t>MASSKOWITZ, Abraham</t>
  </si>
  <si>
    <t>Seroczyn (Sterdyń), Poland</t>
  </si>
  <si>
    <t>25/04/1797</t>
  </si>
  <si>
    <t>31/05/1815≤</t>
  </si>
  <si>
    <t>UNBEKANNT: Als Privat diener ist nicht in der HFS Verpflegs-Liste eingetragen.</t>
  </si>
  <si>
    <t>GRÜNWALD, David</t>
  </si>
  <si>
    <t>Schneideberg</t>
  </si>
  <si>
    <t>23/08/1809</t>
  </si>
  <si>
    <t xml:space="preserve">Zu Pest in Militärspital gestorben </t>
  </si>
  <si>
    <t>Foriegner raised as part of the conscription contingent</t>
  </si>
  <si>
    <t>Varyazh, Ukraine</t>
  </si>
  <si>
    <t>LEWITZKY, Jacob</t>
  </si>
  <si>
    <t>13/03/1801</t>
  </si>
  <si>
    <t>Zu Feldspital in Laibach gestorben</t>
  </si>
  <si>
    <t>≤01/08/1799</t>
  </si>
  <si>
    <t>DAVID, Sacher</t>
  </si>
  <si>
    <t>KIRSNER, Salomon</t>
  </si>
  <si>
    <t>04/03/1808</t>
  </si>
  <si>
    <t>15/03/1809</t>
  </si>
  <si>
    <t>KRAUSZ, Abraham</t>
  </si>
  <si>
    <t>14/03/1808</t>
  </si>
  <si>
    <t>WEINBERGER, Joel</t>
  </si>
  <si>
    <t>ISAK, Martin/ David</t>
  </si>
  <si>
    <t>Máriapócs, Ungarn</t>
  </si>
  <si>
    <t>08/03/1809</t>
  </si>
  <si>
    <t>26/10/1810</t>
  </si>
  <si>
    <t>26/09/1809 Ins InvH Tyrnau zur Versorgung</t>
  </si>
  <si>
    <t>SCHMULY, Abraham</t>
  </si>
  <si>
    <t>Als unevident als unwissend verloren in abgang</t>
  </si>
  <si>
    <t>SALOMON, Moises</t>
  </si>
  <si>
    <t>Obišovce, Slovakia</t>
  </si>
  <si>
    <t>10/09/1810</t>
  </si>
  <si>
    <t>DAVID, Isaac/ Isak</t>
  </si>
  <si>
    <t>20/03/1811</t>
  </si>
  <si>
    <t>≤03/02/1801</t>
  </si>
  <si>
    <t>DAVIDOWICZ, Joseph</t>
  </si>
  <si>
    <t>18/03/1801</t>
  </si>
  <si>
    <t xml:space="preserve">In dem Feldspital zu Görz gestorben </t>
  </si>
  <si>
    <t>NOMANOWICZ, Michel</t>
  </si>
  <si>
    <t>≤01/01/1799</t>
  </si>
  <si>
    <t>MAYER, Itzig</t>
  </si>
  <si>
    <t>27/08/1799</t>
  </si>
  <si>
    <t>Zu Feldspital in Görz gestorben</t>
  </si>
  <si>
    <t>JACUBOWITZ, lebel</t>
  </si>
  <si>
    <t>05/05/1801</t>
  </si>
  <si>
    <t>BEYSER, David</t>
  </si>
  <si>
    <t>Gołębiów, Poland</t>
  </si>
  <si>
    <t>Radom, Poland</t>
  </si>
  <si>
    <t>28/04/1797</t>
  </si>
  <si>
    <t>IE 23</t>
  </si>
  <si>
    <t>Von Urlaub in Polen desertiert</t>
  </si>
  <si>
    <t>HAMMER, Judas</t>
  </si>
  <si>
    <t>24/09/1796</t>
  </si>
  <si>
    <t>10/02/1803</t>
  </si>
  <si>
    <t xml:space="preserve">Als Reale Invalid mit Laufpaß entlassen </t>
  </si>
  <si>
    <t>WALLACH, Hirschel</t>
  </si>
  <si>
    <t>Tysmenyzja, Ukraine</t>
  </si>
  <si>
    <t>29/12/1800</t>
  </si>
  <si>
    <t>Auf Urlaub in Polen desertiert</t>
  </si>
  <si>
    <t>FREUNDLICH, Hirschel</t>
  </si>
  <si>
    <t>Gegen Stellung 2 capitulierte Auslander mit Abschied entlassen</t>
  </si>
  <si>
    <t>LICHTER, Naphtalus</t>
  </si>
  <si>
    <t>STOCK, Isak</t>
  </si>
  <si>
    <t>21/06/1800</t>
  </si>
  <si>
    <t>Replacement conscript</t>
  </si>
  <si>
    <t>FLICKER, Moises</t>
  </si>
  <si>
    <t>25/11/1798</t>
  </si>
  <si>
    <t>ACHWALD, Mandel</t>
  </si>
  <si>
    <t>Kulykiv, Ukraine</t>
  </si>
  <si>
    <t>20/06/1797</t>
  </si>
  <si>
    <t>KOPPELUSCH, Hersch</t>
  </si>
  <si>
    <t>Kozliv (Ternopil District), Ukraine</t>
  </si>
  <si>
    <t>18/07/1800</t>
  </si>
  <si>
    <t>GELLNER, Leser</t>
  </si>
  <si>
    <t>Korolivka, Ukraine</t>
  </si>
  <si>
    <t>30/11/1802</t>
  </si>
  <si>
    <t>LINDNER, Moyses</t>
  </si>
  <si>
    <t>Tartakiv, Ukraine</t>
  </si>
  <si>
    <t>24/02/1797</t>
  </si>
  <si>
    <t>DAVIDOCIZ, Leib</t>
  </si>
  <si>
    <t>Transferred to IR 56</t>
  </si>
  <si>
    <t>HERSCHKOVIZ, Victor</t>
  </si>
  <si>
    <t>LEVKOVICZ, Samuel</t>
  </si>
  <si>
    <t>Lipsko, Poland</t>
  </si>
  <si>
    <t>Transferred to IR 26</t>
  </si>
  <si>
    <t>MANSOVIECZ, Viktor</t>
  </si>
  <si>
    <t>Zwoleń, Poland</t>
  </si>
  <si>
    <t>SCHMOERKOVICZ, Morda</t>
  </si>
  <si>
    <t>HERSCHEL, Leib</t>
  </si>
  <si>
    <t>Granica (Gniewoszów), Poland</t>
  </si>
  <si>
    <t>10/02/1797</t>
  </si>
  <si>
    <t>SELIGOVICZ, Majer</t>
  </si>
  <si>
    <t>Pierzavola</t>
  </si>
  <si>
    <t>MOISZE, Schloime</t>
  </si>
  <si>
    <t>22/02/1797</t>
  </si>
  <si>
    <t>BRENNER, Itzig</t>
  </si>
  <si>
    <t>LINK, Esra/ Israel</t>
  </si>
  <si>
    <t>BORT, Itzig</t>
  </si>
  <si>
    <t>28/06/1797</t>
  </si>
  <si>
    <t>LORENBOGEN, Mortke</t>
  </si>
  <si>
    <t>30/06/1797</t>
  </si>
  <si>
    <t>FELDHORN, Itzig</t>
  </si>
  <si>
    <t>WOLF, Salomon</t>
  </si>
  <si>
    <t>22/07/1797</t>
  </si>
  <si>
    <t>BLANZER, Benjamin</t>
  </si>
  <si>
    <t>30/11/1798</t>
  </si>
  <si>
    <t>SEELIG, Jonas</t>
  </si>
  <si>
    <t>Kraków,Poland</t>
  </si>
  <si>
    <t>26/05/1800</t>
  </si>
  <si>
    <t>Wegen Unentbehrlichkeit zu Hause und gegen den Gestellt: Rek. Salomon Jacob mit abschied entlassen</t>
  </si>
  <si>
    <t>DAVID, Salomon</t>
  </si>
  <si>
    <t>Mandodewick</t>
  </si>
  <si>
    <t>30/06/1804</t>
  </si>
  <si>
    <t>LIEBLER, Jakob</t>
  </si>
  <si>
    <t>Uhil'nya, Ukraine</t>
  </si>
  <si>
    <t>Sokoliv (Lany-Sokolivs'ki), Ukraine</t>
  </si>
  <si>
    <t>13/07/1803</t>
  </si>
  <si>
    <t>MAYERKOWITZ/ BAJERSKOWITZ, Mandel</t>
  </si>
  <si>
    <t>Nadbrzezie (Sandomierz), Poland</t>
  </si>
  <si>
    <t>Nisko, Poland</t>
  </si>
  <si>
    <t>02/10/1797</t>
  </si>
  <si>
    <t>LOB, Jacob</t>
  </si>
  <si>
    <t>29/06/1798</t>
  </si>
  <si>
    <t>DONNBAUER, Moyses/ Georg</t>
  </si>
  <si>
    <t>Slavkov u Brna, Czech Republic</t>
  </si>
  <si>
    <t>18/01/1809</t>
  </si>
  <si>
    <t>26/10/1809</t>
  </si>
  <si>
    <t>FAR 3</t>
  </si>
  <si>
    <t xml:space="preserve">In Armee Spital zu Ofen gestorben </t>
  </si>
  <si>
    <t>HELLER, Isack/Franz</t>
  </si>
  <si>
    <t>ESSIG, Abraham</t>
  </si>
  <si>
    <t>Velyki Mosty, Ukraine</t>
  </si>
  <si>
    <t>31/05/1806</t>
  </si>
  <si>
    <t>LEIB, Chaim</t>
  </si>
  <si>
    <t>[Kazimierz (Kraków), Poland</t>
  </si>
  <si>
    <t>13/06/1803</t>
  </si>
  <si>
    <t>30/06/1806</t>
  </si>
  <si>
    <t>Gegen Stellung 2 Ausländer auf Steuerbare Wirthschaft entlassen</t>
  </si>
  <si>
    <t>MESZKOWIZ, Abraham</t>
  </si>
  <si>
    <t>Nowy Korczyn, Poland</t>
  </si>
  <si>
    <t>TRONN, Judas</t>
  </si>
  <si>
    <t>LEFKOWITZ, Israel</t>
  </si>
  <si>
    <t>Górnowola (Nowy Korczyn), Poland</t>
  </si>
  <si>
    <t>Czepolowsky</t>
  </si>
  <si>
    <t>09/07/1799</t>
  </si>
  <si>
    <t>LEICHTER, Bernhard</t>
  </si>
  <si>
    <t>29/03/1797</t>
  </si>
  <si>
    <t>25/03/1799 Kriegsgefangen; 04/07/1801 ausgetauscht</t>
  </si>
  <si>
    <t>REITERER, Moises</t>
  </si>
  <si>
    <t>05/05/1806</t>
  </si>
  <si>
    <t>JORDAN, Judas</t>
  </si>
  <si>
    <t>Nowy Korczyn, Poland]</t>
  </si>
  <si>
    <t>KIRSCHBAUM, Feibel</t>
  </si>
  <si>
    <t>MOTELL, Hirschel</t>
  </si>
  <si>
    <t>18/06/1800</t>
  </si>
  <si>
    <t>BINKES, Leisser</t>
  </si>
  <si>
    <t>Stary Głuchów, Poland</t>
  </si>
  <si>
    <t>BRILIANTENSTEIN, Jakob</t>
  </si>
  <si>
    <t>Sokolowsky</t>
  </si>
  <si>
    <t>Goldschmidt</t>
  </si>
  <si>
    <t>HIRSCHKOWIT, Jankel/ Löwel</t>
  </si>
  <si>
    <t>Kosorwensjy</t>
  </si>
  <si>
    <t>NAMEN, Abraham</t>
  </si>
  <si>
    <t>11/02/1800</t>
  </si>
  <si>
    <t>LEIZEROWITZ/ NASSEROWITZ, Jankel</t>
  </si>
  <si>
    <t>Żurawica (Obrazów), Poland</t>
  </si>
  <si>
    <t>10/06/1805</t>
  </si>
  <si>
    <t>JACOBOWITZ, Josel</t>
  </si>
  <si>
    <t>19/07/1799</t>
  </si>
  <si>
    <t>HERSCHKOWITZ, Josel</t>
  </si>
  <si>
    <t>Pacanów, Poland</t>
  </si>
  <si>
    <t>TROMPETER, Moyses</t>
  </si>
  <si>
    <t xml:space="preserve">Gegen Stellung 2 Ausländer Rekruten mit Abschied entlassen </t>
  </si>
  <si>
    <t>HANDMACKER, Israel</t>
  </si>
  <si>
    <t>02/12/1805</t>
  </si>
  <si>
    <t>Bei Schlacht von Austerlitz vermisst</t>
  </si>
  <si>
    <t>MOISES, David</t>
  </si>
  <si>
    <t>Plechów (Kazimierza Wielka), Poland</t>
  </si>
  <si>
    <t>14/08/1799</t>
  </si>
  <si>
    <t>DAVIDOVICH, Berek</t>
  </si>
  <si>
    <t>Tenczynek, Poland</t>
  </si>
  <si>
    <t>22/11/1799</t>
  </si>
  <si>
    <t>13/11/1805</t>
  </si>
  <si>
    <t xml:space="preserve">In Hauptspital in Wien in Kriegsgefangenschaft gefallen </t>
  </si>
  <si>
    <t>WOLFROWICZ, Nochem/ Stephan</t>
  </si>
  <si>
    <t>23/10/1807</t>
  </si>
  <si>
    <t>Auf Marsch nach Krakau desertiert</t>
  </si>
  <si>
    <t>≤13/01/1800</t>
  </si>
  <si>
    <t>In 1797</t>
  </si>
  <si>
    <t>THEIR, Salomon</t>
  </si>
  <si>
    <t>Posementier</t>
  </si>
  <si>
    <t>30/06/1811</t>
  </si>
  <si>
    <t>[15/08/1799] griegsgefangen/ 17/03/1811 von feindlichen dinest zuruckgekehrt</t>
  </si>
  <si>
    <t>23/09/1809</t>
  </si>
  <si>
    <t>GRELL, Israel</t>
  </si>
  <si>
    <t>≤11/05/1809</t>
  </si>
  <si>
    <t>LEHRER, Moises</t>
  </si>
  <si>
    <t xml:space="preserve">Bei die Erstürmung von Festung Zamosc in polnische Kriegsgefangenschaft gefallen </t>
  </si>
  <si>
    <t>HERZ, Johann Joseph [Benedikt] Edler von</t>
  </si>
  <si>
    <t>PENSIONED</t>
  </si>
  <si>
    <t>Mit Major Characters mit 600 Gl Jahrlich pensionert</t>
  </si>
  <si>
    <t>BLECHER, Johann/ Michael</t>
  </si>
  <si>
    <t>Gemeiner in IR 30</t>
  </si>
  <si>
    <t>BIRKOWITZ, Sandel</t>
  </si>
  <si>
    <t>Uhniv, Ukraine</t>
  </si>
  <si>
    <t>After being taken POW, served one year in the Warsaw Army</t>
  </si>
  <si>
    <t>SPEIGEL, Marcus</t>
  </si>
  <si>
    <t>Ropczyce, Poland</t>
  </si>
  <si>
    <t>16/03/1807</t>
  </si>
  <si>
    <t>LEWIK, Leib</t>
  </si>
  <si>
    <t>KUHL, Salomon</t>
  </si>
  <si>
    <t>10/02/1809</t>
  </si>
  <si>
    <t>SONNENSCHEIN, Victor</t>
  </si>
  <si>
    <t>02/04/1809</t>
  </si>
  <si>
    <t>SUSTAKOWSKY, Thomas</t>
  </si>
  <si>
    <t>Dublany</t>
  </si>
  <si>
    <t>06/08/1808</t>
  </si>
  <si>
    <t>BOK, Salomon</t>
  </si>
  <si>
    <t>Dzikowiec, Poland</t>
  </si>
  <si>
    <t>LIEBMANN, Pinkas/ Lucas</t>
  </si>
  <si>
    <t>Sokołów Małopolski, Poland</t>
  </si>
  <si>
    <t>LEIBOWITZ, Joseph/ Elias</t>
  </si>
  <si>
    <t>Genuva</t>
  </si>
  <si>
    <t>Deserted and re-engaed in another regiment under a different name</t>
  </si>
  <si>
    <t>Kościelec, Poland</t>
  </si>
  <si>
    <t>FEITEL, Gabriel</t>
  </si>
  <si>
    <t>Boskovice, Czech Republic</t>
  </si>
  <si>
    <t>01/02/1799</t>
  </si>
  <si>
    <t>Transferred to IR 8</t>
  </si>
  <si>
    <t>LUSTIG, Bernhard</t>
  </si>
  <si>
    <t>Caschau</t>
  </si>
  <si>
    <t>Naheda</t>
  </si>
  <si>
    <t>20/03/1799</t>
  </si>
  <si>
    <t>Transferred to CR 8</t>
  </si>
  <si>
    <t>STEINER, Selig</t>
  </si>
  <si>
    <t xml:space="preserve">Cznschczof </t>
  </si>
  <si>
    <t>16/08/1799</t>
  </si>
  <si>
    <t>FIGLAS, Marko</t>
  </si>
  <si>
    <t>Foreign born conscript</t>
  </si>
  <si>
    <t>PEVSNER, Josel</t>
  </si>
  <si>
    <t>ZACHARIAS, Chaim</t>
  </si>
  <si>
    <t>Transferred to IR 4</t>
  </si>
  <si>
    <t>JOSEPHOWER, Perl</t>
  </si>
  <si>
    <t>Stan Slapia</t>
  </si>
  <si>
    <t>SCHMULOVICS/ CHMELOWSKY, Abraham</t>
  </si>
  <si>
    <t>WOLFFOVICZ, Joseph</t>
  </si>
  <si>
    <t>LISCHA/ LISSA, Joseph</t>
  </si>
  <si>
    <t>MOSKOVICZ, Herschel</t>
  </si>
  <si>
    <t>Pionkow</t>
  </si>
  <si>
    <t>KHEIM, Schlom</t>
  </si>
  <si>
    <t>Koćmierzów (Samborzec), Poland</t>
  </si>
  <si>
    <t>Modliborzyce (Baćkowice), Poland</t>
  </si>
  <si>
    <t>Klimontów, Poland</t>
  </si>
  <si>
    <t>ARON, Schmul</t>
  </si>
  <si>
    <t>Klec</t>
  </si>
  <si>
    <t>MOSKOVICS, Hersl</t>
  </si>
  <si>
    <t>LEIBIS, Joachim</t>
  </si>
  <si>
    <t xml:space="preserve">Ożarów, Poland], </t>
  </si>
  <si>
    <t>LITZKOVITS, Simon</t>
  </si>
  <si>
    <t>JAKUBOVITS, Pajezek</t>
  </si>
  <si>
    <t>BAUER, Jacob</t>
  </si>
  <si>
    <t>Dolní Bolíkov, Cizkrajov, Czech Republic</t>
  </si>
  <si>
    <t>Český Rudolec, Czech Republic</t>
  </si>
  <si>
    <t>Gemeiner in IR 3</t>
  </si>
  <si>
    <t>13/01/1800</t>
  </si>
  <si>
    <t>KORZISCHEK, Efraim</t>
  </si>
  <si>
    <t>Zájezdec, Czech Republic</t>
  </si>
  <si>
    <t>Chrast, Czech Republic</t>
  </si>
  <si>
    <t>Transferred to IR 7</t>
  </si>
  <si>
    <t>28/01/1800</t>
  </si>
  <si>
    <t>FRIEDELS, Nochim</t>
  </si>
  <si>
    <t>JELLINECK, Salomon</t>
  </si>
  <si>
    <t>Ivanovice na Hané, Czech Republic</t>
  </si>
  <si>
    <t>19/01/1797</t>
  </si>
  <si>
    <t>08/03/1800</t>
  </si>
  <si>
    <t>08/03/1800 ins InvH Wien zur Versorgung</t>
  </si>
  <si>
    <t>07/01/1807 Ins InvH Prag zur Versorgung</t>
  </si>
  <si>
    <t>JELINEK, Salomon</t>
  </si>
  <si>
    <t>Roubanina, Czech Republic</t>
  </si>
  <si>
    <t>Velké Opatovice, Czech Republic</t>
  </si>
  <si>
    <t>04/04/1800</t>
  </si>
  <si>
    <t>STERN, Herschel</t>
  </si>
  <si>
    <t>Sobotište, Slovakia</t>
  </si>
  <si>
    <t>19/04/1797</t>
  </si>
  <si>
    <t>Transferred to IR 2</t>
  </si>
  <si>
    <t>GEIST, Srull</t>
  </si>
  <si>
    <t>Holoczic</t>
  </si>
  <si>
    <t>22/04/1800</t>
  </si>
  <si>
    <t>DURCHLAUFER, Jonas/ Thomas</t>
  </si>
  <si>
    <t>Transferred to IR 57</t>
  </si>
  <si>
    <t>HERSCHEL, Salomon</t>
  </si>
  <si>
    <t>Kroměříž, Czech Republic</t>
  </si>
  <si>
    <t>Pichötlich</t>
  </si>
  <si>
    <t>Prerau</t>
  </si>
  <si>
    <t>18/07/1798</t>
  </si>
  <si>
    <t>KÖSSLER, Salomon</t>
  </si>
  <si>
    <t>Jevíčko, Czech Republic</t>
  </si>
  <si>
    <t>01/01/1799</t>
  </si>
  <si>
    <t>TOCH, Jacob</t>
  </si>
  <si>
    <t>Fettin</t>
  </si>
  <si>
    <t>24/08/1813</t>
  </si>
  <si>
    <t>Unterarzt in IR 3</t>
  </si>
  <si>
    <t>GRÜN, Isack</t>
  </si>
  <si>
    <t>Local</t>
  </si>
  <si>
    <t>25/02/1814</t>
  </si>
  <si>
    <t>Gefreyter in IR 3</t>
  </si>
  <si>
    <t>WIESEL, Abraham</t>
  </si>
  <si>
    <t>Sproda</t>
  </si>
  <si>
    <t>15/10/1811</t>
  </si>
  <si>
    <t>BRACHES, Abraham</t>
  </si>
  <si>
    <t>NADEL, Hirsch</t>
  </si>
  <si>
    <t>Hody-Dobrovidka, Ukraine</t>
  </si>
  <si>
    <t>21/03/1799</t>
  </si>
  <si>
    <t>KLACK, Simon</t>
  </si>
  <si>
    <t>Transferred to IR 21</t>
  </si>
  <si>
    <t>HERZ, Leon Edler von</t>
  </si>
  <si>
    <t>01/09/1802</t>
  </si>
  <si>
    <t>15/06/1803</t>
  </si>
  <si>
    <t>Als unobligat mit Abschied entlassen</t>
  </si>
  <si>
    <t>SAMUEL, Schmull</t>
  </si>
  <si>
    <t>10/02/1801</t>
  </si>
  <si>
    <t>ROSBACHER, Mathias</t>
  </si>
  <si>
    <t>Dombrowdka</t>
  </si>
  <si>
    <t>Transferred to IR 35</t>
  </si>
  <si>
    <t>NORTH, Abraham</t>
  </si>
  <si>
    <t>Dynów, Poland</t>
  </si>
  <si>
    <t>01/07/1797</t>
  </si>
  <si>
    <t>15/06/1805</t>
  </si>
  <si>
    <t>≤29/10/1789</t>
  </si>
  <si>
    <t>DIENER, Jacob</t>
  </si>
  <si>
    <t>POLLAK, Joseph</t>
  </si>
  <si>
    <t xml:space="preserve">WEINBERGER, Süssel </t>
  </si>
  <si>
    <t>UNBEKANNT: Kam nie im Bataillon an</t>
  </si>
  <si>
    <t>Was attached to IR 3 Feld Bats</t>
  </si>
  <si>
    <t>POLLACK, Joseph</t>
  </si>
  <si>
    <t>Olbramovice (Benešov District), Czech Republic</t>
  </si>
  <si>
    <t>Vrchotovy Janovice, Czech Republic</t>
  </si>
  <si>
    <t>14/06/1798</t>
  </si>
  <si>
    <t>26/02/1804</t>
  </si>
  <si>
    <t xml:space="preserve">Aus der Festung Olmütz außer Dienst einsichtig desertiert </t>
  </si>
  <si>
    <t>04/08/1789</t>
  </si>
  <si>
    <t>GLASSER, Samuel</t>
  </si>
  <si>
    <t>Połom Duży (Nowy Wiśnicz), Poland</t>
  </si>
  <si>
    <t>Cotem</t>
  </si>
  <si>
    <t xml:space="preserve">Vom anhero Marsch aus Galizien desertiert </t>
  </si>
  <si>
    <t>31/01/1789≤</t>
  </si>
  <si>
    <t>≤27/01/1789</t>
  </si>
  <si>
    <t>UNBEKANNT: In Dienst bis mindestens 31/01/1789</t>
  </si>
  <si>
    <t>FROMM, Elias</t>
  </si>
  <si>
    <t>GROBER, Naphar</t>
  </si>
  <si>
    <t>HELD, Isac</t>
  </si>
  <si>
    <t>PFEFFER, Elzear</t>
  </si>
  <si>
    <t>SELIG, Lev</t>
  </si>
  <si>
    <t>STUMM, Joram</t>
  </si>
  <si>
    <t>JOSEPH, Isak</t>
  </si>
  <si>
    <t>13/07/1791</t>
  </si>
  <si>
    <t>KAUFMMAN, Salomon/ Joseph</t>
  </si>
  <si>
    <t>Sobolów (Łapanów), Poland</t>
  </si>
  <si>
    <t>Sanzer cenritur</t>
  </si>
  <si>
    <t>10/08/1789</t>
  </si>
  <si>
    <t>31/08/1791</t>
  </si>
  <si>
    <t>Gegen Renuncierung als untauglich mit Abschied entlassen</t>
  </si>
  <si>
    <t>SPITZ, Abraham</t>
  </si>
  <si>
    <t>23/02/1799</t>
  </si>
  <si>
    <t>≤31/08/1805</t>
  </si>
  <si>
    <t xml:space="preserve">Seit unbewusste Datum von Urlaub desertiert </t>
  </si>
  <si>
    <t>ALT, Moises</t>
  </si>
  <si>
    <t>20/10/1805</t>
  </si>
  <si>
    <t xml:space="preserve">Untauglicher halber gegen Ersatz den Unkosten und Stellung eines anderen Mannes mit Laufpass zu entlassen </t>
  </si>
  <si>
    <t>LANGMANTEL, Leiser</t>
  </si>
  <si>
    <t>15/10/1806</t>
  </si>
  <si>
    <t>MORGENSTEIN, Nahmann</t>
  </si>
  <si>
    <t>Was attached to IR 11 Feld Bats</t>
  </si>
  <si>
    <t>Was Attached to IR 4 Feld Bats</t>
  </si>
  <si>
    <t>BIRN, Moises</t>
  </si>
  <si>
    <t>FISCHER, Aron</t>
  </si>
  <si>
    <t>KUTSCHER, Jacob</t>
  </si>
  <si>
    <t>31/10/1789≤</t>
  </si>
  <si>
    <t>UNBEKANNT: In Dienst bis mindestens 31/10/1789</t>
  </si>
  <si>
    <t>≤21/03/1789</t>
  </si>
  <si>
    <t>≤30/03/1789</t>
  </si>
  <si>
    <t>DAVID, David</t>
  </si>
  <si>
    <t>SUEL, Jacob</t>
  </si>
  <si>
    <t>HERSCHMANN, Salomon</t>
  </si>
  <si>
    <t>STRICK, Benjamin</t>
  </si>
  <si>
    <t>Łaszczów, Poland</t>
  </si>
  <si>
    <t>≤17/07/1789</t>
  </si>
  <si>
    <t>≤11/09/1789</t>
  </si>
  <si>
    <t>LEBENECKER, Salomon</t>
  </si>
  <si>
    <t>GLOSS, Lasar</t>
  </si>
  <si>
    <t>KOSCHLER, David</t>
  </si>
  <si>
    <t>Praha, Czech Republic</t>
  </si>
  <si>
    <t>12/06/1789</t>
  </si>
  <si>
    <t>20/09/1791</t>
  </si>
  <si>
    <t>Auf unbstimmte Urlaub entlassen</t>
  </si>
  <si>
    <t>MOSKOWITZ, Wolf</t>
  </si>
  <si>
    <t>Kazanów, Poland</t>
  </si>
  <si>
    <t>≤30/11/1805</t>
  </si>
  <si>
    <t>SCHMULOVICZ, Leib</t>
  </si>
  <si>
    <t>Ciepielów, Poland</t>
  </si>
  <si>
    <t>GLÜCKSMANN, Moyses</t>
  </si>
  <si>
    <t>OCHS, Menasses</t>
  </si>
  <si>
    <t>01/11/1805</t>
  </si>
  <si>
    <t>MEERBART, Abraham</t>
  </si>
  <si>
    <t>10/11/1806</t>
  </si>
  <si>
    <t>BELZ, Leib</t>
  </si>
  <si>
    <t>SMUKLER, Sakaria</t>
  </si>
  <si>
    <t>13/02/1806</t>
  </si>
  <si>
    <t>Zu Caschau gestorben</t>
  </si>
  <si>
    <t>SCHEER, Menasche</t>
  </si>
  <si>
    <t>17/08/1805</t>
  </si>
  <si>
    <t>STELLER, Leib</t>
  </si>
  <si>
    <t>10/09/1805</t>
  </si>
  <si>
    <t>GELBER, Moises</t>
  </si>
  <si>
    <t>BERGER, Herz</t>
  </si>
  <si>
    <t>10/06/1806</t>
  </si>
  <si>
    <t>Als Schwächling mit Laufpass entlassen</t>
  </si>
  <si>
    <t xml:space="preserve">Von 5.-tägige Urlaub desertiert </t>
  </si>
  <si>
    <t>13/04/1806</t>
  </si>
  <si>
    <t>25/10/1805</t>
  </si>
  <si>
    <t>Nová Ulice (Olomouc), Czech Republic</t>
  </si>
  <si>
    <t>Olomouc, Czech Republic</t>
  </si>
  <si>
    <t>SCHÄFF, Isack</t>
  </si>
  <si>
    <t>WASIMANN, Moyses</t>
  </si>
  <si>
    <t>22/01/1806</t>
  </si>
  <si>
    <t xml:space="preserve">Während Anmarsch von Galizien gestorben </t>
  </si>
  <si>
    <t>Teofipilka (Kozova), Ukraine</t>
  </si>
  <si>
    <t>KLEIN, Hönig</t>
  </si>
  <si>
    <t>STEISLEINWAND, Israel</t>
  </si>
  <si>
    <t>BUDING, Moyses</t>
  </si>
  <si>
    <t>Szerczen</t>
  </si>
  <si>
    <t>In 11/1805</t>
  </si>
  <si>
    <t>BEITEL, Jacob</t>
  </si>
  <si>
    <t>FUSS, Jochel</t>
  </si>
  <si>
    <t>HEUSCHEBER, Moises</t>
  </si>
  <si>
    <t>HUBER, Harschel</t>
  </si>
  <si>
    <t>25/10/1790</t>
  </si>
  <si>
    <t>Was attached to IR 8</t>
  </si>
  <si>
    <t>ABRAHAM, Joseph</t>
  </si>
  <si>
    <t>Izbica, Poland</t>
  </si>
  <si>
    <t>09/05/1797</t>
  </si>
  <si>
    <t>09/08/1805</t>
  </si>
  <si>
    <t>MORTEL, Herschel</t>
  </si>
  <si>
    <t>20/02/1801</t>
  </si>
  <si>
    <t>Rybotycze, Poland</t>
  </si>
  <si>
    <t>HAFTUR, Hirschamann</t>
  </si>
  <si>
    <t>GOTTLIEB, Abraham</t>
  </si>
  <si>
    <t>WEISS, Isak</t>
  </si>
  <si>
    <t>Plumlov, Czech Republic</t>
  </si>
  <si>
    <t>10/08/1803</t>
  </si>
  <si>
    <t xml:space="preserve">Nach geflogenen Einvernehmen mit dem betroffenen Kreisamt auf Steuerbare Wirtschaft entlassen </t>
  </si>
  <si>
    <t>17/04/1799</t>
  </si>
  <si>
    <t>Kojetín, Czech Republic</t>
  </si>
  <si>
    <t>GRÜNHUT, Jakob</t>
  </si>
  <si>
    <t>Wegen aufhabender Defekten und kurzer Dienstzeit mit Laufpaß entlassen</t>
  </si>
  <si>
    <t>WOLFF, Isak</t>
  </si>
  <si>
    <t>FISCHER, Isak</t>
  </si>
  <si>
    <t>25/09/1799</t>
  </si>
  <si>
    <t>12/06/1799</t>
  </si>
  <si>
    <t>ROSENZWEIG, Chaim</t>
  </si>
  <si>
    <t>05/10/1797</t>
  </si>
  <si>
    <t>Vermog hoher Verordnung mit Abschied entlassen</t>
  </si>
  <si>
    <t>JACOBOVICZ, Joseph</t>
  </si>
  <si>
    <t>MOSKOWITZ, Isak</t>
  </si>
  <si>
    <t>Turka (Lviv Oblast), Ukraine</t>
  </si>
  <si>
    <t>03/08/1796</t>
  </si>
  <si>
    <t>≤07/12/1799</t>
  </si>
  <si>
    <t>Conscript for Moravia, but born in Galicia</t>
  </si>
  <si>
    <t>LASES, Michael</t>
  </si>
  <si>
    <t>15/09/1799</t>
  </si>
  <si>
    <t>15/02/1802</t>
  </si>
  <si>
    <t>NOSENOVICZ, Mayer</t>
  </si>
  <si>
    <t>Gärber</t>
  </si>
  <si>
    <t>15/08/1797</t>
  </si>
  <si>
    <t>wegen Untauglichkeit und kurzer Dienstzeit mit Laufpaß entlassen</t>
  </si>
  <si>
    <t>WIENER/ Juda/ Isack</t>
  </si>
  <si>
    <t>Melise</t>
  </si>
  <si>
    <t>Kselup</t>
  </si>
  <si>
    <t>31/10/1797≤</t>
  </si>
  <si>
    <t>Conscript born at a different Province</t>
  </si>
  <si>
    <t>BRUNNER, Mortke</t>
  </si>
  <si>
    <t>17/01/1797</t>
  </si>
  <si>
    <t>STÖCKELN, Lazar</t>
  </si>
  <si>
    <t>BROD, David/ Daniel</t>
  </si>
  <si>
    <t>25/03/1797</t>
  </si>
  <si>
    <t xml:space="preserve">In Spital zu Olmütz gestorben </t>
  </si>
  <si>
    <t>KOPP, Joseph</t>
  </si>
  <si>
    <t>Brandýs nad Orlicí, Czech Republic</t>
  </si>
  <si>
    <t>Kammeral</t>
  </si>
  <si>
    <t>29/08/1796</t>
  </si>
  <si>
    <t>15/07/1798</t>
  </si>
  <si>
    <t>DAVIDOVICZ, Leib</t>
  </si>
  <si>
    <t>DAVIDOVICZ, Kalmann</t>
  </si>
  <si>
    <t>KOHN, Fischel/ Herschel</t>
  </si>
  <si>
    <t>Kawice, Poland</t>
  </si>
  <si>
    <t>Preußisches Schlesien</t>
  </si>
  <si>
    <t>ROCH, Jermias</t>
  </si>
  <si>
    <t>Jarczów, Poland</t>
  </si>
  <si>
    <t>04/06/1799</t>
  </si>
  <si>
    <t>KALB, Jankel</t>
  </si>
  <si>
    <t>29/08/1799</t>
  </si>
  <si>
    <t>HERSCHKOVIZ, Nochim</t>
  </si>
  <si>
    <t>25/03/1799</t>
  </si>
  <si>
    <t>In der Affaire bei Liptingen [Battle of Stockach] in französische Kriegsgefangenschaft</t>
  </si>
  <si>
    <t>SCHWARZ, Löwel</t>
  </si>
  <si>
    <t>Kozłów (Kąty Wrocławskie), Wrocław County, Poland</t>
  </si>
  <si>
    <t>09/01/1797</t>
  </si>
  <si>
    <t xml:space="preserve">Aus der Station Brünst desertiert </t>
  </si>
  <si>
    <t>HOCHWALD, Johann</t>
  </si>
  <si>
    <t>10/01/1802</t>
  </si>
  <si>
    <t>CZECH, Abraham</t>
  </si>
  <si>
    <t>30/01/1802</t>
  </si>
  <si>
    <t>SCHÜTZ, David</t>
  </si>
  <si>
    <t>BEITEL/BEUDELN, Herschel</t>
  </si>
  <si>
    <t>PASS/BASS, Salomon</t>
  </si>
  <si>
    <t>Auf Steuerbare Wirtschaft mit Abschied entlassen</t>
  </si>
  <si>
    <t>KÜWE, Leib</t>
  </si>
  <si>
    <t>Kozova, Ukraine</t>
  </si>
  <si>
    <t>30/04/1807</t>
  </si>
  <si>
    <t>HIRSCH, Moises</t>
  </si>
  <si>
    <t>Narayiv, Ukraine</t>
  </si>
  <si>
    <t>ZWEIG, Herschel</t>
  </si>
  <si>
    <t>12/03/1797</t>
  </si>
  <si>
    <t>05/04/1807</t>
  </si>
  <si>
    <t>Als Reale Invalid mit dienst Gratiale 24Fl 15Xr mit Abschied entlassen</t>
  </si>
  <si>
    <t>STUMM, Israel</t>
  </si>
  <si>
    <t>12/11/1798</t>
  </si>
  <si>
    <t>Als Reale Invalid ohne Gratiale mit Abschied entlassen</t>
  </si>
  <si>
    <t>Was conscripted Twice</t>
  </si>
  <si>
    <t>≤31/10/1790</t>
  </si>
  <si>
    <t>BALMER/ PALMER, Samuel</t>
  </si>
  <si>
    <t>GOLDSTEIN, Aron</t>
  </si>
  <si>
    <t>GRUSFELD, KREISFELD, Joseph</t>
  </si>
  <si>
    <t>ISAAC, Joachim</t>
  </si>
  <si>
    <t>SPRINGER, Itzig</t>
  </si>
  <si>
    <t>30/04/1791≤</t>
  </si>
  <si>
    <t>UNBEKANNT: In Dienst bis mindestens 30/04/1791</t>
  </si>
  <si>
    <t>FALK, Joseph</t>
  </si>
  <si>
    <t>01/03/1806</t>
  </si>
  <si>
    <t>SPRINGER, Elias</t>
  </si>
  <si>
    <t>Transferred to GK Krain</t>
  </si>
  <si>
    <t>LEWNER, Samuel</t>
  </si>
  <si>
    <t>Mielec, Poland</t>
  </si>
  <si>
    <t>24/09/1808</t>
  </si>
  <si>
    <t>BARBIER, Daniel</t>
  </si>
  <si>
    <t>Als Angehöriger der angetretenen Provinzen mit Abschied entlassen</t>
  </si>
  <si>
    <t>KNIE, Schaye</t>
  </si>
  <si>
    <t>Dębica, Poland</t>
  </si>
  <si>
    <t>22/09/1808</t>
  </si>
  <si>
    <t>Koryčany, Czech Republic</t>
  </si>
  <si>
    <t>26/04/1809</t>
  </si>
  <si>
    <t>Als Untauglich entlassen</t>
  </si>
  <si>
    <t>12/08/1805</t>
  </si>
  <si>
    <t>25/08/1810</t>
  </si>
  <si>
    <t>PERLMANN. Thomas</t>
  </si>
  <si>
    <t>Drhovy, Czech Republic</t>
  </si>
  <si>
    <t>Dobříš, Czech Republic</t>
  </si>
  <si>
    <t>10/12/1813</t>
  </si>
  <si>
    <t>FJB 1</t>
  </si>
  <si>
    <t>Gemeiner in FJB 1</t>
  </si>
  <si>
    <t>08/07/1805</t>
  </si>
  <si>
    <t>HIRSCH, Joseph</t>
  </si>
  <si>
    <t>25/07/1805</t>
  </si>
  <si>
    <t>SCHÜTZ, Sisskind</t>
  </si>
  <si>
    <t>MAYER, Bernhard</t>
  </si>
  <si>
    <t>Hohebach (Dörzbach), Germany</t>
  </si>
  <si>
    <t>Hohenlohe-Öhringen</t>
  </si>
  <si>
    <t>19/09/1804</t>
  </si>
  <si>
    <t>KOPSCHINIKER Daniel/ KUPZINZER, Amsel</t>
  </si>
  <si>
    <t>15/02/1810</t>
  </si>
  <si>
    <t>BLARSCHEK, Ignatz</t>
  </si>
  <si>
    <t>Kyjov, Czech Republic</t>
  </si>
  <si>
    <t>21/08/1809</t>
  </si>
  <si>
    <t>20/09/1809</t>
  </si>
  <si>
    <t>KUNSTLICH, Wolf</t>
  </si>
  <si>
    <t>Tarnobrzeg, Poland</t>
  </si>
  <si>
    <t>Dzików (Tarnobrzeg), Poland</t>
  </si>
  <si>
    <t xml:space="preserve">Von der Station Nadbrzesze desertiert </t>
  </si>
  <si>
    <t>STERN, Chaim/Karl</t>
  </si>
  <si>
    <t>20/04/1809</t>
  </si>
  <si>
    <r>
      <t xml:space="preserve">Bei Kloster Rohr </t>
    </r>
    <r>
      <rPr>
        <b/>
        <sz val="12"/>
        <color theme="1"/>
        <rFont val="Calibri"/>
        <family val="2"/>
        <scheme val="minor"/>
      </rPr>
      <t>[Schlacht von Abensberg]</t>
    </r>
    <r>
      <rPr>
        <sz val="12"/>
        <color theme="1"/>
        <rFont val="Calibri"/>
        <family val="2"/>
        <scheme val="minor"/>
      </rPr>
      <t xml:space="preserve"> in Kriegsgefangenschaft gefallen </t>
    </r>
  </si>
  <si>
    <t>ELIAS, Hersch</t>
  </si>
  <si>
    <t>MOISCHE, Schloima</t>
  </si>
  <si>
    <t>Wojsław (Mielec), Poland</t>
  </si>
  <si>
    <t>JELLINEK, Franz</t>
  </si>
  <si>
    <t>Tovačov, Czech Republic</t>
  </si>
  <si>
    <t xml:space="preserve">Von Marsch nach Regiment desertiert </t>
  </si>
  <si>
    <t>SZELLMANN, Abraham</t>
  </si>
  <si>
    <t>Hosva</t>
  </si>
  <si>
    <t>09/01/1809</t>
  </si>
  <si>
    <t>Mátészalka, Hungary</t>
  </si>
  <si>
    <t>IZAK, Franz</t>
  </si>
  <si>
    <t>02/12/1809</t>
  </si>
  <si>
    <t>Cărășeu,  Romania</t>
  </si>
  <si>
    <t>BRUCKSTEIN, Moyses</t>
  </si>
  <si>
    <t>26/09/1809</t>
  </si>
  <si>
    <t>GOTTLIEB, Seelig</t>
  </si>
  <si>
    <t>Bilshivtsi, Ukraine</t>
  </si>
  <si>
    <t>16/08/1805</t>
  </si>
  <si>
    <r>
      <t xml:space="preserve">Bei der </t>
    </r>
    <r>
      <rPr>
        <b/>
        <sz val="12"/>
        <color theme="1"/>
        <rFont val="Calibri"/>
        <family val="2"/>
        <scheme val="minor"/>
      </rPr>
      <t>Bestürmung von Festung Sandomierz</t>
    </r>
    <r>
      <rPr>
        <sz val="12"/>
        <color theme="1"/>
        <rFont val="Calibri"/>
        <family val="2"/>
        <scheme val="minor"/>
      </rPr>
      <t xml:space="preserve"> zum Feind übergeben waren </t>
    </r>
  </si>
  <si>
    <t>SINGERHUT, Hersch</t>
  </si>
  <si>
    <t>KROPER, Moyses</t>
  </si>
  <si>
    <t>KLEINMANN, Abraham</t>
  </si>
  <si>
    <t>Sędziszów Małopolski, Poland</t>
  </si>
  <si>
    <t>STROCH, David</t>
  </si>
  <si>
    <t>Was attached to IR 51 Feld Bats</t>
  </si>
  <si>
    <t>VAGER, Joseph</t>
  </si>
  <si>
    <t>WEIZEN, Löwel</t>
  </si>
  <si>
    <t>Hollenov</t>
  </si>
  <si>
    <t>Ditsinrinisow</t>
  </si>
  <si>
    <t>MESSEN, Salomon</t>
  </si>
  <si>
    <t>Niziny</t>
  </si>
  <si>
    <t>Ostrówek (Gawłuszowice), Poland</t>
  </si>
  <si>
    <t>FRÖHLICH, Laib</t>
  </si>
  <si>
    <t>GERSTEN, Moyses</t>
  </si>
  <si>
    <t>24/02/1809</t>
  </si>
  <si>
    <t>ZUCKERBORD, Schlome</t>
  </si>
  <si>
    <t>Trzęsówka (Cmolas), Poland</t>
  </si>
  <si>
    <t>08/05/1809</t>
  </si>
  <si>
    <t>HILDSHEIM, Aron</t>
  </si>
  <si>
    <t>Svitavy, Czech Republic</t>
  </si>
  <si>
    <t>Mírov, Czech Republic</t>
  </si>
  <si>
    <r>
      <t xml:space="preserve">In der </t>
    </r>
    <r>
      <rPr>
        <b/>
        <sz val="12"/>
        <color theme="1"/>
        <rFont val="Calibri"/>
        <family val="2"/>
        <scheme val="minor"/>
      </rPr>
      <t>Schlacht bei Deutsch Wagram</t>
    </r>
    <r>
      <rPr>
        <sz val="12"/>
        <color theme="1"/>
        <rFont val="Calibri"/>
        <family val="2"/>
        <scheme val="minor"/>
      </rPr>
      <t xml:space="preserve"> unwissend verloren </t>
    </r>
  </si>
  <si>
    <t>KULKE, Nathan</t>
  </si>
  <si>
    <t>Lipník nad Bečvou, Czech Republic</t>
  </si>
  <si>
    <t>07/08/1799</t>
  </si>
  <si>
    <t>DIMER, Hersch</t>
  </si>
  <si>
    <t>In 08/1808</t>
  </si>
  <si>
    <t>UNBEKANNT: Kommt nicht in den aktiven Dienst</t>
  </si>
  <si>
    <t>SIEBE, Marcus</t>
  </si>
  <si>
    <t>SILBER, Berl</t>
  </si>
  <si>
    <t>ZANGER, Selig</t>
  </si>
  <si>
    <t>25/10/1811</t>
  </si>
  <si>
    <t>26/10/1811 Zu Tyrnau InvH als Reale Invalid zur Versorgung</t>
  </si>
  <si>
    <t>DURST, Itzig/ Elias</t>
  </si>
  <si>
    <t>Zimmermann</t>
  </si>
  <si>
    <t>≤31/10/1812</t>
  </si>
  <si>
    <t xml:space="preserve">Mit unbewusste Datum von Urlaub in Galizien desertiert </t>
  </si>
  <si>
    <t>ZINDER, Enoch</t>
  </si>
  <si>
    <t>Rozwadów (Stalowa Wola), Poland]</t>
  </si>
  <si>
    <t>09/02/1809</t>
  </si>
  <si>
    <t>SPRINGER, Lebel</t>
  </si>
  <si>
    <t>ZUPFERER, Salomon</t>
  </si>
  <si>
    <t>01/08/1789</t>
  </si>
  <si>
    <t>JUDAS, Johann</t>
  </si>
  <si>
    <t>≤01/11/1790</t>
  </si>
  <si>
    <t>≤31/01/1791</t>
  </si>
  <si>
    <t xml:space="preserve">Was attached to IR 26 </t>
  </si>
  <si>
    <t>GEIGER, Ures</t>
  </si>
  <si>
    <t>SCHWATZER, Itzig</t>
  </si>
  <si>
    <t>STAHL, Leiser</t>
  </si>
  <si>
    <t>≤21/06/1789</t>
  </si>
  <si>
    <t>Attached to IR 26 Feld Bats</t>
  </si>
  <si>
    <t>Attached to IR 11 Feld Bats</t>
  </si>
  <si>
    <t>01/05/1813</t>
  </si>
  <si>
    <t>Otfinów (Żabno), Poland</t>
  </si>
  <si>
    <t>ABRAHAMOWITZ, Karl</t>
  </si>
  <si>
    <t>14/05/1813</t>
  </si>
  <si>
    <t>IR 12</t>
  </si>
  <si>
    <t>BARTALLER, Mandel</t>
  </si>
  <si>
    <t>UNBEKANNT: In Dienst bis mindestens 30/04/1790</t>
  </si>
  <si>
    <t>30/04/1790≤</t>
  </si>
  <si>
    <t>31/10/1790≤</t>
  </si>
  <si>
    <t>UNBEKANNT: In Dienst bis mindestens 31/10/1790</t>
  </si>
  <si>
    <t>KLIPSTEIN, Efraim</t>
  </si>
  <si>
    <t>01/10/1788</t>
  </si>
  <si>
    <t>In 03/1789</t>
  </si>
  <si>
    <t>LEOBEL, Israel</t>
  </si>
  <si>
    <t>Genzan</t>
  </si>
  <si>
    <t>Attached to IR 27 3rd Bat</t>
  </si>
  <si>
    <t>EISLER, Gabriel</t>
  </si>
  <si>
    <t>Nečeradec, Czech Republic</t>
  </si>
  <si>
    <t>24/09/1809</t>
  </si>
  <si>
    <t>FJB 4</t>
  </si>
  <si>
    <t>Gemeiner in FJB 4</t>
  </si>
  <si>
    <t>Prachin</t>
  </si>
  <si>
    <t>WOCZASEK, Joseph</t>
  </si>
  <si>
    <t>Smetanova Lhota, Czech Republic</t>
  </si>
  <si>
    <t>Čimelice, Czech Republic</t>
  </si>
  <si>
    <t>IR 25</t>
  </si>
  <si>
    <t>Transferred to FAR 4</t>
  </si>
  <si>
    <t>POLLACK, Jakob</t>
  </si>
  <si>
    <t>Babowitz</t>
  </si>
  <si>
    <t>01/06/1813</t>
  </si>
  <si>
    <t>FJB 7</t>
  </si>
  <si>
    <t>Patrouillenführer in FJB 7</t>
  </si>
  <si>
    <t>FEIDEL, Joseph</t>
  </si>
  <si>
    <t>≤11/02/1789</t>
  </si>
  <si>
    <t>Was attached to IR 23 Feld Bats</t>
  </si>
  <si>
    <t>≤11/06/1789</t>
  </si>
  <si>
    <t>SCHNEIDER, Herschel</t>
  </si>
  <si>
    <t>KOTSCHY, Israel</t>
  </si>
  <si>
    <t>BLUM, Jacob</t>
  </si>
  <si>
    <t>SPAZENECKER, Joseph</t>
  </si>
  <si>
    <t>≤16/04/1789</t>
  </si>
  <si>
    <t>WOLF, Benjamin</t>
  </si>
  <si>
    <t>BRENNER, Hirschel</t>
  </si>
  <si>
    <t>≤06/02/1790</t>
  </si>
  <si>
    <t>HEROSZ, Izig</t>
  </si>
  <si>
    <t>≤26/02/1789</t>
  </si>
  <si>
    <t>ISLER, David</t>
  </si>
  <si>
    <t>HAYD, Hirschel</t>
  </si>
  <si>
    <t>BLEY/ PLEY, Jakob</t>
  </si>
  <si>
    <t>28/01/1790</t>
  </si>
  <si>
    <t>31/10/1791</t>
  </si>
  <si>
    <t>RITTER, Marc</t>
  </si>
  <si>
    <t>25/10/1810</t>
  </si>
  <si>
    <t>KENDEL/RANDEL, Jakob</t>
  </si>
  <si>
    <t>Ordination</t>
  </si>
  <si>
    <t>06/03/1807</t>
  </si>
  <si>
    <t>≤21/04/1790</t>
  </si>
  <si>
    <t>SPITZ, David</t>
  </si>
  <si>
    <t>WOLFF, Salomon</t>
  </si>
  <si>
    <t>12/11/1790</t>
  </si>
  <si>
    <t>Was attached to IR 13 Feld Bats</t>
  </si>
  <si>
    <t>CUDEK, Simon</t>
  </si>
  <si>
    <t>Jarnice (Liw), Poland</t>
  </si>
  <si>
    <t>19/08/1805</t>
  </si>
  <si>
    <t>Transferred to ArtHandK</t>
  </si>
  <si>
    <t>MOSKOWITZ, Jakob/ Simche</t>
  </si>
  <si>
    <t>In Krakau gestorben</t>
  </si>
  <si>
    <t>FENDRICH, Johann</t>
  </si>
  <si>
    <t>Hrušová,Czech Republic</t>
  </si>
  <si>
    <t>Litomyšl, Czech Republic</t>
  </si>
  <si>
    <t>29/02/1808</t>
  </si>
  <si>
    <t>Als ausgedienter Inländer Mit Abschied entlassen</t>
  </si>
  <si>
    <t>c. 09/1806</t>
  </si>
  <si>
    <t>SCHNAPPER, Aron</t>
  </si>
  <si>
    <t>Lysets, Ukraine</t>
  </si>
  <si>
    <t>12/09/1810</t>
  </si>
  <si>
    <t>Als augedienter Veteran mit Abschied entlassen</t>
  </si>
  <si>
    <t>Grodzisko Dolne, Poland</t>
  </si>
  <si>
    <t>ArtHandK</t>
  </si>
  <si>
    <t>BODOSSKY, Lazar/ Martin</t>
  </si>
  <si>
    <t>Paseky (Písek District)), Czech Republic</t>
  </si>
  <si>
    <t>Transferred to IR 25</t>
  </si>
  <si>
    <t>BIENENSTOCK, Joseph</t>
  </si>
  <si>
    <t>BAUNER, Jakob</t>
  </si>
  <si>
    <t>Lubaczów, Poland</t>
  </si>
  <si>
    <t>Transferred to IR 40</t>
  </si>
  <si>
    <t>SCHNEIDER, Salomon</t>
  </si>
  <si>
    <t>Gemeiner in ArtHandK</t>
  </si>
  <si>
    <t>SEIFFER, Benjamin</t>
  </si>
  <si>
    <t>Ustrzyki Dolne, Poland</t>
  </si>
  <si>
    <t>STABLER, David</t>
  </si>
  <si>
    <t>ZIEGENBOCK, Hersch</t>
  </si>
  <si>
    <t>Bircza, Poland</t>
  </si>
  <si>
    <t>BIRCZ, Joseph</t>
  </si>
  <si>
    <t>Polana (Czarna), Poland</t>
  </si>
  <si>
    <t>Leobrad</t>
  </si>
  <si>
    <t>LEIBOWITZ, Abraham</t>
  </si>
  <si>
    <t>Chrewt (Czarna), Poland</t>
  </si>
  <si>
    <t>LUX, David</t>
  </si>
  <si>
    <t>WOLFOWICZ, Schmul</t>
  </si>
  <si>
    <t>Stril'bychi, Ukraine</t>
  </si>
  <si>
    <t>GABINGER, Hirsch</t>
  </si>
  <si>
    <t>02/12/1792</t>
  </si>
  <si>
    <t>BEELECH, Michael</t>
  </si>
  <si>
    <t>Zaleska Wola (Radymno), Poland</t>
  </si>
  <si>
    <t>13/06/1793</t>
  </si>
  <si>
    <t>28/03/1808</t>
  </si>
  <si>
    <t>SEEMAN, Michael</t>
  </si>
  <si>
    <t>Olszewice (Kałuszyn) Poland</t>
  </si>
  <si>
    <t>22/07/1805</t>
  </si>
  <si>
    <t>JUDKOWITZ, Victor</t>
  </si>
  <si>
    <t>25/12/1807</t>
  </si>
  <si>
    <t>MAYER, Wenzel</t>
  </si>
  <si>
    <t>Těšetice (Bochov), Czech Republic</t>
  </si>
  <si>
    <t>Stružná, Czech Republic</t>
  </si>
  <si>
    <t>10/09/1795</t>
  </si>
  <si>
    <t>15/06/1808</t>
  </si>
  <si>
    <t>POLICEY</t>
  </si>
  <si>
    <t>PW Wien</t>
  </si>
  <si>
    <t>Invaliden Haus/ Policey</t>
  </si>
  <si>
    <t>16/05/1808: Zu Wiener Policey Wache</t>
  </si>
  <si>
    <t>31/08/1808≤</t>
  </si>
  <si>
    <t>SCHMULOWIECZ, Jacob/ Jankiel/ Samuel</t>
  </si>
  <si>
    <t>Życzyn (Trojanów), Poland</t>
  </si>
  <si>
    <t>26/11/1806</t>
  </si>
  <si>
    <t>31/08/1807≤</t>
  </si>
  <si>
    <t>LEISER, Isaak</t>
  </si>
  <si>
    <t>15/10/1805</t>
  </si>
  <si>
    <t>HERSCH/ HIRSCH, Abraham</t>
  </si>
  <si>
    <t>Lipiny ((Zbuczyn) Poland</t>
  </si>
  <si>
    <t>ILKOWICZ, Nachmann</t>
  </si>
  <si>
    <t>ARONOWICZ, Saul</t>
  </si>
  <si>
    <t>MOSKOWITZ, Jakob</t>
  </si>
  <si>
    <t>Kuflew (Mrozy), Poland</t>
  </si>
  <si>
    <t>MARKOWITZ/ MORDCHOWICZ, Herschel</t>
  </si>
  <si>
    <t>ABRAHAMOWICZ, Jacob</t>
  </si>
  <si>
    <t>BERKOWITZ, Abraham</t>
  </si>
  <si>
    <t>Górzno (Masovian Voivodeship), Poland</t>
  </si>
  <si>
    <t>WOLFF, Joseph</t>
  </si>
  <si>
    <t>03/09/1808</t>
  </si>
  <si>
    <t>BUCHS, Moises</t>
  </si>
  <si>
    <t>03/03/1807</t>
  </si>
  <si>
    <t>10/04/1813</t>
  </si>
  <si>
    <t>HERSCHEL, David</t>
  </si>
  <si>
    <t>24/05/1813</t>
  </si>
  <si>
    <t>Transferred to IR 15</t>
  </si>
  <si>
    <t>LASES, Moyses</t>
  </si>
  <si>
    <t>20/06/1813</t>
  </si>
  <si>
    <t>POLLAK, Markus</t>
  </si>
  <si>
    <t>Handelsjud</t>
  </si>
  <si>
    <t>GRÜNWALD, Joseph</t>
  </si>
  <si>
    <t>Arafta</t>
  </si>
  <si>
    <t>Kalmzser</t>
  </si>
  <si>
    <t>01/12/1813</t>
  </si>
  <si>
    <t>13/05/1819</t>
  </si>
  <si>
    <t>FJB 9</t>
  </si>
  <si>
    <t>RAPHAY, Joseph Mandel</t>
  </si>
  <si>
    <t>Hýsly, Czech Republic</t>
  </si>
  <si>
    <t>Horní Moštěnice, Czech Republic</t>
  </si>
  <si>
    <t>03/05/1813</t>
  </si>
  <si>
    <t>JOSEPH, Samuel</t>
  </si>
  <si>
    <t>08/06/1812</t>
  </si>
  <si>
    <t>Koszyce Wielkie (Tarnów), Poland</t>
  </si>
  <si>
    <t>PEDLEWER, Leib</t>
  </si>
  <si>
    <t>LEIBEL, Itzig</t>
  </si>
  <si>
    <t>Grabówka (Tarnów), Poland</t>
  </si>
  <si>
    <t>Transferred to IR 63</t>
  </si>
  <si>
    <t>Gemeiner in GK OÖ</t>
  </si>
  <si>
    <t>STURM, Itzig/ Johann</t>
  </si>
  <si>
    <t>06/09/1805</t>
  </si>
  <si>
    <t>WEHNER/WIENER, Isak</t>
  </si>
  <si>
    <t>GURMANN, Jacob/ DUCHMANN, Jankew</t>
  </si>
  <si>
    <t>15/08/1810</t>
  </si>
  <si>
    <t>STIPEAN, Franz</t>
  </si>
  <si>
    <t>IR 17</t>
  </si>
  <si>
    <t>Hrabivnytsya, Ukraine</t>
  </si>
  <si>
    <r>
      <t xml:space="preserve">In Rückzug gegen </t>
    </r>
    <r>
      <rPr>
        <b/>
        <sz val="12"/>
        <color theme="1"/>
        <rFont val="Calibri"/>
        <family val="2"/>
        <scheme val="minor"/>
      </rPr>
      <t>Znaym</t>
    </r>
    <r>
      <rPr>
        <sz val="12"/>
        <color theme="1"/>
        <rFont val="Calibri"/>
        <family val="2"/>
        <scheme val="minor"/>
      </rPr>
      <t xml:space="preserve"> unwissend verloren </t>
    </r>
  </si>
  <si>
    <t>Gegen Konzession [auf Steuerbare Wirtschaft] mit Abschied entlassen</t>
  </si>
  <si>
    <t>Wazawey</t>
  </si>
  <si>
    <t>ALTVATTER, Marcus</t>
  </si>
  <si>
    <t>KNECHT, Isak</t>
  </si>
  <si>
    <t>Chortkiw, Ukraine</t>
  </si>
  <si>
    <t>≤10/04/1789</t>
  </si>
  <si>
    <t>Was attached to IR 49 Feld Bats</t>
  </si>
  <si>
    <t>FISCHEL, Leibel/ HIRSCHEL, Leo</t>
  </si>
  <si>
    <t>≤10/06/1789</t>
  </si>
  <si>
    <t>BRACH, David</t>
  </si>
  <si>
    <t>SOLAMOWITSCH, Isak</t>
  </si>
  <si>
    <t>Wieliczka, Poland</t>
  </si>
  <si>
    <t>HOLZER, Jacob</t>
  </si>
  <si>
    <t>KUHN, Moyses</t>
  </si>
  <si>
    <t>SCHALA/ Jacob/Joseph/ PODGURSKY, Franz</t>
  </si>
  <si>
    <t>25/12/1818</t>
  </si>
  <si>
    <t>Komarówka Podlaska, Poland</t>
  </si>
  <si>
    <t>27/09/1810</t>
  </si>
  <si>
    <t>HIRSCH, Itzig</t>
  </si>
  <si>
    <t>CL 2</t>
  </si>
  <si>
    <t>PORTNER, Mayer</t>
  </si>
  <si>
    <t>Strzyżów, Poland</t>
  </si>
  <si>
    <t>01/01/1806</t>
  </si>
  <si>
    <t>12/10/1808</t>
  </si>
  <si>
    <t>DICKER, Lewi [Lorenz]</t>
  </si>
  <si>
    <t>31/08/1812</t>
  </si>
  <si>
    <t>ABRAHAM, Simon</t>
  </si>
  <si>
    <t>Attached to IR 50 Feld Bats</t>
  </si>
  <si>
    <t>≤21/01/1790</t>
  </si>
  <si>
    <t>SCHWAMM, Mendel</t>
  </si>
  <si>
    <t>21/01/1790≤</t>
  </si>
  <si>
    <t>UNBEKANNT: In Dienst bis mindestens 21/01/1790</t>
  </si>
  <si>
    <t>≤05/09/1790</t>
  </si>
  <si>
    <t>SCHÖNN, Moyses</t>
  </si>
  <si>
    <t>≤05/09/1814</t>
  </si>
  <si>
    <t>FJB 11</t>
  </si>
  <si>
    <t>GRAUAUG, August</t>
  </si>
  <si>
    <t>Brauer</t>
  </si>
  <si>
    <t>Gemeiner in FJB 11</t>
  </si>
  <si>
    <t>SCHÖN, Jacob/ Konstantin</t>
  </si>
  <si>
    <t>Velké Meziříčí, Czech Republic</t>
  </si>
  <si>
    <t>Judengemeinde</t>
  </si>
  <si>
    <t>01/07/1813</t>
  </si>
  <si>
    <t>FJB 12</t>
  </si>
  <si>
    <t>Gemeiner in FJB 12</t>
  </si>
  <si>
    <t>TISCHLEWITZ, David</t>
  </si>
  <si>
    <t>Seidenwirker</t>
  </si>
  <si>
    <t>Transferred to IR 36</t>
  </si>
  <si>
    <t>KOHLBAUER, Marcus</t>
  </si>
  <si>
    <r>
      <t xml:space="preserve">Auf dem </t>
    </r>
    <r>
      <rPr>
        <b/>
        <sz val="12"/>
        <color theme="1"/>
        <rFont val="Calibri"/>
        <family val="2"/>
        <scheme val="minor"/>
      </rPr>
      <t>Marsch bei der Wischau</t>
    </r>
    <r>
      <rPr>
        <sz val="12"/>
        <color theme="1"/>
        <rFont val="Calibri"/>
        <family val="2"/>
        <scheme val="minor"/>
      </rPr>
      <t xml:space="preserve"> vermisst</t>
    </r>
  </si>
  <si>
    <t xml:space="preserve">FISCHER, Süßmann </t>
  </si>
  <si>
    <t>Česká Lípa, Czech Repubic</t>
  </si>
  <si>
    <t>02/08/1805</t>
  </si>
  <si>
    <t>Transferred to IR 18</t>
  </si>
  <si>
    <t>Transferred to IR 11</t>
  </si>
  <si>
    <t>22/06/1813</t>
  </si>
  <si>
    <t>BIBER, Schill</t>
  </si>
  <si>
    <t>HILLER, Heim</t>
  </si>
  <si>
    <t>Rusakow</t>
  </si>
  <si>
    <t>SCHIMECK, Salomon</t>
  </si>
  <si>
    <t>Víceměřice, Czech Republic</t>
  </si>
  <si>
    <t>23/09/1813</t>
  </si>
  <si>
    <t>09/12/1813</t>
  </si>
  <si>
    <t>HOCHBERGER, Herschel</t>
  </si>
  <si>
    <t>18/09/1813</t>
  </si>
  <si>
    <t>28/02/1814</t>
  </si>
  <si>
    <t>Aus der Station ne Sandetz desertiert</t>
  </si>
  <si>
    <t>POLLACK, Mandel</t>
  </si>
  <si>
    <t>25/04/1814</t>
  </si>
  <si>
    <t>Kanonenkreuz?</t>
  </si>
  <si>
    <t>DRUCKER, Wolf</t>
  </si>
  <si>
    <t>15/07/1813</t>
  </si>
  <si>
    <t>FLÜNGER, Lebel</t>
  </si>
  <si>
    <t>Gillina</t>
  </si>
  <si>
    <t>Killingar</t>
  </si>
  <si>
    <t>31/12/1813</t>
  </si>
  <si>
    <t>BRÜLL, Jacob Low</t>
  </si>
  <si>
    <t>20/08/1814</t>
  </si>
  <si>
    <t>12/11/1814</t>
  </si>
  <si>
    <t>REITER, Salomon</t>
  </si>
  <si>
    <t>Keszthely, Hungary</t>
  </si>
  <si>
    <t>Zala</t>
  </si>
  <si>
    <t>Gemeiner HR 4</t>
  </si>
  <si>
    <t>ISAK, Jacob</t>
  </si>
  <si>
    <t>Yesehusz</t>
  </si>
  <si>
    <t>09/06/1809</t>
  </si>
  <si>
    <t>Gemeiner in HR 4</t>
  </si>
  <si>
    <t>29/10/1812</t>
  </si>
  <si>
    <t>Brtnice, Czech Republic</t>
  </si>
  <si>
    <t>HERZFELD, Lazar</t>
  </si>
  <si>
    <t>30/04/1815</t>
  </si>
  <si>
    <t>03/08/1809</t>
  </si>
  <si>
    <t>PLATSCHNER, Aron Low</t>
  </si>
  <si>
    <t>IMBER, Nachem/ IMPER, Joachim</t>
  </si>
  <si>
    <t>11/02/1809</t>
  </si>
  <si>
    <t>17/06/1815</t>
  </si>
  <si>
    <t>17/06/1815 Ins InvH Tyrnau zur Versorgung</t>
  </si>
  <si>
    <t>In 1809</t>
  </si>
  <si>
    <t>STEINHARD, Isak</t>
  </si>
  <si>
    <t>25/08/1815</t>
  </si>
  <si>
    <t>MÜLLER, Salomon</t>
  </si>
  <si>
    <t>Bzenec, Czech Republic</t>
  </si>
  <si>
    <t>25/09/1815</t>
  </si>
  <si>
    <t>≤04/09/1789</t>
  </si>
  <si>
    <t>Most</t>
  </si>
  <si>
    <t>ROSSKANDLER, Michel</t>
  </si>
  <si>
    <t>Was attached to IR 46 Feld Bats</t>
  </si>
  <si>
    <t>SCHNEIDER, Heske</t>
  </si>
  <si>
    <t>Attached to IR 46 Feld Bats</t>
  </si>
  <si>
    <t>HERSCHEL, Juda</t>
  </si>
  <si>
    <t>15/11/1790</t>
  </si>
  <si>
    <t>KIMMEL, Joseph</t>
  </si>
  <si>
    <t>06/07/1813</t>
  </si>
  <si>
    <t>08/07/1813</t>
  </si>
  <si>
    <t>29/02/1816</t>
  </si>
  <si>
    <t>Mit Landwehr Karte entlassen</t>
  </si>
  <si>
    <t>HIRSCH, David</t>
  </si>
  <si>
    <t>STEIN, Lorenz/ Low/ Leonard</t>
  </si>
  <si>
    <t>12/10/1813</t>
  </si>
  <si>
    <t>16/10/1813</t>
  </si>
  <si>
    <t>HERZ, Joseph</t>
  </si>
  <si>
    <t>MANN, Jakob</t>
  </si>
  <si>
    <t>07/07/1813</t>
  </si>
  <si>
    <t>05/04/1816</t>
  </si>
  <si>
    <t>POLLACK, Wolf/ Wolfgang</t>
  </si>
  <si>
    <t>10/08/1816</t>
  </si>
  <si>
    <t>Demoted</t>
  </si>
  <si>
    <t>KRUMHOLZ, Hersch</t>
  </si>
  <si>
    <t>KORN, Leib</t>
  </si>
  <si>
    <t>WALDHORN, Isias</t>
  </si>
  <si>
    <t>20/09/1812</t>
  </si>
  <si>
    <t>26/09/1812</t>
  </si>
  <si>
    <t>01/10/1812</t>
  </si>
  <si>
    <t>In 05/1813</t>
  </si>
  <si>
    <t>In 10/1812</t>
  </si>
  <si>
    <t>NEUSTÄDTER, Laib</t>
  </si>
  <si>
    <t>26/04/1813</t>
  </si>
  <si>
    <t>Świdnik (Łososina Dolna), Poland</t>
  </si>
  <si>
    <t>Hořovice, Czech Republic</t>
  </si>
  <si>
    <t>APEL, Abraham</t>
  </si>
  <si>
    <t>Piątkowa (Chełmiec), Poland</t>
  </si>
  <si>
    <t>24/11/1813</t>
  </si>
  <si>
    <t>30/11/1813≤</t>
  </si>
  <si>
    <t>GOLDSTEIN, Salomon</t>
  </si>
  <si>
    <t>WINTER, Jakob</t>
  </si>
  <si>
    <t>Milotice u Kyjova, Czech Republic</t>
  </si>
  <si>
    <t>21/02/1810</t>
  </si>
  <si>
    <t>LÖW, Ruben</t>
  </si>
  <si>
    <t>Gemeiner in CL 2</t>
  </si>
  <si>
    <t>WALD, Leibel</t>
  </si>
  <si>
    <t>Hutzisko</t>
  </si>
  <si>
    <t>Góra Ropczycka, Poland</t>
  </si>
  <si>
    <t>22/10/1813</t>
  </si>
  <si>
    <t>LUBCZEK, Hersch</t>
  </si>
  <si>
    <t>Wielopole Skrzyńskie, Poland</t>
  </si>
  <si>
    <t>08/07/1815</t>
  </si>
  <si>
    <t>DAVID, Noachim/ Johann</t>
  </si>
  <si>
    <t>Bystrzyca (Iwierzyce), Poland</t>
  </si>
  <si>
    <t>07/07/1815</t>
  </si>
  <si>
    <t>MAILENDER, Leopold</t>
  </si>
  <si>
    <t>Gottheim</t>
  </si>
  <si>
    <t>Cremsier</t>
  </si>
  <si>
    <t>30/06/1819</t>
  </si>
  <si>
    <t>05/08/1819</t>
  </si>
  <si>
    <t>von Station Kojetin desertiert</t>
  </si>
  <si>
    <t>HIRSCH, Abraham</t>
  </si>
  <si>
    <t>16/03/1808</t>
  </si>
  <si>
    <t>15/10/1819</t>
  </si>
  <si>
    <t>BRÜCKNER, Jacob</t>
  </si>
  <si>
    <t>Prenitz</t>
  </si>
  <si>
    <t>13/03/1809</t>
  </si>
  <si>
    <t>LEVY, David</t>
  </si>
  <si>
    <t>Uherský Brod, Czech Republic</t>
  </si>
  <si>
    <t>15/05/1813</t>
  </si>
  <si>
    <t>HIRSCHMANN, Jankel</t>
  </si>
  <si>
    <t>14/01/1817</t>
  </si>
  <si>
    <t>Gemeiner in IR 1</t>
  </si>
  <si>
    <t>26/02/1809</t>
  </si>
  <si>
    <t>KRAINER, Jakob [Johann]</t>
  </si>
  <si>
    <t>Rousínov, Czech Republic</t>
  </si>
  <si>
    <t>Corporal in IR 1</t>
  </si>
  <si>
    <t>LEICHTER, Vinzenz [Moises]</t>
  </si>
  <si>
    <t>Gefreyter in IR 1</t>
  </si>
  <si>
    <t>KOHN, Jakob</t>
  </si>
  <si>
    <t>03/02/1820</t>
  </si>
  <si>
    <t>Presented from the Reserve because of hunger</t>
  </si>
  <si>
    <t>KAISER, Joseph [WALDHORN, Lebel]</t>
  </si>
  <si>
    <t>HORN, Mandel</t>
  </si>
  <si>
    <t>05/09/1813</t>
  </si>
  <si>
    <t>MANEBERG, Johann</t>
  </si>
  <si>
    <t>08/04/1814</t>
  </si>
  <si>
    <t>HALUSA, Isak/ Jakob</t>
  </si>
  <si>
    <t>BOKAS, Baroch/ Bernard</t>
  </si>
  <si>
    <t>LAZAR, Salomon</t>
  </si>
  <si>
    <t>12/07/1815</t>
  </si>
  <si>
    <t>≤31/03/1815</t>
  </si>
  <si>
    <t>LOEBEL, Jakob</t>
  </si>
  <si>
    <t>MALCHER, Abraham</t>
  </si>
  <si>
    <t>13/07/1815</t>
  </si>
  <si>
    <t>FEINERT, Martko</t>
  </si>
  <si>
    <t>15/03/1799</t>
  </si>
  <si>
    <t>PHILLIP, Joseph</t>
  </si>
  <si>
    <t>Vischnitz</t>
  </si>
  <si>
    <t>26/09/1799</t>
  </si>
  <si>
    <t>≤16/06/1790</t>
  </si>
  <si>
    <t>SCHROL, Jacob</t>
  </si>
  <si>
    <t>Was attached to IR 12 3rd Bat</t>
  </si>
  <si>
    <t>ANSTREICH, Marcus</t>
  </si>
  <si>
    <t>C. 03/1788</t>
  </si>
  <si>
    <t>Attached to IR 12 Feld Bats</t>
  </si>
  <si>
    <t>03/04/1804</t>
  </si>
  <si>
    <t>Golčův Jeníkov, Czech Republic</t>
  </si>
  <si>
    <t>Zvěstovice, Czech Republic</t>
  </si>
  <si>
    <t>KÖRNER, Moises</t>
  </si>
  <si>
    <t>CL 3</t>
  </si>
  <si>
    <t>Gemeiner in CL 3</t>
  </si>
  <si>
    <t>≤09/05/1790</t>
  </si>
  <si>
    <t>Grossova</t>
  </si>
  <si>
    <t>Was attached to IR 19 Feld Bats</t>
  </si>
  <si>
    <t>BRENNER, Leiser</t>
  </si>
  <si>
    <t>Horodło, Poland</t>
  </si>
  <si>
    <t>31/10/1812</t>
  </si>
  <si>
    <t>LEISER, Itzig</t>
  </si>
  <si>
    <t>10/02/1798</t>
  </si>
  <si>
    <t>HOLZMANN, Salomon</t>
  </si>
  <si>
    <t>28/07/1798</t>
  </si>
  <si>
    <t>LEWINOWSKY, Abraham</t>
  </si>
  <si>
    <t>ROSSNER, Simon</t>
  </si>
  <si>
    <t>Zdonia (Zakliczyn), Poland</t>
  </si>
  <si>
    <t>Myslenitz</t>
  </si>
  <si>
    <t>Czaniec (Porąbka), Poland</t>
  </si>
  <si>
    <t>17/10/1798</t>
  </si>
  <si>
    <t>18/10/1798</t>
  </si>
  <si>
    <t>KATTEL, Moyses</t>
  </si>
  <si>
    <t>Zembrzyce, Poland</t>
  </si>
  <si>
    <t>20/10/1798</t>
  </si>
  <si>
    <t>ITZIG, Samuel</t>
  </si>
  <si>
    <t>JEIK, Hersch</t>
  </si>
  <si>
    <t>01/09/1797</t>
  </si>
  <si>
    <t>c. 09/1797</t>
  </si>
  <si>
    <t>Wegen Untauglichkeit mit Laufpaß entlassen</t>
  </si>
  <si>
    <t>Nyzhniv, Ukraine</t>
  </si>
  <si>
    <t>GOERTZ, Kaim</t>
  </si>
  <si>
    <t>Bleiser</t>
  </si>
  <si>
    <t>Pilkonau</t>
  </si>
  <si>
    <t>EISIG, Arus</t>
  </si>
  <si>
    <t>Brandweinbrenner</t>
  </si>
  <si>
    <t>28/03/1804</t>
  </si>
  <si>
    <t>ALTMANN, Joachim</t>
  </si>
  <si>
    <t>Kolinec, Czech Republic</t>
  </si>
  <si>
    <t>29/03/1804</t>
  </si>
  <si>
    <t>25/10/1804</t>
  </si>
  <si>
    <t>LEDRER, Joachim</t>
  </si>
  <si>
    <t>Bukovec (Plzeň), Czech Republic</t>
  </si>
  <si>
    <t>Pillsen</t>
  </si>
  <si>
    <t>Plzeň, Czech Republic</t>
  </si>
  <si>
    <t>10/11/1804</t>
  </si>
  <si>
    <t xml:space="preserve">Gegen Stellung eines anderen Mannes von Dominio und esatz den Kosten mit Abschied Entlassen </t>
  </si>
  <si>
    <t xml:space="preserve">Gegen Stellung eines anderen Mannes von Dominio und esatt den Kosten mit Abschied Entlassen </t>
  </si>
  <si>
    <t>BRUNNER, Moises</t>
  </si>
  <si>
    <t>Lužany u Přeštic, Czech Republic</t>
  </si>
  <si>
    <t>LEWIT, Wolf/ Wenzel</t>
  </si>
  <si>
    <t>16/10/1806</t>
  </si>
  <si>
    <t>Als Steuerbare Grundbesiter mit Abschied entlassen</t>
  </si>
  <si>
    <t>STEINER, Hirsch/ Heinrich</t>
  </si>
  <si>
    <t>Yazlovets, Ukraine</t>
  </si>
  <si>
    <t>08/07/1788</t>
  </si>
  <si>
    <t>30/11/1790</t>
  </si>
  <si>
    <t>Was attached to IR 43 Feld Bats/ IR 54 Feld Bats</t>
  </si>
  <si>
    <t>FLEISCHER, Hersch</t>
  </si>
  <si>
    <t>30/07/1798</t>
  </si>
  <si>
    <t>KAIM. Leibel</t>
  </si>
  <si>
    <t>Kawka Wolla</t>
  </si>
  <si>
    <t>UIBERREICH, Samuel</t>
  </si>
  <si>
    <t>Lipnica Wielka (Korzenna), Poland</t>
  </si>
  <si>
    <t>16/08/1798</t>
  </si>
  <si>
    <t>29/06/1797</t>
  </si>
  <si>
    <t>UNGER, Michael</t>
  </si>
  <si>
    <t>31/07/1798</t>
  </si>
  <si>
    <t>Ostrów Lubelski, Poland</t>
  </si>
  <si>
    <t>LEYBELL, Nachmann</t>
  </si>
  <si>
    <t>GOLDWASSER, Beer</t>
  </si>
  <si>
    <t>Żółkiewka, Poland</t>
  </si>
  <si>
    <t>Consccript for East Galicia, but born in West Galicia</t>
  </si>
  <si>
    <t>SANDER, Schlim</t>
  </si>
  <si>
    <t>27/04/1797</t>
  </si>
  <si>
    <t>Warsilam</t>
  </si>
  <si>
    <t>Paniensky</t>
  </si>
  <si>
    <t>NESCHKOWITZ, Nochen</t>
  </si>
  <si>
    <t>07/04/1797</t>
  </si>
  <si>
    <t>Chełm, Poland</t>
  </si>
  <si>
    <t>13/07/1798</t>
  </si>
  <si>
    <t>HABERSTEIN, Abraham</t>
  </si>
  <si>
    <t>GRODAKER, Isak</t>
  </si>
  <si>
    <t>24/06/1797</t>
  </si>
  <si>
    <t>SCHLEIFSTEIN, Leib</t>
  </si>
  <si>
    <t>Hietez</t>
  </si>
  <si>
    <t>15/07/1797</t>
  </si>
  <si>
    <t>MOSKOWITZ, Leib</t>
  </si>
  <si>
    <t>20/02/1797</t>
  </si>
  <si>
    <t>DAVID, Chaim</t>
  </si>
  <si>
    <t>Maciejowice (Garwolin County), Poland</t>
  </si>
  <si>
    <t>Lukow</t>
  </si>
  <si>
    <t>Radzyń Podlaski, Poland</t>
  </si>
  <si>
    <t>Took part in a rebellion and was captured</t>
  </si>
  <si>
    <t>KNISCH/ KNOCH, Hersch</t>
  </si>
  <si>
    <t>≤26/09/1789</t>
  </si>
  <si>
    <t>Was attached to IR 28 Feld Bats</t>
  </si>
  <si>
    <t>≤11/07/1789</t>
  </si>
  <si>
    <t>BLÜTZER/ PLITZER, Hersch</t>
  </si>
  <si>
    <t>≤01/11/1789</t>
  </si>
  <si>
    <t>Zaliztsi, Ukraine</t>
  </si>
  <si>
    <t>SCHLOSMANN, Jacob</t>
  </si>
  <si>
    <t>GALGENTHAL, Wolgang/ Joseph</t>
  </si>
  <si>
    <t>Salatz</t>
  </si>
  <si>
    <t>≤01/04/1789</t>
  </si>
  <si>
    <t>≤26/05/1789</t>
  </si>
  <si>
    <t>SALMONOWITZ, Antsel</t>
  </si>
  <si>
    <t>MARECK, Joseph</t>
  </si>
  <si>
    <t>Kojice, Czech Republic</t>
  </si>
  <si>
    <t>Pardubice, Czech Repubic</t>
  </si>
  <si>
    <t>14/09/1789</t>
  </si>
  <si>
    <t>Gemeiner in IR 28</t>
  </si>
  <si>
    <t>GROSS, Samuel</t>
  </si>
  <si>
    <t>Polná, Czech Republic</t>
  </si>
  <si>
    <t>23/10/1789</t>
  </si>
  <si>
    <t>27/04/1808</t>
  </si>
  <si>
    <t>Was conscripted twice</t>
  </si>
  <si>
    <t>HERSCHEL, Samuel </t>
  </si>
  <si>
    <t>LÖBEL, Jacob</t>
  </si>
  <si>
    <t>SEKEL/ ZÖKEL, Daniel</t>
  </si>
  <si>
    <t>31/08/1790</t>
  </si>
  <si>
    <t>Was attached to IR 29 3rd Bat</t>
  </si>
  <si>
    <t>≤10/09/1791</t>
  </si>
  <si>
    <t>Nadvirna, Ukraine</t>
  </si>
  <si>
    <t>Walter</t>
  </si>
  <si>
    <t>WALLINGER, Lazar</t>
  </si>
  <si>
    <t>31/10/1791≤</t>
  </si>
  <si>
    <t>UNBEKANNT: In Dienst bis mindestens 31/10/1791</t>
  </si>
  <si>
    <t>Attached to IR 40 3rd Bat</t>
  </si>
  <si>
    <t>≤30/04/1789</t>
  </si>
  <si>
    <t>31/07/1789≤</t>
  </si>
  <si>
    <t>UNBEKANNT: In Dienst bis mindestens 31/07/1789</t>
  </si>
  <si>
    <t>Attached to IR 34 Feld Bats</t>
  </si>
  <si>
    <t>HOFFMANN, David</t>
  </si>
  <si>
    <t>≤26/06/1789</t>
  </si>
  <si>
    <t>WASSERMANN, Aron</t>
  </si>
  <si>
    <t>MOISES, Kain</t>
  </si>
  <si>
    <t>LAUFENBERGER, Majer</t>
  </si>
  <si>
    <t>Nowy Wiśnicz, Poland</t>
  </si>
  <si>
    <t>31/17/1789≤</t>
  </si>
  <si>
    <t>SCHWARZ, Paul</t>
  </si>
  <si>
    <t>Černá Voda, Czech Republic</t>
  </si>
  <si>
    <t>Silesia</t>
  </si>
  <si>
    <t>29/05/1791</t>
  </si>
  <si>
    <t>IR 56</t>
  </si>
  <si>
    <t>Teschen</t>
  </si>
  <si>
    <t>Gemeiner in IR 56</t>
  </si>
  <si>
    <t>Was attached to IR 32 Feld Bats</t>
  </si>
  <si>
    <t>HÜSSEL/KUSSEL, Abraham</t>
  </si>
  <si>
    <t>SCHÜLLER, Isak</t>
  </si>
  <si>
    <t>Was attached to IR 33 Feld Bats</t>
  </si>
  <si>
    <t>GESCHELL, Jacob</t>
  </si>
  <si>
    <t>LAPAISCHAMM, Daniel</t>
  </si>
  <si>
    <t>SAWITZ, Michael/ JAMBROSCHEK, Joseph</t>
  </si>
  <si>
    <t>Chmielnik (Subcarphatian Voivodship), Poland</t>
  </si>
  <si>
    <t>Tyczyn, Poland</t>
  </si>
  <si>
    <t>26/01/1790</t>
  </si>
  <si>
    <t>31/03/1806</t>
  </si>
  <si>
    <t>≤25/04/1789</t>
  </si>
  <si>
    <t>GLOS, Isak</t>
  </si>
  <si>
    <t>ISLER, Marcus</t>
  </si>
  <si>
    <t>Lutowiska, Poland</t>
  </si>
  <si>
    <t>Kaiserliche</t>
  </si>
  <si>
    <t>Attached to IR 33 Feld Bats</t>
  </si>
  <si>
    <t>Strangova</t>
  </si>
  <si>
    <t>JOSEFPVICS, Tobias</t>
  </si>
  <si>
    <t>31/10/1790</t>
  </si>
  <si>
    <t>SCHVAB, Josel</t>
  </si>
  <si>
    <t xml:space="preserve">STELCZER, Ezchiel/ STÖLTZER, Eschiel  </t>
  </si>
  <si>
    <t>Leżajsk, Poland</t>
  </si>
  <si>
    <t>BANDELL, Nachmias/ PANDEL, Nehem</t>
  </si>
  <si>
    <t xml:space="preserve">Mit Lafpaß entlassen </t>
  </si>
  <si>
    <t>STEUER, Isak/ Latek</t>
  </si>
  <si>
    <t>BIER, Jankel/ PÜR, Jakob</t>
  </si>
  <si>
    <t>MAJEROWITZ, Nachmund/ Raimund</t>
  </si>
  <si>
    <t>Tyrawa Solna, Poland</t>
  </si>
  <si>
    <t>≤01/09/1805</t>
  </si>
  <si>
    <t>MESSING, Simon</t>
  </si>
  <si>
    <t>05/04/1800</t>
  </si>
  <si>
    <t>15/07/1817</t>
  </si>
  <si>
    <t xml:space="preserve">Als unobligater Fourierschütz mit Abschied entlassen </t>
  </si>
  <si>
    <t>After completing service, reengaged as Fourierschütz</t>
  </si>
  <si>
    <t>TAUSIG, Joachim</t>
  </si>
  <si>
    <t>Milý, Czech Republic</t>
  </si>
  <si>
    <t>Mšec, Czech Republic</t>
  </si>
  <si>
    <t xml:space="preserve">IR 4 </t>
  </si>
  <si>
    <t>In wiener Hauptfeldspital gestorben</t>
  </si>
  <si>
    <t>14/04/1790</t>
  </si>
  <si>
    <t>ZAGER, Jacob</t>
  </si>
  <si>
    <t>MOSCHEL, Wolf</t>
  </si>
  <si>
    <t>MENDEL, Michael</t>
  </si>
  <si>
    <t>01/11/1790</t>
  </si>
  <si>
    <t>Aus dem Marsch desertiert</t>
  </si>
  <si>
    <t>JORDAN, Juda</t>
  </si>
  <si>
    <t>Was attached to IR 37 Feld Bats</t>
  </si>
  <si>
    <t>DAVID, Isaac/ RICHTER, David</t>
  </si>
  <si>
    <t>Niedvazer</t>
  </si>
  <si>
    <t>KLOSPERG, Kain</t>
  </si>
  <si>
    <t>Was attached to IR 39 Feld Bats</t>
  </si>
  <si>
    <t>REISNER, Isak</t>
  </si>
  <si>
    <t>C. 07/1788</t>
  </si>
  <si>
    <t>Was attached to IR 24 Feld Bats and IR 39 Feld Bats</t>
  </si>
  <si>
    <t>Knizinszky</t>
  </si>
  <si>
    <t>Danapol</t>
  </si>
  <si>
    <t>GRÜNBERG, Abraham</t>
  </si>
  <si>
    <t>WORM, Moises</t>
  </si>
  <si>
    <t>Dempitz</t>
  </si>
  <si>
    <t>RAITER, Moises</t>
  </si>
  <si>
    <t>HEYFELD, Barholoma/ Paul</t>
  </si>
  <si>
    <t>Rozesodow</t>
  </si>
  <si>
    <t>STÜCHER, David/ Johann</t>
  </si>
  <si>
    <t>Baron Sato</t>
  </si>
  <si>
    <t>JOHEL, Jacob/ JOSEL, Jankel</t>
  </si>
  <si>
    <t>SALBE/ SAILKA, Löw</t>
  </si>
  <si>
    <t>Lokal</t>
  </si>
  <si>
    <t>10/10/1804</t>
  </si>
  <si>
    <t>FAJWLOVICS, Kalman/ SALEWIZ, Sallomon</t>
  </si>
  <si>
    <t>Müller</t>
  </si>
  <si>
    <t>STROH, Martin</t>
  </si>
  <si>
    <t>Baran</t>
  </si>
  <si>
    <t>23/06/1797</t>
  </si>
  <si>
    <t>31/12/1803</t>
  </si>
  <si>
    <t>Demoted Voluntarily</t>
  </si>
  <si>
    <t>Lebasky</t>
  </si>
  <si>
    <t>HARTH, Moyses</t>
  </si>
  <si>
    <t>31/03/1804≤</t>
  </si>
  <si>
    <t>UNBEKANNT: Erscheint nicht in der Revisions-Liste von Haupt Hertwich Kompanie zwischen 31. März und 1. Mai 1804</t>
  </si>
  <si>
    <t>HARTH, Salomon</t>
  </si>
  <si>
    <t>28/03/1797</t>
  </si>
  <si>
    <t>HELLBER, Mayer</t>
  </si>
  <si>
    <t>BIENSTOK, Joseph</t>
  </si>
  <si>
    <t>21/06/1797</t>
  </si>
  <si>
    <t>14/11/1804</t>
  </si>
  <si>
    <t>SLOMOVITZ, David</t>
  </si>
  <si>
    <t>≤28/02/1789</t>
  </si>
  <si>
    <t>LEMBER, Boroch</t>
  </si>
  <si>
    <t>Was attached to IR 44 Feld Bats</t>
  </si>
  <si>
    <t>FREUNDENTHAL, Judas</t>
  </si>
  <si>
    <t>Cieszanów, Poland</t>
  </si>
  <si>
    <t>10/02/1800</t>
  </si>
  <si>
    <t>Żulin, Lublin Voivodeship, Poland</t>
  </si>
  <si>
    <t>STILLER, Isaac</t>
  </si>
  <si>
    <t>HETZEL, Moises/ KOTZEL, Casimit/Kain</t>
  </si>
  <si>
    <t>Dubitz</t>
  </si>
  <si>
    <t>Was attached to IR 44 Feld Bats and IR 48 Feld Bats</t>
  </si>
  <si>
    <t>15/06/1790≤</t>
  </si>
  <si>
    <t>Was attached to IR 44 Feld Bat and IR 3 3rd Bat</t>
  </si>
  <si>
    <t>Schimansky</t>
  </si>
  <si>
    <t>15/07/1804</t>
  </si>
  <si>
    <t>WINDMÜHL, David</t>
  </si>
  <si>
    <t>KLUG, Samson/ Casimir</t>
  </si>
  <si>
    <t>Oligzize</t>
  </si>
  <si>
    <t>Siolo</t>
  </si>
  <si>
    <t>BAUMWOHL, Israel</t>
  </si>
  <si>
    <t>Nemyriv, Ukraine</t>
  </si>
  <si>
    <t>MOSKOVICS, Herschel/ Iezig/ Philip</t>
  </si>
  <si>
    <t>Brandwienbrenner</t>
  </si>
  <si>
    <t>KOBILZKY, Joseph</t>
  </si>
  <si>
    <t>Kolliczez</t>
  </si>
  <si>
    <t>Evanizky</t>
  </si>
  <si>
    <t>22/06/1805</t>
  </si>
  <si>
    <t>WALDMANN, Adam</t>
  </si>
  <si>
    <t>SCHÄCHTER, Abias</t>
  </si>
  <si>
    <t>27/11/1798</t>
  </si>
  <si>
    <t>15/12/1803</t>
  </si>
  <si>
    <t>SIMON/ SZMARRON, Michael</t>
  </si>
  <si>
    <t>Neslo</t>
  </si>
  <si>
    <t>22/20/1797</t>
  </si>
  <si>
    <t>05/11/1805</t>
  </si>
  <si>
    <r>
      <t xml:space="preserve">Bei der </t>
    </r>
    <r>
      <rPr>
        <b/>
        <sz val="12"/>
        <color theme="1"/>
        <rFont val="Calibri"/>
        <family val="2"/>
        <scheme val="minor"/>
      </rPr>
      <t xml:space="preserve">Marsch bei Mariazell </t>
    </r>
    <r>
      <rPr>
        <sz val="12"/>
        <color theme="1"/>
        <rFont val="Calibri"/>
        <family val="2"/>
        <scheme val="minor"/>
      </rPr>
      <t xml:space="preserve">in Kriegsgefangenschaft gefallen </t>
    </r>
  </si>
  <si>
    <r>
      <t xml:space="preserve">Bei der </t>
    </r>
    <r>
      <rPr>
        <b/>
        <sz val="12"/>
        <color theme="1"/>
        <rFont val="Calibri"/>
        <family val="2"/>
        <scheme val="minor"/>
      </rPr>
      <t>Aktion Bei Zürich</t>
    </r>
    <r>
      <rPr>
        <sz val="12"/>
        <color theme="1"/>
        <rFont val="Calibri"/>
        <family val="2"/>
        <scheme val="minor"/>
      </rPr>
      <t xml:space="preserve"> vor Feind geblieben </t>
    </r>
  </si>
  <si>
    <t>GEBLER, Joseph</t>
  </si>
  <si>
    <t>09/10/1805</t>
  </si>
  <si>
    <t>Von Station Bierwang desertiert</t>
  </si>
  <si>
    <t>LEFKOWITZ, Georg/ Ignatz</t>
  </si>
  <si>
    <t xml:space="preserve">Ivonsovel Passlow </t>
  </si>
  <si>
    <t>Zawaner</t>
  </si>
  <si>
    <t>Gegen Renuncierung und Erlag von Dienst Gratiale als Reale Invalid mit Abschied entlassen</t>
  </si>
  <si>
    <t>SATTLER, Baroch</t>
  </si>
  <si>
    <t>C. 11/1788</t>
  </si>
  <si>
    <t>MOSKOIWOCZ, Kellman</t>
  </si>
  <si>
    <t>WIRBINZKY, Georg</t>
  </si>
  <si>
    <t>Žiželice (Kolín District), Czech Republic</t>
  </si>
  <si>
    <t>Chlumec nad Cidlinou, Czech Republic</t>
  </si>
  <si>
    <t>23/03/1783</t>
  </si>
  <si>
    <t>IR 21</t>
  </si>
  <si>
    <t>Gemeiner in IR 21</t>
  </si>
  <si>
    <t>≤21/09/1790</t>
  </si>
  <si>
    <t>FLÜGEL, Baroch</t>
  </si>
  <si>
    <t xml:space="preserve">Attached to IR 14 </t>
  </si>
  <si>
    <t>Was attached to IR 24 3rd Bat and IR 53 3rd Bat</t>
  </si>
  <si>
    <t>In 01/1790</t>
  </si>
  <si>
    <t>ISAC, Raphael</t>
  </si>
  <si>
    <t>Was attached to IR 53 3rd Bat</t>
  </si>
  <si>
    <t>Was attached to IR 60 Feld Bats</t>
  </si>
  <si>
    <r>
      <t xml:space="preserve">In der </t>
    </r>
    <r>
      <rPr>
        <b/>
        <sz val="12"/>
        <color theme="1"/>
        <rFont val="Calibri"/>
        <family val="2"/>
        <scheme val="minor"/>
      </rPr>
      <t>Affaire bey Claris</t>
    </r>
    <r>
      <rPr>
        <sz val="12"/>
        <color theme="1"/>
        <rFont val="Calibri"/>
        <family val="2"/>
        <scheme val="minor"/>
      </rPr>
      <t xml:space="preserve"> [Glarus, Swizerland] vor dem Feind geblieben </t>
    </r>
  </si>
  <si>
    <r>
      <t xml:space="preserve">In der </t>
    </r>
    <r>
      <rPr>
        <b/>
        <sz val="12"/>
        <color theme="1"/>
        <rFont val="Calibri"/>
        <family val="2"/>
        <scheme val="minor"/>
      </rPr>
      <t>Affaire bei Ulm</t>
    </r>
    <r>
      <rPr>
        <sz val="12"/>
        <color theme="1"/>
        <rFont val="Calibri"/>
        <family val="2"/>
        <scheme val="minor"/>
      </rPr>
      <t xml:space="preserve"> in Kriegsgefangenschaft gefallen</t>
    </r>
  </si>
  <si>
    <r>
      <t xml:space="preserve">Bei </t>
    </r>
    <r>
      <rPr>
        <b/>
        <sz val="12"/>
        <color theme="1"/>
        <rFont val="Calibri"/>
        <family val="2"/>
        <scheme val="minor"/>
      </rPr>
      <t>Affaire von Verona</t>
    </r>
    <r>
      <rPr>
        <sz val="12"/>
        <color theme="1"/>
        <rFont val="Calibri"/>
        <family val="2"/>
        <scheme val="minor"/>
      </rPr>
      <t xml:space="preserve"> vor Feind geblieben</t>
    </r>
  </si>
  <si>
    <r>
      <rPr>
        <b/>
        <sz val="12"/>
        <color theme="1"/>
        <rFont val="Calibri"/>
        <family val="2"/>
        <scheme val="minor"/>
      </rPr>
      <t>Während Marsch nach Zamosc</t>
    </r>
    <r>
      <rPr>
        <sz val="12"/>
        <color theme="1"/>
        <rFont val="Calibri"/>
        <family val="2"/>
        <scheme val="minor"/>
      </rPr>
      <t xml:space="preserve"> in polnische Kriegsgefangenschaft gefallen </t>
    </r>
  </si>
  <si>
    <r>
      <rPr>
        <b/>
        <sz val="12"/>
        <color theme="1"/>
        <rFont val="Calibri"/>
        <family val="2"/>
        <scheme val="minor"/>
      </rPr>
      <t xml:space="preserve">Bei Enzersdorf </t>
    </r>
    <r>
      <rPr>
        <sz val="12"/>
        <color theme="1"/>
        <rFont val="Calibri"/>
        <family val="2"/>
        <scheme val="minor"/>
      </rPr>
      <t>in Kriegsgefangeschaft gefallen</t>
    </r>
  </si>
  <si>
    <r>
      <t xml:space="preserve">bei der </t>
    </r>
    <r>
      <rPr>
        <b/>
        <sz val="12"/>
        <color theme="1"/>
        <rFont val="Calibri"/>
        <family val="2"/>
        <scheme val="minor"/>
      </rPr>
      <t>Affaire von Podgary</t>
    </r>
    <r>
      <rPr>
        <sz val="12"/>
        <color theme="1"/>
        <rFont val="Calibri"/>
        <family val="2"/>
        <scheme val="minor"/>
      </rPr>
      <t xml:space="preserve"> vermisst </t>
    </r>
  </si>
  <si>
    <t>ARON, Samuel/ SZALLAMON, Aron</t>
  </si>
  <si>
    <t>ROSENBERG, Carl</t>
  </si>
  <si>
    <t>Kapso</t>
  </si>
  <si>
    <t>15/02/1811</t>
  </si>
  <si>
    <t>ABRAHAM, Janos/ JONAS, Abraham</t>
  </si>
  <si>
    <t>Nagyhalász, Hungary</t>
  </si>
  <si>
    <t>09/08/1809</t>
  </si>
  <si>
    <t>LEBOVICH, Simon</t>
  </si>
  <si>
    <t>LEVI/ LOIBEL, Jacob</t>
  </si>
  <si>
    <t>25/08/1809</t>
  </si>
  <si>
    <t>GOLDENTHAL, Samuel</t>
  </si>
  <si>
    <t>≤09/10/1810</t>
  </si>
  <si>
    <t>QUESTLER, Joseph</t>
  </si>
  <si>
    <t>18/11/1809</t>
  </si>
  <si>
    <t>Szatmár</t>
  </si>
  <si>
    <t>Kds</t>
  </si>
  <si>
    <t>05/09/1810</t>
  </si>
  <si>
    <t>Carei, Romania</t>
  </si>
  <si>
    <t>HERSCHEL, Simon</t>
  </si>
  <si>
    <t>BACHMANN, Moises</t>
  </si>
  <si>
    <t>11/09/1809</t>
  </si>
  <si>
    <t>NOTHE, Jacob</t>
  </si>
  <si>
    <t>Csenger, Hungary</t>
  </si>
  <si>
    <t>25/06/1809</t>
  </si>
  <si>
    <t>GABOR, Alexander, SAMBOR, Jacob</t>
  </si>
  <si>
    <t>Sveržov, Slovakia</t>
  </si>
  <si>
    <t>JAKUBOVITS, Moyses</t>
  </si>
  <si>
    <t>28/09/1809</t>
  </si>
  <si>
    <t>HELMETZY, Nicolaus</t>
  </si>
  <si>
    <t>Craidorolț, Romania</t>
  </si>
  <si>
    <t>ZEMLAR, Jacob</t>
  </si>
  <si>
    <t>MOJSES, David</t>
  </si>
  <si>
    <t>Nyírbátor, Hungary</t>
  </si>
  <si>
    <t>25/01/1812</t>
  </si>
  <si>
    <t>GB 4</t>
  </si>
  <si>
    <t>HERSCHKOVITS, Simon</t>
  </si>
  <si>
    <t>31/08/1809</t>
  </si>
  <si>
    <t>20/04/1810</t>
  </si>
  <si>
    <t>In Spital zu Ofen gestorben</t>
  </si>
  <si>
    <t>SAMUEL, Abraham</t>
  </si>
  <si>
    <t>KATZ, Tobias</t>
  </si>
  <si>
    <t>HERSCHEL, Jacob/ JACOB, Joseph</t>
  </si>
  <si>
    <t>SALOMON, Joseph</t>
  </si>
  <si>
    <t>20/11/1810</t>
  </si>
  <si>
    <t>Abaúj</t>
  </si>
  <si>
    <t>Seňa, Slovakia</t>
  </si>
  <si>
    <t>Previous service in MFWK before transfer into HR 10 unknown</t>
  </si>
  <si>
    <t>Huncovce, Slovakia</t>
  </si>
  <si>
    <t>JEZOVITS, Samuel/Salomon</t>
  </si>
  <si>
    <t>17/03/1809</t>
  </si>
  <si>
    <r>
      <t xml:space="preserve">In der </t>
    </r>
    <r>
      <rPr>
        <b/>
        <sz val="12"/>
        <color theme="1"/>
        <rFont val="Calibri"/>
        <family val="2"/>
        <scheme val="minor"/>
      </rPr>
      <t>Schlacht bei Deutsch Wagram</t>
    </r>
    <r>
      <rPr>
        <sz val="12"/>
        <color theme="1"/>
        <rFont val="Calibri"/>
        <family val="2"/>
        <scheme val="minor"/>
      </rPr>
      <t xml:space="preserve"> kriegsgefangen</t>
    </r>
  </si>
  <si>
    <t>In Spital zu Landshut gestorben</t>
  </si>
  <si>
    <r>
      <t xml:space="preserve">Bei </t>
    </r>
    <r>
      <rPr>
        <b/>
        <sz val="12"/>
        <color theme="1"/>
        <rFont val="Calibri"/>
        <family val="2"/>
        <scheme val="minor"/>
      </rPr>
      <t>Schlacht von Aspern-Essling</t>
    </r>
    <r>
      <rPr>
        <sz val="12"/>
        <color theme="1"/>
        <rFont val="Calibri"/>
        <family val="2"/>
        <scheme val="minor"/>
      </rPr>
      <t xml:space="preserve"> in die Kriegsgefangenschaft geraten</t>
    </r>
  </si>
  <si>
    <t>17/01/1810</t>
  </si>
  <si>
    <r>
      <t xml:space="preserve">Bei </t>
    </r>
    <r>
      <rPr>
        <b/>
        <sz val="12"/>
        <color theme="1"/>
        <rFont val="Calibri"/>
        <family val="2"/>
        <scheme val="minor"/>
      </rPr>
      <t>Schlacht von Neumarkt-Sankt Viet k</t>
    </r>
    <r>
      <rPr>
        <sz val="12"/>
        <color theme="1"/>
        <rFont val="Calibri"/>
        <family val="2"/>
        <scheme val="minor"/>
      </rPr>
      <t>riegsgefangen</t>
    </r>
  </si>
  <si>
    <t>25/05/1810</t>
  </si>
  <si>
    <t>SAMUEL, Joseph</t>
  </si>
  <si>
    <t>In Spital zu Poysdorf gestorben</t>
  </si>
  <si>
    <t>LORINZ, David</t>
  </si>
  <si>
    <t>12/07/1809</t>
  </si>
  <si>
    <t>In der Kriegsgefangeschaft gefallen</t>
  </si>
  <si>
    <t>ISAK/ DAVID, Martin</t>
  </si>
  <si>
    <t>MOISES, Markus</t>
  </si>
  <si>
    <t>01/06/1809</t>
  </si>
  <si>
    <t>10/10/1810</t>
  </si>
  <si>
    <t>In Spital gestorben</t>
  </si>
  <si>
    <t>In Spital zu Pest gestorben</t>
  </si>
  <si>
    <t>MOYSES, Aron</t>
  </si>
  <si>
    <t>12/02/1810</t>
  </si>
  <si>
    <t>Auf Kommando zu Waitzen gestorben</t>
  </si>
  <si>
    <t>ISZAK/IGNATZ, Jacob</t>
  </si>
  <si>
    <t>LEBIK, Samuel</t>
  </si>
  <si>
    <t>10/05/1811</t>
  </si>
  <si>
    <t>EZRIK, Kaim</t>
  </si>
  <si>
    <t>20/03/1809</t>
  </si>
  <si>
    <t>SALOMON, Simon</t>
  </si>
  <si>
    <t>BRAJMAN, Joseph/ WARHAUN, Johann</t>
  </si>
  <si>
    <t>BERGER, Marcus/ Martin</t>
  </si>
  <si>
    <t>Srabetka</t>
  </si>
  <si>
    <t>Bars</t>
  </si>
  <si>
    <t>03/05/1809</t>
  </si>
  <si>
    <r>
      <t xml:space="preserve">In der </t>
    </r>
    <r>
      <rPr>
        <b/>
        <sz val="12"/>
        <color theme="1"/>
        <rFont val="Calibri"/>
        <family val="2"/>
        <scheme val="minor"/>
      </rPr>
      <t xml:space="preserve">Schlacht von Ebelsberg </t>
    </r>
    <r>
      <rPr>
        <sz val="12"/>
        <color theme="1"/>
        <rFont val="Calibri"/>
        <family val="2"/>
        <scheme val="minor"/>
      </rPr>
      <t>kriegsgefangen</t>
    </r>
  </si>
  <si>
    <t>PFEFFERKORN, Michael</t>
  </si>
  <si>
    <t>03/10/1809</t>
  </si>
  <si>
    <t>19/02/1810</t>
  </si>
  <si>
    <t xml:space="preserve">In auswärtigem Spital gestorben </t>
  </si>
  <si>
    <t>GRENZEIT, Joseph/ GRENSAVITS, Johann</t>
  </si>
  <si>
    <t>06/10/1809</t>
  </si>
  <si>
    <t>15/12/1810</t>
  </si>
  <si>
    <t>ARENOVITS, Smulya</t>
  </si>
  <si>
    <t>07/01/1809</t>
  </si>
  <si>
    <t>In auswärtigen Spital gestorben</t>
  </si>
  <si>
    <t>JOSEFOVITS, Abraham</t>
  </si>
  <si>
    <t>Bodovce, Slovakia</t>
  </si>
  <si>
    <t>18/03/1808</t>
  </si>
  <si>
    <t>HAUPTMANN, Hiller</t>
  </si>
  <si>
    <t>Dubrynychi, Ukraine</t>
  </si>
  <si>
    <t>PINKESZ, Zeszmann</t>
  </si>
  <si>
    <t>HEFRA, Herschel</t>
  </si>
  <si>
    <t>Ladomirová, Slovakia</t>
  </si>
  <si>
    <t>15/09/1810</t>
  </si>
  <si>
    <t>LIEBERMANN, Joseph</t>
  </si>
  <si>
    <t>ABRAHAMOVITS, Vetsko</t>
  </si>
  <si>
    <t>KATZ, Abraham</t>
  </si>
  <si>
    <t>Rápolt, Hungary</t>
  </si>
  <si>
    <t>ZELMANN, Hersko</t>
  </si>
  <si>
    <t>Jakubovany, Slovakia</t>
  </si>
  <si>
    <t>12/03/1808</t>
  </si>
  <si>
    <t>LEFKOVITS, Herschel</t>
  </si>
  <si>
    <t>20/09/1810</t>
  </si>
  <si>
    <t>REICHNER, Simon</t>
  </si>
  <si>
    <t>Terňa, Slovakia</t>
  </si>
  <si>
    <t>MARKOVITS, Itzik</t>
  </si>
  <si>
    <t>Tisznamin</t>
  </si>
  <si>
    <t>BLUSZERMANN, Leba</t>
  </si>
  <si>
    <t>Irshava, Ukraine</t>
  </si>
  <si>
    <t>In Gran gestorben</t>
  </si>
  <si>
    <t>BRANSTEIN, Jacob</t>
  </si>
  <si>
    <t>Von Kommando desertiert</t>
  </si>
  <si>
    <t>28/03/1810</t>
  </si>
  <si>
    <t>29/03/1810 Ins InvH Prag zur Versorgung</t>
  </si>
  <si>
    <t>SIMONOVITS, Berko</t>
  </si>
  <si>
    <t>DAVIDOVITS, Israel/ Johann</t>
  </si>
  <si>
    <t>Sil’tse, Ukraine</t>
  </si>
  <si>
    <t>ITZKOVITS, Lebel</t>
  </si>
  <si>
    <t>SAJOVITS, David</t>
  </si>
  <si>
    <t>30/03/1808</t>
  </si>
  <si>
    <t>SALAMON, Jacob</t>
  </si>
  <si>
    <t>16/08/1809</t>
  </si>
  <si>
    <t>GRAB, Herschel</t>
  </si>
  <si>
    <t>BERGER, Loibel</t>
  </si>
  <si>
    <t>14/10/1809</t>
  </si>
  <si>
    <t>LÖBL, Samuel</t>
  </si>
  <si>
    <t>19/11/1809</t>
  </si>
  <si>
    <t>IZSAKOVITZ, Laiser</t>
  </si>
  <si>
    <t>MARKOVITS, Joseph</t>
  </si>
  <si>
    <t>DAVID, Alexander/ Johann</t>
  </si>
  <si>
    <t>LEBI, Samuel</t>
  </si>
  <si>
    <t>Veľká Ida, Slovakia</t>
  </si>
  <si>
    <t>In Spital zu Waitzen gestorben</t>
  </si>
  <si>
    <t>LISOVITS/NIESOVITZ, Aron</t>
  </si>
  <si>
    <t>23/10/1809</t>
  </si>
  <si>
    <t>Zu Gran gestorben</t>
  </si>
  <si>
    <t>SIMON, Gabriel</t>
  </si>
  <si>
    <t>DAVID, Johann</t>
  </si>
  <si>
    <t>MOJSES, Samuel</t>
  </si>
  <si>
    <t>30/08/1809</t>
  </si>
  <si>
    <t>HAIDUL, Joseph/ Johann</t>
  </si>
  <si>
    <t>Makó, Hungary</t>
  </si>
  <si>
    <t>Bishoflich</t>
  </si>
  <si>
    <t>26/07/1809</t>
  </si>
  <si>
    <t>ISZAKOVITS, Abraham</t>
  </si>
  <si>
    <t>Serednje, Ukraine</t>
  </si>
  <si>
    <t>04/11/1810</t>
  </si>
  <si>
    <t>In Spital zu Comorn gestorben</t>
  </si>
  <si>
    <t>MAYER, Mendel</t>
  </si>
  <si>
    <t>Jerke</t>
  </si>
  <si>
    <t>Gemeiner in IR 9</t>
  </si>
  <si>
    <t>Borhave</t>
  </si>
  <si>
    <t>SIMONOVITS, Leba</t>
  </si>
  <si>
    <t>17/07/1811</t>
  </si>
  <si>
    <r>
      <rPr>
        <b/>
        <sz val="12"/>
        <color theme="1"/>
        <rFont val="Calibri"/>
        <family val="2"/>
        <scheme val="minor"/>
      </rPr>
      <t xml:space="preserve">Bei der Schlacht von Eckmühl </t>
    </r>
    <r>
      <rPr>
        <sz val="12"/>
        <color theme="1"/>
        <rFont val="Calibri"/>
        <family val="2"/>
        <scheme val="minor"/>
      </rPr>
      <t xml:space="preserve">Kriegsgefangen </t>
    </r>
  </si>
  <si>
    <t>BERKOVITS, Herschel</t>
  </si>
  <si>
    <t>SCHWARZ, Joseph/Martin</t>
  </si>
  <si>
    <t>18/10/1810</t>
  </si>
  <si>
    <t>In Armee Garnison Spital zu Pest gestorben</t>
  </si>
  <si>
    <t>ADAMOVITS, Jacob</t>
  </si>
  <si>
    <t>Kráľovce, Slovakia</t>
  </si>
  <si>
    <r>
      <rPr>
        <b/>
        <sz val="12"/>
        <color theme="1"/>
        <rFont val="Calibri"/>
        <family val="2"/>
        <scheme val="minor"/>
      </rPr>
      <t xml:space="preserve">In der Schlacht bei Abensberg </t>
    </r>
    <r>
      <rPr>
        <sz val="12"/>
        <color theme="1"/>
        <rFont val="Calibri"/>
        <family val="2"/>
        <scheme val="minor"/>
      </rPr>
      <t xml:space="preserve">kriegsgefangen </t>
    </r>
  </si>
  <si>
    <t>DAVID, Joseph</t>
  </si>
  <si>
    <t>26/08/1809</t>
  </si>
  <si>
    <t>18/09/1809</t>
  </si>
  <si>
    <t>TERNY/TERNER, Mosko</t>
  </si>
  <si>
    <t>Tornoka</t>
  </si>
  <si>
    <t>06/10/1809≤</t>
  </si>
  <si>
    <t xml:space="preserve">UNBEKKANT: Erscheint nicht weiter in den Dokumenten </t>
  </si>
  <si>
    <t>SIMON, David</t>
  </si>
  <si>
    <t>06/01/1810</t>
  </si>
  <si>
    <t xml:space="preserve">In Militärspital zu Oroshaza gestorben </t>
  </si>
  <si>
    <t>05/12/1809</t>
  </si>
  <si>
    <t>ABRAHAM, Markus</t>
  </si>
  <si>
    <t>18/12/1809</t>
  </si>
  <si>
    <t>ISAK, Salomon</t>
  </si>
  <si>
    <t>05/04/1809</t>
  </si>
  <si>
    <t>Am Marsch desertiert</t>
  </si>
  <si>
    <t>FISCHER, Lorinz</t>
  </si>
  <si>
    <t xml:space="preserve">In Militärspital zu Pest gestorben </t>
  </si>
  <si>
    <t>MOYSES, Salomon</t>
  </si>
  <si>
    <t>ELIAS, Abraham</t>
  </si>
  <si>
    <t>19/08/1809</t>
  </si>
  <si>
    <t>SCHVARZ, Jacob</t>
  </si>
  <si>
    <t>30/11/1809</t>
  </si>
  <si>
    <t>FARKAS, Fratz</t>
  </si>
  <si>
    <t>Mikaldej</t>
  </si>
  <si>
    <t>WOLF, Philip</t>
  </si>
  <si>
    <t>26/07/1809≤</t>
  </si>
  <si>
    <t>UNBEKANNT: Scheint überhaupt nicht beim Regiment anzukommen</t>
  </si>
  <si>
    <t>JOACHIM, Jacob</t>
  </si>
  <si>
    <t>Frauenkirchen, Austria</t>
  </si>
  <si>
    <t>≤14/09/1809</t>
  </si>
  <si>
    <t>SCHUSTER, Leibel</t>
  </si>
  <si>
    <t>CONDEMNED</t>
  </si>
  <si>
    <t>23/05/1811</t>
  </si>
  <si>
    <t xml:space="preserve">Zur Schatz Arbeit condemniert </t>
  </si>
  <si>
    <t>Transferred to IR 48</t>
  </si>
  <si>
    <t>Tarasivka (Tyachiv Raion), Ukraine</t>
  </si>
  <si>
    <t>FUCHS, Marcus</t>
  </si>
  <si>
    <t>≤31/01/1790</t>
  </si>
  <si>
    <t>Was attached to IR 48 Feld Bats</t>
  </si>
  <si>
    <t>31/03/1790</t>
  </si>
  <si>
    <t xml:space="preserve">Zu Preßburg gestorben </t>
  </si>
  <si>
    <t>FÄRBER, Jermias</t>
  </si>
  <si>
    <t>ALTER, Jacob</t>
  </si>
  <si>
    <t>FRICHTEL, Moises</t>
  </si>
  <si>
    <t>LAZGER, David</t>
  </si>
  <si>
    <t>SCHILDHAUS, Jacob</t>
  </si>
  <si>
    <t>≤15/02/1790</t>
  </si>
  <si>
    <t>SCHROLBERGER, Simon</t>
  </si>
  <si>
    <t>≤31/03/1790</t>
  </si>
  <si>
    <t>SPATZ, Joseph</t>
  </si>
  <si>
    <t>KNAPL, Littmann</t>
  </si>
  <si>
    <t>Sternitz</t>
  </si>
  <si>
    <t>EICHEL, David</t>
  </si>
  <si>
    <t>≤10/05/1790</t>
  </si>
  <si>
    <t>JACOB, Israel</t>
  </si>
  <si>
    <t>ABRAHAMOVIZ, Jacob</t>
  </si>
  <si>
    <t>Izialoszick</t>
  </si>
  <si>
    <t>10/07/1799</t>
  </si>
  <si>
    <t>Transferred to IR 38</t>
  </si>
  <si>
    <t>SCHULTZ, Isak</t>
  </si>
  <si>
    <t>12/06/1805</t>
  </si>
  <si>
    <t>CHURFÜRST, Judas</t>
  </si>
  <si>
    <t>Krzemicz</t>
  </si>
  <si>
    <t>Rußland</t>
  </si>
  <si>
    <t>Neu Rußland</t>
  </si>
  <si>
    <t>Rußisch Polen</t>
  </si>
  <si>
    <t>08/03/1796</t>
  </si>
  <si>
    <t>UNBEKANNT: Erscheint nicht in der Revisions-Liste von Haupt Leib Kompanie zwischen 31. März und 1. Mai 1804</t>
  </si>
  <si>
    <t>BLUTMANN, Salomon</t>
  </si>
  <si>
    <t>Narol, Poland</t>
  </si>
  <si>
    <t>26/11/1798</t>
  </si>
  <si>
    <t>UNBEKANNT: Erscheint nach der Lücke im April 1804 nicht mehr in den Stades-Tabellen</t>
  </si>
  <si>
    <t>≤16/01/1790</t>
  </si>
  <si>
    <t>SCHMULOWITZ, Hirschel/ SMILOVICS, Hersl</t>
  </si>
  <si>
    <t>20/07/1805</t>
  </si>
  <si>
    <t>GERSIN, Jacob/ JACOB, Gerstel</t>
  </si>
  <si>
    <t>SCHRIEK/SKRUH, Peter</t>
  </si>
  <si>
    <t>Nowiny Horynieckie (Horyniec-Zdrój), Poland</t>
  </si>
  <si>
    <t>Horyniec-Zdrój, Poland</t>
  </si>
  <si>
    <t>MAYER, Berl</t>
  </si>
  <si>
    <t>MOISES, Abraham</t>
  </si>
  <si>
    <t>GRÜNNROCK, Bartholome/ Georg</t>
  </si>
  <si>
    <t>Graf Bregitky</t>
  </si>
  <si>
    <t>LEWIN, Leopold</t>
  </si>
  <si>
    <t>SWINSINSKY, Peter</t>
  </si>
  <si>
    <t>08/08/1797</t>
  </si>
  <si>
    <t>Corporal in IR 4</t>
  </si>
  <si>
    <t>MAJORWITZ, Daniel</t>
  </si>
  <si>
    <t>Stopnica, Poland</t>
  </si>
  <si>
    <t>REINBACH, Johann/ Joseph</t>
  </si>
  <si>
    <t xml:space="preserve">Als ausgedienter Inländer gegen Renuncierung mit Abschied entlassen </t>
  </si>
  <si>
    <t>JONAS, Nathan</t>
  </si>
  <si>
    <t>JAKOBOWITZ, David</t>
  </si>
  <si>
    <t>Sellowitz</t>
  </si>
  <si>
    <t>Morschgeitz</t>
  </si>
  <si>
    <t>SCHNITT, Jacob</t>
  </si>
  <si>
    <t>Berezdivtsi, Ukraine</t>
  </si>
  <si>
    <t xml:space="preserve">KLEIN, Löbel </t>
  </si>
  <si>
    <t>Moravský Krumlov, Czech Republic</t>
  </si>
  <si>
    <t>Znaim</t>
  </si>
  <si>
    <t>IR 7</t>
  </si>
  <si>
    <t>Gemeiner in IR 7</t>
  </si>
  <si>
    <t>SMULL, Schia</t>
  </si>
  <si>
    <t>Sucharzów (Obrazów), Poland</t>
  </si>
  <si>
    <t>20/09/1808</t>
  </si>
  <si>
    <t>BERGER, Michael</t>
  </si>
  <si>
    <t>SLAMOWITZ, Wolf</t>
  </si>
  <si>
    <t>Słomniki, Poland</t>
  </si>
  <si>
    <t>19/09/1808</t>
  </si>
  <si>
    <t>JUNKER, Abraham</t>
  </si>
  <si>
    <t>Scharowa</t>
  </si>
  <si>
    <t>14/11/1805</t>
  </si>
  <si>
    <t>LOEBEL, David</t>
  </si>
  <si>
    <t>Deutschkreutz, Austria</t>
  </si>
  <si>
    <t>JACOB, Moyses</t>
  </si>
  <si>
    <t>Biwan</t>
  </si>
  <si>
    <t>Dolschalky</t>
  </si>
  <si>
    <t>IR 8</t>
  </si>
  <si>
    <t>Gemeiner in IR 8</t>
  </si>
  <si>
    <t>KREUTZFUCHS, Joshua</t>
  </si>
  <si>
    <t>SCHNEIDER, Abraham</t>
  </si>
  <si>
    <t>PRADSPEIS, Selig</t>
  </si>
  <si>
    <t>BRETSCHNEIDER, Philipp</t>
  </si>
  <si>
    <t>Noureisch</t>
  </si>
  <si>
    <t>NEUWIRTH, Karl</t>
  </si>
  <si>
    <t>Batelov, Czech Republic</t>
  </si>
  <si>
    <t>05/08/1804</t>
  </si>
  <si>
    <t>PRAGER, Ignatz</t>
  </si>
  <si>
    <t>07/08/1809</t>
  </si>
  <si>
    <t>ROSENZWIG, Herschel</t>
  </si>
  <si>
    <t>Senica, Slovakia</t>
  </si>
  <si>
    <t>Tyrnau</t>
  </si>
  <si>
    <t>DEGEN, Abraham</t>
  </si>
  <si>
    <t>Rozdil, Ukraine</t>
  </si>
  <si>
    <t>Corporal in IR 8</t>
  </si>
  <si>
    <t>HILSNER, Simon</t>
  </si>
  <si>
    <t>28/02/1809</t>
  </si>
  <si>
    <t>HIEGLITZ, Pinkas</t>
  </si>
  <si>
    <t>Sawoda</t>
  </si>
  <si>
    <t>LINENHAUS, Herschel</t>
  </si>
  <si>
    <t>SCHWARZWALD, Salomon</t>
  </si>
  <si>
    <t>Tsiona</t>
  </si>
  <si>
    <t>DONAT, Abraham</t>
  </si>
  <si>
    <t>Horní Rožínka, Czech Republic</t>
  </si>
  <si>
    <t>WINKLER, Moises</t>
  </si>
  <si>
    <t>16/01/1809</t>
  </si>
  <si>
    <t>HEINRICH, Johann</t>
  </si>
  <si>
    <t>Zerrwitz</t>
  </si>
  <si>
    <t>LEDERER, Moyses</t>
  </si>
  <si>
    <t>GOLDMANN, Itsigg</t>
  </si>
  <si>
    <t>24/08/1805</t>
  </si>
  <si>
    <t>LAIB, Abraham</t>
  </si>
  <si>
    <t>Rodow</t>
  </si>
  <si>
    <t>THRAUM, Abraham</t>
  </si>
  <si>
    <t>Klimikow</t>
  </si>
  <si>
    <t>Gefreyter in IR 8</t>
  </si>
  <si>
    <t>01/07/1805</t>
  </si>
  <si>
    <t>BODNAR, Martho</t>
  </si>
  <si>
    <t>Hanachivka, Ukraine</t>
  </si>
  <si>
    <t>DERITZ, Berl</t>
  </si>
  <si>
    <t>Was attached to IR 10 Feld Bats</t>
  </si>
  <si>
    <t>In 1796</t>
  </si>
  <si>
    <t>BRUNNER, Moyses</t>
  </si>
  <si>
    <t>HERTEL, Salomon</t>
  </si>
  <si>
    <t xml:space="preserve">Maurstrach </t>
  </si>
  <si>
    <t>15/03/1798≤</t>
  </si>
  <si>
    <t>UNBEKANNT: In Dienst bis mindestens 15/03/1798</t>
  </si>
  <si>
    <t>Attached to IR 10 Feld Bats</t>
  </si>
  <si>
    <t>≤21/12/1797</t>
  </si>
  <si>
    <t>EISEN, Moyses</t>
  </si>
  <si>
    <t>Was attached to IR 10</t>
  </si>
  <si>
    <t>KOSSINER, Samuel</t>
  </si>
  <si>
    <t>Rolganma</t>
  </si>
  <si>
    <t>ZAMB, Moyses</t>
  </si>
  <si>
    <t>Was Attached to IR 10</t>
  </si>
  <si>
    <t>MAYER, Smule</t>
  </si>
  <si>
    <t>SCHLESINGER, Maximilian/ Markus</t>
  </si>
  <si>
    <t>29/04/1809</t>
  </si>
  <si>
    <t>30/09/1819</t>
  </si>
  <si>
    <t>28/04/1815</t>
  </si>
  <si>
    <t>STEINSCHNEIDER, Heinrich</t>
  </si>
  <si>
    <t>14/12/1819</t>
  </si>
  <si>
    <t xml:space="preserve">In Regiments Spital zu St. Pölten gestorben </t>
  </si>
  <si>
    <t>MENDLOWITZ, Herschl</t>
  </si>
  <si>
    <t>24/04/1805</t>
  </si>
  <si>
    <t>28/02/1820</t>
  </si>
  <si>
    <t>FROIM, Joachim</t>
  </si>
  <si>
    <t>Rejowiec, Poland</t>
  </si>
  <si>
    <t>Grenadier in IR 4</t>
  </si>
  <si>
    <t>Replacement man: Released as West Galician in 1811 and enlisted again as a foriegner to replace another soldier</t>
  </si>
  <si>
    <t>Replacement Man: Enlists instead of a burger for 150Fl (possibly with provision of false personal details)</t>
  </si>
  <si>
    <t>22/07/1815</t>
  </si>
  <si>
    <t>Římovice (Golčův Jeníkov), Czech Republic</t>
  </si>
  <si>
    <t>BOLLATZECK, Joseph</t>
  </si>
  <si>
    <t>POLLACK, Salomon/Simon</t>
  </si>
  <si>
    <t>Ober Krallowitz [NO LONGER EXISTS: Švihov Reservoir]</t>
  </si>
  <si>
    <t>30/08/1815</t>
  </si>
  <si>
    <t>04/02/1816</t>
  </si>
  <si>
    <t>VUWW</t>
  </si>
  <si>
    <t>SCHWARZ, Wolf</t>
  </si>
  <si>
    <t>Choustník, Czech Republic</t>
  </si>
  <si>
    <t>10/10/1796</t>
  </si>
  <si>
    <t>31/10/1803</t>
  </si>
  <si>
    <t>BRUSS, Hrün</t>
  </si>
  <si>
    <t>Czasrow</t>
  </si>
  <si>
    <t>19/04/1796</t>
  </si>
  <si>
    <t>Transferred to IR 28</t>
  </si>
  <si>
    <t>WÄCHTER, Nachmias/ Salomon</t>
  </si>
  <si>
    <t>06/01/1791≤</t>
  </si>
  <si>
    <t>UNBEKANNT: In Dienst bis mindestens 06/01/1791</t>
  </si>
  <si>
    <t>HIRSCHELL, Jacob</t>
  </si>
  <si>
    <t>Hřešihlavy, Kladruby, Czech Republic</t>
  </si>
  <si>
    <t>SINGER, Jacob</t>
  </si>
  <si>
    <t>12/09/1796</t>
  </si>
  <si>
    <t>GRABSTEIN, Friedrich [Lucas]</t>
  </si>
  <si>
    <t>21/09/1796</t>
  </si>
  <si>
    <t>Attached to IR 53 Feld Bats</t>
  </si>
  <si>
    <t>≤06/01/1791</t>
  </si>
  <si>
    <t>SCHMITZ, Abraham</t>
  </si>
  <si>
    <t>SCHUCH/SCHMITZ, Mojses</t>
  </si>
  <si>
    <t>Was attached to IR 53 Feld Bats</t>
  </si>
  <si>
    <t>SAMSON, Leib</t>
  </si>
  <si>
    <t>Transferred to IR 16</t>
  </si>
  <si>
    <t>≤16/09/1801</t>
  </si>
  <si>
    <t>NEUFELD, Moyses</t>
  </si>
  <si>
    <t>25/11/1801 Ins InvH Prag zur Versorgung</t>
  </si>
  <si>
    <t>25/11/1801</t>
  </si>
  <si>
    <t>LIPPER, Rubin</t>
  </si>
  <si>
    <t>Bisza</t>
  </si>
  <si>
    <t>22/01/1809</t>
  </si>
  <si>
    <t>OSTREICHER, Hirsch</t>
  </si>
  <si>
    <t>Isakiv, Ukraine</t>
  </si>
  <si>
    <t>MÜHLBAUER/MÜHLBACHER, Hirsch</t>
  </si>
  <si>
    <t>≤18/06/1809</t>
  </si>
  <si>
    <t>ROSENBERG, Elias</t>
  </si>
  <si>
    <t>Kock, Poland</t>
  </si>
  <si>
    <t>KAUF, Hersch</t>
  </si>
  <si>
    <t>DARROSCH, Fischel</t>
  </si>
  <si>
    <t>Zamod</t>
  </si>
  <si>
    <t>Zurka</t>
  </si>
  <si>
    <t>FRIEDMANN, Leiser/ RUSMANN, Leib</t>
  </si>
  <si>
    <t>Dolyna (Ternopil Oblast), Ukraine</t>
  </si>
  <si>
    <t>19/03/1807</t>
  </si>
  <si>
    <t>01/12/1810</t>
  </si>
  <si>
    <t>CHRAS/ Johann/ KRAS, Ivan</t>
  </si>
  <si>
    <t>Rożniatów (Zarzecze), Poland</t>
  </si>
  <si>
    <t>Pruchnik, Poland</t>
  </si>
  <si>
    <t>JABLONER, Moyses</t>
  </si>
  <si>
    <t>11/09/1808</t>
  </si>
  <si>
    <t>SATTLER, Victor</t>
  </si>
  <si>
    <t>HAUEN, Hritz/ RAUM, Chaim</t>
  </si>
  <si>
    <t>15/02/1805</t>
  </si>
  <si>
    <t>BLUTSTEIN, Moyses</t>
  </si>
  <si>
    <t>16/08/1808</t>
  </si>
  <si>
    <t>ABRAMOVITZ, Leib/ JABRAMOWICZ, Labisz</t>
  </si>
  <si>
    <t>Hovice</t>
  </si>
  <si>
    <t>16/11/1808</t>
  </si>
  <si>
    <t>DANIEL, Izek</t>
  </si>
  <si>
    <t>Baranów Sandomierski, Poland</t>
  </si>
  <si>
    <t>19/01/1799</t>
  </si>
  <si>
    <t>LAITER, Willmann</t>
  </si>
  <si>
    <t>15/03/1805</t>
  </si>
  <si>
    <t>CZERBA, Timko</t>
  </si>
  <si>
    <t>Hubychi, Ukraine</t>
  </si>
  <si>
    <t>Peredil'nytsya, Ukraine</t>
  </si>
  <si>
    <t>15/09/1808</t>
  </si>
  <si>
    <t>RAP, Isak</t>
  </si>
  <si>
    <t>10/04/1807</t>
  </si>
  <si>
    <t>GROSSMANN, Janko</t>
  </si>
  <si>
    <t>08/04/1807</t>
  </si>
  <si>
    <t>HEIL, Schmul</t>
  </si>
  <si>
    <t>Krakovets, Ukraine</t>
  </si>
  <si>
    <t>≤29/09/1810</t>
  </si>
  <si>
    <t>HIRSCHKOWICZ, Hrye</t>
  </si>
  <si>
    <t>11/10/1808</t>
  </si>
  <si>
    <t>GOLDBAUM, Wald/ LEWKOWICZ, Chaim</t>
  </si>
  <si>
    <t>02/12/1810</t>
  </si>
  <si>
    <t>ROSENBACH, Jankl</t>
  </si>
  <si>
    <t>01/04/1801</t>
  </si>
  <si>
    <t>ROSZEINSKY, Carl/ GOLDBERG, Martin</t>
  </si>
  <si>
    <t xml:space="preserve">Brzetbursz </t>
  </si>
  <si>
    <t>Corporal in IR 9</t>
  </si>
  <si>
    <t>KELMOWIZ, Simon</t>
  </si>
  <si>
    <t>≤Sept 1799</t>
  </si>
  <si>
    <t>C. Sept 1799</t>
  </si>
  <si>
    <t>Gegen Stellung des Recruttens Herschel ABRAMOWITZ entlassen</t>
  </si>
  <si>
    <t>≤March 1800</t>
  </si>
  <si>
    <t>LAISER, Josel</t>
  </si>
  <si>
    <t>C. March 1800</t>
  </si>
  <si>
    <t>≤11/02/1801</t>
  </si>
  <si>
    <t>ABRAHAM, Srul</t>
  </si>
  <si>
    <t>≤31/10/1800</t>
  </si>
  <si>
    <t>JACKELL, Isack</t>
  </si>
  <si>
    <t>ITZIG, David</t>
  </si>
  <si>
    <t>GRÜNBERG/ GRENFELD, Wolf</t>
  </si>
  <si>
    <t>20/01/1802</t>
  </si>
  <si>
    <t>21/01/1802 Ins InvH Prag zur Versorgung</t>
  </si>
  <si>
    <t>SCHLEIDER, Herschel</t>
  </si>
  <si>
    <t>31/12/1801</t>
  </si>
  <si>
    <t>POLLACK/POHL, Moises</t>
  </si>
  <si>
    <t>15/01/1802 Ins InvH Prag zur Versorgung</t>
  </si>
  <si>
    <t>FEIN, Isak</t>
  </si>
  <si>
    <t>Transferred to IR 54</t>
  </si>
  <si>
    <t>MAYER, Moyses</t>
  </si>
  <si>
    <t>20/02/1802</t>
  </si>
  <si>
    <t>MARKOWITZ, Sallomon</t>
  </si>
  <si>
    <t>KRAUS, Zacharias</t>
  </si>
  <si>
    <t>BUNZEL, Moises</t>
  </si>
  <si>
    <t>10/08/1801</t>
  </si>
  <si>
    <t>11/08/1801 Ins InvH Prag zur Versorgung</t>
  </si>
  <si>
    <t>JACOBOWITZ, Wolf/Wolfgang</t>
  </si>
  <si>
    <t>ABELS, Johann</t>
  </si>
  <si>
    <t>25/10/1802</t>
  </si>
  <si>
    <t>In Garnison Spital zu Prag gestorben</t>
  </si>
  <si>
    <t>MACKOWICZ, Nepton</t>
  </si>
  <si>
    <t>17/09/1795</t>
  </si>
  <si>
    <t>01/11/1802 Im InvH Prag zur Versorgung</t>
  </si>
  <si>
    <t>ZELLER, Leib</t>
  </si>
  <si>
    <t>In Sept 1802</t>
  </si>
  <si>
    <t>BERGER, Jacob</t>
  </si>
  <si>
    <t>Hořepník, Czech Republic</t>
  </si>
  <si>
    <t>05/03/1803</t>
  </si>
  <si>
    <t>InvH Wien</t>
  </si>
  <si>
    <t>06/03/1800 ins InvH Prag zur Versorgung</t>
  </si>
  <si>
    <t>HERSCH, Jacob</t>
  </si>
  <si>
    <t>Sabuwasch</t>
  </si>
  <si>
    <t>Als auf Kriegsdauer gestelle und zu Wirtschaft nötiger mit Abschied entlassen</t>
  </si>
  <si>
    <t>Lemge</t>
  </si>
  <si>
    <t>Braunitz</t>
  </si>
  <si>
    <t>BEER, Loibel</t>
  </si>
  <si>
    <t>Als auf Kriegsdauer gestelle und zu Hause nötiger mit Abschied entlassen</t>
  </si>
  <si>
    <t>≤10/06/1801</t>
  </si>
  <si>
    <t>LEIBEL, Chaim</t>
  </si>
  <si>
    <t>01/08/1801 Ins InvH Pettau zur Versorgung</t>
  </si>
  <si>
    <t>≤13/06/1801</t>
  </si>
  <si>
    <t>NOATAN, Daniel</t>
  </si>
  <si>
    <t>WOLFOWITZ, Abraham</t>
  </si>
  <si>
    <t>22/08/1802</t>
  </si>
  <si>
    <t>Gegen Stellung einen Recruttens mit Abschied entlassen</t>
  </si>
  <si>
    <t>MOISES, Izig</t>
  </si>
  <si>
    <t>NISCHOWITZ, Jankel</t>
  </si>
  <si>
    <t>ABRAHAM, Hersch</t>
  </si>
  <si>
    <t>≤12/06/1801</t>
  </si>
  <si>
    <t>ERSCHKOWITZ, Moises</t>
  </si>
  <si>
    <t>BERL, Janke</t>
  </si>
  <si>
    <t>Praktikant</t>
  </si>
  <si>
    <t>Artzt</t>
  </si>
  <si>
    <t>Transferred to IR 55</t>
  </si>
  <si>
    <t>KLEIN, Philipp</t>
  </si>
  <si>
    <t>Vysočany (Praha 9), Czech Republic</t>
  </si>
  <si>
    <t>15/09/1806</t>
  </si>
  <si>
    <t>Als Reale Invalid mit dienst Gratiale mit Abschied entlassen</t>
  </si>
  <si>
    <t>BERECK, Israel</t>
  </si>
  <si>
    <t>Chölm</t>
  </si>
  <si>
    <t>JONAS, Jacob</t>
  </si>
  <si>
    <t xml:space="preserve">Stensy/Stensky </t>
  </si>
  <si>
    <t>Lublin Poland</t>
  </si>
  <si>
    <t>HOCHWALD, Wolff</t>
  </si>
  <si>
    <t>27/02/1797</t>
  </si>
  <si>
    <t>SACHS, Pinkas</t>
  </si>
  <si>
    <t>06/09/1801</t>
  </si>
  <si>
    <t>20/11/1804</t>
  </si>
  <si>
    <t>Gegen Stellung 2 Ausländer Capitulanten mit Abschied entlassen</t>
  </si>
  <si>
    <t>Opatovice II (Uhlířské Janovice), Czech Republic</t>
  </si>
  <si>
    <t>Rataje nad Sázavou, Czech Republic</t>
  </si>
  <si>
    <t>05/09/1796</t>
  </si>
  <si>
    <t>JELLINECK, Joseph</t>
  </si>
  <si>
    <t>10/03/1805</t>
  </si>
  <si>
    <t>Gegen Renuncierung als Reale Invalid mit Dienst Gratiale von 19Fl 30xr mit Abschied entlassen</t>
  </si>
  <si>
    <t>STRAUSS, Moises</t>
  </si>
  <si>
    <t>Blinka (Plaňany), Czech Republic</t>
  </si>
  <si>
    <t>Lošánky, Czech Republic</t>
  </si>
  <si>
    <t>12/03/1800</t>
  </si>
  <si>
    <t>02/07/1805</t>
  </si>
  <si>
    <r>
      <rPr>
        <b/>
        <sz val="12"/>
        <color theme="1"/>
        <rFont val="Calibri"/>
        <family val="2"/>
        <scheme val="minor"/>
      </rPr>
      <t>Während der Retirade aus Italien</t>
    </r>
    <r>
      <rPr>
        <sz val="12"/>
        <color theme="1"/>
        <rFont val="Calibri"/>
        <family val="2"/>
        <scheme val="minor"/>
      </rPr>
      <t xml:space="preserve"> unwissend Verloren </t>
    </r>
  </si>
  <si>
    <t>KOPPERT, Hasil</t>
  </si>
  <si>
    <t>Pukasivtsi, Ukraine</t>
  </si>
  <si>
    <t>Krylos, Ukraine</t>
  </si>
  <si>
    <t>LOCH, Marcus</t>
  </si>
  <si>
    <t>01/09/1805≤</t>
  </si>
  <si>
    <t>UNBEKANNT: Der Soldat erscheint danach nicht mehr in die Quellen; Vermutlich in Ulm Kriegsgefangen.</t>
  </si>
  <si>
    <t>MOSHKOWITZ, Samuel</t>
  </si>
  <si>
    <t>Piaski, Swidnik County Poland</t>
  </si>
  <si>
    <t>KAUBITSCHECK, Samuel</t>
  </si>
  <si>
    <t>27/07/1800</t>
  </si>
  <si>
    <t>10/08/1806</t>
  </si>
  <si>
    <t>11/08/1806 Ins InvH Prag zur Versorgung</t>
  </si>
  <si>
    <t>12/11/1814 Ins InvH Tyrnau zur Versorgung</t>
  </si>
  <si>
    <t>19/10/1811 Ins InvH Tyrnau zur Versorgung</t>
  </si>
  <si>
    <t>Vytvytsya, Ukraine</t>
  </si>
  <si>
    <t>BRENNER, Juda</t>
  </si>
  <si>
    <t>FREUND, Marcus</t>
  </si>
  <si>
    <t>Oleška, Czech Republic</t>
  </si>
  <si>
    <t>Kostelec nad Černými lesy, Czech Republic</t>
  </si>
  <si>
    <t>23/01/1797</t>
  </si>
  <si>
    <t>BIDZOW, Naftalin</t>
  </si>
  <si>
    <t>25/05/1806</t>
  </si>
  <si>
    <t>26/05/1806 Ins InvH Prag zur Versorgung</t>
  </si>
  <si>
    <t>01/12/1801 Ins InvH Pettau zur Versorgung</t>
  </si>
  <si>
    <t xml:space="preserve">06/10/1810 Ins InvH Prag zur Versorgung und von da seinen Verlangen gemäß mit Reservations Urkunde zu entlassen </t>
  </si>
  <si>
    <t>KATZ, Samuel</t>
  </si>
  <si>
    <t>Plaňany, Czech Republic</t>
  </si>
  <si>
    <t>16/07/1805</t>
  </si>
  <si>
    <t>HOENIG, Hirschel</t>
  </si>
  <si>
    <t>20/08/1805</t>
  </si>
  <si>
    <t>HELLOWITZ, Mayer</t>
  </si>
  <si>
    <t>Lusotry</t>
  </si>
  <si>
    <t>31/01/1805</t>
  </si>
  <si>
    <t>POPPELS, Salomon</t>
  </si>
  <si>
    <t>11/03/1805 Ins InvH Prag zur Versorgung</t>
  </si>
  <si>
    <t xml:space="preserve">HASSEL, Löwy </t>
  </si>
  <si>
    <t>KAUFFMANN, Wolf/Wenzel</t>
  </si>
  <si>
    <t>NEUMANN, Abraham</t>
  </si>
  <si>
    <t>Posamentier</t>
  </si>
  <si>
    <t>27/09/1797</t>
  </si>
  <si>
    <t>DITMANN, Borih</t>
  </si>
  <si>
    <t>Popowice (Stary Sącz), Poland</t>
  </si>
  <si>
    <t>Stary Sącz, Poland</t>
  </si>
  <si>
    <t>14/02/1806</t>
  </si>
  <si>
    <t>Von Urlaub in Galizien desertiert</t>
  </si>
  <si>
    <t>KRIEGER/GREER, Fischel</t>
  </si>
  <si>
    <t xml:space="preserve">FING, Löbel </t>
  </si>
  <si>
    <t>Hleďsebe (Lhotka), Czech Republic</t>
  </si>
  <si>
    <t>Nebužely, Czech Republic</t>
  </si>
  <si>
    <t>08/11/1805</t>
  </si>
  <si>
    <t>UTITZ, Moyses</t>
  </si>
  <si>
    <t>18/07/1796</t>
  </si>
  <si>
    <t>31/08/1805</t>
  </si>
  <si>
    <t>01/09/1805 Ins InvH Prag zur Versorgung</t>
  </si>
  <si>
    <t>WOITITZ, Abraham</t>
  </si>
  <si>
    <t>Strakonice, Czech Republic</t>
  </si>
  <si>
    <t>26/07/1796</t>
  </si>
  <si>
    <r>
      <t xml:space="preserve">In </t>
    </r>
    <r>
      <rPr>
        <b/>
        <sz val="12"/>
        <color theme="1"/>
        <rFont val="Calibri"/>
        <family val="2"/>
        <scheme val="minor"/>
      </rPr>
      <t>Ulm</t>
    </r>
    <r>
      <rPr>
        <sz val="12"/>
        <color theme="1"/>
        <rFont val="Calibri"/>
        <family val="2"/>
        <scheme val="minor"/>
      </rPr>
      <t xml:space="preserve"> Kriegsgefangen</t>
    </r>
  </si>
  <si>
    <t>TAUSSING, Seligmann</t>
  </si>
  <si>
    <t>ABRAHAM, Israel</t>
  </si>
  <si>
    <t>Taken prisoner in Hospital, enlistes and served 9 months in the French army, deserts from there, but fails to report back until arrested by the authorities</t>
  </si>
  <si>
    <t>MARKOWICZ, Joseph</t>
  </si>
  <si>
    <t>POW in 1799; arrested as a deserter in 1799</t>
  </si>
  <si>
    <t>05/10/1806</t>
  </si>
  <si>
    <t>06/10/1806 Ims InvH Prag zur Versorgung</t>
  </si>
  <si>
    <t>GLASER, Joseph</t>
  </si>
  <si>
    <t>FELDLERCH, Nahim</t>
  </si>
  <si>
    <t>Rozwadów (Stalowa Wola), Poland</t>
  </si>
  <si>
    <t>Charzewice (Zakliczyn), Poland</t>
  </si>
  <si>
    <t>DOLEK, Marcus</t>
  </si>
  <si>
    <t>DUCKAS, Abraham</t>
  </si>
  <si>
    <t>Augezdetz</t>
  </si>
  <si>
    <t>Kaunitz</t>
  </si>
  <si>
    <t>FLISKER/PRISKA, Abraham</t>
  </si>
  <si>
    <t>25/06/1806</t>
  </si>
  <si>
    <t>26/06/1806 Ins InvH Prag zur Versorgung</t>
  </si>
  <si>
    <t>WOLFFOWITZ, Moises</t>
  </si>
  <si>
    <t>21/06/1805</t>
  </si>
  <si>
    <t>KLEIN, Israel</t>
  </si>
  <si>
    <t>19/02/1806</t>
  </si>
  <si>
    <t>In Spital zu Prag gestorben</t>
  </si>
  <si>
    <t>COMINA/CAMIL. Joseph</t>
  </si>
  <si>
    <t>In Nov 1802</t>
  </si>
  <si>
    <t>MIKLOWIZ, Joseph</t>
  </si>
  <si>
    <t>18/10/1799</t>
  </si>
  <si>
    <t>In March 1803</t>
  </si>
  <si>
    <t>Gegen Stellung eines Ausländer mit Aschied entlassen</t>
  </si>
  <si>
    <t>KAIMOWIZ, Schmul</t>
  </si>
  <si>
    <t>Turobin, Poland</t>
  </si>
  <si>
    <t>Transferred to GR 1</t>
  </si>
  <si>
    <t>MOISZE/MOISELL, Mendel</t>
  </si>
  <si>
    <t>Solotvyn, Ukraine</t>
  </si>
  <si>
    <t>SCHMULL, Leib</t>
  </si>
  <si>
    <t>31/05/1803</t>
  </si>
  <si>
    <t>MAKLOWITZ, Salmman/Heller</t>
  </si>
  <si>
    <t>Markuszów, Poland</t>
  </si>
  <si>
    <t>22/10/1802</t>
  </si>
  <si>
    <t>In Spital zu Rovingo gestorben</t>
  </si>
  <si>
    <t>MAYER, Michael</t>
  </si>
  <si>
    <t>Wonvolnice</t>
  </si>
  <si>
    <t>30/03/1797</t>
  </si>
  <si>
    <t>MAYER, Jankel</t>
  </si>
  <si>
    <t>NEUSTÄDTER, David</t>
  </si>
  <si>
    <t>01/06/1803</t>
  </si>
  <si>
    <t>DAVID, Berl/BERL, David</t>
  </si>
  <si>
    <t>In May 1803</t>
  </si>
  <si>
    <t>Gegen Stellung eines Werrbezirk Rekrutten mit Abschied entlassen</t>
  </si>
  <si>
    <t>BLOZKER, Mailach</t>
  </si>
  <si>
    <t xml:space="preserve">Gegen Stellung eines Mannes Als steuerbare Grundbesitzer mit Abschied entlassen </t>
  </si>
  <si>
    <t>KOPPER, Aron</t>
  </si>
  <si>
    <t>Husakiv, Ukraine</t>
  </si>
  <si>
    <t>12/07/1803</t>
  </si>
  <si>
    <t>KUHN, Jakob</t>
  </si>
  <si>
    <t>18/04/1804</t>
  </si>
  <si>
    <t>Grenadier in IR 20</t>
  </si>
  <si>
    <t>MARKOWITZ, Moyses</t>
  </si>
  <si>
    <t>Wielka Wola (Paradyż), Poland</t>
  </si>
  <si>
    <t>Gemeiner in IR 20</t>
  </si>
  <si>
    <t>FROIM, Lawek</t>
  </si>
  <si>
    <t>ELIAS, Wolf</t>
  </si>
  <si>
    <t>SCHNURER, Leib</t>
  </si>
  <si>
    <t>LANZ, Aron</t>
  </si>
  <si>
    <t>TABELIER, Jone</t>
  </si>
  <si>
    <t>Poniatowsky</t>
  </si>
  <si>
    <t>KOFFLER, Jankel</t>
  </si>
  <si>
    <t>LAMPE, Moyses</t>
  </si>
  <si>
    <t>In 08/1805</t>
  </si>
  <si>
    <t>Stricker</t>
  </si>
  <si>
    <t>Obertyn, Ukraine</t>
  </si>
  <si>
    <t>DAMPF, Samuel</t>
  </si>
  <si>
    <t>PICKES, Simon</t>
  </si>
  <si>
    <t>LAX, Isaack</t>
  </si>
  <si>
    <t>MASTEL, Jacob</t>
  </si>
  <si>
    <t>Vynnyky, Ukraine</t>
  </si>
  <si>
    <t>LEDERER, Jakob</t>
  </si>
  <si>
    <t>16/01/1806</t>
  </si>
  <si>
    <t>NOATON, Balton/ NOVETAN, Valentin</t>
  </si>
  <si>
    <t>Bełżyce, Poland</t>
  </si>
  <si>
    <t>30/07/1805</t>
  </si>
  <si>
    <t>HERSCHKOWIRZ, Itzig</t>
  </si>
  <si>
    <t>Pisiawola</t>
  </si>
  <si>
    <t>Als Untauglich gegen Stellung des Recruttens Abraham FABLOWITZ  entlassen</t>
  </si>
  <si>
    <t>FABLOWIT/BABLOWITZ, Abraham</t>
  </si>
  <si>
    <t>Gorzków (Krasnystaw County), Poland</t>
  </si>
  <si>
    <t>04/03/1800</t>
  </si>
  <si>
    <t>DAVID, Heinrich [Cheim]</t>
  </si>
  <si>
    <t>JEWISH?</t>
  </si>
  <si>
    <t>Präsent</t>
  </si>
  <si>
    <t>Absent</t>
  </si>
  <si>
    <t>Außer der Militär-Jurisdiktion</t>
  </si>
  <si>
    <t>Knaben</t>
  </si>
  <si>
    <t>Mädchen</t>
  </si>
  <si>
    <t>Schuh</t>
  </si>
  <si>
    <t>Converted to the Metric system</t>
  </si>
  <si>
    <t>Enlisted on</t>
  </si>
  <si>
    <t>Date</t>
  </si>
  <si>
    <t>Serves?/ Outtake?/ Final Fate?</t>
  </si>
  <si>
    <t>Service Record</t>
  </si>
  <si>
    <t>Primary Sources</t>
  </si>
  <si>
    <t>Conduite</t>
  </si>
  <si>
    <t>Defekten</t>
  </si>
  <si>
    <t>Attrapiert</t>
  </si>
  <si>
    <t>COLOUR KEY</t>
  </si>
  <si>
    <t>Transfer between different army units</t>
  </si>
  <si>
    <t>Soldier left service</t>
  </si>
  <si>
    <r>
      <t xml:space="preserve">Member of the </t>
    </r>
    <r>
      <rPr>
        <i/>
        <sz val="14"/>
        <color theme="1"/>
        <rFont val="Calibri"/>
        <family val="2"/>
        <scheme val="minor"/>
      </rPr>
      <t>Landwehr</t>
    </r>
  </si>
  <si>
    <t>Member of the army reserve OR fate unknown (UNBEKANNT)</t>
  </si>
  <si>
    <t>Missing data OR gap in service</t>
  </si>
  <si>
    <t>Service in the Habsburg Army at some point during the calendar year</t>
  </si>
  <si>
    <t>Service in the French Army or in one of the armies of Napoleon's allies</t>
  </si>
  <si>
    <t>Final Fate</t>
  </si>
  <si>
    <t>Note 1</t>
  </si>
  <si>
    <t>Note 2</t>
  </si>
  <si>
    <t>Service during a whole calendar year within the same army unit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</si>
</sst>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2"/>
      <color theme="1"/>
      <name val="Calibri"/>
      <family val="2"/>
      <scheme val="minor"/>
    </font>
    <font>
      <b/>
      <sz val="12"/>
      <color theme="1"/>
      <name val="Calibri"/>
      <family val="2"/>
      <scheme val="minor"/>
    </font>
    <font>
      <u/>
      <sz val="12"/>
      <color theme="10"/>
      <name val="Calibri"/>
      <family val="2"/>
      <scheme val="minor"/>
    </font>
    <font>
      <b/>
      <sz val="14"/>
      <color theme="1"/>
      <name val="Calibri"/>
      <family val="2"/>
      <scheme val="minor"/>
    </font>
    <font>
      <b/>
      <sz val="14"/>
      <color rgb="FF000000"/>
      <name val="Calibri"/>
      <family val="34"/>
    </font>
    <font>
      <sz val="14"/>
      <color rgb="FF000000"/>
      <name val="Calibri"/>
      <family val="34"/>
    </font>
    <font>
      <i/>
      <sz val="12"/>
      <color theme="1"/>
      <name val="Calibri"/>
      <family val="2"/>
      <scheme val="minor"/>
    </font>
    <font>
      <sz val="14"/>
      <color rgb="FF000000"/>
      <name val="+mn-lt"/>
      <charset val="1"/>
    </font>
    <font>
      <sz val="14"/>
      <color rgb="FFFF0000"/>
      <name val="+mn-lt"/>
      <charset val="1"/>
    </font>
    <font>
      <sz val="14"/>
      <color rgb="FFFF0000"/>
      <name val="Calibri"/>
      <family val="34"/>
    </font>
    <font>
      <sz val="10"/>
      <color rgb="FF000000"/>
      <name val="Calibri"/>
      <family val="2"/>
    </font>
    <font>
      <sz val="10"/>
      <color rgb="FF000000"/>
      <name val="Tahoma"/>
      <family val="2"/>
    </font>
    <font>
      <i/>
      <sz val="14"/>
      <color rgb="FF000000"/>
      <name val="Calibri"/>
      <family val="34"/>
    </font>
    <font>
      <sz val="14"/>
      <color rgb="FFFF0000"/>
      <name val="Times New Roman"/>
      <family val="18"/>
    </font>
    <font>
      <i/>
      <sz val="14"/>
      <color rgb="FFFF0000"/>
      <name val="Times New Roman"/>
      <family val="18"/>
    </font>
    <font>
      <sz val="14"/>
      <color rgb="FF000000"/>
      <name val="Times New Roman"/>
      <family val="18"/>
    </font>
    <font>
      <i/>
      <sz val="14"/>
      <color rgb="FF000000"/>
      <name val="Times New Roman"/>
      <family val="18"/>
    </font>
    <font>
      <b/>
      <sz val="14"/>
      <color rgb="FF000000"/>
      <name val="Times New Roman"/>
      <family val="18"/>
    </font>
    <font>
      <i/>
      <sz val="12"/>
      <name val="Calibri"/>
      <family val="2"/>
      <scheme val="minor"/>
    </font>
    <font>
      <sz val="14"/>
      <color rgb="FF000000"/>
      <name val="Calibri"/>
      <family val="2"/>
    </font>
    <font>
      <sz val="14"/>
      <color rgb="FF000000"/>
      <name val="Times"/>
      <family val="2"/>
    </font>
    <font>
      <sz val="12"/>
      <color rgb="FF000000"/>
      <name val="Calibri"/>
      <family val="2"/>
      <scheme val="minor"/>
    </font>
    <font>
      <i/>
      <sz val="12"/>
      <color rgb="FF000000"/>
      <name val="Calibri"/>
      <family val="2"/>
      <scheme val="minor"/>
    </font>
    <font>
      <b/>
      <i/>
      <sz val="14"/>
      <color rgb="FF000000"/>
      <name val="Times New Roman"/>
      <family val="18"/>
    </font>
    <font>
      <sz val="14"/>
      <color rgb="FF000000"/>
      <name val="Calibri"/>
      <family val="2"/>
      <scheme val="minor"/>
    </font>
    <font>
      <b/>
      <sz val="14"/>
      <color rgb="FFFF0000"/>
      <name val="Times New Roman"/>
      <family val="18"/>
    </font>
    <font>
      <sz val="18"/>
      <color rgb="FF000000"/>
      <name val="Times New Roman"/>
      <family val="18"/>
    </font>
    <font>
      <sz val="18"/>
      <color rgb="FF000000"/>
      <name val="Calibri"/>
      <family val="34"/>
    </font>
    <font>
      <b/>
      <u/>
      <sz val="14"/>
      <color rgb="FF0563C1"/>
      <name val="Times New Roman"/>
      <family val="18"/>
    </font>
    <font>
      <u/>
      <sz val="14"/>
      <color rgb="FF0563C1"/>
      <name val="Times New Roman"/>
      <family val="18"/>
    </font>
    <font>
      <i/>
      <sz val="14"/>
      <color rgb="FF000000"/>
      <name val="Calibri"/>
      <family val="2"/>
    </font>
    <font>
      <u/>
      <sz val="12"/>
      <color rgb="FF0563C1"/>
      <name val="Calibri"/>
      <family val="2"/>
      <scheme val="minor"/>
    </font>
    <font>
      <b/>
      <u/>
      <sz val="12"/>
      <color rgb="FF0563C1"/>
      <name val="Times New Roman"/>
      <family val="18"/>
    </font>
    <font>
      <sz val="12"/>
      <color rgb="FF000000"/>
      <name val="Times New Roman"/>
      <family val="18"/>
    </font>
    <font>
      <sz val="14"/>
      <color rgb="FF000000"/>
      <name val="german"/>
      <charset val="1"/>
    </font>
    <font>
      <b/>
      <u/>
      <sz val="14"/>
      <color rgb="FF000000"/>
      <name val="Times New Roman"/>
      <family val="18"/>
    </font>
    <font>
      <b/>
      <sz val="12"/>
      <name val="Calibri"/>
      <family val="2"/>
      <scheme val="minor"/>
    </font>
    <font>
      <b/>
      <sz val="12"/>
      <color rgb="FF000000"/>
      <name val="Calibri"/>
      <family val="2"/>
      <scheme val="minor"/>
    </font>
    <font>
      <b/>
      <u/>
      <sz val="12"/>
      <color rgb="FF0563C1"/>
      <name val="+mn-lt"/>
      <charset val="1"/>
    </font>
    <font>
      <sz val="12"/>
      <color rgb="FF000000"/>
      <name val="+mn-lt"/>
      <charset val="1"/>
    </font>
    <font>
      <i/>
      <sz val="12"/>
      <color rgb="FF000000"/>
      <name val="+mn-lt"/>
      <charset val="1"/>
    </font>
    <font>
      <b/>
      <sz val="12"/>
      <color rgb="FF000000"/>
      <name val="+mn-lt"/>
      <charset val="1"/>
    </font>
    <font>
      <i/>
      <vertAlign val="superscript"/>
      <sz val="14"/>
      <color rgb="FF000000"/>
      <name val="Times New Roman"/>
      <family val="18"/>
    </font>
    <font>
      <b/>
      <sz val="12"/>
      <color theme="1"/>
      <name val="Calibri"/>
      <family val="2"/>
    </font>
    <font>
      <sz val="14"/>
      <color rgb="FF212121"/>
      <name val="Times New Roman"/>
      <family val="18"/>
    </font>
    <font>
      <b/>
      <i/>
      <sz val="14"/>
      <color rgb="FFFF0000"/>
      <name val="Times New Roman"/>
      <family val="18"/>
    </font>
    <font>
      <i/>
      <sz val="12"/>
      <color rgb="FFFF0000"/>
      <name val="Calibri"/>
      <family val="2"/>
      <scheme val="minor"/>
    </font>
    <font>
      <sz val="12"/>
      <name val="Calibri"/>
      <family val="2"/>
      <scheme val="minor"/>
    </font>
    <font>
      <sz val="12"/>
      <color rgb="FF000000"/>
      <name val="Calibri"/>
      <family val="2"/>
    </font>
    <font>
      <sz val="12"/>
      <color theme="1"/>
      <name val="Calibri"/>
      <family val="2"/>
      <scheme val="minor"/>
    </font>
    <font>
      <sz val="10"/>
      <color rgb="FF000000"/>
      <name val="Calibri"/>
      <family val="34"/>
    </font>
    <font>
      <sz val="14"/>
      <color rgb="FF000000"/>
      <name val="Aptos"/>
      <family val="34"/>
    </font>
    <font>
      <sz val="12"/>
      <color rgb="FF000000"/>
      <name val="Calibri"/>
      <family val="34"/>
    </font>
    <font>
      <b/>
      <u/>
      <sz val="14"/>
      <color rgb="FF467886"/>
      <name val="Times New Roman"/>
      <family val="18"/>
    </font>
    <font>
      <sz val="8"/>
      <name val="Calibri"/>
      <family val="2"/>
      <scheme val="minor"/>
    </font>
    <font>
      <sz val="18"/>
      <color rgb="FF000000"/>
      <name val="Calibri"/>
      <family val="2"/>
    </font>
    <font>
      <b/>
      <sz val="14"/>
      <color rgb="FF000000"/>
      <name val="Calibri"/>
      <family val="2"/>
    </font>
    <font>
      <i/>
      <sz val="14"/>
      <color rgb="FF212121"/>
      <name val="Times New Roman"/>
      <family val="18"/>
    </font>
    <font>
      <i/>
      <sz val="14"/>
      <color rgb="FFFF0000"/>
      <name val="Calibri"/>
      <family val="34"/>
    </font>
    <font>
      <b/>
      <sz val="14"/>
      <color rgb="FF0563C1"/>
      <name val="Times New Roman"/>
      <family val="18"/>
    </font>
    <font>
      <sz val="12"/>
      <color theme="1"/>
      <name val="Times New Roman"/>
      <family val="1"/>
    </font>
    <font>
      <b/>
      <u/>
      <sz val="14"/>
      <color rgb="FF0000FF"/>
      <name val="Times New Roman"/>
      <family val="18"/>
    </font>
    <font>
      <i/>
      <u/>
      <sz val="12"/>
      <color theme="10"/>
      <name val="Calibri"/>
      <family val="2"/>
      <scheme val="minor"/>
    </font>
    <font>
      <b/>
      <i/>
      <sz val="14"/>
      <color theme="1"/>
      <name val="Calibri"/>
      <family val="2"/>
      <scheme val="minor"/>
    </font>
    <font>
      <b/>
      <i/>
      <sz val="18"/>
      <color rgb="FF000000"/>
      <name val="+mn-lt"/>
      <charset val="1"/>
    </font>
    <font>
      <b/>
      <i/>
      <sz val="18"/>
      <color rgb="FF000000"/>
      <name val="Calibri"/>
      <family val="34"/>
    </font>
    <font>
      <b/>
      <i/>
      <sz val="18"/>
      <color rgb="FF000000"/>
      <name val="Calibri"/>
      <family val="2"/>
    </font>
    <font>
      <b/>
      <i/>
      <sz val="12"/>
      <color theme="1"/>
      <name val="Calibri"/>
      <family val="2"/>
      <scheme val="minor"/>
    </font>
    <font>
      <b/>
      <sz val="18"/>
      <color rgb="FF000000"/>
      <name val="+mn-lt"/>
      <charset val="1"/>
    </font>
    <font>
      <b/>
      <sz val="16"/>
      <color theme="1"/>
      <name val="Calibri"/>
      <family val="2"/>
      <scheme val="minor"/>
    </font>
    <font>
      <b/>
      <i/>
      <sz val="16"/>
      <color theme="1"/>
      <name val="Calibri"/>
      <family val="2"/>
      <scheme val="minor"/>
    </font>
    <font>
      <b/>
      <sz val="12"/>
      <color rgb="FF000000"/>
      <name val="Calibri"/>
      <family val="2"/>
    </font>
    <font>
      <b/>
      <sz val="18"/>
      <color theme="1"/>
      <name val="Calibri"/>
      <family val="2"/>
      <scheme val="minor"/>
    </font>
    <font>
      <sz val="14"/>
      <color theme="1"/>
      <name val="Calibri"/>
      <family val="2"/>
      <scheme val="minor"/>
    </font>
    <font>
      <i/>
      <sz val="14"/>
      <color theme="1"/>
      <name val="Calibri"/>
      <family val="2"/>
      <scheme val="minor"/>
    </font>
  </fonts>
  <fills count="1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rgb="FFFFC000"/>
        <bgColor indexed="64"/>
      </patternFill>
    </fill>
    <fill>
      <patternFill patternType="solid">
        <fgColor rgb="FF92D050"/>
        <bgColor indexed="64"/>
      </patternFill>
    </fill>
    <fill>
      <patternFill patternType="solid">
        <fgColor rgb="FF7030A0"/>
        <bgColor indexed="64"/>
      </patternFill>
    </fill>
    <fill>
      <patternFill patternType="solid">
        <fgColor rgb="FFFF0000"/>
        <bgColor rgb="FF000000"/>
      </patternFill>
    </fill>
    <fill>
      <patternFill patternType="solid">
        <fgColor rgb="FF00B0F0"/>
        <bgColor rgb="FF000000"/>
      </patternFill>
    </fill>
    <fill>
      <patternFill patternType="solid">
        <fgColor rgb="FF92D050"/>
        <bgColor rgb="FF000000"/>
      </patternFill>
    </fill>
    <fill>
      <patternFill patternType="solid">
        <fgColor rgb="FFFFC000"/>
        <bgColor rgb="FF000000"/>
      </patternFill>
    </fill>
    <fill>
      <patternFill patternType="solid">
        <fgColor rgb="FF002060"/>
        <bgColor indexed="64"/>
      </patternFill>
    </fill>
    <fill>
      <patternFill patternType="solid">
        <fgColor theme="0" tint="-0.249977111117893"/>
        <bgColor indexed="64"/>
      </patternFill>
    </fill>
    <fill>
      <patternFill patternType="solid">
        <fgColor rgb="FFFFFF00"/>
        <bgColor rgb="FF000000"/>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3">
    <xf numFmtId="0" fontId="0" fillId="0" borderId="0" xfId="0"/>
    <xf numFmtId="0" fontId="0" fillId="0" borderId="0" xfId="0" applyAlignment="1">
      <alignment horizontal="center"/>
    </xf>
    <xf numFmtId="0" fontId="2" fillId="0" borderId="0" xfId="1"/>
    <xf numFmtId="0" fontId="1" fillId="0" borderId="0" xfId="0" applyFont="1"/>
    <xf numFmtId="0" fontId="0" fillId="0" borderId="0" xfId="0" applyAlignment="1">
      <alignment horizontal="left"/>
    </xf>
    <xf numFmtId="0" fontId="1" fillId="0" borderId="0" xfId="0" applyFont="1" applyAlignment="1">
      <alignment horizontal="center"/>
    </xf>
    <xf numFmtId="0" fontId="0" fillId="2" borderId="0" xfId="0" applyFill="1"/>
    <xf numFmtId="0" fontId="0" fillId="3" borderId="0" xfId="0" applyFill="1"/>
    <xf numFmtId="0" fontId="6" fillId="0" borderId="0" xfId="0" applyFont="1"/>
    <xf numFmtId="0" fontId="0" fillId="4" borderId="0" xfId="0" applyFill="1"/>
    <xf numFmtId="0" fontId="0" fillId="5" borderId="0" xfId="0" applyFill="1"/>
    <xf numFmtId="0" fontId="1" fillId="0" borderId="0" xfId="0" applyFont="1" applyAlignment="1">
      <alignment horizontal="center" vertical="center" textRotation="180"/>
    </xf>
    <xf numFmtId="0" fontId="6" fillId="0" borderId="0" xfId="1" applyFont="1"/>
    <xf numFmtId="0" fontId="6" fillId="0" borderId="0" xfId="1" applyFont="1" applyFill="1"/>
    <xf numFmtId="0" fontId="0" fillId="6" borderId="0" xfId="0" applyFill="1"/>
    <xf numFmtId="0" fontId="2" fillId="0" borderId="0" xfId="1" applyFill="1"/>
    <xf numFmtId="0" fontId="0" fillId="7" borderId="0" xfId="0" applyFill="1"/>
    <xf numFmtId="14" fontId="0" fillId="0" borderId="0" xfId="0" applyNumberFormat="1"/>
    <xf numFmtId="0" fontId="18" fillId="0" borderId="0" xfId="1" applyFont="1" applyFill="1"/>
    <xf numFmtId="0" fontId="21" fillId="8" borderId="0" xfId="0" applyFont="1" applyFill="1"/>
    <xf numFmtId="0" fontId="0" fillId="0" borderId="0" xfId="0" applyAlignment="1">
      <alignment vertical="top" textRotation="180"/>
    </xf>
    <xf numFmtId="0" fontId="22" fillId="0" borderId="0" xfId="0" applyFont="1"/>
    <xf numFmtId="0" fontId="21" fillId="9" borderId="0" xfId="0" applyFont="1" applyFill="1"/>
    <xf numFmtId="0" fontId="21" fillId="0" borderId="0" xfId="0" applyFont="1" applyAlignment="1">
      <alignment horizontal="center"/>
    </xf>
    <xf numFmtId="0" fontId="0" fillId="0" borderId="0" xfId="0" applyAlignment="1">
      <alignment vertical="top"/>
    </xf>
    <xf numFmtId="0" fontId="31" fillId="0" borderId="0" xfId="0" applyFont="1"/>
    <xf numFmtId="0" fontId="1" fillId="0" borderId="0" xfId="1" applyFont="1" applyFill="1"/>
    <xf numFmtId="0" fontId="0" fillId="0" borderId="0" xfId="0" applyAlignment="1">
      <alignment horizontal="center" vertical="center"/>
    </xf>
    <xf numFmtId="0" fontId="21" fillId="3" borderId="0" xfId="0" applyFont="1" applyFill="1"/>
    <xf numFmtId="0" fontId="0" fillId="4" borderId="0" xfId="0" applyFill="1" applyAlignment="1">
      <alignment horizontal="center"/>
    </xf>
    <xf numFmtId="0" fontId="0" fillId="2" borderId="0" xfId="0" applyFill="1" applyAlignment="1">
      <alignment horizontal="center"/>
    </xf>
    <xf numFmtId="0" fontId="21" fillId="0" borderId="0" xfId="0" applyFont="1"/>
    <xf numFmtId="0" fontId="21" fillId="10" borderId="0" xfId="0" applyFont="1" applyFill="1"/>
    <xf numFmtId="0" fontId="21" fillId="11" borderId="0" xfId="0" applyFont="1" applyFill="1"/>
    <xf numFmtId="0" fontId="36" fillId="0" borderId="0" xfId="1" applyFont="1" applyFill="1"/>
    <xf numFmtId="0" fontId="0" fillId="3" borderId="0" xfId="0" applyFill="1" applyAlignment="1">
      <alignment vertical="top"/>
    </xf>
    <xf numFmtId="0" fontId="37" fillId="0" borderId="0" xfId="0" applyFont="1"/>
    <xf numFmtId="0" fontId="43" fillId="0" borderId="0" xfId="0" applyFont="1"/>
    <xf numFmtId="16" fontId="0" fillId="0" borderId="0" xfId="0" applyNumberFormat="1"/>
    <xf numFmtId="0" fontId="0" fillId="5" borderId="0" xfId="0" applyFill="1" applyAlignment="1">
      <alignment vertical="top"/>
    </xf>
    <xf numFmtId="0" fontId="0" fillId="12" borderId="0" xfId="0" applyFill="1"/>
    <xf numFmtId="0" fontId="0" fillId="0" borderId="0" xfId="0" applyAlignment="1">
      <alignment horizontal="center" vertical="top"/>
    </xf>
    <xf numFmtId="0" fontId="0" fillId="0" borderId="0" xfId="0" applyAlignment="1">
      <alignment horizontal="right" vertical="center"/>
    </xf>
    <xf numFmtId="0" fontId="46" fillId="0" borderId="0" xfId="0" applyFont="1"/>
    <xf numFmtId="0" fontId="0" fillId="2" borderId="0" xfId="0" applyFill="1" applyAlignment="1">
      <alignment horizontal="center" vertical="top"/>
    </xf>
    <xf numFmtId="0" fontId="47" fillId="0" borderId="0" xfId="0" applyFont="1"/>
    <xf numFmtId="0" fontId="47" fillId="0" borderId="0" xfId="0" applyFont="1" applyAlignment="1">
      <alignment horizontal="center"/>
    </xf>
    <xf numFmtId="0" fontId="36" fillId="0" borderId="0" xfId="0" applyFont="1" applyAlignment="1">
      <alignment horizontal="center"/>
    </xf>
    <xf numFmtId="0" fontId="47" fillId="5" borderId="0" xfId="0" applyFont="1" applyFill="1"/>
    <xf numFmtId="0" fontId="21" fillId="5" borderId="0" xfId="0" applyFont="1" applyFill="1"/>
    <xf numFmtId="0" fontId="49" fillId="0" borderId="0" xfId="1" applyFont="1" applyFill="1"/>
    <xf numFmtId="0" fontId="0" fillId="2" borderId="0" xfId="0" applyFill="1" applyAlignment="1">
      <alignment horizontal="center" vertical="center"/>
    </xf>
    <xf numFmtId="0" fontId="1" fillId="0" borderId="0" xfId="1" applyFont="1"/>
    <xf numFmtId="0" fontId="0" fillId="4" borderId="0" xfId="0" applyFill="1" applyAlignment="1">
      <alignment horizontal="right"/>
    </xf>
    <xf numFmtId="0" fontId="0" fillId="13" borderId="0" xfId="0" applyFill="1"/>
    <xf numFmtId="0" fontId="0" fillId="4" borderId="0" xfId="0" applyFill="1" applyAlignment="1">
      <alignment horizontal="left" vertical="top"/>
    </xf>
    <xf numFmtId="0" fontId="46" fillId="0" borderId="0" xfId="1" applyFont="1" applyFill="1"/>
    <xf numFmtId="0" fontId="21" fillId="14" borderId="0" xfId="0" applyFont="1" applyFill="1"/>
    <xf numFmtId="0" fontId="0" fillId="3" borderId="0" xfId="0" applyFill="1" applyAlignment="1">
      <alignment horizontal="left"/>
    </xf>
    <xf numFmtId="0" fontId="1" fillId="0" borderId="0" xfId="0" applyFont="1" applyAlignment="1">
      <alignment textRotation="180"/>
    </xf>
    <xf numFmtId="0" fontId="60" fillId="0" borderId="0" xfId="0" applyFont="1"/>
    <xf numFmtId="0" fontId="1" fillId="0" borderId="0" xfId="0" applyFont="1" applyAlignment="1">
      <alignment horizontal="center" vertical="top"/>
    </xf>
    <xf numFmtId="0" fontId="0" fillId="0" borderId="0" xfId="0" applyAlignment="1">
      <alignment horizontal="right"/>
    </xf>
    <xf numFmtId="0" fontId="47" fillId="3" borderId="0" xfId="0" applyFont="1" applyFill="1"/>
    <xf numFmtId="0" fontId="62" fillId="0" borderId="0" xfId="1" applyFont="1"/>
    <xf numFmtId="0" fontId="62" fillId="0" borderId="0" xfId="1" applyFont="1" applyFill="1"/>
    <xf numFmtId="0" fontId="63" fillId="0" borderId="0" xfId="0" applyFont="1" applyAlignment="1">
      <alignment horizontal="center"/>
    </xf>
    <xf numFmtId="0" fontId="67" fillId="0" borderId="0" xfId="0" applyFont="1" applyAlignment="1">
      <alignment horizontal="center" vertical="center" textRotation="180"/>
    </xf>
    <xf numFmtId="0" fontId="67" fillId="0" borderId="0" xfId="0" applyFont="1" applyAlignment="1">
      <alignment horizontal="center" vertical="center" textRotation="180" wrapText="1"/>
    </xf>
    <xf numFmtId="0" fontId="3" fillId="0" borderId="0" xfId="0" applyFont="1" applyAlignment="1">
      <alignment horizontal="center" vertical="center" textRotation="180" wrapText="1"/>
    </xf>
    <xf numFmtId="0" fontId="73" fillId="0" borderId="0" xfId="0" applyFont="1"/>
    <xf numFmtId="0" fontId="73" fillId="2" borderId="0" xfId="0" applyFont="1" applyFill="1"/>
    <xf numFmtId="0" fontId="72" fillId="0" borderId="0" xfId="0" applyFont="1"/>
    <xf numFmtId="0" fontId="69" fillId="0" borderId="0" xfId="0" applyFont="1" applyAlignment="1">
      <alignment horizontal="center" vertical="center" wrapText="1"/>
    </xf>
    <xf numFmtId="0" fontId="72" fillId="0" borderId="0" xfId="0" applyFont="1" applyAlignment="1">
      <alignment horizontal="left" vertical="center"/>
    </xf>
    <xf numFmtId="0" fontId="73" fillId="0" borderId="0" xfId="0" applyFont="1" applyAlignment="1">
      <alignment horizontal="left"/>
    </xf>
    <xf numFmtId="0" fontId="73" fillId="0" borderId="0" xfId="0" applyFont="1" applyAlignment="1">
      <alignment horizontal="left" vertical="center"/>
    </xf>
    <xf numFmtId="0" fontId="63" fillId="0" borderId="0" xfId="0" applyFont="1" applyAlignment="1">
      <alignment horizontal="center" vertical="center"/>
    </xf>
    <xf numFmtId="0" fontId="3" fillId="0" borderId="0" xfId="0" applyFont="1" applyAlignment="1">
      <alignment horizontal="center" vertical="center"/>
    </xf>
    <xf numFmtId="0" fontId="63" fillId="0" borderId="0" xfId="0" applyFont="1" applyAlignment="1">
      <alignment horizontal="center"/>
    </xf>
    <xf numFmtId="0" fontId="63" fillId="0" borderId="0" xfId="0" applyFont="1" applyAlignment="1">
      <alignment horizontal="center" vertical="center" textRotation="180"/>
    </xf>
    <xf numFmtId="0" fontId="63" fillId="0" borderId="0" xfId="0" applyFont="1" applyAlignment="1">
      <alignment horizontal="center" vertical="center" wrapText="1"/>
    </xf>
    <xf numFmtId="0" fontId="1" fillId="0" borderId="0" xfId="0" applyFont="1" applyAlignment="1">
      <alignment horizontal="center" textRotation="180"/>
    </xf>
    <xf numFmtId="0" fontId="0" fillId="0" borderId="0" xfId="0" applyAlignment="1">
      <alignment horizontal="center" vertical="top" textRotation="180"/>
    </xf>
    <xf numFmtId="0" fontId="69" fillId="0" borderId="0" xfId="0" applyFont="1" applyAlignment="1">
      <alignment horizontal="center" vertical="center"/>
    </xf>
    <xf numFmtId="0" fontId="69" fillId="0" borderId="0" xfId="0" applyFont="1" applyAlignment="1">
      <alignment horizontal="center" vertical="top" textRotation="180"/>
    </xf>
    <xf numFmtId="0" fontId="70" fillId="0" borderId="0" xfId="0" applyFont="1" applyAlignment="1">
      <alignment horizontal="center" vertical="top" textRotation="180"/>
    </xf>
    <xf numFmtId="0" fontId="3" fillId="0" borderId="0" xfId="0" applyFont="1" applyAlignment="1">
      <alignment horizontal="center" vertical="center" textRotation="180"/>
    </xf>
    <xf numFmtId="0" fontId="69" fillId="0" borderId="0" xfId="0" applyFont="1" applyAlignment="1">
      <alignment horizontal="center" vertical="center" textRotation="180" wrapText="1"/>
    </xf>
    <xf numFmtId="0" fontId="0" fillId="0" borderId="0" xfId="0" applyAlignment="1">
      <alignment horizontal="center" vertical="top" wrapText="1"/>
    </xf>
    <xf numFmtId="0" fontId="3" fillId="0" borderId="0" xfId="0" applyFont="1" applyAlignment="1">
      <alignment horizontal="center"/>
    </xf>
    <xf numFmtId="0" fontId="3" fillId="0" borderId="0" xfId="0" applyFont="1" applyAlignment="1">
      <alignment horizontal="center" vertical="center" wrapText="1"/>
    </xf>
    <xf numFmtId="0" fontId="3" fillId="0" borderId="0" xfId="0" applyFont="1" applyAlignment="1">
      <alignment horizontal="center" vertical="top" textRotation="180"/>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www.geonames.org/695781/" TargetMode="External"/><Relationship Id="rId170" Type="http://schemas.openxmlformats.org/officeDocument/2006/relationships/hyperlink" Target="https://www.geonames.org/3064373/" TargetMode="External"/><Relationship Id="rId268" Type="http://schemas.openxmlformats.org/officeDocument/2006/relationships/hyperlink" Target="https://www.geonames.org/763410/" TargetMode="External"/><Relationship Id="rId475" Type="http://schemas.openxmlformats.org/officeDocument/2006/relationships/hyperlink" Target="https://www.geonames.org/759412/" TargetMode="External"/><Relationship Id="rId682" Type="http://schemas.openxmlformats.org/officeDocument/2006/relationships/hyperlink" Target="https://www.geonames.org/687093/" TargetMode="External"/><Relationship Id="rId128" Type="http://schemas.openxmlformats.org/officeDocument/2006/relationships/hyperlink" Target="https://www.geonames.org/691650/" TargetMode="External"/><Relationship Id="rId335" Type="http://schemas.openxmlformats.org/officeDocument/2006/relationships/hyperlink" Target="https://www.geonames.org/3179675/" TargetMode="External"/><Relationship Id="rId542" Type="http://schemas.openxmlformats.org/officeDocument/2006/relationships/hyperlink" Target="https://www.geonames.org/766452/" TargetMode="External"/><Relationship Id="rId987" Type="http://schemas.openxmlformats.org/officeDocument/2006/relationships/hyperlink" Target="https://www.geonames.org/700696/" TargetMode="External"/><Relationship Id="rId1172" Type="http://schemas.openxmlformats.org/officeDocument/2006/relationships/hyperlink" Target="https://www.geonames.org/687787/" TargetMode="External"/><Relationship Id="rId402" Type="http://schemas.openxmlformats.org/officeDocument/2006/relationships/hyperlink" Target="https://www.geonames.org/769738/" TargetMode="External"/><Relationship Id="rId847" Type="http://schemas.openxmlformats.org/officeDocument/2006/relationships/hyperlink" Target="https://www.geonames.org/3067421/" TargetMode="External"/><Relationship Id="rId1032" Type="http://schemas.openxmlformats.org/officeDocument/2006/relationships/hyperlink" Target="https://www.geonames.org/708224/" TargetMode="External"/><Relationship Id="rId707" Type="http://schemas.openxmlformats.org/officeDocument/2006/relationships/hyperlink" Target="https://www.geonames.org/762059/" TargetMode="External"/><Relationship Id="rId914" Type="http://schemas.openxmlformats.org/officeDocument/2006/relationships/hyperlink" Target="https://www.geonames.org/717771/" TargetMode="External"/><Relationship Id="rId1337" Type="http://schemas.openxmlformats.org/officeDocument/2006/relationships/hyperlink" Target="https://www.geonames.org/770380/" TargetMode="External"/><Relationship Id="rId43" Type="http://schemas.openxmlformats.org/officeDocument/2006/relationships/hyperlink" Target="https://www.geonames.org/3065225/" TargetMode="External"/><Relationship Id="rId1404" Type="http://schemas.openxmlformats.org/officeDocument/2006/relationships/hyperlink" Target="https://www.geonames.org/3067696/" TargetMode="External"/><Relationship Id="rId192" Type="http://schemas.openxmlformats.org/officeDocument/2006/relationships/hyperlink" Target="https://www.geonames.org/723980/" TargetMode="External"/><Relationship Id="rId497" Type="http://schemas.openxmlformats.org/officeDocument/2006/relationships/hyperlink" Target="https://www.geonames.org/712471" TargetMode="External"/><Relationship Id="rId357" Type="http://schemas.openxmlformats.org/officeDocument/2006/relationships/hyperlink" Target="https://www.geonames.org/772896/" TargetMode="External"/><Relationship Id="rId1194" Type="http://schemas.openxmlformats.org/officeDocument/2006/relationships/hyperlink" Target="https://www.geonames.org/690814/" TargetMode="External"/><Relationship Id="rId217" Type="http://schemas.openxmlformats.org/officeDocument/2006/relationships/hyperlink" Target="https://www.geonames.org/691650/" TargetMode="External"/><Relationship Id="rId564" Type="http://schemas.openxmlformats.org/officeDocument/2006/relationships/hyperlink" Target="https://www.geonames.org/776247/" TargetMode="External"/><Relationship Id="rId771" Type="http://schemas.openxmlformats.org/officeDocument/2006/relationships/hyperlink" Target="https://www.geonames.org/3063193/" TargetMode="External"/><Relationship Id="rId869" Type="http://schemas.openxmlformats.org/officeDocument/2006/relationships/hyperlink" Target="https://www.geonames.org/3078910/" TargetMode="External"/><Relationship Id="rId424" Type="http://schemas.openxmlformats.org/officeDocument/2006/relationships/hyperlink" Target="https://www.geonames.org/763111/" TargetMode="External"/><Relationship Id="rId631" Type="http://schemas.openxmlformats.org/officeDocument/2006/relationships/hyperlink" Target="https://www.geonames.org/753004/" TargetMode="External"/><Relationship Id="rId729" Type="http://schemas.openxmlformats.org/officeDocument/2006/relationships/hyperlink" Target="https://www.geonames.org/772662/" TargetMode="External"/><Relationship Id="rId1054" Type="http://schemas.openxmlformats.org/officeDocument/2006/relationships/hyperlink" Target="https://www.geonames.org/763519/" TargetMode="External"/><Relationship Id="rId1261" Type="http://schemas.openxmlformats.org/officeDocument/2006/relationships/hyperlink" Target="https://www.geonames.org/766980/" TargetMode="External"/><Relationship Id="rId1359" Type="http://schemas.openxmlformats.org/officeDocument/2006/relationships/hyperlink" Target="https://www.geonames.org/759603/" TargetMode="External"/><Relationship Id="rId936" Type="http://schemas.openxmlformats.org/officeDocument/2006/relationships/hyperlink" Target="https://www.geonames.org/757033/" TargetMode="External"/><Relationship Id="rId1121" Type="http://schemas.openxmlformats.org/officeDocument/2006/relationships/hyperlink" Target="https://www.geonames.org/3072649/" TargetMode="External"/><Relationship Id="rId1219" Type="http://schemas.openxmlformats.org/officeDocument/2006/relationships/hyperlink" Target="https://www.geonames.org/765932/" TargetMode="External"/><Relationship Id="rId65" Type="http://schemas.openxmlformats.org/officeDocument/2006/relationships/hyperlink" Target="https://www.geonames.org/3075606/" TargetMode="External"/><Relationship Id="rId1426" Type="http://schemas.openxmlformats.org/officeDocument/2006/relationships/hyperlink" Target="https://www.geonames.org/757026/" TargetMode="External"/><Relationship Id="rId281" Type="http://schemas.openxmlformats.org/officeDocument/2006/relationships/hyperlink" Target="https://www.geonames.org/2618425/" TargetMode="External"/><Relationship Id="rId141" Type="http://schemas.openxmlformats.org/officeDocument/2006/relationships/hyperlink" Target="https://www.geonames.org/711416/" TargetMode="External"/><Relationship Id="rId379" Type="http://schemas.openxmlformats.org/officeDocument/2006/relationships/hyperlink" Target="https://www.geonames.org/711134/" TargetMode="External"/><Relationship Id="rId586" Type="http://schemas.openxmlformats.org/officeDocument/2006/relationships/hyperlink" Target="https://www.geonames.org/3070720/" TargetMode="External"/><Relationship Id="rId793" Type="http://schemas.openxmlformats.org/officeDocument/2006/relationships/hyperlink" Target="https://www.geonames.org/711134/" TargetMode="External"/><Relationship Id="rId7" Type="http://schemas.openxmlformats.org/officeDocument/2006/relationships/hyperlink" Target="https://www.geonames.org/709878/" TargetMode="External"/><Relationship Id="rId239" Type="http://schemas.openxmlformats.org/officeDocument/2006/relationships/hyperlink" Target="https://www.geonames.org/711850/" TargetMode="External"/><Relationship Id="rId446" Type="http://schemas.openxmlformats.org/officeDocument/2006/relationships/hyperlink" Target="https://www.geonames.org/758252/" TargetMode="External"/><Relationship Id="rId653" Type="http://schemas.openxmlformats.org/officeDocument/2006/relationships/hyperlink" Target="https://www.geonames.org/3094802/" TargetMode="External"/><Relationship Id="rId1076" Type="http://schemas.openxmlformats.org/officeDocument/2006/relationships/hyperlink" Target="https://www.geonames.org/3067421/" TargetMode="External"/><Relationship Id="rId1283" Type="http://schemas.openxmlformats.org/officeDocument/2006/relationships/hyperlink" Target="https://www.geonames.org/3088694/" TargetMode="External"/><Relationship Id="rId306" Type="http://schemas.openxmlformats.org/officeDocument/2006/relationships/hyperlink" Target="https://www.geonames.org/762201/" TargetMode="External"/><Relationship Id="rId860" Type="http://schemas.openxmlformats.org/officeDocument/2006/relationships/hyperlink" Target="https://www.geonames.org/3096434/" TargetMode="External"/><Relationship Id="rId958" Type="http://schemas.openxmlformats.org/officeDocument/2006/relationships/hyperlink" Target="https://www.geonames.org/702550+I12:J13" TargetMode="External"/><Relationship Id="rId1143" Type="http://schemas.openxmlformats.org/officeDocument/2006/relationships/hyperlink" Target="https://www.geonames.org/3078415/" TargetMode="External"/><Relationship Id="rId87" Type="http://schemas.openxmlformats.org/officeDocument/2006/relationships/hyperlink" Target="https://www.geonames.org/702350/" TargetMode="External"/><Relationship Id="rId513" Type="http://schemas.openxmlformats.org/officeDocument/2006/relationships/hyperlink" Target="https://www.geonames.org/756794/" TargetMode="External"/><Relationship Id="rId720" Type="http://schemas.openxmlformats.org/officeDocument/2006/relationships/hyperlink" Target="https://www.geonames.org/691825/" TargetMode="External"/><Relationship Id="rId818" Type="http://schemas.openxmlformats.org/officeDocument/2006/relationships/hyperlink" Target="https://www.geonames.org/712374/" TargetMode="External"/><Relationship Id="rId1350" Type="http://schemas.openxmlformats.org/officeDocument/2006/relationships/hyperlink" Target="https://www.geonames.org/774558/" TargetMode="External"/><Relationship Id="rId1448" Type="http://schemas.openxmlformats.org/officeDocument/2006/relationships/hyperlink" Target="https://www.geonames.org/702550+I12:J13" TargetMode="External"/><Relationship Id="rId1003" Type="http://schemas.openxmlformats.org/officeDocument/2006/relationships/hyperlink" Target="https://www.geonames.org/766239/" TargetMode="External"/><Relationship Id="rId1210" Type="http://schemas.openxmlformats.org/officeDocument/2006/relationships/hyperlink" Target="https://www.geonames.org/760987/" TargetMode="External"/><Relationship Id="rId1308" Type="http://schemas.openxmlformats.org/officeDocument/2006/relationships/hyperlink" Target="https://www.geonames.org/3063196/" TargetMode="External"/><Relationship Id="rId14" Type="http://schemas.openxmlformats.org/officeDocument/2006/relationships/hyperlink" Target="https://www.geonames.org/764862/" TargetMode="External"/><Relationship Id="rId163" Type="http://schemas.openxmlformats.org/officeDocument/2006/relationships/hyperlink" Target="https://www.geonames.org/723087/" TargetMode="External"/><Relationship Id="rId370" Type="http://schemas.openxmlformats.org/officeDocument/2006/relationships/hyperlink" Target="https://www.geonames.org/712374/" TargetMode="External"/><Relationship Id="rId230" Type="http://schemas.openxmlformats.org/officeDocument/2006/relationships/hyperlink" Target="https://www.geonames.org/691650/" TargetMode="External"/><Relationship Id="rId468" Type="http://schemas.openxmlformats.org/officeDocument/2006/relationships/hyperlink" Target="https://www.geonames.org/3096401/" TargetMode="External"/><Relationship Id="rId675" Type="http://schemas.openxmlformats.org/officeDocument/2006/relationships/hyperlink" Target="https://www.geonames.org/707471/" TargetMode="External"/><Relationship Id="rId882" Type="http://schemas.openxmlformats.org/officeDocument/2006/relationships/hyperlink" Target="https://www.geonames.org/3067421/" TargetMode="External"/><Relationship Id="rId1098" Type="http://schemas.openxmlformats.org/officeDocument/2006/relationships/hyperlink" Target="https://www.geonames.org/3063736/" TargetMode="External"/><Relationship Id="rId328" Type="http://schemas.openxmlformats.org/officeDocument/2006/relationships/hyperlink" Target="https://www.geonames.org/770772/" TargetMode="External"/><Relationship Id="rId535" Type="http://schemas.openxmlformats.org/officeDocument/2006/relationships/hyperlink" Target="https://www.geonames.org/3070795/" TargetMode="External"/><Relationship Id="rId742" Type="http://schemas.openxmlformats.org/officeDocument/2006/relationships/hyperlink" Target="https://www.geonames.org/770001/" TargetMode="External"/><Relationship Id="rId1165" Type="http://schemas.openxmlformats.org/officeDocument/2006/relationships/hyperlink" Target="https://www.geonames.org/765876/" TargetMode="External"/><Relationship Id="rId1372" Type="http://schemas.openxmlformats.org/officeDocument/2006/relationships/hyperlink" Target="https://www.geonames.org/3071966/" TargetMode="External"/><Relationship Id="rId602" Type="http://schemas.openxmlformats.org/officeDocument/2006/relationships/hyperlink" Target="https://www.geonames.org/724014/" TargetMode="External"/><Relationship Id="rId1025" Type="http://schemas.openxmlformats.org/officeDocument/2006/relationships/hyperlink" Target="https://www.geonames.org/7534583/" TargetMode="External"/><Relationship Id="rId1232" Type="http://schemas.openxmlformats.org/officeDocument/2006/relationships/hyperlink" Target="https://www.geonames.org/723423/" TargetMode="External"/><Relationship Id="rId907" Type="http://schemas.openxmlformats.org/officeDocument/2006/relationships/hyperlink" Target="https://www.geonames.org/712374/" TargetMode="External"/><Relationship Id="rId36" Type="http://schemas.openxmlformats.org/officeDocument/2006/relationships/hyperlink" Target="https://www.geonames.org/3067421/" TargetMode="External"/><Relationship Id="rId185" Type="http://schemas.openxmlformats.org/officeDocument/2006/relationships/hyperlink" Target="https://www.geonames.org/723087/" TargetMode="External"/><Relationship Id="rId392" Type="http://schemas.openxmlformats.org/officeDocument/2006/relationships/hyperlink" Target="https://www.google.at/maps/place/Siedlce,+Poland/@52.1616253,22.2068543,12z/data=!3m1!4b1!4m5!3m4!1s0x471f5a4df670f065:0x48cc76a09ee72abe!8m2!3d52.1676031!4d22.2901645" TargetMode="External"/><Relationship Id="rId697" Type="http://schemas.openxmlformats.org/officeDocument/2006/relationships/hyperlink" Target="https://www.geonames.org/699076/" TargetMode="External"/><Relationship Id="rId252" Type="http://schemas.openxmlformats.org/officeDocument/2006/relationships/hyperlink" Target="https://www.geonames.org/554234/" TargetMode="External"/><Relationship Id="rId1187" Type="http://schemas.openxmlformats.org/officeDocument/2006/relationships/hyperlink" Target="https://www.geonames.org/3078910/" TargetMode="External"/><Relationship Id="rId112" Type="http://schemas.openxmlformats.org/officeDocument/2006/relationships/hyperlink" Target="https://www.geonames.org/3054809/" TargetMode="External"/><Relationship Id="rId557" Type="http://schemas.openxmlformats.org/officeDocument/2006/relationships/hyperlink" Target="https://www.geonames.org/758252/" TargetMode="External"/><Relationship Id="rId764" Type="http://schemas.openxmlformats.org/officeDocument/2006/relationships/hyperlink" Target="https://www.geonames.org/3061967/" TargetMode="External"/><Relationship Id="rId971" Type="http://schemas.openxmlformats.org/officeDocument/2006/relationships/hyperlink" Target="https://www.geonames.org/3068557" TargetMode="External"/><Relationship Id="rId1394" Type="http://schemas.openxmlformats.org/officeDocument/2006/relationships/hyperlink" Target="https://www.geonames.org/761494/" TargetMode="External"/><Relationship Id="rId417" Type="http://schemas.openxmlformats.org/officeDocument/2006/relationships/hyperlink" Target="https://www.geonames.org/765976/" TargetMode="External"/><Relationship Id="rId624" Type="http://schemas.openxmlformats.org/officeDocument/2006/relationships/hyperlink" Target="https://www.geonames.org/691825/" TargetMode="External"/><Relationship Id="rId831" Type="http://schemas.openxmlformats.org/officeDocument/2006/relationships/hyperlink" Target="https://www.geonames.org/758633/" TargetMode="External"/><Relationship Id="rId1047" Type="http://schemas.openxmlformats.org/officeDocument/2006/relationships/hyperlink" Target="https://www.geonames.org/702350/" TargetMode="External"/><Relationship Id="rId1254" Type="http://schemas.openxmlformats.org/officeDocument/2006/relationships/hyperlink" Target="https://www.geonames.org/693002/" TargetMode="External"/><Relationship Id="rId1461" Type="http://schemas.openxmlformats.org/officeDocument/2006/relationships/comments" Target="../comments1.xml"/><Relationship Id="rId929" Type="http://schemas.openxmlformats.org/officeDocument/2006/relationships/hyperlink" Target="https://www.geonames.org/764849/" TargetMode="External"/><Relationship Id="rId1114" Type="http://schemas.openxmlformats.org/officeDocument/2006/relationships/hyperlink" Target="https://www.geonames.org/3067421/" TargetMode="External"/><Relationship Id="rId1321" Type="http://schemas.openxmlformats.org/officeDocument/2006/relationships/hyperlink" Target="https://www.google.at/maps/dir/H%C5%99e%C5%A1ihlavy/@49.9274267,13.6060244,13.73z/data=!4m9!4m8!1m5!1m1!1s0x470a571cd937f7ad:0xe805a4ae8b4d3aba!2m2!1d13.6192242!2d49.9292888!1m0!3e2" TargetMode="External"/><Relationship Id="rId58" Type="http://schemas.openxmlformats.org/officeDocument/2006/relationships/hyperlink" Target="../../../vladimirberkovich/Library/Containers/com.microsoft.Excel/Data/Library/Application%20Support/Microsoft/Kos&#780;umberk,%20Luz&#780;e%20(Czech%20Republic)" TargetMode="External"/><Relationship Id="rId1419" Type="http://schemas.openxmlformats.org/officeDocument/2006/relationships/hyperlink" Target="https://www.geonames.org/753063/" TargetMode="External"/><Relationship Id="rId274" Type="http://schemas.openxmlformats.org/officeDocument/2006/relationships/hyperlink" Target="https://www.geonames.org/708380/" TargetMode="External"/><Relationship Id="rId481" Type="http://schemas.openxmlformats.org/officeDocument/2006/relationships/hyperlink" Target="https://www.geonames.org/711887/" TargetMode="External"/><Relationship Id="rId134" Type="http://schemas.openxmlformats.org/officeDocument/2006/relationships/hyperlink" Target="https://www.geonames.org/2775220/" TargetMode="External"/><Relationship Id="rId579" Type="http://schemas.openxmlformats.org/officeDocument/2006/relationships/hyperlink" Target="https://www.geonames.org/686895/" TargetMode="External"/><Relationship Id="rId786" Type="http://schemas.openxmlformats.org/officeDocument/2006/relationships/hyperlink" Target="https://www.geonames.org/3062432/" TargetMode="External"/><Relationship Id="rId993" Type="http://schemas.openxmlformats.org/officeDocument/2006/relationships/hyperlink" Target="https://www.geonames.org/763219/" TargetMode="External"/><Relationship Id="rId341" Type="http://schemas.openxmlformats.org/officeDocument/2006/relationships/hyperlink" Target="https://www.geonames.org/694864/" TargetMode="External"/><Relationship Id="rId439" Type="http://schemas.openxmlformats.org/officeDocument/2006/relationships/hyperlink" Target="https://www.geonames.org/759301/" TargetMode="External"/><Relationship Id="rId646" Type="http://schemas.openxmlformats.org/officeDocument/2006/relationships/hyperlink" Target="https://www.geonames.org/770966/" TargetMode="External"/><Relationship Id="rId1069" Type="http://schemas.openxmlformats.org/officeDocument/2006/relationships/hyperlink" Target="https://www.geonames.org/3072407/" TargetMode="External"/><Relationship Id="rId1276" Type="http://schemas.openxmlformats.org/officeDocument/2006/relationships/hyperlink" Target="https://www.geonames.org/3070310/" TargetMode="External"/><Relationship Id="rId201" Type="http://schemas.openxmlformats.org/officeDocument/2006/relationships/hyperlink" Target="https://www.geonames.org/725168/" TargetMode="External"/><Relationship Id="rId506" Type="http://schemas.openxmlformats.org/officeDocument/2006/relationships/hyperlink" Target="https://www.geonames.org/687826/" TargetMode="External"/><Relationship Id="rId853" Type="http://schemas.openxmlformats.org/officeDocument/2006/relationships/hyperlink" Target="https://www.geonames.org/3078910/" TargetMode="External"/><Relationship Id="rId1136" Type="http://schemas.openxmlformats.org/officeDocument/2006/relationships/hyperlink" Target="https://www.geonames.org/3080291/" TargetMode="External"/><Relationship Id="rId713" Type="http://schemas.openxmlformats.org/officeDocument/2006/relationships/hyperlink" Target="https://www.geonames.org/763545/" TargetMode="External"/><Relationship Id="rId920" Type="http://schemas.openxmlformats.org/officeDocument/2006/relationships/hyperlink" Target="https://www.geonames.org/772086/" TargetMode="External"/><Relationship Id="rId1343" Type="http://schemas.openxmlformats.org/officeDocument/2006/relationships/hyperlink" Target="https://www.geonames.org/707934/" TargetMode="External"/><Relationship Id="rId1203" Type="http://schemas.openxmlformats.org/officeDocument/2006/relationships/hyperlink" Target="https://www.geonames.org/760987/" TargetMode="External"/><Relationship Id="rId1410" Type="http://schemas.openxmlformats.org/officeDocument/2006/relationships/hyperlink" Target="https://www.geonames.org/3073152/" TargetMode="External"/><Relationship Id="rId296" Type="http://schemas.openxmlformats.org/officeDocument/2006/relationships/hyperlink" Target="https://www.geonames.org/771069/" TargetMode="External"/><Relationship Id="rId156" Type="http://schemas.openxmlformats.org/officeDocument/2006/relationships/hyperlink" Target="https://www.geonames.org/763534/" TargetMode="External"/><Relationship Id="rId363" Type="http://schemas.openxmlformats.org/officeDocument/2006/relationships/hyperlink" Target="https://www.geonames.org/711348/" TargetMode="External"/><Relationship Id="rId570" Type="http://schemas.openxmlformats.org/officeDocument/2006/relationships/hyperlink" Target="https://www.geonames.org/772086/" TargetMode="External"/><Relationship Id="rId223" Type="http://schemas.openxmlformats.org/officeDocument/2006/relationships/hyperlink" Target="https://www.geonames.org/707099/" TargetMode="External"/><Relationship Id="rId430" Type="http://schemas.openxmlformats.org/officeDocument/2006/relationships/hyperlink" Target="https://www.geonames.org/695434/" TargetMode="External"/><Relationship Id="rId668" Type="http://schemas.openxmlformats.org/officeDocument/2006/relationships/hyperlink" Target="https://www.geonames.org/690155/" TargetMode="External"/><Relationship Id="rId875" Type="http://schemas.openxmlformats.org/officeDocument/2006/relationships/hyperlink" Target="https://www.geonames.org/3078910/" TargetMode="External"/><Relationship Id="rId1060" Type="http://schemas.openxmlformats.org/officeDocument/2006/relationships/hyperlink" Target="https://www.geonames.org/763534/" TargetMode="External"/><Relationship Id="rId1298" Type="http://schemas.openxmlformats.org/officeDocument/2006/relationships/hyperlink" Target="https://www.geonames.org/3063196/" TargetMode="External"/><Relationship Id="rId528" Type="http://schemas.openxmlformats.org/officeDocument/2006/relationships/hyperlink" Target="https://www.geonames.org/3075053/" TargetMode="External"/><Relationship Id="rId735" Type="http://schemas.openxmlformats.org/officeDocument/2006/relationships/hyperlink" Target="https://www.geonames.org/3078910/" TargetMode="External"/><Relationship Id="rId942" Type="http://schemas.openxmlformats.org/officeDocument/2006/relationships/hyperlink" Target="https://www.geonames.org/758633/" TargetMode="External"/><Relationship Id="rId1158" Type="http://schemas.openxmlformats.org/officeDocument/2006/relationships/hyperlink" Target="https://www.geonames.org/753140/" TargetMode="External"/><Relationship Id="rId1365" Type="http://schemas.openxmlformats.org/officeDocument/2006/relationships/hyperlink" Target="https://www.geonames.org/3047211/" TargetMode="External"/><Relationship Id="rId1018" Type="http://schemas.openxmlformats.org/officeDocument/2006/relationships/hyperlink" Target="https://www.geonames.org/3075606/" TargetMode="External"/><Relationship Id="rId1225" Type="http://schemas.openxmlformats.org/officeDocument/2006/relationships/hyperlink" Target="https://www.geonames.org/717771/" TargetMode="External"/><Relationship Id="rId1432" Type="http://schemas.openxmlformats.org/officeDocument/2006/relationships/hyperlink" Target="https://www.geonames.org/755881/" TargetMode="External"/><Relationship Id="rId71" Type="http://schemas.openxmlformats.org/officeDocument/2006/relationships/hyperlink" Target="https://www.geonames.org/12195837/" TargetMode="External"/><Relationship Id="rId802" Type="http://schemas.openxmlformats.org/officeDocument/2006/relationships/hyperlink" Target="https://www.geonames.org/774158/" TargetMode="External"/><Relationship Id="rId29" Type="http://schemas.openxmlformats.org/officeDocument/2006/relationships/hyperlink" Target="https://www.geonames.org/755474/" TargetMode="External"/><Relationship Id="rId178" Type="http://schemas.openxmlformats.org/officeDocument/2006/relationships/hyperlink" Target="https://www.geonames.org/3065743/" TargetMode="External"/><Relationship Id="rId385" Type="http://schemas.openxmlformats.org/officeDocument/2006/relationships/hyperlink" Target="https://www.google.com/maps/place/Siedlce,+Poland/@52.1616252,22.2066828,12z/data=!3m1!4b1!4m5!3m4!1s0x471f5a4df670f065:0x48cc76a09ee72abe!8m2!3d52.1676031!4d22.2901645" TargetMode="External"/><Relationship Id="rId592" Type="http://schemas.openxmlformats.org/officeDocument/2006/relationships/hyperlink" Target="https://www.geonames.org/700646/" TargetMode="External"/><Relationship Id="rId245" Type="http://schemas.openxmlformats.org/officeDocument/2006/relationships/hyperlink" Target="https://www.geonames.org/710554/" TargetMode="External"/><Relationship Id="rId452" Type="http://schemas.openxmlformats.org/officeDocument/2006/relationships/hyperlink" Target="https://www.geonames.org/753394/" TargetMode="External"/><Relationship Id="rId897" Type="http://schemas.openxmlformats.org/officeDocument/2006/relationships/hyperlink" Target="https://www.geonames.org/3076422/" TargetMode="External"/><Relationship Id="rId1082" Type="http://schemas.openxmlformats.org/officeDocument/2006/relationships/hyperlink" Target="https://www.geonames.org/3075119/" TargetMode="External"/><Relationship Id="rId105" Type="http://schemas.openxmlformats.org/officeDocument/2006/relationships/hyperlink" Target="https://www.geonames.org/3058477/" TargetMode="External"/><Relationship Id="rId312" Type="http://schemas.openxmlformats.org/officeDocument/2006/relationships/hyperlink" Target="https://www.geonames.org/768217/" TargetMode="External"/><Relationship Id="rId757" Type="http://schemas.openxmlformats.org/officeDocument/2006/relationships/hyperlink" Target="https://www.geonames.org/762774/" TargetMode="External"/><Relationship Id="rId964" Type="http://schemas.openxmlformats.org/officeDocument/2006/relationships/hyperlink" Target="https://www.geonames.org/769738/" TargetMode="External"/><Relationship Id="rId1387" Type="http://schemas.openxmlformats.org/officeDocument/2006/relationships/hyperlink" Target="https://www.geonames.org/3067696/" TargetMode="External"/><Relationship Id="rId93" Type="http://schemas.openxmlformats.org/officeDocument/2006/relationships/hyperlink" Target="https://www.geonames.org/2874225/" TargetMode="External"/><Relationship Id="rId617" Type="http://schemas.openxmlformats.org/officeDocument/2006/relationships/hyperlink" Target="https://www.geonames.org/703716/" TargetMode="External"/><Relationship Id="rId824" Type="http://schemas.openxmlformats.org/officeDocument/2006/relationships/hyperlink" Target="https://www.geonames.org/711134/" TargetMode="External"/><Relationship Id="rId1247" Type="http://schemas.openxmlformats.org/officeDocument/2006/relationships/hyperlink" Target="https://www.geonames.org/12057721/" TargetMode="External"/><Relationship Id="rId1454" Type="http://schemas.openxmlformats.org/officeDocument/2006/relationships/hyperlink" Target="https://www.geonames.org/694979/" TargetMode="External"/><Relationship Id="rId1107" Type="http://schemas.openxmlformats.org/officeDocument/2006/relationships/hyperlink" Target="https://www.geonames.org/763534/" TargetMode="External"/><Relationship Id="rId1314" Type="http://schemas.openxmlformats.org/officeDocument/2006/relationships/hyperlink" Target="https://www.geonames.org/3045991/" TargetMode="External"/><Relationship Id="rId20" Type="http://schemas.openxmlformats.org/officeDocument/2006/relationships/hyperlink" Target="https://www.geonames.org/709878/" TargetMode="External"/><Relationship Id="rId267" Type="http://schemas.openxmlformats.org/officeDocument/2006/relationships/hyperlink" Target="https://www.geonames.org/765876/" TargetMode="External"/><Relationship Id="rId474" Type="http://schemas.openxmlformats.org/officeDocument/2006/relationships/hyperlink" Target="https://www.geonames.org/759412/" TargetMode="External"/><Relationship Id="rId127" Type="http://schemas.openxmlformats.org/officeDocument/2006/relationships/hyperlink" Target="https://www.geonames.org/691650/" TargetMode="External"/><Relationship Id="rId681" Type="http://schemas.openxmlformats.org/officeDocument/2006/relationships/hyperlink" Target="https://www.geonames.org/687093/" TargetMode="External"/><Relationship Id="rId779" Type="http://schemas.openxmlformats.org/officeDocument/2006/relationships/hyperlink" Target="https://www.geonames.org/759734/" TargetMode="External"/><Relationship Id="rId986" Type="http://schemas.openxmlformats.org/officeDocument/2006/relationships/hyperlink" Target="https://www.geonames.org/774348/" TargetMode="External"/><Relationship Id="rId334" Type="http://schemas.openxmlformats.org/officeDocument/2006/relationships/hyperlink" Target="https://www.geonames.org/8954925/" TargetMode="External"/><Relationship Id="rId541" Type="http://schemas.openxmlformats.org/officeDocument/2006/relationships/hyperlink" Target="https://www.geonames.org/701119/" TargetMode="External"/><Relationship Id="rId639" Type="http://schemas.openxmlformats.org/officeDocument/2006/relationships/hyperlink" Target="https://www.geonames.org/757029/" TargetMode="External"/><Relationship Id="rId1171" Type="http://schemas.openxmlformats.org/officeDocument/2006/relationships/hyperlink" Target="https://www.geonames.org/3089658/" TargetMode="External"/><Relationship Id="rId1269" Type="http://schemas.openxmlformats.org/officeDocument/2006/relationships/hyperlink" Target="https://www.geonames.org/3067421/" TargetMode="External"/><Relationship Id="rId401" Type="http://schemas.openxmlformats.org/officeDocument/2006/relationships/hyperlink" Target="https://www.geonames.org/769738/" TargetMode="External"/><Relationship Id="rId846" Type="http://schemas.openxmlformats.org/officeDocument/2006/relationships/hyperlink" Target="https://www.geonames.org/690960/" TargetMode="External"/><Relationship Id="rId1031" Type="http://schemas.openxmlformats.org/officeDocument/2006/relationships/hyperlink" Target="https://www.geonames.org/708224/" TargetMode="External"/><Relationship Id="rId1129" Type="http://schemas.openxmlformats.org/officeDocument/2006/relationships/hyperlink" Target="https://www.geonames.org/763121/" TargetMode="External"/><Relationship Id="rId706" Type="http://schemas.openxmlformats.org/officeDocument/2006/relationships/hyperlink" Target="https://www.geonames.org/693301/" TargetMode="External"/><Relationship Id="rId913" Type="http://schemas.openxmlformats.org/officeDocument/2006/relationships/hyperlink" Target="https://www.geonames.org/3067421/" TargetMode="External"/><Relationship Id="rId1336" Type="http://schemas.openxmlformats.org/officeDocument/2006/relationships/hyperlink" Target="https://www.geonames.org/770380/" TargetMode="External"/><Relationship Id="rId42" Type="http://schemas.openxmlformats.org/officeDocument/2006/relationships/hyperlink" Target="https://www.geonames.org/710719/" TargetMode="External"/><Relationship Id="rId1403" Type="http://schemas.openxmlformats.org/officeDocument/2006/relationships/hyperlink" Target="https://www.geonames.org/765927/" TargetMode="External"/><Relationship Id="rId191" Type="http://schemas.openxmlformats.org/officeDocument/2006/relationships/hyperlink" Target="https://www.geonames.org/724107/" TargetMode="External"/><Relationship Id="rId289" Type="http://schemas.openxmlformats.org/officeDocument/2006/relationships/hyperlink" Target="https://www.geonames.org/756135/" TargetMode="External"/><Relationship Id="rId496" Type="http://schemas.openxmlformats.org/officeDocument/2006/relationships/hyperlink" Target="https://www.geonames.org/772747/" TargetMode="External"/><Relationship Id="rId149" Type="http://schemas.openxmlformats.org/officeDocument/2006/relationships/hyperlink" Target="https://www.geonames.org/3061750/" TargetMode="External"/><Relationship Id="rId356" Type="http://schemas.openxmlformats.org/officeDocument/2006/relationships/hyperlink" Target="https://www.geonames.org/767814/" TargetMode="External"/><Relationship Id="rId563" Type="http://schemas.openxmlformats.org/officeDocument/2006/relationships/hyperlink" Target="https://www.geonames.org/753866/" TargetMode="External"/><Relationship Id="rId770" Type="http://schemas.openxmlformats.org/officeDocument/2006/relationships/hyperlink" Target="https://www.geonames.org/3066738/" TargetMode="External"/><Relationship Id="rId1193" Type="http://schemas.openxmlformats.org/officeDocument/2006/relationships/hyperlink" Target="https://www.geonames.org/702550+I12:J13" TargetMode="External"/><Relationship Id="rId216" Type="http://schemas.openxmlformats.org/officeDocument/2006/relationships/hyperlink" Target="https://www.geonames.org/759734/" TargetMode="External"/><Relationship Id="rId423" Type="http://schemas.openxmlformats.org/officeDocument/2006/relationships/hyperlink" Target="https://www.geonames.org/761008/" TargetMode="External"/><Relationship Id="rId868" Type="http://schemas.openxmlformats.org/officeDocument/2006/relationships/hyperlink" Target="https://www.geonames.org/3078910/" TargetMode="External"/><Relationship Id="rId1053" Type="http://schemas.openxmlformats.org/officeDocument/2006/relationships/hyperlink" Target="https://www.geonames.org/763519/" TargetMode="External"/><Relationship Id="rId1260" Type="http://schemas.openxmlformats.org/officeDocument/2006/relationships/hyperlink" Target="https://www.geonames.org/769738/" TargetMode="External"/><Relationship Id="rId630" Type="http://schemas.openxmlformats.org/officeDocument/2006/relationships/hyperlink" Target="https://www.geonames.org/766137/" TargetMode="External"/><Relationship Id="rId728" Type="http://schemas.openxmlformats.org/officeDocument/2006/relationships/hyperlink" Target="https://www.geonames.org/759301/" TargetMode="External"/><Relationship Id="rId935" Type="http://schemas.openxmlformats.org/officeDocument/2006/relationships/hyperlink" Target="https://www.geonames.org/757033/" TargetMode="External"/><Relationship Id="rId1358" Type="http://schemas.openxmlformats.org/officeDocument/2006/relationships/hyperlink" Target="https://www.geonames.org/3075504/" TargetMode="External"/><Relationship Id="rId64" Type="http://schemas.openxmlformats.org/officeDocument/2006/relationships/hyperlink" Target="https://www.geonames.org/3075606/" TargetMode="External"/><Relationship Id="rId1120" Type="http://schemas.openxmlformats.org/officeDocument/2006/relationships/hyperlink" Target="https://www.geonames.org/3072649/" TargetMode="External"/><Relationship Id="rId1218" Type="http://schemas.openxmlformats.org/officeDocument/2006/relationships/hyperlink" Target="https://www.geonames.org/700321/" TargetMode="External"/><Relationship Id="rId1425" Type="http://schemas.openxmlformats.org/officeDocument/2006/relationships/hyperlink" Target="https://www.geonames.org/757026/" TargetMode="External"/><Relationship Id="rId280" Type="http://schemas.openxmlformats.org/officeDocument/2006/relationships/hyperlink" Target="https://www.geonames.org/770001/" TargetMode="External"/><Relationship Id="rId140" Type="http://schemas.openxmlformats.org/officeDocument/2006/relationships/hyperlink" Target="https://www.geonames.org/711416/" TargetMode="External"/><Relationship Id="rId378" Type="http://schemas.openxmlformats.org/officeDocument/2006/relationships/hyperlink" Target="https://www.geonames.org/711134/" TargetMode="External"/><Relationship Id="rId585" Type="http://schemas.openxmlformats.org/officeDocument/2006/relationships/hyperlink" Target="https://www.geonames.org/688746/" TargetMode="External"/><Relationship Id="rId792" Type="http://schemas.openxmlformats.org/officeDocument/2006/relationships/hyperlink" Target="https://www.geonames.org/711134/" TargetMode="External"/><Relationship Id="rId6" Type="http://schemas.openxmlformats.org/officeDocument/2006/relationships/hyperlink" Target="https://www.geonames.org/702550+I12:J13" TargetMode="External"/><Relationship Id="rId238" Type="http://schemas.openxmlformats.org/officeDocument/2006/relationships/hyperlink" Target="https://www.geonames.org/766980/" TargetMode="External"/><Relationship Id="rId445" Type="http://schemas.openxmlformats.org/officeDocument/2006/relationships/hyperlink" Target="https://www.geonames.org/758252/" TargetMode="External"/><Relationship Id="rId652" Type="http://schemas.openxmlformats.org/officeDocument/2006/relationships/hyperlink" Target="https://www.geonames.org/710554/" TargetMode="External"/><Relationship Id="rId1075" Type="http://schemas.openxmlformats.org/officeDocument/2006/relationships/hyperlink" Target="https://www.geonames.org/3068162/" TargetMode="External"/><Relationship Id="rId1282" Type="http://schemas.openxmlformats.org/officeDocument/2006/relationships/hyperlink" Target="https://www.geonames.org/758905/" TargetMode="External"/><Relationship Id="rId305" Type="http://schemas.openxmlformats.org/officeDocument/2006/relationships/hyperlink" Target="https://www.geonames.org/705392/" TargetMode="External"/><Relationship Id="rId512" Type="http://schemas.openxmlformats.org/officeDocument/2006/relationships/hyperlink" Target="https://www.geonames.org/756794/" TargetMode="External"/><Relationship Id="rId957" Type="http://schemas.openxmlformats.org/officeDocument/2006/relationships/hyperlink" Target="https://www.geonames.org/693301/" TargetMode="External"/><Relationship Id="rId1142" Type="http://schemas.openxmlformats.org/officeDocument/2006/relationships/hyperlink" Target="https://www.geonames.org/3073369/" TargetMode="External"/><Relationship Id="rId86" Type="http://schemas.openxmlformats.org/officeDocument/2006/relationships/hyperlink" Target="https://www.geonames.org/776175/" TargetMode="External"/><Relationship Id="rId817" Type="http://schemas.openxmlformats.org/officeDocument/2006/relationships/hyperlink" Target="https://www.geonames.org/712374/" TargetMode="External"/><Relationship Id="rId1002" Type="http://schemas.openxmlformats.org/officeDocument/2006/relationships/hyperlink" Target="https://www.geonames.org/753394/" TargetMode="External"/><Relationship Id="rId1447" Type="http://schemas.openxmlformats.org/officeDocument/2006/relationships/hyperlink" Target="https://www.geonames.org/702550+I12:J13" TargetMode="External"/><Relationship Id="rId1307" Type="http://schemas.openxmlformats.org/officeDocument/2006/relationships/hyperlink" Target="https://www.geonames.org/3063196/" TargetMode="External"/><Relationship Id="rId13" Type="http://schemas.openxmlformats.org/officeDocument/2006/relationships/hyperlink" Target="https://www.geonames.org/764862/" TargetMode="External"/><Relationship Id="rId162" Type="http://schemas.openxmlformats.org/officeDocument/2006/relationships/hyperlink" Target="https://www.geonames.org/700646/" TargetMode="External"/><Relationship Id="rId467" Type="http://schemas.openxmlformats.org/officeDocument/2006/relationships/hyperlink" Target="https://www.geonames.org/3096401/" TargetMode="External"/><Relationship Id="rId1097" Type="http://schemas.openxmlformats.org/officeDocument/2006/relationships/hyperlink" Target="https://www.geonames.org/3063736/" TargetMode="External"/><Relationship Id="rId674" Type="http://schemas.openxmlformats.org/officeDocument/2006/relationships/hyperlink" Target="https://www.geonames.org/710554/" TargetMode="External"/><Relationship Id="rId881" Type="http://schemas.openxmlformats.org/officeDocument/2006/relationships/hyperlink" Target="https://www.geonames.org/3074614/" TargetMode="External"/><Relationship Id="rId979" Type="http://schemas.openxmlformats.org/officeDocument/2006/relationships/hyperlink" Target="https://www.geonames.org/756280/" TargetMode="External"/><Relationship Id="rId327" Type="http://schemas.openxmlformats.org/officeDocument/2006/relationships/hyperlink" Target="https://www.geonames.org/702550+I12:J13" TargetMode="External"/><Relationship Id="rId534" Type="http://schemas.openxmlformats.org/officeDocument/2006/relationships/hyperlink" Target="https://www.geonames.org/3094802/" TargetMode="External"/><Relationship Id="rId741" Type="http://schemas.openxmlformats.org/officeDocument/2006/relationships/hyperlink" Target="https://www.geonames.org/770001/" TargetMode="External"/><Relationship Id="rId839" Type="http://schemas.openxmlformats.org/officeDocument/2006/relationships/hyperlink" Target="https://www.geonames.org/3078910/" TargetMode="External"/><Relationship Id="rId1164" Type="http://schemas.openxmlformats.org/officeDocument/2006/relationships/hyperlink" Target="https://www.geonames.org/705265/" TargetMode="External"/><Relationship Id="rId1371" Type="http://schemas.openxmlformats.org/officeDocument/2006/relationships/hyperlink" Target="https://www.geonames.org/703893/" TargetMode="External"/><Relationship Id="rId601" Type="http://schemas.openxmlformats.org/officeDocument/2006/relationships/hyperlink" Target="https://www.geonames.org/717825/" TargetMode="External"/><Relationship Id="rId1024" Type="http://schemas.openxmlformats.org/officeDocument/2006/relationships/hyperlink" Target="https://www.geonames.org/759734/" TargetMode="External"/><Relationship Id="rId1231" Type="http://schemas.openxmlformats.org/officeDocument/2006/relationships/hyperlink" Target="https://www.geonames.org/682685/" TargetMode="External"/><Relationship Id="rId906" Type="http://schemas.openxmlformats.org/officeDocument/2006/relationships/hyperlink" Target="https://www.geonames.org/712374/" TargetMode="External"/><Relationship Id="rId1329" Type="http://schemas.openxmlformats.org/officeDocument/2006/relationships/hyperlink" Target="https://www.geonames.org/768861/" TargetMode="External"/><Relationship Id="rId35" Type="http://schemas.openxmlformats.org/officeDocument/2006/relationships/hyperlink" Target="https://www.geonames.org/687455/" TargetMode="External"/><Relationship Id="rId184" Type="http://schemas.openxmlformats.org/officeDocument/2006/relationships/hyperlink" Target="https://www.geonames.org/3076573/" TargetMode="External"/><Relationship Id="rId391" Type="http://schemas.openxmlformats.org/officeDocument/2006/relationships/hyperlink" Target="https://www.google.at/maps/place/Siedlce,+Poland/@52.1616253,22.2068543,12z/data=!3m1!4b1!4m5!3m4!1s0x471f5a4df670f065:0x48cc76a09ee72abe!8m2!3d52.1676031!4d22.2901645" TargetMode="External"/><Relationship Id="rId251" Type="http://schemas.openxmlformats.org/officeDocument/2006/relationships/hyperlink" Target="https://www.geonames.org/711416/" TargetMode="External"/><Relationship Id="rId489" Type="http://schemas.openxmlformats.org/officeDocument/2006/relationships/hyperlink" Target="https://www.geonames.org/766675/" TargetMode="External"/><Relationship Id="rId696" Type="http://schemas.openxmlformats.org/officeDocument/2006/relationships/hyperlink" Target="https://www.geonames.org/3096401/" TargetMode="External"/><Relationship Id="rId349" Type="http://schemas.openxmlformats.org/officeDocument/2006/relationships/hyperlink" Target="https://www.geonames.org/687093/" TargetMode="External"/><Relationship Id="rId556" Type="http://schemas.openxmlformats.org/officeDocument/2006/relationships/hyperlink" Target="https://www.geonames.org/694864/" TargetMode="External"/><Relationship Id="rId763" Type="http://schemas.openxmlformats.org/officeDocument/2006/relationships/hyperlink" Target="https://www.geonames.org/3077884" TargetMode="External"/><Relationship Id="rId1186" Type="http://schemas.openxmlformats.org/officeDocument/2006/relationships/hyperlink" Target="https://www.geonames.org/765681/" TargetMode="External"/><Relationship Id="rId1393" Type="http://schemas.openxmlformats.org/officeDocument/2006/relationships/hyperlink" Target="https://www.geonames.org/3073371/" TargetMode="External"/><Relationship Id="rId111" Type="http://schemas.openxmlformats.org/officeDocument/2006/relationships/hyperlink" Target="https://www.geonames.org/3057091/" TargetMode="External"/><Relationship Id="rId209" Type="http://schemas.openxmlformats.org/officeDocument/2006/relationships/hyperlink" Target="https://www.geonames.org/680366/" TargetMode="External"/><Relationship Id="rId416" Type="http://schemas.openxmlformats.org/officeDocument/2006/relationships/hyperlink" Target="https://www.geonames.org/775493/" TargetMode="External"/><Relationship Id="rId970" Type="http://schemas.openxmlformats.org/officeDocument/2006/relationships/hyperlink" Target="https://www.geonames.org/771394/" TargetMode="External"/><Relationship Id="rId1046" Type="http://schemas.openxmlformats.org/officeDocument/2006/relationships/hyperlink" Target="https://www.geonames.org/757957/" TargetMode="External"/><Relationship Id="rId1253" Type="http://schemas.openxmlformats.org/officeDocument/2006/relationships/hyperlink" Target="https://www.geonames.org/717902/" TargetMode="External"/><Relationship Id="rId623" Type="http://schemas.openxmlformats.org/officeDocument/2006/relationships/hyperlink" Target="https://www.geonames.org/691825/" TargetMode="External"/><Relationship Id="rId830" Type="http://schemas.openxmlformats.org/officeDocument/2006/relationships/hyperlink" Target="https://www.geonames.org/770751/" TargetMode="External"/><Relationship Id="rId928" Type="http://schemas.openxmlformats.org/officeDocument/2006/relationships/hyperlink" Target="https://www.geonames.org/764849/" TargetMode="External"/><Relationship Id="rId1460" Type="http://schemas.openxmlformats.org/officeDocument/2006/relationships/vmlDrawing" Target="../drawings/vmlDrawing1.vml"/><Relationship Id="rId57" Type="http://schemas.openxmlformats.org/officeDocument/2006/relationships/hyperlink" Target="https://www.geonames.org/3071339/" TargetMode="External"/><Relationship Id="rId1113" Type="http://schemas.openxmlformats.org/officeDocument/2006/relationships/hyperlink" Target="https://www.geonames.org/3073407/" TargetMode="External"/><Relationship Id="rId1320" Type="http://schemas.openxmlformats.org/officeDocument/2006/relationships/hyperlink" Target="https://www.google.at/maps/place/Choustn%C3%ADk,+Czechia/@49.3277329,14.803783,13z/data=!3m1!4b1!4m5!3m4!1s0x470cbf10fd206777:0x26d71bffc95755fc!8m2!3d49.3329448!4d14.8383919" TargetMode="External"/><Relationship Id="rId1418" Type="http://schemas.openxmlformats.org/officeDocument/2006/relationships/hyperlink" Target="https://www.geonames.org/753063/" TargetMode="External"/><Relationship Id="rId273" Type="http://schemas.openxmlformats.org/officeDocument/2006/relationships/hyperlink" Target="https://www.geonames.org/3061350/" TargetMode="External"/><Relationship Id="rId480" Type="http://schemas.openxmlformats.org/officeDocument/2006/relationships/hyperlink" Target="https://www.geonames.org/776458/" TargetMode="External"/><Relationship Id="rId133" Type="http://schemas.openxmlformats.org/officeDocument/2006/relationships/hyperlink" Target="https://www.geonames.org/2775220/" TargetMode="External"/><Relationship Id="rId340" Type="http://schemas.openxmlformats.org/officeDocument/2006/relationships/hyperlink" Target="https://www.geonames.org/759734/" TargetMode="External"/><Relationship Id="rId578" Type="http://schemas.openxmlformats.org/officeDocument/2006/relationships/hyperlink" Target="https://www.geonames.org/3069377/" TargetMode="External"/><Relationship Id="rId785" Type="http://schemas.openxmlformats.org/officeDocument/2006/relationships/hyperlink" Target="https://www.geonames.org/11921122/" TargetMode="External"/><Relationship Id="rId992" Type="http://schemas.openxmlformats.org/officeDocument/2006/relationships/hyperlink" Target="https://www.geonames.org/770380/" TargetMode="External"/><Relationship Id="rId200" Type="http://schemas.openxmlformats.org/officeDocument/2006/relationships/hyperlink" Target="https://www.geonames.org/723311/" TargetMode="External"/><Relationship Id="rId438" Type="http://schemas.openxmlformats.org/officeDocument/2006/relationships/hyperlink" Target="https://www.geonames.org/759301/" TargetMode="External"/><Relationship Id="rId645" Type="http://schemas.openxmlformats.org/officeDocument/2006/relationships/hyperlink" Target="https://www.geonames.org/770966/" TargetMode="External"/><Relationship Id="rId852" Type="http://schemas.openxmlformats.org/officeDocument/2006/relationships/hyperlink" Target="https://www.geonames.org/770966/" TargetMode="External"/><Relationship Id="rId1068" Type="http://schemas.openxmlformats.org/officeDocument/2006/relationships/hyperlink" Target="https://www.geonames.org/3072407/" TargetMode="External"/><Relationship Id="rId1275" Type="http://schemas.openxmlformats.org/officeDocument/2006/relationships/hyperlink" Target="https://www.geonames.org/712381/" TargetMode="External"/><Relationship Id="rId505" Type="http://schemas.openxmlformats.org/officeDocument/2006/relationships/hyperlink" Target="https://www.geonames.org/687826/" TargetMode="External"/><Relationship Id="rId712" Type="http://schemas.openxmlformats.org/officeDocument/2006/relationships/hyperlink" Target="https://www.geonames.org/760987/" TargetMode="External"/><Relationship Id="rId1135" Type="http://schemas.openxmlformats.org/officeDocument/2006/relationships/hyperlink" Target="https://www.geonames.org/3101220/" TargetMode="External"/><Relationship Id="rId1342" Type="http://schemas.openxmlformats.org/officeDocument/2006/relationships/hyperlink" Target="https://www.geonames.org/688288/" TargetMode="External"/><Relationship Id="rId79" Type="http://schemas.openxmlformats.org/officeDocument/2006/relationships/hyperlink" Target="https://www.geonames.org/695781/" TargetMode="External"/><Relationship Id="rId1202" Type="http://schemas.openxmlformats.org/officeDocument/2006/relationships/hyperlink" Target="https://www.geonames.org/695781/" TargetMode="External"/><Relationship Id="rId295" Type="http://schemas.openxmlformats.org/officeDocument/2006/relationships/hyperlink" Target="https://www.geonames.org/771069/" TargetMode="External"/><Relationship Id="rId155" Type="http://schemas.openxmlformats.org/officeDocument/2006/relationships/hyperlink" Target="https://www.google.com/maps/place/094+31+Hanu%C5%A1ovce+nad+Top%C4%BEou,+Slovakia/@49.0268087,21.4693221,12.55z/data=!4m5!3m4!1s0x473e9576d66b6307:0x400f7d1c6977d40!8m2!3d49.0273908!4d21.5022433" TargetMode="External"/><Relationship Id="rId362" Type="http://schemas.openxmlformats.org/officeDocument/2006/relationships/hyperlink" Target="https://www.geonames.org/711348/" TargetMode="External"/><Relationship Id="rId1297" Type="http://schemas.openxmlformats.org/officeDocument/2006/relationships/hyperlink" Target="https://www.geonames.org/695342/" TargetMode="External"/><Relationship Id="rId222" Type="http://schemas.openxmlformats.org/officeDocument/2006/relationships/hyperlink" Target="https://www.geonames.org/765876/" TargetMode="External"/><Relationship Id="rId667" Type="http://schemas.openxmlformats.org/officeDocument/2006/relationships/hyperlink" Target="https://www.geonames.org/690155/" TargetMode="External"/><Relationship Id="rId874" Type="http://schemas.openxmlformats.org/officeDocument/2006/relationships/hyperlink" Target="https://www.geonames.org/3067421/" TargetMode="External"/><Relationship Id="rId527" Type="http://schemas.openxmlformats.org/officeDocument/2006/relationships/hyperlink" Target="https://www.geonames.org/698142/" TargetMode="External"/><Relationship Id="rId734" Type="http://schemas.openxmlformats.org/officeDocument/2006/relationships/hyperlink" Target="https://www.geonames.org/3078910/" TargetMode="External"/><Relationship Id="rId941" Type="http://schemas.openxmlformats.org/officeDocument/2006/relationships/hyperlink" Target="https://www.geonames.org/758633/" TargetMode="External"/><Relationship Id="rId1157" Type="http://schemas.openxmlformats.org/officeDocument/2006/relationships/hyperlink" Target="https://www.geonames.org/753140/" TargetMode="External"/><Relationship Id="rId1364" Type="http://schemas.openxmlformats.org/officeDocument/2006/relationships/hyperlink" Target="https://www.geonames.org/3047211/" TargetMode="External"/><Relationship Id="rId70" Type="http://schemas.openxmlformats.org/officeDocument/2006/relationships/hyperlink" Target="https://www.geonames.org/3060348/" TargetMode="External"/><Relationship Id="rId801" Type="http://schemas.openxmlformats.org/officeDocument/2006/relationships/hyperlink" Target="https://www.geonames.org/774158/" TargetMode="External"/><Relationship Id="rId1017" Type="http://schemas.openxmlformats.org/officeDocument/2006/relationships/hyperlink" Target="https://www.geonames.org/3078910/" TargetMode="External"/><Relationship Id="rId1224" Type="http://schemas.openxmlformats.org/officeDocument/2006/relationships/hyperlink" Target="https://www.geonames.org/717345/" TargetMode="External"/><Relationship Id="rId1431" Type="http://schemas.openxmlformats.org/officeDocument/2006/relationships/hyperlink" Target="https://www.geonames.org/755881/" TargetMode="External"/><Relationship Id="rId28" Type="http://schemas.openxmlformats.org/officeDocument/2006/relationships/hyperlink" Target="https://www.geonames.org/765749/" TargetMode="External"/><Relationship Id="rId81" Type="http://schemas.openxmlformats.org/officeDocument/2006/relationships/hyperlink" Target="https://www.geonames.org/697140/" TargetMode="External"/><Relationship Id="rId177" Type="http://schemas.openxmlformats.org/officeDocument/2006/relationships/hyperlink" Target="https://www.geonames.org/3056437/" TargetMode="External"/><Relationship Id="rId384" Type="http://schemas.openxmlformats.org/officeDocument/2006/relationships/hyperlink" Target="https://www.geonames.org/702550+I12:J13" TargetMode="External"/><Relationship Id="rId591" Type="http://schemas.openxmlformats.org/officeDocument/2006/relationships/hyperlink" Target="https://www.geonames.org/724743/" TargetMode="External"/><Relationship Id="rId605" Type="http://schemas.openxmlformats.org/officeDocument/2006/relationships/hyperlink" Target="https://www.geonames.org/760778/" TargetMode="External"/><Relationship Id="rId812" Type="http://schemas.openxmlformats.org/officeDocument/2006/relationships/hyperlink" Target="https://www.geonames.org/696966/" TargetMode="External"/><Relationship Id="rId1028" Type="http://schemas.openxmlformats.org/officeDocument/2006/relationships/hyperlink" Target="https://www.geonames.org/757026/" TargetMode="External"/><Relationship Id="rId1235" Type="http://schemas.openxmlformats.org/officeDocument/2006/relationships/hyperlink" Target="https://www.geonames.org/773380/" TargetMode="External"/><Relationship Id="rId1442" Type="http://schemas.openxmlformats.org/officeDocument/2006/relationships/hyperlink" Target="https://www.geonames.org/687826/" TargetMode="External"/><Relationship Id="rId244" Type="http://schemas.openxmlformats.org/officeDocument/2006/relationships/hyperlink" Target="https://www.geonames.org/775922/" TargetMode="External"/><Relationship Id="rId689" Type="http://schemas.openxmlformats.org/officeDocument/2006/relationships/hyperlink" Target="https://www.geonames.org/711348/" TargetMode="External"/><Relationship Id="rId896" Type="http://schemas.openxmlformats.org/officeDocument/2006/relationships/hyperlink" Target="https://www.geonames.org/3067421/" TargetMode="External"/><Relationship Id="rId1081" Type="http://schemas.openxmlformats.org/officeDocument/2006/relationships/hyperlink" Target="https://www.geonames.org/3075119/" TargetMode="External"/><Relationship Id="rId1302" Type="http://schemas.openxmlformats.org/officeDocument/2006/relationships/hyperlink" Target="https://www.geonames.org/3075220/" TargetMode="External"/><Relationship Id="rId39" Type="http://schemas.openxmlformats.org/officeDocument/2006/relationships/hyperlink" Target="https://www.geonames.org/756484" TargetMode="External"/><Relationship Id="rId451" Type="http://schemas.openxmlformats.org/officeDocument/2006/relationships/hyperlink" Target="https://www.geonames.org/753394/" TargetMode="External"/><Relationship Id="rId549" Type="http://schemas.openxmlformats.org/officeDocument/2006/relationships/hyperlink" Target="https://www.geonames.org/767814/" TargetMode="External"/><Relationship Id="rId756" Type="http://schemas.openxmlformats.org/officeDocument/2006/relationships/hyperlink" Target="https://www.geonames.org/762774/" TargetMode="External"/><Relationship Id="rId1179" Type="http://schemas.openxmlformats.org/officeDocument/2006/relationships/hyperlink" Target="https://www.geonames.org/763521/" TargetMode="External"/><Relationship Id="rId1386" Type="http://schemas.openxmlformats.org/officeDocument/2006/relationships/hyperlink" Target="https://www.geonames.org/757033/" TargetMode="External"/><Relationship Id="rId104" Type="http://schemas.openxmlformats.org/officeDocument/2006/relationships/hyperlink" Target="https://www.geonames.org/686254/" TargetMode="External"/><Relationship Id="rId188" Type="http://schemas.openxmlformats.org/officeDocument/2006/relationships/hyperlink" Target="https://www.geonames.org/776458/" TargetMode="External"/><Relationship Id="rId311" Type="http://schemas.openxmlformats.org/officeDocument/2006/relationships/hyperlink" Target="https://www.geonames.org/775922/" TargetMode="External"/><Relationship Id="rId395" Type="http://schemas.openxmlformats.org/officeDocument/2006/relationships/hyperlink" Target="https://www.geonames.org/756046/" TargetMode="External"/><Relationship Id="rId409" Type="http://schemas.openxmlformats.org/officeDocument/2006/relationships/hyperlink" Target="https://www.geonames.org/769738/" TargetMode="External"/><Relationship Id="rId963" Type="http://schemas.openxmlformats.org/officeDocument/2006/relationships/hyperlink" Target="https://www.geonames.org/769738/" TargetMode="External"/><Relationship Id="rId1039" Type="http://schemas.openxmlformats.org/officeDocument/2006/relationships/hyperlink" Target="https://www.geonames.org/755889/" TargetMode="External"/><Relationship Id="rId1246" Type="http://schemas.openxmlformats.org/officeDocument/2006/relationships/hyperlink" Target="https://www.geonames.org/724592/" TargetMode="External"/><Relationship Id="rId92" Type="http://schemas.openxmlformats.org/officeDocument/2006/relationships/hyperlink" Target="https://www.geonames.org/3088694/" TargetMode="External"/><Relationship Id="rId616" Type="http://schemas.openxmlformats.org/officeDocument/2006/relationships/hyperlink" Target="https://www.geonames.org/712471" TargetMode="External"/><Relationship Id="rId823" Type="http://schemas.openxmlformats.org/officeDocument/2006/relationships/hyperlink" Target="https://www.geonames.org/3078910/" TargetMode="External"/><Relationship Id="rId1453" Type="http://schemas.openxmlformats.org/officeDocument/2006/relationships/hyperlink" Target="https://www.geonames.org/694979/" TargetMode="External"/><Relationship Id="rId255" Type="http://schemas.openxmlformats.org/officeDocument/2006/relationships/hyperlink" Target="https://www.geonames.org/763121/" TargetMode="External"/><Relationship Id="rId462" Type="http://schemas.openxmlformats.org/officeDocument/2006/relationships/hyperlink" Target="https://www.geonames.org/769738/" TargetMode="External"/><Relationship Id="rId1092" Type="http://schemas.openxmlformats.org/officeDocument/2006/relationships/hyperlink" Target="https://www.geonames.org/755855/" TargetMode="External"/><Relationship Id="rId1106" Type="http://schemas.openxmlformats.org/officeDocument/2006/relationships/hyperlink" Target="https://www.geonames.org/3075606/" TargetMode="External"/><Relationship Id="rId1313" Type="http://schemas.openxmlformats.org/officeDocument/2006/relationships/hyperlink" Target="https://www.geonames.org/3070720/" TargetMode="External"/><Relationship Id="rId1397" Type="http://schemas.openxmlformats.org/officeDocument/2006/relationships/hyperlink" Target="https://www.geonames.org/3075791/" TargetMode="External"/><Relationship Id="rId115" Type="http://schemas.openxmlformats.org/officeDocument/2006/relationships/hyperlink" Target="https://www.geonames.org/697802/" TargetMode="External"/><Relationship Id="rId322" Type="http://schemas.openxmlformats.org/officeDocument/2006/relationships/hyperlink" Target="https://www.geonames.org/768217/" TargetMode="External"/><Relationship Id="rId767" Type="http://schemas.openxmlformats.org/officeDocument/2006/relationships/hyperlink" Target="https://www.geonames.org/702550+I12:J13" TargetMode="External"/><Relationship Id="rId974" Type="http://schemas.openxmlformats.org/officeDocument/2006/relationships/hyperlink" Target="https://www.geonames.org/765932/" TargetMode="External"/><Relationship Id="rId199" Type="http://schemas.openxmlformats.org/officeDocument/2006/relationships/hyperlink" Target="https://www.geonames.org/758314/" TargetMode="External"/><Relationship Id="rId627" Type="http://schemas.openxmlformats.org/officeDocument/2006/relationships/hyperlink" Target="https://www.geonames.org/767814/" TargetMode="External"/><Relationship Id="rId834" Type="http://schemas.openxmlformats.org/officeDocument/2006/relationships/hyperlink" Target="https://www.geonames.org/3078910/" TargetMode="External"/><Relationship Id="rId1257" Type="http://schemas.openxmlformats.org/officeDocument/2006/relationships/hyperlink" Target="https://www.geonames.org/2779324/" TargetMode="External"/><Relationship Id="rId266" Type="http://schemas.openxmlformats.org/officeDocument/2006/relationships/hyperlink" Target="https://www.geonames.org/765876/" TargetMode="External"/><Relationship Id="rId473" Type="http://schemas.openxmlformats.org/officeDocument/2006/relationships/hyperlink" Target="https://www.geonames.org/763111/" TargetMode="External"/><Relationship Id="rId680" Type="http://schemas.openxmlformats.org/officeDocument/2006/relationships/hyperlink" Target="https://www.geonames.org/771787/" TargetMode="External"/><Relationship Id="rId901" Type="http://schemas.openxmlformats.org/officeDocument/2006/relationships/hyperlink" Target="https://www.geonames.org/2902199/hohebach.html" TargetMode="External"/><Relationship Id="rId1117" Type="http://schemas.openxmlformats.org/officeDocument/2006/relationships/hyperlink" Target="https://www.geonames.org/3071791" TargetMode="External"/><Relationship Id="rId1324" Type="http://schemas.openxmlformats.org/officeDocument/2006/relationships/hyperlink" Target="https://www.geonames.org/8426072/" TargetMode="External"/><Relationship Id="rId30" Type="http://schemas.openxmlformats.org/officeDocument/2006/relationships/hyperlink" Target="https://www.geonames.org/755474/" TargetMode="External"/><Relationship Id="rId126" Type="http://schemas.openxmlformats.org/officeDocument/2006/relationships/hyperlink" Target="https://www.geonames.org/691650/" TargetMode="External"/><Relationship Id="rId333" Type="http://schemas.openxmlformats.org/officeDocument/2006/relationships/hyperlink" Target="https://www.geonames.org/3168752/" TargetMode="External"/><Relationship Id="rId540" Type="http://schemas.openxmlformats.org/officeDocument/2006/relationships/hyperlink" Target="https://www.geonames.org/687093/" TargetMode="External"/><Relationship Id="rId778" Type="http://schemas.openxmlformats.org/officeDocument/2006/relationships/hyperlink" Target="https://www.geonames.org/3063193/" TargetMode="External"/><Relationship Id="rId985" Type="http://schemas.openxmlformats.org/officeDocument/2006/relationships/hyperlink" Target="https://www.geonames.org/761655/" TargetMode="External"/><Relationship Id="rId1170" Type="http://schemas.openxmlformats.org/officeDocument/2006/relationships/hyperlink" Target="https://www.geonames.org/3089658/" TargetMode="External"/><Relationship Id="rId638" Type="http://schemas.openxmlformats.org/officeDocument/2006/relationships/hyperlink" Target="https://www.geonames.org/756438/" TargetMode="External"/><Relationship Id="rId845" Type="http://schemas.openxmlformats.org/officeDocument/2006/relationships/hyperlink" Target="https://www.geonames.org/3068162/" TargetMode="External"/><Relationship Id="rId1030" Type="http://schemas.openxmlformats.org/officeDocument/2006/relationships/hyperlink" Target="https://www.geonames.org/754090/" TargetMode="External"/><Relationship Id="rId1268" Type="http://schemas.openxmlformats.org/officeDocument/2006/relationships/hyperlink" Target="https://www.geonames.org/774128/" TargetMode="External"/><Relationship Id="rId277" Type="http://schemas.openxmlformats.org/officeDocument/2006/relationships/hyperlink" Target="https://www.geonames.org/762863/" TargetMode="External"/><Relationship Id="rId400" Type="http://schemas.openxmlformats.org/officeDocument/2006/relationships/hyperlink" Target="https://www.google.com/maps/place/Mordy,+Poland/@52.2175401,22.4562294,11.8z/data=!4m5!3m4!1s0x4721e02b32371aef:0x7d82b9a2f81d8473!8m2!3d52.2117091!4d22.517767" TargetMode="External"/><Relationship Id="rId484" Type="http://schemas.openxmlformats.org/officeDocument/2006/relationships/hyperlink" Target="https://www.geonames.org/770380/" TargetMode="External"/><Relationship Id="rId705" Type="http://schemas.openxmlformats.org/officeDocument/2006/relationships/hyperlink" Target="https://www.geonames.org/693301/" TargetMode="External"/><Relationship Id="rId1128" Type="http://schemas.openxmlformats.org/officeDocument/2006/relationships/hyperlink" Target="https://www.geonames.org/770996/" TargetMode="External"/><Relationship Id="rId1335" Type="http://schemas.openxmlformats.org/officeDocument/2006/relationships/hyperlink" Target="https://www.geonames.org/770380/" TargetMode="External"/><Relationship Id="rId137" Type="http://schemas.openxmlformats.org/officeDocument/2006/relationships/hyperlink" Target="https://www.geonames.org/691650/" TargetMode="External"/><Relationship Id="rId344" Type="http://schemas.openxmlformats.org/officeDocument/2006/relationships/hyperlink" Target="https://www.geonames.org/666916/" TargetMode="External"/><Relationship Id="rId691" Type="http://schemas.openxmlformats.org/officeDocument/2006/relationships/hyperlink" Target="https://www.geonames.org/687093/" TargetMode="External"/><Relationship Id="rId789" Type="http://schemas.openxmlformats.org/officeDocument/2006/relationships/hyperlink" Target="https://www.geonames.org/3078910/" TargetMode="External"/><Relationship Id="rId912" Type="http://schemas.openxmlformats.org/officeDocument/2006/relationships/hyperlink" Target="https://www.geonames.org/3064143/" TargetMode="External"/><Relationship Id="rId996" Type="http://schemas.openxmlformats.org/officeDocument/2006/relationships/hyperlink" Target="https://www.geonames.org/769738/" TargetMode="External"/><Relationship Id="rId41" Type="http://schemas.openxmlformats.org/officeDocument/2006/relationships/hyperlink" Target="https://www.geonames.org/694979/" TargetMode="External"/><Relationship Id="rId551" Type="http://schemas.openxmlformats.org/officeDocument/2006/relationships/hyperlink" Target="https://www.geonames.org/687093/" TargetMode="External"/><Relationship Id="rId649" Type="http://schemas.openxmlformats.org/officeDocument/2006/relationships/hyperlink" Target="https://www.geonames.org/710554/" TargetMode="External"/><Relationship Id="rId856" Type="http://schemas.openxmlformats.org/officeDocument/2006/relationships/hyperlink" Target="https://www.geonames.org/3078910/" TargetMode="External"/><Relationship Id="rId1181" Type="http://schemas.openxmlformats.org/officeDocument/2006/relationships/hyperlink" Target="https://www.geonames.org/3078071/" TargetMode="External"/><Relationship Id="rId1279" Type="http://schemas.openxmlformats.org/officeDocument/2006/relationships/hyperlink" Target="https://www.geonames.org/3072649/" TargetMode="External"/><Relationship Id="rId1402" Type="http://schemas.openxmlformats.org/officeDocument/2006/relationships/hyperlink" Target="https://www.geonames.org/768861/" TargetMode="External"/><Relationship Id="rId190" Type="http://schemas.openxmlformats.org/officeDocument/2006/relationships/hyperlink" Target="https://www.geonames.org/770380/" TargetMode="External"/><Relationship Id="rId204" Type="http://schemas.openxmlformats.org/officeDocument/2006/relationships/hyperlink" Target="https://www.geonames.org/3066727/" TargetMode="External"/><Relationship Id="rId288" Type="http://schemas.openxmlformats.org/officeDocument/2006/relationships/hyperlink" Target="https://www.geonames.org/771313/" TargetMode="External"/><Relationship Id="rId411" Type="http://schemas.openxmlformats.org/officeDocument/2006/relationships/hyperlink" Target="https://www.geonames.org/756046/" TargetMode="External"/><Relationship Id="rId509" Type="http://schemas.openxmlformats.org/officeDocument/2006/relationships/hyperlink" Target="https://www.geonames.org/753479/" TargetMode="External"/><Relationship Id="rId1041" Type="http://schemas.openxmlformats.org/officeDocument/2006/relationships/hyperlink" Target="https://www.geonames.org/768338/" TargetMode="External"/><Relationship Id="rId1139" Type="http://schemas.openxmlformats.org/officeDocument/2006/relationships/hyperlink" Target="https://www.geonames.org/699997/" TargetMode="External"/><Relationship Id="rId1346" Type="http://schemas.openxmlformats.org/officeDocument/2006/relationships/hyperlink" Target="https://www.geonames.org/770380/" TargetMode="External"/><Relationship Id="rId495" Type="http://schemas.openxmlformats.org/officeDocument/2006/relationships/hyperlink" Target="https://www.geonames.org/686762" TargetMode="External"/><Relationship Id="rId716" Type="http://schemas.openxmlformats.org/officeDocument/2006/relationships/hyperlink" Target="https://www.geonames.org/687093/" TargetMode="External"/><Relationship Id="rId923" Type="http://schemas.openxmlformats.org/officeDocument/2006/relationships/hyperlink" Target="https://www.geonames.org/759504/" TargetMode="External"/><Relationship Id="rId52" Type="http://schemas.openxmlformats.org/officeDocument/2006/relationships/hyperlink" Target="https://www.geonames.org/3064484/" TargetMode="External"/><Relationship Id="rId148" Type="http://schemas.openxmlformats.org/officeDocument/2006/relationships/hyperlink" Target="https://www.geonames.org/3075493/" TargetMode="External"/><Relationship Id="rId355" Type="http://schemas.openxmlformats.org/officeDocument/2006/relationships/hyperlink" Target="https://www.geonames.org/767814/" TargetMode="External"/><Relationship Id="rId562" Type="http://schemas.openxmlformats.org/officeDocument/2006/relationships/hyperlink" Target="https://www.geonames.org/690960/" TargetMode="External"/><Relationship Id="rId1192" Type="http://schemas.openxmlformats.org/officeDocument/2006/relationships/hyperlink" Target="https://www.geonames.org/756457/" TargetMode="External"/><Relationship Id="rId1206" Type="http://schemas.openxmlformats.org/officeDocument/2006/relationships/hyperlink" Target="https://www.geonames.org/690814/" TargetMode="External"/><Relationship Id="rId1413" Type="http://schemas.openxmlformats.org/officeDocument/2006/relationships/hyperlink" Target="https://www.geonames.org/700507/" TargetMode="External"/><Relationship Id="rId215" Type="http://schemas.openxmlformats.org/officeDocument/2006/relationships/hyperlink" Target="https://www.geonames.org/759734/" TargetMode="External"/><Relationship Id="rId422" Type="http://schemas.openxmlformats.org/officeDocument/2006/relationships/hyperlink" Target="https://www.geonames.org/768218/" TargetMode="External"/><Relationship Id="rId867" Type="http://schemas.openxmlformats.org/officeDocument/2006/relationships/hyperlink" Target="https://www.geonames.org/7535720/" TargetMode="External"/><Relationship Id="rId1052" Type="http://schemas.openxmlformats.org/officeDocument/2006/relationships/hyperlink" Target="https://www.geonames.org/772857/" TargetMode="External"/><Relationship Id="rId299" Type="http://schemas.openxmlformats.org/officeDocument/2006/relationships/hyperlink" Target="https://www.geonames.org/759734/" TargetMode="External"/><Relationship Id="rId727" Type="http://schemas.openxmlformats.org/officeDocument/2006/relationships/hyperlink" Target="https://www.geonames.org/753866/" TargetMode="External"/><Relationship Id="rId934" Type="http://schemas.openxmlformats.org/officeDocument/2006/relationships/hyperlink" Target="https://www.geonames.org/3071791" TargetMode="External"/><Relationship Id="rId1357" Type="http://schemas.openxmlformats.org/officeDocument/2006/relationships/hyperlink" Target="https://www.geonames.org/3075504/" TargetMode="External"/><Relationship Id="rId63" Type="http://schemas.openxmlformats.org/officeDocument/2006/relationships/hyperlink" Target="https://www.geonames.org/3067770/" TargetMode="External"/><Relationship Id="rId159" Type="http://schemas.openxmlformats.org/officeDocument/2006/relationships/hyperlink" Target="https://www.geonames.org/723731/" TargetMode="External"/><Relationship Id="rId366" Type="http://schemas.openxmlformats.org/officeDocument/2006/relationships/hyperlink" Target="https://www.geonames.org/688790/" TargetMode="External"/><Relationship Id="rId573" Type="http://schemas.openxmlformats.org/officeDocument/2006/relationships/hyperlink" Target="https://www.geonames.org/759412/" TargetMode="External"/><Relationship Id="rId780" Type="http://schemas.openxmlformats.org/officeDocument/2006/relationships/hyperlink" Target="https://www.geonames.org/768805/" TargetMode="External"/><Relationship Id="rId1217" Type="http://schemas.openxmlformats.org/officeDocument/2006/relationships/hyperlink" Target="https://www.geonames.org/695781/" TargetMode="External"/><Relationship Id="rId1424" Type="http://schemas.openxmlformats.org/officeDocument/2006/relationships/hyperlink" Target="https://www.geonames.org/700507/" TargetMode="External"/><Relationship Id="rId226" Type="http://schemas.openxmlformats.org/officeDocument/2006/relationships/hyperlink" Target="https://www.geonames.org/756624/" TargetMode="External"/><Relationship Id="rId433" Type="http://schemas.openxmlformats.org/officeDocument/2006/relationships/hyperlink" Target="https://www.geonames.org/753787/" TargetMode="External"/><Relationship Id="rId878" Type="http://schemas.openxmlformats.org/officeDocument/2006/relationships/hyperlink" Target="https://www.geonames.org/700455/" TargetMode="External"/><Relationship Id="rId1063" Type="http://schemas.openxmlformats.org/officeDocument/2006/relationships/hyperlink" Target="https://www.geonames.org/3067421/" TargetMode="External"/><Relationship Id="rId1270" Type="http://schemas.openxmlformats.org/officeDocument/2006/relationships/hyperlink" Target="https://www.geonames.org/774558/" TargetMode="External"/><Relationship Id="rId640" Type="http://schemas.openxmlformats.org/officeDocument/2006/relationships/hyperlink" Target="https://www.geonames.org/757029/" TargetMode="External"/><Relationship Id="rId738" Type="http://schemas.openxmlformats.org/officeDocument/2006/relationships/hyperlink" Target="https://www.geonames.org/763121/" TargetMode="External"/><Relationship Id="rId945" Type="http://schemas.openxmlformats.org/officeDocument/2006/relationships/hyperlink" Target="https://www.geonames.org/760185/" TargetMode="External"/><Relationship Id="rId1368" Type="http://schemas.openxmlformats.org/officeDocument/2006/relationships/hyperlink" Target="https://www.geonames.org/3079215/" TargetMode="External"/><Relationship Id="rId74" Type="http://schemas.openxmlformats.org/officeDocument/2006/relationships/hyperlink" Target="https://www.geonames.org/3073371/" TargetMode="External"/><Relationship Id="rId377" Type="http://schemas.openxmlformats.org/officeDocument/2006/relationships/hyperlink" Target="https://www.geonames.org/711134/" TargetMode="External"/><Relationship Id="rId500" Type="http://schemas.openxmlformats.org/officeDocument/2006/relationships/hyperlink" Target="https://www.geonames.org/702550+I12:J13" TargetMode="External"/><Relationship Id="rId584" Type="http://schemas.openxmlformats.org/officeDocument/2006/relationships/hyperlink" Target="https://www.geonames.org/668076/" TargetMode="External"/><Relationship Id="rId805" Type="http://schemas.openxmlformats.org/officeDocument/2006/relationships/hyperlink" Target="https://www.geonames.org/3075606/" TargetMode="External"/><Relationship Id="rId1130" Type="http://schemas.openxmlformats.org/officeDocument/2006/relationships/hyperlink" Target="https://www.geonames.org/770380/" TargetMode="External"/><Relationship Id="rId1228" Type="http://schemas.openxmlformats.org/officeDocument/2006/relationships/hyperlink" Target="https://www.geonames.org/682685/" TargetMode="External"/><Relationship Id="rId1435" Type="http://schemas.openxmlformats.org/officeDocument/2006/relationships/hyperlink" Target="https://www.geonames.org/763111/" TargetMode="External"/><Relationship Id="rId5" Type="http://schemas.openxmlformats.org/officeDocument/2006/relationships/hyperlink" Target="https://www.geonames.org/770001/" TargetMode="External"/><Relationship Id="rId237" Type="http://schemas.openxmlformats.org/officeDocument/2006/relationships/hyperlink" Target="https://www.geonames.org/766980/" TargetMode="External"/><Relationship Id="rId791" Type="http://schemas.openxmlformats.org/officeDocument/2006/relationships/hyperlink" Target="https://www.geonames.org/712374/" TargetMode="External"/><Relationship Id="rId889" Type="http://schemas.openxmlformats.org/officeDocument/2006/relationships/hyperlink" Target="https://www.geonames.org/764849/" TargetMode="External"/><Relationship Id="rId1074" Type="http://schemas.openxmlformats.org/officeDocument/2006/relationships/hyperlink" Target="https://www.geonames.org/3078275/" TargetMode="External"/><Relationship Id="rId444" Type="http://schemas.openxmlformats.org/officeDocument/2006/relationships/hyperlink" Target="https://www.geonames.org/771687/" TargetMode="External"/><Relationship Id="rId651" Type="http://schemas.openxmlformats.org/officeDocument/2006/relationships/hyperlink" Target="https://www.geonames.org/710554/" TargetMode="External"/><Relationship Id="rId749" Type="http://schemas.openxmlformats.org/officeDocument/2006/relationships/hyperlink" Target="https://www.geonames.org/768859/" TargetMode="External"/><Relationship Id="rId1281" Type="http://schemas.openxmlformats.org/officeDocument/2006/relationships/hyperlink" Target="https://www.geonames.org/758905/" TargetMode="External"/><Relationship Id="rId1379" Type="http://schemas.openxmlformats.org/officeDocument/2006/relationships/hyperlink" Target="https://www.geonames.org/689443/" TargetMode="External"/><Relationship Id="rId290" Type="http://schemas.openxmlformats.org/officeDocument/2006/relationships/hyperlink" Target="https://www.geonames.org/763534/" TargetMode="External"/><Relationship Id="rId304" Type="http://schemas.openxmlformats.org/officeDocument/2006/relationships/hyperlink" Target="https://www.geonames.org/705392/" TargetMode="External"/><Relationship Id="rId388" Type="http://schemas.openxmlformats.org/officeDocument/2006/relationships/hyperlink" Target="https://www.geonames.org/687093/" TargetMode="External"/><Relationship Id="rId511" Type="http://schemas.openxmlformats.org/officeDocument/2006/relationships/hyperlink" Target="https://www.geonames.org/756135/" TargetMode="External"/><Relationship Id="rId609" Type="http://schemas.openxmlformats.org/officeDocument/2006/relationships/hyperlink" Target="https://www.geonames.org/687093/" TargetMode="External"/><Relationship Id="rId956" Type="http://schemas.openxmlformats.org/officeDocument/2006/relationships/hyperlink" Target="https://www.geonames.org/3077407/" TargetMode="External"/><Relationship Id="rId1141" Type="http://schemas.openxmlformats.org/officeDocument/2006/relationships/hyperlink" Target="https://www.geonames.org/3073369/" TargetMode="External"/><Relationship Id="rId1239" Type="http://schemas.openxmlformats.org/officeDocument/2006/relationships/hyperlink" Target="https://www.geonames.org/690548/" TargetMode="External"/><Relationship Id="rId85" Type="http://schemas.openxmlformats.org/officeDocument/2006/relationships/hyperlink" Target="https://www.geonames.org/776175/" TargetMode="External"/><Relationship Id="rId150" Type="http://schemas.openxmlformats.org/officeDocument/2006/relationships/hyperlink" Target="https://www.geonames.org/3049880/" TargetMode="External"/><Relationship Id="rId595" Type="http://schemas.openxmlformats.org/officeDocument/2006/relationships/hyperlink" Target="https://www.geonames.org/771313/" TargetMode="External"/><Relationship Id="rId816" Type="http://schemas.openxmlformats.org/officeDocument/2006/relationships/hyperlink" Target="https://www.geonames.org/712374/" TargetMode="External"/><Relationship Id="rId1001" Type="http://schemas.openxmlformats.org/officeDocument/2006/relationships/hyperlink" Target="https://www.geonames.org/753394/" TargetMode="External"/><Relationship Id="rId1446" Type="http://schemas.openxmlformats.org/officeDocument/2006/relationships/hyperlink" Target="https://www.geonames.org/698825/" TargetMode="External"/><Relationship Id="rId248" Type="http://schemas.openxmlformats.org/officeDocument/2006/relationships/hyperlink" Target="https://www.geonames.org/693376/" TargetMode="External"/><Relationship Id="rId455" Type="http://schemas.openxmlformats.org/officeDocument/2006/relationships/hyperlink" Target="https://www.geonames.org/759412/" TargetMode="External"/><Relationship Id="rId662" Type="http://schemas.openxmlformats.org/officeDocument/2006/relationships/hyperlink" Target="https://www.geonames.org/3065824/" TargetMode="External"/><Relationship Id="rId1085" Type="http://schemas.openxmlformats.org/officeDocument/2006/relationships/hyperlink" Target="https://www.geonames.org/763534/" TargetMode="External"/><Relationship Id="rId1292" Type="http://schemas.openxmlformats.org/officeDocument/2006/relationships/hyperlink" Target="https://www.geonames.org/3064104/" TargetMode="External"/><Relationship Id="rId1306" Type="http://schemas.openxmlformats.org/officeDocument/2006/relationships/hyperlink" Target="https://www.geonames.org/3064104/" TargetMode="External"/><Relationship Id="rId12" Type="http://schemas.openxmlformats.org/officeDocument/2006/relationships/hyperlink" Target="https://www.geonames.org/756438/" TargetMode="External"/><Relationship Id="rId108" Type="http://schemas.openxmlformats.org/officeDocument/2006/relationships/hyperlink" Target="https://www.geonames.org/789518/" TargetMode="External"/><Relationship Id="rId315" Type="http://schemas.openxmlformats.org/officeDocument/2006/relationships/hyperlink" Target="https://www.geonames.org/758252/" TargetMode="External"/><Relationship Id="rId522" Type="http://schemas.openxmlformats.org/officeDocument/2006/relationships/hyperlink" Target="https://www.geonames.org/3071879/" TargetMode="External"/><Relationship Id="rId967" Type="http://schemas.openxmlformats.org/officeDocument/2006/relationships/hyperlink" Target="https://www.geonames.org/702981/" TargetMode="External"/><Relationship Id="rId1152" Type="http://schemas.openxmlformats.org/officeDocument/2006/relationships/hyperlink" Target="https://www.geonames.org/766201/" TargetMode="External"/><Relationship Id="rId96" Type="http://schemas.openxmlformats.org/officeDocument/2006/relationships/hyperlink" Target="https://www.geonames.org/3065743/" TargetMode="External"/><Relationship Id="rId161" Type="http://schemas.openxmlformats.org/officeDocument/2006/relationships/hyperlink" Target="https://www.geonames.org/671768/" TargetMode="External"/><Relationship Id="rId399" Type="http://schemas.openxmlformats.org/officeDocument/2006/relationships/hyperlink" Target="https://www.geonames.org/723609/" TargetMode="External"/><Relationship Id="rId827" Type="http://schemas.openxmlformats.org/officeDocument/2006/relationships/hyperlink" Target="https://www.geonames.org/691714/" TargetMode="External"/><Relationship Id="rId1012" Type="http://schemas.openxmlformats.org/officeDocument/2006/relationships/hyperlink" Target="https://www.geonames.org/756046/" TargetMode="External"/><Relationship Id="rId1457" Type="http://schemas.openxmlformats.org/officeDocument/2006/relationships/hyperlink" Target="https://www.geonames.org/771735/" TargetMode="External"/><Relationship Id="rId259" Type="http://schemas.openxmlformats.org/officeDocument/2006/relationships/hyperlink" Target="https://www.geonames.org/711416/" TargetMode="External"/><Relationship Id="rId466" Type="http://schemas.openxmlformats.org/officeDocument/2006/relationships/hyperlink" Target="https://www.geonames.org/3101547/" TargetMode="External"/><Relationship Id="rId673" Type="http://schemas.openxmlformats.org/officeDocument/2006/relationships/hyperlink" Target="https://www.geonames.org/710554/" TargetMode="External"/><Relationship Id="rId880" Type="http://schemas.openxmlformats.org/officeDocument/2006/relationships/hyperlink" Target="https://www.geonames.org/3074614/" TargetMode="External"/><Relationship Id="rId1096" Type="http://schemas.openxmlformats.org/officeDocument/2006/relationships/hyperlink" Target="https://www.geonames.org/3078275/" TargetMode="External"/><Relationship Id="rId1317" Type="http://schemas.openxmlformats.org/officeDocument/2006/relationships/hyperlink" Target="https://www.geonames.org/760518" TargetMode="External"/><Relationship Id="rId23" Type="http://schemas.openxmlformats.org/officeDocument/2006/relationships/hyperlink" Target="https://www.geonames.org/761356/" TargetMode="External"/><Relationship Id="rId119" Type="http://schemas.openxmlformats.org/officeDocument/2006/relationships/hyperlink" Target="https://www.geonames.org/8426072/" TargetMode="External"/><Relationship Id="rId326" Type="http://schemas.openxmlformats.org/officeDocument/2006/relationships/hyperlink" Target="https://www.geonames.org/762774/" TargetMode="External"/><Relationship Id="rId533" Type="http://schemas.openxmlformats.org/officeDocument/2006/relationships/hyperlink" Target="https://www.geonames.org/757050/" TargetMode="External"/><Relationship Id="rId978" Type="http://schemas.openxmlformats.org/officeDocument/2006/relationships/hyperlink" Target="https://www.geonames.org/756280/" TargetMode="External"/><Relationship Id="rId1163" Type="http://schemas.openxmlformats.org/officeDocument/2006/relationships/hyperlink" Target="https://www.geonames.org/702550+I12:J13" TargetMode="External"/><Relationship Id="rId1370" Type="http://schemas.openxmlformats.org/officeDocument/2006/relationships/hyperlink" Target="https://www.geonames.org/696065/" TargetMode="External"/><Relationship Id="rId740" Type="http://schemas.openxmlformats.org/officeDocument/2006/relationships/hyperlink" Target="https://www.geonames.org/763121/" TargetMode="External"/><Relationship Id="rId838" Type="http://schemas.openxmlformats.org/officeDocument/2006/relationships/hyperlink" Target="https://www.geonames.org/3073407/" TargetMode="External"/><Relationship Id="rId1023" Type="http://schemas.openxmlformats.org/officeDocument/2006/relationships/hyperlink" Target="https://www.geonames.org/3076764/" TargetMode="External"/><Relationship Id="rId172" Type="http://schemas.openxmlformats.org/officeDocument/2006/relationships/hyperlink" Target="https://www.geonames.org/723400/" TargetMode="External"/><Relationship Id="rId477" Type="http://schemas.openxmlformats.org/officeDocument/2006/relationships/hyperlink" Target="https://www.geonames.org/712374/" TargetMode="External"/><Relationship Id="rId600" Type="http://schemas.openxmlformats.org/officeDocument/2006/relationships/hyperlink" Target="https://www.geonames.org/690548/" TargetMode="External"/><Relationship Id="rId684" Type="http://schemas.openxmlformats.org/officeDocument/2006/relationships/hyperlink" Target="https://www.geonames.org/756377/" TargetMode="External"/><Relationship Id="rId1230" Type="http://schemas.openxmlformats.org/officeDocument/2006/relationships/hyperlink" Target="https://www.geonames.org/721789/" TargetMode="External"/><Relationship Id="rId1328" Type="http://schemas.openxmlformats.org/officeDocument/2006/relationships/hyperlink" Target="https://www.geonames.org/770380/" TargetMode="External"/><Relationship Id="rId337" Type="http://schemas.openxmlformats.org/officeDocument/2006/relationships/hyperlink" Target="https://www.geonames.org/708702/" TargetMode="External"/><Relationship Id="rId891" Type="http://schemas.openxmlformats.org/officeDocument/2006/relationships/hyperlink" Target="https://www.geonames.org/696966/" TargetMode="External"/><Relationship Id="rId905" Type="http://schemas.openxmlformats.org/officeDocument/2006/relationships/hyperlink" Target="https://www.geonames.org/757033/" TargetMode="External"/><Relationship Id="rId989" Type="http://schemas.openxmlformats.org/officeDocument/2006/relationships/hyperlink" Target="https://www.geonames.org/692423/" TargetMode="External"/><Relationship Id="rId34" Type="http://schemas.openxmlformats.org/officeDocument/2006/relationships/hyperlink" Target="https://www.geonames.org/691650/" TargetMode="External"/><Relationship Id="rId544" Type="http://schemas.openxmlformats.org/officeDocument/2006/relationships/hyperlink" Target="https://www.geonames.org/709909/" TargetMode="External"/><Relationship Id="rId751" Type="http://schemas.openxmlformats.org/officeDocument/2006/relationships/hyperlink" Target="https://www.geonames.org/764530/" TargetMode="External"/><Relationship Id="rId849" Type="http://schemas.openxmlformats.org/officeDocument/2006/relationships/hyperlink" Target="https://www.geonames.org/767814/" TargetMode="External"/><Relationship Id="rId1174" Type="http://schemas.openxmlformats.org/officeDocument/2006/relationships/hyperlink" Target="https://www.geonames.org/3068582/" TargetMode="External"/><Relationship Id="rId1381" Type="http://schemas.openxmlformats.org/officeDocument/2006/relationships/hyperlink" Target="https://www.geonames.org/3073152/" TargetMode="External"/><Relationship Id="rId183" Type="http://schemas.openxmlformats.org/officeDocument/2006/relationships/hyperlink" Target="https://www.geonames.org/3076573/" TargetMode="External"/><Relationship Id="rId390" Type="http://schemas.openxmlformats.org/officeDocument/2006/relationships/hyperlink" Target="https://www.geonames.org/8243842/" TargetMode="External"/><Relationship Id="rId404" Type="http://schemas.openxmlformats.org/officeDocument/2006/relationships/hyperlink" Target="https://www.google.com/maps/place/Ka%C5%82uszyn,+Poland/@52.2139355,21.743758,12z/data=!3m1!4b1!4m5!3m4!1s0x471f3745bb35b963:0xe8ec1c02ee4cf5cc!8m2!3d52.2067049!4d21.808426" TargetMode="External"/><Relationship Id="rId611" Type="http://schemas.openxmlformats.org/officeDocument/2006/relationships/hyperlink" Target="https://www.geonames.org/693301/" TargetMode="External"/><Relationship Id="rId1034" Type="http://schemas.openxmlformats.org/officeDocument/2006/relationships/hyperlink" Target="https://www.geonames.org/757026/" TargetMode="External"/><Relationship Id="rId1241" Type="http://schemas.openxmlformats.org/officeDocument/2006/relationships/hyperlink" Target="https://www.geonames.org/723698/" TargetMode="External"/><Relationship Id="rId1339" Type="http://schemas.openxmlformats.org/officeDocument/2006/relationships/hyperlink" Target="https://www.geonames.org/702550+I12:J13" TargetMode="External"/><Relationship Id="rId250" Type="http://schemas.openxmlformats.org/officeDocument/2006/relationships/hyperlink" Target="https://www.geonames.org/691650/" TargetMode="External"/><Relationship Id="rId488" Type="http://schemas.openxmlformats.org/officeDocument/2006/relationships/hyperlink" Target="https://www.geonames.org/773877/" TargetMode="External"/><Relationship Id="rId695" Type="http://schemas.openxmlformats.org/officeDocument/2006/relationships/hyperlink" Target="https://www.geonames.org/710554/" TargetMode="External"/><Relationship Id="rId709" Type="http://schemas.openxmlformats.org/officeDocument/2006/relationships/hyperlink" Target="https://www.geonames.org/3083410/" TargetMode="External"/><Relationship Id="rId916" Type="http://schemas.openxmlformats.org/officeDocument/2006/relationships/hyperlink" Target="https://www.geonames.org/711752/" TargetMode="External"/><Relationship Id="rId1101" Type="http://schemas.openxmlformats.org/officeDocument/2006/relationships/hyperlink" Target="https://www.geonames.org/3066719/" TargetMode="External"/><Relationship Id="rId45" Type="http://schemas.openxmlformats.org/officeDocument/2006/relationships/hyperlink" Target="https://www.geonames.org/686895/" TargetMode="External"/><Relationship Id="rId110" Type="http://schemas.openxmlformats.org/officeDocument/2006/relationships/hyperlink" Target="https://www.geonames.org/686578/" TargetMode="External"/><Relationship Id="rId348" Type="http://schemas.openxmlformats.org/officeDocument/2006/relationships/hyperlink" Target="https://www.geonames.org/3080156/" TargetMode="External"/><Relationship Id="rId555" Type="http://schemas.openxmlformats.org/officeDocument/2006/relationships/hyperlink" Target="https://www.geonames.org/761131/" TargetMode="External"/><Relationship Id="rId762" Type="http://schemas.openxmlformats.org/officeDocument/2006/relationships/hyperlink" Target="https://www.geonames.org/3079064/" TargetMode="External"/><Relationship Id="rId1185" Type="http://schemas.openxmlformats.org/officeDocument/2006/relationships/hyperlink" Target="https://www.geonames.org/3078910/" TargetMode="External"/><Relationship Id="rId1392" Type="http://schemas.openxmlformats.org/officeDocument/2006/relationships/hyperlink" Target="https://www.geonames.org/3073371/" TargetMode="External"/><Relationship Id="rId1406" Type="http://schemas.openxmlformats.org/officeDocument/2006/relationships/hyperlink" Target="https://www.geonames.org/774582/" TargetMode="External"/><Relationship Id="rId194" Type="http://schemas.openxmlformats.org/officeDocument/2006/relationships/hyperlink" Target="https://www.geonames.org/725166/" TargetMode="External"/><Relationship Id="rId208" Type="http://schemas.openxmlformats.org/officeDocument/2006/relationships/hyperlink" Target="https://www.geonames.org/709808/" TargetMode="External"/><Relationship Id="rId415" Type="http://schemas.openxmlformats.org/officeDocument/2006/relationships/hyperlink" Target="https://www.geonames.org/775493/" TargetMode="External"/><Relationship Id="rId622" Type="http://schemas.openxmlformats.org/officeDocument/2006/relationships/hyperlink" Target="https://www.geonames.org/687826/" TargetMode="External"/><Relationship Id="rId1045" Type="http://schemas.openxmlformats.org/officeDocument/2006/relationships/hyperlink" Target="https://www.geonames.org/757957/" TargetMode="External"/><Relationship Id="rId1252" Type="http://schemas.openxmlformats.org/officeDocument/2006/relationships/hyperlink" Target="https://www.geonames.org/723279/" TargetMode="External"/><Relationship Id="rId261" Type="http://schemas.openxmlformats.org/officeDocument/2006/relationships/hyperlink" Target="https://www.geonames.org/693301/" TargetMode="External"/><Relationship Id="rId499" Type="http://schemas.openxmlformats.org/officeDocument/2006/relationships/hyperlink" Target="https://www.geonames.org/702550+I12:J13" TargetMode="External"/><Relationship Id="rId927" Type="http://schemas.openxmlformats.org/officeDocument/2006/relationships/hyperlink" Target="https://www.geonames.org/755372/" TargetMode="External"/><Relationship Id="rId1112" Type="http://schemas.openxmlformats.org/officeDocument/2006/relationships/hyperlink" Target="https://www.geonames.org/3062949/" TargetMode="External"/><Relationship Id="rId56" Type="http://schemas.openxmlformats.org/officeDocument/2006/relationships/hyperlink" Target="https://www.geonames.org/3061623/" TargetMode="External"/><Relationship Id="rId359" Type="http://schemas.openxmlformats.org/officeDocument/2006/relationships/hyperlink" Target="https://www.geonames.org/3045991/" TargetMode="External"/><Relationship Id="rId566" Type="http://schemas.openxmlformats.org/officeDocument/2006/relationships/hyperlink" Target="https://www.geonames.org/705265/" TargetMode="External"/><Relationship Id="rId773" Type="http://schemas.openxmlformats.org/officeDocument/2006/relationships/hyperlink" Target="https://www.geonames.org/3057534/" TargetMode="External"/><Relationship Id="rId1196" Type="http://schemas.openxmlformats.org/officeDocument/2006/relationships/hyperlink" Target="https://www.geonames.org/3070624/" TargetMode="External"/><Relationship Id="rId1417" Type="http://schemas.openxmlformats.org/officeDocument/2006/relationships/hyperlink" Target="https://www.geonames.org/693178/" TargetMode="External"/><Relationship Id="rId121" Type="http://schemas.openxmlformats.org/officeDocument/2006/relationships/hyperlink" Target="https://www.geonames.org/3075841/" TargetMode="External"/><Relationship Id="rId219" Type="http://schemas.openxmlformats.org/officeDocument/2006/relationships/hyperlink" Target="https://www.geonames.org/770966/" TargetMode="External"/><Relationship Id="rId426" Type="http://schemas.openxmlformats.org/officeDocument/2006/relationships/hyperlink" Target="https://www.geonames.org/763111/" TargetMode="External"/><Relationship Id="rId633" Type="http://schemas.openxmlformats.org/officeDocument/2006/relationships/hyperlink" Target="https://www.geonames.org/767814/" TargetMode="External"/><Relationship Id="rId980" Type="http://schemas.openxmlformats.org/officeDocument/2006/relationships/hyperlink" Target="https://www.geonames.org/756280/" TargetMode="External"/><Relationship Id="rId1056" Type="http://schemas.openxmlformats.org/officeDocument/2006/relationships/hyperlink" Target="https://www.geonames.org/702550+I12:J13" TargetMode="External"/><Relationship Id="rId1263" Type="http://schemas.openxmlformats.org/officeDocument/2006/relationships/hyperlink" Target="https://www.geonames.org/762201/" TargetMode="External"/><Relationship Id="rId840" Type="http://schemas.openxmlformats.org/officeDocument/2006/relationships/hyperlink" Target="https://www.geonames.org/3078910/" TargetMode="External"/><Relationship Id="rId938" Type="http://schemas.openxmlformats.org/officeDocument/2006/relationships/hyperlink" Target="https://www.geonames.org/772086/" TargetMode="External"/><Relationship Id="rId67" Type="http://schemas.openxmlformats.org/officeDocument/2006/relationships/hyperlink" Target="https://www.geonames.org/3074204/" TargetMode="External"/><Relationship Id="rId272" Type="http://schemas.openxmlformats.org/officeDocument/2006/relationships/hyperlink" Target="https://www.geonames.org/3077769/" TargetMode="External"/><Relationship Id="rId577" Type="http://schemas.openxmlformats.org/officeDocument/2006/relationships/hyperlink" Target="https://www.geonames.org/3066727/" TargetMode="External"/><Relationship Id="rId700" Type="http://schemas.openxmlformats.org/officeDocument/2006/relationships/hyperlink" Target="https://www.geonames.org/763545/" TargetMode="External"/><Relationship Id="rId1123" Type="http://schemas.openxmlformats.org/officeDocument/2006/relationships/hyperlink" Target="https://www.geonames.org/769910/" TargetMode="External"/><Relationship Id="rId1330" Type="http://schemas.openxmlformats.org/officeDocument/2006/relationships/hyperlink" Target="https://www.geonames.org/765681/" TargetMode="External"/><Relationship Id="rId1428" Type="http://schemas.openxmlformats.org/officeDocument/2006/relationships/hyperlink" Target="https://www.geonames.org/707858/" TargetMode="External"/><Relationship Id="rId132" Type="http://schemas.openxmlformats.org/officeDocument/2006/relationships/hyperlink" Target="https://www.geonames.org/711416/" TargetMode="External"/><Relationship Id="rId784" Type="http://schemas.openxmlformats.org/officeDocument/2006/relationships/hyperlink" Target="https://www.geonames.org/772772/" TargetMode="External"/><Relationship Id="rId991" Type="http://schemas.openxmlformats.org/officeDocument/2006/relationships/hyperlink" Target="https://www.geonames.org/755094/wola-zaleska" TargetMode="External"/><Relationship Id="rId1067" Type="http://schemas.openxmlformats.org/officeDocument/2006/relationships/hyperlink" Target="https://www.geonames.org/3078561/" TargetMode="External"/><Relationship Id="rId437" Type="http://schemas.openxmlformats.org/officeDocument/2006/relationships/hyperlink" Target="https://www.geonames.org/759412/" TargetMode="External"/><Relationship Id="rId644" Type="http://schemas.openxmlformats.org/officeDocument/2006/relationships/hyperlink" Target="https://www.geonames.org/756438/" TargetMode="External"/><Relationship Id="rId851" Type="http://schemas.openxmlformats.org/officeDocument/2006/relationships/hyperlink" Target="https://www.geonames.org/770966/" TargetMode="External"/><Relationship Id="rId1274" Type="http://schemas.openxmlformats.org/officeDocument/2006/relationships/hyperlink" Target="https://www.geonames.org/712381/" TargetMode="External"/><Relationship Id="rId283" Type="http://schemas.openxmlformats.org/officeDocument/2006/relationships/hyperlink" Target="https://www.geonames.org/757050/" TargetMode="External"/><Relationship Id="rId490" Type="http://schemas.openxmlformats.org/officeDocument/2006/relationships/hyperlink" Target="https://www.geonames.org/758626/" TargetMode="External"/><Relationship Id="rId504" Type="http://schemas.openxmlformats.org/officeDocument/2006/relationships/hyperlink" Target="https://www.geonames.org/702550+I12:J13" TargetMode="External"/><Relationship Id="rId711" Type="http://schemas.openxmlformats.org/officeDocument/2006/relationships/hyperlink" Target="https://www.geonames.org/760987/" TargetMode="External"/><Relationship Id="rId949" Type="http://schemas.openxmlformats.org/officeDocument/2006/relationships/hyperlink" Target="https://www.geonames.org/758633/" TargetMode="External"/><Relationship Id="rId1134" Type="http://schemas.openxmlformats.org/officeDocument/2006/relationships/hyperlink" Target="https://www.geonames.org/3101220/" TargetMode="External"/><Relationship Id="rId1341" Type="http://schemas.openxmlformats.org/officeDocument/2006/relationships/hyperlink" Target="https://www.geonames.org/776403/" TargetMode="External"/><Relationship Id="rId78" Type="http://schemas.openxmlformats.org/officeDocument/2006/relationships/hyperlink" Target="https://www.geonames.org/3165185/" TargetMode="External"/><Relationship Id="rId143" Type="http://schemas.openxmlformats.org/officeDocument/2006/relationships/hyperlink" Target="https://www.geonames.org/711416/" TargetMode="External"/><Relationship Id="rId350" Type="http://schemas.openxmlformats.org/officeDocument/2006/relationships/hyperlink" Target="https://www.geonames.org/687093/" TargetMode="External"/><Relationship Id="rId588" Type="http://schemas.openxmlformats.org/officeDocument/2006/relationships/hyperlink" Target="https://www.geonames.org/3063853/" TargetMode="External"/><Relationship Id="rId795" Type="http://schemas.openxmlformats.org/officeDocument/2006/relationships/hyperlink" Target="https://www.geonames.org/766692" TargetMode="External"/><Relationship Id="rId809" Type="http://schemas.openxmlformats.org/officeDocument/2006/relationships/hyperlink" Target="https://www.geonames.org/712374/" TargetMode="External"/><Relationship Id="rId1201" Type="http://schemas.openxmlformats.org/officeDocument/2006/relationships/hyperlink" Target="https://www.geonames.org/704764/" TargetMode="External"/><Relationship Id="rId1439" Type="http://schemas.openxmlformats.org/officeDocument/2006/relationships/hyperlink" Target="https://www.geonames.org/711850/" TargetMode="External"/><Relationship Id="rId9" Type="http://schemas.openxmlformats.org/officeDocument/2006/relationships/hyperlink" Target="https://www.geonames.org/760657/" TargetMode="External"/><Relationship Id="rId210" Type="http://schemas.openxmlformats.org/officeDocument/2006/relationships/hyperlink" Target="https://www.geonames.org/3064989/" TargetMode="External"/><Relationship Id="rId448" Type="http://schemas.openxmlformats.org/officeDocument/2006/relationships/hyperlink" Target="https://www.geonames.org/754455/" TargetMode="External"/><Relationship Id="rId655" Type="http://schemas.openxmlformats.org/officeDocument/2006/relationships/hyperlink" Target="https://www.geonames.org/710554/" TargetMode="External"/><Relationship Id="rId862" Type="http://schemas.openxmlformats.org/officeDocument/2006/relationships/hyperlink" Target="https://www.geonames.org/769910/" TargetMode="External"/><Relationship Id="rId1078" Type="http://schemas.openxmlformats.org/officeDocument/2006/relationships/hyperlink" Target="https://www.geonames.org/7534588/" TargetMode="External"/><Relationship Id="rId1285" Type="http://schemas.openxmlformats.org/officeDocument/2006/relationships/hyperlink" Target="https://www.geonames.org/702550+I12:J13" TargetMode="External"/><Relationship Id="rId294" Type="http://schemas.openxmlformats.org/officeDocument/2006/relationships/hyperlink" Target="https://www.geonames.org/694864/" TargetMode="External"/><Relationship Id="rId308" Type="http://schemas.openxmlformats.org/officeDocument/2006/relationships/hyperlink" Target="https://www.geonames.org/757182/" TargetMode="External"/><Relationship Id="rId515" Type="http://schemas.openxmlformats.org/officeDocument/2006/relationships/hyperlink" Target="https://www.geonames.org/757026/" TargetMode="External"/><Relationship Id="rId722" Type="http://schemas.openxmlformats.org/officeDocument/2006/relationships/hyperlink" Target="https://www.geonames.org/690814/" TargetMode="External"/><Relationship Id="rId1145" Type="http://schemas.openxmlformats.org/officeDocument/2006/relationships/hyperlink" Target="https://www.geonames.org/3071343/" TargetMode="External"/><Relationship Id="rId1352" Type="http://schemas.openxmlformats.org/officeDocument/2006/relationships/hyperlink" Target="https://www.geonames.org/704513/" TargetMode="External"/><Relationship Id="rId89" Type="http://schemas.openxmlformats.org/officeDocument/2006/relationships/hyperlink" Target="https://www.geonames.org/768846/" TargetMode="External"/><Relationship Id="rId154" Type="http://schemas.openxmlformats.org/officeDocument/2006/relationships/hyperlink" Target="https://www.geonames.org/690548/" TargetMode="External"/><Relationship Id="rId361" Type="http://schemas.openxmlformats.org/officeDocument/2006/relationships/hyperlink" Target="https://www.geonames.org/707099/" TargetMode="External"/><Relationship Id="rId599" Type="http://schemas.openxmlformats.org/officeDocument/2006/relationships/hyperlink" Target="https://www.geonames.org/724144/" TargetMode="External"/><Relationship Id="rId1005" Type="http://schemas.openxmlformats.org/officeDocument/2006/relationships/hyperlink" Target="https://www.geonames.org/753394/" TargetMode="External"/><Relationship Id="rId1212" Type="http://schemas.openxmlformats.org/officeDocument/2006/relationships/hyperlink" Target="https://www.geonames.org/774128/" TargetMode="External"/><Relationship Id="rId459" Type="http://schemas.openxmlformats.org/officeDocument/2006/relationships/hyperlink" Target="https://www.geonames.org/775778/" TargetMode="External"/><Relationship Id="rId666" Type="http://schemas.openxmlformats.org/officeDocument/2006/relationships/hyperlink" Target="https://www.geonames.org/690155/" TargetMode="External"/><Relationship Id="rId873" Type="http://schemas.openxmlformats.org/officeDocument/2006/relationships/hyperlink" Target="https://www.geonames.org/3068162/" TargetMode="External"/><Relationship Id="rId1089" Type="http://schemas.openxmlformats.org/officeDocument/2006/relationships/hyperlink" Target="https://www.geonames.org/702569/" TargetMode="External"/><Relationship Id="rId1296" Type="http://schemas.openxmlformats.org/officeDocument/2006/relationships/hyperlink" Target="https://www.geonames.org/695342/" TargetMode="External"/><Relationship Id="rId16" Type="http://schemas.openxmlformats.org/officeDocument/2006/relationships/hyperlink" Target="https://www.geonames.org/763121/" TargetMode="External"/><Relationship Id="rId221" Type="http://schemas.openxmlformats.org/officeDocument/2006/relationships/hyperlink" Target="https://www.geonames.org/696966/" TargetMode="External"/><Relationship Id="rId319" Type="http://schemas.openxmlformats.org/officeDocument/2006/relationships/hyperlink" Target="https://www.geonames.org/759603/" TargetMode="External"/><Relationship Id="rId526" Type="http://schemas.openxmlformats.org/officeDocument/2006/relationships/hyperlink" Target="https://www.geonames.org/698142/" TargetMode="External"/><Relationship Id="rId1156" Type="http://schemas.openxmlformats.org/officeDocument/2006/relationships/hyperlink" Target="https://www.geonames.org/762851/" TargetMode="External"/><Relationship Id="rId1363" Type="http://schemas.openxmlformats.org/officeDocument/2006/relationships/hyperlink" Target="https://www.geonames.org/703514/" TargetMode="External"/><Relationship Id="rId733" Type="http://schemas.openxmlformats.org/officeDocument/2006/relationships/hyperlink" Target="https://www.geonames.org/768067/" TargetMode="External"/><Relationship Id="rId940" Type="http://schemas.openxmlformats.org/officeDocument/2006/relationships/hyperlink" Target="https://www.geonames.org/757033/" TargetMode="External"/><Relationship Id="rId1016" Type="http://schemas.openxmlformats.org/officeDocument/2006/relationships/hyperlink" Target="https://www.geonames.org/3068162/" TargetMode="External"/><Relationship Id="rId165" Type="http://schemas.openxmlformats.org/officeDocument/2006/relationships/hyperlink" Target="https://www.geonames.org/724741/" TargetMode="External"/><Relationship Id="rId372" Type="http://schemas.openxmlformats.org/officeDocument/2006/relationships/hyperlink" Target="https://www.geonames.org/712374/" TargetMode="External"/><Relationship Id="rId677" Type="http://schemas.openxmlformats.org/officeDocument/2006/relationships/hyperlink" Target="https://www.geonames.org/2950159/" TargetMode="External"/><Relationship Id="rId800" Type="http://schemas.openxmlformats.org/officeDocument/2006/relationships/hyperlink" Target="https://www.geonames.org/769359/" TargetMode="External"/><Relationship Id="rId1223" Type="http://schemas.openxmlformats.org/officeDocument/2006/relationships/hyperlink" Target="https://www.geonames.org/3060972/" TargetMode="External"/><Relationship Id="rId1430" Type="http://schemas.openxmlformats.org/officeDocument/2006/relationships/hyperlink" Target="https://www.geonames.org/3078275/" TargetMode="External"/><Relationship Id="rId232" Type="http://schemas.openxmlformats.org/officeDocument/2006/relationships/hyperlink" Target="https://www.geonames.org/763121/" TargetMode="External"/><Relationship Id="rId884" Type="http://schemas.openxmlformats.org/officeDocument/2006/relationships/hyperlink" Target="https://www.geonames.org/712374/" TargetMode="External"/><Relationship Id="rId27" Type="http://schemas.openxmlformats.org/officeDocument/2006/relationships/hyperlink" Target="https://www.geonames.org/758252/" TargetMode="External"/><Relationship Id="rId537" Type="http://schemas.openxmlformats.org/officeDocument/2006/relationships/hyperlink" Target="https://www.geonames.org/711416/" TargetMode="External"/><Relationship Id="rId744" Type="http://schemas.openxmlformats.org/officeDocument/2006/relationships/hyperlink" Target="https://www.geonames.org/762774/" TargetMode="External"/><Relationship Id="rId951" Type="http://schemas.openxmlformats.org/officeDocument/2006/relationships/hyperlink" Target="https://www.geonames.org/762799/" TargetMode="External"/><Relationship Id="rId1167" Type="http://schemas.openxmlformats.org/officeDocument/2006/relationships/hyperlink" Target="https://www.geonames.org/765600/" TargetMode="External"/><Relationship Id="rId1374" Type="http://schemas.openxmlformats.org/officeDocument/2006/relationships/hyperlink" Target="https://www.geonames.org/762390/" TargetMode="External"/><Relationship Id="rId80" Type="http://schemas.openxmlformats.org/officeDocument/2006/relationships/hyperlink" Target="https://www.geonames.org/695781/" TargetMode="External"/><Relationship Id="rId176" Type="http://schemas.openxmlformats.org/officeDocument/2006/relationships/hyperlink" Target="https://www.geonames.org/724392/" TargetMode="External"/><Relationship Id="rId383" Type="http://schemas.openxmlformats.org/officeDocument/2006/relationships/hyperlink" Target="https://www.geonames.org/700793/" TargetMode="External"/><Relationship Id="rId590" Type="http://schemas.openxmlformats.org/officeDocument/2006/relationships/hyperlink" Target="https://www.geonames.org/685985/" TargetMode="External"/><Relationship Id="rId604" Type="http://schemas.openxmlformats.org/officeDocument/2006/relationships/hyperlink" Target="https://www.geonames.org/771939/" TargetMode="External"/><Relationship Id="rId811" Type="http://schemas.openxmlformats.org/officeDocument/2006/relationships/hyperlink" Target="https://www.geonames.org/696966/" TargetMode="External"/><Relationship Id="rId1027" Type="http://schemas.openxmlformats.org/officeDocument/2006/relationships/hyperlink" Target="https://pl.wikipedia.org/wiki/Grab%C3%B3wka_(Tarn%C3%B3w)" TargetMode="External"/><Relationship Id="rId1234" Type="http://schemas.openxmlformats.org/officeDocument/2006/relationships/hyperlink" Target="https://www.geonames.org/680342/" TargetMode="External"/><Relationship Id="rId1441" Type="http://schemas.openxmlformats.org/officeDocument/2006/relationships/hyperlink" Target="https://www.geonames.org/687826/" TargetMode="External"/><Relationship Id="rId243" Type="http://schemas.openxmlformats.org/officeDocument/2006/relationships/hyperlink" Target="https://www.geonames.org/775922/" TargetMode="External"/><Relationship Id="rId450" Type="http://schemas.openxmlformats.org/officeDocument/2006/relationships/hyperlink" Target="https://www.geonames.org/754455/" TargetMode="External"/><Relationship Id="rId688" Type="http://schemas.openxmlformats.org/officeDocument/2006/relationships/hyperlink" Target="https://www.geonames.org/763545/" TargetMode="External"/><Relationship Id="rId895" Type="http://schemas.openxmlformats.org/officeDocument/2006/relationships/hyperlink" Target="https://www.geonames.org/3073222/" TargetMode="External"/><Relationship Id="rId909" Type="http://schemas.openxmlformats.org/officeDocument/2006/relationships/hyperlink" Target="https://www.geonames.org/712374/" TargetMode="External"/><Relationship Id="rId1080" Type="http://schemas.openxmlformats.org/officeDocument/2006/relationships/hyperlink" Target="https://www.geonames.org/763534/" TargetMode="External"/><Relationship Id="rId1301" Type="http://schemas.openxmlformats.org/officeDocument/2006/relationships/hyperlink" Target="https://www.geonames.org/712381/" TargetMode="External"/><Relationship Id="rId38" Type="http://schemas.openxmlformats.org/officeDocument/2006/relationships/hyperlink" Target="https://www.geonames.org/772367/" TargetMode="External"/><Relationship Id="rId103" Type="http://schemas.openxmlformats.org/officeDocument/2006/relationships/hyperlink" Target="https://www.geonames.org/715429/" TargetMode="External"/><Relationship Id="rId310" Type="http://schemas.openxmlformats.org/officeDocument/2006/relationships/hyperlink" Target="https://www.geonames.org/762774/" TargetMode="External"/><Relationship Id="rId548" Type="http://schemas.openxmlformats.org/officeDocument/2006/relationships/hyperlink" Target="https://www.geonames.org/767814/" TargetMode="External"/><Relationship Id="rId755" Type="http://schemas.openxmlformats.org/officeDocument/2006/relationships/hyperlink" Target="https://www.geonames.org/763121/" TargetMode="External"/><Relationship Id="rId962" Type="http://schemas.openxmlformats.org/officeDocument/2006/relationships/hyperlink" Target="https://www.geonames.org/770387/" TargetMode="External"/><Relationship Id="rId1178" Type="http://schemas.openxmlformats.org/officeDocument/2006/relationships/hyperlink" Target="https://www.geonames.org/763521/" TargetMode="External"/><Relationship Id="rId1385" Type="http://schemas.openxmlformats.org/officeDocument/2006/relationships/hyperlink" Target="https://www.geonames.org/757033/" TargetMode="External"/><Relationship Id="rId91" Type="http://schemas.openxmlformats.org/officeDocument/2006/relationships/hyperlink" Target="https://www.geonames.org/3067421/" TargetMode="External"/><Relationship Id="rId187" Type="http://schemas.openxmlformats.org/officeDocument/2006/relationships/hyperlink" Target="https://www.geonames.org/3047211/" TargetMode="External"/><Relationship Id="rId394" Type="http://schemas.openxmlformats.org/officeDocument/2006/relationships/hyperlink" Target="https://www.geonames.org/3101547/" TargetMode="External"/><Relationship Id="rId408" Type="http://schemas.openxmlformats.org/officeDocument/2006/relationships/hyperlink" Target="https://www.geonames.org/774184/" TargetMode="External"/><Relationship Id="rId615" Type="http://schemas.openxmlformats.org/officeDocument/2006/relationships/hyperlink" Target="https://www.geonames.org/712471" TargetMode="External"/><Relationship Id="rId822" Type="http://schemas.openxmlformats.org/officeDocument/2006/relationships/hyperlink" Target="https://www.geonames.org/3078910/" TargetMode="External"/><Relationship Id="rId1038" Type="http://schemas.openxmlformats.org/officeDocument/2006/relationships/hyperlink" Target="https://www.geonames.org/755889/" TargetMode="External"/><Relationship Id="rId1245" Type="http://schemas.openxmlformats.org/officeDocument/2006/relationships/hyperlink" Target="https://www.geonames.org/716168/" TargetMode="External"/><Relationship Id="rId1452" Type="http://schemas.openxmlformats.org/officeDocument/2006/relationships/hyperlink" Target="https://www.geonames.org/689564/" TargetMode="External"/><Relationship Id="rId254" Type="http://schemas.openxmlformats.org/officeDocument/2006/relationships/hyperlink" Target="https://www.geonames.org/763121/" TargetMode="External"/><Relationship Id="rId699" Type="http://schemas.openxmlformats.org/officeDocument/2006/relationships/hyperlink" Target="https://www.geonames.org/753054/" TargetMode="External"/><Relationship Id="rId1091" Type="http://schemas.openxmlformats.org/officeDocument/2006/relationships/hyperlink" Target="https://www.geonames.org/755855/" TargetMode="External"/><Relationship Id="rId1105" Type="http://schemas.openxmlformats.org/officeDocument/2006/relationships/hyperlink" Target="https://www.geonames.org/3075606/" TargetMode="External"/><Relationship Id="rId1312" Type="http://schemas.openxmlformats.org/officeDocument/2006/relationships/hyperlink" Target="https://www.geonames.org/757026/" TargetMode="External"/><Relationship Id="rId49" Type="http://schemas.openxmlformats.org/officeDocument/2006/relationships/hyperlink" Target="https://www.geonames.org/3079464/" TargetMode="External"/><Relationship Id="rId114" Type="http://schemas.openxmlformats.org/officeDocument/2006/relationships/hyperlink" Target="https://www.geonames.org/763519/" TargetMode="External"/><Relationship Id="rId461" Type="http://schemas.openxmlformats.org/officeDocument/2006/relationships/hyperlink" Target="https://www.geonames.org/769738/" TargetMode="External"/><Relationship Id="rId559" Type="http://schemas.openxmlformats.org/officeDocument/2006/relationships/hyperlink" Target="https://www.geonames.org/709611/" TargetMode="External"/><Relationship Id="rId766" Type="http://schemas.openxmlformats.org/officeDocument/2006/relationships/hyperlink" Target="https://www.geonames.org/702550+I12:J13" TargetMode="External"/><Relationship Id="rId1189" Type="http://schemas.openxmlformats.org/officeDocument/2006/relationships/hyperlink" Target="https://www.geonames.org/766332/" TargetMode="External"/><Relationship Id="rId1396" Type="http://schemas.openxmlformats.org/officeDocument/2006/relationships/hyperlink" Target="https://www.geonames.org/3066999/" TargetMode="External"/><Relationship Id="rId198" Type="http://schemas.openxmlformats.org/officeDocument/2006/relationships/hyperlink" Target="https://www.geonames.org/776331/" TargetMode="External"/><Relationship Id="rId321" Type="http://schemas.openxmlformats.org/officeDocument/2006/relationships/hyperlink" Target="https://www.geonames.org/760987/" TargetMode="External"/><Relationship Id="rId419" Type="http://schemas.openxmlformats.org/officeDocument/2006/relationships/hyperlink" Target="https://www.geonames.org/753394/" TargetMode="External"/><Relationship Id="rId626" Type="http://schemas.openxmlformats.org/officeDocument/2006/relationships/hyperlink" Target="https://www.geonames.org/767814/" TargetMode="External"/><Relationship Id="rId973" Type="http://schemas.openxmlformats.org/officeDocument/2006/relationships/hyperlink" Target="https://www.geonames.org/753866/" TargetMode="External"/><Relationship Id="rId1049" Type="http://schemas.openxmlformats.org/officeDocument/2006/relationships/hyperlink" Target="https://www.geonames.org/3063561/" TargetMode="External"/><Relationship Id="rId1256" Type="http://schemas.openxmlformats.org/officeDocument/2006/relationships/hyperlink" Target="https://www.geonames.org/717902/" TargetMode="External"/><Relationship Id="rId833" Type="http://schemas.openxmlformats.org/officeDocument/2006/relationships/hyperlink" Target="https://www.geonames.org/3078910/" TargetMode="External"/><Relationship Id="rId1116" Type="http://schemas.openxmlformats.org/officeDocument/2006/relationships/hyperlink" Target="https://www.geonames.org/3071791" TargetMode="External"/><Relationship Id="rId265" Type="http://schemas.openxmlformats.org/officeDocument/2006/relationships/hyperlink" Target="https://www.geonames.org/775922/" TargetMode="External"/><Relationship Id="rId472" Type="http://schemas.openxmlformats.org/officeDocument/2006/relationships/hyperlink" Target="https://www.geonames.org/763111/" TargetMode="External"/><Relationship Id="rId900" Type="http://schemas.openxmlformats.org/officeDocument/2006/relationships/hyperlink" Target="https://www.geonames.org/766692" TargetMode="External"/><Relationship Id="rId1323" Type="http://schemas.openxmlformats.org/officeDocument/2006/relationships/hyperlink" Target="https://www.geonames.org/3064989/" TargetMode="External"/><Relationship Id="rId125" Type="http://schemas.openxmlformats.org/officeDocument/2006/relationships/hyperlink" Target="https://www.geonames.org/756135/" TargetMode="External"/><Relationship Id="rId332" Type="http://schemas.openxmlformats.org/officeDocument/2006/relationships/hyperlink" Target="https://www.geonames.org/3173162/" TargetMode="External"/><Relationship Id="rId777" Type="http://schemas.openxmlformats.org/officeDocument/2006/relationships/hyperlink" Target="https://www.geonames.org/3074241/" TargetMode="External"/><Relationship Id="rId984" Type="http://schemas.openxmlformats.org/officeDocument/2006/relationships/hyperlink" Target="https://www.geonames.org/761655/" TargetMode="External"/><Relationship Id="rId637" Type="http://schemas.openxmlformats.org/officeDocument/2006/relationships/hyperlink" Target="https://www.geonames.org/756438/" TargetMode="External"/><Relationship Id="rId844" Type="http://schemas.openxmlformats.org/officeDocument/2006/relationships/hyperlink" Target="https://www.geonames.org/3067421/" TargetMode="External"/><Relationship Id="rId1267" Type="http://schemas.openxmlformats.org/officeDocument/2006/relationships/hyperlink" Target="https://www.geonames.org/772896/" TargetMode="External"/><Relationship Id="rId276" Type="http://schemas.openxmlformats.org/officeDocument/2006/relationships/hyperlink" Target="https://www.geonames.org/702550+I12:J13" TargetMode="External"/><Relationship Id="rId483" Type="http://schemas.openxmlformats.org/officeDocument/2006/relationships/hyperlink" Target="https://www.geonames.org/770380/" TargetMode="External"/><Relationship Id="rId690" Type="http://schemas.openxmlformats.org/officeDocument/2006/relationships/hyperlink" Target="https://www.geonames.org/711348/" TargetMode="External"/><Relationship Id="rId704" Type="http://schemas.openxmlformats.org/officeDocument/2006/relationships/hyperlink" Target="https://www.geonames.org/703716/" TargetMode="External"/><Relationship Id="rId911" Type="http://schemas.openxmlformats.org/officeDocument/2006/relationships/hyperlink" Target="https://www.geonames.org/755372/" TargetMode="External"/><Relationship Id="rId1127" Type="http://schemas.openxmlformats.org/officeDocument/2006/relationships/hyperlink" Target="https://www.geonames.org/770996/" TargetMode="External"/><Relationship Id="rId1334" Type="http://schemas.openxmlformats.org/officeDocument/2006/relationships/hyperlink" Target="https://www.geonames.org/761255/" TargetMode="External"/><Relationship Id="rId40" Type="http://schemas.openxmlformats.org/officeDocument/2006/relationships/hyperlink" Target="https://www.geonames.org/694979/" TargetMode="External"/><Relationship Id="rId136" Type="http://schemas.openxmlformats.org/officeDocument/2006/relationships/hyperlink" Target="https://www.geonames.org/702550+I12:J13" TargetMode="External"/><Relationship Id="rId343" Type="http://schemas.openxmlformats.org/officeDocument/2006/relationships/hyperlink" Target="https://www.geonames.org/692779/" TargetMode="External"/><Relationship Id="rId550" Type="http://schemas.openxmlformats.org/officeDocument/2006/relationships/hyperlink" Target="https://www.geonames.org/11696055/" TargetMode="External"/><Relationship Id="rId788" Type="http://schemas.openxmlformats.org/officeDocument/2006/relationships/hyperlink" Target="https://www.geonames.org/758693/" TargetMode="External"/><Relationship Id="rId995" Type="http://schemas.openxmlformats.org/officeDocument/2006/relationships/hyperlink" Target="https://www.geonames.org/769738/" TargetMode="External"/><Relationship Id="rId1180" Type="http://schemas.openxmlformats.org/officeDocument/2006/relationships/hyperlink" Target="https://www.geonames.org/757026/" TargetMode="External"/><Relationship Id="rId1401" Type="http://schemas.openxmlformats.org/officeDocument/2006/relationships/hyperlink" Target="https://www.geonames.org/3067696/" TargetMode="External"/><Relationship Id="rId203" Type="http://schemas.openxmlformats.org/officeDocument/2006/relationships/hyperlink" Target="https://www.geonames.org/770772/" TargetMode="External"/><Relationship Id="rId648" Type="http://schemas.openxmlformats.org/officeDocument/2006/relationships/hyperlink" Target="https://www.geonames.org/770966/" TargetMode="External"/><Relationship Id="rId855" Type="http://schemas.openxmlformats.org/officeDocument/2006/relationships/hyperlink" Target="https://www.geonames.org/3078910/" TargetMode="External"/><Relationship Id="rId1040" Type="http://schemas.openxmlformats.org/officeDocument/2006/relationships/hyperlink" Target="https://www.geonames.org/3075606/" TargetMode="External"/><Relationship Id="rId1278" Type="http://schemas.openxmlformats.org/officeDocument/2006/relationships/hyperlink" Target="https://www.geonames.org/757897/" TargetMode="External"/><Relationship Id="rId287" Type="http://schemas.openxmlformats.org/officeDocument/2006/relationships/hyperlink" Target="https://www.geonames.org/771313/" TargetMode="External"/><Relationship Id="rId410" Type="http://schemas.openxmlformats.org/officeDocument/2006/relationships/hyperlink" Target="https://www.geonames.org/769738/" TargetMode="External"/><Relationship Id="rId494" Type="http://schemas.openxmlformats.org/officeDocument/2006/relationships/hyperlink" Target="https://www.geonames.org/3068386/" TargetMode="External"/><Relationship Id="rId508" Type="http://schemas.openxmlformats.org/officeDocument/2006/relationships/hyperlink" Target="https://www.geonames.org/705392/" TargetMode="External"/><Relationship Id="rId715" Type="http://schemas.openxmlformats.org/officeDocument/2006/relationships/hyperlink" Target="https://www.geonames.org/702550+I12:J13" TargetMode="External"/><Relationship Id="rId922" Type="http://schemas.openxmlformats.org/officeDocument/2006/relationships/hyperlink" Target="https://www.geonames.org/759504/" TargetMode="External"/><Relationship Id="rId1138" Type="http://schemas.openxmlformats.org/officeDocument/2006/relationships/hyperlink" Target="https://www.geonames.org/699997/" TargetMode="External"/><Relationship Id="rId1345" Type="http://schemas.openxmlformats.org/officeDocument/2006/relationships/hyperlink" Target="https://www.geonames.org/770380/" TargetMode="External"/><Relationship Id="rId147" Type="http://schemas.openxmlformats.org/officeDocument/2006/relationships/hyperlink" Target="https://www.geonames.org/3067696/" TargetMode="External"/><Relationship Id="rId354" Type="http://schemas.openxmlformats.org/officeDocument/2006/relationships/hyperlink" Target="https://www.geonames.org/3069873/" TargetMode="External"/><Relationship Id="rId799" Type="http://schemas.openxmlformats.org/officeDocument/2006/relationships/hyperlink" Target="https://www.geonames.org/769359/" TargetMode="External"/><Relationship Id="rId1191" Type="http://schemas.openxmlformats.org/officeDocument/2006/relationships/hyperlink" Target="https://www.geonames.org/770380/" TargetMode="External"/><Relationship Id="rId1205" Type="http://schemas.openxmlformats.org/officeDocument/2006/relationships/hyperlink" Target="https://www.geonames.org/690814/" TargetMode="External"/><Relationship Id="rId51" Type="http://schemas.openxmlformats.org/officeDocument/2006/relationships/hyperlink" Target="https://www.geonames.org/3067696/" TargetMode="External"/><Relationship Id="rId561" Type="http://schemas.openxmlformats.org/officeDocument/2006/relationships/hyperlink" Target="https://www.geonames.org/690960/" TargetMode="External"/><Relationship Id="rId659" Type="http://schemas.openxmlformats.org/officeDocument/2006/relationships/hyperlink" Target="https://www.geonames.org/763829/" TargetMode="External"/><Relationship Id="rId866" Type="http://schemas.openxmlformats.org/officeDocument/2006/relationships/hyperlink" Target="https://www.geonames.org/767814/" TargetMode="External"/><Relationship Id="rId1289" Type="http://schemas.openxmlformats.org/officeDocument/2006/relationships/hyperlink" Target="https://www.geonames.org/3078561/" TargetMode="External"/><Relationship Id="rId1412" Type="http://schemas.openxmlformats.org/officeDocument/2006/relationships/hyperlink" Target="https://www.geonames.org/765876/" TargetMode="External"/><Relationship Id="rId214" Type="http://schemas.openxmlformats.org/officeDocument/2006/relationships/hyperlink" Target="https://www.geonames.org/723909/" TargetMode="External"/><Relationship Id="rId298" Type="http://schemas.openxmlformats.org/officeDocument/2006/relationships/hyperlink" Target="https://www.geonames.org/763107/" TargetMode="External"/><Relationship Id="rId421" Type="http://schemas.openxmlformats.org/officeDocument/2006/relationships/hyperlink" Target="https://www.geonames.org/768218/" TargetMode="External"/><Relationship Id="rId519" Type="http://schemas.openxmlformats.org/officeDocument/2006/relationships/hyperlink" Target="https://www.geonames.org/12128969" TargetMode="External"/><Relationship Id="rId1051" Type="http://schemas.openxmlformats.org/officeDocument/2006/relationships/hyperlink" Target="https://www.geonames.org/772857/" TargetMode="External"/><Relationship Id="rId1149" Type="http://schemas.openxmlformats.org/officeDocument/2006/relationships/hyperlink" Target="https://www.geonames.org/688618/" TargetMode="External"/><Relationship Id="rId1356" Type="http://schemas.openxmlformats.org/officeDocument/2006/relationships/hyperlink" Target="https://www.geonames.org/705392/" TargetMode="External"/><Relationship Id="rId158" Type="http://schemas.openxmlformats.org/officeDocument/2006/relationships/hyperlink" Target="https://www.geonames.org/717980/" TargetMode="External"/><Relationship Id="rId726" Type="http://schemas.openxmlformats.org/officeDocument/2006/relationships/hyperlink" Target="https://www.geonames.org/705265/" TargetMode="External"/><Relationship Id="rId933" Type="http://schemas.openxmlformats.org/officeDocument/2006/relationships/hyperlink" Target="https://www.geonames.org/3070576/" TargetMode="External"/><Relationship Id="rId1009" Type="http://schemas.openxmlformats.org/officeDocument/2006/relationships/hyperlink" Target="https://www.geonames.org/767097/" TargetMode="External"/><Relationship Id="rId62" Type="http://schemas.openxmlformats.org/officeDocument/2006/relationships/hyperlink" Target="https://www.geonames.org/3067770/" TargetMode="External"/><Relationship Id="rId365" Type="http://schemas.openxmlformats.org/officeDocument/2006/relationships/hyperlink" Target="https://www.geonames.org/702550+I12:J13" TargetMode="External"/><Relationship Id="rId572" Type="http://schemas.openxmlformats.org/officeDocument/2006/relationships/hyperlink" Target="https://www.geonames.org/712126/" TargetMode="External"/><Relationship Id="rId1216" Type="http://schemas.openxmlformats.org/officeDocument/2006/relationships/hyperlink" Target="https://www.geonames.org/695781/" TargetMode="External"/><Relationship Id="rId1423" Type="http://schemas.openxmlformats.org/officeDocument/2006/relationships/hyperlink" Target="https://www.geonames.org/700507/" TargetMode="External"/><Relationship Id="rId225" Type="http://schemas.openxmlformats.org/officeDocument/2006/relationships/hyperlink" Target="https://www.geonames.org/756624/" TargetMode="External"/><Relationship Id="rId432" Type="http://schemas.openxmlformats.org/officeDocument/2006/relationships/hyperlink" Target="https://www.geonames.org/753787/" TargetMode="External"/><Relationship Id="rId877" Type="http://schemas.openxmlformats.org/officeDocument/2006/relationships/hyperlink" Target="https://www.geonames.org/704525/" TargetMode="External"/><Relationship Id="rId1062" Type="http://schemas.openxmlformats.org/officeDocument/2006/relationships/hyperlink" Target="https://www.geonames.org/3068162/" TargetMode="External"/><Relationship Id="rId737" Type="http://schemas.openxmlformats.org/officeDocument/2006/relationships/hyperlink" Target="https://www.geonames.org/763121/" TargetMode="External"/><Relationship Id="rId944" Type="http://schemas.openxmlformats.org/officeDocument/2006/relationships/hyperlink" Target="https://www.geonames.org/760185/" TargetMode="External"/><Relationship Id="rId1367" Type="http://schemas.openxmlformats.org/officeDocument/2006/relationships/hyperlink" Target="https://www.geonames.org/3066999/" TargetMode="External"/><Relationship Id="rId73" Type="http://schemas.openxmlformats.org/officeDocument/2006/relationships/hyperlink" Target="https://www.geonames.org/3061729/" TargetMode="External"/><Relationship Id="rId169" Type="http://schemas.openxmlformats.org/officeDocument/2006/relationships/hyperlink" Target="https://www.geonames.org/3064373/" TargetMode="External"/><Relationship Id="rId376" Type="http://schemas.openxmlformats.org/officeDocument/2006/relationships/hyperlink" Target="https://www.geonames.org/711134/" TargetMode="External"/><Relationship Id="rId583" Type="http://schemas.openxmlformats.org/officeDocument/2006/relationships/hyperlink" Target="https://www.geonames.org/716860/" TargetMode="External"/><Relationship Id="rId790" Type="http://schemas.openxmlformats.org/officeDocument/2006/relationships/hyperlink" Target="https://www.geonames.org/712374/" TargetMode="External"/><Relationship Id="rId804" Type="http://schemas.openxmlformats.org/officeDocument/2006/relationships/hyperlink" Target="https://www.geonames.org/712374/" TargetMode="External"/><Relationship Id="rId1227" Type="http://schemas.openxmlformats.org/officeDocument/2006/relationships/hyperlink" Target="https://www.geonames.org/761131/" TargetMode="External"/><Relationship Id="rId1434" Type="http://schemas.openxmlformats.org/officeDocument/2006/relationships/hyperlink" Target="https://www.geonames.org/763111/" TargetMode="External"/><Relationship Id="rId4" Type="http://schemas.openxmlformats.org/officeDocument/2006/relationships/hyperlink" Target="https://www.geonames.org/711416/" TargetMode="External"/><Relationship Id="rId236" Type="http://schemas.openxmlformats.org/officeDocument/2006/relationships/hyperlink" Target="https://www.geonames.org/767623/" TargetMode="External"/><Relationship Id="rId443" Type="http://schemas.openxmlformats.org/officeDocument/2006/relationships/hyperlink" Target="https://www.geonames.org/771687/" TargetMode="External"/><Relationship Id="rId650" Type="http://schemas.openxmlformats.org/officeDocument/2006/relationships/hyperlink" Target="https://www.geonames.org/710554/" TargetMode="External"/><Relationship Id="rId888" Type="http://schemas.openxmlformats.org/officeDocument/2006/relationships/hyperlink" Target="https://www.geonames.org/764849/" TargetMode="External"/><Relationship Id="rId1073" Type="http://schemas.openxmlformats.org/officeDocument/2006/relationships/hyperlink" Target="https://www.geonames.org/3075606/" TargetMode="External"/><Relationship Id="rId1280" Type="http://schemas.openxmlformats.org/officeDocument/2006/relationships/hyperlink" Target="https://www.geonames.org/3072649/" TargetMode="External"/><Relationship Id="rId303" Type="http://schemas.openxmlformats.org/officeDocument/2006/relationships/hyperlink" Target="../../../vladimirberkovich/Library/Containers/com.microsoft.Excel/Data/vladimirberkovich/Desktop/Service%20Record%20Table/TEMP/MOISES,%20Herschel%20(1797-1799)/&#321;e&#808;czna,%20Poland" TargetMode="External"/><Relationship Id="rId748" Type="http://schemas.openxmlformats.org/officeDocument/2006/relationships/hyperlink" Target="https://www.geonames.org/770772/" TargetMode="External"/><Relationship Id="rId955" Type="http://schemas.openxmlformats.org/officeDocument/2006/relationships/hyperlink" Target="https://www.geonames.org/3065744/" TargetMode="External"/><Relationship Id="rId1140" Type="http://schemas.openxmlformats.org/officeDocument/2006/relationships/hyperlink" Target="https://www.geonames.org/755439/" TargetMode="External"/><Relationship Id="rId1378" Type="http://schemas.openxmlformats.org/officeDocument/2006/relationships/hyperlink" Target="https://www.geonames.org/711850/" TargetMode="External"/><Relationship Id="rId84" Type="http://schemas.openxmlformats.org/officeDocument/2006/relationships/hyperlink" Target="https://www.geonames.org/762201/" TargetMode="External"/><Relationship Id="rId387" Type="http://schemas.openxmlformats.org/officeDocument/2006/relationships/hyperlink" Target="https://www.geonames.org/687093/" TargetMode="External"/><Relationship Id="rId510" Type="http://schemas.openxmlformats.org/officeDocument/2006/relationships/hyperlink" Target="https://www.geonames.org/765749/" TargetMode="External"/><Relationship Id="rId594" Type="http://schemas.openxmlformats.org/officeDocument/2006/relationships/hyperlink" Target="https://www.geonames.org/690548/" TargetMode="External"/><Relationship Id="rId608" Type="http://schemas.openxmlformats.org/officeDocument/2006/relationships/hyperlink" Target="https://www.geonames.org/690873/" TargetMode="External"/><Relationship Id="rId815" Type="http://schemas.openxmlformats.org/officeDocument/2006/relationships/hyperlink" Target="https://www.geonames.org/712374/" TargetMode="External"/><Relationship Id="rId1238" Type="http://schemas.openxmlformats.org/officeDocument/2006/relationships/hyperlink" Target="https://www.geonames.org/724623/" TargetMode="External"/><Relationship Id="rId1445" Type="http://schemas.openxmlformats.org/officeDocument/2006/relationships/hyperlink" Target="https://www.geonames.org/698825/" TargetMode="External"/><Relationship Id="rId247" Type="http://schemas.openxmlformats.org/officeDocument/2006/relationships/hyperlink" Target="https://www.geonames.org/693376/" TargetMode="External"/><Relationship Id="rId899" Type="http://schemas.openxmlformats.org/officeDocument/2006/relationships/hyperlink" Target="https://www.geonames.org/3074614/" TargetMode="External"/><Relationship Id="rId1000" Type="http://schemas.openxmlformats.org/officeDocument/2006/relationships/hyperlink" Target="https://www.geonames.org/752995/" TargetMode="External"/><Relationship Id="rId1084" Type="http://schemas.openxmlformats.org/officeDocument/2006/relationships/hyperlink" Target="https://www.geonames.org/762371/" TargetMode="External"/><Relationship Id="rId1305" Type="http://schemas.openxmlformats.org/officeDocument/2006/relationships/hyperlink" Target="https://www.geonames.org/3064104/" TargetMode="External"/><Relationship Id="rId107" Type="http://schemas.openxmlformats.org/officeDocument/2006/relationships/hyperlink" Target="https://www.geonames.org/666973/" TargetMode="External"/><Relationship Id="rId454" Type="http://schemas.openxmlformats.org/officeDocument/2006/relationships/hyperlink" Target="https://www.geonames.org/759412/" TargetMode="External"/><Relationship Id="rId661" Type="http://schemas.openxmlformats.org/officeDocument/2006/relationships/hyperlink" Target="https://www.geonames.org/756438/" TargetMode="External"/><Relationship Id="rId759" Type="http://schemas.openxmlformats.org/officeDocument/2006/relationships/hyperlink" Target="https://www.geonames.org/763121/" TargetMode="External"/><Relationship Id="rId966" Type="http://schemas.openxmlformats.org/officeDocument/2006/relationships/hyperlink" Target="https://www.geonames.org/3071675/" TargetMode="External"/><Relationship Id="rId1291" Type="http://schemas.openxmlformats.org/officeDocument/2006/relationships/hyperlink" Target="https://www.geonames.org/3079637/" TargetMode="External"/><Relationship Id="rId1389" Type="http://schemas.openxmlformats.org/officeDocument/2006/relationships/hyperlink" Target="https://www.geonames.org/771394/" TargetMode="External"/><Relationship Id="rId11" Type="http://schemas.openxmlformats.org/officeDocument/2006/relationships/hyperlink" Target="https://www.geonames.org/770001/" TargetMode="External"/><Relationship Id="rId314" Type="http://schemas.openxmlformats.org/officeDocument/2006/relationships/hyperlink" Target="https://www.geonames.org/758252/" TargetMode="External"/><Relationship Id="rId398" Type="http://schemas.openxmlformats.org/officeDocument/2006/relationships/hyperlink" Target="https://www.geonames.org/7531570/" TargetMode="External"/><Relationship Id="rId521" Type="http://schemas.openxmlformats.org/officeDocument/2006/relationships/hyperlink" Target="https://www.geonames.org/3071879/" TargetMode="External"/><Relationship Id="rId619" Type="http://schemas.openxmlformats.org/officeDocument/2006/relationships/hyperlink" Target="https://www.geonames.org/704540/" TargetMode="External"/><Relationship Id="rId1151" Type="http://schemas.openxmlformats.org/officeDocument/2006/relationships/hyperlink" Target="https://www.geonames.org/766201/" TargetMode="External"/><Relationship Id="rId1249" Type="http://schemas.openxmlformats.org/officeDocument/2006/relationships/hyperlink" Target="https://www.geonames.org/707559/" TargetMode="External"/><Relationship Id="rId95" Type="http://schemas.openxmlformats.org/officeDocument/2006/relationships/hyperlink" Target="https://www.geonames.org/3070720/" TargetMode="External"/><Relationship Id="rId160" Type="http://schemas.openxmlformats.org/officeDocument/2006/relationships/hyperlink" Target="https://www.geonames.org/724468/" TargetMode="External"/><Relationship Id="rId826" Type="http://schemas.openxmlformats.org/officeDocument/2006/relationships/hyperlink" Target="https://www.geonames.org/691714/" TargetMode="External"/><Relationship Id="rId1011" Type="http://schemas.openxmlformats.org/officeDocument/2006/relationships/hyperlink" Target="https://www.geonames.org/754455/" TargetMode="External"/><Relationship Id="rId1109" Type="http://schemas.openxmlformats.org/officeDocument/2006/relationships/hyperlink" Target="https://www.geonames.org/3067421/" TargetMode="External"/><Relationship Id="rId1456" Type="http://schemas.openxmlformats.org/officeDocument/2006/relationships/hyperlink" Target="https://www.geonames.org/776252/" TargetMode="External"/><Relationship Id="rId258" Type="http://schemas.openxmlformats.org/officeDocument/2006/relationships/hyperlink" Target="https://www.geonames.org/705392/" TargetMode="External"/><Relationship Id="rId465" Type="http://schemas.openxmlformats.org/officeDocument/2006/relationships/hyperlink" Target="https://www.geonames.org/3101547/" TargetMode="External"/><Relationship Id="rId672" Type="http://schemas.openxmlformats.org/officeDocument/2006/relationships/hyperlink" Target="https://www.geonames.org/763545/" TargetMode="External"/><Relationship Id="rId1095" Type="http://schemas.openxmlformats.org/officeDocument/2006/relationships/hyperlink" Target="https://www.geonames.org/3075606/" TargetMode="External"/><Relationship Id="rId1316" Type="http://schemas.openxmlformats.org/officeDocument/2006/relationships/hyperlink" Target="https://www.geonames.org/3094802/" TargetMode="External"/><Relationship Id="rId22" Type="http://schemas.openxmlformats.org/officeDocument/2006/relationships/hyperlink" Target="https://www.geonames.org/695781/" TargetMode="External"/><Relationship Id="rId118" Type="http://schemas.openxmlformats.org/officeDocument/2006/relationships/hyperlink" Target="https://www.geonames.org/757029/" TargetMode="External"/><Relationship Id="rId325" Type="http://schemas.openxmlformats.org/officeDocument/2006/relationships/hyperlink" Target="https://www.geonames.org/709909/" TargetMode="External"/><Relationship Id="rId532" Type="http://schemas.openxmlformats.org/officeDocument/2006/relationships/hyperlink" Target="https://www.geonames.org/757050/" TargetMode="External"/><Relationship Id="rId977" Type="http://schemas.openxmlformats.org/officeDocument/2006/relationships/hyperlink" Target="https://www.geonames.org/776458/" TargetMode="External"/><Relationship Id="rId1162" Type="http://schemas.openxmlformats.org/officeDocument/2006/relationships/hyperlink" Target="https://www.geonames.org/702550+I12:J13" TargetMode="External"/><Relationship Id="rId171" Type="http://schemas.openxmlformats.org/officeDocument/2006/relationships/hyperlink" Target="https://www.geonames.org/3071194/" TargetMode="External"/><Relationship Id="rId837" Type="http://schemas.openxmlformats.org/officeDocument/2006/relationships/hyperlink" Target="https://www.geonames.org/3073407/" TargetMode="External"/><Relationship Id="rId1022" Type="http://schemas.openxmlformats.org/officeDocument/2006/relationships/hyperlink" Target="https://www.geonames.org/3074620/" TargetMode="External"/><Relationship Id="rId269" Type="http://schemas.openxmlformats.org/officeDocument/2006/relationships/hyperlink" Target="../../../vladimirberkovich/Library/Containers/com.microsoft.Excel/Data/Library/Application%20Support/Microsoft/Z%20FULL%20Service%20Records/BALDIS:BARTLEL,%20Victor%20(1799-1805:6)%20%5bConvert%3f%5d/Wodzis&#322;aw,%20Poland" TargetMode="External"/><Relationship Id="rId476" Type="http://schemas.openxmlformats.org/officeDocument/2006/relationships/hyperlink" Target="https://www.geonames.org/712374/" TargetMode="External"/><Relationship Id="rId683" Type="http://schemas.openxmlformats.org/officeDocument/2006/relationships/hyperlink" Target="https://www.geonames.org/756377/" TargetMode="External"/><Relationship Id="rId890" Type="http://schemas.openxmlformats.org/officeDocument/2006/relationships/hyperlink" Target="https://www.geonames.org/696966/" TargetMode="External"/><Relationship Id="rId904" Type="http://schemas.openxmlformats.org/officeDocument/2006/relationships/hyperlink" Target="https://www.geonames.org/757033/" TargetMode="External"/><Relationship Id="rId1327" Type="http://schemas.openxmlformats.org/officeDocument/2006/relationships/hyperlink" Target="https://www.geonames.org/770380/" TargetMode="External"/><Relationship Id="rId33" Type="http://schemas.openxmlformats.org/officeDocument/2006/relationships/hyperlink" Target="https://www.geonames.org/775922/" TargetMode="External"/><Relationship Id="rId129" Type="http://schemas.openxmlformats.org/officeDocument/2006/relationships/hyperlink" Target="https://www.geonames.org/627904/" TargetMode="External"/><Relationship Id="rId336" Type="http://schemas.openxmlformats.org/officeDocument/2006/relationships/hyperlink" Target="https://www.geonames.org/698598/" TargetMode="External"/><Relationship Id="rId543" Type="http://schemas.openxmlformats.org/officeDocument/2006/relationships/hyperlink" Target="https://www.geonames.org/753866/" TargetMode="External"/><Relationship Id="rId988" Type="http://schemas.openxmlformats.org/officeDocument/2006/relationships/hyperlink" Target="https://www.geonames.org/774348/" TargetMode="External"/><Relationship Id="rId1173" Type="http://schemas.openxmlformats.org/officeDocument/2006/relationships/hyperlink" Target="https://www.geonames.org/3073401/" TargetMode="External"/><Relationship Id="rId1380" Type="http://schemas.openxmlformats.org/officeDocument/2006/relationships/hyperlink" Target="https://www.geonames.org/3069052/" TargetMode="External"/><Relationship Id="rId182" Type="http://schemas.openxmlformats.org/officeDocument/2006/relationships/hyperlink" Target="https://www.geonames.org/720533/" TargetMode="External"/><Relationship Id="rId403" Type="http://schemas.openxmlformats.org/officeDocument/2006/relationships/hyperlink" Target="https://www.google.com/maps/place/Ka%C5%82uszyn,+Poland/@52.2139355,21.743758,12z/data=!3m1!4b1!4m5!3m4!1s0x471f3745bb35b963:0xe8ec1c02ee4cf5cc!8m2!3d52.2067049!4d21.808426" TargetMode="External"/><Relationship Id="rId750" Type="http://schemas.openxmlformats.org/officeDocument/2006/relationships/hyperlink" Target="https://www.geonames.org/768859/" TargetMode="External"/><Relationship Id="rId848" Type="http://schemas.openxmlformats.org/officeDocument/2006/relationships/hyperlink" Target="https://www.geonames.org/3067421/" TargetMode="External"/><Relationship Id="rId1033" Type="http://schemas.openxmlformats.org/officeDocument/2006/relationships/hyperlink" Target="https://www.geonames.org/710400/" TargetMode="External"/><Relationship Id="rId487" Type="http://schemas.openxmlformats.org/officeDocument/2006/relationships/hyperlink" Target="https://www.geonames.org/773877/" TargetMode="External"/><Relationship Id="rId610" Type="http://schemas.openxmlformats.org/officeDocument/2006/relationships/hyperlink" Target="https://www.geonames.org/687093/" TargetMode="External"/><Relationship Id="rId694" Type="http://schemas.openxmlformats.org/officeDocument/2006/relationships/hyperlink" Target="https://www.geonames.org/760657/" TargetMode="External"/><Relationship Id="rId708" Type="http://schemas.openxmlformats.org/officeDocument/2006/relationships/hyperlink" Target="https://www.geonames.org/762059/" TargetMode="External"/><Relationship Id="rId915" Type="http://schemas.openxmlformats.org/officeDocument/2006/relationships/hyperlink" Target="https://www.geonames.org/682718/" TargetMode="External"/><Relationship Id="rId1240" Type="http://schemas.openxmlformats.org/officeDocument/2006/relationships/hyperlink" Target="https://www.geonames.org/715839/" TargetMode="External"/><Relationship Id="rId1338" Type="http://schemas.openxmlformats.org/officeDocument/2006/relationships/hyperlink" Target="https://www.geonames.org/770380/" TargetMode="External"/><Relationship Id="rId347" Type="http://schemas.openxmlformats.org/officeDocument/2006/relationships/hyperlink" Target="https://www.geonames.org/755439/" TargetMode="External"/><Relationship Id="rId999" Type="http://schemas.openxmlformats.org/officeDocument/2006/relationships/hyperlink" Target="https://www.geonames.org/752995/" TargetMode="External"/><Relationship Id="rId1100" Type="http://schemas.openxmlformats.org/officeDocument/2006/relationships/hyperlink" Target="https://www.geonames.org/770380/" TargetMode="External"/><Relationship Id="rId1184" Type="http://schemas.openxmlformats.org/officeDocument/2006/relationships/hyperlink" Target="https://www.geonames.org/756485/" TargetMode="External"/><Relationship Id="rId1405" Type="http://schemas.openxmlformats.org/officeDocument/2006/relationships/hyperlink" Target="https://www.geonames.org/760185/" TargetMode="External"/><Relationship Id="rId44" Type="http://schemas.openxmlformats.org/officeDocument/2006/relationships/hyperlink" Target="https://www.geonames.org/3071645/" TargetMode="External"/><Relationship Id="rId554" Type="http://schemas.openxmlformats.org/officeDocument/2006/relationships/hyperlink" Target="https://www.geonames.org/3075878/" TargetMode="External"/><Relationship Id="rId761" Type="http://schemas.openxmlformats.org/officeDocument/2006/relationships/hyperlink" Target="https://www.geonames.org/762774/" TargetMode="External"/><Relationship Id="rId859" Type="http://schemas.openxmlformats.org/officeDocument/2006/relationships/hyperlink" Target="https://www.geonames.org/760987/" TargetMode="External"/><Relationship Id="rId1391" Type="http://schemas.openxmlformats.org/officeDocument/2006/relationships/hyperlink" Target="https://www.geonames.org/756377/" TargetMode="External"/><Relationship Id="rId193" Type="http://schemas.openxmlformats.org/officeDocument/2006/relationships/hyperlink" Target="https://www.geonames.org/724443/" TargetMode="External"/><Relationship Id="rId207" Type="http://schemas.openxmlformats.org/officeDocument/2006/relationships/hyperlink" Target="https://www.geonames.org/700696/" TargetMode="External"/><Relationship Id="rId414" Type="http://schemas.openxmlformats.org/officeDocument/2006/relationships/hyperlink" Target="https://www.geonames.org/776175/" TargetMode="External"/><Relationship Id="rId498" Type="http://schemas.openxmlformats.org/officeDocument/2006/relationships/hyperlink" Target="https://www.geonames.org/702550+I12:J13" TargetMode="External"/><Relationship Id="rId621" Type="http://schemas.openxmlformats.org/officeDocument/2006/relationships/hyperlink" Target="https://www.geonames.org/698592/" TargetMode="External"/><Relationship Id="rId1044" Type="http://schemas.openxmlformats.org/officeDocument/2006/relationships/hyperlink" Target="https://www.geonames.org/768338/" TargetMode="External"/><Relationship Id="rId1251" Type="http://schemas.openxmlformats.org/officeDocument/2006/relationships/hyperlink" Target="https://www.geonames.org/724181/" TargetMode="External"/><Relationship Id="rId1349" Type="http://schemas.openxmlformats.org/officeDocument/2006/relationships/hyperlink" Target="https://www.geonames.org/704513/" TargetMode="External"/><Relationship Id="rId260" Type="http://schemas.openxmlformats.org/officeDocument/2006/relationships/hyperlink" Target="https://www.geonames.org/754507/" TargetMode="External"/><Relationship Id="rId719" Type="http://schemas.openxmlformats.org/officeDocument/2006/relationships/hyperlink" Target="https://www.geonames.org/693301/" TargetMode="External"/><Relationship Id="rId926" Type="http://schemas.openxmlformats.org/officeDocument/2006/relationships/hyperlink" Target="https://www.geonames.org/755372/" TargetMode="External"/><Relationship Id="rId1111" Type="http://schemas.openxmlformats.org/officeDocument/2006/relationships/hyperlink" Target="https://www.geonames.org/3071791" TargetMode="External"/><Relationship Id="rId55" Type="http://schemas.openxmlformats.org/officeDocument/2006/relationships/hyperlink" Target="https://www.geonames.org/3067696/" TargetMode="External"/><Relationship Id="rId120" Type="http://schemas.openxmlformats.org/officeDocument/2006/relationships/hyperlink" Target="https://www.geonames.org/3072326/" TargetMode="External"/><Relationship Id="rId358" Type="http://schemas.openxmlformats.org/officeDocument/2006/relationships/hyperlink" Target="https://www.geonames.org/772896/" TargetMode="External"/><Relationship Id="rId565" Type="http://schemas.openxmlformats.org/officeDocument/2006/relationships/hyperlink" Target="https://www.geonames.org/705265/" TargetMode="External"/><Relationship Id="rId772" Type="http://schemas.openxmlformats.org/officeDocument/2006/relationships/hyperlink" Target="https://www.geonames.org/3057534/" TargetMode="External"/><Relationship Id="rId1195" Type="http://schemas.openxmlformats.org/officeDocument/2006/relationships/hyperlink" Target="https://www.geonames.org/690814/" TargetMode="External"/><Relationship Id="rId1209" Type="http://schemas.openxmlformats.org/officeDocument/2006/relationships/hyperlink" Target="https://www.geonames.org/695781/" TargetMode="External"/><Relationship Id="rId1416" Type="http://schemas.openxmlformats.org/officeDocument/2006/relationships/hyperlink" Target="https://www.geonames.org/693178/" TargetMode="External"/><Relationship Id="rId218" Type="http://schemas.openxmlformats.org/officeDocument/2006/relationships/hyperlink" Target="https://www.geonames.org/3085867/" TargetMode="External"/><Relationship Id="rId425" Type="http://schemas.openxmlformats.org/officeDocument/2006/relationships/hyperlink" Target="https://www.geonames.org/763111/" TargetMode="External"/><Relationship Id="rId632" Type="http://schemas.openxmlformats.org/officeDocument/2006/relationships/hyperlink" Target="https://www.geonames.org/753004/" TargetMode="External"/><Relationship Id="rId1055" Type="http://schemas.openxmlformats.org/officeDocument/2006/relationships/hyperlink" Target="https://www.geonames.org/3077929/" TargetMode="External"/><Relationship Id="rId1262" Type="http://schemas.openxmlformats.org/officeDocument/2006/relationships/hyperlink" Target="https://www.geonames.org/764117/" TargetMode="External"/><Relationship Id="rId271" Type="http://schemas.openxmlformats.org/officeDocument/2006/relationships/hyperlink" Target="https://www.geonames.org/2845694/" TargetMode="External"/><Relationship Id="rId937" Type="http://schemas.openxmlformats.org/officeDocument/2006/relationships/hyperlink" Target="https://www.geonames.org/772086/" TargetMode="External"/><Relationship Id="rId1122" Type="http://schemas.openxmlformats.org/officeDocument/2006/relationships/hyperlink" Target="https://www.geonames.org/769910/" TargetMode="External"/><Relationship Id="rId66" Type="http://schemas.openxmlformats.org/officeDocument/2006/relationships/hyperlink" Target="https://www.geonames.org/3069834/" TargetMode="External"/><Relationship Id="rId131" Type="http://schemas.openxmlformats.org/officeDocument/2006/relationships/hyperlink" Target="https://www.geonames.org/711416/" TargetMode="External"/><Relationship Id="rId369" Type="http://schemas.openxmlformats.org/officeDocument/2006/relationships/hyperlink" Target="https://www.geonames.org/697692/" TargetMode="External"/><Relationship Id="rId576" Type="http://schemas.openxmlformats.org/officeDocument/2006/relationships/hyperlink" Target="https://www.geonames.org/709909/" TargetMode="External"/><Relationship Id="rId783" Type="http://schemas.openxmlformats.org/officeDocument/2006/relationships/hyperlink" Target="https://www.geonames.org/760769/" TargetMode="External"/><Relationship Id="rId990" Type="http://schemas.openxmlformats.org/officeDocument/2006/relationships/hyperlink" Target="https://www.geonames.org/692423/" TargetMode="External"/><Relationship Id="rId1427" Type="http://schemas.openxmlformats.org/officeDocument/2006/relationships/hyperlink" Target="https://www.geonames.org/707858/" TargetMode="External"/><Relationship Id="rId229" Type="http://schemas.openxmlformats.org/officeDocument/2006/relationships/hyperlink" Target="https://www.geonames.org/691650/" TargetMode="External"/><Relationship Id="rId436" Type="http://schemas.openxmlformats.org/officeDocument/2006/relationships/hyperlink" Target="https://www.geonames.org/759412/" TargetMode="External"/><Relationship Id="rId643" Type="http://schemas.openxmlformats.org/officeDocument/2006/relationships/hyperlink" Target="https://www.geonames.org/756438/" TargetMode="External"/><Relationship Id="rId1066" Type="http://schemas.openxmlformats.org/officeDocument/2006/relationships/hyperlink" Target="https://www.geonames.org/3078561/" TargetMode="External"/><Relationship Id="rId1273" Type="http://schemas.openxmlformats.org/officeDocument/2006/relationships/hyperlink" Target="https://www.geonames.org/702550+I12:J13" TargetMode="External"/><Relationship Id="rId850" Type="http://schemas.openxmlformats.org/officeDocument/2006/relationships/hyperlink" Target="https://www.geonames.org/767814/" TargetMode="External"/><Relationship Id="rId948" Type="http://schemas.openxmlformats.org/officeDocument/2006/relationships/hyperlink" Target="https://www.geonames.org/758633/" TargetMode="External"/><Relationship Id="rId1133" Type="http://schemas.openxmlformats.org/officeDocument/2006/relationships/hyperlink" Target="https://www.geonames.org/753506/" TargetMode="External"/><Relationship Id="rId77" Type="http://schemas.openxmlformats.org/officeDocument/2006/relationships/hyperlink" Target="https://www.geonames.org/3064104/" TargetMode="External"/><Relationship Id="rId282" Type="http://schemas.openxmlformats.org/officeDocument/2006/relationships/hyperlink" Target="https://www.geonames.org/629634/" TargetMode="External"/><Relationship Id="rId503" Type="http://schemas.openxmlformats.org/officeDocument/2006/relationships/hyperlink" Target="https://www.geonames.org/702550+I12:J13" TargetMode="External"/><Relationship Id="rId587" Type="http://schemas.openxmlformats.org/officeDocument/2006/relationships/hyperlink" Target="https://www.geonames.org/3067696/" TargetMode="External"/><Relationship Id="rId710" Type="http://schemas.openxmlformats.org/officeDocument/2006/relationships/hyperlink" Target="https://www.geonames.org/3083410/" TargetMode="External"/><Relationship Id="rId808" Type="http://schemas.openxmlformats.org/officeDocument/2006/relationships/hyperlink" Target="https://www.geonames.org/712374/" TargetMode="External"/><Relationship Id="rId1340" Type="http://schemas.openxmlformats.org/officeDocument/2006/relationships/hyperlink" Target="https://www.geonames.org/761168/" TargetMode="External"/><Relationship Id="rId1438" Type="http://schemas.openxmlformats.org/officeDocument/2006/relationships/hyperlink" Target="https://www.geonames.org/711850/" TargetMode="External"/><Relationship Id="rId8" Type="http://schemas.openxmlformats.org/officeDocument/2006/relationships/hyperlink" Target="https://www.geonames.org/760657/" TargetMode="External"/><Relationship Id="rId142" Type="http://schemas.openxmlformats.org/officeDocument/2006/relationships/hyperlink" Target="https://www.geonames.org/711416/" TargetMode="External"/><Relationship Id="rId447" Type="http://schemas.openxmlformats.org/officeDocument/2006/relationships/hyperlink" Target="https://www.geonames.org/756046/" TargetMode="External"/><Relationship Id="rId794" Type="http://schemas.openxmlformats.org/officeDocument/2006/relationships/hyperlink" Target="https://www.geonames.org/767814/" TargetMode="External"/><Relationship Id="rId1077" Type="http://schemas.openxmlformats.org/officeDocument/2006/relationships/hyperlink" Target="https://www.geonames.org/7534588/" TargetMode="External"/><Relationship Id="rId1200" Type="http://schemas.openxmlformats.org/officeDocument/2006/relationships/hyperlink" Target="https://www.geonames.org/691825/" TargetMode="External"/><Relationship Id="rId654" Type="http://schemas.openxmlformats.org/officeDocument/2006/relationships/hyperlink" Target="https://www.geonames.org/3094802/" TargetMode="External"/><Relationship Id="rId861" Type="http://schemas.openxmlformats.org/officeDocument/2006/relationships/hyperlink" Target="https://www.geonames.org/769910/" TargetMode="External"/><Relationship Id="rId959" Type="http://schemas.openxmlformats.org/officeDocument/2006/relationships/hyperlink" Target="https://www.geonames.org/753866/" TargetMode="External"/><Relationship Id="rId1284" Type="http://schemas.openxmlformats.org/officeDocument/2006/relationships/hyperlink" Target="https://www.geonames.org/2781024/" TargetMode="External"/><Relationship Id="rId293" Type="http://schemas.openxmlformats.org/officeDocument/2006/relationships/hyperlink" Target="https://www.geonames.org/692702/" TargetMode="External"/><Relationship Id="rId307" Type="http://schemas.openxmlformats.org/officeDocument/2006/relationships/hyperlink" Target="https://www.geonames.org/757182/" TargetMode="External"/><Relationship Id="rId514" Type="http://schemas.openxmlformats.org/officeDocument/2006/relationships/hyperlink" Target="https://www.geonames.org/3079403/" TargetMode="External"/><Relationship Id="rId721" Type="http://schemas.openxmlformats.org/officeDocument/2006/relationships/hyperlink" Target="https://www.geonames.org/691825/" TargetMode="External"/><Relationship Id="rId1144" Type="http://schemas.openxmlformats.org/officeDocument/2006/relationships/hyperlink" Target="https://www.geonames.org/3068160/" TargetMode="External"/><Relationship Id="rId1351" Type="http://schemas.openxmlformats.org/officeDocument/2006/relationships/hyperlink" Target="https://www.geonames.org/765876/" TargetMode="External"/><Relationship Id="rId1449" Type="http://schemas.openxmlformats.org/officeDocument/2006/relationships/hyperlink" Target="https://www.geonames.org/705265/" TargetMode="External"/><Relationship Id="rId88" Type="http://schemas.openxmlformats.org/officeDocument/2006/relationships/hyperlink" Target="https://www.geonames.org/3099434/" TargetMode="External"/><Relationship Id="rId153" Type="http://schemas.openxmlformats.org/officeDocument/2006/relationships/hyperlink" Target="https://www.geonames.org/702550+I12:J13" TargetMode="External"/><Relationship Id="rId360" Type="http://schemas.openxmlformats.org/officeDocument/2006/relationships/hyperlink" Target="https://www.geonames.org/707099/" TargetMode="External"/><Relationship Id="rId598" Type="http://schemas.openxmlformats.org/officeDocument/2006/relationships/hyperlink" Target="https://www.geonames.org/8243842/" TargetMode="External"/><Relationship Id="rId819" Type="http://schemas.openxmlformats.org/officeDocument/2006/relationships/hyperlink" Target="https://www.geonames.org/712374/" TargetMode="External"/><Relationship Id="rId1004" Type="http://schemas.openxmlformats.org/officeDocument/2006/relationships/hyperlink" Target="https://www.geonames.org/766239/" TargetMode="External"/><Relationship Id="rId1211" Type="http://schemas.openxmlformats.org/officeDocument/2006/relationships/hyperlink" Target="https://www.geonames.org/765932/" TargetMode="External"/><Relationship Id="rId220" Type="http://schemas.openxmlformats.org/officeDocument/2006/relationships/hyperlink" Target="https://www.geonames.org/756438/" TargetMode="External"/><Relationship Id="rId458" Type="http://schemas.openxmlformats.org/officeDocument/2006/relationships/hyperlink" Target="https://www.geonames.org/765876/" TargetMode="External"/><Relationship Id="rId665" Type="http://schemas.openxmlformats.org/officeDocument/2006/relationships/hyperlink" Target="https://www.geonames.org/690155/" TargetMode="External"/><Relationship Id="rId872" Type="http://schemas.openxmlformats.org/officeDocument/2006/relationships/hyperlink" Target="https://www.geonames.org/3067421/" TargetMode="External"/><Relationship Id="rId1088" Type="http://schemas.openxmlformats.org/officeDocument/2006/relationships/hyperlink" Target="https://www.geonames.org/3070640/" TargetMode="External"/><Relationship Id="rId1295" Type="http://schemas.openxmlformats.org/officeDocument/2006/relationships/hyperlink" Target="https://www.geonames.org/3057691/" TargetMode="External"/><Relationship Id="rId1309" Type="http://schemas.openxmlformats.org/officeDocument/2006/relationships/hyperlink" Target="https://www.geonames.org/708999/" TargetMode="External"/><Relationship Id="rId15" Type="http://schemas.openxmlformats.org/officeDocument/2006/relationships/hyperlink" Target="https://www.geonames.org/3078234/" TargetMode="External"/><Relationship Id="rId318" Type="http://schemas.openxmlformats.org/officeDocument/2006/relationships/hyperlink" Target="https://www.geonames.org/759603/" TargetMode="External"/><Relationship Id="rId525" Type="http://schemas.openxmlformats.org/officeDocument/2006/relationships/hyperlink" Target="https://www.geonames.org/3071966/" TargetMode="External"/><Relationship Id="rId732" Type="http://schemas.openxmlformats.org/officeDocument/2006/relationships/hyperlink" Target="https://www.geonames.org/768067/" TargetMode="External"/><Relationship Id="rId1155" Type="http://schemas.openxmlformats.org/officeDocument/2006/relationships/hyperlink" Target="https://www.geonames.org/762851/" TargetMode="External"/><Relationship Id="rId1362" Type="http://schemas.openxmlformats.org/officeDocument/2006/relationships/hyperlink" Target="https://www.geonames.org/703514/" TargetMode="External"/><Relationship Id="rId99" Type="http://schemas.openxmlformats.org/officeDocument/2006/relationships/hyperlink" Target="https://www.geonames.org/702569/" TargetMode="External"/><Relationship Id="rId164" Type="http://schemas.openxmlformats.org/officeDocument/2006/relationships/hyperlink" Target="https://www.geonames.org/723698/" TargetMode="External"/><Relationship Id="rId371" Type="http://schemas.openxmlformats.org/officeDocument/2006/relationships/hyperlink" Target="https://www.geonames.org/712374/" TargetMode="External"/><Relationship Id="rId1015" Type="http://schemas.openxmlformats.org/officeDocument/2006/relationships/hyperlink" Target="https://www.geonames.org/3067421/" TargetMode="External"/><Relationship Id="rId1222" Type="http://schemas.openxmlformats.org/officeDocument/2006/relationships/hyperlink" Target="https://www.geonames.org/757026/" TargetMode="External"/><Relationship Id="rId469" Type="http://schemas.openxmlformats.org/officeDocument/2006/relationships/hyperlink" Target="https://www.geonames.org/774504/" TargetMode="External"/><Relationship Id="rId676" Type="http://schemas.openxmlformats.org/officeDocument/2006/relationships/hyperlink" Target="https://www.geonames.org/774504/" TargetMode="External"/><Relationship Id="rId883" Type="http://schemas.openxmlformats.org/officeDocument/2006/relationships/hyperlink" Target="https://www.geonames.org/3068162/" TargetMode="External"/><Relationship Id="rId1099" Type="http://schemas.openxmlformats.org/officeDocument/2006/relationships/hyperlink" Target="https://www.geonames.org/770380/" TargetMode="External"/><Relationship Id="rId26" Type="http://schemas.openxmlformats.org/officeDocument/2006/relationships/hyperlink" Target="https://www.geonames.org/673634/" TargetMode="External"/><Relationship Id="rId231" Type="http://schemas.openxmlformats.org/officeDocument/2006/relationships/hyperlink" Target="https://www.geonames.org/770005/" TargetMode="External"/><Relationship Id="rId329" Type="http://schemas.openxmlformats.org/officeDocument/2006/relationships/hyperlink" Target="https://www.geonames.org/770772/" TargetMode="External"/><Relationship Id="rId536" Type="http://schemas.openxmlformats.org/officeDocument/2006/relationships/hyperlink" Target="https://www.geonames.org/3070795/" TargetMode="External"/><Relationship Id="rId1166" Type="http://schemas.openxmlformats.org/officeDocument/2006/relationships/hyperlink" Target="https://www.geonames.org/765876/" TargetMode="External"/><Relationship Id="rId1373" Type="http://schemas.openxmlformats.org/officeDocument/2006/relationships/hyperlink" Target="https://www.geonames.org/3071966/" TargetMode="External"/><Relationship Id="rId175" Type="http://schemas.openxmlformats.org/officeDocument/2006/relationships/hyperlink" Target="https://www.geonames.org/12057721/" TargetMode="External"/><Relationship Id="rId743" Type="http://schemas.openxmlformats.org/officeDocument/2006/relationships/hyperlink" Target="https://www.geonames.org/762774/" TargetMode="External"/><Relationship Id="rId950" Type="http://schemas.openxmlformats.org/officeDocument/2006/relationships/hyperlink" Target="https://www.geonames.org/762799/" TargetMode="External"/><Relationship Id="rId1026" Type="http://schemas.openxmlformats.org/officeDocument/2006/relationships/hyperlink" Target="https://www.geonames.org/7534583/" TargetMode="External"/><Relationship Id="rId382" Type="http://schemas.openxmlformats.org/officeDocument/2006/relationships/hyperlink" Target="https://www.geonames.org/700793/" TargetMode="External"/><Relationship Id="rId603" Type="http://schemas.openxmlformats.org/officeDocument/2006/relationships/hyperlink" Target="https://www.geonames.org/700646/" TargetMode="External"/><Relationship Id="rId687" Type="http://schemas.openxmlformats.org/officeDocument/2006/relationships/hyperlink" Target="https://www.geonames.org/763545/" TargetMode="External"/><Relationship Id="rId810" Type="http://schemas.openxmlformats.org/officeDocument/2006/relationships/hyperlink" Target="https://www.geonames.org/696966/" TargetMode="External"/><Relationship Id="rId908" Type="http://schemas.openxmlformats.org/officeDocument/2006/relationships/hyperlink" Target="https://www.geonames.org/712374/" TargetMode="External"/><Relationship Id="rId1233" Type="http://schemas.openxmlformats.org/officeDocument/2006/relationships/hyperlink" Target="https://www.geonames.org/725168/" TargetMode="External"/><Relationship Id="rId1440" Type="http://schemas.openxmlformats.org/officeDocument/2006/relationships/hyperlink" Target="https://www.geonames.org/691650/" TargetMode="External"/><Relationship Id="rId242" Type="http://schemas.openxmlformats.org/officeDocument/2006/relationships/hyperlink" Target="https://www.geonames.org/2925533/" TargetMode="External"/><Relationship Id="rId894" Type="http://schemas.openxmlformats.org/officeDocument/2006/relationships/hyperlink" Target="https://www.geonames.org/3073222/" TargetMode="External"/><Relationship Id="rId1177" Type="http://schemas.openxmlformats.org/officeDocument/2006/relationships/hyperlink" Target="https://www.geonames.org/700507/" TargetMode="External"/><Relationship Id="rId1300" Type="http://schemas.openxmlformats.org/officeDocument/2006/relationships/hyperlink" Target="https://www.geonames.org/712381/" TargetMode="External"/><Relationship Id="rId37" Type="http://schemas.openxmlformats.org/officeDocument/2006/relationships/hyperlink" Target="https://www.geonames.org/3060972/" TargetMode="External"/><Relationship Id="rId102" Type="http://schemas.openxmlformats.org/officeDocument/2006/relationships/hyperlink" Target="https://www.geonames.org/715839/" TargetMode="External"/><Relationship Id="rId547" Type="http://schemas.openxmlformats.org/officeDocument/2006/relationships/hyperlink" Target="https://www.geonames.org/768024/" TargetMode="External"/><Relationship Id="rId754" Type="http://schemas.openxmlformats.org/officeDocument/2006/relationships/hyperlink" Target="https://www.geonames.org/763121/" TargetMode="External"/><Relationship Id="rId961" Type="http://schemas.openxmlformats.org/officeDocument/2006/relationships/hyperlink" Target="https://www.geonames.org/754455/" TargetMode="External"/><Relationship Id="rId1384" Type="http://schemas.openxmlformats.org/officeDocument/2006/relationships/hyperlink" Target="https://www.geonames.org/3073152/" TargetMode="External"/><Relationship Id="rId90" Type="http://schemas.openxmlformats.org/officeDocument/2006/relationships/hyperlink" Target="https://www.geonames.org/768846/" TargetMode="External"/><Relationship Id="rId186" Type="http://schemas.openxmlformats.org/officeDocument/2006/relationships/hyperlink" Target="https://www.geonames.org/766980/" TargetMode="External"/><Relationship Id="rId393" Type="http://schemas.openxmlformats.org/officeDocument/2006/relationships/hyperlink" Target="https://www.geonames.org/3101547/" TargetMode="External"/><Relationship Id="rId407" Type="http://schemas.openxmlformats.org/officeDocument/2006/relationships/hyperlink" Target="https://www.geonames.org/774184/" TargetMode="External"/><Relationship Id="rId614" Type="http://schemas.openxmlformats.org/officeDocument/2006/relationships/hyperlink" Target="https://www.geonames.org/693301/" TargetMode="External"/><Relationship Id="rId821" Type="http://schemas.openxmlformats.org/officeDocument/2006/relationships/hyperlink" Target="https://www.geonames.org/3069011/" TargetMode="External"/><Relationship Id="rId1037" Type="http://schemas.openxmlformats.org/officeDocument/2006/relationships/hyperlink" Target="https://www.geonames.org/757026/" TargetMode="External"/><Relationship Id="rId1244" Type="http://schemas.openxmlformats.org/officeDocument/2006/relationships/hyperlink" Target="https://www.geonames.org/724327/" TargetMode="External"/><Relationship Id="rId1451" Type="http://schemas.openxmlformats.org/officeDocument/2006/relationships/hyperlink" Target="https://www.geonames.org/689564/" TargetMode="External"/><Relationship Id="rId253" Type="http://schemas.openxmlformats.org/officeDocument/2006/relationships/hyperlink" Target="https://www.geonames.org/768217/" TargetMode="External"/><Relationship Id="rId460" Type="http://schemas.openxmlformats.org/officeDocument/2006/relationships/hyperlink" Target="https://www.geonames.org/773357/" TargetMode="External"/><Relationship Id="rId698" Type="http://schemas.openxmlformats.org/officeDocument/2006/relationships/hyperlink" Target="https://www.geonames.org/753054/" TargetMode="External"/><Relationship Id="rId919" Type="http://schemas.openxmlformats.org/officeDocument/2006/relationships/hyperlink" Target="https://www.geonames.org/758633/" TargetMode="External"/><Relationship Id="rId1090" Type="http://schemas.openxmlformats.org/officeDocument/2006/relationships/hyperlink" Target="https://www.geonames.org/771866/" TargetMode="External"/><Relationship Id="rId1104" Type="http://schemas.openxmlformats.org/officeDocument/2006/relationships/hyperlink" Target="https://www.geonames.org/3072407/" TargetMode="External"/><Relationship Id="rId1311" Type="http://schemas.openxmlformats.org/officeDocument/2006/relationships/hyperlink" Target="https://www.geonames.org/753866/" TargetMode="External"/><Relationship Id="rId48" Type="http://schemas.openxmlformats.org/officeDocument/2006/relationships/hyperlink" Target="https://www.geonames.org/2761369/" TargetMode="External"/><Relationship Id="rId113" Type="http://schemas.openxmlformats.org/officeDocument/2006/relationships/hyperlink" Target="https://www.geonames.org/688288/" TargetMode="External"/><Relationship Id="rId320" Type="http://schemas.openxmlformats.org/officeDocument/2006/relationships/hyperlink" Target="https://www.geonames.org/760987/" TargetMode="External"/><Relationship Id="rId558" Type="http://schemas.openxmlformats.org/officeDocument/2006/relationships/hyperlink" Target="https://www.geonames.org/709611/" TargetMode="External"/><Relationship Id="rId765" Type="http://schemas.openxmlformats.org/officeDocument/2006/relationships/hyperlink" Target="https://www.geonames.org/3077596/" TargetMode="External"/><Relationship Id="rId972" Type="http://schemas.openxmlformats.org/officeDocument/2006/relationships/hyperlink" Target="https://www.geonames.org/3068557" TargetMode="External"/><Relationship Id="rId1188" Type="http://schemas.openxmlformats.org/officeDocument/2006/relationships/hyperlink" Target="https://www.geonames.org/758633/" TargetMode="External"/><Relationship Id="rId1395" Type="http://schemas.openxmlformats.org/officeDocument/2006/relationships/hyperlink" Target="https://www.geonames.org/758282/" TargetMode="External"/><Relationship Id="rId1409" Type="http://schemas.openxmlformats.org/officeDocument/2006/relationships/hyperlink" Target="https://www.geonames.org/3073152/" TargetMode="External"/><Relationship Id="rId197" Type="http://schemas.openxmlformats.org/officeDocument/2006/relationships/hyperlink" Target="https://www.geonames.org/766452/" TargetMode="External"/><Relationship Id="rId418" Type="http://schemas.openxmlformats.org/officeDocument/2006/relationships/hyperlink" Target="https://www.geonames.org/765976/" TargetMode="External"/><Relationship Id="rId625" Type="http://schemas.openxmlformats.org/officeDocument/2006/relationships/hyperlink" Target="https://www.geonames.org/767814/" TargetMode="External"/><Relationship Id="rId832" Type="http://schemas.openxmlformats.org/officeDocument/2006/relationships/hyperlink" Target="https://www.geonames.org/758633/" TargetMode="External"/><Relationship Id="rId1048" Type="http://schemas.openxmlformats.org/officeDocument/2006/relationships/hyperlink" Target="https://www.geonames.org/3063561/" TargetMode="External"/><Relationship Id="rId1255" Type="http://schemas.openxmlformats.org/officeDocument/2006/relationships/hyperlink" Target="https://www.geonames.org/724412/" TargetMode="External"/><Relationship Id="rId264" Type="http://schemas.openxmlformats.org/officeDocument/2006/relationships/hyperlink" Target="https://www.geonames.org/711850/" TargetMode="External"/><Relationship Id="rId471" Type="http://schemas.openxmlformats.org/officeDocument/2006/relationships/hyperlink" Target="https://www.geonames.org/3096401/" TargetMode="External"/><Relationship Id="rId1115" Type="http://schemas.openxmlformats.org/officeDocument/2006/relationships/hyperlink" Target="https://www.geonames.org/3068162/" TargetMode="External"/><Relationship Id="rId1322" Type="http://schemas.openxmlformats.org/officeDocument/2006/relationships/hyperlink" Target="https://www.geonames.org/3078838/" TargetMode="External"/><Relationship Id="rId59" Type="http://schemas.openxmlformats.org/officeDocument/2006/relationships/hyperlink" Target="https://www.geonames.org/3063561/" TargetMode="External"/><Relationship Id="rId124" Type="http://schemas.openxmlformats.org/officeDocument/2006/relationships/hyperlink" Target="https://www.geonames.org/693700/" TargetMode="External"/><Relationship Id="rId569" Type="http://schemas.openxmlformats.org/officeDocument/2006/relationships/hyperlink" Target="https://www.geonames.org/692865/" TargetMode="External"/><Relationship Id="rId776" Type="http://schemas.openxmlformats.org/officeDocument/2006/relationships/hyperlink" Target="https://www.geonames.org/3072649/" TargetMode="External"/><Relationship Id="rId983" Type="http://schemas.openxmlformats.org/officeDocument/2006/relationships/hyperlink" Target="https://www.geonames.org/775908/" TargetMode="External"/><Relationship Id="rId1199" Type="http://schemas.openxmlformats.org/officeDocument/2006/relationships/hyperlink" Target="https://www.geonames.org/772772/" TargetMode="External"/><Relationship Id="rId331" Type="http://schemas.openxmlformats.org/officeDocument/2006/relationships/hyperlink" Target="https://www.geonames.org/758252/" TargetMode="External"/><Relationship Id="rId429" Type="http://schemas.openxmlformats.org/officeDocument/2006/relationships/hyperlink" Target="https://www.geonames.org/708380/" TargetMode="External"/><Relationship Id="rId636" Type="http://schemas.openxmlformats.org/officeDocument/2006/relationships/hyperlink" Target="https://www.geonames.org/771498/" TargetMode="External"/><Relationship Id="rId1059" Type="http://schemas.openxmlformats.org/officeDocument/2006/relationships/hyperlink" Target="https://www.geonames.org/3073407/" TargetMode="External"/><Relationship Id="rId1266" Type="http://schemas.openxmlformats.org/officeDocument/2006/relationships/hyperlink" Target="https://www.geonames.org/774558/" TargetMode="External"/><Relationship Id="rId843" Type="http://schemas.openxmlformats.org/officeDocument/2006/relationships/hyperlink" Target="https://www.geonames.org/711416/" TargetMode="External"/><Relationship Id="rId1126" Type="http://schemas.openxmlformats.org/officeDocument/2006/relationships/hyperlink" Target="https://www.geonames.org/3061307/" TargetMode="External"/><Relationship Id="rId275" Type="http://schemas.openxmlformats.org/officeDocument/2006/relationships/hyperlink" Target="https://www.geonames.org/702550+I12:J13" TargetMode="External"/><Relationship Id="rId482" Type="http://schemas.openxmlformats.org/officeDocument/2006/relationships/hyperlink" Target="https://www.geonames.org/711887/" TargetMode="External"/><Relationship Id="rId703" Type="http://schemas.openxmlformats.org/officeDocument/2006/relationships/hyperlink" Target="https://www.geonames.org/703716/" TargetMode="External"/><Relationship Id="rId910" Type="http://schemas.openxmlformats.org/officeDocument/2006/relationships/hyperlink" Target="https://www.geonames.org/755372/" TargetMode="External"/><Relationship Id="rId1333" Type="http://schemas.openxmlformats.org/officeDocument/2006/relationships/hyperlink" Target="https://www.geonames.org/760215/" TargetMode="External"/><Relationship Id="rId135" Type="http://schemas.openxmlformats.org/officeDocument/2006/relationships/hyperlink" Target="https://www.geonames.org/2775742/" TargetMode="External"/><Relationship Id="rId342" Type="http://schemas.openxmlformats.org/officeDocument/2006/relationships/hyperlink" Target="https://www.geonames.org/694864/" TargetMode="External"/><Relationship Id="rId787" Type="http://schemas.openxmlformats.org/officeDocument/2006/relationships/hyperlink" Target="https://www.geonames.org/761584/" TargetMode="External"/><Relationship Id="rId994" Type="http://schemas.openxmlformats.org/officeDocument/2006/relationships/hyperlink" Target="https://www.geonames.org/763219/" TargetMode="External"/><Relationship Id="rId1400" Type="http://schemas.openxmlformats.org/officeDocument/2006/relationships/hyperlink" Target="https://www.geonames.org/3065067/" TargetMode="External"/><Relationship Id="rId202" Type="http://schemas.openxmlformats.org/officeDocument/2006/relationships/hyperlink" Target="https://www.geonames.org/770772/" TargetMode="External"/><Relationship Id="rId647" Type="http://schemas.openxmlformats.org/officeDocument/2006/relationships/hyperlink" Target="https://www.geonames.org/770966/" TargetMode="External"/><Relationship Id="rId854" Type="http://schemas.openxmlformats.org/officeDocument/2006/relationships/hyperlink" Target="https://www.geonames.org/3078910/" TargetMode="External"/><Relationship Id="rId1277" Type="http://schemas.openxmlformats.org/officeDocument/2006/relationships/hyperlink" Target="https://www.geonames.org/757897/" TargetMode="External"/><Relationship Id="rId286" Type="http://schemas.openxmlformats.org/officeDocument/2006/relationships/hyperlink" Target="https://www.geonames.org/760769/" TargetMode="External"/><Relationship Id="rId493" Type="http://schemas.openxmlformats.org/officeDocument/2006/relationships/hyperlink" Target="https://www.geonames.org/3065216/" TargetMode="External"/><Relationship Id="rId507" Type="http://schemas.openxmlformats.org/officeDocument/2006/relationships/hyperlink" Target="https://www.geonames.org/705392/" TargetMode="External"/><Relationship Id="rId714" Type="http://schemas.openxmlformats.org/officeDocument/2006/relationships/hyperlink" Target="https://www.geonames.org/763545/" TargetMode="External"/><Relationship Id="rId921" Type="http://schemas.openxmlformats.org/officeDocument/2006/relationships/hyperlink" Target="https://www.geonames.org/772086/" TargetMode="External"/><Relationship Id="rId1137" Type="http://schemas.openxmlformats.org/officeDocument/2006/relationships/hyperlink" Target="https://www.geonames.org/3080291/" TargetMode="External"/><Relationship Id="rId1344" Type="http://schemas.openxmlformats.org/officeDocument/2006/relationships/hyperlink" Target="https://www.geonames.org/697748/" TargetMode="External"/><Relationship Id="rId50" Type="http://schemas.openxmlformats.org/officeDocument/2006/relationships/hyperlink" Target="https://www.geonames.org/3061360/" TargetMode="External"/><Relationship Id="rId146" Type="http://schemas.openxmlformats.org/officeDocument/2006/relationships/hyperlink" Target="https://www.geonames.org/3067696/" TargetMode="External"/><Relationship Id="rId353" Type="http://schemas.openxmlformats.org/officeDocument/2006/relationships/hyperlink" Target="https://www.geonames.org/3070548/" TargetMode="External"/><Relationship Id="rId560" Type="http://schemas.openxmlformats.org/officeDocument/2006/relationships/hyperlink" Target="https://www.geonames.org/753866/" TargetMode="External"/><Relationship Id="rId798" Type="http://schemas.openxmlformats.org/officeDocument/2006/relationships/hyperlink" Target="https://www.geonames.org/3067696/" TargetMode="External"/><Relationship Id="rId1190" Type="http://schemas.openxmlformats.org/officeDocument/2006/relationships/hyperlink" Target="https://www.geonames.org/763534/" TargetMode="External"/><Relationship Id="rId1204" Type="http://schemas.openxmlformats.org/officeDocument/2006/relationships/hyperlink" Target="https://www.geonames.org/695781/" TargetMode="External"/><Relationship Id="rId1411" Type="http://schemas.openxmlformats.org/officeDocument/2006/relationships/hyperlink" Target="https://www.geonames.org/765876/" TargetMode="External"/><Relationship Id="rId213" Type="http://schemas.openxmlformats.org/officeDocument/2006/relationships/hyperlink" Target="https://www.geonames.org/3078838/" TargetMode="External"/><Relationship Id="rId420" Type="http://schemas.openxmlformats.org/officeDocument/2006/relationships/hyperlink" Target="https://www.geonames.org/753394/" TargetMode="External"/><Relationship Id="rId658" Type="http://schemas.openxmlformats.org/officeDocument/2006/relationships/hyperlink" Target="https://www.geonames.org/764189/" TargetMode="External"/><Relationship Id="rId865" Type="http://schemas.openxmlformats.org/officeDocument/2006/relationships/hyperlink" Target="https://www.geonames.org/767814/" TargetMode="External"/><Relationship Id="rId1050" Type="http://schemas.openxmlformats.org/officeDocument/2006/relationships/hyperlink" Target="https://www.geonames.org/3063196/" TargetMode="External"/><Relationship Id="rId1288" Type="http://schemas.openxmlformats.org/officeDocument/2006/relationships/hyperlink" Target="https://www.geonames.org/697692/" TargetMode="External"/><Relationship Id="rId297" Type="http://schemas.openxmlformats.org/officeDocument/2006/relationships/hyperlink" Target="https://www.geonames.org/770380/" TargetMode="External"/><Relationship Id="rId518" Type="http://schemas.openxmlformats.org/officeDocument/2006/relationships/hyperlink" Target="https://www.google.at/maps/place/50%C2%B011'11.0%22N+13%C2%B006'51.5%22E/@50.1816427,13.1023613,2468m/data=!3m1!1e3!4m5!3m4!1s0x0:0x0!8m2!3d50.1864!4d13.1143" TargetMode="External"/><Relationship Id="rId725" Type="http://schemas.openxmlformats.org/officeDocument/2006/relationships/hyperlink" Target="https://www.geonames.org/705265/" TargetMode="External"/><Relationship Id="rId932" Type="http://schemas.openxmlformats.org/officeDocument/2006/relationships/hyperlink" Target="https://www.geonames.org/3064454/" TargetMode="External"/><Relationship Id="rId1148" Type="http://schemas.openxmlformats.org/officeDocument/2006/relationships/hyperlink" Target="https://www.geonames.org/3064989/" TargetMode="External"/><Relationship Id="rId1355" Type="http://schemas.openxmlformats.org/officeDocument/2006/relationships/hyperlink" Target="https://www.geonames.org/705392/" TargetMode="External"/><Relationship Id="rId157" Type="http://schemas.openxmlformats.org/officeDocument/2006/relationships/hyperlink" Target="https://www.geonames.org/720059/" TargetMode="External"/><Relationship Id="rId364" Type="http://schemas.openxmlformats.org/officeDocument/2006/relationships/hyperlink" Target="https://www.geonames.org/712374/" TargetMode="External"/><Relationship Id="rId1008" Type="http://schemas.openxmlformats.org/officeDocument/2006/relationships/hyperlink" Target="https://www.geonames.org/756046/" TargetMode="External"/><Relationship Id="rId1215" Type="http://schemas.openxmlformats.org/officeDocument/2006/relationships/hyperlink" Target="https://www.geonames.org/700321/" TargetMode="External"/><Relationship Id="rId1422" Type="http://schemas.openxmlformats.org/officeDocument/2006/relationships/hyperlink" Target="https://www.geonames.org/765876/" TargetMode="External"/><Relationship Id="rId61" Type="http://schemas.openxmlformats.org/officeDocument/2006/relationships/hyperlink" Target="https://www.geonames.org/3071977/" TargetMode="External"/><Relationship Id="rId571" Type="http://schemas.openxmlformats.org/officeDocument/2006/relationships/hyperlink" Target="https://www.geonames.org/2951825/" TargetMode="External"/><Relationship Id="rId669" Type="http://schemas.openxmlformats.org/officeDocument/2006/relationships/hyperlink" Target="https://www.geonames.org/3096401/" TargetMode="External"/><Relationship Id="rId876" Type="http://schemas.openxmlformats.org/officeDocument/2006/relationships/hyperlink" Target="https://www.geonames.org/3078910/" TargetMode="External"/><Relationship Id="rId1299" Type="http://schemas.openxmlformats.org/officeDocument/2006/relationships/hyperlink" Target="https://www.geonames.org/3063196/" TargetMode="External"/><Relationship Id="rId19" Type="http://schemas.openxmlformats.org/officeDocument/2006/relationships/hyperlink" Target="https://www.geonames.org/686895/" TargetMode="External"/><Relationship Id="rId224" Type="http://schemas.openxmlformats.org/officeDocument/2006/relationships/hyperlink" Target="https://www.geonames.org/763534/" TargetMode="External"/><Relationship Id="rId431" Type="http://schemas.openxmlformats.org/officeDocument/2006/relationships/hyperlink" Target="https://www.geonames.org/693376/" TargetMode="External"/><Relationship Id="rId529" Type="http://schemas.openxmlformats.org/officeDocument/2006/relationships/hyperlink" Target="https://www.geonames.org/3063762/" TargetMode="External"/><Relationship Id="rId736" Type="http://schemas.openxmlformats.org/officeDocument/2006/relationships/hyperlink" Target="https://www.geonames.org/3099434/" TargetMode="External"/><Relationship Id="rId1061" Type="http://schemas.openxmlformats.org/officeDocument/2006/relationships/hyperlink" Target="https://www.geonames.org/3067421/" TargetMode="External"/><Relationship Id="rId1159" Type="http://schemas.openxmlformats.org/officeDocument/2006/relationships/hyperlink" Target="https://www.geonames.org/763121/" TargetMode="External"/><Relationship Id="rId1366" Type="http://schemas.openxmlformats.org/officeDocument/2006/relationships/hyperlink" Target="https://www.geonames.org/3068934/" TargetMode="External"/><Relationship Id="rId168" Type="http://schemas.openxmlformats.org/officeDocument/2006/relationships/hyperlink" Target="https://www.geonames.org/723526/" TargetMode="External"/><Relationship Id="rId943" Type="http://schemas.openxmlformats.org/officeDocument/2006/relationships/hyperlink" Target="https://www.geonames.org/704525/" TargetMode="External"/><Relationship Id="rId1019" Type="http://schemas.openxmlformats.org/officeDocument/2006/relationships/hyperlink" Target="https://www.geonames.org/3075606/" TargetMode="External"/><Relationship Id="rId72" Type="http://schemas.openxmlformats.org/officeDocument/2006/relationships/hyperlink" Target="https://www.geonames.org/3064288/" TargetMode="External"/><Relationship Id="rId375" Type="http://schemas.openxmlformats.org/officeDocument/2006/relationships/hyperlink" Target="https://www.geonames.org/711134/" TargetMode="External"/><Relationship Id="rId582" Type="http://schemas.openxmlformats.org/officeDocument/2006/relationships/hyperlink" Target="https://www.geonames.org/754090/" TargetMode="External"/><Relationship Id="rId803" Type="http://schemas.openxmlformats.org/officeDocument/2006/relationships/hyperlink" Target="https://www.geonames.org/712374/" TargetMode="External"/><Relationship Id="rId1226" Type="http://schemas.openxmlformats.org/officeDocument/2006/relationships/hyperlink" Target="https://www.geonames.org/759734/" TargetMode="External"/><Relationship Id="rId1433" Type="http://schemas.openxmlformats.org/officeDocument/2006/relationships/hyperlink" Target="https://www.geonames.org/761008/" TargetMode="External"/><Relationship Id="rId3" Type="http://schemas.openxmlformats.org/officeDocument/2006/relationships/hyperlink" Target="https://www.geonames.org/761168/" TargetMode="External"/><Relationship Id="rId235" Type="http://schemas.openxmlformats.org/officeDocument/2006/relationships/hyperlink" Target="https://www.geonames.org/759734/" TargetMode="External"/><Relationship Id="rId442" Type="http://schemas.openxmlformats.org/officeDocument/2006/relationships/hyperlink" Target="https://www.geonames.org/629634/" TargetMode="External"/><Relationship Id="rId887" Type="http://schemas.openxmlformats.org/officeDocument/2006/relationships/hyperlink" Target="https://www.geonames.org/712374/" TargetMode="External"/><Relationship Id="rId1072" Type="http://schemas.openxmlformats.org/officeDocument/2006/relationships/hyperlink" Target="https://www.geonames.org/3075606/" TargetMode="External"/><Relationship Id="rId302" Type="http://schemas.openxmlformats.org/officeDocument/2006/relationships/hyperlink" Target="https://www.geonames.org/697140/" TargetMode="External"/><Relationship Id="rId747" Type="http://schemas.openxmlformats.org/officeDocument/2006/relationships/hyperlink" Target="https://www.geonames.org/770772/" TargetMode="External"/><Relationship Id="rId954" Type="http://schemas.openxmlformats.org/officeDocument/2006/relationships/hyperlink" Target="https://www.geonames.org/3070129/" TargetMode="External"/><Relationship Id="rId1377" Type="http://schemas.openxmlformats.org/officeDocument/2006/relationships/hyperlink" Target="https://www.geonames.org/3071966/" TargetMode="External"/><Relationship Id="rId83" Type="http://schemas.openxmlformats.org/officeDocument/2006/relationships/hyperlink" Target="https://www.geonames.org/703514/" TargetMode="External"/><Relationship Id="rId179" Type="http://schemas.openxmlformats.org/officeDocument/2006/relationships/hyperlink" Target="https://www.geonames.org/763519/" TargetMode="External"/><Relationship Id="rId386" Type="http://schemas.openxmlformats.org/officeDocument/2006/relationships/hyperlink" Target="https://www.geonames.org/687093/" TargetMode="External"/><Relationship Id="rId593" Type="http://schemas.openxmlformats.org/officeDocument/2006/relationships/hyperlink" Target="https://www.geonames.org/702550+I12:J13" TargetMode="External"/><Relationship Id="rId607" Type="http://schemas.openxmlformats.org/officeDocument/2006/relationships/hyperlink" Target="https://www.geonames.org/690873/" TargetMode="External"/><Relationship Id="rId814" Type="http://schemas.openxmlformats.org/officeDocument/2006/relationships/hyperlink" Target="https://www.geonames.org/712374/" TargetMode="External"/><Relationship Id="rId1237" Type="http://schemas.openxmlformats.org/officeDocument/2006/relationships/hyperlink" Target="https://www.geonames.org/723628/" TargetMode="External"/><Relationship Id="rId1444" Type="http://schemas.openxmlformats.org/officeDocument/2006/relationships/hyperlink" Target="https://www.geonames.org/711850/" TargetMode="External"/><Relationship Id="rId246" Type="http://schemas.openxmlformats.org/officeDocument/2006/relationships/hyperlink" Target="https://www.geonames.org/772857/" TargetMode="External"/><Relationship Id="rId453" Type="http://schemas.openxmlformats.org/officeDocument/2006/relationships/hyperlink" Target="https://www.geonames.org/759412/" TargetMode="External"/><Relationship Id="rId660" Type="http://schemas.openxmlformats.org/officeDocument/2006/relationships/hyperlink" Target="https://www.geonames.org/756438/" TargetMode="External"/><Relationship Id="rId898" Type="http://schemas.openxmlformats.org/officeDocument/2006/relationships/hyperlink" Target="https://www.geonames.org/3077024/" TargetMode="External"/><Relationship Id="rId1083" Type="http://schemas.openxmlformats.org/officeDocument/2006/relationships/hyperlink" Target="https://www.geonames.org/763534/" TargetMode="External"/><Relationship Id="rId1290" Type="http://schemas.openxmlformats.org/officeDocument/2006/relationships/hyperlink" Target="https://www.geonames.org/3079637/" TargetMode="External"/><Relationship Id="rId1304" Type="http://schemas.openxmlformats.org/officeDocument/2006/relationships/hyperlink" Target="https://www.geonames.org/3064104/" TargetMode="External"/><Relationship Id="rId106" Type="http://schemas.openxmlformats.org/officeDocument/2006/relationships/hyperlink" Target="https://www.geonames.org/783814/" TargetMode="External"/><Relationship Id="rId313" Type="http://schemas.openxmlformats.org/officeDocument/2006/relationships/hyperlink" Target="https://www.geonames.org/702550+I12:J13" TargetMode="External"/><Relationship Id="rId758" Type="http://schemas.openxmlformats.org/officeDocument/2006/relationships/hyperlink" Target="https://www.geonames.org/763121/" TargetMode="External"/><Relationship Id="rId965" Type="http://schemas.openxmlformats.org/officeDocument/2006/relationships/hyperlink" Target="https://www.geonames.org/3074768/" TargetMode="External"/><Relationship Id="rId1150" Type="http://schemas.openxmlformats.org/officeDocument/2006/relationships/hyperlink" Target="https://www.geonames.org/759301/" TargetMode="External"/><Relationship Id="rId1388" Type="http://schemas.openxmlformats.org/officeDocument/2006/relationships/hyperlink" Target="https://www.geonames.org/771394/" TargetMode="External"/><Relationship Id="rId10" Type="http://schemas.openxmlformats.org/officeDocument/2006/relationships/hyperlink" Target="https://www.geonames.org/770001/" TargetMode="External"/><Relationship Id="rId94" Type="http://schemas.openxmlformats.org/officeDocument/2006/relationships/hyperlink" Target="https://www.geonames.org/3073371/" TargetMode="External"/><Relationship Id="rId397" Type="http://schemas.openxmlformats.org/officeDocument/2006/relationships/hyperlink" Target="https://www.geonames.org/11696055/" TargetMode="External"/><Relationship Id="rId520" Type="http://schemas.openxmlformats.org/officeDocument/2006/relationships/hyperlink" Target="https://www.geonames.org/3077036/" TargetMode="External"/><Relationship Id="rId618" Type="http://schemas.openxmlformats.org/officeDocument/2006/relationships/hyperlink" Target="https://www.geonames.org/703716/" TargetMode="External"/><Relationship Id="rId825" Type="http://schemas.openxmlformats.org/officeDocument/2006/relationships/hyperlink" Target="https://www.geonames.org/711134/" TargetMode="External"/><Relationship Id="rId1248" Type="http://schemas.openxmlformats.org/officeDocument/2006/relationships/hyperlink" Target="https://www.geonames.org/723386/" TargetMode="External"/><Relationship Id="rId1455" Type="http://schemas.openxmlformats.org/officeDocument/2006/relationships/hyperlink" Target="https://www.geonames.org/776252/" TargetMode="External"/><Relationship Id="rId257" Type="http://schemas.openxmlformats.org/officeDocument/2006/relationships/hyperlink" Target="https://www.geonames.org/705392/" TargetMode="External"/><Relationship Id="rId464" Type="http://schemas.openxmlformats.org/officeDocument/2006/relationships/hyperlink" Target="https://www.geonames.org/765736/" TargetMode="External"/><Relationship Id="rId1010" Type="http://schemas.openxmlformats.org/officeDocument/2006/relationships/hyperlink" Target="https://www.geonames.org/756046/" TargetMode="External"/><Relationship Id="rId1094" Type="http://schemas.openxmlformats.org/officeDocument/2006/relationships/hyperlink" Target="https://www.geonames.org/774700/" TargetMode="External"/><Relationship Id="rId1108" Type="http://schemas.openxmlformats.org/officeDocument/2006/relationships/hyperlink" Target="https://www.geonames.org/763534/" TargetMode="External"/><Relationship Id="rId1315" Type="http://schemas.openxmlformats.org/officeDocument/2006/relationships/hyperlink" Target="https://www.geonames.org/753140/" TargetMode="External"/><Relationship Id="rId117" Type="http://schemas.openxmlformats.org/officeDocument/2006/relationships/hyperlink" Target="https://www.geonames.org/757029/" TargetMode="External"/><Relationship Id="rId671" Type="http://schemas.openxmlformats.org/officeDocument/2006/relationships/hyperlink" Target="https://www.geonames.org/763545/" TargetMode="External"/><Relationship Id="rId769" Type="http://schemas.openxmlformats.org/officeDocument/2006/relationships/hyperlink" Target="https://www.geonames.org/3074614/" TargetMode="External"/><Relationship Id="rId976" Type="http://schemas.openxmlformats.org/officeDocument/2006/relationships/hyperlink" Target="https://www.geonames.org/776458/" TargetMode="External"/><Relationship Id="rId1399" Type="http://schemas.openxmlformats.org/officeDocument/2006/relationships/hyperlink" Target="https://www.geonames.org/3067696/" TargetMode="External"/><Relationship Id="rId324" Type="http://schemas.openxmlformats.org/officeDocument/2006/relationships/hyperlink" Target="https://www.geonames.org/709909/" TargetMode="External"/><Relationship Id="rId531" Type="http://schemas.openxmlformats.org/officeDocument/2006/relationships/hyperlink" Target="https://www.geonames.org/773808/" TargetMode="External"/><Relationship Id="rId629" Type="http://schemas.openxmlformats.org/officeDocument/2006/relationships/hyperlink" Target="https://www.geonames.org/766137/" TargetMode="External"/><Relationship Id="rId1161" Type="http://schemas.openxmlformats.org/officeDocument/2006/relationships/hyperlink" Target="https://www.geonames.org/774558/" TargetMode="External"/><Relationship Id="rId1259" Type="http://schemas.openxmlformats.org/officeDocument/2006/relationships/hyperlink" Target="https://www.geonames.org/691878/" TargetMode="External"/><Relationship Id="rId836" Type="http://schemas.openxmlformats.org/officeDocument/2006/relationships/hyperlink" Target="https://www.geonames.org/3068162/" TargetMode="External"/><Relationship Id="rId1021" Type="http://schemas.openxmlformats.org/officeDocument/2006/relationships/hyperlink" Target="https://www.geonames.org/3067421/" TargetMode="External"/><Relationship Id="rId1119" Type="http://schemas.openxmlformats.org/officeDocument/2006/relationships/hyperlink" Target="https://www.geonames.org/3071791" TargetMode="External"/><Relationship Id="rId903" Type="http://schemas.openxmlformats.org/officeDocument/2006/relationships/hyperlink" Target="https://www.geonames.org/3072407/" TargetMode="External"/><Relationship Id="rId1326" Type="http://schemas.openxmlformats.org/officeDocument/2006/relationships/hyperlink" Target="https://www.geonames.org/707554/" TargetMode="External"/><Relationship Id="rId32" Type="http://schemas.openxmlformats.org/officeDocument/2006/relationships/hyperlink" Target="https://www.geonames.org/3173162/" TargetMode="External"/><Relationship Id="rId181" Type="http://schemas.openxmlformats.org/officeDocument/2006/relationships/hyperlink" Target="https://www.geonames.org/723195/" TargetMode="External"/><Relationship Id="rId279" Type="http://schemas.openxmlformats.org/officeDocument/2006/relationships/hyperlink" Target="https://www.geonames.org/3181633/" TargetMode="External"/><Relationship Id="rId486" Type="http://schemas.openxmlformats.org/officeDocument/2006/relationships/hyperlink" Target="https://www.geonames.org/770380/" TargetMode="External"/><Relationship Id="rId693" Type="http://schemas.openxmlformats.org/officeDocument/2006/relationships/hyperlink" Target="https://www.geonames.org/772067/" TargetMode="External"/><Relationship Id="rId139" Type="http://schemas.openxmlformats.org/officeDocument/2006/relationships/hyperlink" Target="https://www.geonames.org/711416/" TargetMode="External"/><Relationship Id="rId346" Type="http://schemas.openxmlformats.org/officeDocument/2006/relationships/hyperlink" Target="https://www.geonames.org/755439/" TargetMode="External"/><Relationship Id="rId553" Type="http://schemas.openxmlformats.org/officeDocument/2006/relationships/hyperlink" Target="https://www.geonames.org/3074723/" TargetMode="External"/><Relationship Id="rId760" Type="http://schemas.openxmlformats.org/officeDocument/2006/relationships/hyperlink" Target="https://www.geonames.org/762774/" TargetMode="External"/><Relationship Id="rId998" Type="http://schemas.openxmlformats.org/officeDocument/2006/relationships/hyperlink" Target="https://www.geonames.org/3064845/" TargetMode="External"/><Relationship Id="rId1183" Type="http://schemas.openxmlformats.org/officeDocument/2006/relationships/hyperlink" Target="https://www.geonames.org/774505/" TargetMode="External"/><Relationship Id="rId1390" Type="http://schemas.openxmlformats.org/officeDocument/2006/relationships/hyperlink" Target="https://www.geonames.org/756377/" TargetMode="External"/><Relationship Id="rId206" Type="http://schemas.openxmlformats.org/officeDocument/2006/relationships/hyperlink" Target="https://www.geonames.org/700696/" TargetMode="External"/><Relationship Id="rId413" Type="http://schemas.openxmlformats.org/officeDocument/2006/relationships/hyperlink" Target="https://www.geonames.org/776175/" TargetMode="External"/><Relationship Id="rId858" Type="http://schemas.openxmlformats.org/officeDocument/2006/relationships/hyperlink" Target="https://www.geonames.org/760987/" TargetMode="External"/><Relationship Id="rId1043" Type="http://schemas.openxmlformats.org/officeDocument/2006/relationships/hyperlink" Target="https://www.geonames.org/768338/" TargetMode="External"/><Relationship Id="rId620" Type="http://schemas.openxmlformats.org/officeDocument/2006/relationships/hyperlink" Target="https://www.geonames.org/704540/" TargetMode="External"/><Relationship Id="rId718" Type="http://schemas.openxmlformats.org/officeDocument/2006/relationships/hyperlink" Target="https://www.geonames.org/693301/" TargetMode="External"/><Relationship Id="rId925" Type="http://schemas.openxmlformats.org/officeDocument/2006/relationships/hyperlink" Target="https://www.geonames.org/7534576/" TargetMode="External"/><Relationship Id="rId1250" Type="http://schemas.openxmlformats.org/officeDocument/2006/relationships/hyperlink" Target="https://www.geonames.org/694654/" TargetMode="External"/><Relationship Id="rId1348" Type="http://schemas.openxmlformats.org/officeDocument/2006/relationships/hyperlink" Target="https://www.geonames.org/770380/" TargetMode="External"/><Relationship Id="rId1110" Type="http://schemas.openxmlformats.org/officeDocument/2006/relationships/hyperlink" Target="https://www.geonames.org/3067421/" TargetMode="External"/><Relationship Id="rId1208" Type="http://schemas.openxmlformats.org/officeDocument/2006/relationships/hyperlink" Target="https://www.geonames.org/695781/" TargetMode="External"/><Relationship Id="rId1415" Type="http://schemas.openxmlformats.org/officeDocument/2006/relationships/hyperlink" Target="https://www.geonames.org/756577/" TargetMode="External"/><Relationship Id="rId54" Type="http://schemas.openxmlformats.org/officeDocument/2006/relationships/hyperlink" Target="https://www.geonames.org/3072699/" TargetMode="External"/><Relationship Id="rId270" Type="http://schemas.openxmlformats.org/officeDocument/2006/relationships/hyperlink" Target="https://www.geonames.org/694278/" TargetMode="External"/><Relationship Id="rId130" Type="http://schemas.openxmlformats.org/officeDocument/2006/relationships/hyperlink" Target="https://www.geonames.org/756046/" TargetMode="External"/><Relationship Id="rId368" Type="http://schemas.openxmlformats.org/officeDocument/2006/relationships/hyperlink" Target="https://www.geonames.org/697692/" TargetMode="External"/><Relationship Id="rId575" Type="http://schemas.openxmlformats.org/officeDocument/2006/relationships/hyperlink" Target="https://www.geonames.org/765876/" TargetMode="External"/><Relationship Id="rId782" Type="http://schemas.openxmlformats.org/officeDocument/2006/relationships/hyperlink" Target="https://www.geonames.org/2761369/" TargetMode="External"/><Relationship Id="rId228" Type="http://schemas.openxmlformats.org/officeDocument/2006/relationships/hyperlink" Target="https://www.geonames.org/770425/" TargetMode="External"/><Relationship Id="rId435" Type="http://schemas.openxmlformats.org/officeDocument/2006/relationships/hyperlink" Target="https://www.geonames.org/774730/" TargetMode="External"/><Relationship Id="rId642" Type="http://schemas.openxmlformats.org/officeDocument/2006/relationships/hyperlink" Target="https://www.geonames.org/770966/" TargetMode="External"/><Relationship Id="rId1065" Type="http://schemas.openxmlformats.org/officeDocument/2006/relationships/hyperlink" Target="https://www.geonames.org/3050212/" TargetMode="External"/><Relationship Id="rId1272" Type="http://schemas.openxmlformats.org/officeDocument/2006/relationships/hyperlink" Target="https://www.geonames.org/3096401/" TargetMode="External"/><Relationship Id="rId502" Type="http://schemas.openxmlformats.org/officeDocument/2006/relationships/hyperlink" Target="https://www.geonames.org/702550+I12:J13" TargetMode="External"/><Relationship Id="rId947" Type="http://schemas.openxmlformats.org/officeDocument/2006/relationships/hyperlink" Target="https://www.geonames.org/700455/" TargetMode="External"/><Relationship Id="rId1132" Type="http://schemas.openxmlformats.org/officeDocument/2006/relationships/hyperlink" Target="https://www.geonames.org/753506/" TargetMode="External"/><Relationship Id="rId76" Type="http://schemas.openxmlformats.org/officeDocument/2006/relationships/hyperlink" Target="https://www.geonames.org/3064104/" TargetMode="External"/><Relationship Id="rId807" Type="http://schemas.openxmlformats.org/officeDocument/2006/relationships/hyperlink" Target="https://www.geonames.org/711134/" TargetMode="External"/><Relationship Id="rId1437" Type="http://schemas.openxmlformats.org/officeDocument/2006/relationships/hyperlink" Target="https://www.geonames.org/708380/" TargetMode="External"/><Relationship Id="rId292" Type="http://schemas.openxmlformats.org/officeDocument/2006/relationships/hyperlink" Target="https://www.geonames.org/757026/" TargetMode="External"/><Relationship Id="rId597" Type="http://schemas.openxmlformats.org/officeDocument/2006/relationships/hyperlink" Target="https://www.geonames.org/699076/" TargetMode="External"/><Relationship Id="rId152" Type="http://schemas.openxmlformats.org/officeDocument/2006/relationships/hyperlink" Target="https://www.geonames.org/3067696/" TargetMode="External"/><Relationship Id="rId457" Type="http://schemas.openxmlformats.org/officeDocument/2006/relationships/hyperlink" Target="https://www.geonames.org/765876/" TargetMode="External"/><Relationship Id="rId1087" Type="http://schemas.openxmlformats.org/officeDocument/2006/relationships/hyperlink" Target="https://www.geonames.org/3070640/" TargetMode="External"/><Relationship Id="rId1294" Type="http://schemas.openxmlformats.org/officeDocument/2006/relationships/hyperlink" Target="https://www.geonames.org/3057691/" TargetMode="External"/><Relationship Id="rId664" Type="http://schemas.openxmlformats.org/officeDocument/2006/relationships/hyperlink" Target="https://www.geonames.org/703716/" TargetMode="External"/><Relationship Id="rId871" Type="http://schemas.openxmlformats.org/officeDocument/2006/relationships/hyperlink" Target="https://www.geonames.org/3068162/" TargetMode="External"/><Relationship Id="rId969" Type="http://schemas.openxmlformats.org/officeDocument/2006/relationships/hyperlink" Target="https://www.geonames.org/771394/" TargetMode="External"/><Relationship Id="rId317" Type="http://schemas.openxmlformats.org/officeDocument/2006/relationships/hyperlink" Target="https://www.geonames.org/763121/" TargetMode="External"/><Relationship Id="rId524" Type="http://schemas.openxmlformats.org/officeDocument/2006/relationships/hyperlink" Target="https://www.geonames.org/8426063/" TargetMode="External"/><Relationship Id="rId731" Type="http://schemas.openxmlformats.org/officeDocument/2006/relationships/hyperlink" Target="https://www.geonames.org/758633/" TargetMode="External"/><Relationship Id="rId1154" Type="http://schemas.openxmlformats.org/officeDocument/2006/relationships/hyperlink" Target="https://www.geonames.org/698142/" TargetMode="External"/><Relationship Id="rId1361" Type="http://schemas.openxmlformats.org/officeDocument/2006/relationships/hyperlink" Target="../../../vladimirberkovich/Library/Containers/com.microsoft.Word/Data/Library/Preferences/AutoRecovery/%255BBeurlaubt%20in%20Galizien%255D," TargetMode="External"/><Relationship Id="rId1459" Type="http://schemas.openxmlformats.org/officeDocument/2006/relationships/hyperlink" Target="https://www.geonames.org/774558/" TargetMode="External"/><Relationship Id="rId98" Type="http://schemas.openxmlformats.org/officeDocument/2006/relationships/hyperlink" Target="https://www.geonames.org/764233/" TargetMode="External"/><Relationship Id="rId829" Type="http://schemas.openxmlformats.org/officeDocument/2006/relationships/hyperlink" Target="https://www.geonames.org/712374/" TargetMode="External"/><Relationship Id="rId1014" Type="http://schemas.openxmlformats.org/officeDocument/2006/relationships/hyperlink" Target="https://www.geonames.org/771733/" TargetMode="External"/><Relationship Id="rId1221" Type="http://schemas.openxmlformats.org/officeDocument/2006/relationships/hyperlink" Target="https://www.geonames.org/3077751/" TargetMode="External"/><Relationship Id="rId1319" Type="http://schemas.openxmlformats.org/officeDocument/2006/relationships/hyperlink" Target="https://www.geonames.org/2761369/" TargetMode="External"/><Relationship Id="rId25" Type="http://schemas.openxmlformats.org/officeDocument/2006/relationships/hyperlink" Target="https://www.geonames.org/2773184/" TargetMode="External"/><Relationship Id="rId174" Type="http://schemas.openxmlformats.org/officeDocument/2006/relationships/hyperlink" Target="https://www.geonames.org/724144/" TargetMode="External"/><Relationship Id="rId381" Type="http://schemas.openxmlformats.org/officeDocument/2006/relationships/hyperlink" Target="https://www.geonames.org/693376/" TargetMode="External"/><Relationship Id="rId241" Type="http://schemas.openxmlformats.org/officeDocument/2006/relationships/hyperlink" Target="https://www.geonames.org/708082/" TargetMode="External"/><Relationship Id="rId479" Type="http://schemas.openxmlformats.org/officeDocument/2006/relationships/hyperlink" Target="https://www.geonames.org/758177/" TargetMode="External"/><Relationship Id="rId686" Type="http://schemas.openxmlformats.org/officeDocument/2006/relationships/hyperlink" Target="https://www.geonames.org/687093/" TargetMode="External"/><Relationship Id="rId893" Type="http://schemas.openxmlformats.org/officeDocument/2006/relationships/hyperlink" Target="https://www.geonames.org/773380/" TargetMode="External"/><Relationship Id="rId339" Type="http://schemas.openxmlformats.org/officeDocument/2006/relationships/hyperlink" Target="https://www.geonames.org/759734/" TargetMode="External"/><Relationship Id="rId546" Type="http://schemas.openxmlformats.org/officeDocument/2006/relationships/hyperlink" Target="https://www.geonames.org/768024/" TargetMode="External"/><Relationship Id="rId753" Type="http://schemas.openxmlformats.org/officeDocument/2006/relationships/hyperlink" Target="https://www.geonames.org/769059/" TargetMode="External"/><Relationship Id="rId1176" Type="http://schemas.openxmlformats.org/officeDocument/2006/relationships/hyperlink" Target="https://www.geonames.org/3067870/" TargetMode="External"/><Relationship Id="rId1383" Type="http://schemas.openxmlformats.org/officeDocument/2006/relationships/hyperlink" Target="https://www.geonames.org/3068244/" TargetMode="External"/><Relationship Id="rId101" Type="http://schemas.openxmlformats.org/officeDocument/2006/relationships/hyperlink" Target="https://www.geonames.org/691016/" TargetMode="External"/><Relationship Id="rId406" Type="http://schemas.openxmlformats.org/officeDocument/2006/relationships/hyperlink" Target="https://www.geonames.org/754455/" TargetMode="External"/><Relationship Id="rId960" Type="http://schemas.openxmlformats.org/officeDocument/2006/relationships/hyperlink" Target="https://www.geonames.org/770387/" TargetMode="External"/><Relationship Id="rId1036" Type="http://schemas.openxmlformats.org/officeDocument/2006/relationships/hyperlink" Target="https://www.geonames.org/757026/" TargetMode="External"/><Relationship Id="rId1243" Type="http://schemas.openxmlformats.org/officeDocument/2006/relationships/hyperlink" Target="https://www.geonames.org/709503/" TargetMode="External"/><Relationship Id="rId613" Type="http://schemas.openxmlformats.org/officeDocument/2006/relationships/hyperlink" Target="https://www.geonames.org/693301/" TargetMode="External"/><Relationship Id="rId820" Type="http://schemas.openxmlformats.org/officeDocument/2006/relationships/hyperlink" Target="https://www.google.com/maps?ll=49.583618,17.23172&amp;z=15&amp;t=h&amp;hl=en-US&amp;gl=US&amp;mapclient=apiv3" TargetMode="External"/><Relationship Id="rId918" Type="http://schemas.openxmlformats.org/officeDocument/2006/relationships/hyperlink" Target="https://www.geonames.org/758633/" TargetMode="External"/><Relationship Id="rId1450" Type="http://schemas.openxmlformats.org/officeDocument/2006/relationships/hyperlink" Target="https://www.geonames.org/705265/" TargetMode="External"/><Relationship Id="rId1103" Type="http://schemas.openxmlformats.org/officeDocument/2006/relationships/hyperlink" Target="https://www.geonames.org/3072407/" TargetMode="External"/><Relationship Id="rId1310" Type="http://schemas.openxmlformats.org/officeDocument/2006/relationships/hyperlink" Target="https://www.geonames.org/708999/" TargetMode="External"/><Relationship Id="rId1408" Type="http://schemas.openxmlformats.org/officeDocument/2006/relationships/hyperlink" Target="https://www.geonames.org/3078838/" TargetMode="External"/><Relationship Id="rId47" Type="http://schemas.openxmlformats.org/officeDocument/2006/relationships/hyperlink" Target="https://www.geonames.org/3057140/" TargetMode="External"/><Relationship Id="rId196" Type="http://schemas.openxmlformats.org/officeDocument/2006/relationships/hyperlink" Target="https://www.geonames.org/766452/" TargetMode="External"/><Relationship Id="rId263" Type="http://schemas.openxmlformats.org/officeDocument/2006/relationships/hyperlink" Target="https://www.geonames.org/754090/" TargetMode="External"/><Relationship Id="rId470" Type="http://schemas.openxmlformats.org/officeDocument/2006/relationships/hyperlink" Target="https://www.geonames.org/3096401/" TargetMode="External"/><Relationship Id="rId123" Type="http://schemas.openxmlformats.org/officeDocument/2006/relationships/hyperlink" Target="https://www.geonames.org/711416/" TargetMode="External"/><Relationship Id="rId330" Type="http://schemas.openxmlformats.org/officeDocument/2006/relationships/hyperlink" Target="https://www.geonames.org/758252/" TargetMode="External"/><Relationship Id="rId568" Type="http://schemas.openxmlformats.org/officeDocument/2006/relationships/hyperlink" Target="https://www.geonames.org/692865/" TargetMode="External"/><Relationship Id="rId775" Type="http://schemas.openxmlformats.org/officeDocument/2006/relationships/hyperlink" Target="https://www.geonames.org/770966/" TargetMode="External"/><Relationship Id="rId982" Type="http://schemas.openxmlformats.org/officeDocument/2006/relationships/hyperlink" Target="https://www.geonames.org/775908/" TargetMode="External"/><Relationship Id="rId1198" Type="http://schemas.openxmlformats.org/officeDocument/2006/relationships/hyperlink" Target="https://www.geonames.org/687093/" TargetMode="External"/><Relationship Id="rId428" Type="http://schemas.openxmlformats.org/officeDocument/2006/relationships/hyperlink" Target="https://www.geonames.org/708380/" TargetMode="External"/><Relationship Id="rId635" Type="http://schemas.openxmlformats.org/officeDocument/2006/relationships/hyperlink" Target="https://www.geonames.org/771498/" TargetMode="External"/><Relationship Id="rId842" Type="http://schemas.openxmlformats.org/officeDocument/2006/relationships/hyperlink" Target="https://www.geonames.org/3063193/" TargetMode="External"/><Relationship Id="rId1058" Type="http://schemas.openxmlformats.org/officeDocument/2006/relationships/hyperlink" Target="https://www.geonames.org/3062949/" TargetMode="External"/><Relationship Id="rId1265" Type="http://schemas.openxmlformats.org/officeDocument/2006/relationships/hyperlink" Target="https://www.geonames.org/770986/horyniec-zdroj.html" TargetMode="External"/><Relationship Id="rId702" Type="http://schemas.openxmlformats.org/officeDocument/2006/relationships/hyperlink" Target="https://www.geonames.org/762753/" TargetMode="External"/><Relationship Id="rId1125" Type="http://schemas.openxmlformats.org/officeDocument/2006/relationships/hyperlink" Target="https://www.geonames.org/3076098/" TargetMode="External"/><Relationship Id="rId1332" Type="http://schemas.openxmlformats.org/officeDocument/2006/relationships/hyperlink" Target="https://www.geonames.org/709794/" TargetMode="External"/><Relationship Id="rId69" Type="http://schemas.openxmlformats.org/officeDocument/2006/relationships/hyperlink" Target="https://www.geonames.org/3058780/" TargetMode="External"/><Relationship Id="rId285" Type="http://schemas.openxmlformats.org/officeDocument/2006/relationships/hyperlink" Target="https://www.geonames.org/760849/" TargetMode="External"/><Relationship Id="rId492" Type="http://schemas.openxmlformats.org/officeDocument/2006/relationships/hyperlink" Target="https://www.geonames.org/3067978/" TargetMode="External"/><Relationship Id="rId797" Type="http://schemas.openxmlformats.org/officeDocument/2006/relationships/hyperlink" Target="https://www.geonames.org/3067421/" TargetMode="External"/><Relationship Id="rId145" Type="http://schemas.openxmlformats.org/officeDocument/2006/relationships/hyperlink" Target="https://www.geonames.org/3067696/" TargetMode="External"/><Relationship Id="rId352" Type="http://schemas.openxmlformats.org/officeDocument/2006/relationships/hyperlink" Target="https://www.geonames.org/712374/" TargetMode="External"/><Relationship Id="rId1287" Type="http://schemas.openxmlformats.org/officeDocument/2006/relationships/hyperlink" Target="https://www.geonames.org/697692/" TargetMode="External"/><Relationship Id="rId212" Type="http://schemas.openxmlformats.org/officeDocument/2006/relationships/hyperlink" Target="https://www.geonames.org/3077594/" TargetMode="External"/><Relationship Id="rId657" Type="http://schemas.openxmlformats.org/officeDocument/2006/relationships/hyperlink" Target="https://www.geonames.org/11287952/" TargetMode="External"/><Relationship Id="rId864" Type="http://schemas.openxmlformats.org/officeDocument/2006/relationships/hyperlink" Target="https://www.geonames.org/757029/" TargetMode="External"/><Relationship Id="rId517" Type="http://schemas.openxmlformats.org/officeDocument/2006/relationships/hyperlink" Target="https://www.geonames.org/3071392/" TargetMode="External"/><Relationship Id="rId724" Type="http://schemas.openxmlformats.org/officeDocument/2006/relationships/hyperlink" Target="https://www.geonames.org/760343/" TargetMode="External"/><Relationship Id="rId931" Type="http://schemas.openxmlformats.org/officeDocument/2006/relationships/hyperlink" Target="https://www.geonames.org/756663/" TargetMode="External"/><Relationship Id="rId1147" Type="http://schemas.openxmlformats.org/officeDocument/2006/relationships/hyperlink" Target="https://www.geonames.org/3064989/" TargetMode="External"/><Relationship Id="rId1354" Type="http://schemas.openxmlformats.org/officeDocument/2006/relationships/hyperlink" Target="https://www.geonames.org/772896/" TargetMode="External"/><Relationship Id="rId60" Type="http://schemas.openxmlformats.org/officeDocument/2006/relationships/hyperlink" Target="https://www.geonames.org/3067121/" TargetMode="External"/><Relationship Id="rId1007" Type="http://schemas.openxmlformats.org/officeDocument/2006/relationships/hyperlink" Target="https://www.geonames.org/756046/" TargetMode="External"/><Relationship Id="rId1214" Type="http://schemas.openxmlformats.org/officeDocument/2006/relationships/hyperlink" Target="https://www.geonames.org/702350/" TargetMode="External"/><Relationship Id="rId1421" Type="http://schemas.openxmlformats.org/officeDocument/2006/relationships/hyperlink" Target="https://www.geonames.org/765177/" TargetMode="External"/><Relationship Id="rId18" Type="http://schemas.openxmlformats.org/officeDocument/2006/relationships/hyperlink" Target="https://www.geonames.org/755474/" TargetMode="External"/><Relationship Id="rId167" Type="http://schemas.openxmlformats.org/officeDocument/2006/relationships/hyperlink" Target="https://www.geonames.org/723246/" TargetMode="External"/><Relationship Id="rId374" Type="http://schemas.openxmlformats.org/officeDocument/2006/relationships/hyperlink" Target="https://www.geonames.org/711134/" TargetMode="External"/><Relationship Id="rId581" Type="http://schemas.openxmlformats.org/officeDocument/2006/relationships/hyperlink" Target="https://www.geonames.org/754090/" TargetMode="External"/><Relationship Id="rId234" Type="http://schemas.openxmlformats.org/officeDocument/2006/relationships/hyperlink" Target="https://www.geonames.org/763121/" TargetMode="External"/><Relationship Id="rId679" Type="http://schemas.openxmlformats.org/officeDocument/2006/relationships/hyperlink" Target="https://www.geonames.org/3186886/" TargetMode="External"/><Relationship Id="rId886" Type="http://schemas.openxmlformats.org/officeDocument/2006/relationships/hyperlink" Target="https://www.geonames.org/700455/" TargetMode="External"/><Relationship Id="rId2" Type="http://schemas.openxmlformats.org/officeDocument/2006/relationships/hyperlink" Target="https://www.geonames.org/3089658/" TargetMode="External"/><Relationship Id="rId441" Type="http://schemas.openxmlformats.org/officeDocument/2006/relationships/hyperlink" Target="https://www.geonames.org/771069/" TargetMode="External"/><Relationship Id="rId539" Type="http://schemas.openxmlformats.org/officeDocument/2006/relationships/hyperlink" Target="https://www.geonames.org/687093/" TargetMode="External"/><Relationship Id="rId746" Type="http://schemas.openxmlformats.org/officeDocument/2006/relationships/hyperlink" Target="https://www.geonames.org/7532988/" TargetMode="External"/><Relationship Id="rId1071" Type="http://schemas.openxmlformats.org/officeDocument/2006/relationships/hyperlink" Target="https://www.geonames.org/756377/" TargetMode="External"/><Relationship Id="rId1169" Type="http://schemas.openxmlformats.org/officeDocument/2006/relationships/hyperlink" Target="https://www.geonames.org/753866/" TargetMode="External"/><Relationship Id="rId1376" Type="http://schemas.openxmlformats.org/officeDocument/2006/relationships/hyperlink" Target="https://www.geonames.org/3071966/" TargetMode="External"/><Relationship Id="rId301" Type="http://schemas.openxmlformats.org/officeDocument/2006/relationships/hyperlink" Target="https://www.geonames.org/697140/" TargetMode="External"/><Relationship Id="rId953" Type="http://schemas.openxmlformats.org/officeDocument/2006/relationships/hyperlink" Target="https://www.geonames.org/3070129/" TargetMode="External"/><Relationship Id="rId1029" Type="http://schemas.openxmlformats.org/officeDocument/2006/relationships/hyperlink" Target="https://www.geonames.org/754090/" TargetMode="External"/><Relationship Id="rId1236" Type="http://schemas.openxmlformats.org/officeDocument/2006/relationships/hyperlink" Target="https://www.geonames.org/716948/" TargetMode="External"/><Relationship Id="rId82" Type="http://schemas.openxmlformats.org/officeDocument/2006/relationships/hyperlink" Target="https://www.geonames.org/697140/" TargetMode="External"/><Relationship Id="rId606" Type="http://schemas.openxmlformats.org/officeDocument/2006/relationships/hyperlink" Target="https://www.geonames.org/695781/" TargetMode="External"/><Relationship Id="rId813" Type="http://schemas.openxmlformats.org/officeDocument/2006/relationships/hyperlink" Target="https://www.geonames.org/696966/" TargetMode="External"/><Relationship Id="rId1443" Type="http://schemas.openxmlformats.org/officeDocument/2006/relationships/hyperlink" Target="https://www.geonames.org/711850/" TargetMode="External"/><Relationship Id="rId1303" Type="http://schemas.openxmlformats.org/officeDocument/2006/relationships/hyperlink" Target="https://www.geonames.org/3075220/" TargetMode="External"/><Relationship Id="rId189" Type="http://schemas.openxmlformats.org/officeDocument/2006/relationships/hyperlink" Target="https://www.geonames.org/770380/" TargetMode="External"/><Relationship Id="rId396" Type="http://schemas.openxmlformats.org/officeDocument/2006/relationships/hyperlink" Target="https://www.geonames.org/754455/" TargetMode="External"/><Relationship Id="rId256" Type="http://schemas.openxmlformats.org/officeDocument/2006/relationships/hyperlink" Target="https://www.geonames.org/758252/" TargetMode="External"/><Relationship Id="rId463" Type="http://schemas.openxmlformats.org/officeDocument/2006/relationships/hyperlink" Target="https://www.geonames.org/773389/" TargetMode="External"/><Relationship Id="rId670" Type="http://schemas.openxmlformats.org/officeDocument/2006/relationships/hyperlink" Target="https://www.geonames.org/3094802/" TargetMode="External"/><Relationship Id="rId1093" Type="http://schemas.openxmlformats.org/officeDocument/2006/relationships/hyperlink" Target="https://www.geonames.org/774700/" TargetMode="External"/><Relationship Id="rId116" Type="http://schemas.openxmlformats.org/officeDocument/2006/relationships/hyperlink" Target="https://www.geonames.org/705392/" TargetMode="External"/><Relationship Id="rId323" Type="http://schemas.openxmlformats.org/officeDocument/2006/relationships/hyperlink" Target="https://www.geonames.org/702550+I12:J13" TargetMode="External"/><Relationship Id="rId530" Type="http://schemas.openxmlformats.org/officeDocument/2006/relationships/hyperlink" Target="https://www.geonames.org/773808/" TargetMode="External"/><Relationship Id="rId768" Type="http://schemas.openxmlformats.org/officeDocument/2006/relationships/hyperlink" Target="https://www.geonames.org/3074614/" TargetMode="External"/><Relationship Id="rId975" Type="http://schemas.openxmlformats.org/officeDocument/2006/relationships/hyperlink" Target="https://www.geonames.org/765932/" TargetMode="External"/><Relationship Id="rId1160" Type="http://schemas.openxmlformats.org/officeDocument/2006/relationships/hyperlink" Target="https://www.geonames.org/774558/" TargetMode="External"/><Relationship Id="rId1398" Type="http://schemas.openxmlformats.org/officeDocument/2006/relationships/hyperlink" Target="https://www.geonames.org/3069986/" TargetMode="External"/><Relationship Id="rId628" Type="http://schemas.openxmlformats.org/officeDocument/2006/relationships/hyperlink" Target="https://www.geonames.org/767814/" TargetMode="External"/><Relationship Id="rId835" Type="http://schemas.openxmlformats.org/officeDocument/2006/relationships/hyperlink" Target="https://www.geonames.org/3067421/" TargetMode="External"/><Relationship Id="rId1258" Type="http://schemas.openxmlformats.org/officeDocument/2006/relationships/hyperlink" Target="https://www.geonames.org/668076/" TargetMode="External"/><Relationship Id="rId1020" Type="http://schemas.openxmlformats.org/officeDocument/2006/relationships/hyperlink" Target="https://www.geonames.org/3067421/" TargetMode="External"/><Relationship Id="rId1118" Type="http://schemas.openxmlformats.org/officeDocument/2006/relationships/hyperlink" Target="https://www.geonames.org/3071791" TargetMode="External"/><Relationship Id="rId1325" Type="http://schemas.openxmlformats.org/officeDocument/2006/relationships/hyperlink" Target="https://www.geonames.org/707554/" TargetMode="External"/><Relationship Id="rId902" Type="http://schemas.openxmlformats.org/officeDocument/2006/relationships/hyperlink" Target="https://www.geonames.org/704525/" TargetMode="External"/><Relationship Id="rId31" Type="http://schemas.openxmlformats.org/officeDocument/2006/relationships/hyperlink" Target="https://www.geonames.org/765976/" TargetMode="External"/><Relationship Id="rId180" Type="http://schemas.openxmlformats.org/officeDocument/2006/relationships/hyperlink" Target="https://www.geonames.org/724632" TargetMode="External"/><Relationship Id="rId278" Type="http://schemas.openxmlformats.org/officeDocument/2006/relationships/hyperlink" Target="https://www.geonames.org/761131/" TargetMode="External"/><Relationship Id="rId485" Type="http://schemas.openxmlformats.org/officeDocument/2006/relationships/hyperlink" Target="https://www.geonames.org/770380/" TargetMode="External"/><Relationship Id="rId692" Type="http://schemas.openxmlformats.org/officeDocument/2006/relationships/hyperlink" Target="https://www.geonames.org/687093/" TargetMode="External"/><Relationship Id="rId138" Type="http://schemas.openxmlformats.org/officeDocument/2006/relationships/hyperlink" Target="https://www.geonames.org/756377/" TargetMode="External"/><Relationship Id="rId345" Type="http://schemas.openxmlformats.org/officeDocument/2006/relationships/hyperlink" Target="https://www.geonames.org/667238/" TargetMode="External"/><Relationship Id="rId552" Type="http://schemas.openxmlformats.org/officeDocument/2006/relationships/hyperlink" Target="https://www.geonames.org/687093/" TargetMode="External"/><Relationship Id="rId997" Type="http://schemas.openxmlformats.org/officeDocument/2006/relationships/hyperlink" Target="https://www.geonames.org/3064256/" TargetMode="External"/><Relationship Id="rId1182" Type="http://schemas.openxmlformats.org/officeDocument/2006/relationships/hyperlink" Target="https://www.geonames.org/3073407/" TargetMode="External"/><Relationship Id="rId205" Type="http://schemas.openxmlformats.org/officeDocument/2006/relationships/hyperlink" Target="https://www.geonames.org/711416/" TargetMode="External"/><Relationship Id="rId412" Type="http://schemas.openxmlformats.org/officeDocument/2006/relationships/hyperlink" Target="https://www.geonames.org/756046/" TargetMode="External"/><Relationship Id="rId857" Type="http://schemas.openxmlformats.org/officeDocument/2006/relationships/hyperlink" Target="https://www.geonames.org/3078836/" TargetMode="External"/><Relationship Id="rId1042" Type="http://schemas.openxmlformats.org/officeDocument/2006/relationships/hyperlink" Target="https://www.geonames.org/768338/" TargetMode="External"/><Relationship Id="rId717" Type="http://schemas.openxmlformats.org/officeDocument/2006/relationships/hyperlink" Target="https://www.geonames.org/687093/" TargetMode="External"/><Relationship Id="rId924" Type="http://schemas.openxmlformats.org/officeDocument/2006/relationships/hyperlink" Target="https://www.geonames.org/759734/" TargetMode="External"/><Relationship Id="rId1347" Type="http://schemas.openxmlformats.org/officeDocument/2006/relationships/hyperlink" Target="https://www.geonames.org/770380/" TargetMode="External"/><Relationship Id="rId53" Type="http://schemas.openxmlformats.org/officeDocument/2006/relationships/hyperlink" Target="https://www.geonames.org/3065911/" TargetMode="External"/><Relationship Id="rId1207" Type="http://schemas.openxmlformats.org/officeDocument/2006/relationships/hyperlink" Target="https://www.geonames.org/765932/" TargetMode="External"/><Relationship Id="rId1414" Type="http://schemas.openxmlformats.org/officeDocument/2006/relationships/hyperlink" Target="https://www.geonames.org/765876/" TargetMode="External"/><Relationship Id="rId367" Type="http://schemas.openxmlformats.org/officeDocument/2006/relationships/hyperlink" Target="https://www.geonames.org/688790/" TargetMode="External"/><Relationship Id="rId574" Type="http://schemas.openxmlformats.org/officeDocument/2006/relationships/hyperlink" Target="https://www.geonames.org/3180208/" TargetMode="External"/><Relationship Id="rId227" Type="http://schemas.openxmlformats.org/officeDocument/2006/relationships/hyperlink" Target="https://www.google.com/maps/place/27-400+Ostrowiec,+Poland/@50.9493601,21.336445,12z/data=!4m5!3m4!1s0x4718090859a93061:0x9d6c98b21ad8f8f3!8m2!3d50.9295479!4d21.385231" TargetMode="External"/><Relationship Id="rId781" Type="http://schemas.openxmlformats.org/officeDocument/2006/relationships/hyperlink" Target="https://www.geonames.org/708646/" TargetMode="External"/><Relationship Id="rId879" Type="http://schemas.openxmlformats.org/officeDocument/2006/relationships/hyperlink" Target="https://www.geonames.org/712374/" TargetMode="External"/><Relationship Id="rId434" Type="http://schemas.openxmlformats.org/officeDocument/2006/relationships/hyperlink" Target="https://www.geonames.org/3103644/" TargetMode="External"/><Relationship Id="rId641" Type="http://schemas.openxmlformats.org/officeDocument/2006/relationships/hyperlink" Target="https://www.geonames.org/770966/" TargetMode="External"/><Relationship Id="rId739" Type="http://schemas.openxmlformats.org/officeDocument/2006/relationships/hyperlink" Target="https://www.geonames.org/763121/" TargetMode="External"/><Relationship Id="rId1064" Type="http://schemas.openxmlformats.org/officeDocument/2006/relationships/hyperlink" Target="https://www.geonames.org/3068162/" TargetMode="External"/><Relationship Id="rId1271" Type="http://schemas.openxmlformats.org/officeDocument/2006/relationships/hyperlink" Target="https://www.geonames.org/758116/" TargetMode="External"/><Relationship Id="rId1369" Type="http://schemas.openxmlformats.org/officeDocument/2006/relationships/hyperlink" Target="https://www.geonames.org/3071587/" TargetMode="External"/><Relationship Id="rId501" Type="http://schemas.openxmlformats.org/officeDocument/2006/relationships/hyperlink" Target="https://www.geonames.org/710554/" TargetMode="External"/><Relationship Id="rId946" Type="http://schemas.openxmlformats.org/officeDocument/2006/relationships/hyperlink" Target="https://www.geonames.org/712374/" TargetMode="External"/><Relationship Id="rId1131" Type="http://schemas.openxmlformats.org/officeDocument/2006/relationships/hyperlink" Target="https://www.geonames.org/770380/" TargetMode="External"/><Relationship Id="rId1229" Type="http://schemas.openxmlformats.org/officeDocument/2006/relationships/hyperlink" Target="https://www.geonames.org/700646/" TargetMode="External"/><Relationship Id="rId75" Type="http://schemas.openxmlformats.org/officeDocument/2006/relationships/hyperlink" Target="https://www.geonames.org/3073371/" TargetMode="External"/><Relationship Id="rId806" Type="http://schemas.openxmlformats.org/officeDocument/2006/relationships/hyperlink" Target="https://www.geonames.org/711134/" TargetMode="External"/><Relationship Id="rId1436" Type="http://schemas.openxmlformats.org/officeDocument/2006/relationships/hyperlink" Target="https://www.geonames.org/708380/" TargetMode="External"/><Relationship Id="rId291" Type="http://schemas.openxmlformats.org/officeDocument/2006/relationships/hyperlink" Target="https://www.geonames.org/767198/" TargetMode="External"/><Relationship Id="rId151" Type="http://schemas.openxmlformats.org/officeDocument/2006/relationships/hyperlink" Target="https://www.geonames.org/3058477/" TargetMode="External"/><Relationship Id="rId389" Type="http://schemas.openxmlformats.org/officeDocument/2006/relationships/hyperlink" Target="https://www.geonames.org/776175/" TargetMode="External"/><Relationship Id="rId596" Type="http://schemas.openxmlformats.org/officeDocument/2006/relationships/hyperlink" Target="https://www.geonames.org/759468/" TargetMode="External"/><Relationship Id="rId249" Type="http://schemas.openxmlformats.org/officeDocument/2006/relationships/hyperlink" Target="https://www.geonames.org/774730/" TargetMode="External"/><Relationship Id="rId456" Type="http://schemas.openxmlformats.org/officeDocument/2006/relationships/hyperlink" Target="https://www.geonames.org/759412/" TargetMode="External"/><Relationship Id="rId663" Type="http://schemas.openxmlformats.org/officeDocument/2006/relationships/hyperlink" Target="https://www.geonames.org/3065824/" TargetMode="External"/><Relationship Id="rId870" Type="http://schemas.openxmlformats.org/officeDocument/2006/relationships/hyperlink" Target="https://www.geonames.org/3067421/" TargetMode="External"/><Relationship Id="rId1086" Type="http://schemas.openxmlformats.org/officeDocument/2006/relationships/hyperlink" Target="https://www.geonames.org/3064104/" TargetMode="External"/><Relationship Id="rId1293" Type="http://schemas.openxmlformats.org/officeDocument/2006/relationships/hyperlink" Target="https://www.geonames.org/3064104/" TargetMode="External"/><Relationship Id="rId109" Type="http://schemas.openxmlformats.org/officeDocument/2006/relationships/hyperlink" Target="https://www.geonames.org/789518/" TargetMode="External"/><Relationship Id="rId316" Type="http://schemas.openxmlformats.org/officeDocument/2006/relationships/hyperlink" Target="https://www.geonames.org/766591/" TargetMode="External"/><Relationship Id="rId523" Type="http://schemas.openxmlformats.org/officeDocument/2006/relationships/hyperlink" Target="https://www.geonames.org/765876/" TargetMode="External"/><Relationship Id="rId968" Type="http://schemas.openxmlformats.org/officeDocument/2006/relationships/hyperlink" Target="https://www.geonames.org/702981/" TargetMode="External"/><Relationship Id="rId1153" Type="http://schemas.openxmlformats.org/officeDocument/2006/relationships/hyperlink" Target="https://www.geonames.org/698142/" TargetMode="External"/><Relationship Id="rId97" Type="http://schemas.openxmlformats.org/officeDocument/2006/relationships/hyperlink" Target="https://www.geonames.org/753022/" TargetMode="External"/><Relationship Id="rId730" Type="http://schemas.openxmlformats.org/officeDocument/2006/relationships/hyperlink" Target="https://www.geonames.org/772662/" TargetMode="External"/><Relationship Id="rId828" Type="http://schemas.openxmlformats.org/officeDocument/2006/relationships/hyperlink" Target="https://www.geonames.org/712374/" TargetMode="External"/><Relationship Id="rId1013" Type="http://schemas.openxmlformats.org/officeDocument/2006/relationships/hyperlink" Target="https://www.geonames.org/754455/" TargetMode="External"/><Relationship Id="rId1360" Type="http://schemas.openxmlformats.org/officeDocument/2006/relationships/hyperlink" Target="https://www.geonames.org/3062257/" TargetMode="External"/><Relationship Id="rId1458" Type="http://schemas.openxmlformats.org/officeDocument/2006/relationships/hyperlink" Target="https://www.geonames.org/771735/" TargetMode="External"/><Relationship Id="rId1220" Type="http://schemas.openxmlformats.org/officeDocument/2006/relationships/hyperlink" Target="https://www.geonames.org/3061416/" TargetMode="External"/><Relationship Id="rId1318" Type="http://schemas.openxmlformats.org/officeDocument/2006/relationships/hyperlink" Target="https://www.geonames.org/3061552/" TargetMode="External"/><Relationship Id="rId24" Type="http://schemas.openxmlformats.org/officeDocument/2006/relationships/hyperlink" Target="https://www.geonames.org/758252/" TargetMode="External"/><Relationship Id="rId173" Type="http://schemas.openxmlformats.org/officeDocument/2006/relationships/hyperlink" Target="https://www.geonames.org/724579/" TargetMode="External"/><Relationship Id="rId380" Type="http://schemas.openxmlformats.org/officeDocument/2006/relationships/hyperlink" Target="https://www.geonames.org/693376/" TargetMode="External"/><Relationship Id="rId240" Type="http://schemas.openxmlformats.org/officeDocument/2006/relationships/hyperlink" Target="https://www.geonames.org/707099/" TargetMode="External"/><Relationship Id="rId478" Type="http://schemas.openxmlformats.org/officeDocument/2006/relationships/hyperlink" Target="https://www.geonames.org/3094168/" TargetMode="External"/><Relationship Id="rId685" Type="http://schemas.openxmlformats.org/officeDocument/2006/relationships/hyperlink" Target="https://www.geonames.org/687093/" TargetMode="External"/><Relationship Id="rId892" Type="http://schemas.openxmlformats.org/officeDocument/2006/relationships/hyperlink" Target="https://www.geonames.org/773380/" TargetMode="External"/><Relationship Id="rId100" Type="http://schemas.openxmlformats.org/officeDocument/2006/relationships/hyperlink" Target="https://www.geonames.org/711416/" TargetMode="External"/><Relationship Id="rId338" Type="http://schemas.openxmlformats.org/officeDocument/2006/relationships/hyperlink" Target="https://www.geonames.org/771590/" TargetMode="External"/><Relationship Id="rId545" Type="http://schemas.openxmlformats.org/officeDocument/2006/relationships/hyperlink" Target="https://www.geonames.org/707471/" TargetMode="External"/><Relationship Id="rId752" Type="http://schemas.openxmlformats.org/officeDocument/2006/relationships/hyperlink" Target="https://www.geonames.org/764530/" TargetMode="External"/><Relationship Id="rId1175" Type="http://schemas.openxmlformats.org/officeDocument/2006/relationships/hyperlink" Target="https://www.geonames.org/3067870/" TargetMode="External"/><Relationship Id="rId1382" Type="http://schemas.openxmlformats.org/officeDocument/2006/relationships/hyperlink" Target="https://www.geonames.org/3067696/" TargetMode="External"/><Relationship Id="rId405" Type="http://schemas.openxmlformats.org/officeDocument/2006/relationships/hyperlink" Target="https://www.geonames.org/756046/" TargetMode="External"/><Relationship Id="rId612" Type="http://schemas.openxmlformats.org/officeDocument/2006/relationships/hyperlink" Target="https://www.geonames.org/693301/" TargetMode="External"/><Relationship Id="rId1035" Type="http://schemas.openxmlformats.org/officeDocument/2006/relationships/hyperlink" Target="https://www.geonames.org/757026/" TargetMode="External"/><Relationship Id="rId1242" Type="http://schemas.openxmlformats.org/officeDocument/2006/relationships/hyperlink" Target="https://www.geonames.org/725111/" TargetMode="External"/><Relationship Id="rId917" Type="http://schemas.openxmlformats.org/officeDocument/2006/relationships/hyperlink" Target="https://www.geonames.org/711134/" TargetMode="External"/><Relationship Id="rId1102" Type="http://schemas.openxmlformats.org/officeDocument/2006/relationships/hyperlink" Target="https://www.geonames.org/3066719/" TargetMode="External"/><Relationship Id="rId46" Type="http://schemas.openxmlformats.org/officeDocument/2006/relationships/hyperlink" Target="https://www.geonames.org/3061188/" TargetMode="External"/><Relationship Id="rId1407" Type="http://schemas.openxmlformats.org/officeDocument/2006/relationships/hyperlink" Target="https://www.geonames.org/3078838/" TargetMode="External"/><Relationship Id="rId195" Type="http://schemas.openxmlformats.org/officeDocument/2006/relationships/hyperlink" Target="https://www.geonames.org/720059/" TargetMode="External"/><Relationship Id="rId262" Type="http://schemas.openxmlformats.org/officeDocument/2006/relationships/hyperlink" Target="https://www.geonames.org/693301/" TargetMode="External"/><Relationship Id="rId567" Type="http://schemas.openxmlformats.org/officeDocument/2006/relationships/hyperlink" Target="https://www.geonames.org/756036/" TargetMode="External"/><Relationship Id="rId1197" Type="http://schemas.openxmlformats.org/officeDocument/2006/relationships/hyperlink" Target="https://www.geonames.org/3070226/" TargetMode="External"/><Relationship Id="rId122" Type="http://schemas.openxmlformats.org/officeDocument/2006/relationships/hyperlink" Target="https://www.geonames.org/762390/" TargetMode="External"/><Relationship Id="rId774" Type="http://schemas.openxmlformats.org/officeDocument/2006/relationships/hyperlink" Target="https://www.geonames.org/770966/" TargetMode="External"/><Relationship Id="rId981" Type="http://schemas.openxmlformats.org/officeDocument/2006/relationships/hyperlink" Target="https://www.geonames.org/756280/" TargetMode="External"/><Relationship Id="rId1057" Type="http://schemas.openxmlformats.org/officeDocument/2006/relationships/hyperlink" Target="https://www.geonames.org/702550+I12:J13" TargetMode="External"/><Relationship Id="rId427" Type="http://schemas.openxmlformats.org/officeDocument/2006/relationships/hyperlink" Target="https://www.geonames.org/763111/" TargetMode="External"/><Relationship Id="rId634" Type="http://schemas.openxmlformats.org/officeDocument/2006/relationships/hyperlink" Target="https://www.geonames.org/767814/" TargetMode="External"/><Relationship Id="rId841" Type="http://schemas.openxmlformats.org/officeDocument/2006/relationships/hyperlink" Target="https://www.geonames.org/3074241/" TargetMode="External"/><Relationship Id="rId1264" Type="http://schemas.openxmlformats.org/officeDocument/2006/relationships/hyperlink" Target="https://www.geonames.org/763619/" TargetMode="External"/><Relationship Id="rId701" Type="http://schemas.openxmlformats.org/officeDocument/2006/relationships/hyperlink" Target="https://www.geonames.org/762753/" TargetMode="External"/><Relationship Id="rId939" Type="http://schemas.openxmlformats.org/officeDocument/2006/relationships/hyperlink" Target="https://www.geonames.org/757033/" TargetMode="External"/><Relationship Id="rId1124" Type="http://schemas.openxmlformats.org/officeDocument/2006/relationships/hyperlink" Target="https://www.geonames.org/686895/" TargetMode="External"/><Relationship Id="rId1331" Type="http://schemas.openxmlformats.org/officeDocument/2006/relationships/hyperlink" Target="https://www.geonames.org/709794/" TargetMode="External"/><Relationship Id="rId68" Type="http://schemas.openxmlformats.org/officeDocument/2006/relationships/hyperlink" Target="https://www.geonames.org/3059979/" TargetMode="External"/><Relationship Id="rId1429" Type="http://schemas.openxmlformats.org/officeDocument/2006/relationships/hyperlink" Target="https://www.geonames.org/3078275/" TargetMode="External"/><Relationship Id="rId284" Type="http://schemas.openxmlformats.org/officeDocument/2006/relationships/hyperlink" Target="https://www.geonames.org/757050/" TargetMode="External"/><Relationship Id="rId491" Type="http://schemas.openxmlformats.org/officeDocument/2006/relationships/hyperlink" Target="https://www.geonames.org/758626/" TargetMode="External"/><Relationship Id="rId144" Type="http://schemas.openxmlformats.org/officeDocument/2006/relationships/hyperlink" Target="https://www.geonames.org/3075053/" TargetMode="External"/><Relationship Id="rId589" Type="http://schemas.openxmlformats.org/officeDocument/2006/relationships/hyperlink" Target="https://www.geonames.org/3047211/" TargetMode="External"/><Relationship Id="rId796" Type="http://schemas.openxmlformats.org/officeDocument/2006/relationships/hyperlink" Target="https://www.geonames.org/3067421/" TargetMode="External"/><Relationship Id="rId351" Type="http://schemas.openxmlformats.org/officeDocument/2006/relationships/hyperlink" Target="https://www.geonames.org/696966/" TargetMode="External"/><Relationship Id="rId449" Type="http://schemas.openxmlformats.org/officeDocument/2006/relationships/hyperlink" Target="https://www.geonames.org/756046/" TargetMode="External"/><Relationship Id="rId656" Type="http://schemas.openxmlformats.org/officeDocument/2006/relationships/hyperlink" Target="https://www.geonames.org/11313988/" TargetMode="External"/><Relationship Id="rId863" Type="http://schemas.openxmlformats.org/officeDocument/2006/relationships/hyperlink" Target="https://www.geonames.org/757029/" TargetMode="External"/><Relationship Id="rId1079" Type="http://schemas.openxmlformats.org/officeDocument/2006/relationships/hyperlink" Target="https://www.geonames.org/763534/" TargetMode="External"/><Relationship Id="rId1286" Type="http://schemas.openxmlformats.org/officeDocument/2006/relationships/hyperlink" Target="https://www.geonames.org/3063196/" TargetMode="External"/><Relationship Id="rId211" Type="http://schemas.openxmlformats.org/officeDocument/2006/relationships/hyperlink" Target="https://www.geonames.org/3078287/" TargetMode="External"/><Relationship Id="rId309" Type="http://schemas.openxmlformats.org/officeDocument/2006/relationships/hyperlink" Target="https://www.geonames.org/762325/" TargetMode="External"/><Relationship Id="rId516" Type="http://schemas.openxmlformats.org/officeDocument/2006/relationships/hyperlink" Target="https://www.geonames.org/757026/" TargetMode="External"/><Relationship Id="rId1146" Type="http://schemas.openxmlformats.org/officeDocument/2006/relationships/hyperlink" Target="https://www.geonames.org/3071343/" TargetMode="External"/><Relationship Id="rId723" Type="http://schemas.openxmlformats.org/officeDocument/2006/relationships/hyperlink" Target="https://www.geonames.org/690814/" TargetMode="External"/><Relationship Id="rId930" Type="http://schemas.openxmlformats.org/officeDocument/2006/relationships/hyperlink" Target="https://www.geonames.org/756663/" TargetMode="External"/><Relationship Id="rId1006" Type="http://schemas.openxmlformats.org/officeDocument/2006/relationships/hyperlink" Target="https://www.geonames.org/753394/" TargetMode="External"/><Relationship Id="rId1353" Type="http://schemas.openxmlformats.org/officeDocument/2006/relationships/hyperlink" Target="https://www.geonames.org/3067696/" TargetMode="External"/><Relationship Id="rId1213" Type="http://schemas.openxmlformats.org/officeDocument/2006/relationships/hyperlink" Target="https://www.geonames.org/753063/" TargetMode="External"/><Relationship Id="rId1420" Type="http://schemas.openxmlformats.org/officeDocument/2006/relationships/hyperlink" Target="https://www.geonames.org/765177/" TargetMode="External"/><Relationship Id="rId17" Type="http://schemas.openxmlformats.org/officeDocument/2006/relationships/hyperlink" Target="https://www.geonames.org/763121/" TargetMode="External"/><Relationship Id="rId166" Type="http://schemas.openxmlformats.org/officeDocument/2006/relationships/hyperlink" Target="https://www.geonames.org/724181/" TargetMode="External"/><Relationship Id="rId373" Type="http://schemas.openxmlformats.org/officeDocument/2006/relationships/hyperlink" Target="https://www.geonames.org/712374/" TargetMode="External"/><Relationship Id="rId580" Type="http://schemas.openxmlformats.org/officeDocument/2006/relationships/hyperlink" Target="https://www.geonames.org/763121/" TargetMode="External"/><Relationship Id="rId1" Type="http://schemas.openxmlformats.org/officeDocument/2006/relationships/hyperlink" Target="https://www.geonames.org/3089658/" TargetMode="External"/><Relationship Id="rId233" Type="http://schemas.openxmlformats.org/officeDocument/2006/relationships/hyperlink" Target="https://www.geonames.org/763121/" TargetMode="External"/><Relationship Id="rId440" Type="http://schemas.openxmlformats.org/officeDocument/2006/relationships/hyperlink" Target="https://www.geonames.org/758436/" TargetMode="External"/><Relationship Id="rId678" Type="http://schemas.openxmlformats.org/officeDocument/2006/relationships/hyperlink" Target="../../../vladimirberkovich/Library/Containers/com.microsoft.Excel/Data/Library/Application%20Support/Microsoft/Z%20FULL%20Service%20Records/BALDIS:BARTLEL,%20Victor%20(1799-1805:6)%20%5bConvert%3f%5d/Wodzis&#322;aw,%20Poland" TargetMode="External"/><Relationship Id="rId885" Type="http://schemas.openxmlformats.org/officeDocument/2006/relationships/hyperlink" Target="https://www.geonames.org/712374/" TargetMode="External"/><Relationship Id="rId1070" Type="http://schemas.openxmlformats.org/officeDocument/2006/relationships/hyperlink" Target="https://www.geonames.org/756377/" TargetMode="External"/><Relationship Id="rId300" Type="http://schemas.openxmlformats.org/officeDocument/2006/relationships/hyperlink" Target="https://www.geonames.org/759734/" TargetMode="External"/><Relationship Id="rId538" Type="http://schemas.openxmlformats.org/officeDocument/2006/relationships/hyperlink" Target="https://www.geonames.org/711416/" TargetMode="External"/><Relationship Id="rId745" Type="http://schemas.openxmlformats.org/officeDocument/2006/relationships/hyperlink" Target="https://www.geonames.org/7532988/" TargetMode="External"/><Relationship Id="rId952" Type="http://schemas.openxmlformats.org/officeDocument/2006/relationships/hyperlink" Target="https://www.geonames.org/763534/" TargetMode="External"/><Relationship Id="rId1168" Type="http://schemas.openxmlformats.org/officeDocument/2006/relationships/hyperlink" Target="https://www.geonames.org/760680/" TargetMode="External"/><Relationship Id="rId1375" Type="http://schemas.openxmlformats.org/officeDocument/2006/relationships/hyperlink" Target="https://www.geonames.org/762390/"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www.geonames.org/763519/" TargetMode="External"/><Relationship Id="rId671" Type="http://schemas.openxmlformats.org/officeDocument/2006/relationships/hyperlink" Target="https://www.geonames.org/690155/" TargetMode="External"/><Relationship Id="rId21" Type="http://schemas.openxmlformats.org/officeDocument/2006/relationships/hyperlink" Target="https://www.geonames.org/695781/" TargetMode="External"/><Relationship Id="rId324" Type="http://schemas.openxmlformats.org/officeDocument/2006/relationships/hyperlink" Target="https://www.geonames.org/760987/" TargetMode="External"/><Relationship Id="rId531" Type="http://schemas.openxmlformats.org/officeDocument/2006/relationships/hyperlink" Target="https://www.geonames.org/3071966/" TargetMode="External"/><Relationship Id="rId629" Type="http://schemas.openxmlformats.org/officeDocument/2006/relationships/hyperlink" Target="https://www.geonames.org/691825/" TargetMode="External"/><Relationship Id="rId170" Type="http://schemas.openxmlformats.org/officeDocument/2006/relationships/hyperlink" Target="https://www.geonames.org/724181/" TargetMode="External"/><Relationship Id="rId268" Type="http://schemas.openxmlformats.org/officeDocument/2006/relationships/hyperlink" Target="https://www.geonames.org/711850/" TargetMode="External"/><Relationship Id="rId475" Type="http://schemas.openxmlformats.org/officeDocument/2006/relationships/hyperlink" Target="https://www.geonames.org/774504/" TargetMode="External"/><Relationship Id="rId682" Type="http://schemas.openxmlformats.org/officeDocument/2006/relationships/hyperlink" Target="https://www.geonames.org/774504/" TargetMode="External"/><Relationship Id="rId32" Type="http://schemas.openxmlformats.org/officeDocument/2006/relationships/hyperlink" Target="https://www.geonames.org/3173162/" TargetMode="External"/><Relationship Id="rId128" Type="http://schemas.openxmlformats.org/officeDocument/2006/relationships/hyperlink" Target="https://www.geonames.org/756135/" TargetMode="External"/><Relationship Id="rId335" Type="http://schemas.openxmlformats.org/officeDocument/2006/relationships/hyperlink" Target="https://www.geonames.org/758252/" TargetMode="External"/><Relationship Id="rId542" Type="http://schemas.openxmlformats.org/officeDocument/2006/relationships/hyperlink" Target="https://www.geonames.org/3070795/" TargetMode="External"/><Relationship Id="rId181" Type="http://schemas.openxmlformats.org/officeDocument/2006/relationships/hyperlink" Target="https://www.geonames.org/3056437/" TargetMode="External"/><Relationship Id="rId402" Type="http://schemas.openxmlformats.org/officeDocument/2006/relationships/hyperlink" Target="https://www.geonames.org/7531570/" TargetMode="External"/><Relationship Id="rId279" Type="http://schemas.openxmlformats.org/officeDocument/2006/relationships/hyperlink" Target="https://www.geonames.org/702550+I12:J13" TargetMode="External"/><Relationship Id="rId486" Type="http://schemas.openxmlformats.org/officeDocument/2006/relationships/hyperlink" Target="https://www.geonames.org/776458/" TargetMode="External"/><Relationship Id="rId43" Type="http://schemas.openxmlformats.org/officeDocument/2006/relationships/hyperlink" Target="https://www.geonames.org/3065225/" TargetMode="External"/><Relationship Id="rId139" Type="http://schemas.openxmlformats.org/officeDocument/2006/relationships/hyperlink" Target="https://www.geonames.org/702550+I12:J13" TargetMode="External"/><Relationship Id="rId346" Type="http://schemas.openxmlformats.org/officeDocument/2006/relationships/hyperlink" Target="https://www.geonames.org/694864/" TargetMode="External"/><Relationship Id="rId553" Type="http://schemas.openxmlformats.org/officeDocument/2006/relationships/hyperlink" Target="https://www.geonames.org/768024/" TargetMode="External"/><Relationship Id="rId192" Type="http://schemas.openxmlformats.org/officeDocument/2006/relationships/hyperlink" Target="https://www.geonames.org/776458/" TargetMode="External"/><Relationship Id="rId206" Type="http://schemas.openxmlformats.org/officeDocument/2006/relationships/hyperlink" Target="https://www.geonames.org/770772/" TargetMode="External"/><Relationship Id="rId413" Type="http://schemas.openxmlformats.org/officeDocument/2006/relationships/hyperlink" Target="https://www.geonames.org/769738/" TargetMode="External"/><Relationship Id="rId497" Type="http://schemas.openxmlformats.org/officeDocument/2006/relationships/hyperlink" Target="https://www.geonames.org/758626/" TargetMode="External"/><Relationship Id="rId620" Type="http://schemas.openxmlformats.org/officeDocument/2006/relationships/hyperlink" Target="https://www.geonames.org/693301/" TargetMode="External"/><Relationship Id="rId357" Type="http://schemas.openxmlformats.org/officeDocument/2006/relationships/hyperlink" Target="https://www.geonames.org/3070548/" TargetMode="External"/><Relationship Id="rId54" Type="http://schemas.openxmlformats.org/officeDocument/2006/relationships/hyperlink" Target="https://www.geonames.org/3072699/" TargetMode="External"/><Relationship Id="rId217" Type="http://schemas.openxmlformats.org/officeDocument/2006/relationships/hyperlink" Target="https://www.geonames.org/3078838/" TargetMode="External"/><Relationship Id="rId564" Type="http://schemas.openxmlformats.org/officeDocument/2006/relationships/hyperlink" Target="https://www.geonames.org/709611/" TargetMode="External"/><Relationship Id="rId424" Type="http://schemas.openxmlformats.org/officeDocument/2006/relationships/hyperlink" Target="https://www.geonames.org/753394/" TargetMode="External"/><Relationship Id="rId631" Type="http://schemas.openxmlformats.org/officeDocument/2006/relationships/hyperlink" Target="https://www.geonames.org/767814/" TargetMode="External"/><Relationship Id="rId270" Type="http://schemas.openxmlformats.org/officeDocument/2006/relationships/hyperlink" Target="https://www.geonames.org/765876/" TargetMode="External"/><Relationship Id="rId65" Type="http://schemas.openxmlformats.org/officeDocument/2006/relationships/hyperlink" Target="https://www.geonames.org/3067770/" TargetMode="External"/><Relationship Id="rId130" Type="http://schemas.openxmlformats.org/officeDocument/2006/relationships/hyperlink" Target="https://www.geonames.org/691650/" TargetMode="External"/><Relationship Id="rId368" Type="http://schemas.openxmlformats.org/officeDocument/2006/relationships/hyperlink" Target="https://www.geonames.org/712374/" TargetMode="External"/><Relationship Id="rId575" Type="http://schemas.openxmlformats.org/officeDocument/2006/relationships/hyperlink" Target="https://www.geonames.org/692865/" TargetMode="External"/><Relationship Id="rId228" Type="http://schemas.openxmlformats.org/officeDocument/2006/relationships/hyperlink" Target="https://www.geonames.org/763534/" TargetMode="External"/><Relationship Id="rId435" Type="http://schemas.openxmlformats.org/officeDocument/2006/relationships/hyperlink" Target="https://www.geonames.org/693376/" TargetMode="External"/><Relationship Id="rId642" Type="http://schemas.openxmlformats.org/officeDocument/2006/relationships/hyperlink" Target="https://www.geonames.org/771498/" TargetMode="External"/><Relationship Id="rId281" Type="http://schemas.openxmlformats.org/officeDocument/2006/relationships/hyperlink" Target="https://www.geonames.org/762863/" TargetMode="External"/><Relationship Id="rId502" Type="http://schemas.openxmlformats.org/officeDocument/2006/relationships/hyperlink" Target="https://www.geonames.org/772747/" TargetMode="External"/><Relationship Id="rId76" Type="http://schemas.openxmlformats.org/officeDocument/2006/relationships/hyperlink" Target="https://www.geonames.org/3073371/" TargetMode="External"/><Relationship Id="rId141" Type="http://schemas.openxmlformats.org/officeDocument/2006/relationships/hyperlink" Target="https://www.geonames.org/756377/" TargetMode="External"/><Relationship Id="rId379" Type="http://schemas.openxmlformats.org/officeDocument/2006/relationships/hyperlink" Target="https://www.geonames.org/711134/" TargetMode="External"/><Relationship Id="rId586" Type="http://schemas.openxmlformats.org/officeDocument/2006/relationships/hyperlink" Target="https://www.geonames.org/763121/" TargetMode="External"/><Relationship Id="rId7" Type="http://schemas.openxmlformats.org/officeDocument/2006/relationships/hyperlink" Target="https://www.geonames.org/709878/" TargetMode="External"/><Relationship Id="rId239" Type="http://schemas.openxmlformats.org/officeDocument/2006/relationships/hyperlink" Target="https://www.geonames.org/759734/" TargetMode="External"/><Relationship Id="rId446" Type="http://schemas.openxmlformats.org/officeDocument/2006/relationships/hyperlink" Target="https://www.geonames.org/629634/" TargetMode="External"/><Relationship Id="rId653" Type="http://schemas.openxmlformats.org/officeDocument/2006/relationships/hyperlink" Target="https://www.geonames.org/770966/" TargetMode="External"/><Relationship Id="rId292" Type="http://schemas.openxmlformats.org/officeDocument/2006/relationships/hyperlink" Target="https://www.geonames.org/771313/" TargetMode="External"/><Relationship Id="rId306" Type="http://schemas.openxmlformats.org/officeDocument/2006/relationships/hyperlink" Target="https://www.geonames.org/697140/" TargetMode="External"/><Relationship Id="rId87" Type="http://schemas.openxmlformats.org/officeDocument/2006/relationships/hyperlink" Target="https://www.geonames.org/776175/" TargetMode="External"/><Relationship Id="rId513" Type="http://schemas.openxmlformats.org/officeDocument/2006/relationships/hyperlink" Target="https://www.geonames.org/705392/" TargetMode="External"/><Relationship Id="rId597" Type="http://schemas.openxmlformats.org/officeDocument/2006/relationships/hyperlink" Target="https://www.geonames.org/724743/" TargetMode="External"/><Relationship Id="rId152" Type="http://schemas.openxmlformats.org/officeDocument/2006/relationships/hyperlink" Target="https://www.geonames.org/3075493/" TargetMode="External"/><Relationship Id="rId457" Type="http://schemas.openxmlformats.org/officeDocument/2006/relationships/hyperlink" Target="https://www.geonames.org/759412/" TargetMode="External"/><Relationship Id="rId664" Type="http://schemas.openxmlformats.org/officeDocument/2006/relationships/hyperlink" Target="https://www.geonames.org/764189/" TargetMode="External"/><Relationship Id="rId14" Type="http://schemas.openxmlformats.org/officeDocument/2006/relationships/hyperlink" Target="https://www.geonames.org/764862/" TargetMode="External"/><Relationship Id="rId317" Type="http://schemas.openxmlformats.org/officeDocument/2006/relationships/hyperlink" Target="https://www.geonames.org/702550+I12:J13" TargetMode="External"/><Relationship Id="rId524" Type="http://schemas.openxmlformats.org/officeDocument/2006/relationships/hyperlink" Target="https://www.google.at/maps/place/50%C2%B011'11.0%22N+13%C2%B006'51.5%22E/@50.1816427,13.1023613,2468m/data=!3m1!1e3!4m5!3m4!1s0x0:0x0!8m2!3d50.1864!4d13.1143" TargetMode="External"/><Relationship Id="rId98" Type="http://schemas.openxmlformats.org/officeDocument/2006/relationships/hyperlink" Target="https://www.geonames.org/3070720/" TargetMode="External"/><Relationship Id="rId163" Type="http://schemas.openxmlformats.org/officeDocument/2006/relationships/hyperlink" Target="https://www.geonames.org/723731/" TargetMode="External"/><Relationship Id="rId370" Type="http://schemas.openxmlformats.org/officeDocument/2006/relationships/hyperlink" Target="https://www.geonames.org/688790/" TargetMode="External"/><Relationship Id="rId230" Type="http://schemas.openxmlformats.org/officeDocument/2006/relationships/hyperlink" Target="https://www.geonames.org/756624/" TargetMode="External"/><Relationship Id="rId468" Type="http://schemas.openxmlformats.org/officeDocument/2006/relationships/hyperlink" Target="https://www.geonames.org/769738/" TargetMode="External"/><Relationship Id="rId675" Type="http://schemas.openxmlformats.org/officeDocument/2006/relationships/hyperlink" Target="https://www.geonames.org/3096401/" TargetMode="External"/><Relationship Id="rId25" Type="http://schemas.openxmlformats.org/officeDocument/2006/relationships/hyperlink" Target="https://www.geonames.org/2773184/" TargetMode="External"/><Relationship Id="rId328" Type="http://schemas.openxmlformats.org/officeDocument/2006/relationships/hyperlink" Target="https://www.geonames.org/709909/" TargetMode="External"/><Relationship Id="rId535" Type="http://schemas.openxmlformats.org/officeDocument/2006/relationships/hyperlink" Target="https://www.geonames.org/3063762/" TargetMode="External"/><Relationship Id="rId174" Type="http://schemas.openxmlformats.org/officeDocument/2006/relationships/hyperlink" Target="https://www.geonames.org/3064373/" TargetMode="External"/><Relationship Id="rId381" Type="http://schemas.openxmlformats.org/officeDocument/2006/relationships/hyperlink" Target="https://www.geonames.org/711134/" TargetMode="External"/><Relationship Id="rId602" Type="http://schemas.openxmlformats.org/officeDocument/2006/relationships/hyperlink" Target="https://www.geonames.org/759468/" TargetMode="External"/><Relationship Id="rId241" Type="http://schemas.openxmlformats.org/officeDocument/2006/relationships/hyperlink" Target="https://www.geonames.org/766980/" TargetMode="External"/><Relationship Id="rId479" Type="http://schemas.openxmlformats.org/officeDocument/2006/relationships/hyperlink" Target="https://www.geonames.org/763111/" TargetMode="External"/><Relationship Id="rId686" Type="http://schemas.openxmlformats.org/officeDocument/2006/relationships/hyperlink" Target="https://www.geonames.org/771787/" TargetMode="External"/><Relationship Id="rId36" Type="http://schemas.openxmlformats.org/officeDocument/2006/relationships/hyperlink" Target="https://www.geonames.org/3067421/" TargetMode="External"/><Relationship Id="rId339" Type="http://schemas.openxmlformats.org/officeDocument/2006/relationships/hyperlink" Target="https://www.geonames.org/3179675/" TargetMode="External"/><Relationship Id="rId546" Type="http://schemas.openxmlformats.org/officeDocument/2006/relationships/hyperlink" Target="https://www.geonames.org/687093/" TargetMode="External"/><Relationship Id="rId101" Type="http://schemas.openxmlformats.org/officeDocument/2006/relationships/hyperlink" Target="https://www.geonames.org/764233/" TargetMode="External"/><Relationship Id="rId185" Type="http://schemas.openxmlformats.org/officeDocument/2006/relationships/hyperlink" Target="https://www.geonames.org/723195/" TargetMode="External"/><Relationship Id="rId406" Type="http://schemas.openxmlformats.org/officeDocument/2006/relationships/hyperlink" Target="https://www.geonames.org/769738/" TargetMode="External"/><Relationship Id="rId392" Type="http://schemas.openxmlformats.org/officeDocument/2006/relationships/hyperlink" Target="https://www.geonames.org/687093/" TargetMode="External"/><Relationship Id="rId613" Type="http://schemas.openxmlformats.org/officeDocument/2006/relationships/hyperlink" Target="https://www.geonames.org/690873/" TargetMode="External"/><Relationship Id="rId252" Type="http://schemas.openxmlformats.org/officeDocument/2006/relationships/hyperlink" Target="https://www.geonames.org/693376/" TargetMode="External"/><Relationship Id="rId47" Type="http://schemas.openxmlformats.org/officeDocument/2006/relationships/hyperlink" Target="https://www.geonames.org/3057140/" TargetMode="External"/><Relationship Id="rId112" Type="http://schemas.openxmlformats.org/officeDocument/2006/relationships/hyperlink" Target="https://www.geonames.org/789518/" TargetMode="External"/><Relationship Id="rId557" Type="http://schemas.openxmlformats.org/officeDocument/2006/relationships/hyperlink" Target="https://www.geonames.org/687093/" TargetMode="External"/><Relationship Id="rId196" Type="http://schemas.openxmlformats.org/officeDocument/2006/relationships/hyperlink" Target="https://www.geonames.org/723980/" TargetMode="External"/><Relationship Id="rId417" Type="http://schemas.openxmlformats.org/officeDocument/2006/relationships/hyperlink" Target="https://www.geonames.org/776175/" TargetMode="External"/><Relationship Id="rId624" Type="http://schemas.openxmlformats.org/officeDocument/2006/relationships/hyperlink" Target="https://www.geonames.org/703716/" TargetMode="External"/><Relationship Id="rId263" Type="http://schemas.openxmlformats.org/officeDocument/2006/relationships/hyperlink" Target="https://www.geonames.org/711416/" TargetMode="External"/><Relationship Id="rId470" Type="http://schemas.openxmlformats.org/officeDocument/2006/relationships/hyperlink" Target="https://www.geonames.org/765736/" TargetMode="External"/><Relationship Id="rId58" Type="http://schemas.openxmlformats.org/officeDocument/2006/relationships/hyperlink" Target="../../../vladimirberkovich/Library/Containers/com.microsoft.Excel/Data/Library/Application%20Support/Microsoft/Kos&#780;umberk,%20Luz&#780;e%20(Czech%20Republic)" TargetMode="External"/><Relationship Id="rId123" Type="http://schemas.openxmlformats.org/officeDocument/2006/relationships/hyperlink" Target="https://www.geonames.org/3072326/" TargetMode="External"/><Relationship Id="rId330" Type="http://schemas.openxmlformats.org/officeDocument/2006/relationships/hyperlink" Target="https://www.geonames.org/762774/" TargetMode="External"/><Relationship Id="rId568" Type="http://schemas.openxmlformats.org/officeDocument/2006/relationships/hyperlink" Target="https://www.geonames.org/690960/" TargetMode="External"/><Relationship Id="rId428" Type="http://schemas.openxmlformats.org/officeDocument/2006/relationships/hyperlink" Target="https://www.geonames.org/763111/" TargetMode="External"/><Relationship Id="rId635" Type="http://schemas.openxmlformats.org/officeDocument/2006/relationships/hyperlink" Target="https://www.geonames.org/766137/" TargetMode="External"/><Relationship Id="rId274" Type="http://schemas.openxmlformats.org/officeDocument/2006/relationships/hyperlink" Target="https://www.geonames.org/694278/" TargetMode="External"/><Relationship Id="rId481" Type="http://schemas.openxmlformats.org/officeDocument/2006/relationships/hyperlink" Target="https://www.geonames.org/759412/" TargetMode="External"/><Relationship Id="rId69" Type="http://schemas.openxmlformats.org/officeDocument/2006/relationships/hyperlink" Target="https://www.geonames.org/3074204/" TargetMode="External"/><Relationship Id="rId134" Type="http://schemas.openxmlformats.org/officeDocument/2006/relationships/hyperlink" Target="https://www.geonames.org/711416/" TargetMode="External"/><Relationship Id="rId579" Type="http://schemas.openxmlformats.org/officeDocument/2006/relationships/hyperlink" Target="https://www.geonames.org/759412/" TargetMode="External"/><Relationship Id="rId341" Type="http://schemas.openxmlformats.org/officeDocument/2006/relationships/hyperlink" Target="https://www.geonames.org/708702/" TargetMode="External"/><Relationship Id="rId439" Type="http://schemas.openxmlformats.org/officeDocument/2006/relationships/hyperlink" Target="https://www.geonames.org/774730/" TargetMode="External"/><Relationship Id="rId646" Type="http://schemas.openxmlformats.org/officeDocument/2006/relationships/hyperlink" Target="https://www.geonames.org/757029/" TargetMode="External"/><Relationship Id="rId201" Type="http://schemas.openxmlformats.org/officeDocument/2006/relationships/hyperlink" Target="https://www.geonames.org/766452/" TargetMode="External"/><Relationship Id="rId285" Type="http://schemas.openxmlformats.org/officeDocument/2006/relationships/hyperlink" Target="https://www.geonames.org/2618425/" TargetMode="External"/><Relationship Id="rId506" Type="http://schemas.openxmlformats.org/officeDocument/2006/relationships/hyperlink" Target="https://www.geonames.org/702550+I12:J13" TargetMode="External"/><Relationship Id="rId492" Type="http://schemas.openxmlformats.org/officeDocument/2006/relationships/hyperlink" Target="https://www.geonames.org/770380/" TargetMode="External"/><Relationship Id="rId145" Type="http://schemas.openxmlformats.org/officeDocument/2006/relationships/hyperlink" Target="https://www.geonames.org/711416/" TargetMode="External"/><Relationship Id="rId352" Type="http://schemas.openxmlformats.org/officeDocument/2006/relationships/hyperlink" Target="https://www.geonames.org/3080156/" TargetMode="External"/><Relationship Id="rId212" Type="http://schemas.openxmlformats.org/officeDocument/2006/relationships/hyperlink" Target="https://www.geonames.org/709808/" TargetMode="External"/><Relationship Id="rId657" Type="http://schemas.openxmlformats.org/officeDocument/2006/relationships/hyperlink" Target="https://www.geonames.org/710554/" TargetMode="External"/><Relationship Id="rId49" Type="http://schemas.openxmlformats.org/officeDocument/2006/relationships/hyperlink" Target="https://www.geonames.org/3079464/" TargetMode="External"/><Relationship Id="rId114" Type="http://schemas.openxmlformats.org/officeDocument/2006/relationships/hyperlink" Target="https://www.geonames.org/3057091/" TargetMode="External"/><Relationship Id="rId296" Type="http://schemas.openxmlformats.org/officeDocument/2006/relationships/hyperlink" Target="https://www.geonames.org/757026/" TargetMode="External"/><Relationship Id="rId461" Type="http://schemas.openxmlformats.org/officeDocument/2006/relationships/hyperlink" Target="https://www.geonames.org/765876/" TargetMode="External"/><Relationship Id="rId517" Type="http://schemas.openxmlformats.org/officeDocument/2006/relationships/hyperlink" Target="https://www.geonames.org/756135/" TargetMode="External"/><Relationship Id="rId559" Type="http://schemas.openxmlformats.org/officeDocument/2006/relationships/hyperlink" Target="https://www.geonames.org/3074723/" TargetMode="External"/><Relationship Id="rId60" Type="http://schemas.openxmlformats.org/officeDocument/2006/relationships/hyperlink" Target="https://www.geonames.org/771590/" TargetMode="External"/><Relationship Id="rId156" Type="http://schemas.openxmlformats.org/officeDocument/2006/relationships/hyperlink" Target="https://www.geonames.org/3067696/" TargetMode="External"/><Relationship Id="rId198" Type="http://schemas.openxmlformats.org/officeDocument/2006/relationships/hyperlink" Target="https://www.geonames.org/725166/" TargetMode="External"/><Relationship Id="rId321" Type="http://schemas.openxmlformats.org/officeDocument/2006/relationships/hyperlink" Target="https://www.geonames.org/763121/" TargetMode="External"/><Relationship Id="rId363" Type="http://schemas.openxmlformats.org/officeDocument/2006/relationships/hyperlink" Target="https://www.geonames.org/3045991/" TargetMode="External"/><Relationship Id="rId419" Type="http://schemas.openxmlformats.org/officeDocument/2006/relationships/hyperlink" Target="https://www.geonames.org/775493/" TargetMode="External"/><Relationship Id="rId570" Type="http://schemas.openxmlformats.org/officeDocument/2006/relationships/hyperlink" Target="https://www.geonames.org/776247/" TargetMode="External"/><Relationship Id="rId626" Type="http://schemas.openxmlformats.org/officeDocument/2006/relationships/hyperlink" Target="https://www.geonames.org/704540/" TargetMode="External"/><Relationship Id="rId223" Type="http://schemas.openxmlformats.org/officeDocument/2006/relationships/hyperlink" Target="https://www.geonames.org/770966/" TargetMode="External"/><Relationship Id="rId430" Type="http://schemas.openxmlformats.org/officeDocument/2006/relationships/hyperlink" Target="https://www.geonames.org/763111/" TargetMode="External"/><Relationship Id="rId668" Type="http://schemas.openxmlformats.org/officeDocument/2006/relationships/hyperlink" Target="https://www.geonames.org/3065824/" TargetMode="External"/><Relationship Id="rId18" Type="http://schemas.openxmlformats.org/officeDocument/2006/relationships/hyperlink" Target="https://www.geonames.org/755474/" TargetMode="External"/><Relationship Id="rId265" Type="http://schemas.openxmlformats.org/officeDocument/2006/relationships/hyperlink" Target="https://www.geonames.org/693301/" TargetMode="External"/><Relationship Id="rId472" Type="http://schemas.openxmlformats.org/officeDocument/2006/relationships/hyperlink" Target="https://www.geonames.org/3101547/" TargetMode="External"/><Relationship Id="rId528" Type="http://schemas.openxmlformats.org/officeDocument/2006/relationships/hyperlink" Target="https://www.geonames.org/3071879/" TargetMode="External"/><Relationship Id="rId125" Type="http://schemas.openxmlformats.org/officeDocument/2006/relationships/hyperlink" Target="https://www.geonames.org/762390/" TargetMode="External"/><Relationship Id="rId167" Type="http://schemas.openxmlformats.org/officeDocument/2006/relationships/hyperlink" Target="https://www.geonames.org/723087/" TargetMode="External"/><Relationship Id="rId332" Type="http://schemas.openxmlformats.org/officeDocument/2006/relationships/hyperlink" Target="https://www.geonames.org/770772/" TargetMode="External"/><Relationship Id="rId374" Type="http://schemas.openxmlformats.org/officeDocument/2006/relationships/hyperlink" Target="https://www.geonames.org/712374/" TargetMode="External"/><Relationship Id="rId581" Type="http://schemas.openxmlformats.org/officeDocument/2006/relationships/hyperlink" Target="https://www.geonames.org/765876/" TargetMode="External"/><Relationship Id="rId71" Type="http://schemas.openxmlformats.org/officeDocument/2006/relationships/hyperlink" Target="https://www.geonames.org/3058780/" TargetMode="External"/><Relationship Id="rId234" Type="http://schemas.openxmlformats.org/officeDocument/2006/relationships/hyperlink" Target="https://www.geonames.org/691650/" TargetMode="External"/><Relationship Id="rId637" Type="http://schemas.openxmlformats.org/officeDocument/2006/relationships/hyperlink" Target="https://www.geonames.org/753004/" TargetMode="External"/><Relationship Id="rId679" Type="http://schemas.openxmlformats.org/officeDocument/2006/relationships/hyperlink" Target="https://www.geonames.org/710554/" TargetMode="External"/><Relationship Id="rId2" Type="http://schemas.openxmlformats.org/officeDocument/2006/relationships/hyperlink" Target="https://www.geonames.org/3089658/" TargetMode="External"/><Relationship Id="rId29" Type="http://schemas.openxmlformats.org/officeDocument/2006/relationships/hyperlink" Target="https://www.geonames.org/755474/" TargetMode="External"/><Relationship Id="rId276" Type="http://schemas.openxmlformats.org/officeDocument/2006/relationships/hyperlink" Target="https://www.geonames.org/3077769/" TargetMode="External"/><Relationship Id="rId441" Type="http://schemas.openxmlformats.org/officeDocument/2006/relationships/hyperlink" Target="https://www.geonames.org/759412/" TargetMode="External"/><Relationship Id="rId483" Type="http://schemas.openxmlformats.org/officeDocument/2006/relationships/hyperlink" Target="https://www.geonames.org/712374/" TargetMode="External"/><Relationship Id="rId539" Type="http://schemas.openxmlformats.org/officeDocument/2006/relationships/hyperlink" Target="https://www.geonames.org/757050/" TargetMode="External"/><Relationship Id="rId690" Type="http://schemas.openxmlformats.org/officeDocument/2006/relationships/hyperlink" Target="https://www.geonames.org/756377/" TargetMode="External"/><Relationship Id="rId40" Type="http://schemas.openxmlformats.org/officeDocument/2006/relationships/hyperlink" Target="https://www.geonames.org/694979/" TargetMode="External"/><Relationship Id="rId136" Type="http://schemas.openxmlformats.org/officeDocument/2006/relationships/hyperlink" Target="https://www.geonames.org/2775220/" TargetMode="External"/><Relationship Id="rId178" Type="http://schemas.openxmlformats.org/officeDocument/2006/relationships/hyperlink" Target="https://www.geonames.org/724144/" TargetMode="External"/><Relationship Id="rId301" Type="http://schemas.openxmlformats.org/officeDocument/2006/relationships/hyperlink" Target="https://www.geonames.org/770380/" TargetMode="External"/><Relationship Id="rId343" Type="http://schemas.openxmlformats.org/officeDocument/2006/relationships/hyperlink" Target="https://www.geonames.org/759734/" TargetMode="External"/><Relationship Id="rId550" Type="http://schemas.openxmlformats.org/officeDocument/2006/relationships/hyperlink" Target="https://www.geonames.org/709909/" TargetMode="External"/><Relationship Id="rId82" Type="http://schemas.openxmlformats.org/officeDocument/2006/relationships/hyperlink" Target="https://www.geonames.org/695781/" TargetMode="External"/><Relationship Id="rId203" Type="http://schemas.openxmlformats.org/officeDocument/2006/relationships/hyperlink" Target="https://www.geonames.org/758314/" TargetMode="External"/><Relationship Id="rId385" Type="http://schemas.openxmlformats.org/officeDocument/2006/relationships/hyperlink" Target="https://www.geonames.org/693376/" TargetMode="External"/><Relationship Id="rId592" Type="http://schemas.openxmlformats.org/officeDocument/2006/relationships/hyperlink" Target="https://www.geonames.org/3070720/" TargetMode="External"/><Relationship Id="rId606" Type="http://schemas.openxmlformats.org/officeDocument/2006/relationships/hyperlink" Target="https://www.geonames.org/690548/" TargetMode="External"/><Relationship Id="rId648" Type="http://schemas.openxmlformats.org/officeDocument/2006/relationships/hyperlink" Target="https://www.geonames.org/770966/" TargetMode="External"/><Relationship Id="rId245" Type="http://schemas.openxmlformats.org/officeDocument/2006/relationships/hyperlink" Target="https://www.geonames.org/708082/" TargetMode="External"/><Relationship Id="rId287" Type="http://schemas.openxmlformats.org/officeDocument/2006/relationships/hyperlink" Target="https://www.geonames.org/757050/" TargetMode="External"/><Relationship Id="rId410" Type="http://schemas.openxmlformats.org/officeDocument/2006/relationships/hyperlink" Target="https://www.geonames.org/754455/" TargetMode="External"/><Relationship Id="rId452" Type="http://schemas.openxmlformats.org/officeDocument/2006/relationships/hyperlink" Target="https://www.geonames.org/754455/" TargetMode="External"/><Relationship Id="rId494" Type="http://schemas.openxmlformats.org/officeDocument/2006/relationships/hyperlink" Target="https://www.geonames.org/773877/" TargetMode="External"/><Relationship Id="rId508" Type="http://schemas.openxmlformats.org/officeDocument/2006/relationships/hyperlink" Target="https://www.geonames.org/702550+I12:J13" TargetMode="External"/><Relationship Id="rId105" Type="http://schemas.openxmlformats.org/officeDocument/2006/relationships/hyperlink" Target="https://www.geonames.org/715839/" TargetMode="External"/><Relationship Id="rId147" Type="http://schemas.openxmlformats.org/officeDocument/2006/relationships/hyperlink" Target="https://www.geonames.org/711416/" TargetMode="External"/><Relationship Id="rId312" Type="http://schemas.openxmlformats.org/officeDocument/2006/relationships/hyperlink" Target="https://www.geonames.org/757182/" TargetMode="External"/><Relationship Id="rId354" Type="http://schemas.openxmlformats.org/officeDocument/2006/relationships/hyperlink" Target="https://www.geonames.org/687093/" TargetMode="External"/><Relationship Id="rId51" Type="http://schemas.openxmlformats.org/officeDocument/2006/relationships/hyperlink" Target="https://www.geonames.org/3067696/" TargetMode="External"/><Relationship Id="rId93" Type="http://schemas.openxmlformats.org/officeDocument/2006/relationships/hyperlink" Target="https://www.geonames.org/3067421/" TargetMode="External"/><Relationship Id="rId189" Type="http://schemas.openxmlformats.org/officeDocument/2006/relationships/hyperlink" Target="https://www.geonames.org/723087/" TargetMode="External"/><Relationship Id="rId396" Type="http://schemas.openxmlformats.org/officeDocument/2006/relationships/hyperlink" Target="https://www.google.at/maps/place/Siedlce,+Poland/@52.1616253,22.2068543,12z/data=!3m1!4b1!4m5!3m4!1s0x471f5a4df670f065:0x48cc76a09ee72abe!8m2!3d52.1676031!4d22.2901645" TargetMode="External"/><Relationship Id="rId561" Type="http://schemas.openxmlformats.org/officeDocument/2006/relationships/hyperlink" Target="https://www.geonames.org/761131/" TargetMode="External"/><Relationship Id="rId617" Type="http://schemas.openxmlformats.org/officeDocument/2006/relationships/hyperlink" Target="https://www.geonames.org/693301/" TargetMode="External"/><Relationship Id="rId659" Type="http://schemas.openxmlformats.org/officeDocument/2006/relationships/hyperlink" Target="https://www.geonames.org/3094802/" TargetMode="External"/><Relationship Id="rId214" Type="http://schemas.openxmlformats.org/officeDocument/2006/relationships/hyperlink" Target="https://www.geonames.org/3064989/" TargetMode="External"/><Relationship Id="rId256" Type="http://schemas.openxmlformats.org/officeDocument/2006/relationships/hyperlink" Target="https://www.geonames.org/554234/" TargetMode="External"/><Relationship Id="rId298" Type="http://schemas.openxmlformats.org/officeDocument/2006/relationships/hyperlink" Target="https://www.geonames.org/694864/" TargetMode="External"/><Relationship Id="rId421" Type="http://schemas.openxmlformats.org/officeDocument/2006/relationships/hyperlink" Target="https://www.geonames.org/765976/" TargetMode="External"/><Relationship Id="rId463" Type="http://schemas.openxmlformats.org/officeDocument/2006/relationships/hyperlink" Target="https://www.geonames.org/775778/" TargetMode="External"/><Relationship Id="rId519" Type="http://schemas.openxmlformats.org/officeDocument/2006/relationships/hyperlink" Target="https://www.geonames.org/756794/" TargetMode="External"/><Relationship Id="rId670" Type="http://schemas.openxmlformats.org/officeDocument/2006/relationships/hyperlink" Target="https://www.geonames.org/703716/" TargetMode="External"/><Relationship Id="rId116" Type="http://schemas.openxmlformats.org/officeDocument/2006/relationships/hyperlink" Target="https://www.geonames.org/688288/" TargetMode="External"/><Relationship Id="rId158" Type="http://schemas.openxmlformats.org/officeDocument/2006/relationships/hyperlink" Target="https://www.geonames.org/690548/" TargetMode="External"/><Relationship Id="rId323" Type="http://schemas.openxmlformats.org/officeDocument/2006/relationships/hyperlink" Target="https://www.geonames.org/759603/" TargetMode="External"/><Relationship Id="rId530" Type="http://schemas.openxmlformats.org/officeDocument/2006/relationships/hyperlink" Target="https://www.geonames.org/8426063/" TargetMode="External"/><Relationship Id="rId20" Type="http://schemas.openxmlformats.org/officeDocument/2006/relationships/hyperlink" Target="https://www.geonames.org/709878/" TargetMode="External"/><Relationship Id="rId62" Type="http://schemas.openxmlformats.org/officeDocument/2006/relationships/hyperlink" Target="https://www.geonames.org/3067121/" TargetMode="External"/><Relationship Id="rId365" Type="http://schemas.openxmlformats.org/officeDocument/2006/relationships/hyperlink" Target="https://www.geonames.org/707099/" TargetMode="External"/><Relationship Id="rId572" Type="http://schemas.openxmlformats.org/officeDocument/2006/relationships/hyperlink" Target="https://www.geonames.org/705265/" TargetMode="External"/><Relationship Id="rId628" Type="http://schemas.openxmlformats.org/officeDocument/2006/relationships/hyperlink" Target="https://www.geonames.org/687826/" TargetMode="External"/><Relationship Id="rId225" Type="http://schemas.openxmlformats.org/officeDocument/2006/relationships/hyperlink" Target="https://www.geonames.org/696966/" TargetMode="External"/><Relationship Id="rId267" Type="http://schemas.openxmlformats.org/officeDocument/2006/relationships/hyperlink" Target="https://www.geonames.org/754090/" TargetMode="External"/><Relationship Id="rId432" Type="http://schemas.openxmlformats.org/officeDocument/2006/relationships/hyperlink" Target="https://www.geonames.org/708380/" TargetMode="External"/><Relationship Id="rId474" Type="http://schemas.openxmlformats.org/officeDocument/2006/relationships/hyperlink" Target="https://www.geonames.org/3096401/" TargetMode="External"/><Relationship Id="rId127" Type="http://schemas.openxmlformats.org/officeDocument/2006/relationships/hyperlink" Target="https://www.geonames.org/693700/" TargetMode="External"/><Relationship Id="rId681" Type="http://schemas.openxmlformats.org/officeDocument/2006/relationships/hyperlink" Target="https://www.geonames.org/707471/" TargetMode="External"/><Relationship Id="rId31" Type="http://schemas.openxmlformats.org/officeDocument/2006/relationships/hyperlink" Target="https://www.geonames.org/765976/" TargetMode="External"/><Relationship Id="rId73" Type="http://schemas.openxmlformats.org/officeDocument/2006/relationships/hyperlink" Target="https://www.geonames.org/12195837/" TargetMode="External"/><Relationship Id="rId169" Type="http://schemas.openxmlformats.org/officeDocument/2006/relationships/hyperlink" Target="https://www.geonames.org/724741/" TargetMode="External"/><Relationship Id="rId334" Type="http://schemas.openxmlformats.org/officeDocument/2006/relationships/hyperlink" Target="https://www.geonames.org/758252/" TargetMode="External"/><Relationship Id="rId376" Type="http://schemas.openxmlformats.org/officeDocument/2006/relationships/hyperlink" Target="https://www.geonames.org/712374/" TargetMode="External"/><Relationship Id="rId541" Type="http://schemas.openxmlformats.org/officeDocument/2006/relationships/hyperlink" Target="https://www.geonames.org/3070795/" TargetMode="External"/><Relationship Id="rId583" Type="http://schemas.openxmlformats.org/officeDocument/2006/relationships/hyperlink" Target="https://www.geonames.org/3066727/" TargetMode="External"/><Relationship Id="rId639" Type="http://schemas.openxmlformats.org/officeDocument/2006/relationships/hyperlink" Target="https://www.geonames.org/767814/" TargetMode="External"/><Relationship Id="rId4" Type="http://schemas.openxmlformats.org/officeDocument/2006/relationships/hyperlink" Target="https://www.geonames.org/711416/" TargetMode="External"/><Relationship Id="rId180" Type="http://schemas.openxmlformats.org/officeDocument/2006/relationships/hyperlink" Target="https://www.geonames.org/724392/" TargetMode="External"/><Relationship Id="rId236" Type="http://schemas.openxmlformats.org/officeDocument/2006/relationships/hyperlink" Target="https://www.geonames.org/763121/" TargetMode="External"/><Relationship Id="rId278" Type="http://schemas.openxmlformats.org/officeDocument/2006/relationships/hyperlink" Target="https://www.geonames.org/708380/" TargetMode="External"/><Relationship Id="rId401" Type="http://schemas.openxmlformats.org/officeDocument/2006/relationships/hyperlink" Target="https://www.geonames.org/11696055/" TargetMode="External"/><Relationship Id="rId443" Type="http://schemas.openxmlformats.org/officeDocument/2006/relationships/hyperlink" Target="https://www.geonames.org/759301/" TargetMode="External"/><Relationship Id="rId650" Type="http://schemas.openxmlformats.org/officeDocument/2006/relationships/hyperlink" Target="https://www.geonames.org/756438/" TargetMode="External"/><Relationship Id="rId303" Type="http://schemas.openxmlformats.org/officeDocument/2006/relationships/hyperlink" Target="https://www.geonames.org/759734/" TargetMode="External"/><Relationship Id="rId485" Type="http://schemas.openxmlformats.org/officeDocument/2006/relationships/hyperlink" Target="https://www.geonames.org/758177/" TargetMode="External"/><Relationship Id="rId692" Type="http://schemas.openxmlformats.org/officeDocument/2006/relationships/comments" Target="../comments2.xml"/><Relationship Id="rId42" Type="http://schemas.openxmlformats.org/officeDocument/2006/relationships/hyperlink" Target="https://www.geonames.org/710719/" TargetMode="External"/><Relationship Id="rId84" Type="http://schemas.openxmlformats.org/officeDocument/2006/relationships/hyperlink" Target="https://www.geonames.org/697140/" TargetMode="External"/><Relationship Id="rId138" Type="http://schemas.openxmlformats.org/officeDocument/2006/relationships/hyperlink" Target="https://www.geonames.org/2775742/" TargetMode="External"/><Relationship Id="rId345" Type="http://schemas.openxmlformats.org/officeDocument/2006/relationships/hyperlink" Target="https://www.geonames.org/694864/" TargetMode="External"/><Relationship Id="rId387" Type="http://schemas.openxmlformats.org/officeDocument/2006/relationships/hyperlink" Target="https://www.geonames.org/700793/" TargetMode="External"/><Relationship Id="rId510" Type="http://schemas.openxmlformats.org/officeDocument/2006/relationships/hyperlink" Target="https://www.geonames.org/702550+I12:J13" TargetMode="External"/><Relationship Id="rId552" Type="http://schemas.openxmlformats.org/officeDocument/2006/relationships/hyperlink" Target="https://www.geonames.org/768024/" TargetMode="External"/><Relationship Id="rId594" Type="http://schemas.openxmlformats.org/officeDocument/2006/relationships/hyperlink" Target="https://www.geonames.org/3063853/" TargetMode="External"/><Relationship Id="rId608" Type="http://schemas.openxmlformats.org/officeDocument/2006/relationships/hyperlink" Target="https://www.geonames.org/724014/" TargetMode="External"/><Relationship Id="rId191" Type="http://schemas.openxmlformats.org/officeDocument/2006/relationships/hyperlink" Target="https://www.geonames.org/3047211/" TargetMode="External"/><Relationship Id="rId205" Type="http://schemas.openxmlformats.org/officeDocument/2006/relationships/hyperlink" Target="https://www.geonames.org/725168/" TargetMode="External"/><Relationship Id="rId247" Type="http://schemas.openxmlformats.org/officeDocument/2006/relationships/hyperlink" Target="https://www.geonames.org/775922/" TargetMode="External"/><Relationship Id="rId412" Type="http://schemas.openxmlformats.org/officeDocument/2006/relationships/hyperlink" Target="https://www.geonames.org/774184/" TargetMode="External"/><Relationship Id="rId107" Type="http://schemas.openxmlformats.org/officeDocument/2006/relationships/hyperlink" Target="https://www.geonames.org/686254/" TargetMode="External"/><Relationship Id="rId289" Type="http://schemas.openxmlformats.org/officeDocument/2006/relationships/hyperlink" Target="https://www.geonames.org/760849/" TargetMode="External"/><Relationship Id="rId454" Type="http://schemas.openxmlformats.org/officeDocument/2006/relationships/hyperlink" Target="https://www.geonames.org/754455/" TargetMode="External"/><Relationship Id="rId496" Type="http://schemas.openxmlformats.org/officeDocument/2006/relationships/hyperlink" Target="https://www.geonames.org/758626/" TargetMode="External"/><Relationship Id="rId661" Type="http://schemas.openxmlformats.org/officeDocument/2006/relationships/hyperlink" Target="https://www.geonames.org/710554/" TargetMode="External"/><Relationship Id="rId11" Type="http://schemas.openxmlformats.org/officeDocument/2006/relationships/hyperlink" Target="https://www.geonames.org/770001/" TargetMode="External"/><Relationship Id="rId53" Type="http://schemas.openxmlformats.org/officeDocument/2006/relationships/hyperlink" Target="https://www.geonames.org/3065911/" TargetMode="External"/><Relationship Id="rId149" Type="http://schemas.openxmlformats.org/officeDocument/2006/relationships/hyperlink" Target="https://www.geonames.org/3067696/" TargetMode="External"/><Relationship Id="rId314" Type="http://schemas.openxmlformats.org/officeDocument/2006/relationships/hyperlink" Target="https://www.geonames.org/762774/" TargetMode="External"/><Relationship Id="rId356" Type="http://schemas.openxmlformats.org/officeDocument/2006/relationships/hyperlink" Target="https://www.geonames.org/712374/" TargetMode="External"/><Relationship Id="rId398" Type="http://schemas.openxmlformats.org/officeDocument/2006/relationships/hyperlink" Target="https://www.geonames.org/3101547/" TargetMode="External"/><Relationship Id="rId521" Type="http://schemas.openxmlformats.org/officeDocument/2006/relationships/hyperlink" Target="https://www.geonames.org/757026/" TargetMode="External"/><Relationship Id="rId563" Type="http://schemas.openxmlformats.org/officeDocument/2006/relationships/hyperlink" Target="https://www.geonames.org/758252/" TargetMode="External"/><Relationship Id="rId619" Type="http://schemas.openxmlformats.org/officeDocument/2006/relationships/hyperlink" Target="https://www.geonames.org/693301/" TargetMode="External"/><Relationship Id="rId95" Type="http://schemas.openxmlformats.org/officeDocument/2006/relationships/hyperlink" Target="https://www.geonames.org/3088694/" TargetMode="External"/><Relationship Id="rId160" Type="http://schemas.openxmlformats.org/officeDocument/2006/relationships/hyperlink" Target="https://www.geonames.org/763534/" TargetMode="External"/><Relationship Id="rId216" Type="http://schemas.openxmlformats.org/officeDocument/2006/relationships/hyperlink" Target="https://www.geonames.org/3077594/" TargetMode="External"/><Relationship Id="rId423" Type="http://schemas.openxmlformats.org/officeDocument/2006/relationships/hyperlink" Target="https://www.geonames.org/753394/" TargetMode="External"/><Relationship Id="rId258" Type="http://schemas.openxmlformats.org/officeDocument/2006/relationships/hyperlink" Target="https://www.geonames.org/763121/" TargetMode="External"/><Relationship Id="rId465" Type="http://schemas.openxmlformats.org/officeDocument/2006/relationships/hyperlink" Target="https://www.geonames.org/756046/" TargetMode="External"/><Relationship Id="rId630" Type="http://schemas.openxmlformats.org/officeDocument/2006/relationships/hyperlink" Target="https://www.geonames.org/691825/" TargetMode="External"/><Relationship Id="rId672" Type="http://schemas.openxmlformats.org/officeDocument/2006/relationships/hyperlink" Target="https://www.geonames.org/690155/" TargetMode="External"/><Relationship Id="rId22" Type="http://schemas.openxmlformats.org/officeDocument/2006/relationships/hyperlink" Target="https://www.geonames.org/695781/" TargetMode="External"/><Relationship Id="rId64" Type="http://schemas.openxmlformats.org/officeDocument/2006/relationships/hyperlink" Target="https://www.geonames.org/3067770/" TargetMode="External"/><Relationship Id="rId118" Type="http://schemas.openxmlformats.org/officeDocument/2006/relationships/hyperlink" Target="https://www.geonames.org/697802/" TargetMode="External"/><Relationship Id="rId325" Type="http://schemas.openxmlformats.org/officeDocument/2006/relationships/hyperlink" Target="https://www.geonames.org/760987/" TargetMode="External"/><Relationship Id="rId367" Type="http://schemas.openxmlformats.org/officeDocument/2006/relationships/hyperlink" Target="https://www.geonames.org/711348/" TargetMode="External"/><Relationship Id="rId532" Type="http://schemas.openxmlformats.org/officeDocument/2006/relationships/hyperlink" Target="https://www.geonames.org/698142/" TargetMode="External"/><Relationship Id="rId574" Type="http://schemas.openxmlformats.org/officeDocument/2006/relationships/hyperlink" Target="https://www.geonames.org/692865/" TargetMode="External"/><Relationship Id="rId171" Type="http://schemas.openxmlformats.org/officeDocument/2006/relationships/hyperlink" Target="https://www.geonames.org/723246/" TargetMode="External"/><Relationship Id="rId227" Type="http://schemas.openxmlformats.org/officeDocument/2006/relationships/hyperlink" Target="https://www.geonames.org/707099/" TargetMode="External"/><Relationship Id="rId269" Type="http://schemas.openxmlformats.org/officeDocument/2006/relationships/hyperlink" Target="https://www.geonames.org/775922/" TargetMode="External"/><Relationship Id="rId434" Type="http://schemas.openxmlformats.org/officeDocument/2006/relationships/hyperlink" Target="https://www.geonames.org/695434/" TargetMode="External"/><Relationship Id="rId476" Type="http://schemas.openxmlformats.org/officeDocument/2006/relationships/hyperlink" Target="https://www.geonames.org/3096401/" TargetMode="External"/><Relationship Id="rId641" Type="http://schemas.openxmlformats.org/officeDocument/2006/relationships/hyperlink" Target="https://www.geonames.org/771498/" TargetMode="External"/><Relationship Id="rId683" Type="http://schemas.openxmlformats.org/officeDocument/2006/relationships/hyperlink" Target="https://www.geonames.org/2950159/" TargetMode="External"/><Relationship Id="rId33" Type="http://schemas.openxmlformats.org/officeDocument/2006/relationships/hyperlink" Target="https://www.geonames.org/775922/" TargetMode="External"/><Relationship Id="rId129" Type="http://schemas.openxmlformats.org/officeDocument/2006/relationships/hyperlink" Target="https://www.geonames.org/691650/" TargetMode="External"/><Relationship Id="rId280" Type="http://schemas.openxmlformats.org/officeDocument/2006/relationships/hyperlink" Target="https://www.geonames.org/702550+I12:J13" TargetMode="External"/><Relationship Id="rId336" Type="http://schemas.openxmlformats.org/officeDocument/2006/relationships/hyperlink" Target="https://www.geonames.org/3173162/" TargetMode="External"/><Relationship Id="rId501" Type="http://schemas.openxmlformats.org/officeDocument/2006/relationships/hyperlink" Target="https://www.geonames.org/686762" TargetMode="External"/><Relationship Id="rId543" Type="http://schemas.openxmlformats.org/officeDocument/2006/relationships/hyperlink" Target="https://www.geonames.org/711416/" TargetMode="External"/><Relationship Id="rId75" Type="http://schemas.openxmlformats.org/officeDocument/2006/relationships/hyperlink" Target="https://www.geonames.org/3061729/" TargetMode="External"/><Relationship Id="rId140" Type="http://schemas.openxmlformats.org/officeDocument/2006/relationships/hyperlink" Target="https://www.geonames.org/691650/" TargetMode="External"/><Relationship Id="rId182" Type="http://schemas.openxmlformats.org/officeDocument/2006/relationships/hyperlink" Target="https://www.geonames.org/3065743/" TargetMode="External"/><Relationship Id="rId378" Type="http://schemas.openxmlformats.org/officeDocument/2006/relationships/hyperlink" Target="https://www.geonames.org/711134/" TargetMode="External"/><Relationship Id="rId403" Type="http://schemas.openxmlformats.org/officeDocument/2006/relationships/hyperlink" Target="https://www.geonames.org/723609/" TargetMode="External"/><Relationship Id="rId585" Type="http://schemas.openxmlformats.org/officeDocument/2006/relationships/hyperlink" Target="https://www.geonames.org/686895/" TargetMode="External"/><Relationship Id="rId6" Type="http://schemas.openxmlformats.org/officeDocument/2006/relationships/hyperlink" Target="https://www.geonames.org/702550+I12:J13" TargetMode="External"/><Relationship Id="rId238" Type="http://schemas.openxmlformats.org/officeDocument/2006/relationships/hyperlink" Target="https://www.geonames.org/763121/" TargetMode="External"/><Relationship Id="rId445" Type="http://schemas.openxmlformats.org/officeDocument/2006/relationships/hyperlink" Target="https://www.geonames.org/771069/" TargetMode="External"/><Relationship Id="rId487" Type="http://schemas.openxmlformats.org/officeDocument/2006/relationships/hyperlink" Target="https://www.geonames.org/711887/" TargetMode="External"/><Relationship Id="rId610" Type="http://schemas.openxmlformats.org/officeDocument/2006/relationships/hyperlink" Target="https://www.geonames.org/771939/" TargetMode="External"/><Relationship Id="rId652" Type="http://schemas.openxmlformats.org/officeDocument/2006/relationships/hyperlink" Target="https://www.geonames.org/770966/" TargetMode="External"/><Relationship Id="rId291" Type="http://schemas.openxmlformats.org/officeDocument/2006/relationships/hyperlink" Target="https://www.geonames.org/771313/" TargetMode="External"/><Relationship Id="rId305" Type="http://schemas.openxmlformats.org/officeDocument/2006/relationships/hyperlink" Target="https://www.geonames.org/697140/" TargetMode="External"/><Relationship Id="rId347" Type="http://schemas.openxmlformats.org/officeDocument/2006/relationships/hyperlink" Target="https://www.geonames.org/692779/" TargetMode="External"/><Relationship Id="rId512" Type="http://schemas.openxmlformats.org/officeDocument/2006/relationships/hyperlink" Target="https://www.geonames.org/687826/" TargetMode="External"/><Relationship Id="rId44" Type="http://schemas.openxmlformats.org/officeDocument/2006/relationships/hyperlink" Target="https://www.geonames.org/3071645/" TargetMode="External"/><Relationship Id="rId86" Type="http://schemas.openxmlformats.org/officeDocument/2006/relationships/hyperlink" Target="https://www.geonames.org/762201/" TargetMode="External"/><Relationship Id="rId151" Type="http://schemas.openxmlformats.org/officeDocument/2006/relationships/hyperlink" Target="https://www.geonames.org/3067696/" TargetMode="External"/><Relationship Id="rId389" Type="http://schemas.openxmlformats.org/officeDocument/2006/relationships/hyperlink" Target="https://www.google.com/maps/place/Siedlce,+Poland/@52.1616252,22.2066828,12z/data=!3m1!4b1!4m5!3m4!1s0x471f5a4df670f065:0x48cc76a09ee72abe!8m2!3d52.1676031!4d22.2901645" TargetMode="External"/><Relationship Id="rId554" Type="http://schemas.openxmlformats.org/officeDocument/2006/relationships/hyperlink" Target="https://www.geonames.org/767814/" TargetMode="External"/><Relationship Id="rId596" Type="http://schemas.openxmlformats.org/officeDocument/2006/relationships/hyperlink" Target="https://www.geonames.org/685985/" TargetMode="External"/><Relationship Id="rId193" Type="http://schemas.openxmlformats.org/officeDocument/2006/relationships/hyperlink" Target="https://www.geonames.org/770380/" TargetMode="External"/><Relationship Id="rId207" Type="http://schemas.openxmlformats.org/officeDocument/2006/relationships/hyperlink" Target="https://www.geonames.org/770772/" TargetMode="External"/><Relationship Id="rId249" Type="http://schemas.openxmlformats.org/officeDocument/2006/relationships/hyperlink" Target="https://www.geonames.org/710554/" TargetMode="External"/><Relationship Id="rId414" Type="http://schemas.openxmlformats.org/officeDocument/2006/relationships/hyperlink" Target="https://www.geonames.org/769738/" TargetMode="External"/><Relationship Id="rId456" Type="http://schemas.openxmlformats.org/officeDocument/2006/relationships/hyperlink" Target="https://www.geonames.org/753394/" TargetMode="External"/><Relationship Id="rId498" Type="http://schemas.openxmlformats.org/officeDocument/2006/relationships/hyperlink" Target="https://www.geonames.org/3067978/" TargetMode="External"/><Relationship Id="rId621" Type="http://schemas.openxmlformats.org/officeDocument/2006/relationships/hyperlink" Target="https://www.geonames.org/712471" TargetMode="External"/><Relationship Id="rId663" Type="http://schemas.openxmlformats.org/officeDocument/2006/relationships/hyperlink" Target="https://www.geonames.org/11287952/" TargetMode="External"/><Relationship Id="rId13" Type="http://schemas.openxmlformats.org/officeDocument/2006/relationships/hyperlink" Target="https://www.geonames.org/764862/" TargetMode="External"/><Relationship Id="rId109" Type="http://schemas.openxmlformats.org/officeDocument/2006/relationships/hyperlink" Target="https://www.geonames.org/783814/" TargetMode="External"/><Relationship Id="rId260" Type="http://schemas.openxmlformats.org/officeDocument/2006/relationships/hyperlink" Target="https://www.geonames.org/758252/" TargetMode="External"/><Relationship Id="rId316" Type="http://schemas.openxmlformats.org/officeDocument/2006/relationships/hyperlink" Target="https://www.geonames.org/768217/" TargetMode="External"/><Relationship Id="rId523" Type="http://schemas.openxmlformats.org/officeDocument/2006/relationships/hyperlink" Target="https://www.geonames.org/3071392/" TargetMode="External"/><Relationship Id="rId55" Type="http://schemas.openxmlformats.org/officeDocument/2006/relationships/hyperlink" Target="https://www.geonames.org/3067696/" TargetMode="External"/><Relationship Id="rId97" Type="http://schemas.openxmlformats.org/officeDocument/2006/relationships/hyperlink" Target="https://www.geonames.org/3073371/" TargetMode="External"/><Relationship Id="rId120" Type="http://schemas.openxmlformats.org/officeDocument/2006/relationships/hyperlink" Target="https://www.geonames.org/757029/" TargetMode="External"/><Relationship Id="rId358" Type="http://schemas.openxmlformats.org/officeDocument/2006/relationships/hyperlink" Target="https://www.geonames.org/3069873/" TargetMode="External"/><Relationship Id="rId565" Type="http://schemas.openxmlformats.org/officeDocument/2006/relationships/hyperlink" Target="https://www.geonames.org/709611/" TargetMode="External"/><Relationship Id="rId162" Type="http://schemas.openxmlformats.org/officeDocument/2006/relationships/hyperlink" Target="https://www.geonames.org/717980/" TargetMode="External"/><Relationship Id="rId218" Type="http://schemas.openxmlformats.org/officeDocument/2006/relationships/hyperlink" Target="https://www.geonames.org/723909/" TargetMode="External"/><Relationship Id="rId425" Type="http://schemas.openxmlformats.org/officeDocument/2006/relationships/hyperlink" Target="https://www.geonames.org/768218/" TargetMode="External"/><Relationship Id="rId467" Type="http://schemas.openxmlformats.org/officeDocument/2006/relationships/hyperlink" Target="https://www.geonames.org/769738/" TargetMode="External"/><Relationship Id="rId632" Type="http://schemas.openxmlformats.org/officeDocument/2006/relationships/hyperlink" Target="https://www.geonames.org/767814/" TargetMode="External"/><Relationship Id="rId271" Type="http://schemas.openxmlformats.org/officeDocument/2006/relationships/hyperlink" Target="https://www.geonames.org/765876/" TargetMode="External"/><Relationship Id="rId674" Type="http://schemas.openxmlformats.org/officeDocument/2006/relationships/hyperlink" Target="https://www.geonames.org/690155/" TargetMode="External"/><Relationship Id="rId24" Type="http://schemas.openxmlformats.org/officeDocument/2006/relationships/hyperlink" Target="https://www.geonames.org/758252/" TargetMode="External"/><Relationship Id="rId66" Type="http://schemas.openxmlformats.org/officeDocument/2006/relationships/hyperlink" Target="https://www.geonames.org/3075606/" TargetMode="External"/><Relationship Id="rId131" Type="http://schemas.openxmlformats.org/officeDocument/2006/relationships/hyperlink" Target="https://www.geonames.org/691650/" TargetMode="External"/><Relationship Id="rId327" Type="http://schemas.openxmlformats.org/officeDocument/2006/relationships/hyperlink" Target="https://www.geonames.org/702550+I12:J13" TargetMode="External"/><Relationship Id="rId369" Type="http://schemas.openxmlformats.org/officeDocument/2006/relationships/hyperlink" Target="https://www.geonames.org/702550+I12:J13" TargetMode="External"/><Relationship Id="rId534" Type="http://schemas.openxmlformats.org/officeDocument/2006/relationships/hyperlink" Target="https://www.geonames.org/3075053/" TargetMode="External"/><Relationship Id="rId576" Type="http://schemas.openxmlformats.org/officeDocument/2006/relationships/hyperlink" Target="https://www.geonames.org/772086/" TargetMode="External"/><Relationship Id="rId173" Type="http://schemas.openxmlformats.org/officeDocument/2006/relationships/hyperlink" Target="https://www.geonames.org/3064373/" TargetMode="External"/><Relationship Id="rId229" Type="http://schemas.openxmlformats.org/officeDocument/2006/relationships/hyperlink" Target="https://www.geonames.org/756624/" TargetMode="External"/><Relationship Id="rId380" Type="http://schemas.openxmlformats.org/officeDocument/2006/relationships/hyperlink" Target="https://www.geonames.org/711134/" TargetMode="External"/><Relationship Id="rId436" Type="http://schemas.openxmlformats.org/officeDocument/2006/relationships/hyperlink" Target="https://www.geonames.org/753787/" TargetMode="External"/><Relationship Id="rId601" Type="http://schemas.openxmlformats.org/officeDocument/2006/relationships/hyperlink" Target="https://www.geonames.org/771313/" TargetMode="External"/><Relationship Id="rId643" Type="http://schemas.openxmlformats.org/officeDocument/2006/relationships/hyperlink" Target="https://www.geonames.org/756438/" TargetMode="External"/><Relationship Id="rId240" Type="http://schemas.openxmlformats.org/officeDocument/2006/relationships/hyperlink" Target="https://www.geonames.org/767623/" TargetMode="External"/><Relationship Id="rId478" Type="http://schemas.openxmlformats.org/officeDocument/2006/relationships/hyperlink" Target="https://www.geonames.org/763111/" TargetMode="External"/><Relationship Id="rId685" Type="http://schemas.openxmlformats.org/officeDocument/2006/relationships/hyperlink" Target="https://www.geonames.org/3186886/" TargetMode="External"/><Relationship Id="rId35" Type="http://schemas.openxmlformats.org/officeDocument/2006/relationships/hyperlink" Target="https://www.geonames.org/687455/" TargetMode="External"/><Relationship Id="rId77" Type="http://schemas.openxmlformats.org/officeDocument/2006/relationships/hyperlink" Target="https://www.geonames.org/3073371/" TargetMode="External"/><Relationship Id="rId100" Type="http://schemas.openxmlformats.org/officeDocument/2006/relationships/hyperlink" Target="https://www.geonames.org/753022/" TargetMode="External"/><Relationship Id="rId282" Type="http://schemas.openxmlformats.org/officeDocument/2006/relationships/hyperlink" Target="https://www.geonames.org/761131/" TargetMode="External"/><Relationship Id="rId338" Type="http://schemas.openxmlformats.org/officeDocument/2006/relationships/hyperlink" Target="https://www.geonames.org/8954925/" TargetMode="External"/><Relationship Id="rId503" Type="http://schemas.openxmlformats.org/officeDocument/2006/relationships/hyperlink" Target="https://www.geonames.org/712471" TargetMode="External"/><Relationship Id="rId545" Type="http://schemas.openxmlformats.org/officeDocument/2006/relationships/hyperlink" Target="https://www.geonames.org/687093/" TargetMode="External"/><Relationship Id="rId587" Type="http://schemas.openxmlformats.org/officeDocument/2006/relationships/hyperlink" Target="https://www.geonames.org/754090/" TargetMode="External"/><Relationship Id="rId8" Type="http://schemas.openxmlformats.org/officeDocument/2006/relationships/hyperlink" Target="https://www.geonames.org/760657/" TargetMode="External"/><Relationship Id="rId142" Type="http://schemas.openxmlformats.org/officeDocument/2006/relationships/hyperlink" Target="https://www.geonames.org/711416/" TargetMode="External"/><Relationship Id="rId184" Type="http://schemas.openxmlformats.org/officeDocument/2006/relationships/hyperlink" Target="https://www.geonames.org/724632" TargetMode="External"/><Relationship Id="rId391" Type="http://schemas.openxmlformats.org/officeDocument/2006/relationships/hyperlink" Target="https://www.geonames.org/687093/" TargetMode="External"/><Relationship Id="rId405" Type="http://schemas.openxmlformats.org/officeDocument/2006/relationships/hyperlink" Target="https://www.geonames.org/769738/" TargetMode="External"/><Relationship Id="rId447" Type="http://schemas.openxmlformats.org/officeDocument/2006/relationships/hyperlink" Target="https://www.geonames.org/771687/" TargetMode="External"/><Relationship Id="rId612" Type="http://schemas.openxmlformats.org/officeDocument/2006/relationships/hyperlink" Target="https://www.geonames.org/695781/" TargetMode="External"/><Relationship Id="rId251" Type="http://schemas.openxmlformats.org/officeDocument/2006/relationships/hyperlink" Target="https://www.geonames.org/693376/" TargetMode="External"/><Relationship Id="rId489" Type="http://schemas.openxmlformats.org/officeDocument/2006/relationships/hyperlink" Target="https://www.geonames.org/770380/" TargetMode="External"/><Relationship Id="rId654" Type="http://schemas.openxmlformats.org/officeDocument/2006/relationships/hyperlink" Target="https://www.geonames.org/770966/" TargetMode="External"/><Relationship Id="rId46" Type="http://schemas.openxmlformats.org/officeDocument/2006/relationships/hyperlink" Target="https://www.geonames.org/3061188/" TargetMode="External"/><Relationship Id="rId293" Type="http://schemas.openxmlformats.org/officeDocument/2006/relationships/hyperlink" Target="https://www.geonames.org/756135/" TargetMode="External"/><Relationship Id="rId307" Type="http://schemas.openxmlformats.org/officeDocument/2006/relationships/hyperlink" Target="../../../vladimirberkovich/Library/Containers/com.microsoft.Excel/Data/vladimirberkovich/Desktop/Service%20Record%20Table/TEMP/MOISES,%20Herschel%20(1797-1799)/&#321;e&#808;czna,%20Poland" TargetMode="External"/><Relationship Id="rId349" Type="http://schemas.openxmlformats.org/officeDocument/2006/relationships/hyperlink" Target="https://www.geonames.org/667238/" TargetMode="External"/><Relationship Id="rId514" Type="http://schemas.openxmlformats.org/officeDocument/2006/relationships/hyperlink" Target="https://www.geonames.org/705392/" TargetMode="External"/><Relationship Id="rId556" Type="http://schemas.openxmlformats.org/officeDocument/2006/relationships/hyperlink" Target="https://www.geonames.org/11696055/" TargetMode="External"/><Relationship Id="rId88" Type="http://schemas.openxmlformats.org/officeDocument/2006/relationships/hyperlink" Target="https://www.geonames.org/776175/" TargetMode="External"/><Relationship Id="rId111" Type="http://schemas.openxmlformats.org/officeDocument/2006/relationships/hyperlink" Target="https://www.geonames.org/789518/" TargetMode="External"/><Relationship Id="rId153" Type="http://schemas.openxmlformats.org/officeDocument/2006/relationships/hyperlink" Target="https://www.geonames.org/3061750/" TargetMode="External"/><Relationship Id="rId195" Type="http://schemas.openxmlformats.org/officeDocument/2006/relationships/hyperlink" Target="https://www.geonames.org/724107/" TargetMode="External"/><Relationship Id="rId209" Type="http://schemas.openxmlformats.org/officeDocument/2006/relationships/hyperlink" Target="https://www.geonames.org/711416/" TargetMode="External"/><Relationship Id="rId360" Type="http://schemas.openxmlformats.org/officeDocument/2006/relationships/hyperlink" Target="https://www.geonames.org/767814/" TargetMode="External"/><Relationship Id="rId416" Type="http://schemas.openxmlformats.org/officeDocument/2006/relationships/hyperlink" Target="https://www.geonames.org/756046/" TargetMode="External"/><Relationship Id="rId598" Type="http://schemas.openxmlformats.org/officeDocument/2006/relationships/hyperlink" Target="https://www.geonames.org/700646/" TargetMode="External"/><Relationship Id="rId220" Type="http://schemas.openxmlformats.org/officeDocument/2006/relationships/hyperlink" Target="https://www.geonames.org/759734/" TargetMode="External"/><Relationship Id="rId458" Type="http://schemas.openxmlformats.org/officeDocument/2006/relationships/hyperlink" Target="https://www.geonames.org/759412/" TargetMode="External"/><Relationship Id="rId623" Type="http://schemas.openxmlformats.org/officeDocument/2006/relationships/hyperlink" Target="https://www.geonames.org/703716/" TargetMode="External"/><Relationship Id="rId665" Type="http://schemas.openxmlformats.org/officeDocument/2006/relationships/hyperlink" Target="https://www.geonames.org/763829/" TargetMode="External"/><Relationship Id="rId15" Type="http://schemas.openxmlformats.org/officeDocument/2006/relationships/hyperlink" Target="https://www.geonames.org/3078234/" TargetMode="External"/><Relationship Id="rId57" Type="http://schemas.openxmlformats.org/officeDocument/2006/relationships/hyperlink" Target="https://www.geonames.org/3071339/" TargetMode="External"/><Relationship Id="rId262" Type="http://schemas.openxmlformats.org/officeDocument/2006/relationships/hyperlink" Target="https://www.geonames.org/705392/" TargetMode="External"/><Relationship Id="rId318" Type="http://schemas.openxmlformats.org/officeDocument/2006/relationships/hyperlink" Target="https://www.geonames.org/758252/" TargetMode="External"/><Relationship Id="rId525" Type="http://schemas.openxmlformats.org/officeDocument/2006/relationships/hyperlink" Target="https://www.geonames.org/12128969" TargetMode="External"/><Relationship Id="rId567" Type="http://schemas.openxmlformats.org/officeDocument/2006/relationships/hyperlink" Target="https://www.geonames.org/690960/" TargetMode="External"/><Relationship Id="rId99" Type="http://schemas.openxmlformats.org/officeDocument/2006/relationships/hyperlink" Target="https://www.geonames.org/3065743/" TargetMode="External"/><Relationship Id="rId122" Type="http://schemas.openxmlformats.org/officeDocument/2006/relationships/hyperlink" Target="https://www.geonames.org/8426072/" TargetMode="External"/><Relationship Id="rId164" Type="http://schemas.openxmlformats.org/officeDocument/2006/relationships/hyperlink" Target="https://www.geonames.org/724468/" TargetMode="External"/><Relationship Id="rId371" Type="http://schemas.openxmlformats.org/officeDocument/2006/relationships/hyperlink" Target="https://www.geonames.org/688790/" TargetMode="External"/><Relationship Id="rId427" Type="http://schemas.openxmlformats.org/officeDocument/2006/relationships/hyperlink" Target="https://www.geonames.org/761008/" TargetMode="External"/><Relationship Id="rId469" Type="http://schemas.openxmlformats.org/officeDocument/2006/relationships/hyperlink" Target="https://www.geonames.org/773389/" TargetMode="External"/><Relationship Id="rId634" Type="http://schemas.openxmlformats.org/officeDocument/2006/relationships/hyperlink" Target="https://www.geonames.org/767814/" TargetMode="External"/><Relationship Id="rId676" Type="http://schemas.openxmlformats.org/officeDocument/2006/relationships/hyperlink" Target="https://www.geonames.org/3094802/" TargetMode="External"/><Relationship Id="rId26" Type="http://schemas.openxmlformats.org/officeDocument/2006/relationships/hyperlink" Target="https://www.geonames.org/673634/" TargetMode="External"/><Relationship Id="rId231" Type="http://schemas.openxmlformats.org/officeDocument/2006/relationships/hyperlink" Target="https://www.google.com/maps/place/27-400+Ostrowiec,+Poland/@50.9493601,21.336445,12z/data=!4m5!3m4!1s0x4718090859a93061:0x9d6c98b21ad8f8f3!8m2!3d50.9295479!4d21.385231" TargetMode="External"/><Relationship Id="rId273" Type="http://schemas.openxmlformats.org/officeDocument/2006/relationships/hyperlink" Target="../../../vladimirberkovich/Library/Containers/com.microsoft.Excel/Data/Library/Application%20Support/Microsoft/Z%20FULL%20Service%20Records/BALDIS:BARTLEL,%20Victor%20(1799-1805:6)%20%5bConvert%3f%5d/Wodzis&#322;aw,%20Poland" TargetMode="External"/><Relationship Id="rId329" Type="http://schemas.openxmlformats.org/officeDocument/2006/relationships/hyperlink" Target="https://www.geonames.org/709909/" TargetMode="External"/><Relationship Id="rId480" Type="http://schemas.openxmlformats.org/officeDocument/2006/relationships/hyperlink" Target="https://www.geonames.org/759412/" TargetMode="External"/><Relationship Id="rId536" Type="http://schemas.openxmlformats.org/officeDocument/2006/relationships/hyperlink" Target="https://www.geonames.org/773808/" TargetMode="External"/><Relationship Id="rId68" Type="http://schemas.openxmlformats.org/officeDocument/2006/relationships/hyperlink" Target="https://www.geonames.org/3069834/" TargetMode="External"/><Relationship Id="rId133" Type="http://schemas.openxmlformats.org/officeDocument/2006/relationships/hyperlink" Target="https://www.geonames.org/756046/" TargetMode="External"/><Relationship Id="rId175" Type="http://schemas.openxmlformats.org/officeDocument/2006/relationships/hyperlink" Target="https://www.geonames.org/3071194/" TargetMode="External"/><Relationship Id="rId340" Type="http://schemas.openxmlformats.org/officeDocument/2006/relationships/hyperlink" Target="https://www.geonames.org/698598/" TargetMode="External"/><Relationship Id="rId578" Type="http://schemas.openxmlformats.org/officeDocument/2006/relationships/hyperlink" Target="https://www.geonames.org/712126/" TargetMode="External"/><Relationship Id="rId200" Type="http://schemas.openxmlformats.org/officeDocument/2006/relationships/hyperlink" Target="https://www.geonames.org/766452/" TargetMode="External"/><Relationship Id="rId382" Type="http://schemas.openxmlformats.org/officeDocument/2006/relationships/hyperlink" Target="https://www.geonames.org/711134/" TargetMode="External"/><Relationship Id="rId438" Type="http://schemas.openxmlformats.org/officeDocument/2006/relationships/hyperlink" Target="https://www.geonames.org/3103644/" TargetMode="External"/><Relationship Id="rId603" Type="http://schemas.openxmlformats.org/officeDocument/2006/relationships/hyperlink" Target="https://www.geonames.org/699076/" TargetMode="External"/><Relationship Id="rId645" Type="http://schemas.openxmlformats.org/officeDocument/2006/relationships/hyperlink" Target="https://www.geonames.org/757029/" TargetMode="External"/><Relationship Id="rId687" Type="http://schemas.openxmlformats.org/officeDocument/2006/relationships/hyperlink" Target="https://www.geonames.org/687093/" TargetMode="External"/><Relationship Id="rId242" Type="http://schemas.openxmlformats.org/officeDocument/2006/relationships/hyperlink" Target="https://www.geonames.org/766980/" TargetMode="External"/><Relationship Id="rId284" Type="http://schemas.openxmlformats.org/officeDocument/2006/relationships/hyperlink" Target="https://www.geonames.org/770001/" TargetMode="External"/><Relationship Id="rId491" Type="http://schemas.openxmlformats.org/officeDocument/2006/relationships/hyperlink" Target="https://www.geonames.org/770380/" TargetMode="External"/><Relationship Id="rId505" Type="http://schemas.openxmlformats.org/officeDocument/2006/relationships/hyperlink" Target="https://www.geonames.org/702550+I12:J13" TargetMode="External"/><Relationship Id="rId37" Type="http://schemas.openxmlformats.org/officeDocument/2006/relationships/hyperlink" Target="https://www.geonames.org/3060972/" TargetMode="External"/><Relationship Id="rId79" Type="http://schemas.openxmlformats.org/officeDocument/2006/relationships/hyperlink" Target="https://www.geonames.org/3064104/" TargetMode="External"/><Relationship Id="rId102" Type="http://schemas.openxmlformats.org/officeDocument/2006/relationships/hyperlink" Target="https://www.geonames.org/702569/" TargetMode="External"/><Relationship Id="rId144" Type="http://schemas.openxmlformats.org/officeDocument/2006/relationships/hyperlink" Target="https://www.geonames.org/711416/" TargetMode="External"/><Relationship Id="rId547" Type="http://schemas.openxmlformats.org/officeDocument/2006/relationships/hyperlink" Target="https://www.geonames.org/701119/" TargetMode="External"/><Relationship Id="rId589" Type="http://schemas.openxmlformats.org/officeDocument/2006/relationships/hyperlink" Target="https://www.geonames.org/716860/" TargetMode="External"/><Relationship Id="rId90" Type="http://schemas.openxmlformats.org/officeDocument/2006/relationships/hyperlink" Target="https://www.geonames.org/3099434/" TargetMode="External"/><Relationship Id="rId186" Type="http://schemas.openxmlformats.org/officeDocument/2006/relationships/hyperlink" Target="https://www.geonames.org/720533/" TargetMode="External"/><Relationship Id="rId351" Type="http://schemas.openxmlformats.org/officeDocument/2006/relationships/hyperlink" Target="https://www.geonames.org/755439/" TargetMode="External"/><Relationship Id="rId393" Type="http://schemas.openxmlformats.org/officeDocument/2006/relationships/hyperlink" Target="https://www.geonames.org/776175/" TargetMode="External"/><Relationship Id="rId407" Type="http://schemas.openxmlformats.org/officeDocument/2006/relationships/hyperlink" Target="https://www.google.com/maps/place/Ka%C5%82uszyn,+Poland/@52.2139355,21.743758,12z/data=!3m1!4b1!4m5!3m4!1s0x471f3745bb35b963:0xe8ec1c02ee4cf5cc!8m2!3d52.2067049!4d21.808426" TargetMode="External"/><Relationship Id="rId449" Type="http://schemas.openxmlformats.org/officeDocument/2006/relationships/hyperlink" Target="https://www.geonames.org/758252/" TargetMode="External"/><Relationship Id="rId614" Type="http://schemas.openxmlformats.org/officeDocument/2006/relationships/hyperlink" Target="https://www.geonames.org/690873/" TargetMode="External"/><Relationship Id="rId656" Type="http://schemas.openxmlformats.org/officeDocument/2006/relationships/hyperlink" Target="https://www.geonames.org/710554/" TargetMode="External"/><Relationship Id="rId211" Type="http://schemas.openxmlformats.org/officeDocument/2006/relationships/hyperlink" Target="https://www.geonames.org/700696/" TargetMode="External"/><Relationship Id="rId253" Type="http://schemas.openxmlformats.org/officeDocument/2006/relationships/hyperlink" Target="https://www.geonames.org/774730/" TargetMode="External"/><Relationship Id="rId295" Type="http://schemas.openxmlformats.org/officeDocument/2006/relationships/hyperlink" Target="https://www.geonames.org/767198/" TargetMode="External"/><Relationship Id="rId309" Type="http://schemas.openxmlformats.org/officeDocument/2006/relationships/hyperlink" Target="https://www.geonames.org/705392/" TargetMode="External"/><Relationship Id="rId460" Type="http://schemas.openxmlformats.org/officeDocument/2006/relationships/hyperlink" Target="https://www.geonames.org/759412/" TargetMode="External"/><Relationship Id="rId516" Type="http://schemas.openxmlformats.org/officeDocument/2006/relationships/hyperlink" Target="https://www.geonames.org/765749/" TargetMode="External"/><Relationship Id="rId48" Type="http://schemas.openxmlformats.org/officeDocument/2006/relationships/hyperlink" Target="https://www.geonames.org/2761369/" TargetMode="External"/><Relationship Id="rId113" Type="http://schemas.openxmlformats.org/officeDocument/2006/relationships/hyperlink" Target="https://www.geonames.org/686578/" TargetMode="External"/><Relationship Id="rId320" Type="http://schemas.openxmlformats.org/officeDocument/2006/relationships/hyperlink" Target="https://www.geonames.org/766591/" TargetMode="External"/><Relationship Id="rId558" Type="http://schemas.openxmlformats.org/officeDocument/2006/relationships/hyperlink" Target="https://www.geonames.org/687093/" TargetMode="External"/><Relationship Id="rId155" Type="http://schemas.openxmlformats.org/officeDocument/2006/relationships/hyperlink" Target="https://www.geonames.org/3058477/" TargetMode="External"/><Relationship Id="rId197" Type="http://schemas.openxmlformats.org/officeDocument/2006/relationships/hyperlink" Target="https://www.geonames.org/724443/" TargetMode="External"/><Relationship Id="rId362" Type="http://schemas.openxmlformats.org/officeDocument/2006/relationships/hyperlink" Target="https://www.geonames.org/772896/" TargetMode="External"/><Relationship Id="rId418" Type="http://schemas.openxmlformats.org/officeDocument/2006/relationships/hyperlink" Target="https://www.geonames.org/776175/" TargetMode="External"/><Relationship Id="rId625" Type="http://schemas.openxmlformats.org/officeDocument/2006/relationships/hyperlink" Target="https://www.geonames.org/704540/" TargetMode="External"/><Relationship Id="rId222" Type="http://schemas.openxmlformats.org/officeDocument/2006/relationships/hyperlink" Target="https://www.geonames.org/3085867/" TargetMode="External"/><Relationship Id="rId264" Type="http://schemas.openxmlformats.org/officeDocument/2006/relationships/hyperlink" Target="https://www.geonames.org/754507/" TargetMode="External"/><Relationship Id="rId471" Type="http://schemas.openxmlformats.org/officeDocument/2006/relationships/hyperlink" Target="https://www.geonames.org/3101547/" TargetMode="External"/><Relationship Id="rId667" Type="http://schemas.openxmlformats.org/officeDocument/2006/relationships/hyperlink" Target="https://www.geonames.org/756438/" TargetMode="External"/><Relationship Id="rId17" Type="http://schemas.openxmlformats.org/officeDocument/2006/relationships/hyperlink" Target="https://www.geonames.org/763121/" TargetMode="External"/><Relationship Id="rId59" Type="http://schemas.openxmlformats.org/officeDocument/2006/relationships/hyperlink" Target="https://www.geonames.org/3063561/" TargetMode="External"/><Relationship Id="rId124" Type="http://schemas.openxmlformats.org/officeDocument/2006/relationships/hyperlink" Target="https://www.geonames.org/3075841/" TargetMode="External"/><Relationship Id="rId527" Type="http://schemas.openxmlformats.org/officeDocument/2006/relationships/hyperlink" Target="https://www.geonames.org/3071879/" TargetMode="External"/><Relationship Id="rId569" Type="http://schemas.openxmlformats.org/officeDocument/2006/relationships/hyperlink" Target="https://www.geonames.org/753866/" TargetMode="External"/><Relationship Id="rId70" Type="http://schemas.openxmlformats.org/officeDocument/2006/relationships/hyperlink" Target="https://www.geonames.org/3059979/" TargetMode="External"/><Relationship Id="rId166" Type="http://schemas.openxmlformats.org/officeDocument/2006/relationships/hyperlink" Target="https://www.geonames.org/700646/" TargetMode="External"/><Relationship Id="rId331" Type="http://schemas.openxmlformats.org/officeDocument/2006/relationships/hyperlink" Target="https://www.geonames.org/702550+I12:J13" TargetMode="External"/><Relationship Id="rId373" Type="http://schemas.openxmlformats.org/officeDocument/2006/relationships/hyperlink" Target="https://www.geonames.org/697692/" TargetMode="External"/><Relationship Id="rId429" Type="http://schemas.openxmlformats.org/officeDocument/2006/relationships/hyperlink" Target="https://www.geonames.org/763111/" TargetMode="External"/><Relationship Id="rId580" Type="http://schemas.openxmlformats.org/officeDocument/2006/relationships/hyperlink" Target="https://www.geonames.org/3180208/" TargetMode="External"/><Relationship Id="rId636" Type="http://schemas.openxmlformats.org/officeDocument/2006/relationships/hyperlink" Target="https://www.geonames.org/766137/" TargetMode="External"/><Relationship Id="rId1" Type="http://schemas.openxmlformats.org/officeDocument/2006/relationships/hyperlink" Target="https://www.geonames.org/3089658/" TargetMode="External"/><Relationship Id="rId233" Type="http://schemas.openxmlformats.org/officeDocument/2006/relationships/hyperlink" Target="https://www.geonames.org/691650/" TargetMode="External"/><Relationship Id="rId440" Type="http://schemas.openxmlformats.org/officeDocument/2006/relationships/hyperlink" Target="https://www.geonames.org/759412/" TargetMode="External"/><Relationship Id="rId678" Type="http://schemas.openxmlformats.org/officeDocument/2006/relationships/hyperlink" Target="https://www.geonames.org/763545/" TargetMode="External"/><Relationship Id="rId28" Type="http://schemas.openxmlformats.org/officeDocument/2006/relationships/hyperlink" Target="https://www.geonames.org/765749/" TargetMode="External"/><Relationship Id="rId275" Type="http://schemas.openxmlformats.org/officeDocument/2006/relationships/hyperlink" Target="https://www.geonames.org/2845694/" TargetMode="External"/><Relationship Id="rId300" Type="http://schemas.openxmlformats.org/officeDocument/2006/relationships/hyperlink" Target="https://www.geonames.org/771069/" TargetMode="External"/><Relationship Id="rId482" Type="http://schemas.openxmlformats.org/officeDocument/2006/relationships/hyperlink" Target="https://www.geonames.org/712374/" TargetMode="External"/><Relationship Id="rId538" Type="http://schemas.openxmlformats.org/officeDocument/2006/relationships/hyperlink" Target="https://www.geonames.org/757050/" TargetMode="External"/><Relationship Id="rId81" Type="http://schemas.openxmlformats.org/officeDocument/2006/relationships/hyperlink" Target="https://www.geonames.org/695781/" TargetMode="External"/><Relationship Id="rId135" Type="http://schemas.openxmlformats.org/officeDocument/2006/relationships/hyperlink" Target="https://www.geonames.org/711416/" TargetMode="External"/><Relationship Id="rId177" Type="http://schemas.openxmlformats.org/officeDocument/2006/relationships/hyperlink" Target="https://www.geonames.org/724579/" TargetMode="External"/><Relationship Id="rId342" Type="http://schemas.openxmlformats.org/officeDocument/2006/relationships/hyperlink" Target="https://www.geonames.org/771590/" TargetMode="External"/><Relationship Id="rId384" Type="http://schemas.openxmlformats.org/officeDocument/2006/relationships/hyperlink" Target="https://www.geonames.org/693376/" TargetMode="External"/><Relationship Id="rId591" Type="http://schemas.openxmlformats.org/officeDocument/2006/relationships/hyperlink" Target="https://www.geonames.org/688746/" TargetMode="External"/><Relationship Id="rId605" Type="http://schemas.openxmlformats.org/officeDocument/2006/relationships/hyperlink" Target="https://www.geonames.org/724144/" TargetMode="External"/><Relationship Id="rId202" Type="http://schemas.openxmlformats.org/officeDocument/2006/relationships/hyperlink" Target="https://www.geonames.org/776331/" TargetMode="External"/><Relationship Id="rId244" Type="http://schemas.openxmlformats.org/officeDocument/2006/relationships/hyperlink" Target="https://www.geonames.org/707099/" TargetMode="External"/><Relationship Id="rId647" Type="http://schemas.openxmlformats.org/officeDocument/2006/relationships/hyperlink" Target="https://www.geonames.org/770966/" TargetMode="External"/><Relationship Id="rId689" Type="http://schemas.openxmlformats.org/officeDocument/2006/relationships/hyperlink" Target="https://www.geonames.org/756377/" TargetMode="External"/><Relationship Id="rId39" Type="http://schemas.openxmlformats.org/officeDocument/2006/relationships/hyperlink" Target="https://www.geonames.org/756484" TargetMode="External"/><Relationship Id="rId286" Type="http://schemas.openxmlformats.org/officeDocument/2006/relationships/hyperlink" Target="https://www.geonames.org/629634/" TargetMode="External"/><Relationship Id="rId451" Type="http://schemas.openxmlformats.org/officeDocument/2006/relationships/hyperlink" Target="https://www.geonames.org/756046/" TargetMode="External"/><Relationship Id="rId493" Type="http://schemas.openxmlformats.org/officeDocument/2006/relationships/hyperlink" Target="https://www.geonames.org/773877/" TargetMode="External"/><Relationship Id="rId507" Type="http://schemas.openxmlformats.org/officeDocument/2006/relationships/hyperlink" Target="https://www.geonames.org/710554/" TargetMode="External"/><Relationship Id="rId549" Type="http://schemas.openxmlformats.org/officeDocument/2006/relationships/hyperlink" Target="https://www.geonames.org/753866/" TargetMode="External"/><Relationship Id="rId50" Type="http://schemas.openxmlformats.org/officeDocument/2006/relationships/hyperlink" Target="https://www.geonames.org/3061360/" TargetMode="External"/><Relationship Id="rId104" Type="http://schemas.openxmlformats.org/officeDocument/2006/relationships/hyperlink" Target="https://www.geonames.org/691016/" TargetMode="External"/><Relationship Id="rId146" Type="http://schemas.openxmlformats.org/officeDocument/2006/relationships/hyperlink" Target="https://www.geonames.org/711416/" TargetMode="External"/><Relationship Id="rId188" Type="http://schemas.openxmlformats.org/officeDocument/2006/relationships/hyperlink" Target="https://www.geonames.org/3076573/" TargetMode="External"/><Relationship Id="rId311" Type="http://schemas.openxmlformats.org/officeDocument/2006/relationships/hyperlink" Target="https://www.geonames.org/757182/" TargetMode="External"/><Relationship Id="rId353" Type="http://schemas.openxmlformats.org/officeDocument/2006/relationships/hyperlink" Target="https://www.geonames.org/687093/" TargetMode="External"/><Relationship Id="rId395" Type="http://schemas.openxmlformats.org/officeDocument/2006/relationships/hyperlink" Target="https://www.google.at/maps/place/Siedlce,+Poland/@52.1616253,22.2068543,12z/data=!3m1!4b1!4m5!3m4!1s0x471f5a4df670f065:0x48cc76a09ee72abe!8m2!3d52.1676031!4d22.2901645" TargetMode="External"/><Relationship Id="rId409" Type="http://schemas.openxmlformats.org/officeDocument/2006/relationships/hyperlink" Target="https://www.geonames.org/756046/" TargetMode="External"/><Relationship Id="rId560" Type="http://schemas.openxmlformats.org/officeDocument/2006/relationships/hyperlink" Target="https://www.geonames.org/3075878/" TargetMode="External"/><Relationship Id="rId92" Type="http://schemas.openxmlformats.org/officeDocument/2006/relationships/hyperlink" Target="https://www.geonames.org/768846/" TargetMode="External"/><Relationship Id="rId213" Type="http://schemas.openxmlformats.org/officeDocument/2006/relationships/hyperlink" Target="https://www.geonames.org/680366/" TargetMode="External"/><Relationship Id="rId420" Type="http://schemas.openxmlformats.org/officeDocument/2006/relationships/hyperlink" Target="https://www.geonames.org/775493/" TargetMode="External"/><Relationship Id="rId616" Type="http://schemas.openxmlformats.org/officeDocument/2006/relationships/hyperlink" Target="https://www.geonames.org/687093/" TargetMode="External"/><Relationship Id="rId658" Type="http://schemas.openxmlformats.org/officeDocument/2006/relationships/hyperlink" Target="https://www.geonames.org/710554/" TargetMode="External"/><Relationship Id="rId255" Type="http://schemas.openxmlformats.org/officeDocument/2006/relationships/hyperlink" Target="https://www.geonames.org/711416/" TargetMode="External"/><Relationship Id="rId297" Type="http://schemas.openxmlformats.org/officeDocument/2006/relationships/hyperlink" Target="https://www.geonames.org/692702/" TargetMode="External"/><Relationship Id="rId462" Type="http://schemas.openxmlformats.org/officeDocument/2006/relationships/hyperlink" Target="https://www.geonames.org/765876/" TargetMode="External"/><Relationship Id="rId518" Type="http://schemas.openxmlformats.org/officeDocument/2006/relationships/hyperlink" Target="https://www.geonames.org/756794/" TargetMode="External"/><Relationship Id="rId115" Type="http://schemas.openxmlformats.org/officeDocument/2006/relationships/hyperlink" Target="https://www.geonames.org/3054809/" TargetMode="External"/><Relationship Id="rId157" Type="http://schemas.openxmlformats.org/officeDocument/2006/relationships/hyperlink" Target="https://www.geonames.org/702550+I12:J13" TargetMode="External"/><Relationship Id="rId322" Type="http://schemas.openxmlformats.org/officeDocument/2006/relationships/hyperlink" Target="https://www.geonames.org/759603/" TargetMode="External"/><Relationship Id="rId364" Type="http://schemas.openxmlformats.org/officeDocument/2006/relationships/hyperlink" Target="https://www.geonames.org/707099/" TargetMode="External"/><Relationship Id="rId61" Type="http://schemas.openxmlformats.org/officeDocument/2006/relationships/hyperlink" Target="https://www.geonames.org/771590/" TargetMode="External"/><Relationship Id="rId199" Type="http://schemas.openxmlformats.org/officeDocument/2006/relationships/hyperlink" Target="https://www.geonames.org/720059/" TargetMode="External"/><Relationship Id="rId571" Type="http://schemas.openxmlformats.org/officeDocument/2006/relationships/hyperlink" Target="https://www.geonames.org/705265/" TargetMode="External"/><Relationship Id="rId627" Type="http://schemas.openxmlformats.org/officeDocument/2006/relationships/hyperlink" Target="https://www.geonames.org/698592/" TargetMode="External"/><Relationship Id="rId669" Type="http://schemas.openxmlformats.org/officeDocument/2006/relationships/hyperlink" Target="https://www.geonames.org/3065824/" TargetMode="External"/><Relationship Id="rId19" Type="http://schemas.openxmlformats.org/officeDocument/2006/relationships/hyperlink" Target="https://www.geonames.org/686895/" TargetMode="External"/><Relationship Id="rId224" Type="http://schemas.openxmlformats.org/officeDocument/2006/relationships/hyperlink" Target="https://www.geonames.org/756438/" TargetMode="External"/><Relationship Id="rId266" Type="http://schemas.openxmlformats.org/officeDocument/2006/relationships/hyperlink" Target="https://www.geonames.org/693301/" TargetMode="External"/><Relationship Id="rId431" Type="http://schemas.openxmlformats.org/officeDocument/2006/relationships/hyperlink" Target="https://www.geonames.org/763111/" TargetMode="External"/><Relationship Id="rId473" Type="http://schemas.openxmlformats.org/officeDocument/2006/relationships/hyperlink" Target="https://www.geonames.org/3096401/" TargetMode="External"/><Relationship Id="rId529" Type="http://schemas.openxmlformats.org/officeDocument/2006/relationships/hyperlink" Target="https://www.geonames.org/765876/" TargetMode="External"/><Relationship Id="rId680" Type="http://schemas.openxmlformats.org/officeDocument/2006/relationships/hyperlink" Target="https://www.geonames.org/710554/" TargetMode="External"/><Relationship Id="rId30" Type="http://schemas.openxmlformats.org/officeDocument/2006/relationships/hyperlink" Target="https://www.geonames.org/755474/" TargetMode="External"/><Relationship Id="rId126" Type="http://schemas.openxmlformats.org/officeDocument/2006/relationships/hyperlink" Target="https://www.geonames.org/711416/" TargetMode="External"/><Relationship Id="rId168" Type="http://schemas.openxmlformats.org/officeDocument/2006/relationships/hyperlink" Target="https://www.geonames.org/723698/" TargetMode="External"/><Relationship Id="rId333" Type="http://schemas.openxmlformats.org/officeDocument/2006/relationships/hyperlink" Target="https://www.geonames.org/770772/" TargetMode="External"/><Relationship Id="rId540" Type="http://schemas.openxmlformats.org/officeDocument/2006/relationships/hyperlink" Target="https://www.geonames.org/3094802/" TargetMode="External"/><Relationship Id="rId72" Type="http://schemas.openxmlformats.org/officeDocument/2006/relationships/hyperlink" Target="https://www.geonames.org/3060348/" TargetMode="External"/><Relationship Id="rId375" Type="http://schemas.openxmlformats.org/officeDocument/2006/relationships/hyperlink" Target="https://www.geonames.org/712374/" TargetMode="External"/><Relationship Id="rId582" Type="http://schemas.openxmlformats.org/officeDocument/2006/relationships/hyperlink" Target="https://www.geonames.org/709909/" TargetMode="External"/><Relationship Id="rId638" Type="http://schemas.openxmlformats.org/officeDocument/2006/relationships/hyperlink" Target="https://www.geonames.org/753004/" TargetMode="External"/><Relationship Id="rId3" Type="http://schemas.openxmlformats.org/officeDocument/2006/relationships/hyperlink" Target="https://www.geonames.org/761168/" TargetMode="External"/><Relationship Id="rId235" Type="http://schemas.openxmlformats.org/officeDocument/2006/relationships/hyperlink" Target="https://www.geonames.org/770005/" TargetMode="External"/><Relationship Id="rId277" Type="http://schemas.openxmlformats.org/officeDocument/2006/relationships/hyperlink" Target="https://www.geonames.org/3061350/" TargetMode="External"/><Relationship Id="rId400" Type="http://schemas.openxmlformats.org/officeDocument/2006/relationships/hyperlink" Target="https://www.geonames.org/754455/" TargetMode="External"/><Relationship Id="rId442" Type="http://schemas.openxmlformats.org/officeDocument/2006/relationships/hyperlink" Target="https://www.geonames.org/759301/" TargetMode="External"/><Relationship Id="rId484" Type="http://schemas.openxmlformats.org/officeDocument/2006/relationships/hyperlink" Target="https://www.geonames.org/3094168/" TargetMode="External"/><Relationship Id="rId137" Type="http://schemas.openxmlformats.org/officeDocument/2006/relationships/hyperlink" Target="https://www.geonames.org/2775220/" TargetMode="External"/><Relationship Id="rId302" Type="http://schemas.openxmlformats.org/officeDocument/2006/relationships/hyperlink" Target="https://www.geonames.org/763107/" TargetMode="External"/><Relationship Id="rId344" Type="http://schemas.openxmlformats.org/officeDocument/2006/relationships/hyperlink" Target="https://www.geonames.org/759734/" TargetMode="External"/><Relationship Id="rId691" Type="http://schemas.openxmlformats.org/officeDocument/2006/relationships/vmlDrawing" Target="../drawings/vmlDrawing2.vml"/><Relationship Id="rId41" Type="http://schemas.openxmlformats.org/officeDocument/2006/relationships/hyperlink" Target="https://www.geonames.org/694979/" TargetMode="External"/><Relationship Id="rId83" Type="http://schemas.openxmlformats.org/officeDocument/2006/relationships/hyperlink" Target="https://www.geonames.org/697140/" TargetMode="External"/><Relationship Id="rId179" Type="http://schemas.openxmlformats.org/officeDocument/2006/relationships/hyperlink" Target="https://www.geonames.org/12057721/" TargetMode="External"/><Relationship Id="rId386" Type="http://schemas.openxmlformats.org/officeDocument/2006/relationships/hyperlink" Target="https://www.geonames.org/700793/" TargetMode="External"/><Relationship Id="rId551" Type="http://schemas.openxmlformats.org/officeDocument/2006/relationships/hyperlink" Target="https://www.geonames.org/707471/" TargetMode="External"/><Relationship Id="rId593" Type="http://schemas.openxmlformats.org/officeDocument/2006/relationships/hyperlink" Target="https://www.geonames.org/3067696/" TargetMode="External"/><Relationship Id="rId607" Type="http://schemas.openxmlformats.org/officeDocument/2006/relationships/hyperlink" Target="https://www.geonames.org/717825/" TargetMode="External"/><Relationship Id="rId649" Type="http://schemas.openxmlformats.org/officeDocument/2006/relationships/hyperlink" Target="https://www.geonames.org/756438/" TargetMode="External"/><Relationship Id="rId190" Type="http://schemas.openxmlformats.org/officeDocument/2006/relationships/hyperlink" Target="https://www.geonames.org/766980/" TargetMode="External"/><Relationship Id="rId204" Type="http://schemas.openxmlformats.org/officeDocument/2006/relationships/hyperlink" Target="https://www.geonames.org/723311/" TargetMode="External"/><Relationship Id="rId246" Type="http://schemas.openxmlformats.org/officeDocument/2006/relationships/hyperlink" Target="https://www.geonames.org/2925533/" TargetMode="External"/><Relationship Id="rId288" Type="http://schemas.openxmlformats.org/officeDocument/2006/relationships/hyperlink" Target="https://www.geonames.org/757050/" TargetMode="External"/><Relationship Id="rId411" Type="http://schemas.openxmlformats.org/officeDocument/2006/relationships/hyperlink" Target="https://www.geonames.org/774184/" TargetMode="External"/><Relationship Id="rId453" Type="http://schemas.openxmlformats.org/officeDocument/2006/relationships/hyperlink" Target="https://www.geonames.org/756046/" TargetMode="External"/><Relationship Id="rId509" Type="http://schemas.openxmlformats.org/officeDocument/2006/relationships/hyperlink" Target="https://www.geonames.org/702550+I12:J13" TargetMode="External"/><Relationship Id="rId660" Type="http://schemas.openxmlformats.org/officeDocument/2006/relationships/hyperlink" Target="https://www.geonames.org/3094802/" TargetMode="External"/><Relationship Id="rId106" Type="http://schemas.openxmlformats.org/officeDocument/2006/relationships/hyperlink" Target="https://www.geonames.org/715429/" TargetMode="External"/><Relationship Id="rId313" Type="http://schemas.openxmlformats.org/officeDocument/2006/relationships/hyperlink" Target="https://www.geonames.org/762325/" TargetMode="External"/><Relationship Id="rId495" Type="http://schemas.openxmlformats.org/officeDocument/2006/relationships/hyperlink" Target="https://www.geonames.org/766675/" TargetMode="External"/><Relationship Id="rId10" Type="http://schemas.openxmlformats.org/officeDocument/2006/relationships/hyperlink" Target="https://www.geonames.org/770001/" TargetMode="External"/><Relationship Id="rId52" Type="http://schemas.openxmlformats.org/officeDocument/2006/relationships/hyperlink" Target="https://www.geonames.org/3064484/" TargetMode="External"/><Relationship Id="rId94" Type="http://schemas.openxmlformats.org/officeDocument/2006/relationships/hyperlink" Target="https://www.geonames.org/3088694/" TargetMode="External"/><Relationship Id="rId148" Type="http://schemas.openxmlformats.org/officeDocument/2006/relationships/hyperlink" Target="https://www.geonames.org/3075053/" TargetMode="External"/><Relationship Id="rId355" Type="http://schemas.openxmlformats.org/officeDocument/2006/relationships/hyperlink" Target="https://www.geonames.org/696966/" TargetMode="External"/><Relationship Id="rId397" Type="http://schemas.openxmlformats.org/officeDocument/2006/relationships/hyperlink" Target="https://www.geonames.org/3101547/" TargetMode="External"/><Relationship Id="rId520" Type="http://schemas.openxmlformats.org/officeDocument/2006/relationships/hyperlink" Target="https://www.geonames.org/3079403/" TargetMode="External"/><Relationship Id="rId562" Type="http://schemas.openxmlformats.org/officeDocument/2006/relationships/hyperlink" Target="https://www.geonames.org/694864/" TargetMode="External"/><Relationship Id="rId618" Type="http://schemas.openxmlformats.org/officeDocument/2006/relationships/hyperlink" Target="https://www.geonames.org/693301/" TargetMode="External"/><Relationship Id="rId215" Type="http://schemas.openxmlformats.org/officeDocument/2006/relationships/hyperlink" Target="https://www.geonames.org/3078287/" TargetMode="External"/><Relationship Id="rId257" Type="http://schemas.openxmlformats.org/officeDocument/2006/relationships/hyperlink" Target="https://www.geonames.org/768217/" TargetMode="External"/><Relationship Id="rId422" Type="http://schemas.openxmlformats.org/officeDocument/2006/relationships/hyperlink" Target="https://www.geonames.org/765976/" TargetMode="External"/><Relationship Id="rId464" Type="http://schemas.openxmlformats.org/officeDocument/2006/relationships/hyperlink" Target="https://www.geonames.org/773357/" TargetMode="External"/><Relationship Id="rId299" Type="http://schemas.openxmlformats.org/officeDocument/2006/relationships/hyperlink" Target="https://www.geonames.org/771069/" TargetMode="External"/><Relationship Id="rId63" Type="http://schemas.openxmlformats.org/officeDocument/2006/relationships/hyperlink" Target="https://www.geonames.org/3071977/" TargetMode="External"/><Relationship Id="rId159" Type="http://schemas.openxmlformats.org/officeDocument/2006/relationships/hyperlink" Target="https://www.google.com/maps/place/094+31+Hanu%C5%A1ovce+nad+Top%C4%BEou,+Slovakia/@49.0268087,21.4693221,12.55z/data=!4m5!3m4!1s0x473e9576d66b6307:0x400f7d1c6977d40!8m2!3d49.0273908!4d21.5022433" TargetMode="External"/><Relationship Id="rId366" Type="http://schemas.openxmlformats.org/officeDocument/2006/relationships/hyperlink" Target="https://www.geonames.org/711348/" TargetMode="External"/><Relationship Id="rId573" Type="http://schemas.openxmlformats.org/officeDocument/2006/relationships/hyperlink" Target="https://www.geonames.org/756036/" TargetMode="External"/><Relationship Id="rId226" Type="http://schemas.openxmlformats.org/officeDocument/2006/relationships/hyperlink" Target="https://www.geonames.org/765876/" TargetMode="External"/><Relationship Id="rId433" Type="http://schemas.openxmlformats.org/officeDocument/2006/relationships/hyperlink" Target="https://www.geonames.org/708380/" TargetMode="External"/><Relationship Id="rId640" Type="http://schemas.openxmlformats.org/officeDocument/2006/relationships/hyperlink" Target="https://www.geonames.org/767814/" TargetMode="External"/><Relationship Id="rId74" Type="http://schemas.openxmlformats.org/officeDocument/2006/relationships/hyperlink" Target="https://www.geonames.org/3064288/" TargetMode="External"/><Relationship Id="rId377" Type="http://schemas.openxmlformats.org/officeDocument/2006/relationships/hyperlink" Target="https://www.geonames.org/712374/" TargetMode="External"/><Relationship Id="rId500" Type="http://schemas.openxmlformats.org/officeDocument/2006/relationships/hyperlink" Target="https://www.geonames.org/3068386/" TargetMode="External"/><Relationship Id="rId584" Type="http://schemas.openxmlformats.org/officeDocument/2006/relationships/hyperlink" Target="https://www.geonames.org/3069377/" TargetMode="External"/><Relationship Id="rId5" Type="http://schemas.openxmlformats.org/officeDocument/2006/relationships/hyperlink" Target="https://www.geonames.org/770001/" TargetMode="External"/><Relationship Id="rId237" Type="http://schemas.openxmlformats.org/officeDocument/2006/relationships/hyperlink" Target="https://www.geonames.org/763121/" TargetMode="External"/><Relationship Id="rId444" Type="http://schemas.openxmlformats.org/officeDocument/2006/relationships/hyperlink" Target="https://www.geonames.org/758436/" TargetMode="External"/><Relationship Id="rId651" Type="http://schemas.openxmlformats.org/officeDocument/2006/relationships/hyperlink" Target="https://www.geonames.org/770966/" TargetMode="External"/><Relationship Id="rId290" Type="http://schemas.openxmlformats.org/officeDocument/2006/relationships/hyperlink" Target="https://www.geonames.org/760769/" TargetMode="External"/><Relationship Id="rId304" Type="http://schemas.openxmlformats.org/officeDocument/2006/relationships/hyperlink" Target="https://www.geonames.org/759734/" TargetMode="External"/><Relationship Id="rId388" Type="http://schemas.openxmlformats.org/officeDocument/2006/relationships/hyperlink" Target="https://www.geonames.org/702550+I12:J13" TargetMode="External"/><Relationship Id="rId511" Type="http://schemas.openxmlformats.org/officeDocument/2006/relationships/hyperlink" Target="https://www.geonames.org/687826/" TargetMode="External"/><Relationship Id="rId609" Type="http://schemas.openxmlformats.org/officeDocument/2006/relationships/hyperlink" Target="https://www.geonames.org/700646/" TargetMode="External"/><Relationship Id="rId85" Type="http://schemas.openxmlformats.org/officeDocument/2006/relationships/hyperlink" Target="https://www.geonames.org/703514/" TargetMode="External"/><Relationship Id="rId150" Type="http://schemas.openxmlformats.org/officeDocument/2006/relationships/hyperlink" Target="https://www.geonames.org/3067696/" TargetMode="External"/><Relationship Id="rId595" Type="http://schemas.openxmlformats.org/officeDocument/2006/relationships/hyperlink" Target="https://www.geonames.org/3047211/" TargetMode="External"/><Relationship Id="rId248" Type="http://schemas.openxmlformats.org/officeDocument/2006/relationships/hyperlink" Target="https://www.geonames.org/775922/" TargetMode="External"/><Relationship Id="rId455" Type="http://schemas.openxmlformats.org/officeDocument/2006/relationships/hyperlink" Target="https://www.geonames.org/753394/" TargetMode="External"/><Relationship Id="rId662" Type="http://schemas.openxmlformats.org/officeDocument/2006/relationships/hyperlink" Target="https://www.geonames.org/11313988/" TargetMode="External"/><Relationship Id="rId12" Type="http://schemas.openxmlformats.org/officeDocument/2006/relationships/hyperlink" Target="https://www.geonames.org/756438/" TargetMode="External"/><Relationship Id="rId108" Type="http://schemas.openxmlformats.org/officeDocument/2006/relationships/hyperlink" Target="https://www.geonames.org/3058477/" TargetMode="External"/><Relationship Id="rId315" Type="http://schemas.openxmlformats.org/officeDocument/2006/relationships/hyperlink" Target="https://www.geonames.org/775922/" TargetMode="External"/><Relationship Id="rId522" Type="http://schemas.openxmlformats.org/officeDocument/2006/relationships/hyperlink" Target="https://www.geonames.org/757026/" TargetMode="External"/><Relationship Id="rId96" Type="http://schemas.openxmlformats.org/officeDocument/2006/relationships/hyperlink" Target="https://www.geonames.org/2874225/" TargetMode="External"/><Relationship Id="rId161" Type="http://schemas.openxmlformats.org/officeDocument/2006/relationships/hyperlink" Target="https://www.geonames.org/720059/" TargetMode="External"/><Relationship Id="rId399" Type="http://schemas.openxmlformats.org/officeDocument/2006/relationships/hyperlink" Target="https://www.geonames.org/756046/" TargetMode="External"/><Relationship Id="rId259" Type="http://schemas.openxmlformats.org/officeDocument/2006/relationships/hyperlink" Target="https://www.geonames.org/763121/" TargetMode="External"/><Relationship Id="rId466" Type="http://schemas.openxmlformats.org/officeDocument/2006/relationships/hyperlink" Target="https://www.geonames.org/754455/" TargetMode="External"/><Relationship Id="rId673" Type="http://schemas.openxmlformats.org/officeDocument/2006/relationships/hyperlink" Target="https://www.geonames.org/690155/" TargetMode="External"/><Relationship Id="rId23" Type="http://schemas.openxmlformats.org/officeDocument/2006/relationships/hyperlink" Target="https://www.geonames.org/761356/" TargetMode="External"/><Relationship Id="rId119" Type="http://schemas.openxmlformats.org/officeDocument/2006/relationships/hyperlink" Target="https://www.geonames.org/705392/" TargetMode="External"/><Relationship Id="rId326" Type="http://schemas.openxmlformats.org/officeDocument/2006/relationships/hyperlink" Target="https://www.geonames.org/768217/" TargetMode="External"/><Relationship Id="rId533" Type="http://schemas.openxmlformats.org/officeDocument/2006/relationships/hyperlink" Target="https://www.geonames.org/698142/" TargetMode="External"/><Relationship Id="rId172" Type="http://schemas.openxmlformats.org/officeDocument/2006/relationships/hyperlink" Target="https://www.geonames.org/723526/" TargetMode="External"/><Relationship Id="rId477" Type="http://schemas.openxmlformats.org/officeDocument/2006/relationships/hyperlink" Target="https://www.geonames.org/3096401/" TargetMode="External"/><Relationship Id="rId600" Type="http://schemas.openxmlformats.org/officeDocument/2006/relationships/hyperlink" Target="https://www.geonames.org/690548/" TargetMode="External"/><Relationship Id="rId684" Type="http://schemas.openxmlformats.org/officeDocument/2006/relationships/hyperlink" Target="../../../vladimirberkovich/Library/Containers/com.microsoft.Excel/Data/Library/Application%20Support/Microsoft/Z%20FULL%20Service%20Records/BALDIS:BARTLEL,%20Victor%20(1799-1805:6)%20%5bConvert%3f%5d/Wodzis&#322;aw,%20Poland" TargetMode="External"/><Relationship Id="rId337" Type="http://schemas.openxmlformats.org/officeDocument/2006/relationships/hyperlink" Target="https://www.geonames.org/3168752/" TargetMode="External"/><Relationship Id="rId34" Type="http://schemas.openxmlformats.org/officeDocument/2006/relationships/hyperlink" Target="https://www.geonames.org/691650/" TargetMode="External"/><Relationship Id="rId544" Type="http://schemas.openxmlformats.org/officeDocument/2006/relationships/hyperlink" Target="https://www.geonames.org/711416/" TargetMode="External"/><Relationship Id="rId183" Type="http://schemas.openxmlformats.org/officeDocument/2006/relationships/hyperlink" Target="https://www.geonames.org/763519/" TargetMode="External"/><Relationship Id="rId390" Type="http://schemas.openxmlformats.org/officeDocument/2006/relationships/hyperlink" Target="https://www.geonames.org/687093/" TargetMode="External"/><Relationship Id="rId404" Type="http://schemas.openxmlformats.org/officeDocument/2006/relationships/hyperlink" Target="https://www.google.com/maps/place/Mordy,+Poland/@52.2175401,22.4562294,11.8z/data=!4m5!3m4!1s0x4721e02b32371aef:0x7d82b9a2f81d8473!8m2!3d52.2117091!4d22.517767" TargetMode="External"/><Relationship Id="rId611" Type="http://schemas.openxmlformats.org/officeDocument/2006/relationships/hyperlink" Target="https://www.geonames.org/760778/" TargetMode="External"/><Relationship Id="rId250" Type="http://schemas.openxmlformats.org/officeDocument/2006/relationships/hyperlink" Target="https://www.geonames.org/772857/" TargetMode="External"/><Relationship Id="rId488" Type="http://schemas.openxmlformats.org/officeDocument/2006/relationships/hyperlink" Target="https://www.geonames.org/711887/" TargetMode="External"/><Relationship Id="rId45" Type="http://schemas.openxmlformats.org/officeDocument/2006/relationships/hyperlink" Target="https://www.geonames.org/686895/" TargetMode="External"/><Relationship Id="rId110" Type="http://schemas.openxmlformats.org/officeDocument/2006/relationships/hyperlink" Target="https://www.geonames.org/666973/" TargetMode="External"/><Relationship Id="rId348" Type="http://schemas.openxmlformats.org/officeDocument/2006/relationships/hyperlink" Target="https://www.geonames.org/666916/" TargetMode="External"/><Relationship Id="rId555" Type="http://schemas.openxmlformats.org/officeDocument/2006/relationships/hyperlink" Target="https://www.geonames.org/767814/" TargetMode="External"/><Relationship Id="rId194" Type="http://schemas.openxmlformats.org/officeDocument/2006/relationships/hyperlink" Target="https://www.geonames.org/770380/" TargetMode="External"/><Relationship Id="rId208" Type="http://schemas.openxmlformats.org/officeDocument/2006/relationships/hyperlink" Target="https://www.geonames.org/3066727/" TargetMode="External"/><Relationship Id="rId415" Type="http://schemas.openxmlformats.org/officeDocument/2006/relationships/hyperlink" Target="https://www.geonames.org/756046/" TargetMode="External"/><Relationship Id="rId622" Type="http://schemas.openxmlformats.org/officeDocument/2006/relationships/hyperlink" Target="https://www.geonames.org/712471" TargetMode="External"/><Relationship Id="rId261" Type="http://schemas.openxmlformats.org/officeDocument/2006/relationships/hyperlink" Target="https://www.geonames.org/705392/" TargetMode="External"/><Relationship Id="rId499" Type="http://schemas.openxmlformats.org/officeDocument/2006/relationships/hyperlink" Target="https://www.geonames.org/3065216/" TargetMode="External"/><Relationship Id="rId56" Type="http://schemas.openxmlformats.org/officeDocument/2006/relationships/hyperlink" Target="https://www.geonames.org/3061623/" TargetMode="External"/><Relationship Id="rId359" Type="http://schemas.openxmlformats.org/officeDocument/2006/relationships/hyperlink" Target="https://www.geonames.org/767814/" TargetMode="External"/><Relationship Id="rId566" Type="http://schemas.openxmlformats.org/officeDocument/2006/relationships/hyperlink" Target="https://www.geonames.org/753866/" TargetMode="External"/><Relationship Id="rId121" Type="http://schemas.openxmlformats.org/officeDocument/2006/relationships/hyperlink" Target="https://www.geonames.org/757029/" TargetMode="External"/><Relationship Id="rId219" Type="http://schemas.openxmlformats.org/officeDocument/2006/relationships/hyperlink" Target="https://www.geonames.org/759734/" TargetMode="External"/><Relationship Id="rId426" Type="http://schemas.openxmlformats.org/officeDocument/2006/relationships/hyperlink" Target="https://www.geonames.org/768218/" TargetMode="External"/><Relationship Id="rId633" Type="http://schemas.openxmlformats.org/officeDocument/2006/relationships/hyperlink" Target="https://www.geonames.org/767814/" TargetMode="External"/><Relationship Id="rId67" Type="http://schemas.openxmlformats.org/officeDocument/2006/relationships/hyperlink" Target="https://www.geonames.org/3075606/" TargetMode="External"/><Relationship Id="rId272" Type="http://schemas.openxmlformats.org/officeDocument/2006/relationships/hyperlink" Target="https://www.geonames.org/763410/" TargetMode="External"/><Relationship Id="rId577" Type="http://schemas.openxmlformats.org/officeDocument/2006/relationships/hyperlink" Target="https://www.geonames.org/2951825/" TargetMode="External"/><Relationship Id="rId132" Type="http://schemas.openxmlformats.org/officeDocument/2006/relationships/hyperlink" Target="https://www.geonames.org/627904/" TargetMode="External"/><Relationship Id="rId437" Type="http://schemas.openxmlformats.org/officeDocument/2006/relationships/hyperlink" Target="https://www.geonames.org/753787/" TargetMode="External"/><Relationship Id="rId644" Type="http://schemas.openxmlformats.org/officeDocument/2006/relationships/hyperlink" Target="https://www.geonames.org/756438/" TargetMode="External"/><Relationship Id="rId283" Type="http://schemas.openxmlformats.org/officeDocument/2006/relationships/hyperlink" Target="https://www.geonames.org/3181633/" TargetMode="External"/><Relationship Id="rId490" Type="http://schemas.openxmlformats.org/officeDocument/2006/relationships/hyperlink" Target="https://www.geonames.org/770380/" TargetMode="External"/><Relationship Id="rId504" Type="http://schemas.openxmlformats.org/officeDocument/2006/relationships/hyperlink" Target="https://www.geonames.org/702550+I12:J13" TargetMode="External"/><Relationship Id="rId78" Type="http://schemas.openxmlformats.org/officeDocument/2006/relationships/hyperlink" Target="https://www.geonames.org/3064104/" TargetMode="External"/><Relationship Id="rId143" Type="http://schemas.openxmlformats.org/officeDocument/2006/relationships/hyperlink" Target="https://www.geonames.org/711416/" TargetMode="External"/><Relationship Id="rId350" Type="http://schemas.openxmlformats.org/officeDocument/2006/relationships/hyperlink" Target="https://www.geonames.org/755439/" TargetMode="External"/><Relationship Id="rId588" Type="http://schemas.openxmlformats.org/officeDocument/2006/relationships/hyperlink" Target="https://www.geonames.org/754090/" TargetMode="External"/><Relationship Id="rId9" Type="http://schemas.openxmlformats.org/officeDocument/2006/relationships/hyperlink" Target="https://www.geonames.org/760657/" TargetMode="External"/><Relationship Id="rId210" Type="http://schemas.openxmlformats.org/officeDocument/2006/relationships/hyperlink" Target="https://www.geonames.org/700696/" TargetMode="External"/><Relationship Id="rId448" Type="http://schemas.openxmlformats.org/officeDocument/2006/relationships/hyperlink" Target="https://www.geonames.org/771687/" TargetMode="External"/><Relationship Id="rId655" Type="http://schemas.openxmlformats.org/officeDocument/2006/relationships/hyperlink" Target="https://www.geonames.org/710554/" TargetMode="External"/><Relationship Id="rId294" Type="http://schemas.openxmlformats.org/officeDocument/2006/relationships/hyperlink" Target="https://www.geonames.org/763534/" TargetMode="External"/><Relationship Id="rId308" Type="http://schemas.openxmlformats.org/officeDocument/2006/relationships/hyperlink" Target="https://www.geonames.org/705392/" TargetMode="External"/><Relationship Id="rId515" Type="http://schemas.openxmlformats.org/officeDocument/2006/relationships/hyperlink" Target="https://www.geonames.org/753479/" TargetMode="External"/><Relationship Id="rId89" Type="http://schemas.openxmlformats.org/officeDocument/2006/relationships/hyperlink" Target="https://www.geonames.org/702350/" TargetMode="External"/><Relationship Id="rId154" Type="http://schemas.openxmlformats.org/officeDocument/2006/relationships/hyperlink" Target="https://www.geonames.org/3049880/" TargetMode="External"/><Relationship Id="rId361" Type="http://schemas.openxmlformats.org/officeDocument/2006/relationships/hyperlink" Target="https://www.geonames.org/772896/" TargetMode="External"/><Relationship Id="rId599" Type="http://schemas.openxmlformats.org/officeDocument/2006/relationships/hyperlink" Target="https://www.geonames.org/702550+I12:J13" TargetMode="External"/><Relationship Id="rId459" Type="http://schemas.openxmlformats.org/officeDocument/2006/relationships/hyperlink" Target="https://www.geonames.org/759412/" TargetMode="External"/><Relationship Id="rId666" Type="http://schemas.openxmlformats.org/officeDocument/2006/relationships/hyperlink" Target="https://www.geonames.org/756438/" TargetMode="External"/><Relationship Id="rId16" Type="http://schemas.openxmlformats.org/officeDocument/2006/relationships/hyperlink" Target="https://www.geonames.org/763121/" TargetMode="External"/><Relationship Id="rId221" Type="http://schemas.openxmlformats.org/officeDocument/2006/relationships/hyperlink" Target="https://www.geonames.org/691650/" TargetMode="External"/><Relationship Id="rId319" Type="http://schemas.openxmlformats.org/officeDocument/2006/relationships/hyperlink" Target="https://www.geonames.org/758252/" TargetMode="External"/><Relationship Id="rId526" Type="http://schemas.openxmlformats.org/officeDocument/2006/relationships/hyperlink" Target="https://www.geonames.org/3077036/" TargetMode="External"/><Relationship Id="rId165" Type="http://schemas.openxmlformats.org/officeDocument/2006/relationships/hyperlink" Target="https://www.geonames.org/671768/" TargetMode="External"/><Relationship Id="rId372" Type="http://schemas.openxmlformats.org/officeDocument/2006/relationships/hyperlink" Target="https://www.geonames.org/697692/" TargetMode="External"/><Relationship Id="rId677" Type="http://schemas.openxmlformats.org/officeDocument/2006/relationships/hyperlink" Target="https://www.geonames.org/763545/" TargetMode="External"/><Relationship Id="rId232" Type="http://schemas.openxmlformats.org/officeDocument/2006/relationships/hyperlink" Target="https://www.geonames.org/770425/" TargetMode="External"/><Relationship Id="rId27" Type="http://schemas.openxmlformats.org/officeDocument/2006/relationships/hyperlink" Target="https://www.geonames.org/758252/" TargetMode="External"/><Relationship Id="rId537" Type="http://schemas.openxmlformats.org/officeDocument/2006/relationships/hyperlink" Target="https://www.geonames.org/773808/" TargetMode="External"/><Relationship Id="rId80" Type="http://schemas.openxmlformats.org/officeDocument/2006/relationships/hyperlink" Target="https://www.geonames.org/3165185/" TargetMode="External"/><Relationship Id="rId176" Type="http://schemas.openxmlformats.org/officeDocument/2006/relationships/hyperlink" Target="https://www.geonames.org/723400/" TargetMode="External"/><Relationship Id="rId383" Type="http://schemas.openxmlformats.org/officeDocument/2006/relationships/hyperlink" Target="https://www.geonames.org/711134/" TargetMode="External"/><Relationship Id="rId590" Type="http://schemas.openxmlformats.org/officeDocument/2006/relationships/hyperlink" Target="https://www.geonames.org/668076/" TargetMode="External"/><Relationship Id="rId604" Type="http://schemas.openxmlformats.org/officeDocument/2006/relationships/hyperlink" Target="https://www.geonames.org/8243842/" TargetMode="External"/><Relationship Id="rId243" Type="http://schemas.openxmlformats.org/officeDocument/2006/relationships/hyperlink" Target="https://www.geonames.org/711850/" TargetMode="External"/><Relationship Id="rId450" Type="http://schemas.openxmlformats.org/officeDocument/2006/relationships/hyperlink" Target="https://www.geonames.org/758252/" TargetMode="External"/><Relationship Id="rId688" Type="http://schemas.openxmlformats.org/officeDocument/2006/relationships/hyperlink" Target="https://www.geonames.org/687093/" TargetMode="External"/><Relationship Id="rId38" Type="http://schemas.openxmlformats.org/officeDocument/2006/relationships/hyperlink" Target="https://www.geonames.org/772367/" TargetMode="External"/><Relationship Id="rId103" Type="http://schemas.openxmlformats.org/officeDocument/2006/relationships/hyperlink" Target="https://www.geonames.org/711416/" TargetMode="External"/><Relationship Id="rId310" Type="http://schemas.openxmlformats.org/officeDocument/2006/relationships/hyperlink" Target="https://www.geonames.org/762201/" TargetMode="External"/><Relationship Id="rId548" Type="http://schemas.openxmlformats.org/officeDocument/2006/relationships/hyperlink" Target="https://www.geonames.org/766452/" TargetMode="External"/><Relationship Id="rId91" Type="http://schemas.openxmlformats.org/officeDocument/2006/relationships/hyperlink" Target="https://www.geonames.org/768846/" TargetMode="External"/><Relationship Id="rId187" Type="http://schemas.openxmlformats.org/officeDocument/2006/relationships/hyperlink" Target="https://www.geonames.org/3076573/" TargetMode="External"/><Relationship Id="rId394" Type="http://schemas.openxmlformats.org/officeDocument/2006/relationships/hyperlink" Target="https://www.geonames.org/8243842/" TargetMode="External"/><Relationship Id="rId408" Type="http://schemas.openxmlformats.org/officeDocument/2006/relationships/hyperlink" Target="https://www.google.com/maps/place/Ka%C5%82uszyn,+Poland/@52.2139355,21.743758,12z/data=!3m1!4b1!4m5!3m4!1s0x471f3745bb35b963:0xe8ec1c02ee4cf5cc!8m2!3d52.2067049!4d21.808426" TargetMode="External"/><Relationship Id="rId615" Type="http://schemas.openxmlformats.org/officeDocument/2006/relationships/hyperlink" Target="https://www.geonames.org/687093/" TargetMode="External"/><Relationship Id="rId254" Type="http://schemas.openxmlformats.org/officeDocument/2006/relationships/hyperlink" Target="https://www.geonames.org/69165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13A2A-9869-4E45-9037-084D41C159A0}">
  <dimension ref="A1:CU1517"/>
  <sheetViews>
    <sheetView tabSelected="1" zoomScaleNormal="100" workbookViewId="0">
      <pane xSplit="2" ySplit="2" topLeftCell="C3" activePane="bottomRight" state="frozen"/>
      <selection pane="topRight" activeCell="C1" sqref="C1"/>
      <selection pane="bottomLeft" activeCell="A3" sqref="A3"/>
      <selection pane="bottomRight" activeCell="G4" sqref="G4"/>
    </sheetView>
  </sheetViews>
  <sheetFormatPr baseColWidth="10" defaultRowHeight="16"/>
  <cols>
    <col min="1" max="1" width="2.83203125" customWidth="1"/>
    <col min="2" max="2" width="36.33203125" customWidth="1"/>
    <col min="3" max="3" width="16.1640625" customWidth="1"/>
    <col min="4" max="4" width="15.83203125" customWidth="1"/>
    <col min="5" max="5" width="10.83203125" style="8"/>
    <col min="6" max="6" width="12.33203125" customWidth="1"/>
    <col min="7" max="7" width="4.1640625" customWidth="1"/>
    <col min="8" max="8" width="4.33203125" customWidth="1"/>
    <col min="12" max="14" width="4.1640625" customWidth="1"/>
    <col min="15" max="15" width="4" customWidth="1"/>
    <col min="16" max="16" width="4.1640625" customWidth="1"/>
    <col min="17" max="19" width="3.83203125" customWidth="1"/>
    <col min="20" max="20" width="7.6640625" customWidth="1"/>
    <col min="21" max="21" width="12" customWidth="1"/>
    <col min="22" max="54" width="2.83203125" customWidth="1"/>
    <col min="55" max="55" width="12.33203125" customWidth="1"/>
    <col min="56" max="56" width="11.83203125" customWidth="1"/>
    <col min="57" max="57" width="6.6640625" customWidth="1"/>
    <col min="58" max="59" width="4.6640625" customWidth="1"/>
    <col min="60" max="62" width="3.83203125" customWidth="1"/>
    <col min="63" max="96" width="2.83203125" customWidth="1"/>
    <col min="97" max="97" width="19.33203125" customWidth="1"/>
  </cols>
  <sheetData>
    <row r="1" spans="1:99" ht="19" customHeight="1">
      <c r="A1" s="87" t="s">
        <v>4732</v>
      </c>
      <c r="B1" s="78" t="s">
        <v>0</v>
      </c>
      <c r="C1" s="79" t="s">
        <v>13</v>
      </c>
      <c r="D1" s="79"/>
      <c r="E1" s="79"/>
      <c r="F1" s="79"/>
      <c r="G1" s="80" t="s">
        <v>74</v>
      </c>
      <c r="H1" s="80" t="s">
        <v>75</v>
      </c>
      <c r="I1" s="81" t="s">
        <v>17</v>
      </c>
      <c r="J1" s="77" t="s">
        <v>9</v>
      </c>
      <c r="K1" s="77" t="s">
        <v>11</v>
      </c>
      <c r="L1" s="79" t="s">
        <v>16</v>
      </c>
      <c r="M1" s="79"/>
      <c r="N1" s="79"/>
      <c r="O1" s="79" t="s">
        <v>20</v>
      </c>
      <c r="P1" s="79"/>
      <c r="Q1" s="79" t="s">
        <v>21</v>
      </c>
      <c r="R1" s="79"/>
      <c r="S1" s="79"/>
      <c r="T1" s="79"/>
      <c r="U1" s="88" t="s">
        <v>4740</v>
      </c>
      <c r="V1" s="82">
        <v>1788</v>
      </c>
      <c r="W1" s="82">
        <v>1789</v>
      </c>
      <c r="X1" s="82">
        <v>1790</v>
      </c>
      <c r="Y1" s="82">
        <v>1791</v>
      </c>
      <c r="Z1" s="82">
        <v>1792</v>
      </c>
      <c r="AA1" s="82">
        <v>1793</v>
      </c>
      <c r="AB1" s="82">
        <v>1794</v>
      </c>
      <c r="AC1" s="82">
        <v>1795</v>
      </c>
      <c r="AD1" s="82">
        <v>1796</v>
      </c>
      <c r="AE1" s="82">
        <v>1797</v>
      </c>
      <c r="AF1" s="82">
        <v>1798</v>
      </c>
      <c r="AG1" s="82">
        <v>1799</v>
      </c>
      <c r="AH1" s="82">
        <v>1800</v>
      </c>
      <c r="AI1" s="82">
        <v>1801</v>
      </c>
      <c r="AJ1" s="82">
        <v>1802</v>
      </c>
      <c r="AK1" s="82">
        <v>1803</v>
      </c>
      <c r="AL1" s="82">
        <v>1804</v>
      </c>
      <c r="AM1" s="82">
        <v>1805</v>
      </c>
      <c r="AN1" s="82">
        <v>1806</v>
      </c>
      <c r="AO1" s="82">
        <v>1807</v>
      </c>
      <c r="AP1" s="82">
        <v>1808</v>
      </c>
      <c r="AQ1" s="82">
        <v>1809</v>
      </c>
      <c r="AR1" s="82">
        <v>1810</v>
      </c>
      <c r="AS1" s="82">
        <v>1811</v>
      </c>
      <c r="AT1" s="82">
        <v>1812</v>
      </c>
      <c r="AU1" s="82">
        <v>1813</v>
      </c>
      <c r="AV1" s="82">
        <v>1814</v>
      </c>
      <c r="AW1" s="82">
        <v>1815</v>
      </c>
      <c r="AX1" s="82">
        <v>1816</v>
      </c>
      <c r="AY1" s="82">
        <v>1817</v>
      </c>
      <c r="AZ1" s="82">
        <v>1818</v>
      </c>
      <c r="BA1" s="82">
        <v>1819</v>
      </c>
      <c r="BB1" s="82">
        <v>1820</v>
      </c>
      <c r="BC1" s="84" t="s">
        <v>4741</v>
      </c>
      <c r="BD1" s="73" t="s">
        <v>4742</v>
      </c>
      <c r="BE1" s="85" t="s">
        <v>63</v>
      </c>
      <c r="BF1" s="85" t="s">
        <v>4743</v>
      </c>
      <c r="BG1" s="85" t="s">
        <v>4744</v>
      </c>
      <c r="BH1" s="85" t="s">
        <v>32</v>
      </c>
      <c r="BI1" s="86" t="s">
        <v>4745</v>
      </c>
      <c r="BJ1" s="86" t="s">
        <v>4746</v>
      </c>
      <c r="BK1" s="83" t="s">
        <v>34</v>
      </c>
      <c r="BL1" s="83" t="s">
        <v>35</v>
      </c>
      <c r="BM1" s="83" t="s">
        <v>426</v>
      </c>
      <c r="BN1" s="83" t="s">
        <v>204</v>
      </c>
      <c r="BO1" s="83" t="s">
        <v>36</v>
      </c>
      <c r="BP1" s="83" t="s">
        <v>37</v>
      </c>
      <c r="BQ1" s="83" t="s">
        <v>514</v>
      </c>
      <c r="BR1" s="89" t="s">
        <v>513</v>
      </c>
      <c r="BS1" s="89"/>
      <c r="BT1" s="89"/>
      <c r="BU1" s="83" t="s">
        <v>39</v>
      </c>
      <c r="BV1" s="83" t="s">
        <v>40</v>
      </c>
      <c r="BW1" s="83" t="s">
        <v>38</v>
      </c>
      <c r="BX1" s="83" t="s">
        <v>44</v>
      </c>
      <c r="BY1" s="83" t="s">
        <v>43</v>
      </c>
      <c r="BZ1" s="83" t="s">
        <v>45</v>
      </c>
      <c r="CA1" s="83" t="s">
        <v>46</v>
      </c>
      <c r="CB1" s="83" t="s">
        <v>3471</v>
      </c>
      <c r="CC1" s="83" t="s">
        <v>48</v>
      </c>
      <c r="CD1" s="83" t="s">
        <v>405</v>
      </c>
      <c r="CE1" s="83" t="s">
        <v>49</v>
      </c>
      <c r="CF1" s="83" t="s">
        <v>50</v>
      </c>
      <c r="CG1" s="83" t="s">
        <v>51</v>
      </c>
      <c r="CH1" s="83" t="s">
        <v>52</v>
      </c>
      <c r="CI1" s="83" t="s">
        <v>53</v>
      </c>
      <c r="CJ1" s="83" t="s">
        <v>1225</v>
      </c>
      <c r="CK1" s="83" t="s">
        <v>54</v>
      </c>
      <c r="CL1" s="83" t="s">
        <v>55</v>
      </c>
      <c r="CM1" s="83" t="s">
        <v>56</v>
      </c>
      <c r="CN1" s="83" t="s">
        <v>57</v>
      </c>
      <c r="CO1" s="83" t="s">
        <v>58</v>
      </c>
      <c r="CP1" s="83" t="s">
        <v>4747</v>
      </c>
      <c r="CQ1" s="83" t="s">
        <v>3598</v>
      </c>
      <c r="CR1" s="83" t="s">
        <v>61</v>
      </c>
      <c r="CS1" s="73" t="s">
        <v>4756</v>
      </c>
      <c r="CT1" s="73" t="s">
        <v>4757</v>
      </c>
      <c r="CU1" s="73" t="s">
        <v>4758</v>
      </c>
    </row>
    <row r="2" spans="1:99" ht="159">
      <c r="A2" s="87"/>
      <c r="B2" s="78"/>
      <c r="C2" s="66" t="s">
        <v>2</v>
      </c>
      <c r="D2" s="66" t="s">
        <v>3</v>
      </c>
      <c r="E2" s="66" t="s">
        <v>4</v>
      </c>
      <c r="F2" s="66" t="s">
        <v>5</v>
      </c>
      <c r="G2" s="80"/>
      <c r="H2" s="80"/>
      <c r="I2" s="81"/>
      <c r="J2" s="77"/>
      <c r="K2" s="77"/>
      <c r="L2" s="67" t="s">
        <v>4733</v>
      </c>
      <c r="M2" s="67" t="s">
        <v>4734</v>
      </c>
      <c r="N2" s="68" t="s">
        <v>4735</v>
      </c>
      <c r="O2" s="67" t="s">
        <v>4736</v>
      </c>
      <c r="P2" s="67" t="s">
        <v>4737</v>
      </c>
      <c r="Q2" s="67" t="s">
        <v>4738</v>
      </c>
      <c r="R2" s="67" t="s">
        <v>77</v>
      </c>
      <c r="S2" s="67" t="s">
        <v>78</v>
      </c>
      <c r="T2" s="69" t="s">
        <v>4739</v>
      </c>
      <c r="U2" s="88"/>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84"/>
      <c r="BD2" s="73"/>
      <c r="BE2" s="85"/>
      <c r="BF2" s="85"/>
      <c r="BG2" s="85"/>
      <c r="BH2" s="85"/>
      <c r="BI2" s="86"/>
      <c r="BJ2" s="86"/>
      <c r="BK2" s="83"/>
      <c r="BL2" s="83"/>
      <c r="BM2" s="83"/>
      <c r="BN2" s="83"/>
      <c r="BO2" s="83"/>
      <c r="BP2" s="83"/>
      <c r="BQ2" s="83"/>
      <c r="BR2" s="20" t="s">
        <v>510</v>
      </c>
      <c r="BS2" s="20" t="s">
        <v>511</v>
      </c>
      <c r="BT2" s="20" t="s">
        <v>512</v>
      </c>
      <c r="BU2" s="83"/>
      <c r="BV2" s="83"/>
      <c r="BW2" s="83"/>
      <c r="BX2" s="83"/>
      <c r="BY2" s="83"/>
      <c r="BZ2" s="83"/>
      <c r="CA2" s="83"/>
      <c r="CB2" s="83"/>
      <c r="CC2" s="83"/>
      <c r="CD2" s="83"/>
      <c r="CE2" s="83"/>
      <c r="CF2" s="83"/>
      <c r="CG2" s="83"/>
      <c r="CH2" s="83"/>
      <c r="CI2" s="83"/>
      <c r="CJ2" s="83"/>
      <c r="CK2" s="83"/>
      <c r="CL2" s="83"/>
      <c r="CM2" s="83"/>
      <c r="CN2" s="83"/>
      <c r="CO2" s="83"/>
      <c r="CP2" s="83"/>
      <c r="CQ2" s="83"/>
      <c r="CR2" s="83"/>
      <c r="CS2" s="73"/>
      <c r="CT2" s="73"/>
      <c r="CU2" s="73"/>
    </row>
    <row r="3" spans="1:99" ht="16" customHeight="1">
      <c r="B3" t="s">
        <v>4021</v>
      </c>
      <c r="C3" s="2" t="s">
        <v>4022</v>
      </c>
      <c r="D3" s="2" t="s">
        <v>4023</v>
      </c>
      <c r="E3" s="13" t="s">
        <v>580</v>
      </c>
      <c r="F3" s="13" t="s">
        <v>218</v>
      </c>
      <c r="G3" s="1">
        <v>1</v>
      </c>
      <c r="H3" s="1"/>
      <c r="I3" s="1">
        <f>1789-22</f>
        <v>1767</v>
      </c>
      <c r="J3" t="s">
        <v>10</v>
      </c>
      <c r="K3" s="4" t="s">
        <v>12</v>
      </c>
      <c r="Q3">
        <v>5</v>
      </c>
      <c r="R3">
        <v>7</v>
      </c>
      <c r="S3">
        <v>2</v>
      </c>
      <c r="T3" s="5">
        <f t="shared" ref="T3" si="0">((Q3*316)+(R3*26.3)+(S3*2.2))/10</f>
        <v>176.85</v>
      </c>
      <c r="U3" t="s">
        <v>4024</v>
      </c>
      <c r="V3" s="6">
        <v>1</v>
      </c>
      <c r="W3" s="6">
        <v>1</v>
      </c>
      <c r="X3" s="6">
        <v>1</v>
      </c>
      <c r="BC3">
        <v>1790</v>
      </c>
      <c r="BD3" t="s">
        <v>81</v>
      </c>
      <c r="BE3" t="s">
        <v>4025</v>
      </c>
      <c r="BF3" s="1" t="s">
        <v>73</v>
      </c>
      <c r="BG3" s="1">
        <v>2</v>
      </c>
      <c r="BH3">
        <v>2</v>
      </c>
      <c r="BK3" s="1"/>
      <c r="BO3" t="s">
        <v>72</v>
      </c>
      <c r="BQ3">
        <v>1</v>
      </c>
      <c r="BV3">
        <v>1</v>
      </c>
      <c r="CL3">
        <v>1</v>
      </c>
      <c r="CR3">
        <v>1</v>
      </c>
      <c r="CS3" t="s">
        <v>4026</v>
      </c>
    </row>
    <row r="4" spans="1:99">
      <c r="B4" t="s">
        <v>480</v>
      </c>
      <c r="C4" s="15" t="s">
        <v>230</v>
      </c>
      <c r="D4" s="3"/>
      <c r="E4" s="13" t="s">
        <v>481</v>
      </c>
      <c r="F4" s="13" t="s">
        <v>65</v>
      </c>
      <c r="G4" s="1">
        <v>1</v>
      </c>
      <c r="H4" s="1"/>
      <c r="I4" s="1">
        <v>1765</v>
      </c>
      <c r="J4" t="s">
        <v>10</v>
      </c>
      <c r="K4" s="4" t="s">
        <v>12</v>
      </c>
      <c r="T4" s="5"/>
      <c r="U4" s="9" t="s">
        <v>482</v>
      </c>
      <c r="V4" s="9">
        <v>1</v>
      </c>
      <c r="W4" s="6">
        <v>1</v>
      </c>
      <c r="X4" s="6">
        <v>1</v>
      </c>
      <c r="Y4" s="6">
        <v>1</v>
      </c>
      <c r="Z4" s="6">
        <v>1</v>
      </c>
      <c r="AA4" s="6">
        <v>1</v>
      </c>
      <c r="AB4" s="6">
        <v>1</v>
      </c>
      <c r="AC4" s="6">
        <v>1</v>
      </c>
      <c r="AD4" s="6">
        <v>1</v>
      </c>
      <c r="AE4" s="6">
        <v>1</v>
      </c>
      <c r="AF4" s="6">
        <v>1</v>
      </c>
      <c r="AG4" s="6">
        <v>1</v>
      </c>
      <c r="AH4" s="6">
        <v>1</v>
      </c>
      <c r="AI4" s="6">
        <v>1</v>
      </c>
      <c r="BC4">
        <v>1801</v>
      </c>
      <c r="BD4" t="s">
        <v>81</v>
      </c>
      <c r="BE4" s="10" t="s">
        <v>70</v>
      </c>
      <c r="BF4" s="1" t="s">
        <v>73</v>
      </c>
      <c r="BG4" s="1">
        <v>3</v>
      </c>
      <c r="BH4">
        <v>1</v>
      </c>
      <c r="BK4" s="1"/>
      <c r="BZ4">
        <v>1</v>
      </c>
      <c r="CS4" t="s">
        <v>111</v>
      </c>
      <c r="CT4" s="10" t="s">
        <v>4034</v>
      </c>
    </row>
    <row r="5" spans="1:99">
      <c r="B5" t="s">
        <v>190</v>
      </c>
      <c r="C5" s="2" t="s">
        <v>191</v>
      </c>
      <c r="D5" s="3" t="s">
        <v>192</v>
      </c>
      <c r="E5" s="12" t="s">
        <v>193</v>
      </c>
      <c r="F5" s="12" t="s">
        <v>65</v>
      </c>
      <c r="G5" s="1">
        <v>1</v>
      </c>
      <c r="H5" s="1"/>
      <c r="I5" s="1">
        <f>1800-34</f>
        <v>1766</v>
      </c>
      <c r="J5" t="s">
        <v>69</v>
      </c>
      <c r="K5" s="4" t="s">
        <v>12</v>
      </c>
      <c r="N5">
        <v>1</v>
      </c>
      <c r="Q5">
        <v>5</v>
      </c>
      <c r="R5">
        <v>2</v>
      </c>
      <c r="T5" s="5">
        <f>((Q5*316)+(R5*26.3)+(S5*2.2))/10</f>
        <v>163.26</v>
      </c>
      <c r="U5" s="9" t="s">
        <v>194</v>
      </c>
      <c r="V5" s="9">
        <v>1</v>
      </c>
      <c r="W5" s="9">
        <v>1</v>
      </c>
      <c r="X5" s="6">
        <v>1</v>
      </c>
      <c r="Y5" s="6">
        <v>1</v>
      </c>
      <c r="Z5" s="6">
        <v>1</v>
      </c>
      <c r="AA5" s="6">
        <v>1</v>
      </c>
      <c r="AB5" s="6">
        <v>1</v>
      </c>
      <c r="AC5" s="6">
        <v>1</v>
      </c>
      <c r="AD5" s="6">
        <v>1</v>
      </c>
      <c r="AE5" s="6">
        <v>1</v>
      </c>
      <c r="AF5" s="6">
        <v>1</v>
      </c>
      <c r="AG5" s="6">
        <v>1</v>
      </c>
      <c r="AH5" s="6">
        <v>1</v>
      </c>
      <c r="AI5" s="6">
        <v>1</v>
      </c>
      <c r="AJ5" s="6">
        <v>1</v>
      </c>
      <c r="AK5" s="6">
        <v>1</v>
      </c>
      <c r="AL5" s="6">
        <v>1</v>
      </c>
      <c r="AM5" s="6">
        <v>1</v>
      </c>
      <c r="AN5" s="6">
        <v>1</v>
      </c>
      <c r="AO5" s="7">
        <v>1</v>
      </c>
      <c r="BC5" t="s">
        <v>195</v>
      </c>
      <c r="BD5" s="7" t="s">
        <v>103</v>
      </c>
      <c r="BE5" t="s">
        <v>125</v>
      </c>
      <c r="BF5" s="1" t="s">
        <v>29</v>
      </c>
      <c r="BG5" s="1">
        <v>16</v>
      </c>
      <c r="BH5">
        <v>2</v>
      </c>
      <c r="BK5" s="1">
        <v>1</v>
      </c>
      <c r="BP5" s="6">
        <v>1</v>
      </c>
      <c r="BQ5">
        <v>1</v>
      </c>
      <c r="BZ5">
        <v>1</v>
      </c>
      <c r="CS5" s="7" t="s">
        <v>361</v>
      </c>
      <c r="CT5" s="10" t="s">
        <v>220</v>
      </c>
      <c r="CU5" s="6" t="s">
        <v>3856</v>
      </c>
    </row>
    <row r="6" spans="1:99">
      <c r="B6" t="s">
        <v>2546</v>
      </c>
      <c r="C6" s="13" t="s">
        <v>2547</v>
      </c>
      <c r="D6" s="3"/>
      <c r="E6" s="13"/>
      <c r="F6" s="13" t="s">
        <v>88</v>
      </c>
      <c r="G6" s="1"/>
      <c r="H6" s="1">
        <v>1</v>
      </c>
      <c r="I6" s="1">
        <f>1790-24</f>
        <v>1766</v>
      </c>
      <c r="J6" t="s">
        <v>69</v>
      </c>
      <c r="K6" s="4" t="s">
        <v>12</v>
      </c>
      <c r="T6" s="5"/>
      <c r="U6" s="9" t="s">
        <v>2545</v>
      </c>
      <c r="V6" s="9">
        <v>1</v>
      </c>
      <c r="W6" s="6">
        <v>1</v>
      </c>
      <c r="X6" s="14">
        <v>1</v>
      </c>
      <c r="BC6" s="9" t="s">
        <v>3359</v>
      </c>
      <c r="BD6" s="14" t="s">
        <v>338</v>
      </c>
      <c r="BE6" t="s">
        <v>70</v>
      </c>
      <c r="BF6" s="1" t="s">
        <v>339</v>
      </c>
      <c r="BG6" s="1">
        <v>2</v>
      </c>
      <c r="BH6">
        <v>1</v>
      </c>
      <c r="BK6" s="1" t="s">
        <v>72</v>
      </c>
      <c r="BZ6">
        <v>1</v>
      </c>
      <c r="CS6" s="14" t="s">
        <v>3358</v>
      </c>
      <c r="CT6" t="s">
        <v>2529</v>
      </c>
    </row>
    <row r="7" spans="1:99">
      <c r="B7" t="s">
        <v>3736</v>
      </c>
      <c r="C7" s="2" t="s">
        <v>230</v>
      </c>
      <c r="D7" s="3"/>
      <c r="E7" s="13"/>
      <c r="F7" s="13" t="s">
        <v>65</v>
      </c>
      <c r="G7" s="1">
        <v>1</v>
      </c>
      <c r="H7" s="1"/>
      <c r="I7" s="1">
        <f>1790-20</f>
        <v>1770</v>
      </c>
      <c r="J7" t="s">
        <v>10</v>
      </c>
      <c r="K7" s="4" t="s">
        <v>12</v>
      </c>
      <c r="T7" s="5"/>
      <c r="U7" s="9" t="s">
        <v>3737</v>
      </c>
      <c r="V7" s="9">
        <v>1</v>
      </c>
      <c r="W7" s="6">
        <v>1</v>
      </c>
      <c r="X7" s="14">
        <v>1</v>
      </c>
      <c r="BC7" s="9" t="s">
        <v>3360</v>
      </c>
      <c r="BD7" s="14" t="s">
        <v>338</v>
      </c>
      <c r="BE7" t="s">
        <v>70</v>
      </c>
      <c r="BF7" s="1" t="s">
        <v>339</v>
      </c>
      <c r="BG7" s="1">
        <v>1</v>
      </c>
      <c r="BH7">
        <v>1</v>
      </c>
      <c r="BK7" s="1" t="s">
        <v>72</v>
      </c>
      <c r="BZ7">
        <v>1</v>
      </c>
      <c r="CS7" s="14" t="s">
        <v>3361</v>
      </c>
      <c r="CT7" t="s">
        <v>3738</v>
      </c>
    </row>
    <row r="8" spans="1:99">
      <c r="B8" t="s">
        <v>3937</v>
      </c>
      <c r="C8" s="13" t="s">
        <v>3936</v>
      </c>
      <c r="D8" s="3"/>
      <c r="E8" s="13"/>
      <c r="F8" s="13" t="s">
        <v>88</v>
      </c>
      <c r="G8" s="1"/>
      <c r="H8" s="1">
        <v>1</v>
      </c>
      <c r="I8" s="1">
        <f>1791-22</f>
        <v>1769</v>
      </c>
      <c r="J8" t="s">
        <v>10</v>
      </c>
      <c r="K8" s="4" t="s">
        <v>12</v>
      </c>
      <c r="T8" s="5"/>
      <c r="U8" s="9" t="s">
        <v>3940</v>
      </c>
      <c r="V8" s="9">
        <v>1</v>
      </c>
      <c r="W8" s="6">
        <v>1</v>
      </c>
      <c r="X8" s="6">
        <v>1</v>
      </c>
      <c r="Y8" s="6">
        <v>1</v>
      </c>
      <c r="BC8">
        <v>1791</v>
      </c>
      <c r="BD8" t="s">
        <v>81</v>
      </c>
      <c r="BE8" s="10" t="s">
        <v>70</v>
      </c>
      <c r="BF8" s="1" t="s">
        <v>73</v>
      </c>
      <c r="BG8" s="1">
        <v>2</v>
      </c>
      <c r="BH8">
        <v>1</v>
      </c>
      <c r="BK8" s="1"/>
      <c r="BZ8">
        <v>1</v>
      </c>
      <c r="CS8" t="s">
        <v>111</v>
      </c>
      <c r="CT8" s="10" t="s">
        <v>3938</v>
      </c>
    </row>
    <row r="9" spans="1:99">
      <c r="B9" t="s">
        <v>3793</v>
      </c>
      <c r="C9" s="2" t="s">
        <v>3794</v>
      </c>
      <c r="E9" s="8" t="s">
        <v>1442</v>
      </c>
      <c r="F9" s="8" t="s">
        <v>65</v>
      </c>
      <c r="G9" s="1">
        <v>1</v>
      </c>
      <c r="H9" s="1"/>
      <c r="I9" s="1">
        <f>1790-24</f>
        <v>1766</v>
      </c>
      <c r="J9" t="s">
        <v>10</v>
      </c>
      <c r="K9" s="4" t="s">
        <v>12</v>
      </c>
      <c r="Q9">
        <v>5</v>
      </c>
      <c r="R9">
        <v>3</v>
      </c>
      <c r="T9" s="5">
        <f t="shared" ref="T9" si="1">((Q9*316)+(R9*26.3)+(S9*2.2))/10</f>
        <v>165.89000000000001</v>
      </c>
      <c r="U9" t="s">
        <v>3795</v>
      </c>
      <c r="V9" s="6">
        <v>1</v>
      </c>
      <c r="W9" s="6">
        <v>1</v>
      </c>
      <c r="X9" s="7">
        <v>1</v>
      </c>
      <c r="BC9" t="s">
        <v>3796</v>
      </c>
      <c r="BD9" s="7" t="s">
        <v>103</v>
      </c>
      <c r="BE9" t="s">
        <v>70</v>
      </c>
      <c r="BF9" s="1" t="s">
        <v>29</v>
      </c>
      <c r="BG9" s="1">
        <v>4</v>
      </c>
      <c r="BH9">
        <v>1</v>
      </c>
      <c r="BK9" s="1">
        <v>1</v>
      </c>
      <c r="BZ9">
        <v>1</v>
      </c>
      <c r="CS9" s="7" t="s">
        <v>3092</v>
      </c>
      <c r="CT9" t="s">
        <v>3797</v>
      </c>
    </row>
    <row r="10" spans="1:99">
      <c r="B10" t="s">
        <v>3913</v>
      </c>
      <c r="C10" s="2" t="s">
        <v>1223</v>
      </c>
      <c r="F10" s="8" t="s">
        <v>65</v>
      </c>
      <c r="G10" s="1">
        <v>1</v>
      </c>
      <c r="H10" s="1"/>
      <c r="I10" s="1">
        <f>1789-40</f>
        <v>1749</v>
      </c>
      <c r="J10" t="s">
        <v>69</v>
      </c>
      <c r="K10" s="4" t="s">
        <v>12</v>
      </c>
      <c r="T10" s="5"/>
      <c r="U10" s="9" t="s">
        <v>2550</v>
      </c>
      <c r="V10" s="6">
        <v>1</v>
      </c>
      <c r="W10" s="6">
        <v>1</v>
      </c>
      <c r="X10" s="6">
        <v>1</v>
      </c>
      <c r="BC10">
        <v>1790</v>
      </c>
      <c r="BD10" t="s">
        <v>81</v>
      </c>
      <c r="BE10" s="10" t="s">
        <v>70</v>
      </c>
      <c r="BF10" s="1" t="s">
        <v>73</v>
      </c>
      <c r="BG10" s="1">
        <v>2</v>
      </c>
      <c r="BH10">
        <v>1</v>
      </c>
      <c r="BK10" s="1"/>
      <c r="BZ10">
        <v>1</v>
      </c>
      <c r="CS10" t="s">
        <v>111</v>
      </c>
      <c r="CT10" s="10" t="s">
        <v>3890</v>
      </c>
    </row>
    <row r="11" spans="1:99">
      <c r="B11" t="s">
        <v>2551</v>
      </c>
      <c r="C11" s="2" t="s">
        <v>230</v>
      </c>
      <c r="D11" s="3"/>
      <c r="E11" s="13"/>
      <c r="F11" s="13" t="s">
        <v>65</v>
      </c>
      <c r="G11" s="1">
        <v>1</v>
      </c>
      <c r="H11" s="1"/>
      <c r="I11" s="1">
        <f>1790-21</f>
        <v>1769</v>
      </c>
      <c r="J11" t="s">
        <v>10</v>
      </c>
      <c r="K11" s="4" t="s">
        <v>12</v>
      </c>
      <c r="T11" s="5"/>
      <c r="U11" s="9" t="s">
        <v>2550</v>
      </c>
      <c r="V11" s="9">
        <v>1</v>
      </c>
      <c r="W11" s="6">
        <v>1</v>
      </c>
      <c r="X11" s="14">
        <v>1</v>
      </c>
      <c r="BC11" s="9" t="s">
        <v>3360</v>
      </c>
      <c r="BD11" s="14" t="s">
        <v>338</v>
      </c>
      <c r="BE11" t="s">
        <v>70</v>
      </c>
      <c r="BF11" s="1" t="s">
        <v>339</v>
      </c>
      <c r="BG11" s="1">
        <v>4</v>
      </c>
      <c r="BH11">
        <v>1</v>
      </c>
      <c r="BK11" s="1"/>
      <c r="BZ11">
        <v>1</v>
      </c>
      <c r="CS11" s="14" t="s">
        <v>3361</v>
      </c>
      <c r="CT11" t="s">
        <v>2529</v>
      </c>
    </row>
    <row r="12" spans="1:99">
      <c r="B12" t="s">
        <v>3362</v>
      </c>
      <c r="C12" s="2" t="s">
        <v>1083</v>
      </c>
      <c r="D12" s="3"/>
      <c r="E12" s="13"/>
      <c r="F12" s="13" t="s">
        <v>65</v>
      </c>
      <c r="G12" s="1">
        <v>1</v>
      </c>
      <c r="H12" s="1"/>
      <c r="I12" s="1">
        <f>1789-17</f>
        <v>1772</v>
      </c>
      <c r="J12" t="s">
        <v>10</v>
      </c>
      <c r="K12" s="4" t="s">
        <v>12</v>
      </c>
      <c r="Q12">
        <v>5</v>
      </c>
      <c r="R12">
        <v>2</v>
      </c>
      <c r="T12" s="5">
        <f t="shared" ref="T12" si="2">((Q12*316)+(R12*26.3)+(S12*2.2))/10</f>
        <v>163.26</v>
      </c>
      <c r="U12" t="s">
        <v>3363</v>
      </c>
      <c r="V12" s="6">
        <v>1</v>
      </c>
      <c r="W12" s="6">
        <v>1</v>
      </c>
      <c r="X12" s="14">
        <v>1</v>
      </c>
      <c r="BC12" s="9" t="s">
        <v>3360</v>
      </c>
      <c r="BD12" s="14" t="s">
        <v>338</v>
      </c>
      <c r="BE12" t="s">
        <v>70</v>
      </c>
      <c r="BF12" s="1" t="s">
        <v>339</v>
      </c>
      <c r="BG12" s="1">
        <v>2</v>
      </c>
      <c r="BH12">
        <v>1</v>
      </c>
      <c r="BK12" s="1" t="s">
        <v>72</v>
      </c>
      <c r="BZ12">
        <v>1</v>
      </c>
      <c r="CS12" s="14" t="s">
        <v>3361</v>
      </c>
      <c r="CT12" t="s">
        <v>3367</v>
      </c>
    </row>
    <row r="13" spans="1:99">
      <c r="B13" t="s">
        <v>3939</v>
      </c>
      <c r="C13" s="2" t="s">
        <v>1680</v>
      </c>
      <c r="F13" s="8" t="s">
        <v>65</v>
      </c>
      <c r="G13" s="1">
        <v>1</v>
      </c>
      <c r="H13" s="1"/>
      <c r="I13" s="1">
        <f>1791-18</f>
        <v>1773</v>
      </c>
      <c r="J13" t="s">
        <v>10</v>
      </c>
      <c r="K13" s="4" t="s">
        <v>12</v>
      </c>
      <c r="T13" s="1"/>
      <c r="U13" s="9" t="s">
        <v>4019</v>
      </c>
      <c r="V13" s="9">
        <v>1</v>
      </c>
      <c r="W13" s="6">
        <v>1</v>
      </c>
      <c r="X13" s="6">
        <v>1</v>
      </c>
      <c r="Y13" s="6">
        <v>1</v>
      </c>
      <c r="BC13">
        <v>1791</v>
      </c>
      <c r="BD13" t="s">
        <v>81</v>
      </c>
      <c r="BE13" s="10" t="s">
        <v>70</v>
      </c>
      <c r="BF13" s="1" t="s">
        <v>73</v>
      </c>
      <c r="BG13" s="1">
        <v>6</v>
      </c>
      <c r="BH13">
        <v>1</v>
      </c>
      <c r="BK13" s="1"/>
      <c r="BZ13">
        <v>1</v>
      </c>
      <c r="CS13" t="s">
        <v>111</v>
      </c>
      <c r="CT13" s="10" t="s">
        <v>3941</v>
      </c>
    </row>
    <row r="14" spans="1:99">
      <c r="B14" t="s">
        <v>2521</v>
      </c>
      <c r="C14" s="2" t="s">
        <v>2432</v>
      </c>
      <c r="D14" s="3"/>
      <c r="E14" s="13"/>
      <c r="F14" s="13" t="s">
        <v>65</v>
      </c>
      <c r="G14" s="1">
        <v>1</v>
      </c>
      <c r="H14" s="1"/>
      <c r="I14" s="1">
        <f>1790-43</f>
        <v>1747</v>
      </c>
      <c r="J14" t="s">
        <v>69</v>
      </c>
      <c r="K14" s="4" t="s">
        <v>12</v>
      </c>
      <c r="T14" s="5"/>
      <c r="U14" t="s">
        <v>2522</v>
      </c>
      <c r="V14" s="6">
        <v>1</v>
      </c>
      <c r="W14" s="6">
        <v>1</v>
      </c>
      <c r="X14" s="6">
        <v>1</v>
      </c>
      <c r="Y14" s="6">
        <v>1</v>
      </c>
      <c r="BC14">
        <v>1791</v>
      </c>
      <c r="BD14" t="s">
        <v>81</v>
      </c>
      <c r="BE14" s="10" t="s">
        <v>70</v>
      </c>
      <c r="BF14" s="1" t="s">
        <v>73</v>
      </c>
      <c r="BG14" s="1">
        <v>4</v>
      </c>
      <c r="BH14">
        <v>1</v>
      </c>
      <c r="BK14" s="1" t="s">
        <v>72</v>
      </c>
      <c r="BZ14">
        <v>1</v>
      </c>
      <c r="CS14" t="s">
        <v>111</v>
      </c>
      <c r="CT14" s="10" t="s">
        <v>4030</v>
      </c>
    </row>
    <row r="15" spans="1:99">
      <c r="B15" t="s">
        <v>2524</v>
      </c>
      <c r="C15" s="13" t="s">
        <v>2525</v>
      </c>
      <c r="D15" s="3"/>
      <c r="E15" s="13"/>
      <c r="F15" s="13" t="s">
        <v>88</v>
      </c>
      <c r="G15" s="1"/>
      <c r="H15" s="1">
        <v>1</v>
      </c>
      <c r="I15" s="1">
        <f>1789-26</f>
        <v>1763</v>
      </c>
      <c r="J15" t="s">
        <v>10</v>
      </c>
      <c r="K15" s="4" t="s">
        <v>12</v>
      </c>
      <c r="T15" s="5"/>
      <c r="U15" t="s">
        <v>2522</v>
      </c>
      <c r="V15" s="6">
        <v>1</v>
      </c>
      <c r="W15" s="6">
        <v>1</v>
      </c>
      <c r="BC15">
        <v>1789</v>
      </c>
      <c r="BD15" t="s">
        <v>81</v>
      </c>
      <c r="BE15" s="10" t="s">
        <v>70</v>
      </c>
      <c r="BF15" s="1" t="s">
        <v>73</v>
      </c>
      <c r="BG15" s="1">
        <v>1</v>
      </c>
      <c r="BH15">
        <v>1</v>
      </c>
      <c r="BK15" s="1" t="s">
        <v>72</v>
      </c>
      <c r="BZ15">
        <v>1</v>
      </c>
      <c r="CS15" t="s">
        <v>111</v>
      </c>
      <c r="CT15" s="10" t="s">
        <v>2526</v>
      </c>
    </row>
    <row r="16" spans="1:99">
      <c r="A16" t="s">
        <v>72</v>
      </c>
      <c r="B16" t="s">
        <v>3046</v>
      </c>
      <c r="C16" s="15"/>
      <c r="D16" s="3"/>
      <c r="E16" s="13"/>
      <c r="F16" t="s">
        <v>7</v>
      </c>
      <c r="G16" s="1"/>
      <c r="H16" s="1"/>
      <c r="I16" s="1"/>
      <c r="K16" s="4"/>
      <c r="T16" s="5"/>
      <c r="U16" s="9" t="s">
        <v>3044</v>
      </c>
      <c r="W16" s="14">
        <v>1</v>
      </c>
      <c r="BC16" s="9" t="s">
        <v>3043</v>
      </c>
      <c r="BD16" s="14" t="s">
        <v>338</v>
      </c>
      <c r="BE16" t="s">
        <v>70</v>
      </c>
      <c r="BF16" s="1" t="s">
        <v>339</v>
      </c>
      <c r="BG16" s="1">
        <v>1</v>
      </c>
      <c r="BH16">
        <v>1</v>
      </c>
      <c r="BK16" s="1"/>
      <c r="BZ16">
        <v>1</v>
      </c>
      <c r="CS16" s="14" t="s">
        <v>3045</v>
      </c>
      <c r="CT16" t="s">
        <v>3071</v>
      </c>
    </row>
    <row r="17" spans="1:98">
      <c r="A17" t="s">
        <v>72</v>
      </c>
      <c r="B17" t="s">
        <v>3047</v>
      </c>
      <c r="C17" s="15"/>
      <c r="D17" s="3"/>
      <c r="E17" s="13"/>
      <c r="F17" t="s">
        <v>7</v>
      </c>
      <c r="G17" s="1"/>
      <c r="H17" s="1"/>
      <c r="I17" s="1"/>
      <c r="K17" s="4"/>
      <c r="T17" s="5"/>
      <c r="U17" s="9" t="s">
        <v>3044</v>
      </c>
      <c r="W17" s="14">
        <v>1</v>
      </c>
      <c r="BC17" s="9" t="s">
        <v>3043</v>
      </c>
      <c r="BD17" s="14" t="s">
        <v>338</v>
      </c>
      <c r="BE17" t="s">
        <v>70</v>
      </c>
      <c r="BF17" s="1" t="s">
        <v>339</v>
      </c>
      <c r="BG17" s="1">
        <v>1</v>
      </c>
      <c r="BH17">
        <v>1</v>
      </c>
      <c r="BK17" s="1"/>
      <c r="BS17" s="61"/>
      <c r="BZ17">
        <v>1</v>
      </c>
      <c r="CS17" s="14" t="s">
        <v>3045</v>
      </c>
      <c r="CT17" t="s">
        <v>3071</v>
      </c>
    </row>
    <row r="18" spans="1:98">
      <c r="A18" t="s">
        <v>72</v>
      </c>
      <c r="B18" t="s">
        <v>3048</v>
      </c>
      <c r="C18" s="15"/>
      <c r="D18" s="3"/>
      <c r="E18" s="13"/>
      <c r="F18" t="s">
        <v>7</v>
      </c>
      <c r="G18" s="1"/>
      <c r="H18" s="1"/>
      <c r="I18" s="1"/>
      <c r="K18" s="4"/>
      <c r="T18" s="5"/>
      <c r="U18" s="9" t="s">
        <v>3044</v>
      </c>
      <c r="W18" s="14">
        <v>1</v>
      </c>
      <c r="BC18" s="9" t="s">
        <v>3043</v>
      </c>
      <c r="BD18" s="14" t="s">
        <v>338</v>
      </c>
      <c r="BE18" t="s">
        <v>70</v>
      </c>
      <c r="BF18" s="1" t="s">
        <v>339</v>
      </c>
      <c r="BG18" s="1">
        <v>1</v>
      </c>
      <c r="BH18">
        <v>1</v>
      </c>
      <c r="BK18" s="1"/>
      <c r="BZ18">
        <v>1</v>
      </c>
      <c r="CS18" s="14" t="s">
        <v>3045</v>
      </c>
      <c r="CT18" t="s">
        <v>3071</v>
      </c>
    </row>
    <row r="19" spans="1:98">
      <c r="A19" t="s">
        <v>72</v>
      </c>
      <c r="B19" t="s">
        <v>3049</v>
      </c>
      <c r="C19" s="15"/>
      <c r="D19" s="3"/>
      <c r="E19" s="13"/>
      <c r="F19" t="s">
        <v>7</v>
      </c>
      <c r="G19" s="1"/>
      <c r="H19" s="1"/>
      <c r="I19" s="1"/>
      <c r="K19" s="4"/>
      <c r="T19" s="5"/>
      <c r="U19" s="9" t="s">
        <v>3044</v>
      </c>
      <c r="W19" s="14">
        <v>1</v>
      </c>
      <c r="BC19" s="9" t="s">
        <v>3043</v>
      </c>
      <c r="BD19" s="14" t="s">
        <v>338</v>
      </c>
      <c r="BE19" t="s">
        <v>70</v>
      </c>
      <c r="BF19" s="1" t="s">
        <v>339</v>
      </c>
      <c r="BG19" s="1">
        <v>1</v>
      </c>
      <c r="BH19">
        <v>1</v>
      </c>
      <c r="BK19" s="1"/>
      <c r="BZ19">
        <v>1</v>
      </c>
      <c r="CS19" s="14" t="s">
        <v>3045</v>
      </c>
      <c r="CT19" t="s">
        <v>3071</v>
      </c>
    </row>
    <row r="20" spans="1:98">
      <c r="A20" t="s">
        <v>72</v>
      </c>
      <c r="B20" t="s">
        <v>3050</v>
      </c>
      <c r="C20" s="15"/>
      <c r="D20" s="3"/>
      <c r="E20" s="13"/>
      <c r="F20" t="s">
        <v>7</v>
      </c>
      <c r="G20" s="1"/>
      <c r="H20" s="1"/>
      <c r="I20" s="1"/>
      <c r="K20" s="4"/>
      <c r="T20" s="5"/>
      <c r="U20" s="9" t="s">
        <v>3044</v>
      </c>
      <c r="W20" s="14">
        <v>1</v>
      </c>
      <c r="BC20" s="9" t="s">
        <v>3043</v>
      </c>
      <c r="BD20" s="14" t="s">
        <v>338</v>
      </c>
      <c r="BE20" t="s">
        <v>70</v>
      </c>
      <c r="BF20" s="1" t="s">
        <v>339</v>
      </c>
      <c r="BG20" s="1">
        <v>1</v>
      </c>
      <c r="BH20">
        <v>1</v>
      </c>
      <c r="BK20" s="1"/>
      <c r="BZ20">
        <v>1</v>
      </c>
      <c r="CS20" s="14" t="s">
        <v>3045</v>
      </c>
      <c r="CT20" t="s">
        <v>3071</v>
      </c>
    </row>
    <row r="21" spans="1:98">
      <c r="A21" t="s">
        <v>72</v>
      </c>
      <c r="B21" t="s">
        <v>3051</v>
      </c>
      <c r="C21" s="15"/>
      <c r="D21" s="3"/>
      <c r="E21" s="13"/>
      <c r="F21" t="s">
        <v>7</v>
      </c>
      <c r="G21" s="1"/>
      <c r="H21" s="1"/>
      <c r="I21" s="1"/>
      <c r="K21" s="4"/>
      <c r="T21" s="5"/>
      <c r="U21" s="9" t="s">
        <v>3044</v>
      </c>
      <c r="W21" s="14">
        <v>1</v>
      </c>
      <c r="BC21" s="9" t="s">
        <v>3043</v>
      </c>
      <c r="BD21" s="14" t="s">
        <v>338</v>
      </c>
      <c r="BE21" t="s">
        <v>70</v>
      </c>
      <c r="BF21" s="1" t="s">
        <v>339</v>
      </c>
      <c r="BG21" s="1">
        <v>1</v>
      </c>
      <c r="BH21">
        <v>1</v>
      </c>
      <c r="BK21" s="1"/>
      <c r="BZ21">
        <v>1</v>
      </c>
      <c r="CS21" s="14" t="s">
        <v>3045</v>
      </c>
      <c r="CT21" t="s">
        <v>3071</v>
      </c>
    </row>
    <row r="22" spans="1:98">
      <c r="A22" t="s">
        <v>72</v>
      </c>
      <c r="B22" t="s">
        <v>3384</v>
      </c>
      <c r="C22" s="15"/>
      <c r="D22" s="3"/>
      <c r="E22" s="13"/>
      <c r="F22" t="s">
        <v>7</v>
      </c>
      <c r="G22" s="1"/>
      <c r="H22" s="1"/>
      <c r="I22" s="1"/>
      <c r="K22" s="4"/>
      <c r="T22" s="5"/>
      <c r="U22" s="9" t="s">
        <v>3385</v>
      </c>
      <c r="W22" s="9">
        <v>1</v>
      </c>
      <c r="BC22">
        <v>1789</v>
      </c>
      <c r="BD22" t="s">
        <v>81</v>
      </c>
      <c r="BE22" s="10" t="s">
        <v>70</v>
      </c>
      <c r="BF22" s="1" t="s">
        <v>73</v>
      </c>
      <c r="BG22" s="1">
        <v>1</v>
      </c>
      <c r="BH22">
        <v>1</v>
      </c>
      <c r="BK22" s="1"/>
      <c r="BZ22">
        <v>1</v>
      </c>
      <c r="CS22" t="s">
        <v>111</v>
      </c>
      <c r="CT22" s="10" t="s">
        <v>3386</v>
      </c>
    </row>
    <row r="23" spans="1:98">
      <c r="A23" t="s">
        <v>72</v>
      </c>
      <c r="B23" t="s">
        <v>3398</v>
      </c>
      <c r="C23" s="15"/>
      <c r="D23" s="3"/>
      <c r="E23" s="13"/>
      <c r="F23" t="s">
        <v>7</v>
      </c>
      <c r="G23" s="1"/>
      <c r="H23" s="1"/>
      <c r="I23" s="1"/>
      <c r="K23" s="4"/>
      <c r="T23" s="5"/>
      <c r="U23" s="9" t="s">
        <v>3397</v>
      </c>
      <c r="W23" s="9">
        <v>1</v>
      </c>
      <c r="X23" s="6">
        <v>1</v>
      </c>
      <c r="BC23">
        <v>1790</v>
      </c>
      <c r="BD23" t="s">
        <v>81</v>
      </c>
      <c r="BE23" s="10" t="s">
        <v>70</v>
      </c>
      <c r="BF23" s="1" t="s">
        <v>73</v>
      </c>
      <c r="BG23" s="1">
        <v>3</v>
      </c>
      <c r="BH23">
        <v>1</v>
      </c>
      <c r="BK23" s="1"/>
      <c r="BZ23">
        <v>1</v>
      </c>
      <c r="CS23" t="s">
        <v>111</v>
      </c>
      <c r="CT23" s="10" t="s">
        <v>3386</v>
      </c>
    </row>
    <row r="24" spans="1:98">
      <c r="A24" t="s">
        <v>72</v>
      </c>
      <c r="B24" t="s">
        <v>3975</v>
      </c>
      <c r="C24" s="15"/>
      <c r="D24" s="3"/>
      <c r="E24" s="13"/>
      <c r="F24" t="s">
        <v>7</v>
      </c>
      <c r="G24" s="1"/>
      <c r="H24" s="1"/>
      <c r="I24" s="1"/>
      <c r="K24" s="4"/>
      <c r="T24" s="5"/>
      <c r="U24" s="9" t="s">
        <v>3974</v>
      </c>
      <c r="W24" s="9">
        <v>1</v>
      </c>
      <c r="BC24">
        <v>1789</v>
      </c>
      <c r="BD24" t="s">
        <v>81</v>
      </c>
      <c r="BE24" s="10" t="s">
        <v>70</v>
      </c>
      <c r="BF24" s="1" t="s">
        <v>73</v>
      </c>
      <c r="BG24" s="1">
        <v>1</v>
      </c>
      <c r="BH24">
        <v>1</v>
      </c>
      <c r="BK24" s="1"/>
      <c r="BZ24">
        <v>1</v>
      </c>
      <c r="CS24" t="s">
        <v>111</v>
      </c>
      <c r="CT24" s="10" t="s">
        <v>3976</v>
      </c>
    </row>
    <row r="25" spans="1:98">
      <c r="B25" t="s">
        <v>3981</v>
      </c>
      <c r="C25" s="2" t="s">
        <v>3980</v>
      </c>
      <c r="D25" s="3"/>
      <c r="E25" s="13"/>
      <c r="F25" s="8" t="s">
        <v>88</v>
      </c>
      <c r="G25" s="1"/>
      <c r="H25" s="1">
        <v>1</v>
      </c>
      <c r="I25" s="1">
        <f>1790-21</f>
        <v>1769</v>
      </c>
      <c r="J25" t="s">
        <v>10</v>
      </c>
      <c r="K25" s="4" t="s">
        <v>12</v>
      </c>
      <c r="T25" s="5"/>
      <c r="U25" s="9" t="s">
        <v>3974</v>
      </c>
      <c r="W25" s="9">
        <v>1</v>
      </c>
      <c r="X25" s="6">
        <v>1</v>
      </c>
      <c r="BC25">
        <v>1790</v>
      </c>
      <c r="BD25" t="s">
        <v>81</v>
      </c>
      <c r="BE25" s="10" t="s">
        <v>70</v>
      </c>
      <c r="BF25" s="1" t="s">
        <v>73</v>
      </c>
      <c r="BG25" s="1">
        <v>3</v>
      </c>
      <c r="BH25">
        <v>1</v>
      </c>
      <c r="BK25" s="1"/>
      <c r="BZ25">
        <v>1</v>
      </c>
      <c r="CS25" t="s">
        <v>111</v>
      </c>
      <c r="CT25" s="10" t="s">
        <v>3976</v>
      </c>
    </row>
    <row r="26" spans="1:98">
      <c r="B26" t="s">
        <v>3365</v>
      </c>
      <c r="C26" s="13" t="s">
        <v>3366</v>
      </c>
      <c r="D26" s="3"/>
      <c r="E26" s="13"/>
      <c r="F26" s="8" t="s">
        <v>357</v>
      </c>
      <c r="G26" s="1">
        <v>1</v>
      </c>
      <c r="H26" s="1"/>
      <c r="I26" s="1"/>
      <c r="J26" t="s">
        <v>10</v>
      </c>
      <c r="K26" s="4" t="s">
        <v>197</v>
      </c>
      <c r="T26" s="5"/>
      <c r="U26" s="9" t="s">
        <v>3364</v>
      </c>
      <c r="W26" s="9">
        <v>1</v>
      </c>
      <c r="X26" s="14">
        <v>1</v>
      </c>
      <c r="BC26" s="9" t="s">
        <v>3360</v>
      </c>
      <c r="BD26" s="14" t="s">
        <v>338</v>
      </c>
      <c r="BE26" t="s">
        <v>70</v>
      </c>
      <c r="BF26" s="1" t="s">
        <v>339</v>
      </c>
      <c r="BG26" s="1">
        <v>1</v>
      </c>
      <c r="BH26">
        <v>1</v>
      </c>
      <c r="BK26" s="1" t="s">
        <v>72</v>
      </c>
      <c r="BZ26">
        <v>1</v>
      </c>
      <c r="CS26" s="14" t="s">
        <v>3361</v>
      </c>
      <c r="CT26" t="s">
        <v>3367</v>
      </c>
    </row>
    <row r="27" spans="1:98">
      <c r="B27" t="s">
        <v>2527</v>
      </c>
      <c r="C27" s="2" t="s">
        <v>1266</v>
      </c>
      <c r="D27" s="3"/>
      <c r="E27" s="13"/>
      <c r="F27" s="13" t="s">
        <v>357</v>
      </c>
      <c r="G27" s="1">
        <v>1</v>
      </c>
      <c r="H27" s="1"/>
      <c r="I27" s="1">
        <f>1789-38</f>
        <v>1751</v>
      </c>
      <c r="J27" t="s">
        <v>10</v>
      </c>
      <c r="K27" s="4" t="s">
        <v>12</v>
      </c>
      <c r="T27" s="5"/>
      <c r="U27" t="s">
        <v>2257</v>
      </c>
      <c r="W27" s="6">
        <v>1</v>
      </c>
      <c r="BC27">
        <v>1789</v>
      </c>
      <c r="BD27" t="s">
        <v>81</v>
      </c>
      <c r="BE27" s="10" t="s">
        <v>70</v>
      </c>
      <c r="BF27" s="1" t="s">
        <v>73</v>
      </c>
      <c r="BG27" s="1">
        <v>1</v>
      </c>
      <c r="BH27">
        <v>1</v>
      </c>
      <c r="BK27" s="1" t="s">
        <v>72</v>
      </c>
      <c r="BZ27">
        <v>1</v>
      </c>
      <c r="CS27" t="s">
        <v>111</v>
      </c>
      <c r="CT27" s="10" t="s">
        <v>2526</v>
      </c>
    </row>
    <row r="28" spans="1:98">
      <c r="B28" t="s">
        <v>2253</v>
      </c>
      <c r="C28" s="13" t="s">
        <v>2256</v>
      </c>
      <c r="D28" s="3"/>
      <c r="E28" s="13"/>
      <c r="F28" s="13" t="s">
        <v>88</v>
      </c>
      <c r="G28" s="1"/>
      <c r="H28" s="1">
        <v>1</v>
      </c>
      <c r="I28" s="1">
        <f>1789-46</f>
        <v>1743</v>
      </c>
      <c r="J28" t="s">
        <v>69</v>
      </c>
      <c r="K28" s="4" t="s">
        <v>12</v>
      </c>
      <c r="T28" s="5"/>
      <c r="U28" t="s">
        <v>2257</v>
      </c>
      <c r="W28" s="14">
        <v>1</v>
      </c>
      <c r="BC28" s="9" t="s">
        <v>89</v>
      </c>
      <c r="BD28" s="14" t="s">
        <v>338</v>
      </c>
      <c r="BE28" t="s">
        <v>70</v>
      </c>
      <c r="BF28" s="1" t="s">
        <v>339</v>
      </c>
      <c r="BG28" s="1">
        <v>1</v>
      </c>
      <c r="BH28">
        <v>1</v>
      </c>
      <c r="BK28" s="1" t="s">
        <v>72</v>
      </c>
      <c r="BZ28">
        <v>1</v>
      </c>
      <c r="CS28" s="14" t="s">
        <v>2284</v>
      </c>
      <c r="CT28" t="s">
        <v>2258</v>
      </c>
    </row>
    <row r="29" spans="1:98">
      <c r="B29" t="s">
        <v>2254</v>
      </c>
      <c r="C29" s="2" t="s">
        <v>2255</v>
      </c>
      <c r="D29" s="3"/>
      <c r="E29" s="13"/>
      <c r="F29" s="13" t="s">
        <v>88</v>
      </c>
      <c r="G29" s="1"/>
      <c r="H29" s="1">
        <v>1</v>
      </c>
      <c r="I29" s="1">
        <f>1789-22</f>
        <v>1767</v>
      </c>
      <c r="J29" t="s">
        <v>10</v>
      </c>
      <c r="K29" s="4" t="s">
        <v>12</v>
      </c>
      <c r="T29" s="5"/>
      <c r="U29" t="s">
        <v>2257</v>
      </c>
      <c r="W29" s="14">
        <v>1</v>
      </c>
      <c r="BC29" s="9" t="s">
        <v>89</v>
      </c>
      <c r="BD29" s="14" t="s">
        <v>338</v>
      </c>
      <c r="BE29" t="s">
        <v>70</v>
      </c>
      <c r="BF29" s="1" t="s">
        <v>339</v>
      </c>
      <c r="BG29" s="1">
        <v>1</v>
      </c>
      <c r="BH29">
        <v>1</v>
      </c>
      <c r="BK29" s="1" t="s">
        <v>72</v>
      </c>
      <c r="BZ29">
        <v>1</v>
      </c>
      <c r="CS29" s="14" t="s">
        <v>2284</v>
      </c>
      <c r="CT29" t="s">
        <v>2258</v>
      </c>
    </row>
    <row r="30" spans="1:98">
      <c r="B30" t="s">
        <v>3069</v>
      </c>
      <c r="C30" s="12"/>
      <c r="F30" s="50" t="s">
        <v>7</v>
      </c>
      <c r="G30" s="1"/>
      <c r="H30" s="1"/>
      <c r="I30" s="1"/>
      <c r="K30" s="4"/>
      <c r="T30" s="1"/>
      <c r="U30" s="9" t="s">
        <v>3077</v>
      </c>
      <c r="W30" s="9">
        <v>1</v>
      </c>
      <c r="BC30">
        <v>1789</v>
      </c>
      <c r="BD30" t="s">
        <v>81</v>
      </c>
      <c r="BE30" s="10" t="s">
        <v>70</v>
      </c>
      <c r="BF30" s="1" t="s">
        <v>73</v>
      </c>
      <c r="BG30" s="1">
        <v>1</v>
      </c>
      <c r="BH30">
        <v>1</v>
      </c>
      <c r="BK30" s="1"/>
      <c r="BZ30">
        <v>1</v>
      </c>
      <c r="CS30" t="s">
        <v>111</v>
      </c>
      <c r="CT30" s="10" t="s">
        <v>3070</v>
      </c>
    </row>
    <row r="31" spans="1:98">
      <c r="B31" t="s">
        <v>3079</v>
      </c>
      <c r="C31" s="12"/>
      <c r="F31" s="50" t="s">
        <v>7</v>
      </c>
      <c r="G31" s="1"/>
      <c r="H31" s="1"/>
      <c r="I31" s="1"/>
      <c r="K31" s="4"/>
      <c r="T31" s="1"/>
      <c r="U31" s="9" t="s">
        <v>3078</v>
      </c>
      <c r="W31" s="9">
        <v>1</v>
      </c>
      <c r="BC31">
        <v>1789</v>
      </c>
      <c r="BD31" t="s">
        <v>81</v>
      </c>
      <c r="BE31" s="10" t="s">
        <v>70</v>
      </c>
      <c r="BF31" s="1" t="s">
        <v>73</v>
      </c>
      <c r="BG31" s="1">
        <v>1</v>
      </c>
      <c r="BH31">
        <v>1</v>
      </c>
      <c r="BK31" s="1"/>
      <c r="BZ31">
        <v>1</v>
      </c>
      <c r="CS31" t="s">
        <v>111</v>
      </c>
      <c r="CT31" s="10" t="s">
        <v>3070</v>
      </c>
    </row>
    <row r="32" spans="1:98">
      <c r="B32" t="s">
        <v>3080</v>
      </c>
      <c r="C32" s="12"/>
      <c r="F32" s="50" t="s">
        <v>7</v>
      </c>
      <c r="G32" s="1"/>
      <c r="H32" s="1"/>
      <c r="I32" s="1"/>
      <c r="K32" s="4"/>
      <c r="T32" s="1"/>
      <c r="U32" s="9" t="s">
        <v>3078</v>
      </c>
      <c r="W32" s="9">
        <v>1</v>
      </c>
      <c r="BC32">
        <v>1789</v>
      </c>
      <c r="BD32" t="s">
        <v>81</v>
      </c>
      <c r="BE32" s="10" t="s">
        <v>70</v>
      </c>
      <c r="BF32" s="1" t="s">
        <v>73</v>
      </c>
      <c r="BG32" s="1">
        <v>1</v>
      </c>
      <c r="BH32">
        <v>1</v>
      </c>
      <c r="BK32" s="1"/>
      <c r="BZ32">
        <v>1</v>
      </c>
      <c r="CS32" t="s">
        <v>111</v>
      </c>
      <c r="CT32" s="10" t="s">
        <v>3070</v>
      </c>
    </row>
    <row r="33" spans="1:98">
      <c r="B33" t="s">
        <v>3842</v>
      </c>
      <c r="C33" s="13" t="s">
        <v>3843</v>
      </c>
      <c r="F33" s="13" t="s">
        <v>88</v>
      </c>
      <c r="G33" s="1"/>
      <c r="H33" s="1">
        <v>1</v>
      </c>
      <c r="I33" s="1"/>
      <c r="J33" t="s">
        <v>69</v>
      </c>
      <c r="K33" s="4" t="s">
        <v>12</v>
      </c>
      <c r="T33" s="1"/>
      <c r="U33" s="9" t="s">
        <v>3844</v>
      </c>
      <c r="W33" s="9">
        <v>1</v>
      </c>
      <c r="BC33">
        <v>1789</v>
      </c>
      <c r="BD33" t="s">
        <v>81</v>
      </c>
      <c r="BE33" s="10" t="s">
        <v>70</v>
      </c>
      <c r="BF33" s="1" t="s">
        <v>73</v>
      </c>
      <c r="BG33" s="1">
        <v>2</v>
      </c>
      <c r="BH33">
        <v>1</v>
      </c>
      <c r="BK33" s="1"/>
      <c r="BZ33">
        <v>1</v>
      </c>
      <c r="CS33" t="s">
        <v>111</v>
      </c>
      <c r="CT33" s="10" t="s">
        <v>3836</v>
      </c>
    </row>
    <row r="34" spans="1:98">
      <c r="B34" t="s">
        <v>3532</v>
      </c>
      <c r="C34" s="2" t="s">
        <v>3533</v>
      </c>
      <c r="F34" s="13" t="s">
        <v>65</v>
      </c>
      <c r="G34" s="1">
        <v>1</v>
      </c>
      <c r="H34" s="1"/>
      <c r="I34" s="1">
        <f>1789-21</f>
        <v>1768</v>
      </c>
      <c r="J34" t="s">
        <v>10</v>
      </c>
      <c r="K34" s="4" t="s">
        <v>900</v>
      </c>
      <c r="T34" s="1"/>
      <c r="U34" s="9" t="s">
        <v>3534</v>
      </c>
      <c r="W34" s="9">
        <v>1</v>
      </c>
      <c r="BC34">
        <v>1789</v>
      </c>
      <c r="BD34" t="s">
        <v>81</v>
      </c>
      <c r="BE34" s="10" t="s">
        <v>70</v>
      </c>
      <c r="BF34" s="1" t="s">
        <v>73</v>
      </c>
      <c r="BG34" s="1">
        <v>3</v>
      </c>
      <c r="BH34">
        <v>1</v>
      </c>
      <c r="BK34" s="1"/>
      <c r="BZ34">
        <v>1</v>
      </c>
      <c r="CS34" t="s">
        <v>111</v>
      </c>
      <c r="CT34" s="10" t="s">
        <v>3535</v>
      </c>
    </row>
    <row r="35" spans="1:98">
      <c r="A35" t="s">
        <v>72</v>
      </c>
      <c r="B35" t="s">
        <v>3394</v>
      </c>
      <c r="C35" s="12"/>
      <c r="F35" s="50" t="s">
        <v>7</v>
      </c>
      <c r="G35" s="1"/>
      <c r="H35" s="1"/>
      <c r="I35" s="1"/>
      <c r="K35" s="4"/>
      <c r="T35" s="1"/>
      <c r="U35" s="9" t="s">
        <v>3392</v>
      </c>
      <c r="W35" s="9">
        <v>1</v>
      </c>
      <c r="X35" s="6">
        <v>1</v>
      </c>
      <c r="BC35">
        <v>1790</v>
      </c>
      <c r="BD35" t="s">
        <v>81</v>
      </c>
      <c r="BE35" s="10" t="s">
        <v>70</v>
      </c>
      <c r="BF35" s="1" t="s">
        <v>73</v>
      </c>
      <c r="BG35" s="1">
        <v>2</v>
      </c>
      <c r="BH35">
        <v>1</v>
      </c>
      <c r="BK35" s="1"/>
      <c r="BZ35">
        <v>1</v>
      </c>
      <c r="CS35" t="s">
        <v>111</v>
      </c>
      <c r="CT35" s="10" t="s">
        <v>3386</v>
      </c>
    </row>
    <row r="36" spans="1:98">
      <c r="A36" t="s">
        <v>72</v>
      </c>
      <c r="B36" t="s">
        <v>3399</v>
      </c>
      <c r="C36" s="12"/>
      <c r="F36" s="50" t="s">
        <v>7</v>
      </c>
      <c r="G36" s="1"/>
      <c r="H36" s="1"/>
      <c r="I36" s="1"/>
      <c r="K36" s="4"/>
      <c r="T36" s="1"/>
      <c r="U36" s="9" t="s">
        <v>3392</v>
      </c>
      <c r="W36" s="9">
        <v>1</v>
      </c>
      <c r="X36" s="6">
        <v>1</v>
      </c>
      <c r="BC36">
        <v>1790</v>
      </c>
      <c r="BD36" t="s">
        <v>81</v>
      </c>
      <c r="BE36" s="10" t="s">
        <v>70</v>
      </c>
      <c r="BF36" s="1" t="s">
        <v>73</v>
      </c>
      <c r="BG36" s="1">
        <v>3</v>
      </c>
      <c r="BH36">
        <v>1</v>
      </c>
      <c r="BK36" s="1"/>
      <c r="BZ36">
        <v>1</v>
      </c>
      <c r="CS36" t="s">
        <v>111</v>
      </c>
      <c r="CT36" s="10" t="s">
        <v>3386</v>
      </c>
    </row>
    <row r="37" spans="1:98">
      <c r="A37" t="s">
        <v>72</v>
      </c>
      <c r="B37" t="s">
        <v>3393</v>
      </c>
      <c r="C37" s="12"/>
      <c r="F37" s="50" t="s">
        <v>7</v>
      </c>
      <c r="G37" s="1"/>
      <c r="H37" s="1"/>
      <c r="I37" s="1"/>
      <c r="K37" s="4"/>
      <c r="T37" s="1"/>
      <c r="U37" s="9" t="s">
        <v>3392</v>
      </c>
      <c r="W37" s="9">
        <v>1</v>
      </c>
      <c r="X37" s="6">
        <v>1</v>
      </c>
      <c r="BC37">
        <v>1790</v>
      </c>
      <c r="BD37" t="s">
        <v>81</v>
      </c>
      <c r="BE37" s="10" t="s">
        <v>70</v>
      </c>
      <c r="BF37" s="1" t="s">
        <v>73</v>
      </c>
      <c r="BG37" s="1">
        <v>2</v>
      </c>
      <c r="BH37">
        <v>1</v>
      </c>
      <c r="BK37" s="1"/>
      <c r="BZ37">
        <v>1</v>
      </c>
      <c r="CS37" t="s">
        <v>111</v>
      </c>
      <c r="CT37" s="10" t="s">
        <v>3386</v>
      </c>
    </row>
    <row r="38" spans="1:98">
      <c r="B38" t="s">
        <v>3899</v>
      </c>
      <c r="C38" s="2" t="s">
        <v>2924</v>
      </c>
      <c r="D38" s="2" t="s">
        <v>2924</v>
      </c>
      <c r="E38" s="8" t="s">
        <v>599</v>
      </c>
      <c r="F38" s="13" t="s">
        <v>357</v>
      </c>
      <c r="G38" s="1">
        <v>1</v>
      </c>
      <c r="H38" s="1"/>
      <c r="I38" s="1">
        <f>1789-18</f>
        <v>1771</v>
      </c>
      <c r="J38" t="s">
        <v>10</v>
      </c>
      <c r="K38" s="4" t="s">
        <v>12</v>
      </c>
      <c r="T38" s="1"/>
      <c r="U38" s="9" t="s">
        <v>3898</v>
      </c>
      <c r="W38" s="14">
        <v>1</v>
      </c>
      <c r="BC38">
        <v>1789</v>
      </c>
      <c r="BD38" t="s">
        <v>81</v>
      </c>
      <c r="BE38" t="s">
        <v>70</v>
      </c>
      <c r="BF38" s="1" t="s">
        <v>339</v>
      </c>
      <c r="BG38" s="1">
        <v>2</v>
      </c>
      <c r="BH38">
        <v>1</v>
      </c>
      <c r="BK38" s="1"/>
      <c r="BZ38">
        <v>1</v>
      </c>
      <c r="CS38" s="14" t="s">
        <v>3076</v>
      </c>
      <c r="CT38" t="s">
        <v>3903</v>
      </c>
    </row>
    <row r="39" spans="1:98">
      <c r="B39" t="s">
        <v>3900</v>
      </c>
      <c r="C39" s="2" t="s">
        <v>3901</v>
      </c>
      <c r="D39" s="3" t="s">
        <v>3902</v>
      </c>
      <c r="E39" s="8" t="s">
        <v>740</v>
      </c>
      <c r="F39" s="13" t="s">
        <v>65</v>
      </c>
      <c r="G39" s="1">
        <v>1</v>
      </c>
      <c r="H39" s="1"/>
      <c r="I39" s="1">
        <f>1789-20</f>
        <v>1769</v>
      </c>
      <c r="J39" t="s">
        <v>69</v>
      </c>
      <c r="K39" s="4" t="s">
        <v>197</v>
      </c>
      <c r="O39">
        <v>1</v>
      </c>
      <c r="T39" s="1"/>
      <c r="U39" s="9" t="s">
        <v>3898</v>
      </c>
      <c r="W39" s="14">
        <v>1</v>
      </c>
      <c r="BC39">
        <v>1789</v>
      </c>
      <c r="BD39" t="s">
        <v>81</v>
      </c>
      <c r="BE39" t="s">
        <v>70</v>
      </c>
      <c r="BF39" s="1" t="s">
        <v>339</v>
      </c>
      <c r="BG39" s="1">
        <v>2</v>
      </c>
      <c r="BH39">
        <v>1</v>
      </c>
      <c r="BK39" s="1"/>
      <c r="BZ39">
        <v>1</v>
      </c>
      <c r="CS39" s="14" t="s">
        <v>3076</v>
      </c>
      <c r="CT39" t="s">
        <v>3903</v>
      </c>
    </row>
    <row r="40" spans="1:98">
      <c r="B40" t="s">
        <v>3905</v>
      </c>
      <c r="C40" s="13" t="s">
        <v>3904</v>
      </c>
      <c r="D40" s="3" t="s">
        <v>3902</v>
      </c>
      <c r="E40" s="8" t="s">
        <v>869</v>
      </c>
      <c r="F40" s="13" t="s">
        <v>65</v>
      </c>
      <c r="G40" s="1">
        <v>1</v>
      </c>
      <c r="H40" s="1"/>
      <c r="I40" s="1">
        <f>1789-20</f>
        <v>1769</v>
      </c>
      <c r="J40" t="s">
        <v>69</v>
      </c>
      <c r="K40" s="4" t="s">
        <v>12</v>
      </c>
      <c r="T40" s="1"/>
      <c r="U40" s="9" t="s">
        <v>3898</v>
      </c>
      <c r="W40" s="9">
        <v>1</v>
      </c>
      <c r="X40" s="7">
        <v>1</v>
      </c>
      <c r="BC40" t="s">
        <v>3906</v>
      </c>
      <c r="BD40" s="7" t="s">
        <v>103</v>
      </c>
      <c r="BE40" t="s">
        <v>70</v>
      </c>
      <c r="BF40" s="1" t="s">
        <v>29</v>
      </c>
      <c r="BG40" s="1">
        <v>3</v>
      </c>
      <c r="BH40">
        <v>1</v>
      </c>
      <c r="BK40" s="1" t="s">
        <v>72</v>
      </c>
      <c r="BZ40">
        <v>1</v>
      </c>
      <c r="CS40" s="7" t="s">
        <v>3092</v>
      </c>
      <c r="CT40" t="s">
        <v>3890</v>
      </c>
    </row>
    <row r="41" spans="1:98">
      <c r="B41" t="s">
        <v>3889</v>
      </c>
      <c r="C41" s="2" t="s">
        <v>3150</v>
      </c>
      <c r="E41" s="8" t="s">
        <v>546</v>
      </c>
      <c r="F41" s="13" t="s">
        <v>357</v>
      </c>
      <c r="G41" s="1">
        <v>1</v>
      </c>
      <c r="H41" s="1"/>
      <c r="I41" s="1">
        <f>1789-20</f>
        <v>1769</v>
      </c>
      <c r="J41" t="s">
        <v>10</v>
      </c>
      <c r="K41" s="4" t="s">
        <v>197</v>
      </c>
      <c r="T41" s="1"/>
      <c r="U41" s="9" t="s">
        <v>3898</v>
      </c>
      <c r="W41" s="9">
        <v>1</v>
      </c>
      <c r="BC41">
        <v>1789</v>
      </c>
      <c r="BD41" t="s">
        <v>81</v>
      </c>
      <c r="BE41" s="10" t="s">
        <v>70</v>
      </c>
      <c r="BF41" s="1" t="s">
        <v>73</v>
      </c>
      <c r="BG41" s="1">
        <v>1</v>
      </c>
      <c r="BH41">
        <v>1</v>
      </c>
      <c r="BK41" s="1"/>
      <c r="BZ41">
        <v>1</v>
      </c>
      <c r="CS41" t="s">
        <v>111</v>
      </c>
      <c r="CT41" s="10" t="s">
        <v>3890</v>
      </c>
    </row>
    <row r="42" spans="1:98">
      <c r="B42" t="s">
        <v>3907</v>
      </c>
      <c r="C42" s="2" t="s">
        <v>2918</v>
      </c>
      <c r="D42" s="3" t="s">
        <v>3902</v>
      </c>
      <c r="E42" s="8" t="s">
        <v>1306</v>
      </c>
      <c r="F42" s="13" t="s">
        <v>65</v>
      </c>
      <c r="G42" s="1">
        <v>1</v>
      </c>
      <c r="H42" s="1"/>
      <c r="I42" s="1">
        <f>1789-30</f>
        <v>1759</v>
      </c>
      <c r="J42" t="s">
        <v>69</v>
      </c>
      <c r="K42" s="4" t="s">
        <v>12</v>
      </c>
      <c r="O42">
        <v>2</v>
      </c>
      <c r="T42" s="1"/>
      <c r="U42" s="9" t="s">
        <v>3898</v>
      </c>
      <c r="W42" s="9">
        <v>1</v>
      </c>
      <c r="X42" s="7">
        <v>1</v>
      </c>
      <c r="BC42" t="s">
        <v>3906</v>
      </c>
      <c r="BD42" s="7" t="s">
        <v>103</v>
      </c>
      <c r="BE42" t="s">
        <v>70</v>
      </c>
      <c r="BF42" s="1" t="s">
        <v>29</v>
      </c>
      <c r="BG42" s="1">
        <v>3</v>
      </c>
      <c r="BH42">
        <v>1</v>
      </c>
      <c r="BK42" s="1" t="s">
        <v>72</v>
      </c>
      <c r="BZ42">
        <v>1</v>
      </c>
      <c r="CS42" s="7" t="s">
        <v>3092</v>
      </c>
      <c r="CT42" t="s">
        <v>3890</v>
      </c>
    </row>
    <row r="43" spans="1:98">
      <c r="B43" t="s">
        <v>3908</v>
      </c>
      <c r="C43" s="2" t="s">
        <v>3909</v>
      </c>
      <c r="D43" s="3" t="s">
        <v>3902</v>
      </c>
      <c r="E43" s="8" t="s">
        <v>1306</v>
      </c>
      <c r="F43" s="13" t="s">
        <v>65</v>
      </c>
      <c r="G43" s="1">
        <v>1</v>
      </c>
      <c r="H43" s="1"/>
      <c r="I43" s="1">
        <f>1789-30</f>
        <v>1759</v>
      </c>
      <c r="J43" t="s">
        <v>69</v>
      </c>
      <c r="K43" s="4" t="s">
        <v>12</v>
      </c>
      <c r="O43">
        <v>1</v>
      </c>
      <c r="T43" s="1"/>
      <c r="U43" s="9" t="s">
        <v>3898</v>
      </c>
      <c r="W43" s="9">
        <v>1</v>
      </c>
      <c r="X43" s="7">
        <v>1</v>
      </c>
      <c r="BC43" t="s">
        <v>3906</v>
      </c>
      <c r="BD43" s="7" t="s">
        <v>103</v>
      </c>
      <c r="BE43" t="s">
        <v>70</v>
      </c>
      <c r="BF43" s="1" t="s">
        <v>29</v>
      </c>
      <c r="BG43" s="1">
        <v>3</v>
      </c>
      <c r="BH43">
        <v>1</v>
      </c>
      <c r="BK43" s="1" t="s">
        <v>72</v>
      </c>
      <c r="BZ43">
        <v>1</v>
      </c>
      <c r="CS43" s="7" t="s">
        <v>3092</v>
      </c>
      <c r="CT43" t="s">
        <v>3890</v>
      </c>
    </row>
    <row r="44" spans="1:98">
      <c r="A44" t="s">
        <v>72</v>
      </c>
      <c r="B44" t="s">
        <v>3072</v>
      </c>
      <c r="C44" s="12"/>
      <c r="F44" s="50" t="s">
        <v>7</v>
      </c>
      <c r="G44" s="1"/>
      <c r="H44" s="1"/>
      <c r="I44" s="1"/>
      <c r="K44" s="4"/>
      <c r="T44" s="1"/>
      <c r="U44" s="9" t="s">
        <v>3869</v>
      </c>
      <c r="W44" s="14">
        <v>1</v>
      </c>
      <c r="BC44" s="9" t="s">
        <v>3075</v>
      </c>
      <c r="BD44" s="14" t="s">
        <v>338</v>
      </c>
      <c r="BE44" t="s">
        <v>70</v>
      </c>
      <c r="BF44" s="1" t="s">
        <v>339</v>
      </c>
      <c r="BG44" s="1">
        <v>1</v>
      </c>
      <c r="BH44">
        <v>1</v>
      </c>
      <c r="BK44" s="1"/>
      <c r="BZ44">
        <v>1</v>
      </c>
      <c r="CS44" s="14" t="s">
        <v>3076</v>
      </c>
      <c r="CT44" t="s">
        <v>3351</v>
      </c>
    </row>
    <row r="45" spans="1:98">
      <c r="A45" t="s">
        <v>72</v>
      </c>
      <c r="B45" t="s">
        <v>3390</v>
      </c>
      <c r="C45" s="12"/>
      <c r="F45" s="50" t="s">
        <v>7</v>
      </c>
      <c r="G45" s="1"/>
      <c r="H45" s="1"/>
      <c r="I45" s="1"/>
      <c r="K45" s="4"/>
      <c r="T45" s="1"/>
      <c r="U45" s="9" t="s">
        <v>3869</v>
      </c>
      <c r="W45" s="14">
        <v>1</v>
      </c>
      <c r="BC45" s="9" t="s">
        <v>3870</v>
      </c>
      <c r="BD45" s="14" t="s">
        <v>338</v>
      </c>
      <c r="BE45" t="s">
        <v>70</v>
      </c>
      <c r="BF45" s="1" t="s">
        <v>339</v>
      </c>
      <c r="BG45" s="1">
        <v>1</v>
      </c>
      <c r="BH45">
        <v>1</v>
      </c>
      <c r="BK45" s="1"/>
      <c r="BZ45">
        <v>1</v>
      </c>
      <c r="CS45" s="14" t="s">
        <v>3871</v>
      </c>
      <c r="CT45" t="s">
        <v>3872</v>
      </c>
    </row>
    <row r="46" spans="1:98">
      <c r="A46" t="s">
        <v>72</v>
      </c>
      <c r="B46" t="s">
        <v>3073</v>
      </c>
      <c r="C46" s="12"/>
      <c r="F46" s="50" t="s">
        <v>7</v>
      </c>
      <c r="G46" s="1"/>
      <c r="H46" s="1"/>
      <c r="I46" s="1"/>
      <c r="K46" s="4"/>
      <c r="T46" s="1"/>
      <c r="U46" s="9" t="s">
        <v>3869</v>
      </c>
      <c r="W46" s="9">
        <v>1</v>
      </c>
      <c r="BC46">
        <v>1789</v>
      </c>
      <c r="BD46" t="s">
        <v>81</v>
      </c>
      <c r="BE46" s="10" t="s">
        <v>70</v>
      </c>
      <c r="BF46" s="1" t="s">
        <v>73</v>
      </c>
      <c r="BG46" s="1">
        <v>1</v>
      </c>
      <c r="BH46">
        <v>1</v>
      </c>
      <c r="BK46" s="1"/>
      <c r="BZ46">
        <v>1</v>
      </c>
      <c r="CS46" t="s">
        <v>111</v>
      </c>
      <c r="CT46" s="10" t="s">
        <v>3070</v>
      </c>
    </row>
    <row r="47" spans="1:98">
      <c r="A47" t="s">
        <v>72</v>
      </c>
      <c r="B47" t="s">
        <v>3873</v>
      </c>
      <c r="C47" s="12"/>
      <c r="F47" s="50" t="s">
        <v>7</v>
      </c>
      <c r="G47" s="1"/>
      <c r="H47" s="1"/>
      <c r="I47" s="1"/>
      <c r="K47" s="4"/>
      <c r="T47" s="1"/>
      <c r="U47" s="9" t="s">
        <v>3869</v>
      </c>
      <c r="W47" s="14">
        <v>1</v>
      </c>
      <c r="BC47" s="9" t="s">
        <v>3870</v>
      </c>
      <c r="BD47" s="14" t="s">
        <v>338</v>
      </c>
      <c r="BE47" t="s">
        <v>70</v>
      </c>
      <c r="BF47" s="1" t="s">
        <v>339</v>
      </c>
      <c r="BG47" s="1">
        <v>1</v>
      </c>
      <c r="BH47">
        <v>1</v>
      </c>
      <c r="BK47" s="1"/>
      <c r="BZ47">
        <v>1</v>
      </c>
      <c r="CS47" s="14" t="s">
        <v>3871</v>
      </c>
      <c r="CT47" t="s">
        <v>3872</v>
      </c>
    </row>
    <row r="48" spans="1:98">
      <c r="A48" t="s">
        <v>72</v>
      </c>
      <c r="B48" t="s">
        <v>3074</v>
      </c>
      <c r="C48" s="12"/>
      <c r="F48" s="50" t="s">
        <v>7</v>
      </c>
      <c r="G48" s="1"/>
      <c r="H48" s="1"/>
      <c r="I48" s="1"/>
      <c r="K48" s="4"/>
      <c r="T48" s="1"/>
      <c r="U48" s="9" t="s">
        <v>3869</v>
      </c>
      <c r="W48" s="14">
        <v>1</v>
      </c>
      <c r="BC48" s="9" t="s">
        <v>3075</v>
      </c>
      <c r="BD48" s="14" t="s">
        <v>338</v>
      </c>
      <c r="BE48" t="s">
        <v>70</v>
      </c>
      <c r="BF48" s="1" t="s">
        <v>339</v>
      </c>
      <c r="BG48" s="1">
        <v>1</v>
      </c>
      <c r="BH48">
        <v>1</v>
      </c>
      <c r="BK48" s="1"/>
      <c r="BZ48">
        <v>1</v>
      </c>
      <c r="CS48" s="14" t="s">
        <v>3076</v>
      </c>
      <c r="CT48" t="s">
        <v>3351</v>
      </c>
    </row>
    <row r="49" spans="1:98">
      <c r="A49" t="s">
        <v>72</v>
      </c>
      <c r="B49" t="s">
        <v>2542</v>
      </c>
      <c r="C49" s="12"/>
      <c r="F49" s="50" t="s">
        <v>7</v>
      </c>
      <c r="G49" s="1"/>
      <c r="H49" s="1"/>
      <c r="I49" s="1"/>
      <c r="K49" s="4"/>
      <c r="T49" s="1"/>
      <c r="U49" s="9" t="s">
        <v>2541</v>
      </c>
      <c r="W49" s="9">
        <v>1</v>
      </c>
      <c r="X49" s="6">
        <v>1</v>
      </c>
      <c r="BC49">
        <v>1790</v>
      </c>
      <c r="BD49" t="s">
        <v>81</v>
      </c>
      <c r="BE49" s="10" t="s">
        <v>70</v>
      </c>
      <c r="BF49" s="1" t="s">
        <v>73</v>
      </c>
      <c r="BG49" s="1">
        <v>4</v>
      </c>
      <c r="BH49">
        <v>1</v>
      </c>
      <c r="BK49" s="1"/>
      <c r="BZ49">
        <v>1</v>
      </c>
      <c r="CS49" t="s">
        <v>111</v>
      </c>
      <c r="CT49" s="10" t="s">
        <v>2526</v>
      </c>
    </row>
    <row r="50" spans="1:98">
      <c r="A50" t="s">
        <v>72</v>
      </c>
      <c r="B50" t="s">
        <v>3555</v>
      </c>
      <c r="C50" s="13"/>
      <c r="F50" s="50" t="s">
        <v>7</v>
      </c>
      <c r="G50" s="1"/>
      <c r="H50" s="1"/>
      <c r="I50" s="1"/>
      <c r="K50" s="4"/>
      <c r="T50" s="1"/>
      <c r="U50" s="9" t="s">
        <v>2541</v>
      </c>
      <c r="W50" s="14">
        <v>1</v>
      </c>
      <c r="BC50" s="9" t="s">
        <v>2541</v>
      </c>
      <c r="BD50" s="14" t="s">
        <v>338</v>
      </c>
      <c r="BE50" t="s">
        <v>70</v>
      </c>
      <c r="BF50" s="1" t="s">
        <v>339</v>
      </c>
      <c r="BG50" s="1">
        <v>1</v>
      </c>
      <c r="BH50">
        <v>1</v>
      </c>
      <c r="BK50" s="1"/>
      <c r="BZ50">
        <v>1</v>
      </c>
      <c r="CS50" s="14" t="s">
        <v>3030</v>
      </c>
      <c r="CT50" t="s">
        <v>3556</v>
      </c>
    </row>
    <row r="51" spans="1:98">
      <c r="A51" t="s">
        <v>72</v>
      </c>
      <c r="B51" t="s">
        <v>3846</v>
      </c>
      <c r="C51" s="13"/>
      <c r="F51" s="50" t="s">
        <v>7</v>
      </c>
      <c r="G51" s="1"/>
      <c r="H51" s="1"/>
      <c r="I51" s="1"/>
      <c r="K51" s="4"/>
      <c r="T51" s="1"/>
      <c r="U51" s="9" t="s">
        <v>3845</v>
      </c>
      <c r="W51" s="9">
        <v>1</v>
      </c>
      <c r="BC51">
        <v>1789</v>
      </c>
      <c r="BD51" t="s">
        <v>81</v>
      </c>
      <c r="BE51" s="10" t="s">
        <v>70</v>
      </c>
      <c r="BF51" s="1" t="s">
        <v>73</v>
      </c>
      <c r="BG51" s="1">
        <v>2</v>
      </c>
      <c r="BH51">
        <v>1</v>
      </c>
      <c r="BK51" s="1"/>
      <c r="BZ51">
        <v>1</v>
      </c>
      <c r="CS51" t="s">
        <v>111</v>
      </c>
      <c r="CT51" s="10" t="s">
        <v>3836</v>
      </c>
    </row>
    <row r="52" spans="1:98">
      <c r="B52" t="s">
        <v>3536</v>
      </c>
      <c r="C52" s="2" t="s">
        <v>1624</v>
      </c>
      <c r="D52" s="2" t="s">
        <v>1624</v>
      </c>
      <c r="F52" s="13" t="s">
        <v>65</v>
      </c>
      <c r="G52" s="1">
        <v>1</v>
      </c>
      <c r="H52" s="1"/>
      <c r="I52" s="1">
        <f>1790-23</f>
        <v>1767</v>
      </c>
      <c r="J52" t="s">
        <v>10</v>
      </c>
      <c r="K52" s="4" t="s">
        <v>12</v>
      </c>
      <c r="T52" s="1"/>
      <c r="U52" s="9" t="s">
        <v>3537</v>
      </c>
      <c r="W52" s="9">
        <v>1</v>
      </c>
      <c r="X52" s="6">
        <v>1</v>
      </c>
      <c r="BC52">
        <v>1790</v>
      </c>
      <c r="BD52" t="s">
        <v>81</v>
      </c>
      <c r="BE52" s="10" t="s">
        <v>70</v>
      </c>
      <c r="BF52" s="1" t="s">
        <v>73</v>
      </c>
      <c r="BG52" s="1">
        <v>3</v>
      </c>
      <c r="BH52">
        <v>1</v>
      </c>
      <c r="BK52" s="1"/>
      <c r="BZ52">
        <v>1</v>
      </c>
      <c r="CS52" t="s">
        <v>111</v>
      </c>
      <c r="CT52" t="s">
        <v>3535</v>
      </c>
    </row>
    <row r="53" spans="1:98">
      <c r="A53" t="s">
        <v>72</v>
      </c>
      <c r="B53" t="s">
        <v>3388</v>
      </c>
      <c r="C53" s="13"/>
      <c r="F53" s="50" t="s">
        <v>7</v>
      </c>
      <c r="G53" s="1"/>
      <c r="H53" s="1"/>
      <c r="I53" s="1"/>
      <c r="K53" s="4"/>
      <c r="T53" s="1"/>
      <c r="U53" s="9" t="s">
        <v>3387</v>
      </c>
      <c r="W53" s="9">
        <v>1</v>
      </c>
      <c r="BC53">
        <v>1789</v>
      </c>
      <c r="BD53" t="s">
        <v>81</v>
      </c>
      <c r="BE53" s="10" t="s">
        <v>70</v>
      </c>
      <c r="BF53" s="1" t="s">
        <v>73</v>
      </c>
      <c r="BG53" s="1">
        <v>1</v>
      </c>
      <c r="BH53">
        <v>1</v>
      </c>
      <c r="BK53" s="1"/>
      <c r="BZ53">
        <v>1</v>
      </c>
      <c r="CS53" t="s">
        <v>111</v>
      </c>
      <c r="CT53" t="s">
        <v>3386</v>
      </c>
    </row>
    <row r="54" spans="1:98">
      <c r="B54" t="s">
        <v>3088</v>
      </c>
      <c r="C54" s="2" t="s">
        <v>3089</v>
      </c>
      <c r="F54" s="13" t="s">
        <v>218</v>
      </c>
      <c r="G54" s="1">
        <v>1</v>
      </c>
      <c r="H54" s="1"/>
      <c r="I54" s="1">
        <f>1791-23</f>
        <v>1768</v>
      </c>
      <c r="J54" t="s">
        <v>10</v>
      </c>
      <c r="K54" s="4" t="s">
        <v>12</v>
      </c>
      <c r="Q54">
        <v>5</v>
      </c>
      <c r="R54">
        <v>3</v>
      </c>
      <c r="S54">
        <v>3</v>
      </c>
      <c r="T54" s="5">
        <f t="shared" ref="T54:T73" si="3">((Q54*316)+(R54*26.3)+(S54*2.2))/10</f>
        <v>166.55</v>
      </c>
      <c r="U54" t="s">
        <v>3090</v>
      </c>
      <c r="W54" s="6">
        <v>1</v>
      </c>
      <c r="X54" s="6">
        <v>1</v>
      </c>
      <c r="Y54" s="7">
        <v>1</v>
      </c>
      <c r="BC54" t="s">
        <v>3091</v>
      </c>
      <c r="BD54" s="7" t="s">
        <v>103</v>
      </c>
      <c r="BE54" t="s">
        <v>712</v>
      </c>
      <c r="BF54" s="1" t="s">
        <v>29</v>
      </c>
      <c r="BG54" s="1">
        <v>2</v>
      </c>
      <c r="BH54">
        <v>1</v>
      </c>
      <c r="BK54" s="1" t="s">
        <v>72</v>
      </c>
      <c r="BQ54">
        <v>1</v>
      </c>
      <c r="CS54" s="7" t="s">
        <v>3092</v>
      </c>
    </row>
    <row r="55" spans="1:98">
      <c r="A55" t="s">
        <v>72</v>
      </c>
      <c r="B55" t="s">
        <v>83</v>
      </c>
      <c r="C55" s="12"/>
      <c r="F55" t="s">
        <v>7</v>
      </c>
      <c r="G55" s="1"/>
      <c r="H55" s="1"/>
      <c r="I55" s="1"/>
      <c r="K55" s="4"/>
      <c r="T55" s="5"/>
      <c r="U55" s="9" t="s">
        <v>84</v>
      </c>
      <c r="W55" s="9">
        <v>1</v>
      </c>
      <c r="BC55">
        <v>1789</v>
      </c>
      <c r="BD55" t="s">
        <v>81</v>
      </c>
      <c r="BE55" s="10" t="s">
        <v>70</v>
      </c>
      <c r="BF55" s="1" t="s">
        <v>73</v>
      </c>
      <c r="BG55" s="1">
        <v>1</v>
      </c>
      <c r="BH55">
        <v>1</v>
      </c>
      <c r="BK55" s="1"/>
      <c r="BZ55">
        <v>1</v>
      </c>
      <c r="CS55" t="s">
        <v>111</v>
      </c>
      <c r="CT55" s="10" t="s">
        <v>82</v>
      </c>
    </row>
    <row r="56" spans="1:98">
      <c r="A56" t="s">
        <v>72</v>
      </c>
      <c r="B56" t="s">
        <v>85</v>
      </c>
      <c r="C56" s="12"/>
      <c r="F56" t="s">
        <v>7</v>
      </c>
      <c r="G56" s="1"/>
      <c r="H56" s="1"/>
      <c r="I56" s="1"/>
      <c r="K56" s="4"/>
      <c r="T56" s="5"/>
      <c r="U56" s="9" t="s">
        <v>84</v>
      </c>
      <c r="W56" s="9">
        <v>1</v>
      </c>
      <c r="BC56">
        <v>1789</v>
      </c>
      <c r="BD56" t="s">
        <v>81</v>
      </c>
      <c r="BE56" s="10" t="s">
        <v>70</v>
      </c>
      <c r="BF56" s="1" t="s">
        <v>73</v>
      </c>
      <c r="BG56" s="1">
        <v>1</v>
      </c>
      <c r="BH56">
        <v>1</v>
      </c>
      <c r="BK56" s="1"/>
      <c r="BZ56">
        <v>1</v>
      </c>
      <c r="CS56" t="s">
        <v>111</v>
      </c>
      <c r="CT56" s="10" t="s">
        <v>82</v>
      </c>
    </row>
    <row r="57" spans="1:98">
      <c r="B57" t="s">
        <v>3531</v>
      </c>
      <c r="C57" s="21" t="s">
        <v>3530</v>
      </c>
      <c r="F57" s="8" t="s">
        <v>65</v>
      </c>
      <c r="G57" s="1">
        <v>1</v>
      </c>
      <c r="H57" s="1"/>
      <c r="I57" s="1">
        <f>1789-23</f>
        <v>1766</v>
      </c>
      <c r="J57" t="s">
        <v>10</v>
      </c>
      <c r="K57" s="4" t="s">
        <v>12</v>
      </c>
      <c r="T57" s="5"/>
      <c r="U57" s="9" t="s">
        <v>3349</v>
      </c>
      <c r="W57" s="9">
        <v>1</v>
      </c>
      <c r="BC57">
        <v>1789</v>
      </c>
      <c r="BD57" t="s">
        <v>81</v>
      </c>
      <c r="BE57" s="10" t="s">
        <v>70</v>
      </c>
      <c r="BF57" s="1" t="s">
        <v>73</v>
      </c>
      <c r="BG57" s="1">
        <v>2</v>
      </c>
      <c r="BH57">
        <v>1</v>
      </c>
      <c r="BK57" s="1"/>
      <c r="BZ57">
        <v>1</v>
      </c>
      <c r="CS57" t="s">
        <v>111</v>
      </c>
      <c r="CT57" s="10" t="s">
        <v>3535</v>
      </c>
    </row>
    <row r="58" spans="1:98">
      <c r="A58" t="s">
        <v>72</v>
      </c>
      <c r="B58" t="s">
        <v>3390</v>
      </c>
      <c r="C58" s="12"/>
      <c r="F58" t="s">
        <v>7</v>
      </c>
      <c r="G58" s="1"/>
      <c r="H58" s="1"/>
      <c r="I58" s="1"/>
      <c r="K58" s="4"/>
      <c r="T58" s="5"/>
      <c r="U58" s="9" t="s">
        <v>3349</v>
      </c>
      <c r="W58" s="9">
        <v>1</v>
      </c>
      <c r="BC58">
        <v>1789</v>
      </c>
      <c r="BD58" t="s">
        <v>81</v>
      </c>
      <c r="BE58" s="10" t="s">
        <v>70</v>
      </c>
      <c r="BF58" s="1" t="s">
        <v>73</v>
      </c>
      <c r="BG58" s="1">
        <v>1</v>
      </c>
      <c r="BH58">
        <v>1</v>
      </c>
      <c r="BK58" s="1"/>
      <c r="BZ58">
        <v>1</v>
      </c>
      <c r="CS58" t="s">
        <v>111</v>
      </c>
      <c r="CT58" s="10" t="s">
        <v>3386</v>
      </c>
    </row>
    <row r="59" spans="1:98">
      <c r="A59" t="s">
        <v>72</v>
      </c>
      <c r="B59" t="s">
        <v>3346</v>
      </c>
      <c r="C59" s="12"/>
      <c r="F59" t="s">
        <v>7</v>
      </c>
      <c r="G59" s="1"/>
      <c r="H59" s="1"/>
      <c r="I59" s="1"/>
      <c r="K59" s="4"/>
      <c r="T59" s="5"/>
      <c r="U59" s="9" t="s">
        <v>3349</v>
      </c>
      <c r="W59" s="14">
        <v>1</v>
      </c>
      <c r="BC59" s="9" t="s">
        <v>3075</v>
      </c>
      <c r="BD59" s="14" t="s">
        <v>338</v>
      </c>
      <c r="BE59" t="s">
        <v>70</v>
      </c>
      <c r="BF59" s="1" t="s">
        <v>339</v>
      </c>
      <c r="BG59" s="1">
        <v>1</v>
      </c>
      <c r="BH59">
        <v>1</v>
      </c>
      <c r="BK59" s="1"/>
      <c r="BZ59">
        <v>1</v>
      </c>
      <c r="CS59" s="14" t="s">
        <v>3076</v>
      </c>
      <c r="CT59" t="s">
        <v>3350</v>
      </c>
    </row>
    <row r="60" spans="1:98">
      <c r="A60" t="s">
        <v>72</v>
      </c>
      <c r="B60" t="s">
        <v>3389</v>
      </c>
      <c r="C60" s="12"/>
      <c r="F60" t="s">
        <v>7</v>
      </c>
      <c r="G60" s="1"/>
      <c r="H60" s="1"/>
      <c r="I60" s="1"/>
      <c r="K60" s="4"/>
      <c r="T60" s="5"/>
      <c r="U60" s="9" t="s">
        <v>3349</v>
      </c>
      <c r="W60" s="9">
        <v>1</v>
      </c>
      <c r="BC60">
        <v>1789</v>
      </c>
      <c r="BD60" t="s">
        <v>81</v>
      </c>
      <c r="BE60" s="10" t="s">
        <v>70</v>
      </c>
      <c r="BF60" s="1" t="s">
        <v>73</v>
      </c>
      <c r="BG60" s="1">
        <v>1</v>
      </c>
      <c r="BH60">
        <v>1</v>
      </c>
      <c r="BK60" s="1"/>
      <c r="BZ60">
        <v>1</v>
      </c>
      <c r="CS60" t="s">
        <v>111</v>
      </c>
      <c r="CT60" t="s">
        <v>3386</v>
      </c>
    </row>
    <row r="61" spans="1:98">
      <c r="A61" t="s">
        <v>72</v>
      </c>
      <c r="B61" t="s">
        <v>3347</v>
      </c>
      <c r="C61" s="12"/>
      <c r="F61" t="s">
        <v>7</v>
      </c>
      <c r="G61" s="1"/>
      <c r="H61" s="1"/>
      <c r="I61" s="1"/>
      <c r="K61" s="4"/>
      <c r="T61" s="5"/>
      <c r="U61" s="9" t="s">
        <v>3349</v>
      </c>
      <c r="W61" s="14">
        <v>1</v>
      </c>
      <c r="BC61" s="9" t="s">
        <v>3075</v>
      </c>
      <c r="BD61" s="14" t="s">
        <v>338</v>
      </c>
      <c r="BE61" t="s">
        <v>70</v>
      </c>
      <c r="BF61" s="1" t="s">
        <v>339</v>
      </c>
      <c r="BG61" s="1">
        <v>1</v>
      </c>
      <c r="BH61">
        <v>1</v>
      </c>
      <c r="BK61" s="1"/>
      <c r="BZ61">
        <v>1</v>
      </c>
      <c r="CS61" s="14" t="s">
        <v>3076</v>
      </c>
      <c r="CT61" t="s">
        <v>3350</v>
      </c>
    </row>
    <row r="62" spans="1:98">
      <c r="A62" t="s">
        <v>72</v>
      </c>
      <c r="B62" t="s">
        <v>3391</v>
      </c>
      <c r="C62" s="12"/>
      <c r="F62" t="s">
        <v>7</v>
      </c>
      <c r="G62" s="1"/>
      <c r="H62" s="1"/>
      <c r="I62" s="1"/>
      <c r="K62" s="4"/>
      <c r="T62" s="5"/>
      <c r="U62" s="9" t="s">
        <v>3349</v>
      </c>
      <c r="W62" s="9">
        <v>1</v>
      </c>
      <c r="BC62">
        <v>1789</v>
      </c>
      <c r="BD62" t="s">
        <v>81</v>
      </c>
      <c r="BE62" s="10" t="s">
        <v>70</v>
      </c>
      <c r="BF62" s="1" t="s">
        <v>73</v>
      </c>
      <c r="BG62" s="1">
        <v>1</v>
      </c>
      <c r="BH62">
        <v>1</v>
      </c>
      <c r="BK62" s="1"/>
      <c r="BZ62">
        <v>1</v>
      </c>
      <c r="CS62" t="s">
        <v>111</v>
      </c>
      <c r="CT62" t="s">
        <v>3386</v>
      </c>
    </row>
    <row r="63" spans="1:98">
      <c r="A63" t="s">
        <v>72</v>
      </c>
      <c r="B63" t="s">
        <v>3348</v>
      </c>
      <c r="C63" s="12"/>
      <c r="F63" t="s">
        <v>7</v>
      </c>
      <c r="G63" s="1"/>
      <c r="H63" s="1"/>
      <c r="I63" s="1"/>
      <c r="K63" s="4"/>
      <c r="T63" s="5"/>
      <c r="U63" s="9" t="s">
        <v>3349</v>
      </c>
      <c r="W63" s="14">
        <v>1</v>
      </c>
      <c r="BC63" s="9" t="s">
        <v>3075</v>
      </c>
      <c r="BD63" s="14" t="s">
        <v>338</v>
      </c>
      <c r="BE63" t="s">
        <v>70</v>
      </c>
      <c r="BF63" s="1" t="s">
        <v>339</v>
      </c>
      <c r="BG63" s="1">
        <v>1</v>
      </c>
      <c r="BH63">
        <v>1</v>
      </c>
      <c r="BK63" s="1"/>
      <c r="BZ63">
        <v>1</v>
      </c>
      <c r="CS63" s="14" t="s">
        <v>3076</v>
      </c>
      <c r="CT63" t="s">
        <v>3350</v>
      </c>
    </row>
    <row r="64" spans="1:98">
      <c r="B64" t="s">
        <v>3877</v>
      </c>
      <c r="C64" s="2" t="s">
        <v>3878</v>
      </c>
      <c r="F64" s="8" t="s">
        <v>65</v>
      </c>
      <c r="G64" s="1">
        <v>1</v>
      </c>
      <c r="H64" s="1"/>
      <c r="I64" s="1">
        <f>1789-16</f>
        <v>1773</v>
      </c>
      <c r="J64" t="s">
        <v>10</v>
      </c>
      <c r="K64" s="4" t="s">
        <v>12</v>
      </c>
      <c r="T64" s="5"/>
      <c r="U64" s="9" t="s">
        <v>3874</v>
      </c>
      <c r="W64" s="14">
        <v>1</v>
      </c>
      <c r="BC64" s="9" t="s">
        <v>3879</v>
      </c>
      <c r="BD64" s="14" t="s">
        <v>338</v>
      </c>
      <c r="BE64" t="s">
        <v>70</v>
      </c>
      <c r="BF64" s="1" t="s">
        <v>339</v>
      </c>
      <c r="BG64" s="1">
        <v>1</v>
      </c>
      <c r="BH64">
        <v>1</v>
      </c>
      <c r="BK64" s="1"/>
      <c r="BZ64">
        <v>1</v>
      </c>
      <c r="CS64" s="14" t="s">
        <v>3871</v>
      </c>
      <c r="CT64" t="s">
        <v>3872</v>
      </c>
    </row>
    <row r="65" spans="1:98">
      <c r="B65" t="s">
        <v>3876</v>
      </c>
      <c r="C65" s="2" t="s">
        <v>1624</v>
      </c>
      <c r="F65" s="8" t="s">
        <v>65</v>
      </c>
      <c r="G65" s="1">
        <v>1</v>
      </c>
      <c r="H65" s="1"/>
      <c r="I65" s="1">
        <f>1789-37</f>
        <v>1752</v>
      </c>
      <c r="J65" t="s">
        <v>69</v>
      </c>
      <c r="K65" s="4" t="s">
        <v>12</v>
      </c>
      <c r="T65" s="5"/>
      <c r="U65" s="9" t="s">
        <v>3874</v>
      </c>
      <c r="W65" s="14">
        <v>1</v>
      </c>
      <c r="BC65" s="9" t="s">
        <v>3879</v>
      </c>
      <c r="BD65" s="14" t="s">
        <v>338</v>
      </c>
      <c r="BE65" t="s">
        <v>70</v>
      </c>
      <c r="BF65" s="1" t="s">
        <v>339</v>
      </c>
      <c r="BG65" s="1">
        <v>1</v>
      </c>
      <c r="BH65">
        <v>1</v>
      </c>
      <c r="BK65" s="1"/>
      <c r="BZ65">
        <v>1</v>
      </c>
      <c r="CS65" s="14" t="s">
        <v>3871</v>
      </c>
      <c r="CT65" t="s">
        <v>3872</v>
      </c>
    </row>
    <row r="66" spans="1:98">
      <c r="B66" t="s">
        <v>3875</v>
      </c>
      <c r="C66" s="2" t="s">
        <v>3878</v>
      </c>
      <c r="F66" s="8" t="s">
        <v>65</v>
      </c>
      <c r="G66" s="1">
        <v>1</v>
      </c>
      <c r="H66" s="1"/>
      <c r="I66" s="1">
        <f>1789-22</f>
        <v>1767</v>
      </c>
      <c r="J66" t="s">
        <v>10</v>
      </c>
      <c r="K66" s="4" t="s">
        <v>12</v>
      </c>
      <c r="T66" s="5"/>
      <c r="U66" s="9" t="s">
        <v>3874</v>
      </c>
      <c r="W66" s="14">
        <v>1</v>
      </c>
      <c r="BC66" s="9" t="s">
        <v>3879</v>
      </c>
      <c r="BD66" s="14" t="s">
        <v>338</v>
      </c>
      <c r="BE66" t="s">
        <v>70</v>
      </c>
      <c r="BF66" s="1" t="s">
        <v>339</v>
      </c>
      <c r="BG66" s="1">
        <v>1</v>
      </c>
      <c r="BH66">
        <v>1</v>
      </c>
      <c r="BK66" s="1"/>
      <c r="BZ66">
        <v>1</v>
      </c>
      <c r="CS66" s="14" t="s">
        <v>3871</v>
      </c>
      <c r="CT66" t="s">
        <v>3872</v>
      </c>
    </row>
    <row r="67" spans="1:98">
      <c r="B67" t="s">
        <v>2532</v>
      </c>
      <c r="C67" s="13" t="s">
        <v>2533</v>
      </c>
      <c r="F67" s="8" t="s">
        <v>88</v>
      </c>
      <c r="G67" s="1"/>
      <c r="H67" s="1">
        <v>1</v>
      </c>
      <c r="I67" s="1">
        <f>1789-20</f>
        <v>1769</v>
      </c>
      <c r="J67" t="s">
        <v>10</v>
      </c>
      <c r="K67" s="4" t="s">
        <v>12</v>
      </c>
      <c r="T67" s="5"/>
      <c r="U67" s="9" t="s">
        <v>2531</v>
      </c>
      <c r="W67" s="9">
        <v>1</v>
      </c>
      <c r="BC67">
        <v>1789</v>
      </c>
      <c r="BD67" t="s">
        <v>81</v>
      </c>
      <c r="BE67" s="10" t="s">
        <v>70</v>
      </c>
      <c r="BF67" s="1" t="s">
        <v>73</v>
      </c>
      <c r="BG67" s="1">
        <v>2</v>
      </c>
      <c r="BH67">
        <v>1</v>
      </c>
      <c r="BK67" s="1" t="s">
        <v>72</v>
      </c>
      <c r="BZ67">
        <v>1</v>
      </c>
      <c r="CS67" t="s">
        <v>111</v>
      </c>
      <c r="CT67" s="10" t="s">
        <v>2526</v>
      </c>
    </row>
    <row r="68" spans="1:98">
      <c r="B68" t="s">
        <v>3944</v>
      </c>
      <c r="C68" s="13" t="s">
        <v>3942</v>
      </c>
      <c r="F68" s="8" t="s">
        <v>88</v>
      </c>
      <c r="G68" s="1"/>
      <c r="H68" s="1">
        <v>1</v>
      </c>
      <c r="I68" s="1">
        <f>1791-18</f>
        <v>1773</v>
      </c>
      <c r="J68" t="s">
        <v>10</v>
      </c>
      <c r="K68" s="4" t="s">
        <v>12</v>
      </c>
      <c r="T68" s="5"/>
      <c r="U68" s="9" t="s">
        <v>2531</v>
      </c>
      <c r="W68" s="9">
        <v>1</v>
      </c>
      <c r="X68" s="6">
        <v>1</v>
      </c>
      <c r="Y68" s="6">
        <v>1</v>
      </c>
      <c r="BC68">
        <v>1791</v>
      </c>
      <c r="BD68" t="s">
        <v>81</v>
      </c>
      <c r="BE68" s="10" t="s">
        <v>70</v>
      </c>
      <c r="BF68" s="1" t="s">
        <v>73</v>
      </c>
      <c r="BG68" s="1">
        <v>2</v>
      </c>
      <c r="BH68">
        <v>1</v>
      </c>
      <c r="BK68" s="1"/>
      <c r="BZ68">
        <v>1</v>
      </c>
      <c r="CS68" t="s">
        <v>111</v>
      </c>
      <c r="CT68" s="10" t="s">
        <v>3938</v>
      </c>
    </row>
    <row r="69" spans="1:98">
      <c r="B69" t="s">
        <v>3945</v>
      </c>
      <c r="C69" s="13" t="s">
        <v>3943</v>
      </c>
      <c r="F69" s="8" t="s">
        <v>88</v>
      </c>
      <c r="G69" s="1"/>
      <c r="H69" s="1">
        <v>1</v>
      </c>
      <c r="I69" s="1">
        <f>1791-53</f>
        <v>1738</v>
      </c>
      <c r="J69" t="s">
        <v>10</v>
      </c>
      <c r="K69" s="4" t="s">
        <v>12</v>
      </c>
      <c r="T69" s="5"/>
      <c r="U69" s="9" t="s">
        <v>2531</v>
      </c>
      <c r="W69" s="9">
        <v>1</v>
      </c>
      <c r="X69" s="6">
        <v>1</v>
      </c>
      <c r="Y69" s="6">
        <v>1</v>
      </c>
      <c r="BC69">
        <v>1791</v>
      </c>
      <c r="BD69" t="s">
        <v>81</v>
      </c>
      <c r="BE69" s="10" t="s">
        <v>70</v>
      </c>
      <c r="BF69" s="1" t="s">
        <v>73</v>
      </c>
      <c r="BG69" s="1">
        <v>2</v>
      </c>
      <c r="BH69">
        <v>1</v>
      </c>
      <c r="BK69" s="1"/>
      <c r="BZ69">
        <v>1</v>
      </c>
      <c r="CS69" t="s">
        <v>111</v>
      </c>
      <c r="CT69" s="10" t="s">
        <v>3938</v>
      </c>
    </row>
    <row r="70" spans="1:98">
      <c r="B70" t="s">
        <v>3838</v>
      </c>
      <c r="C70" s="2" t="s">
        <v>64</v>
      </c>
      <c r="D70" s="2" t="s">
        <v>64</v>
      </c>
      <c r="E70" s="8" t="s">
        <v>3758</v>
      </c>
      <c r="F70" s="8" t="s">
        <v>65</v>
      </c>
      <c r="G70" s="1">
        <v>1</v>
      </c>
      <c r="H70" s="1"/>
      <c r="I70" s="1">
        <f>1789-24</f>
        <v>1765</v>
      </c>
      <c r="J70" t="s">
        <v>10</v>
      </c>
      <c r="K70" s="4" t="s">
        <v>12</v>
      </c>
      <c r="T70" s="5"/>
      <c r="U70" s="9" t="s">
        <v>3837</v>
      </c>
      <c r="W70" s="9">
        <v>1</v>
      </c>
      <c r="BC70">
        <v>1789</v>
      </c>
      <c r="BD70" t="s">
        <v>81</v>
      </c>
      <c r="BE70" s="10" t="s">
        <v>70</v>
      </c>
      <c r="BF70" s="1" t="s">
        <v>73</v>
      </c>
      <c r="BG70" s="1">
        <v>2</v>
      </c>
      <c r="BH70">
        <v>1</v>
      </c>
      <c r="BK70" s="1"/>
      <c r="BZ70">
        <v>1</v>
      </c>
      <c r="CS70" t="s">
        <v>111</v>
      </c>
      <c r="CT70" s="10" t="s">
        <v>3836</v>
      </c>
    </row>
    <row r="71" spans="1:98">
      <c r="B71" t="s">
        <v>3081</v>
      </c>
      <c r="C71" s="2" t="s">
        <v>1925</v>
      </c>
      <c r="F71" s="8" t="s">
        <v>88</v>
      </c>
      <c r="G71" s="1"/>
      <c r="H71" s="1">
        <v>1</v>
      </c>
      <c r="I71" s="1">
        <f>1789-18</f>
        <v>1771</v>
      </c>
      <c r="J71" t="s">
        <v>10</v>
      </c>
      <c r="K71" s="4" t="s">
        <v>12</v>
      </c>
      <c r="T71" s="5"/>
      <c r="U71" s="9" t="s">
        <v>3084</v>
      </c>
      <c r="W71" s="14">
        <v>1</v>
      </c>
      <c r="BC71" s="9" t="s">
        <v>3075</v>
      </c>
      <c r="BD71" s="14" t="s">
        <v>338</v>
      </c>
      <c r="BE71" t="s">
        <v>70</v>
      </c>
      <c r="BF71" s="1" t="s">
        <v>339</v>
      </c>
      <c r="BG71" s="1">
        <v>1</v>
      </c>
      <c r="BH71">
        <v>1</v>
      </c>
      <c r="BK71" s="1"/>
      <c r="BZ71">
        <v>1</v>
      </c>
      <c r="CS71" s="14" t="s">
        <v>3076</v>
      </c>
      <c r="CT71" t="s">
        <v>3351</v>
      </c>
    </row>
    <row r="72" spans="1:98">
      <c r="B72" t="s">
        <v>3082</v>
      </c>
      <c r="C72" s="2" t="s">
        <v>3083</v>
      </c>
      <c r="F72" s="8" t="s">
        <v>65</v>
      </c>
      <c r="G72" s="1">
        <v>1</v>
      </c>
      <c r="H72" s="1"/>
      <c r="I72" s="1">
        <f>1789-20</f>
        <v>1769</v>
      </c>
      <c r="J72" t="s">
        <v>10</v>
      </c>
      <c r="K72" s="4" t="s">
        <v>12</v>
      </c>
      <c r="T72" s="5"/>
      <c r="U72" s="9" t="s">
        <v>3084</v>
      </c>
      <c r="W72" s="14">
        <v>1</v>
      </c>
      <c r="BC72" s="9" t="s">
        <v>3075</v>
      </c>
      <c r="BD72" s="14" t="s">
        <v>338</v>
      </c>
      <c r="BE72" t="s">
        <v>70</v>
      </c>
      <c r="BF72" s="1" t="s">
        <v>339</v>
      </c>
      <c r="BG72" s="1">
        <v>1</v>
      </c>
      <c r="BH72">
        <v>1</v>
      </c>
      <c r="BK72" s="1"/>
      <c r="BZ72">
        <v>1</v>
      </c>
      <c r="CS72" s="14" t="s">
        <v>3076</v>
      </c>
      <c r="CT72" t="s">
        <v>3351</v>
      </c>
    </row>
    <row r="73" spans="1:98">
      <c r="B73" t="s">
        <v>3340</v>
      </c>
      <c r="C73" s="2" t="s">
        <v>2918</v>
      </c>
      <c r="D73" s="2" t="s">
        <v>2918</v>
      </c>
      <c r="E73" s="8" t="s">
        <v>1306</v>
      </c>
      <c r="F73" s="8" t="s">
        <v>65</v>
      </c>
      <c r="G73" s="1">
        <v>1</v>
      </c>
      <c r="H73" s="1"/>
      <c r="I73" s="1">
        <f>1790-20</f>
        <v>1770</v>
      </c>
      <c r="J73" t="s">
        <v>10</v>
      </c>
      <c r="K73" s="4" t="s">
        <v>12</v>
      </c>
      <c r="Q73">
        <v>5</v>
      </c>
      <c r="R73">
        <v>7</v>
      </c>
      <c r="S73">
        <v>2</v>
      </c>
      <c r="T73" s="5">
        <f t="shared" si="3"/>
        <v>176.85</v>
      </c>
      <c r="U73" t="s">
        <v>3341</v>
      </c>
      <c r="W73" s="6">
        <v>1</v>
      </c>
      <c r="X73" s="6">
        <v>1</v>
      </c>
      <c r="BC73">
        <v>1790</v>
      </c>
      <c r="BD73" t="s">
        <v>81</v>
      </c>
      <c r="BE73" s="10" t="s">
        <v>1770</v>
      </c>
      <c r="BF73" s="1" t="s">
        <v>73</v>
      </c>
      <c r="BG73" s="1">
        <v>1</v>
      </c>
      <c r="BH73">
        <v>2</v>
      </c>
      <c r="BK73" s="1"/>
      <c r="BQ73">
        <v>1</v>
      </c>
      <c r="BZ73">
        <v>1</v>
      </c>
      <c r="CL73" s="10">
        <v>1</v>
      </c>
      <c r="CS73" t="s">
        <v>111</v>
      </c>
    </row>
    <row r="74" spans="1:98">
      <c r="B74" t="s">
        <v>3039</v>
      </c>
      <c r="C74" s="2" t="s">
        <v>3040</v>
      </c>
      <c r="D74" s="3" t="s">
        <v>3041</v>
      </c>
      <c r="E74" s="8" t="s">
        <v>2403</v>
      </c>
      <c r="F74" s="8" t="s">
        <v>65</v>
      </c>
      <c r="G74" s="1">
        <v>1</v>
      </c>
      <c r="H74" s="1"/>
      <c r="I74" s="1">
        <f>1789-26</f>
        <v>1763</v>
      </c>
      <c r="J74" t="s">
        <v>69</v>
      </c>
      <c r="K74" s="4" t="s">
        <v>12</v>
      </c>
      <c r="T74" s="1"/>
      <c r="U74" t="s">
        <v>3038</v>
      </c>
      <c r="W74" s="7">
        <v>1</v>
      </c>
      <c r="BC74" t="s">
        <v>3057</v>
      </c>
      <c r="BD74" s="7" t="s">
        <v>280</v>
      </c>
      <c r="BE74" t="s">
        <v>2635</v>
      </c>
      <c r="BF74" s="1" t="s">
        <v>29</v>
      </c>
      <c r="BG74" s="1">
        <v>2</v>
      </c>
      <c r="BH74">
        <v>1</v>
      </c>
      <c r="BK74" s="30">
        <v>1</v>
      </c>
      <c r="BQ74">
        <v>1</v>
      </c>
      <c r="CN74">
        <v>1</v>
      </c>
      <c r="CS74" s="7" t="s">
        <v>3042</v>
      </c>
      <c r="CT74" s="6" t="s">
        <v>1673</v>
      </c>
    </row>
    <row r="75" spans="1:98">
      <c r="B75" t="s">
        <v>3054</v>
      </c>
      <c r="C75" s="2" t="s">
        <v>3055</v>
      </c>
      <c r="D75" s="3" t="s">
        <v>3056</v>
      </c>
      <c r="E75" s="8" t="s">
        <v>2403</v>
      </c>
      <c r="F75" s="8" t="s">
        <v>65</v>
      </c>
      <c r="G75" s="1">
        <v>1</v>
      </c>
      <c r="H75" s="1"/>
      <c r="I75" s="1"/>
      <c r="K75" s="4"/>
      <c r="U75" t="s">
        <v>3038</v>
      </c>
      <c r="W75" s="6">
        <v>1</v>
      </c>
      <c r="X75" s="6">
        <v>1</v>
      </c>
      <c r="Y75" s="7">
        <v>1</v>
      </c>
      <c r="BC75" t="s">
        <v>3058</v>
      </c>
      <c r="BD75" s="7" t="s">
        <v>103</v>
      </c>
      <c r="BE75" t="s">
        <v>2635</v>
      </c>
      <c r="BF75" s="1" t="s">
        <v>29</v>
      </c>
      <c r="BG75" s="1">
        <v>2</v>
      </c>
      <c r="BH75">
        <v>1</v>
      </c>
      <c r="BK75" s="30">
        <v>1</v>
      </c>
      <c r="BQ75">
        <v>1</v>
      </c>
      <c r="CS75" s="7" t="s">
        <v>3059</v>
      </c>
      <c r="CT75" s="6" t="s">
        <v>1673</v>
      </c>
    </row>
    <row r="76" spans="1:98">
      <c r="B76" t="s">
        <v>3634</v>
      </c>
      <c r="C76" s="13" t="s">
        <v>3633</v>
      </c>
      <c r="D76" s="3"/>
      <c r="F76" s="8" t="s">
        <v>88</v>
      </c>
      <c r="G76" s="1"/>
      <c r="H76" s="1">
        <v>1</v>
      </c>
      <c r="I76" s="1">
        <f>1789-22</f>
        <v>1767</v>
      </c>
      <c r="J76" t="s">
        <v>10</v>
      </c>
      <c r="K76" s="4" t="s">
        <v>12</v>
      </c>
      <c r="U76" s="9" t="s">
        <v>3632</v>
      </c>
      <c r="W76" s="9">
        <v>1</v>
      </c>
      <c r="BC76">
        <v>1789</v>
      </c>
      <c r="BD76" t="s">
        <v>81</v>
      </c>
      <c r="BE76" s="10" t="s">
        <v>70</v>
      </c>
      <c r="BF76" s="1" t="s">
        <v>73</v>
      </c>
      <c r="BG76" s="1">
        <v>1</v>
      </c>
      <c r="BH76">
        <v>1</v>
      </c>
      <c r="BK76" s="1"/>
      <c r="BZ76">
        <v>1</v>
      </c>
      <c r="CS76" t="s">
        <v>111</v>
      </c>
      <c r="CT76" t="s">
        <v>3635</v>
      </c>
    </row>
    <row r="77" spans="1:98">
      <c r="A77" t="s">
        <v>72</v>
      </c>
      <c r="B77" t="s">
        <v>3636</v>
      </c>
      <c r="C77" s="2"/>
      <c r="D77" s="3"/>
      <c r="F77" t="s">
        <v>7</v>
      </c>
      <c r="G77" s="1"/>
      <c r="H77" s="1"/>
      <c r="I77" s="1"/>
      <c r="K77" s="4"/>
      <c r="U77" s="9" t="s">
        <v>3632</v>
      </c>
      <c r="W77" s="14">
        <v>1</v>
      </c>
      <c r="BC77" s="9" t="s">
        <v>3075</v>
      </c>
      <c r="BD77" s="14" t="s">
        <v>338</v>
      </c>
      <c r="BE77" t="s">
        <v>70</v>
      </c>
      <c r="BF77" s="1" t="s">
        <v>339</v>
      </c>
      <c r="BG77" s="1">
        <v>1</v>
      </c>
      <c r="BH77">
        <v>1</v>
      </c>
      <c r="BK77" s="1"/>
      <c r="BZ77">
        <v>1</v>
      </c>
      <c r="CS77" s="14" t="s">
        <v>3076</v>
      </c>
      <c r="CT77" t="s">
        <v>3637</v>
      </c>
    </row>
    <row r="78" spans="1:98">
      <c r="A78" t="s">
        <v>72</v>
      </c>
      <c r="B78" t="s">
        <v>3086</v>
      </c>
      <c r="C78" s="15"/>
      <c r="D78" s="3"/>
      <c r="F78" t="s">
        <v>7</v>
      </c>
      <c r="G78" s="1"/>
      <c r="H78" s="1"/>
      <c r="I78" s="1"/>
      <c r="K78" s="4"/>
      <c r="T78" s="1"/>
      <c r="U78" s="9" t="s">
        <v>3085</v>
      </c>
      <c r="W78" s="9">
        <v>1</v>
      </c>
      <c r="BC78">
        <v>1789</v>
      </c>
      <c r="BD78" t="s">
        <v>81</v>
      </c>
      <c r="BE78" s="10" t="s">
        <v>70</v>
      </c>
      <c r="BF78" s="1" t="s">
        <v>73</v>
      </c>
      <c r="BG78" s="1">
        <v>1</v>
      </c>
      <c r="BH78">
        <v>1</v>
      </c>
      <c r="BK78" s="1"/>
      <c r="BZ78">
        <v>1</v>
      </c>
      <c r="CS78" t="s">
        <v>111</v>
      </c>
      <c r="CT78" s="10" t="s">
        <v>3070</v>
      </c>
    </row>
    <row r="79" spans="1:98">
      <c r="B79" t="s">
        <v>3847</v>
      </c>
      <c r="C79" s="2" t="s">
        <v>3848</v>
      </c>
      <c r="D79" s="2" t="s">
        <v>3849</v>
      </c>
      <c r="E79" s="8" t="s">
        <v>542</v>
      </c>
      <c r="F79" s="8" t="s">
        <v>218</v>
      </c>
      <c r="G79" s="1">
        <v>1</v>
      </c>
      <c r="H79" s="1"/>
      <c r="I79" s="1">
        <f>1792-25</f>
        <v>1767</v>
      </c>
      <c r="J79" t="s">
        <v>10</v>
      </c>
      <c r="K79" s="4" t="s">
        <v>12</v>
      </c>
      <c r="Q79">
        <v>5</v>
      </c>
      <c r="R79">
        <v>5</v>
      </c>
      <c r="S79">
        <v>3</v>
      </c>
      <c r="T79" s="5">
        <f t="shared" ref="T79" si="4">((Q79*316)+(R79*26.3)+(S79*2.2))/10</f>
        <v>171.81</v>
      </c>
      <c r="U79" t="s">
        <v>3850</v>
      </c>
      <c r="W79" s="6">
        <v>1</v>
      </c>
      <c r="X79" s="6">
        <v>1</v>
      </c>
      <c r="Y79" s="6">
        <v>1</v>
      </c>
      <c r="Z79" s="6">
        <v>1</v>
      </c>
      <c r="AA79" s="6">
        <v>1</v>
      </c>
      <c r="BC79">
        <v>1793</v>
      </c>
      <c r="BD79" t="s">
        <v>81</v>
      </c>
      <c r="BE79" t="s">
        <v>1202</v>
      </c>
      <c r="BF79" s="1" t="s">
        <v>73</v>
      </c>
      <c r="BG79" s="1">
        <v>3</v>
      </c>
      <c r="BH79">
        <v>1</v>
      </c>
      <c r="BK79" s="1">
        <v>1</v>
      </c>
      <c r="BQ79">
        <v>1</v>
      </c>
      <c r="CS79" t="s">
        <v>3851</v>
      </c>
    </row>
    <row r="80" spans="1:98">
      <c r="B80" t="s">
        <v>92</v>
      </c>
      <c r="C80" s="13" t="s">
        <v>93</v>
      </c>
      <c r="F80" s="8" t="s">
        <v>88</v>
      </c>
      <c r="G80" s="1"/>
      <c r="H80" s="1">
        <v>1</v>
      </c>
      <c r="I80" s="1">
        <f>1790-16</f>
        <v>1774</v>
      </c>
      <c r="J80" t="s">
        <v>10</v>
      </c>
      <c r="K80" s="4" t="s">
        <v>12</v>
      </c>
      <c r="T80" s="1"/>
      <c r="U80" s="9" t="s">
        <v>94</v>
      </c>
      <c r="W80" s="9">
        <v>1</v>
      </c>
      <c r="X80" s="6">
        <v>1</v>
      </c>
      <c r="BC80">
        <v>1790</v>
      </c>
      <c r="BD80" t="s">
        <v>81</v>
      </c>
      <c r="BE80" s="10" t="s">
        <v>70</v>
      </c>
      <c r="BF80" s="1" t="s">
        <v>73</v>
      </c>
      <c r="BG80" s="1">
        <v>2</v>
      </c>
      <c r="BH80">
        <v>1</v>
      </c>
      <c r="BI80">
        <v>1</v>
      </c>
      <c r="BK80" s="1"/>
      <c r="BZ80">
        <v>1</v>
      </c>
      <c r="CS80" t="s">
        <v>111</v>
      </c>
      <c r="CT80" s="10" t="s">
        <v>82</v>
      </c>
    </row>
    <row r="81" spans="1:98">
      <c r="B81" t="s">
        <v>3834</v>
      </c>
      <c r="C81" s="2" t="s">
        <v>2426</v>
      </c>
      <c r="F81" s="8" t="s">
        <v>65</v>
      </c>
      <c r="G81" s="1">
        <v>1</v>
      </c>
      <c r="H81" s="1"/>
      <c r="I81" s="1">
        <f>1789-44</f>
        <v>1745</v>
      </c>
      <c r="J81" t="s">
        <v>69</v>
      </c>
      <c r="K81" s="4" t="s">
        <v>116</v>
      </c>
      <c r="T81" s="1"/>
      <c r="U81" s="9" t="s">
        <v>3835</v>
      </c>
      <c r="W81" s="9">
        <v>1</v>
      </c>
      <c r="BC81">
        <v>1789</v>
      </c>
      <c r="BD81" t="s">
        <v>81</v>
      </c>
      <c r="BE81" s="10" t="s">
        <v>70</v>
      </c>
      <c r="BF81" s="1" t="s">
        <v>73</v>
      </c>
      <c r="BG81" s="1">
        <v>2</v>
      </c>
      <c r="BH81">
        <v>1</v>
      </c>
      <c r="BK81" s="1"/>
      <c r="BZ81">
        <v>1</v>
      </c>
      <c r="CS81" t="s">
        <v>111</v>
      </c>
      <c r="CT81" s="10" t="s">
        <v>3836</v>
      </c>
    </row>
    <row r="82" spans="1:98">
      <c r="B82" t="s">
        <v>3852</v>
      </c>
      <c r="C82" s="2" t="s">
        <v>3853</v>
      </c>
      <c r="D82" s="2" t="s">
        <v>3853</v>
      </c>
      <c r="E82" s="8" t="s">
        <v>571</v>
      </c>
      <c r="F82" s="8" t="s">
        <v>218</v>
      </c>
      <c r="G82" s="1">
        <v>1</v>
      </c>
      <c r="H82" s="1"/>
      <c r="I82" s="1">
        <f>1791-24</f>
        <v>1767</v>
      </c>
      <c r="J82" t="s">
        <v>10</v>
      </c>
      <c r="K82" s="4" t="s">
        <v>12</v>
      </c>
      <c r="Q82">
        <v>5</v>
      </c>
      <c r="R82">
        <v>2</v>
      </c>
      <c r="S82">
        <v>2</v>
      </c>
      <c r="T82" s="5">
        <f t="shared" ref="T82" si="5">((Q82*316)+(R82*26.3)+(S82*2.2))/10</f>
        <v>163.69999999999999</v>
      </c>
      <c r="U82" t="s">
        <v>3854</v>
      </c>
      <c r="V82" s="9"/>
      <c r="W82" s="6">
        <v>1</v>
      </c>
      <c r="X82" s="6">
        <v>1</v>
      </c>
      <c r="Y82" s="6">
        <v>1</v>
      </c>
      <c r="Z82" s="6">
        <v>1</v>
      </c>
      <c r="AA82" s="6">
        <v>1</v>
      </c>
      <c r="AB82" s="6">
        <v>1</v>
      </c>
      <c r="AC82" s="6">
        <v>1</v>
      </c>
      <c r="AD82" s="6">
        <v>1</v>
      </c>
      <c r="AE82" s="6">
        <v>1</v>
      </c>
      <c r="AF82" s="6">
        <v>1</v>
      </c>
      <c r="AG82" s="6">
        <v>1</v>
      </c>
      <c r="AH82" s="6">
        <v>1</v>
      </c>
      <c r="AI82" s="6">
        <v>1</v>
      </c>
      <c r="AJ82" s="6">
        <v>1</v>
      </c>
      <c r="AK82" s="6">
        <v>1</v>
      </c>
      <c r="AL82" s="6">
        <v>1</v>
      </c>
      <c r="AM82" s="6">
        <v>1</v>
      </c>
      <c r="AN82" s="6">
        <v>1</v>
      </c>
      <c r="AO82" s="6">
        <v>1</v>
      </c>
      <c r="AP82" s="7">
        <v>1</v>
      </c>
      <c r="BC82" t="s">
        <v>3855</v>
      </c>
      <c r="BD82" s="7" t="s">
        <v>103</v>
      </c>
      <c r="BE82" t="s">
        <v>1202</v>
      </c>
      <c r="BF82" s="1" t="s">
        <v>29</v>
      </c>
      <c r="BG82" s="1">
        <v>6</v>
      </c>
      <c r="BH82">
        <v>1</v>
      </c>
      <c r="BK82" s="30">
        <v>1</v>
      </c>
      <c r="BP82">
        <v>1</v>
      </c>
      <c r="CM82">
        <v>1</v>
      </c>
      <c r="CS82" s="7" t="s">
        <v>3428</v>
      </c>
      <c r="CT82" s="57" t="s">
        <v>3226</v>
      </c>
    </row>
    <row r="83" spans="1:98">
      <c r="A83" t="s">
        <v>72</v>
      </c>
      <c r="B83" t="s">
        <v>3027</v>
      </c>
      <c r="C83" s="13"/>
      <c r="F83" t="s">
        <v>7</v>
      </c>
      <c r="G83" s="1"/>
      <c r="H83" s="1"/>
      <c r="I83" s="1"/>
      <c r="K83" s="4"/>
      <c r="T83" s="1"/>
      <c r="U83" s="9" t="s">
        <v>3026</v>
      </c>
      <c r="W83" s="9">
        <v>1</v>
      </c>
      <c r="BC83">
        <v>1789</v>
      </c>
      <c r="BD83" t="s">
        <v>81</v>
      </c>
      <c r="BE83" s="10" t="s">
        <v>70</v>
      </c>
      <c r="BF83" s="1" t="s">
        <v>73</v>
      </c>
      <c r="BG83" s="1">
        <v>1</v>
      </c>
      <c r="BH83">
        <v>1</v>
      </c>
      <c r="BI83">
        <v>1</v>
      </c>
      <c r="BK83" s="1"/>
      <c r="BZ83">
        <v>1</v>
      </c>
      <c r="CS83" t="s">
        <v>111</v>
      </c>
      <c r="CT83" s="10" t="s">
        <v>3031</v>
      </c>
    </row>
    <row r="84" spans="1:98">
      <c r="A84" t="s">
        <v>72</v>
      </c>
      <c r="B84" t="s">
        <v>3357</v>
      </c>
      <c r="C84" s="13"/>
      <c r="F84" t="s">
        <v>7</v>
      </c>
      <c r="G84" s="1"/>
      <c r="H84" s="1"/>
      <c r="I84" s="1"/>
      <c r="K84" s="4"/>
      <c r="T84" s="1"/>
      <c r="U84" s="9" t="s">
        <v>89</v>
      </c>
      <c r="W84" s="9">
        <v>1</v>
      </c>
      <c r="X84" s="14">
        <v>1</v>
      </c>
      <c r="BC84" s="9" t="s">
        <v>3359</v>
      </c>
      <c r="BD84" s="14" t="s">
        <v>338</v>
      </c>
      <c r="BE84" t="s">
        <v>70</v>
      </c>
      <c r="BF84" s="1" t="s">
        <v>339</v>
      </c>
      <c r="BG84" s="1">
        <v>3</v>
      </c>
      <c r="BH84">
        <v>1</v>
      </c>
      <c r="BK84" s="1"/>
      <c r="BZ84">
        <v>1</v>
      </c>
      <c r="CS84" s="14" t="s">
        <v>3358</v>
      </c>
      <c r="CT84" t="s">
        <v>2529</v>
      </c>
    </row>
    <row r="85" spans="1:98">
      <c r="B85" t="s">
        <v>2539</v>
      </c>
      <c r="C85" s="2" t="s">
        <v>2540</v>
      </c>
      <c r="F85" s="8" t="s">
        <v>218</v>
      </c>
      <c r="G85" s="1">
        <v>1</v>
      </c>
      <c r="H85" s="1"/>
      <c r="I85" s="1">
        <f>1790-17</f>
        <v>1773</v>
      </c>
      <c r="J85" t="s">
        <v>10</v>
      </c>
      <c r="K85" s="4" t="s">
        <v>12</v>
      </c>
      <c r="T85" s="1"/>
      <c r="U85" s="9" t="s">
        <v>89</v>
      </c>
      <c r="W85" s="9">
        <v>1</v>
      </c>
      <c r="X85" s="6">
        <v>1</v>
      </c>
      <c r="BC85">
        <v>1790</v>
      </c>
      <c r="BD85" t="s">
        <v>81</v>
      </c>
      <c r="BE85" s="10" t="s">
        <v>70</v>
      </c>
      <c r="BF85" s="1" t="s">
        <v>73</v>
      </c>
      <c r="BG85" s="1">
        <v>4</v>
      </c>
      <c r="BH85">
        <v>1</v>
      </c>
      <c r="BK85" s="1"/>
      <c r="BZ85">
        <v>1</v>
      </c>
      <c r="CS85" t="s">
        <v>111</v>
      </c>
      <c r="CT85" s="10" t="s">
        <v>2526</v>
      </c>
    </row>
    <row r="86" spans="1:98">
      <c r="A86" t="s">
        <v>72</v>
      </c>
      <c r="B86" t="s">
        <v>2528</v>
      </c>
      <c r="C86" s="13"/>
      <c r="F86" t="s">
        <v>7</v>
      </c>
      <c r="G86" s="1"/>
      <c r="H86" s="1"/>
      <c r="I86" s="1"/>
      <c r="K86" s="4"/>
      <c r="T86" s="1"/>
      <c r="U86" s="9" t="s">
        <v>89</v>
      </c>
      <c r="W86" s="9">
        <v>1</v>
      </c>
      <c r="X86" s="14">
        <v>1</v>
      </c>
      <c r="BC86" s="9" t="s">
        <v>3359</v>
      </c>
      <c r="BD86" s="14" t="s">
        <v>338</v>
      </c>
      <c r="BE86" t="s">
        <v>70</v>
      </c>
      <c r="BF86" s="1" t="s">
        <v>339</v>
      </c>
      <c r="BG86" s="1">
        <v>3</v>
      </c>
      <c r="BH86">
        <v>1</v>
      </c>
      <c r="BK86" s="1"/>
      <c r="BZ86">
        <v>1</v>
      </c>
      <c r="CS86" s="14" t="s">
        <v>3358</v>
      </c>
      <c r="CT86" t="s">
        <v>2529</v>
      </c>
    </row>
    <row r="87" spans="1:98">
      <c r="A87" t="s">
        <v>72</v>
      </c>
      <c r="B87" t="s">
        <v>2530</v>
      </c>
      <c r="C87" s="13"/>
      <c r="F87" t="s">
        <v>7</v>
      </c>
      <c r="G87" s="1"/>
      <c r="H87" s="1"/>
      <c r="I87" s="1"/>
      <c r="K87" s="4"/>
      <c r="T87" s="1"/>
      <c r="U87" s="9" t="s">
        <v>89</v>
      </c>
      <c r="W87" s="9">
        <v>1</v>
      </c>
      <c r="X87" s="14">
        <v>1</v>
      </c>
      <c r="BC87" s="9" t="s">
        <v>3359</v>
      </c>
      <c r="BD87" s="14" t="s">
        <v>338</v>
      </c>
      <c r="BE87" t="s">
        <v>70</v>
      </c>
      <c r="BF87" s="1" t="s">
        <v>339</v>
      </c>
      <c r="BG87" s="1">
        <v>3</v>
      </c>
      <c r="BH87">
        <v>1</v>
      </c>
      <c r="BK87" s="1"/>
      <c r="BZ87">
        <v>1</v>
      </c>
      <c r="CS87" s="14" t="s">
        <v>3358</v>
      </c>
      <c r="CT87" t="s">
        <v>2529</v>
      </c>
    </row>
    <row r="88" spans="1:98">
      <c r="B88" t="s">
        <v>2534</v>
      </c>
      <c r="C88" s="8" t="s">
        <v>2535</v>
      </c>
      <c r="F88" s="8" t="s">
        <v>88</v>
      </c>
      <c r="G88" s="1"/>
      <c r="H88" s="1">
        <v>1</v>
      </c>
      <c r="I88" s="1">
        <f>1789-19</f>
        <v>1770</v>
      </c>
      <c r="J88" t="s">
        <v>10</v>
      </c>
      <c r="K88" s="4" t="s">
        <v>12</v>
      </c>
      <c r="T88" s="1"/>
      <c r="U88" s="9" t="s">
        <v>89</v>
      </c>
      <c r="W88" s="9">
        <v>1</v>
      </c>
      <c r="BC88">
        <v>1789</v>
      </c>
      <c r="BD88" t="s">
        <v>81</v>
      </c>
      <c r="BE88" s="10" t="s">
        <v>70</v>
      </c>
      <c r="BF88" s="1" t="s">
        <v>73</v>
      </c>
      <c r="BG88" s="1">
        <v>2</v>
      </c>
      <c r="BH88">
        <v>1</v>
      </c>
      <c r="BK88" s="1"/>
      <c r="BZ88">
        <v>1</v>
      </c>
      <c r="CS88" t="s">
        <v>111</v>
      </c>
      <c r="CT88" s="10" t="s">
        <v>2526</v>
      </c>
    </row>
    <row r="89" spans="1:98">
      <c r="B89" t="s">
        <v>86</v>
      </c>
      <c r="C89" s="8" t="s">
        <v>87</v>
      </c>
      <c r="F89" s="8" t="s">
        <v>88</v>
      </c>
      <c r="G89" s="1"/>
      <c r="H89" s="1">
        <v>1</v>
      </c>
      <c r="I89" s="1">
        <f>1789-20</f>
        <v>1769</v>
      </c>
      <c r="J89" t="s">
        <v>10</v>
      </c>
      <c r="K89" t="s">
        <v>12</v>
      </c>
      <c r="T89" s="1"/>
      <c r="U89" s="9" t="s">
        <v>89</v>
      </c>
      <c r="W89" s="9">
        <v>1</v>
      </c>
      <c r="BC89">
        <v>1789</v>
      </c>
      <c r="BD89" t="s">
        <v>81</v>
      </c>
      <c r="BE89" s="10" t="s">
        <v>70</v>
      </c>
      <c r="BF89" s="1" t="s">
        <v>73</v>
      </c>
      <c r="BG89" s="1">
        <v>2</v>
      </c>
      <c r="BH89">
        <v>1</v>
      </c>
      <c r="BK89" s="1"/>
      <c r="BZ89">
        <v>1</v>
      </c>
      <c r="CS89" t="s">
        <v>111</v>
      </c>
      <c r="CT89" s="10" t="s">
        <v>82</v>
      </c>
    </row>
    <row r="90" spans="1:98">
      <c r="B90" t="s">
        <v>4418</v>
      </c>
      <c r="C90" s="8" t="s">
        <v>2549</v>
      </c>
      <c r="F90" s="8" t="s">
        <v>88</v>
      </c>
      <c r="G90" s="1"/>
      <c r="H90" s="1">
        <v>1</v>
      </c>
      <c r="I90" s="1">
        <f>1790-38</f>
        <v>1752</v>
      </c>
      <c r="J90" t="s">
        <v>10</v>
      </c>
      <c r="K90" s="4" t="s">
        <v>12</v>
      </c>
      <c r="T90" s="1"/>
      <c r="U90" s="9" t="s">
        <v>89</v>
      </c>
      <c r="W90" s="9">
        <v>1</v>
      </c>
      <c r="X90" s="6">
        <v>1</v>
      </c>
      <c r="Y90" s="14">
        <v>1</v>
      </c>
      <c r="BC90" s="9" t="s">
        <v>4419</v>
      </c>
      <c r="BD90" s="14" t="s">
        <v>338</v>
      </c>
      <c r="BE90" t="s">
        <v>70</v>
      </c>
      <c r="BF90" s="1" t="s">
        <v>73</v>
      </c>
      <c r="BG90" s="1">
        <v>4</v>
      </c>
      <c r="BH90">
        <v>1</v>
      </c>
      <c r="BK90" s="1"/>
      <c r="BZ90">
        <v>1</v>
      </c>
      <c r="CS90" s="14" t="s">
        <v>4420</v>
      </c>
      <c r="CT90" t="s">
        <v>2529</v>
      </c>
    </row>
    <row r="91" spans="1:98">
      <c r="B91" t="s">
        <v>3841</v>
      </c>
      <c r="C91" s="2" t="s">
        <v>3840</v>
      </c>
      <c r="F91" s="8" t="s">
        <v>65</v>
      </c>
      <c r="G91" s="1">
        <v>1</v>
      </c>
      <c r="H91" s="1"/>
      <c r="I91" s="1">
        <f>1789-40</f>
        <v>1749</v>
      </c>
      <c r="J91" t="s">
        <v>10</v>
      </c>
      <c r="K91" s="4" t="s">
        <v>12</v>
      </c>
      <c r="T91" s="1"/>
      <c r="U91" s="9" t="s">
        <v>3839</v>
      </c>
      <c r="W91" s="9">
        <v>1</v>
      </c>
      <c r="BC91">
        <v>1789</v>
      </c>
      <c r="BD91" t="s">
        <v>81</v>
      </c>
      <c r="BE91" s="10" t="s">
        <v>70</v>
      </c>
      <c r="BF91" s="1" t="s">
        <v>73</v>
      </c>
      <c r="BG91" s="1">
        <v>2</v>
      </c>
      <c r="BH91">
        <v>1</v>
      </c>
      <c r="BK91" s="1"/>
      <c r="BZ91">
        <v>1</v>
      </c>
      <c r="CS91" t="s">
        <v>111</v>
      </c>
      <c r="CT91" s="10" t="s">
        <v>3836</v>
      </c>
    </row>
    <row r="92" spans="1:98">
      <c r="A92" t="s">
        <v>72</v>
      </c>
      <c r="B92" t="s">
        <v>90</v>
      </c>
      <c r="C92" s="8"/>
      <c r="F92" s="8" t="s">
        <v>7</v>
      </c>
      <c r="G92" s="1"/>
      <c r="H92" s="1"/>
      <c r="I92" s="1"/>
      <c r="T92" s="1"/>
      <c r="U92" s="9" t="s">
        <v>91</v>
      </c>
      <c r="W92" s="9">
        <v>1</v>
      </c>
      <c r="BC92">
        <v>1789</v>
      </c>
      <c r="BD92" t="s">
        <v>81</v>
      </c>
      <c r="BE92" s="10" t="s">
        <v>70</v>
      </c>
      <c r="BF92" s="1" t="s">
        <v>73</v>
      </c>
      <c r="BG92" s="1">
        <v>2</v>
      </c>
      <c r="BH92">
        <v>1</v>
      </c>
      <c r="BK92" s="1"/>
      <c r="BZ92">
        <v>1</v>
      </c>
      <c r="CS92" t="s">
        <v>111</v>
      </c>
      <c r="CT92" s="10" t="s">
        <v>82</v>
      </c>
    </row>
    <row r="93" spans="1:98">
      <c r="B93" t="s">
        <v>2397</v>
      </c>
      <c r="C93" s="8" t="s">
        <v>2401</v>
      </c>
      <c r="D93" s="3" t="s">
        <v>2402</v>
      </c>
      <c r="E93" s="8" t="s">
        <v>2403</v>
      </c>
      <c r="F93" s="8" t="s">
        <v>65</v>
      </c>
      <c r="G93" s="1">
        <v>1</v>
      </c>
      <c r="H93" s="1"/>
      <c r="I93" s="1">
        <f>1790-38</f>
        <v>1752</v>
      </c>
      <c r="J93" t="s">
        <v>69</v>
      </c>
      <c r="K93" t="s">
        <v>12</v>
      </c>
      <c r="T93" s="1"/>
      <c r="U93" s="9" t="s">
        <v>2396</v>
      </c>
      <c r="W93" s="9">
        <v>1</v>
      </c>
      <c r="X93" s="6">
        <v>1</v>
      </c>
      <c r="BC93">
        <v>1789</v>
      </c>
      <c r="BD93" t="s">
        <v>81</v>
      </c>
      <c r="BE93" s="10" t="s">
        <v>70</v>
      </c>
      <c r="BF93" s="1" t="s">
        <v>73</v>
      </c>
      <c r="BG93" s="1">
        <v>2</v>
      </c>
      <c r="BH93">
        <v>1</v>
      </c>
      <c r="BK93" s="1"/>
      <c r="BZ93">
        <v>1</v>
      </c>
      <c r="CS93" t="s">
        <v>111</v>
      </c>
      <c r="CT93" s="10" t="s">
        <v>2400</v>
      </c>
    </row>
    <row r="94" spans="1:98">
      <c r="B94" t="s">
        <v>2398</v>
      </c>
      <c r="C94" s="8" t="s">
        <v>2399</v>
      </c>
      <c r="F94" s="8" t="s">
        <v>88</v>
      </c>
      <c r="G94" s="1"/>
      <c r="H94" s="1">
        <v>1</v>
      </c>
      <c r="I94" s="1">
        <f>1789-30</f>
        <v>1759</v>
      </c>
      <c r="J94" t="s">
        <v>69</v>
      </c>
      <c r="K94" t="s">
        <v>12</v>
      </c>
      <c r="T94" s="1"/>
      <c r="U94" s="9" t="s">
        <v>2396</v>
      </c>
      <c r="W94" s="9">
        <v>1</v>
      </c>
      <c r="BC94">
        <v>1790</v>
      </c>
      <c r="BD94" t="s">
        <v>81</v>
      </c>
      <c r="BE94" s="10" t="s">
        <v>70</v>
      </c>
      <c r="BF94" s="1" t="s">
        <v>73</v>
      </c>
      <c r="BG94" s="1">
        <v>1</v>
      </c>
      <c r="BH94">
        <v>1</v>
      </c>
      <c r="BK94" s="1"/>
      <c r="BZ94">
        <v>1</v>
      </c>
      <c r="CS94" t="s">
        <v>111</v>
      </c>
      <c r="CT94" s="10" t="s">
        <v>2400</v>
      </c>
    </row>
    <row r="95" spans="1:98">
      <c r="B95" t="s">
        <v>2537</v>
      </c>
      <c r="C95" s="8" t="s">
        <v>2538</v>
      </c>
      <c r="F95" s="8" t="s">
        <v>88</v>
      </c>
      <c r="G95" s="1"/>
      <c r="H95" s="1">
        <v>1</v>
      </c>
      <c r="I95" s="1">
        <f>1789-20</f>
        <v>1769</v>
      </c>
      <c r="J95" t="s">
        <v>10</v>
      </c>
      <c r="K95" t="s">
        <v>12</v>
      </c>
      <c r="T95" s="1"/>
      <c r="U95" s="9" t="s">
        <v>2536</v>
      </c>
      <c r="W95" s="9">
        <v>1</v>
      </c>
      <c r="BC95">
        <v>1789</v>
      </c>
      <c r="BD95" t="s">
        <v>81</v>
      </c>
      <c r="BE95" s="10" t="s">
        <v>70</v>
      </c>
      <c r="BF95" s="1" t="s">
        <v>73</v>
      </c>
      <c r="BG95" s="1">
        <v>2</v>
      </c>
      <c r="BH95">
        <v>1</v>
      </c>
      <c r="BK95" s="1"/>
      <c r="BZ95">
        <v>1</v>
      </c>
      <c r="CS95" t="s">
        <v>111</v>
      </c>
      <c r="CT95" s="10" t="s">
        <v>2526</v>
      </c>
    </row>
    <row r="96" spans="1:98">
      <c r="B96" t="s">
        <v>4032</v>
      </c>
      <c r="C96" s="2" t="s">
        <v>364</v>
      </c>
      <c r="F96" s="8" t="s">
        <v>247</v>
      </c>
      <c r="G96" s="1">
        <v>1</v>
      </c>
      <c r="H96" s="1"/>
      <c r="I96" s="1">
        <f>1790-24</f>
        <v>1766</v>
      </c>
      <c r="J96" t="s">
        <v>10</v>
      </c>
      <c r="K96" t="s">
        <v>12</v>
      </c>
      <c r="T96" s="1"/>
      <c r="U96" s="9" t="s">
        <v>4031</v>
      </c>
      <c r="X96" s="9">
        <v>1</v>
      </c>
      <c r="Y96" s="6">
        <v>1</v>
      </c>
      <c r="BC96">
        <v>1791</v>
      </c>
      <c r="BD96" t="s">
        <v>81</v>
      </c>
      <c r="BE96" s="10" t="s">
        <v>70</v>
      </c>
      <c r="BF96" s="1" t="s">
        <v>73</v>
      </c>
      <c r="BG96" s="1">
        <v>4</v>
      </c>
      <c r="BH96">
        <v>1</v>
      </c>
      <c r="BK96" s="1" t="s">
        <v>72</v>
      </c>
      <c r="BZ96">
        <v>1</v>
      </c>
      <c r="CN96">
        <v>1</v>
      </c>
      <c r="CP96">
        <v>1</v>
      </c>
      <c r="CS96" t="s">
        <v>111</v>
      </c>
      <c r="CT96" s="10" t="s">
        <v>4033</v>
      </c>
    </row>
    <row r="97" spans="1:98">
      <c r="A97" t="s">
        <v>72</v>
      </c>
      <c r="B97" t="s">
        <v>3638</v>
      </c>
      <c r="C97" s="15"/>
      <c r="D97" s="3"/>
      <c r="F97" t="s">
        <v>7</v>
      </c>
      <c r="G97" s="1"/>
      <c r="H97" s="1"/>
      <c r="I97" s="1"/>
      <c r="T97" s="5"/>
      <c r="U97" s="9" t="s">
        <v>4283</v>
      </c>
      <c r="W97" s="9"/>
      <c r="X97" s="7">
        <v>1</v>
      </c>
      <c r="BC97" t="s">
        <v>3639</v>
      </c>
      <c r="BD97" s="7" t="s">
        <v>103</v>
      </c>
      <c r="BE97" t="s">
        <v>70</v>
      </c>
      <c r="BF97" s="1" t="s">
        <v>29</v>
      </c>
      <c r="BG97" s="1">
        <v>3</v>
      </c>
      <c r="BH97">
        <v>1</v>
      </c>
      <c r="BK97" s="1" t="s">
        <v>72</v>
      </c>
      <c r="BZ97">
        <v>1</v>
      </c>
      <c r="CS97" s="7" t="s">
        <v>3092</v>
      </c>
      <c r="CT97" t="s">
        <v>3635</v>
      </c>
    </row>
    <row r="98" spans="1:98">
      <c r="A98" t="s">
        <v>72</v>
      </c>
      <c r="B98" t="s">
        <v>3558</v>
      </c>
      <c r="C98" s="8"/>
      <c r="F98" s="8" t="s">
        <v>7</v>
      </c>
      <c r="G98" s="1"/>
      <c r="H98" s="1"/>
      <c r="I98" s="1"/>
      <c r="T98" s="1"/>
      <c r="U98" s="9" t="s">
        <v>3557</v>
      </c>
      <c r="X98" s="14">
        <v>1</v>
      </c>
      <c r="BC98" s="9" t="s">
        <v>3559</v>
      </c>
      <c r="BD98" s="14" t="s">
        <v>338</v>
      </c>
      <c r="BE98" t="s">
        <v>70</v>
      </c>
      <c r="BF98" s="1" t="s">
        <v>339</v>
      </c>
      <c r="BG98" s="1">
        <v>1</v>
      </c>
      <c r="BH98">
        <v>1</v>
      </c>
      <c r="BK98" s="1"/>
      <c r="BZ98">
        <v>1</v>
      </c>
      <c r="CS98" s="14" t="s">
        <v>3560</v>
      </c>
      <c r="CT98" t="s">
        <v>3556</v>
      </c>
    </row>
    <row r="99" spans="1:98">
      <c r="A99" t="s">
        <v>72</v>
      </c>
      <c r="B99" t="s">
        <v>3893</v>
      </c>
      <c r="C99" s="2" t="s">
        <v>3894</v>
      </c>
      <c r="D99" s="2" t="s">
        <v>3895</v>
      </c>
      <c r="E99" s="8" t="s">
        <v>1306</v>
      </c>
      <c r="F99" s="8" t="s">
        <v>65</v>
      </c>
      <c r="G99" s="1">
        <v>1</v>
      </c>
      <c r="H99" s="1"/>
      <c r="I99" s="1">
        <f>1804-40</f>
        <v>1764</v>
      </c>
      <c r="J99" t="s">
        <v>69</v>
      </c>
      <c r="K99" t="s">
        <v>12</v>
      </c>
      <c r="N99">
        <v>1</v>
      </c>
      <c r="O99">
        <v>1</v>
      </c>
      <c r="P99">
        <v>1</v>
      </c>
      <c r="Q99">
        <v>5</v>
      </c>
      <c r="R99">
        <v>5</v>
      </c>
      <c r="S99">
        <v>2</v>
      </c>
      <c r="T99" s="5">
        <f t="shared" ref="T99:T108" si="6">((Q99*316)+(R99*26.3)+(S99*2.2))/10</f>
        <v>171.59</v>
      </c>
      <c r="U99" t="s">
        <v>3896</v>
      </c>
      <c r="X99" s="6">
        <v>1</v>
      </c>
      <c r="Y99" s="6">
        <v>1</v>
      </c>
      <c r="Z99" s="6">
        <v>1</v>
      </c>
      <c r="AA99" s="6">
        <v>1</v>
      </c>
      <c r="AB99" s="6">
        <v>1</v>
      </c>
      <c r="AC99" s="6">
        <v>1</v>
      </c>
      <c r="AD99" s="6">
        <v>1</v>
      </c>
      <c r="AE99" s="9">
        <v>1</v>
      </c>
      <c r="AF99" s="9"/>
      <c r="AG99" s="6">
        <v>1</v>
      </c>
      <c r="AH99" s="6">
        <v>1</v>
      </c>
      <c r="AI99" s="6">
        <v>1</v>
      </c>
      <c r="AJ99" s="6">
        <v>1</v>
      </c>
      <c r="AK99" s="6">
        <v>1</v>
      </c>
      <c r="AL99" s="6">
        <v>1</v>
      </c>
      <c r="AM99" s="6">
        <v>1</v>
      </c>
      <c r="AN99" s="7">
        <v>1</v>
      </c>
      <c r="BC99" t="s">
        <v>3897</v>
      </c>
      <c r="BD99" s="7" t="s">
        <v>280</v>
      </c>
      <c r="BE99" t="s">
        <v>1443</v>
      </c>
      <c r="BF99" s="1" t="s">
        <v>29</v>
      </c>
      <c r="BG99" s="1">
        <v>4</v>
      </c>
      <c r="BH99">
        <v>1</v>
      </c>
      <c r="BK99" s="1">
        <v>1</v>
      </c>
      <c r="BQ99">
        <v>1</v>
      </c>
      <c r="CM99">
        <v>1</v>
      </c>
      <c r="CN99">
        <v>1</v>
      </c>
      <c r="CR99" t="s">
        <v>72</v>
      </c>
      <c r="CS99" s="7" t="s">
        <v>947</v>
      </c>
    </row>
    <row r="100" spans="1:98">
      <c r="B100" t="s">
        <v>3400</v>
      </c>
      <c r="C100" s="2" t="s">
        <v>1500</v>
      </c>
      <c r="D100" s="3" t="s">
        <v>1536</v>
      </c>
      <c r="E100" s="8" t="s">
        <v>238</v>
      </c>
      <c r="F100" s="8" t="s">
        <v>65</v>
      </c>
      <c r="G100" s="1">
        <v>1</v>
      </c>
      <c r="H100" s="1"/>
      <c r="I100" s="1">
        <f>1791-23</f>
        <v>1768</v>
      </c>
      <c r="J100" t="s">
        <v>10</v>
      </c>
      <c r="K100" t="s">
        <v>12</v>
      </c>
      <c r="T100" s="5"/>
      <c r="U100" t="s">
        <v>3401</v>
      </c>
      <c r="X100" s="6">
        <v>1</v>
      </c>
      <c r="Y100" s="7">
        <v>1</v>
      </c>
      <c r="BC100" t="s">
        <v>3402</v>
      </c>
      <c r="BD100" s="7" t="s">
        <v>103</v>
      </c>
      <c r="BE100" t="s">
        <v>2005</v>
      </c>
      <c r="BF100" s="1" t="s">
        <v>29</v>
      </c>
      <c r="BG100" s="1">
        <v>5</v>
      </c>
      <c r="BH100">
        <v>1</v>
      </c>
      <c r="BK100" s="1">
        <v>1</v>
      </c>
      <c r="BQ100">
        <v>1</v>
      </c>
      <c r="CS100" s="7" t="s">
        <v>3092</v>
      </c>
    </row>
    <row r="101" spans="1:98">
      <c r="A101" t="s">
        <v>72</v>
      </c>
      <c r="B101" t="s">
        <v>4253</v>
      </c>
      <c r="C101" s="2"/>
      <c r="D101" s="3"/>
      <c r="F101" t="s">
        <v>7</v>
      </c>
      <c r="G101" s="1"/>
      <c r="H101" s="1"/>
      <c r="I101" s="1"/>
      <c r="T101" s="5"/>
      <c r="U101" s="9" t="s">
        <v>4248</v>
      </c>
      <c r="X101" s="9">
        <v>1</v>
      </c>
      <c r="BC101">
        <v>1790</v>
      </c>
      <c r="BD101" t="s">
        <v>81</v>
      </c>
      <c r="BE101" s="10" t="s">
        <v>70</v>
      </c>
      <c r="BF101" s="1" t="s">
        <v>73</v>
      </c>
      <c r="BG101" s="1">
        <v>1</v>
      </c>
      <c r="BH101">
        <v>1</v>
      </c>
      <c r="BK101" s="1"/>
      <c r="BZ101">
        <v>1</v>
      </c>
      <c r="CS101" t="s">
        <v>111</v>
      </c>
      <c r="CT101" s="10" t="s">
        <v>4249</v>
      </c>
    </row>
    <row r="102" spans="1:98">
      <c r="B102" t="s">
        <v>4263</v>
      </c>
      <c r="C102" s="2" t="s">
        <v>2068</v>
      </c>
      <c r="D102" s="3"/>
      <c r="F102" s="8" t="s">
        <v>88</v>
      </c>
      <c r="G102" s="1"/>
      <c r="H102" s="1">
        <v>1</v>
      </c>
      <c r="I102" s="1">
        <f>1790-26</f>
        <v>1764</v>
      </c>
      <c r="J102" t="s">
        <v>10</v>
      </c>
      <c r="K102" t="s">
        <v>12</v>
      </c>
      <c r="T102" s="5"/>
      <c r="U102" s="9" t="s">
        <v>4248</v>
      </c>
      <c r="X102" s="9">
        <v>1</v>
      </c>
      <c r="BC102">
        <v>1790</v>
      </c>
      <c r="BD102" t="s">
        <v>81</v>
      </c>
      <c r="BE102" s="10" t="s">
        <v>70</v>
      </c>
      <c r="BF102" s="1" t="s">
        <v>73</v>
      </c>
      <c r="BG102" s="1">
        <v>1</v>
      </c>
      <c r="BH102">
        <v>1</v>
      </c>
      <c r="BK102" s="1"/>
      <c r="BZ102">
        <v>1</v>
      </c>
      <c r="CS102" t="s">
        <v>111</v>
      </c>
      <c r="CT102" s="10" t="s">
        <v>4249</v>
      </c>
    </row>
    <row r="103" spans="1:98">
      <c r="A103" t="s">
        <v>72</v>
      </c>
      <c r="B103" t="s">
        <v>4252</v>
      </c>
      <c r="C103" s="15"/>
      <c r="D103" s="3"/>
      <c r="F103" t="s">
        <v>7</v>
      </c>
      <c r="G103" s="1"/>
      <c r="H103" s="1"/>
      <c r="I103" s="1"/>
      <c r="T103" s="5"/>
      <c r="U103" s="9" t="s">
        <v>4248</v>
      </c>
      <c r="X103" s="9">
        <v>1</v>
      </c>
      <c r="BC103">
        <v>1790</v>
      </c>
      <c r="BD103" t="s">
        <v>81</v>
      </c>
      <c r="BE103" s="10" t="s">
        <v>70</v>
      </c>
      <c r="BF103" s="1" t="s">
        <v>73</v>
      </c>
      <c r="BG103" s="1">
        <v>1</v>
      </c>
      <c r="BH103">
        <v>1</v>
      </c>
      <c r="BK103" s="1"/>
      <c r="BZ103">
        <v>1</v>
      </c>
      <c r="CS103" t="s">
        <v>111</v>
      </c>
      <c r="CT103" s="10" t="s">
        <v>4249</v>
      </c>
    </row>
    <row r="104" spans="1:98">
      <c r="A104" t="s">
        <v>72</v>
      </c>
      <c r="B104" t="s">
        <v>4254</v>
      </c>
      <c r="C104" s="15"/>
      <c r="D104" s="3"/>
      <c r="F104" s="8" t="s">
        <v>7</v>
      </c>
      <c r="G104" s="1"/>
      <c r="H104" s="1"/>
      <c r="I104" s="1"/>
      <c r="T104" s="5"/>
      <c r="U104" s="9" t="s">
        <v>4248</v>
      </c>
      <c r="X104" s="9">
        <v>1</v>
      </c>
      <c r="BC104">
        <v>1790</v>
      </c>
      <c r="BD104" t="s">
        <v>81</v>
      </c>
      <c r="BE104" s="10" t="s">
        <v>70</v>
      </c>
      <c r="BF104" s="1" t="s">
        <v>73</v>
      </c>
      <c r="BG104" s="1">
        <v>1</v>
      </c>
      <c r="BH104">
        <v>1</v>
      </c>
      <c r="BK104" s="1"/>
      <c r="BZ104">
        <v>1</v>
      </c>
      <c r="CS104" t="s">
        <v>111</v>
      </c>
      <c r="CT104" s="10" t="s">
        <v>4249</v>
      </c>
    </row>
    <row r="105" spans="1:98">
      <c r="A105" t="s">
        <v>72</v>
      </c>
      <c r="B105" t="s">
        <v>4247</v>
      </c>
      <c r="C105" s="8"/>
      <c r="D105" s="3"/>
      <c r="F105" t="s">
        <v>7</v>
      </c>
      <c r="G105" s="1"/>
      <c r="H105" s="1"/>
      <c r="I105" s="1"/>
      <c r="T105" s="5"/>
      <c r="U105" s="9" t="s">
        <v>4248</v>
      </c>
      <c r="X105" s="9">
        <v>1</v>
      </c>
      <c r="BC105" t="s">
        <v>4250</v>
      </c>
      <c r="BD105" s="7" t="s">
        <v>26</v>
      </c>
      <c r="BE105" t="s">
        <v>70</v>
      </c>
      <c r="BF105" s="1" t="s">
        <v>73</v>
      </c>
      <c r="BG105" s="1">
        <v>1</v>
      </c>
      <c r="BH105">
        <v>1</v>
      </c>
      <c r="BK105" s="1"/>
      <c r="BZ105">
        <v>1</v>
      </c>
      <c r="CS105" s="7" t="s">
        <v>4251</v>
      </c>
      <c r="CT105" t="s">
        <v>4249</v>
      </c>
    </row>
    <row r="106" spans="1:98">
      <c r="B106" t="s">
        <v>4261</v>
      </c>
      <c r="C106" s="8" t="s">
        <v>4262</v>
      </c>
      <c r="D106" s="3"/>
      <c r="F106" s="8" t="s">
        <v>88</v>
      </c>
      <c r="G106" s="1"/>
      <c r="H106" s="1">
        <v>1</v>
      </c>
      <c r="I106" s="1">
        <f>1790-24</f>
        <v>1766</v>
      </c>
      <c r="J106" t="s">
        <v>10</v>
      </c>
      <c r="K106" t="s">
        <v>12</v>
      </c>
      <c r="T106" s="5"/>
      <c r="U106" s="9" t="s">
        <v>4248</v>
      </c>
      <c r="X106" s="9">
        <v>1</v>
      </c>
      <c r="BC106">
        <v>1790</v>
      </c>
      <c r="BD106" t="s">
        <v>81</v>
      </c>
      <c r="BE106" s="10" t="s">
        <v>70</v>
      </c>
      <c r="BF106" s="1" t="s">
        <v>73</v>
      </c>
      <c r="BG106" s="1">
        <v>1</v>
      </c>
      <c r="BH106">
        <v>1</v>
      </c>
      <c r="BK106" s="1"/>
      <c r="BZ106">
        <v>1</v>
      </c>
      <c r="CS106" t="s">
        <v>111</v>
      </c>
      <c r="CT106" s="10" t="s">
        <v>4249</v>
      </c>
    </row>
    <row r="107" spans="1:98">
      <c r="A107" t="s">
        <v>72</v>
      </c>
      <c r="B107" t="s">
        <v>4255</v>
      </c>
      <c r="C107" s="8"/>
      <c r="D107" s="3"/>
      <c r="F107" t="s">
        <v>7</v>
      </c>
      <c r="G107" s="1"/>
      <c r="H107" s="1"/>
      <c r="I107" s="1"/>
      <c r="T107" s="5"/>
      <c r="U107" s="9" t="s">
        <v>4248</v>
      </c>
      <c r="X107" s="9">
        <v>1</v>
      </c>
      <c r="BC107">
        <v>1790</v>
      </c>
      <c r="BD107" t="s">
        <v>81</v>
      </c>
      <c r="BE107" s="10" t="s">
        <v>70</v>
      </c>
      <c r="BF107" s="1" t="s">
        <v>73</v>
      </c>
      <c r="BG107" s="1">
        <v>1</v>
      </c>
      <c r="BH107">
        <v>1</v>
      </c>
      <c r="BK107" s="1"/>
      <c r="BZ107">
        <v>1</v>
      </c>
      <c r="CS107" t="s">
        <v>111</v>
      </c>
      <c r="CT107" s="10" t="s">
        <v>4249</v>
      </c>
    </row>
    <row r="108" spans="1:98">
      <c r="B108" t="s">
        <v>3982</v>
      </c>
      <c r="C108" s="8" t="s">
        <v>3983</v>
      </c>
      <c r="D108" s="3"/>
      <c r="F108" s="8" t="s">
        <v>65</v>
      </c>
      <c r="G108" s="1">
        <v>1</v>
      </c>
      <c r="H108" s="1"/>
      <c r="I108" s="1">
        <f>1790-52</f>
        <v>1738</v>
      </c>
      <c r="J108" t="s">
        <v>69</v>
      </c>
      <c r="K108" t="s">
        <v>12</v>
      </c>
      <c r="Q108">
        <v>5</v>
      </c>
      <c r="R108">
        <v>3</v>
      </c>
      <c r="S108">
        <v>1</v>
      </c>
      <c r="T108" s="5">
        <f t="shared" si="6"/>
        <v>166.11</v>
      </c>
      <c r="U108" s="9" t="s">
        <v>96</v>
      </c>
      <c r="X108" s="9">
        <v>1</v>
      </c>
      <c r="BC108">
        <v>1790</v>
      </c>
      <c r="BD108" t="s">
        <v>81</v>
      </c>
      <c r="BE108" s="10" t="s">
        <v>70</v>
      </c>
      <c r="BF108" s="1" t="s">
        <v>73</v>
      </c>
      <c r="BG108" s="1">
        <v>2</v>
      </c>
      <c r="BH108">
        <v>1</v>
      </c>
      <c r="BI108">
        <v>1</v>
      </c>
      <c r="BK108" s="1">
        <v>1</v>
      </c>
      <c r="BZ108">
        <v>1</v>
      </c>
      <c r="CS108" t="s">
        <v>111</v>
      </c>
      <c r="CT108" s="10" t="s">
        <v>3984</v>
      </c>
    </row>
    <row r="109" spans="1:98">
      <c r="A109" t="s">
        <v>72</v>
      </c>
      <c r="B109" t="s">
        <v>95</v>
      </c>
      <c r="F109" t="s">
        <v>7</v>
      </c>
      <c r="G109" s="1"/>
      <c r="H109" s="1"/>
      <c r="I109" s="1"/>
      <c r="T109" s="5"/>
      <c r="U109" s="9" t="s">
        <v>96</v>
      </c>
      <c r="X109" s="9">
        <v>1</v>
      </c>
      <c r="BC109">
        <v>1790</v>
      </c>
      <c r="BD109" t="s">
        <v>81</v>
      </c>
      <c r="BE109" s="10" t="s">
        <v>70</v>
      </c>
      <c r="BF109" s="1" t="s">
        <v>73</v>
      </c>
      <c r="BG109" s="1">
        <v>2</v>
      </c>
      <c r="BH109">
        <v>1</v>
      </c>
      <c r="BK109" s="1">
        <v>1</v>
      </c>
      <c r="BZ109">
        <v>1</v>
      </c>
      <c r="CS109" t="s">
        <v>111</v>
      </c>
      <c r="CT109" s="10" t="s">
        <v>82</v>
      </c>
    </row>
    <row r="110" spans="1:98">
      <c r="A110" t="s">
        <v>72</v>
      </c>
      <c r="B110" t="s">
        <v>97</v>
      </c>
      <c r="F110" t="s">
        <v>7</v>
      </c>
      <c r="G110" s="1"/>
      <c r="H110" s="1"/>
      <c r="I110" s="1"/>
      <c r="T110" s="5"/>
      <c r="U110" s="9" t="s">
        <v>96</v>
      </c>
      <c r="X110" s="9">
        <v>1</v>
      </c>
      <c r="BC110">
        <v>1790</v>
      </c>
      <c r="BD110" t="s">
        <v>81</v>
      </c>
      <c r="BE110" s="10" t="s">
        <v>70</v>
      </c>
      <c r="BF110" s="1" t="s">
        <v>73</v>
      </c>
      <c r="BG110" s="1">
        <v>2</v>
      </c>
      <c r="BH110">
        <v>1</v>
      </c>
      <c r="BK110" s="1">
        <v>1</v>
      </c>
      <c r="BZ110">
        <v>1</v>
      </c>
      <c r="CS110" t="s">
        <v>111</v>
      </c>
      <c r="CT110" s="10" t="s">
        <v>82</v>
      </c>
    </row>
    <row r="111" spans="1:98">
      <c r="A111" t="s">
        <v>72</v>
      </c>
      <c r="B111" t="s">
        <v>98</v>
      </c>
      <c r="F111" t="s">
        <v>7</v>
      </c>
      <c r="G111" s="1"/>
      <c r="H111" s="1"/>
      <c r="I111" s="1"/>
      <c r="T111" s="5"/>
      <c r="U111" s="9" t="s">
        <v>96</v>
      </c>
      <c r="X111" s="9">
        <v>1</v>
      </c>
      <c r="BC111">
        <v>1790</v>
      </c>
      <c r="BD111" t="s">
        <v>81</v>
      </c>
      <c r="BE111" s="10" t="s">
        <v>70</v>
      </c>
      <c r="BF111" s="1" t="s">
        <v>73</v>
      </c>
      <c r="BG111" s="1">
        <v>2</v>
      </c>
      <c r="BH111">
        <v>1</v>
      </c>
      <c r="BK111" s="1">
        <v>1</v>
      </c>
      <c r="BZ111">
        <v>1</v>
      </c>
      <c r="CS111" t="s">
        <v>111</v>
      </c>
      <c r="CT111" s="10" t="s">
        <v>82</v>
      </c>
    </row>
    <row r="112" spans="1:98">
      <c r="A112" t="s">
        <v>72</v>
      </c>
      <c r="B112" t="s">
        <v>99</v>
      </c>
      <c r="F112" t="s">
        <v>7</v>
      </c>
      <c r="G112" s="1"/>
      <c r="H112" s="1"/>
      <c r="I112" s="1"/>
      <c r="T112" s="5"/>
      <c r="U112" s="9" t="s">
        <v>96</v>
      </c>
      <c r="X112" s="9">
        <v>1</v>
      </c>
      <c r="BC112">
        <v>1790</v>
      </c>
      <c r="BD112" t="s">
        <v>81</v>
      </c>
      <c r="BE112" s="10" t="s">
        <v>70</v>
      </c>
      <c r="BF112" s="1" t="s">
        <v>73</v>
      </c>
      <c r="BG112" s="1">
        <v>2</v>
      </c>
      <c r="BH112">
        <v>1</v>
      </c>
      <c r="BK112" s="1">
        <v>1</v>
      </c>
      <c r="BZ112">
        <v>1</v>
      </c>
      <c r="CS112" t="s">
        <v>111</v>
      </c>
      <c r="CT112" s="10" t="s">
        <v>82</v>
      </c>
    </row>
    <row r="113" spans="1:98">
      <c r="A113" t="s">
        <v>72</v>
      </c>
      <c r="B113" t="s">
        <v>3396</v>
      </c>
      <c r="F113" t="s">
        <v>7</v>
      </c>
      <c r="G113" s="1"/>
      <c r="H113" s="1"/>
      <c r="I113" s="1"/>
      <c r="T113" s="5"/>
      <c r="U113" s="9" t="s">
        <v>3395</v>
      </c>
      <c r="X113" s="9">
        <v>1</v>
      </c>
      <c r="BC113">
        <v>1790</v>
      </c>
      <c r="BD113" t="s">
        <v>81</v>
      </c>
      <c r="BE113" s="10" t="s">
        <v>70</v>
      </c>
      <c r="BF113" s="1" t="s">
        <v>73</v>
      </c>
      <c r="BG113" s="1">
        <v>2</v>
      </c>
      <c r="BH113">
        <v>1</v>
      </c>
      <c r="BK113" s="1">
        <v>1</v>
      </c>
      <c r="BZ113">
        <v>1</v>
      </c>
      <c r="CS113" t="s">
        <v>111</v>
      </c>
      <c r="CT113" s="10" t="s">
        <v>3386</v>
      </c>
    </row>
    <row r="114" spans="1:98">
      <c r="A114" t="s">
        <v>72</v>
      </c>
      <c r="B114" t="s">
        <v>4256</v>
      </c>
      <c r="F114" t="s">
        <v>7</v>
      </c>
      <c r="G114" s="1"/>
      <c r="H114" s="1"/>
      <c r="I114" s="1"/>
      <c r="T114" s="5"/>
      <c r="U114" s="9" t="s">
        <v>4257</v>
      </c>
      <c r="X114" s="9">
        <v>1</v>
      </c>
      <c r="BC114">
        <v>1790</v>
      </c>
      <c r="BD114" t="s">
        <v>81</v>
      </c>
      <c r="BE114" s="10" t="s">
        <v>70</v>
      </c>
      <c r="BF114" s="1" t="s">
        <v>73</v>
      </c>
      <c r="BG114" s="1">
        <v>1</v>
      </c>
      <c r="BH114">
        <v>1</v>
      </c>
      <c r="BK114" s="1"/>
      <c r="BZ114">
        <v>1</v>
      </c>
      <c r="CS114" t="s">
        <v>111</v>
      </c>
      <c r="CT114" s="10" t="s">
        <v>4249</v>
      </c>
    </row>
    <row r="115" spans="1:98">
      <c r="A115" t="s">
        <v>72</v>
      </c>
      <c r="B115" t="s">
        <v>4258</v>
      </c>
      <c r="F115" t="s">
        <v>7</v>
      </c>
      <c r="G115" s="1"/>
      <c r="H115" s="1"/>
      <c r="I115" s="1"/>
      <c r="T115" s="5"/>
      <c r="U115" s="9" t="s">
        <v>4257</v>
      </c>
      <c r="X115" s="9">
        <v>1</v>
      </c>
      <c r="BC115">
        <v>1790</v>
      </c>
      <c r="BD115" t="s">
        <v>81</v>
      </c>
      <c r="BE115" s="10" t="s">
        <v>70</v>
      </c>
      <c r="BF115" s="1" t="s">
        <v>73</v>
      </c>
      <c r="BG115" s="1">
        <v>1</v>
      </c>
      <c r="BH115">
        <v>1</v>
      </c>
      <c r="BK115" s="1"/>
      <c r="BZ115">
        <v>1</v>
      </c>
      <c r="CS115" t="s">
        <v>111</v>
      </c>
      <c r="CT115" s="10" t="s">
        <v>4249</v>
      </c>
    </row>
    <row r="116" spans="1:98">
      <c r="B116" t="s">
        <v>1534</v>
      </c>
      <c r="C116" s="2" t="s">
        <v>1535</v>
      </c>
      <c r="D116" s="3" t="s">
        <v>1536</v>
      </c>
      <c r="E116" s="8" t="s">
        <v>193</v>
      </c>
      <c r="F116" s="8" t="s">
        <v>65</v>
      </c>
      <c r="G116" s="1">
        <v>1</v>
      </c>
      <c r="H116" s="1"/>
      <c r="I116" s="1">
        <f>1790-20</f>
        <v>1770</v>
      </c>
      <c r="J116" t="s">
        <v>10</v>
      </c>
      <c r="K116" t="s">
        <v>12</v>
      </c>
      <c r="Q116">
        <v>5</v>
      </c>
      <c r="R116">
        <v>1</v>
      </c>
      <c r="S116">
        <v>1</v>
      </c>
      <c r="T116" s="5">
        <f t="shared" ref="T116:T178" si="7">((Q116*316)+(R116*26.3)+(S116*2.2))/10</f>
        <v>160.85</v>
      </c>
      <c r="U116" t="s">
        <v>1537</v>
      </c>
      <c r="X116" s="7">
        <v>1</v>
      </c>
      <c r="BC116" t="s">
        <v>1538</v>
      </c>
      <c r="BD116" s="7" t="s">
        <v>103</v>
      </c>
      <c r="BE116" t="s">
        <v>70</v>
      </c>
      <c r="BF116" s="1" t="s">
        <v>29</v>
      </c>
      <c r="BG116" s="1">
        <v>2</v>
      </c>
      <c r="BH116">
        <v>1</v>
      </c>
      <c r="BK116" s="1">
        <v>1</v>
      </c>
      <c r="BZ116">
        <v>1</v>
      </c>
      <c r="CS116" s="7" t="s">
        <v>3092</v>
      </c>
      <c r="CT116" t="s">
        <v>3887</v>
      </c>
    </row>
    <row r="117" spans="1:98">
      <c r="B117" t="s">
        <v>2248</v>
      </c>
      <c r="C117" s="2" t="s">
        <v>2249</v>
      </c>
      <c r="D117" s="3" t="s">
        <v>1536</v>
      </c>
      <c r="E117" s="8" t="s">
        <v>2250</v>
      </c>
      <c r="F117" s="8" t="s">
        <v>65</v>
      </c>
      <c r="G117" s="1">
        <v>1</v>
      </c>
      <c r="H117" s="1"/>
      <c r="I117" s="1">
        <f>1790-20</f>
        <v>1770</v>
      </c>
      <c r="J117" t="s">
        <v>10</v>
      </c>
      <c r="K117" t="s">
        <v>2191</v>
      </c>
      <c r="Q117">
        <v>5</v>
      </c>
      <c r="R117">
        <v>2</v>
      </c>
      <c r="T117" s="5">
        <f t="shared" si="7"/>
        <v>163.26</v>
      </c>
      <c r="U117" t="s">
        <v>1537</v>
      </c>
      <c r="X117" s="7">
        <v>1</v>
      </c>
      <c r="BC117" t="s">
        <v>2251</v>
      </c>
      <c r="BD117" s="7" t="s">
        <v>280</v>
      </c>
      <c r="BE117" t="s">
        <v>70</v>
      </c>
      <c r="BF117" s="1" t="s">
        <v>29</v>
      </c>
      <c r="BG117" s="1">
        <v>2</v>
      </c>
      <c r="BH117">
        <v>1</v>
      </c>
      <c r="BK117" s="1">
        <v>1</v>
      </c>
      <c r="BZ117">
        <v>1</v>
      </c>
      <c r="CN117">
        <v>1</v>
      </c>
      <c r="CS117" s="7" t="s">
        <v>2252</v>
      </c>
      <c r="CT117" t="s">
        <v>3887</v>
      </c>
    </row>
    <row r="118" spans="1:98">
      <c r="B118" t="s">
        <v>3888</v>
      </c>
      <c r="C118" s="2" t="s">
        <v>2708</v>
      </c>
      <c r="D118" s="3" t="s">
        <v>2260</v>
      </c>
      <c r="E118" s="8" t="s">
        <v>238</v>
      </c>
      <c r="F118" s="8" t="s">
        <v>65</v>
      </c>
      <c r="G118" s="1">
        <v>1</v>
      </c>
      <c r="H118" s="1"/>
      <c r="I118" s="1">
        <f>1790-20</f>
        <v>1770</v>
      </c>
      <c r="J118" t="s">
        <v>10</v>
      </c>
      <c r="K118" t="s">
        <v>12</v>
      </c>
      <c r="Q118">
        <v>5</v>
      </c>
      <c r="R118">
        <v>2</v>
      </c>
      <c r="T118" s="5">
        <f t="shared" si="7"/>
        <v>163.26</v>
      </c>
      <c r="U118" t="s">
        <v>1537</v>
      </c>
      <c r="X118" s="7">
        <v>1</v>
      </c>
      <c r="BC118" t="s">
        <v>2261</v>
      </c>
      <c r="BD118" s="7" t="s">
        <v>103</v>
      </c>
      <c r="BE118" t="s">
        <v>70</v>
      </c>
      <c r="BF118" s="1" t="s">
        <v>29</v>
      </c>
      <c r="BG118" s="1">
        <v>2</v>
      </c>
      <c r="BH118">
        <v>1</v>
      </c>
      <c r="BK118" s="1">
        <v>1</v>
      </c>
      <c r="BZ118">
        <v>1</v>
      </c>
      <c r="CS118" s="7" t="s">
        <v>1539</v>
      </c>
      <c r="CT118" t="s">
        <v>3887</v>
      </c>
    </row>
    <row r="119" spans="1:98">
      <c r="B119" t="s">
        <v>2274</v>
      </c>
      <c r="C119" s="2" t="s">
        <v>1427</v>
      </c>
      <c r="D119" s="13" t="s">
        <v>2275</v>
      </c>
      <c r="E119" s="8" t="s">
        <v>238</v>
      </c>
      <c r="F119" s="8" t="s">
        <v>65</v>
      </c>
      <c r="G119" s="1">
        <v>1</v>
      </c>
      <c r="H119" s="1"/>
      <c r="I119" s="1">
        <f>1790-21</f>
        <v>1769</v>
      </c>
      <c r="J119" t="s">
        <v>10</v>
      </c>
      <c r="K119" t="s">
        <v>12</v>
      </c>
      <c r="Q119">
        <v>5</v>
      </c>
      <c r="R119">
        <v>1</v>
      </c>
      <c r="T119" s="5">
        <f t="shared" si="7"/>
        <v>160.63</v>
      </c>
      <c r="U119" t="s">
        <v>2264</v>
      </c>
      <c r="X119" s="14">
        <v>1</v>
      </c>
      <c r="BC119" s="9" t="s">
        <v>2281</v>
      </c>
      <c r="BD119" s="14" t="s">
        <v>338</v>
      </c>
      <c r="BE119" t="s">
        <v>70</v>
      </c>
      <c r="BF119" s="1" t="s">
        <v>339</v>
      </c>
      <c r="BG119" s="1">
        <v>2</v>
      </c>
      <c r="BH119">
        <v>1</v>
      </c>
      <c r="BK119" s="1">
        <v>1</v>
      </c>
      <c r="BZ119">
        <v>1</v>
      </c>
      <c r="CS119" s="14" t="s">
        <v>2283</v>
      </c>
      <c r="CT119" t="s">
        <v>2276</v>
      </c>
    </row>
    <row r="120" spans="1:98">
      <c r="B120" t="s">
        <v>2262</v>
      </c>
      <c r="C120" s="2" t="s">
        <v>2263</v>
      </c>
      <c r="D120" s="3" t="s">
        <v>1536</v>
      </c>
      <c r="E120" s="8" t="s">
        <v>238</v>
      </c>
      <c r="F120" s="8" t="s">
        <v>65</v>
      </c>
      <c r="G120" s="1">
        <v>1</v>
      </c>
      <c r="H120" s="1"/>
      <c r="I120" s="1">
        <f>1790-20</f>
        <v>1770</v>
      </c>
      <c r="J120" t="s">
        <v>10</v>
      </c>
      <c r="K120" t="s">
        <v>12</v>
      </c>
      <c r="Q120">
        <v>5</v>
      </c>
      <c r="R120">
        <v>2</v>
      </c>
      <c r="T120" s="5">
        <f t="shared" si="7"/>
        <v>163.26</v>
      </c>
      <c r="U120" t="s">
        <v>2264</v>
      </c>
      <c r="X120" s="7">
        <v>1</v>
      </c>
      <c r="BC120" t="s">
        <v>2265</v>
      </c>
      <c r="BD120" s="7" t="s">
        <v>103</v>
      </c>
      <c r="BE120" t="s">
        <v>70</v>
      </c>
      <c r="BF120" s="1" t="s">
        <v>29</v>
      </c>
      <c r="BG120" s="1">
        <v>2</v>
      </c>
      <c r="BH120">
        <v>1</v>
      </c>
      <c r="BK120" s="1">
        <v>1</v>
      </c>
      <c r="BZ120">
        <v>1</v>
      </c>
      <c r="CS120" s="7" t="s">
        <v>1539</v>
      </c>
      <c r="CT120" t="s">
        <v>3887</v>
      </c>
    </row>
    <row r="121" spans="1:98">
      <c r="B121" t="s">
        <v>2277</v>
      </c>
      <c r="C121" s="2" t="s">
        <v>191</v>
      </c>
      <c r="D121" s="3" t="s">
        <v>192</v>
      </c>
      <c r="E121" s="8" t="s">
        <v>193</v>
      </c>
      <c r="F121" s="8" t="s">
        <v>65</v>
      </c>
      <c r="G121" s="1">
        <v>1</v>
      </c>
      <c r="H121" s="1"/>
      <c r="I121" s="1">
        <f>1790-20</f>
        <v>1770</v>
      </c>
      <c r="J121" t="s">
        <v>10</v>
      </c>
      <c r="K121" t="s">
        <v>197</v>
      </c>
      <c r="Q121">
        <v>5</v>
      </c>
      <c r="R121">
        <v>1</v>
      </c>
      <c r="S121">
        <v>3</v>
      </c>
      <c r="T121" s="5">
        <f t="shared" si="7"/>
        <v>161.29</v>
      </c>
      <c r="U121" t="s">
        <v>2266</v>
      </c>
      <c r="X121" s="14">
        <v>1</v>
      </c>
      <c r="BC121" s="9" t="s">
        <v>2281</v>
      </c>
      <c r="BD121" s="14" t="s">
        <v>338</v>
      </c>
      <c r="BE121" t="s">
        <v>70</v>
      </c>
      <c r="BF121" s="1" t="s">
        <v>339</v>
      </c>
      <c r="BG121" s="1">
        <v>2</v>
      </c>
      <c r="BH121">
        <v>1</v>
      </c>
      <c r="BK121" s="1">
        <v>1</v>
      </c>
      <c r="BZ121">
        <v>1</v>
      </c>
      <c r="CS121" s="14" t="s">
        <v>2283</v>
      </c>
      <c r="CT121" t="s">
        <v>2276</v>
      </c>
    </row>
    <row r="122" spans="1:98">
      <c r="B122" t="s">
        <v>2278</v>
      </c>
      <c r="C122" s="2" t="s">
        <v>191</v>
      </c>
      <c r="D122" s="3" t="s">
        <v>192</v>
      </c>
      <c r="E122" s="8" t="s">
        <v>193</v>
      </c>
      <c r="F122" s="8" t="s">
        <v>65</v>
      </c>
      <c r="G122" s="1">
        <v>1</v>
      </c>
      <c r="H122" s="1"/>
      <c r="I122" s="1">
        <f>1790-20</f>
        <v>1770</v>
      </c>
      <c r="J122" t="s">
        <v>10</v>
      </c>
      <c r="K122" t="s">
        <v>197</v>
      </c>
      <c r="Q122">
        <v>5</v>
      </c>
      <c r="R122">
        <v>3</v>
      </c>
      <c r="T122" s="5">
        <f t="shared" si="7"/>
        <v>165.89000000000001</v>
      </c>
      <c r="U122" t="s">
        <v>2266</v>
      </c>
      <c r="X122" s="14">
        <v>1</v>
      </c>
      <c r="BC122" s="9" t="s">
        <v>2280</v>
      </c>
      <c r="BD122" s="14" t="s">
        <v>338</v>
      </c>
      <c r="BE122" t="s">
        <v>70</v>
      </c>
      <c r="BF122" s="1" t="s">
        <v>339</v>
      </c>
      <c r="BG122" s="1">
        <v>2</v>
      </c>
      <c r="BH122">
        <v>1</v>
      </c>
      <c r="BK122" s="1">
        <v>1</v>
      </c>
      <c r="BZ122">
        <v>1</v>
      </c>
      <c r="CS122" s="14" t="s">
        <v>2282</v>
      </c>
      <c r="CT122" t="s">
        <v>2258</v>
      </c>
    </row>
    <row r="123" spans="1:98">
      <c r="B123" t="s">
        <v>2267</v>
      </c>
      <c r="C123" s="2" t="s">
        <v>191</v>
      </c>
      <c r="D123" s="3" t="s">
        <v>192</v>
      </c>
      <c r="E123" s="8" t="s">
        <v>193</v>
      </c>
      <c r="F123" s="8" t="s">
        <v>65</v>
      </c>
      <c r="G123" s="1">
        <v>1</v>
      </c>
      <c r="H123" s="1"/>
      <c r="I123" s="1">
        <f>1790-30</f>
        <v>1760</v>
      </c>
      <c r="J123" t="s">
        <v>10</v>
      </c>
      <c r="K123" t="s">
        <v>140</v>
      </c>
      <c r="Q123">
        <v>5</v>
      </c>
      <c r="R123">
        <v>2</v>
      </c>
      <c r="S123">
        <v>1</v>
      </c>
      <c r="T123" s="5">
        <f t="shared" si="7"/>
        <v>163.47999999999999</v>
      </c>
      <c r="U123" t="s">
        <v>2266</v>
      </c>
      <c r="X123" s="7">
        <v>1</v>
      </c>
      <c r="BC123" t="s">
        <v>1994</v>
      </c>
      <c r="BD123" s="7" t="s">
        <v>103</v>
      </c>
      <c r="BE123" t="s">
        <v>70</v>
      </c>
      <c r="BF123" s="1" t="s">
        <v>29</v>
      </c>
      <c r="BG123" s="1">
        <v>2</v>
      </c>
      <c r="BH123">
        <v>1</v>
      </c>
      <c r="BK123" s="1">
        <v>1</v>
      </c>
      <c r="BZ123">
        <v>1</v>
      </c>
      <c r="CS123" s="7" t="s">
        <v>1539</v>
      </c>
      <c r="CT123" t="s">
        <v>3887</v>
      </c>
    </row>
    <row r="124" spans="1:98">
      <c r="B124" t="s">
        <v>2268</v>
      </c>
      <c r="C124" s="2" t="s">
        <v>191</v>
      </c>
      <c r="D124" s="3" t="s">
        <v>192</v>
      </c>
      <c r="E124" s="8" t="s">
        <v>193</v>
      </c>
      <c r="F124" s="8" t="s">
        <v>65</v>
      </c>
      <c r="G124" s="1">
        <v>1</v>
      </c>
      <c r="H124" s="1"/>
      <c r="I124" s="1">
        <f>1790-17</f>
        <v>1773</v>
      </c>
      <c r="J124" t="s">
        <v>10</v>
      </c>
      <c r="K124" t="s">
        <v>197</v>
      </c>
      <c r="Q124">
        <v>5</v>
      </c>
      <c r="R124">
        <v>1</v>
      </c>
      <c r="S124">
        <v>3</v>
      </c>
      <c r="T124" s="5">
        <f t="shared" si="7"/>
        <v>161.29</v>
      </c>
      <c r="U124" t="s">
        <v>2266</v>
      </c>
      <c r="X124" s="7">
        <v>1</v>
      </c>
      <c r="BC124" t="s">
        <v>2261</v>
      </c>
      <c r="BD124" s="7" t="s">
        <v>103</v>
      </c>
      <c r="BE124" t="s">
        <v>70</v>
      </c>
      <c r="BF124" s="1" t="s">
        <v>29</v>
      </c>
      <c r="BG124" s="1">
        <v>2</v>
      </c>
      <c r="BH124">
        <v>1</v>
      </c>
      <c r="BK124" s="1">
        <v>1</v>
      </c>
      <c r="BZ124">
        <v>1</v>
      </c>
      <c r="CS124" s="7" t="s">
        <v>1539</v>
      </c>
      <c r="CT124" t="s">
        <v>3887</v>
      </c>
    </row>
    <row r="125" spans="1:98">
      <c r="A125" t="s">
        <v>72</v>
      </c>
      <c r="B125" t="s">
        <v>4260</v>
      </c>
      <c r="C125" s="15"/>
      <c r="D125" s="3"/>
      <c r="F125" t="s">
        <v>7</v>
      </c>
      <c r="G125" s="1"/>
      <c r="H125" s="1"/>
      <c r="I125" s="1"/>
      <c r="T125" s="5"/>
      <c r="U125" s="9" t="s">
        <v>4259</v>
      </c>
      <c r="X125" s="9">
        <v>1</v>
      </c>
      <c r="BC125">
        <v>1790</v>
      </c>
      <c r="BD125" t="s">
        <v>81</v>
      </c>
      <c r="BE125" s="10" t="s">
        <v>70</v>
      </c>
      <c r="BF125" s="1" t="s">
        <v>73</v>
      </c>
      <c r="BG125" s="1">
        <v>1</v>
      </c>
      <c r="BH125">
        <v>1</v>
      </c>
      <c r="BK125" s="1"/>
      <c r="BZ125">
        <v>1</v>
      </c>
      <c r="CS125" t="s">
        <v>111</v>
      </c>
      <c r="CT125" s="10" t="s">
        <v>4249</v>
      </c>
    </row>
    <row r="126" spans="1:98">
      <c r="B126" t="s">
        <v>1992</v>
      </c>
      <c r="C126" s="2" t="s">
        <v>191</v>
      </c>
      <c r="D126" s="3" t="s">
        <v>192</v>
      </c>
      <c r="E126" s="8" t="s">
        <v>193</v>
      </c>
      <c r="F126" s="8" t="s">
        <v>65</v>
      </c>
      <c r="G126" s="1">
        <v>1</v>
      </c>
      <c r="H126" s="1"/>
      <c r="I126" s="1">
        <f>1790-24</f>
        <v>1766</v>
      </c>
      <c r="J126" t="s">
        <v>10</v>
      </c>
      <c r="K126" t="s">
        <v>197</v>
      </c>
      <c r="Q126">
        <v>5</v>
      </c>
      <c r="R126">
        <v>2</v>
      </c>
      <c r="T126" s="5">
        <f t="shared" si="7"/>
        <v>163.26</v>
      </c>
      <c r="U126" t="s">
        <v>1993</v>
      </c>
      <c r="X126" s="7">
        <v>1</v>
      </c>
      <c r="BC126" s="9" t="s">
        <v>2280</v>
      </c>
      <c r="BD126" s="7" t="s">
        <v>103</v>
      </c>
      <c r="BE126" t="s">
        <v>70</v>
      </c>
      <c r="BF126" s="1" t="s">
        <v>29</v>
      </c>
      <c r="BG126" s="1">
        <v>2</v>
      </c>
      <c r="BH126">
        <v>1</v>
      </c>
      <c r="BK126" s="1">
        <v>1</v>
      </c>
      <c r="BZ126">
        <v>1</v>
      </c>
      <c r="CS126" s="7" t="s">
        <v>1539</v>
      </c>
      <c r="CT126" t="s">
        <v>3887</v>
      </c>
    </row>
    <row r="127" spans="1:98">
      <c r="B127" t="s">
        <v>2287</v>
      </c>
      <c r="C127" s="2" t="s">
        <v>191</v>
      </c>
      <c r="D127" s="3" t="s">
        <v>192</v>
      </c>
      <c r="E127" s="8" t="s">
        <v>193</v>
      </c>
      <c r="F127" s="8" t="s">
        <v>65</v>
      </c>
      <c r="G127" s="1">
        <v>1</v>
      </c>
      <c r="H127" s="1"/>
      <c r="I127" s="1">
        <f>1790-24</f>
        <v>1766</v>
      </c>
      <c r="J127" t="s">
        <v>10</v>
      </c>
      <c r="K127" t="s">
        <v>2290</v>
      </c>
      <c r="T127" s="5"/>
      <c r="U127" t="s">
        <v>2285</v>
      </c>
      <c r="X127" s="14">
        <v>1</v>
      </c>
      <c r="BC127" s="9" t="s">
        <v>2291</v>
      </c>
      <c r="BD127" s="14" t="s">
        <v>338</v>
      </c>
      <c r="BE127" t="s">
        <v>70</v>
      </c>
      <c r="BF127" s="1" t="s">
        <v>339</v>
      </c>
      <c r="BG127" s="1">
        <v>1</v>
      </c>
      <c r="BH127">
        <v>1</v>
      </c>
      <c r="BK127" s="1" t="s">
        <v>72</v>
      </c>
      <c r="BZ127">
        <v>1</v>
      </c>
      <c r="CS127" s="14" t="s">
        <v>2292</v>
      </c>
      <c r="CT127" t="s">
        <v>2258</v>
      </c>
    </row>
    <row r="128" spans="1:98">
      <c r="B128" t="s">
        <v>3933</v>
      </c>
      <c r="C128" s="2" t="s">
        <v>2775</v>
      </c>
      <c r="D128" s="3"/>
      <c r="F128" s="8" t="s">
        <v>65</v>
      </c>
      <c r="G128" s="1">
        <v>1</v>
      </c>
      <c r="H128" s="1"/>
      <c r="I128" s="1">
        <f>1790-28</f>
        <v>1762</v>
      </c>
      <c r="J128" t="s">
        <v>10</v>
      </c>
      <c r="K128" t="s">
        <v>12</v>
      </c>
      <c r="T128" s="5"/>
      <c r="U128" t="s">
        <v>3927</v>
      </c>
      <c r="X128" s="6">
        <v>1</v>
      </c>
      <c r="BC128">
        <v>1790</v>
      </c>
      <c r="BD128" t="s">
        <v>81</v>
      </c>
      <c r="BE128" s="10" t="s">
        <v>70</v>
      </c>
      <c r="BF128" s="1" t="s">
        <v>73</v>
      </c>
      <c r="BG128" s="1">
        <v>2</v>
      </c>
      <c r="BH128">
        <v>1</v>
      </c>
      <c r="BK128" s="1"/>
      <c r="BZ128">
        <v>1</v>
      </c>
      <c r="CS128" t="s">
        <v>111</v>
      </c>
      <c r="CT128" s="10" t="s">
        <v>3934</v>
      </c>
    </row>
    <row r="129" spans="1:98">
      <c r="B129" t="s">
        <v>3928</v>
      </c>
      <c r="C129" s="2" t="s">
        <v>2002</v>
      </c>
      <c r="D129" s="3"/>
      <c r="F129" s="8" t="s">
        <v>65</v>
      </c>
      <c r="G129" s="1">
        <v>1</v>
      </c>
      <c r="H129" s="1"/>
      <c r="I129" s="1">
        <f>1790-18</f>
        <v>1772</v>
      </c>
      <c r="J129" t="s">
        <v>10</v>
      </c>
      <c r="K129" t="s">
        <v>12</v>
      </c>
      <c r="T129" s="5"/>
      <c r="U129" t="s">
        <v>3927</v>
      </c>
      <c r="X129" s="6">
        <v>1</v>
      </c>
      <c r="BC129">
        <v>1790</v>
      </c>
      <c r="BD129" t="s">
        <v>81</v>
      </c>
      <c r="BE129" s="10" t="s">
        <v>70</v>
      </c>
      <c r="BF129" s="1" t="s">
        <v>73</v>
      </c>
      <c r="BG129" s="1">
        <v>2</v>
      </c>
      <c r="BH129">
        <v>1</v>
      </c>
      <c r="BK129" s="1" t="s">
        <v>72</v>
      </c>
      <c r="BZ129">
        <v>1</v>
      </c>
      <c r="CS129" t="s">
        <v>111</v>
      </c>
      <c r="CT129" s="10" t="s">
        <v>3934</v>
      </c>
    </row>
    <row r="130" spans="1:98">
      <c r="B130" t="s">
        <v>2288</v>
      </c>
      <c r="C130" s="8" t="s">
        <v>2289</v>
      </c>
      <c r="D130" s="3"/>
      <c r="F130" s="8" t="s">
        <v>65</v>
      </c>
      <c r="G130" s="1">
        <v>1</v>
      </c>
      <c r="H130" s="1"/>
      <c r="I130" s="1">
        <f>1790-19</f>
        <v>1771</v>
      </c>
      <c r="J130" t="s">
        <v>10</v>
      </c>
      <c r="K130" t="s">
        <v>12</v>
      </c>
      <c r="T130" s="5"/>
      <c r="U130" t="s">
        <v>2286</v>
      </c>
      <c r="X130" s="14">
        <v>1</v>
      </c>
      <c r="BC130" s="9" t="s">
        <v>2291</v>
      </c>
      <c r="BD130" s="14" t="s">
        <v>338</v>
      </c>
      <c r="BE130" t="s">
        <v>70</v>
      </c>
      <c r="BF130" s="1" t="s">
        <v>339</v>
      </c>
      <c r="BG130" s="1">
        <v>1</v>
      </c>
      <c r="BH130">
        <v>1</v>
      </c>
      <c r="BK130" s="1" t="s">
        <v>72</v>
      </c>
      <c r="BZ130">
        <v>1</v>
      </c>
      <c r="CS130" s="14" t="s">
        <v>2292</v>
      </c>
      <c r="CT130" t="s">
        <v>2258</v>
      </c>
    </row>
    <row r="131" spans="1:98">
      <c r="A131" t="s">
        <v>72</v>
      </c>
      <c r="B131" t="s">
        <v>3409</v>
      </c>
      <c r="C131" s="8"/>
      <c r="D131" s="3"/>
      <c r="F131" t="s">
        <v>7</v>
      </c>
      <c r="G131" s="1"/>
      <c r="H131" s="1"/>
      <c r="I131" s="1"/>
      <c r="T131" s="5"/>
      <c r="U131" s="9" t="s">
        <v>3408</v>
      </c>
      <c r="W131" s="9"/>
      <c r="X131" s="7">
        <v>1</v>
      </c>
      <c r="BC131" t="s">
        <v>3411</v>
      </c>
      <c r="BD131" s="7" t="s">
        <v>103</v>
      </c>
      <c r="BE131" t="s">
        <v>70</v>
      </c>
      <c r="BF131" s="1" t="s">
        <v>29</v>
      </c>
      <c r="BG131" s="1">
        <v>1</v>
      </c>
      <c r="BH131">
        <v>1</v>
      </c>
      <c r="BK131" s="1" t="s">
        <v>72</v>
      </c>
      <c r="BZ131">
        <v>1</v>
      </c>
      <c r="CS131" s="7" t="s">
        <v>1539</v>
      </c>
      <c r="CT131" t="s">
        <v>3412</v>
      </c>
    </row>
    <row r="132" spans="1:98">
      <c r="A132" t="s">
        <v>72</v>
      </c>
      <c r="B132" t="s">
        <v>3410</v>
      </c>
      <c r="D132" s="3"/>
      <c r="F132" t="s">
        <v>7</v>
      </c>
      <c r="G132" s="1"/>
      <c r="H132" s="1"/>
      <c r="I132" s="1"/>
      <c r="T132" s="5"/>
      <c r="U132" s="9" t="s">
        <v>3408</v>
      </c>
      <c r="W132" s="9"/>
      <c r="X132" s="7">
        <v>1</v>
      </c>
      <c r="BC132" t="s">
        <v>3411</v>
      </c>
      <c r="BD132" s="7" t="s">
        <v>103</v>
      </c>
      <c r="BE132" t="s">
        <v>70</v>
      </c>
      <c r="BF132" s="1" t="s">
        <v>29</v>
      </c>
      <c r="BG132" s="1">
        <v>1</v>
      </c>
      <c r="BH132">
        <v>1</v>
      </c>
      <c r="BK132" s="1" t="s">
        <v>72</v>
      </c>
      <c r="BZ132">
        <v>1</v>
      </c>
      <c r="CS132" s="7" t="s">
        <v>1539</v>
      </c>
      <c r="CT132" t="s">
        <v>3412</v>
      </c>
    </row>
    <row r="133" spans="1:98">
      <c r="A133" t="s">
        <v>72</v>
      </c>
      <c r="B133" t="s">
        <v>3910</v>
      </c>
      <c r="D133" s="3"/>
      <c r="F133" t="s">
        <v>7</v>
      </c>
      <c r="G133" s="1"/>
      <c r="H133" s="1"/>
      <c r="I133" s="1"/>
      <c r="T133" s="5"/>
      <c r="U133" s="9" t="s">
        <v>101</v>
      </c>
      <c r="X133" s="9">
        <v>1</v>
      </c>
      <c r="BC133">
        <v>1790</v>
      </c>
      <c r="BD133" t="s">
        <v>81</v>
      </c>
      <c r="BE133" s="10" t="s">
        <v>70</v>
      </c>
      <c r="BF133" s="1" t="s">
        <v>73</v>
      </c>
      <c r="BG133" s="1">
        <v>2</v>
      </c>
      <c r="BH133">
        <v>1</v>
      </c>
      <c r="BK133" s="1"/>
      <c r="BZ133">
        <v>1</v>
      </c>
      <c r="CS133" t="s">
        <v>111</v>
      </c>
      <c r="CT133" s="10" t="s">
        <v>3890</v>
      </c>
    </row>
    <row r="134" spans="1:98">
      <c r="B134" t="s">
        <v>3538</v>
      </c>
      <c r="C134" s="2" t="s">
        <v>1624</v>
      </c>
      <c r="D134" s="2" t="s">
        <v>1624</v>
      </c>
      <c r="F134" s="8" t="s">
        <v>65</v>
      </c>
      <c r="G134" s="1">
        <v>1</v>
      </c>
      <c r="H134" s="1"/>
      <c r="I134" s="1">
        <f>1790-24</f>
        <v>1766</v>
      </c>
      <c r="J134" t="s">
        <v>10</v>
      </c>
      <c r="K134" t="s">
        <v>12</v>
      </c>
      <c r="T134" s="5"/>
      <c r="U134" s="9" t="s">
        <v>101</v>
      </c>
      <c r="X134" s="9">
        <v>1</v>
      </c>
      <c r="BC134">
        <v>1790</v>
      </c>
      <c r="BD134" t="s">
        <v>81</v>
      </c>
      <c r="BE134" s="10" t="s">
        <v>70</v>
      </c>
      <c r="BF134" s="1" t="s">
        <v>73</v>
      </c>
      <c r="BG134" s="1">
        <v>2</v>
      </c>
      <c r="BH134">
        <v>1</v>
      </c>
      <c r="BK134" s="1"/>
      <c r="BZ134">
        <v>1</v>
      </c>
      <c r="CS134" t="s">
        <v>111</v>
      </c>
      <c r="CT134" s="10" t="s">
        <v>3535</v>
      </c>
    </row>
    <row r="135" spans="1:98">
      <c r="A135" t="s">
        <v>72</v>
      </c>
      <c r="B135" t="s">
        <v>3935</v>
      </c>
      <c r="C135" s="2"/>
      <c r="D135" s="2"/>
      <c r="F135" s="8" t="s">
        <v>7</v>
      </c>
      <c r="G135" s="1"/>
      <c r="H135" s="1"/>
      <c r="I135" s="1"/>
      <c r="T135" s="5"/>
      <c r="U135" s="9" t="s">
        <v>101</v>
      </c>
      <c r="X135" s="9">
        <v>1</v>
      </c>
      <c r="BC135">
        <v>1790</v>
      </c>
      <c r="BD135" t="s">
        <v>81</v>
      </c>
      <c r="BE135" s="10" t="s">
        <v>70</v>
      </c>
      <c r="BF135" s="1" t="s">
        <v>73</v>
      </c>
      <c r="BG135" s="1">
        <v>1</v>
      </c>
      <c r="BH135">
        <v>1</v>
      </c>
      <c r="BK135" s="1"/>
      <c r="BZ135">
        <v>1</v>
      </c>
      <c r="CS135" t="s">
        <v>111</v>
      </c>
      <c r="CT135" s="10" t="s">
        <v>3934</v>
      </c>
    </row>
    <row r="136" spans="1:98">
      <c r="A136" t="s">
        <v>72</v>
      </c>
      <c r="B136" t="s">
        <v>3857</v>
      </c>
      <c r="C136" s="2"/>
      <c r="D136" s="2"/>
      <c r="F136" t="s">
        <v>7</v>
      </c>
      <c r="G136" s="1"/>
      <c r="H136" s="1"/>
      <c r="I136" s="1"/>
      <c r="T136" s="5"/>
      <c r="U136" s="9" t="s">
        <v>101</v>
      </c>
      <c r="X136" s="9">
        <v>1</v>
      </c>
      <c r="BC136" t="s">
        <v>3860</v>
      </c>
      <c r="BD136" s="7" t="s">
        <v>103</v>
      </c>
      <c r="BE136" t="s">
        <v>70</v>
      </c>
      <c r="BF136" s="1" t="s">
        <v>73</v>
      </c>
      <c r="BG136" s="1">
        <v>1</v>
      </c>
      <c r="BH136">
        <v>1</v>
      </c>
      <c r="BK136" s="1"/>
      <c r="BZ136">
        <v>1</v>
      </c>
      <c r="CS136" s="7" t="s">
        <v>3911</v>
      </c>
      <c r="CT136" t="s">
        <v>3861</v>
      </c>
    </row>
    <row r="137" spans="1:98">
      <c r="A137" t="s">
        <v>72</v>
      </c>
      <c r="B137" t="s">
        <v>3858</v>
      </c>
      <c r="C137" s="2"/>
      <c r="D137" s="2"/>
      <c r="F137" t="s">
        <v>7</v>
      </c>
      <c r="G137" s="1"/>
      <c r="H137" s="1"/>
      <c r="I137" s="1"/>
      <c r="T137" s="5"/>
      <c r="U137" s="9" t="s">
        <v>101</v>
      </c>
      <c r="X137" s="9">
        <v>1</v>
      </c>
      <c r="BC137">
        <v>1790</v>
      </c>
      <c r="BD137" t="s">
        <v>81</v>
      </c>
      <c r="BE137" s="10" t="s">
        <v>70</v>
      </c>
      <c r="BF137" s="1" t="s">
        <v>73</v>
      </c>
      <c r="BG137" s="1">
        <v>1</v>
      </c>
      <c r="BH137">
        <v>1</v>
      </c>
      <c r="BK137" s="1"/>
      <c r="BZ137">
        <v>1</v>
      </c>
      <c r="CS137" t="s">
        <v>111</v>
      </c>
      <c r="CT137" s="10" t="s">
        <v>3861</v>
      </c>
    </row>
    <row r="138" spans="1:98">
      <c r="A138" t="s">
        <v>72</v>
      </c>
      <c r="B138" t="s">
        <v>3930</v>
      </c>
      <c r="C138" s="2"/>
      <c r="D138" s="2"/>
      <c r="F138" t="s">
        <v>7</v>
      </c>
      <c r="G138" s="1"/>
      <c r="H138" s="1"/>
      <c r="I138" s="1"/>
      <c r="T138" s="5"/>
      <c r="U138" s="9" t="s">
        <v>101</v>
      </c>
      <c r="X138" s="9">
        <v>1</v>
      </c>
      <c r="BC138" t="s">
        <v>3931</v>
      </c>
      <c r="BD138" s="7" t="s">
        <v>280</v>
      </c>
      <c r="BE138" t="s">
        <v>70</v>
      </c>
      <c r="BF138" s="1" t="s">
        <v>29</v>
      </c>
      <c r="BG138" s="1">
        <v>1</v>
      </c>
      <c r="BH138">
        <v>1</v>
      </c>
      <c r="BK138" s="1"/>
      <c r="BZ138">
        <v>1</v>
      </c>
      <c r="CN138">
        <v>1</v>
      </c>
      <c r="CS138" s="7" t="s">
        <v>3932</v>
      </c>
      <c r="CT138" t="s">
        <v>3934</v>
      </c>
    </row>
    <row r="139" spans="1:98">
      <c r="B139" t="s">
        <v>3929</v>
      </c>
      <c r="C139" s="2" t="s">
        <v>3023</v>
      </c>
      <c r="D139" s="15"/>
      <c r="F139" s="8" t="s">
        <v>65</v>
      </c>
      <c r="G139" s="1">
        <v>1</v>
      </c>
      <c r="H139" s="1"/>
      <c r="I139" s="1">
        <f>1790-26</f>
        <v>1764</v>
      </c>
      <c r="J139" t="s">
        <v>10</v>
      </c>
      <c r="K139" t="s">
        <v>12</v>
      </c>
      <c r="T139" s="5"/>
      <c r="U139" s="9" t="s">
        <v>101</v>
      </c>
      <c r="X139" s="9">
        <v>1</v>
      </c>
      <c r="BC139">
        <v>1790</v>
      </c>
      <c r="BD139" t="s">
        <v>81</v>
      </c>
      <c r="BE139" s="10" t="s">
        <v>70</v>
      </c>
      <c r="BF139" s="1" t="s">
        <v>73</v>
      </c>
      <c r="BG139" s="1">
        <v>2</v>
      </c>
      <c r="BH139">
        <v>1</v>
      </c>
      <c r="BK139" s="1"/>
      <c r="BZ139">
        <v>1</v>
      </c>
      <c r="CS139" t="s">
        <v>111</v>
      </c>
      <c r="CT139" s="10" t="s">
        <v>3934</v>
      </c>
    </row>
    <row r="140" spans="1:98">
      <c r="A140" t="s">
        <v>72</v>
      </c>
      <c r="B140" t="s">
        <v>3859</v>
      </c>
      <c r="C140" s="2"/>
      <c r="D140" s="2"/>
      <c r="F140" t="s">
        <v>7</v>
      </c>
      <c r="G140" s="1"/>
      <c r="H140" s="1"/>
      <c r="I140" s="1"/>
      <c r="T140" s="5"/>
      <c r="U140" s="9" t="s">
        <v>101</v>
      </c>
      <c r="W140" s="9"/>
      <c r="X140" s="7">
        <v>1</v>
      </c>
      <c r="BC140">
        <v>1790</v>
      </c>
      <c r="BD140" t="s">
        <v>81</v>
      </c>
      <c r="BE140" s="10" t="s">
        <v>70</v>
      </c>
      <c r="BF140" s="1" t="s">
        <v>73</v>
      </c>
      <c r="BG140" s="1">
        <v>1</v>
      </c>
      <c r="BH140">
        <v>1</v>
      </c>
      <c r="BK140" s="1"/>
      <c r="BZ140">
        <v>1</v>
      </c>
      <c r="CS140" t="s">
        <v>111</v>
      </c>
      <c r="CT140" s="10" t="s">
        <v>3861</v>
      </c>
    </row>
    <row r="141" spans="1:98">
      <c r="B141" t="s">
        <v>3539</v>
      </c>
      <c r="C141" s="2" t="s">
        <v>3540</v>
      </c>
      <c r="D141" s="2" t="s">
        <v>3540</v>
      </c>
      <c r="F141" s="8" t="s">
        <v>65</v>
      </c>
      <c r="G141" s="1">
        <v>1</v>
      </c>
      <c r="H141" s="1"/>
      <c r="I141" s="1">
        <f>1790-19</f>
        <v>1771</v>
      </c>
      <c r="J141" t="s">
        <v>10</v>
      </c>
      <c r="K141" t="s">
        <v>12</v>
      </c>
      <c r="T141" s="5"/>
      <c r="U141" s="9" t="s">
        <v>101</v>
      </c>
      <c r="X141" s="9">
        <v>1</v>
      </c>
      <c r="BC141">
        <v>1790</v>
      </c>
      <c r="BD141" t="s">
        <v>81</v>
      </c>
      <c r="BE141" s="10" t="s">
        <v>70</v>
      </c>
      <c r="BF141" s="1" t="s">
        <v>73</v>
      </c>
      <c r="BG141" s="1">
        <v>2</v>
      </c>
      <c r="BH141">
        <v>1</v>
      </c>
      <c r="BK141" s="1"/>
      <c r="BZ141">
        <v>1</v>
      </c>
      <c r="CS141" t="s">
        <v>111</v>
      </c>
      <c r="CT141" s="10" t="s">
        <v>3535</v>
      </c>
    </row>
    <row r="142" spans="1:98">
      <c r="B142" t="s">
        <v>3912</v>
      </c>
      <c r="C142" s="2" t="s">
        <v>1083</v>
      </c>
      <c r="D142" s="2"/>
      <c r="F142" s="8" t="s">
        <v>65</v>
      </c>
      <c r="G142" s="1">
        <v>1</v>
      </c>
      <c r="H142" s="1"/>
      <c r="I142" s="1">
        <f>1789-26</f>
        <v>1763</v>
      </c>
      <c r="J142" t="s">
        <v>69</v>
      </c>
      <c r="K142" t="s">
        <v>12</v>
      </c>
      <c r="T142" s="5"/>
      <c r="U142" s="9" t="s">
        <v>101</v>
      </c>
      <c r="X142" s="9">
        <v>1</v>
      </c>
      <c r="BC142">
        <v>1790</v>
      </c>
      <c r="BD142" t="s">
        <v>81</v>
      </c>
      <c r="BE142" s="10" t="s">
        <v>70</v>
      </c>
      <c r="BF142" s="1" t="s">
        <v>73</v>
      </c>
      <c r="BG142" s="1">
        <v>2</v>
      </c>
      <c r="BH142">
        <v>1</v>
      </c>
      <c r="BK142" s="1"/>
      <c r="BZ142">
        <v>1</v>
      </c>
      <c r="CS142" t="s">
        <v>111</v>
      </c>
      <c r="CT142" s="10" t="s">
        <v>3890</v>
      </c>
    </row>
    <row r="143" spans="1:98">
      <c r="A143" t="s">
        <v>72</v>
      </c>
      <c r="B143" t="s">
        <v>100</v>
      </c>
      <c r="F143" t="s">
        <v>7</v>
      </c>
      <c r="G143" s="1"/>
      <c r="H143" s="1"/>
      <c r="I143" s="1"/>
      <c r="T143" s="5"/>
      <c r="U143" s="9" t="s">
        <v>101</v>
      </c>
      <c r="X143" s="9">
        <v>1</v>
      </c>
      <c r="BC143" t="s">
        <v>102</v>
      </c>
      <c r="BD143" s="7" t="s">
        <v>103</v>
      </c>
      <c r="BE143" s="10" t="s">
        <v>70</v>
      </c>
      <c r="BF143" s="1" t="s">
        <v>29</v>
      </c>
      <c r="BG143" s="1">
        <v>1</v>
      </c>
      <c r="BH143">
        <v>1</v>
      </c>
      <c r="BK143" s="1">
        <v>1</v>
      </c>
      <c r="BZ143">
        <v>1</v>
      </c>
      <c r="CS143" s="7" t="s">
        <v>1539</v>
      </c>
      <c r="CT143" s="10" t="s">
        <v>82</v>
      </c>
    </row>
    <row r="144" spans="1:98">
      <c r="B144" t="s">
        <v>2353</v>
      </c>
      <c r="C144" s="8" t="s">
        <v>3746</v>
      </c>
      <c r="F144" s="8" t="s">
        <v>65</v>
      </c>
      <c r="G144" s="1">
        <v>1</v>
      </c>
      <c r="H144" s="1"/>
      <c r="I144" s="1">
        <f>1791-46</f>
        <v>1745</v>
      </c>
      <c r="J144" t="s">
        <v>69</v>
      </c>
      <c r="K144" t="s">
        <v>12</v>
      </c>
      <c r="T144" s="5"/>
      <c r="U144" s="9" t="s">
        <v>3745</v>
      </c>
      <c r="X144" s="9">
        <v>1</v>
      </c>
      <c r="Y144" s="6">
        <v>1</v>
      </c>
      <c r="BC144">
        <v>1791</v>
      </c>
      <c r="BD144" t="s">
        <v>81</v>
      </c>
      <c r="BE144" s="10" t="s">
        <v>70</v>
      </c>
      <c r="BF144" s="1" t="s">
        <v>73</v>
      </c>
      <c r="BG144" s="1">
        <v>3</v>
      </c>
      <c r="BH144">
        <v>1</v>
      </c>
      <c r="BK144" s="1"/>
      <c r="BZ144">
        <v>1</v>
      </c>
      <c r="CS144" t="s">
        <v>111</v>
      </c>
      <c r="CT144" t="s">
        <v>3747</v>
      </c>
    </row>
    <row r="145" spans="1:98">
      <c r="B145" t="s">
        <v>2458</v>
      </c>
      <c r="C145" s="2" t="s">
        <v>2459</v>
      </c>
      <c r="D145" s="2" t="s">
        <v>2460</v>
      </c>
      <c r="E145" s="8" t="s">
        <v>571</v>
      </c>
      <c r="F145" s="8" t="s">
        <v>218</v>
      </c>
      <c r="G145" s="1">
        <v>1</v>
      </c>
      <c r="H145" s="1"/>
      <c r="I145" s="1">
        <f>1790-20</f>
        <v>1770</v>
      </c>
      <c r="J145" t="s">
        <v>10</v>
      </c>
      <c r="K145" t="s">
        <v>12</v>
      </c>
      <c r="Q145">
        <v>5</v>
      </c>
      <c r="R145">
        <v>3</v>
      </c>
      <c r="S145">
        <v>2</v>
      </c>
      <c r="T145" s="5">
        <f t="shared" si="7"/>
        <v>166.33</v>
      </c>
      <c r="U145" t="s">
        <v>2457</v>
      </c>
      <c r="X145" s="6">
        <v>1</v>
      </c>
      <c r="Y145" s="7">
        <v>1</v>
      </c>
      <c r="BC145" t="s">
        <v>2461</v>
      </c>
      <c r="BD145" s="7" t="s">
        <v>103</v>
      </c>
      <c r="BE145" t="s">
        <v>1202</v>
      </c>
      <c r="BF145" s="1" t="s">
        <v>29</v>
      </c>
      <c r="BG145" s="1">
        <v>4</v>
      </c>
      <c r="BH145">
        <v>1</v>
      </c>
      <c r="BK145" s="1">
        <v>1</v>
      </c>
      <c r="BQ145">
        <v>1</v>
      </c>
      <c r="CS145" s="7" t="s">
        <v>1539</v>
      </c>
    </row>
    <row r="146" spans="1:98">
      <c r="A146" t="s">
        <v>72</v>
      </c>
      <c r="B146" t="s">
        <v>4265</v>
      </c>
      <c r="C146" s="15"/>
      <c r="D146" s="15"/>
      <c r="F146" t="s">
        <v>7</v>
      </c>
      <c r="G146" s="1"/>
      <c r="H146" s="1"/>
      <c r="I146" s="1"/>
      <c r="T146" s="5"/>
      <c r="U146" s="9" t="s">
        <v>4264</v>
      </c>
      <c r="X146" s="9">
        <v>1</v>
      </c>
      <c r="BC146">
        <v>1790</v>
      </c>
      <c r="BD146" t="s">
        <v>81</v>
      </c>
      <c r="BE146" s="10" t="s">
        <v>70</v>
      </c>
      <c r="BF146" s="1" t="s">
        <v>73</v>
      </c>
      <c r="BG146" s="1">
        <v>1</v>
      </c>
      <c r="BH146">
        <v>1</v>
      </c>
      <c r="BK146" s="1"/>
      <c r="BZ146">
        <v>1</v>
      </c>
      <c r="CS146" t="s">
        <v>111</v>
      </c>
      <c r="CT146" s="10" t="s">
        <v>4249</v>
      </c>
    </row>
    <row r="147" spans="1:98">
      <c r="B147" t="s">
        <v>2393</v>
      </c>
      <c r="C147" s="2" t="s">
        <v>2394</v>
      </c>
      <c r="D147" s="2" t="s">
        <v>2394</v>
      </c>
      <c r="E147" s="8" t="s">
        <v>571</v>
      </c>
      <c r="F147" s="8" t="s">
        <v>218</v>
      </c>
      <c r="G147" s="1">
        <v>1</v>
      </c>
      <c r="H147" s="1"/>
      <c r="I147" s="1">
        <f>1791-20</f>
        <v>1771</v>
      </c>
      <c r="J147" t="s">
        <v>10</v>
      </c>
      <c r="K147" t="s">
        <v>1549</v>
      </c>
      <c r="Q147">
        <v>5</v>
      </c>
      <c r="R147">
        <v>2</v>
      </c>
      <c r="S147">
        <v>1</v>
      </c>
      <c r="T147" s="5">
        <f t="shared" si="7"/>
        <v>163.47999999999999</v>
      </c>
      <c r="U147" t="s">
        <v>2392</v>
      </c>
      <c r="X147" s="6">
        <v>1</v>
      </c>
      <c r="Y147" s="6">
        <v>1</v>
      </c>
      <c r="Z147" s="7">
        <v>1</v>
      </c>
      <c r="BC147" t="s">
        <v>2395</v>
      </c>
      <c r="BD147" s="7" t="s">
        <v>103</v>
      </c>
      <c r="BE147" t="s">
        <v>1202</v>
      </c>
      <c r="BF147" s="1" t="s">
        <v>29</v>
      </c>
      <c r="BG147" s="1">
        <v>6</v>
      </c>
      <c r="BH147">
        <v>1</v>
      </c>
      <c r="BK147" s="1">
        <v>1</v>
      </c>
      <c r="BQ147">
        <v>1</v>
      </c>
      <c r="CS147" s="7" t="s">
        <v>277</v>
      </c>
    </row>
    <row r="148" spans="1:98">
      <c r="A148" t="s">
        <v>72</v>
      </c>
      <c r="B148" t="s">
        <v>3028</v>
      </c>
      <c r="C148" s="15"/>
      <c r="D148" s="15"/>
      <c r="F148" t="s">
        <v>7</v>
      </c>
      <c r="G148" s="1"/>
      <c r="H148" s="1"/>
      <c r="I148" s="1"/>
      <c r="T148" s="5"/>
      <c r="U148" s="9" t="s">
        <v>101</v>
      </c>
      <c r="X148" s="14">
        <v>1</v>
      </c>
      <c r="BC148" s="9" t="s">
        <v>3985</v>
      </c>
      <c r="BD148" s="14" t="s">
        <v>338</v>
      </c>
      <c r="BE148" s="10" t="s">
        <v>70</v>
      </c>
      <c r="BF148" s="1" t="s">
        <v>339</v>
      </c>
      <c r="BG148" s="1">
        <v>2</v>
      </c>
      <c r="BH148">
        <v>1</v>
      </c>
      <c r="BK148" s="1"/>
      <c r="BZ148">
        <v>1</v>
      </c>
      <c r="CS148" s="14" t="s">
        <v>3030</v>
      </c>
      <c r="CT148" t="s">
        <v>3986</v>
      </c>
    </row>
    <row r="149" spans="1:98">
      <c r="A149" t="s">
        <v>72</v>
      </c>
      <c r="B149" t="s">
        <v>3029</v>
      </c>
      <c r="C149" s="15"/>
      <c r="D149" s="15"/>
      <c r="F149" t="s">
        <v>7</v>
      </c>
      <c r="G149" s="1"/>
      <c r="H149" s="1"/>
      <c r="I149" s="1"/>
      <c r="T149" s="5"/>
      <c r="U149" s="9" t="s">
        <v>101</v>
      </c>
      <c r="X149" s="14">
        <v>1</v>
      </c>
      <c r="BC149" s="9" t="s">
        <v>3985</v>
      </c>
      <c r="BD149" s="14" t="s">
        <v>338</v>
      </c>
      <c r="BE149" s="10" t="s">
        <v>70</v>
      </c>
      <c r="BF149" s="1" t="s">
        <v>339</v>
      </c>
      <c r="BG149" s="1">
        <v>2</v>
      </c>
      <c r="BH149">
        <v>1</v>
      </c>
      <c r="BK149" s="1"/>
      <c r="BZ149">
        <v>1</v>
      </c>
      <c r="CS149" s="14" t="s">
        <v>3030</v>
      </c>
      <c r="CT149" t="s">
        <v>3986</v>
      </c>
    </row>
    <row r="150" spans="1:98">
      <c r="A150" t="s">
        <v>72</v>
      </c>
      <c r="B150" t="s">
        <v>3734</v>
      </c>
      <c r="C150" s="15"/>
      <c r="D150" s="15"/>
      <c r="F150" t="s">
        <v>7</v>
      </c>
      <c r="G150" s="1"/>
      <c r="H150" s="1"/>
      <c r="I150" s="1"/>
      <c r="T150" s="5"/>
      <c r="U150" s="9" t="s">
        <v>3733</v>
      </c>
      <c r="W150" s="9"/>
      <c r="X150" s="6">
        <v>1</v>
      </c>
      <c r="BC150">
        <v>1790</v>
      </c>
      <c r="BD150" t="s">
        <v>81</v>
      </c>
      <c r="BE150" s="10" t="s">
        <v>70</v>
      </c>
      <c r="BF150" s="1" t="s">
        <v>73</v>
      </c>
      <c r="BG150" s="1">
        <v>1</v>
      </c>
      <c r="BH150">
        <v>1</v>
      </c>
      <c r="BK150" s="1"/>
      <c r="BZ150">
        <v>1</v>
      </c>
      <c r="CS150" t="s">
        <v>111</v>
      </c>
      <c r="CT150" s="10" t="s">
        <v>3735</v>
      </c>
    </row>
    <row r="151" spans="1:98">
      <c r="A151" t="s">
        <v>72</v>
      </c>
      <c r="B151" t="s">
        <v>3130</v>
      </c>
      <c r="C151" s="15"/>
      <c r="D151" s="15"/>
      <c r="F151" t="s">
        <v>7</v>
      </c>
      <c r="G151" s="1"/>
      <c r="H151" s="1"/>
      <c r="I151" s="1"/>
      <c r="T151" s="5"/>
      <c r="U151" s="9" t="s">
        <v>2281</v>
      </c>
      <c r="W151" s="9"/>
      <c r="X151" s="7">
        <v>1</v>
      </c>
      <c r="BC151" s="4" t="s">
        <v>3134</v>
      </c>
      <c r="BD151" s="7" t="s">
        <v>103</v>
      </c>
      <c r="BE151" t="s">
        <v>70</v>
      </c>
      <c r="BF151" s="1" t="s">
        <v>29</v>
      </c>
      <c r="BG151" s="1">
        <v>1</v>
      </c>
      <c r="BH151">
        <v>1</v>
      </c>
      <c r="BK151" s="1" t="s">
        <v>72</v>
      </c>
      <c r="BZ151">
        <v>1</v>
      </c>
      <c r="CS151" s="7" t="s">
        <v>1539</v>
      </c>
      <c r="CT151" t="s">
        <v>3135</v>
      </c>
    </row>
    <row r="152" spans="1:98">
      <c r="A152" t="s">
        <v>72</v>
      </c>
      <c r="B152" t="s">
        <v>3131</v>
      </c>
      <c r="C152" s="15"/>
      <c r="D152" s="15"/>
      <c r="F152" t="s">
        <v>7</v>
      </c>
      <c r="G152" s="1"/>
      <c r="H152" s="1"/>
      <c r="I152" s="1"/>
      <c r="T152" s="5"/>
      <c r="U152" s="9" t="s">
        <v>2281</v>
      </c>
      <c r="W152" s="9"/>
      <c r="X152" s="7">
        <v>1</v>
      </c>
      <c r="BC152" s="4" t="s">
        <v>3134</v>
      </c>
      <c r="BD152" s="7" t="s">
        <v>103</v>
      </c>
      <c r="BE152" t="s">
        <v>70</v>
      </c>
      <c r="BF152" s="1" t="s">
        <v>29</v>
      </c>
      <c r="BG152" s="1">
        <v>1</v>
      </c>
      <c r="BH152">
        <v>1</v>
      </c>
      <c r="BK152" s="1" t="s">
        <v>72</v>
      </c>
      <c r="BZ152">
        <v>1</v>
      </c>
      <c r="CS152" s="7" t="s">
        <v>1539</v>
      </c>
      <c r="CT152" t="s">
        <v>3135</v>
      </c>
    </row>
    <row r="153" spans="1:98">
      <c r="A153" t="s">
        <v>72</v>
      </c>
      <c r="B153" t="s">
        <v>3132</v>
      </c>
      <c r="C153" s="15"/>
      <c r="D153" s="15"/>
      <c r="F153" t="s">
        <v>7</v>
      </c>
      <c r="G153" s="1"/>
      <c r="H153" s="1"/>
      <c r="I153" s="1"/>
      <c r="T153" s="5"/>
      <c r="U153" s="9" t="s">
        <v>2281</v>
      </c>
      <c r="W153" s="9"/>
      <c r="X153" s="7">
        <v>1</v>
      </c>
      <c r="BC153" s="4" t="s">
        <v>3134</v>
      </c>
      <c r="BD153" s="7" t="s">
        <v>103</v>
      </c>
      <c r="BE153" t="s">
        <v>70</v>
      </c>
      <c r="BF153" s="1" t="s">
        <v>29</v>
      </c>
      <c r="BG153" s="1">
        <v>1</v>
      </c>
      <c r="BH153">
        <v>1</v>
      </c>
      <c r="BK153" s="1" t="s">
        <v>72</v>
      </c>
      <c r="BZ153">
        <v>1</v>
      </c>
      <c r="CS153" s="7" t="s">
        <v>1539</v>
      </c>
      <c r="CT153" t="s">
        <v>3135</v>
      </c>
    </row>
    <row r="154" spans="1:98">
      <c r="A154" t="s">
        <v>72</v>
      </c>
      <c r="B154" t="s">
        <v>3133</v>
      </c>
      <c r="C154" s="15"/>
      <c r="D154" s="15"/>
      <c r="F154" t="s">
        <v>7</v>
      </c>
      <c r="G154" s="1"/>
      <c r="H154" s="1"/>
      <c r="I154" s="1"/>
      <c r="T154" s="5"/>
      <c r="U154" s="9" t="s">
        <v>2281</v>
      </c>
      <c r="W154" s="9"/>
      <c r="X154" s="7">
        <v>1</v>
      </c>
      <c r="BC154" s="4" t="s">
        <v>3134</v>
      </c>
      <c r="BD154" s="7" t="s">
        <v>103</v>
      </c>
      <c r="BE154" t="s">
        <v>70</v>
      </c>
      <c r="BF154" s="1" t="s">
        <v>29</v>
      </c>
      <c r="BG154" s="1">
        <v>1</v>
      </c>
      <c r="BH154">
        <v>1</v>
      </c>
      <c r="BK154" s="1" t="s">
        <v>72</v>
      </c>
      <c r="BZ154">
        <v>1</v>
      </c>
      <c r="CS154" s="7" t="s">
        <v>1539</v>
      </c>
      <c r="CT154" t="s">
        <v>3135</v>
      </c>
    </row>
    <row r="155" spans="1:98">
      <c r="B155" t="s">
        <v>3302</v>
      </c>
      <c r="C155" s="2" t="s">
        <v>1305</v>
      </c>
      <c r="D155" s="15"/>
      <c r="F155" s="8" t="s">
        <v>65</v>
      </c>
      <c r="G155" s="1">
        <v>1</v>
      </c>
      <c r="H155" s="1"/>
      <c r="I155" s="1">
        <f>1790-22</f>
        <v>1768</v>
      </c>
      <c r="J155" t="s">
        <v>10</v>
      </c>
      <c r="K155" t="s">
        <v>12</v>
      </c>
      <c r="T155" s="5"/>
      <c r="U155" s="9" t="s">
        <v>2281</v>
      </c>
      <c r="X155" s="9">
        <v>1</v>
      </c>
      <c r="BC155" s="4">
        <v>1790</v>
      </c>
      <c r="BD155" t="s">
        <v>81</v>
      </c>
      <c r="BE155" s="10" t="s">
        <v>70</v>
      </c>
      <c r="BF155" s="1" t="s">
        <v>73</v>
      </c>
      <c r="BG155" s="1">
        <v>2</v>
      </c>
      <c r="BH155">
        <v>1</v>
      </c>
      <c r="BK155" s="1"/>
      <c r="BZ155">
        <v>1</v>
      </c>
      <c r="CS155" t="s">
        <v>111</v>
      </c>
      <c r="CT155" s="10" t="s">
        <v>3303</v>
      </c>
    </row>
    <row r="156" spans="1:98">
      <c r="B156" t="s">
        <v>3304</v>
      </c>
      <c r="C156" s="8" t="s">
        <v>3307</v>
      </c>
      <c r="D156" s="15"/>
      <c r="F156" s="8" t="s">
        <v>65</v>
      </c>
      <c r="G156" s="1">
        <v>1</v>
      </c>
      <c r="H156" s="1"/>
      <c r="I156" s="1">
        <f>1791-25</f>
        <v>1766</v>
      </c>
      <c r="J156" t="s">
        <v>10</v>
      </c>
      <c r="K156" t="s">
        <v>12</v>
      </c>
      <c r="T156" s="5"/>
      <c r="U156" s="9" t="s">
        <v>2281</v>
      </c>
      <c r="X156" s="9">
        <v>1</v>
      </c>
      <c r="Y156" s="6">
        <v>1</v>
      </c>
      <c r="BC156" s="4">
        <v>1791</v>
      </c>
      <c r="BD156" t="s">
        <v>81</v>
      </c>
      <c r="BE156" s="10" t="s">
        <v>70</v>
      </c>
      <c r="BF156" s="1" t="s">
        <v>73</v>
      </c>
      <c r="BG156" s="1">
        <v>2</v>
      </c>
      <c r="BH156">
        <v>1</v>
      </c>
      <c r="BK156" s="1"/>
      <c r="BZ156">
        <v>1</v>
      </c>
      <c r="CS156" t="s">
        <v>111</v>
      </c>
      <c r="CT156" s="10" t="s">
        <v>3303</v>
      </c>
    </row>
    <row r="157" spans="1:98">
      <c r="B157" t="s">
        <v>3305</v>
      </c>
      <c r="C157" s="8" t="s">
        <v>3306</v>
      </c>
      <c r="D157" s="15"/>
      <c r="F157" s="8" t="s">
        <v>65</v>
      </c>
      <c r="G157" s="1">
        <v>1</v>
      </c>
      <c r="H157" s="1"/>
      <c r="I157" s="1">
        <f>1791-37</f>
        <v>1754</v>
      </c>
      <c r="J157" t="s">
        <v>69</v>
      </c>
      <c r="K157" t="s">
        <v>12</v>
      </c>
      <c r="T157" s="5"/>
      <c r="U157" s="9" t="s">
        <v>2281</v>
      </c>
      <c r="X157" s="9">
        <v>1</v>
      </c>
      <c r="Y157" s="6">
        <v>1</v>
      </c>
      <c r="BC157" s="4">
        <v>1791</v>
      </c>
      <c r="BD157" t="s">
        <v>81</v>
      </c>
      <c r="BE157" s="10" t="s">
        <v>70</v>
      </c>
      <c r="BF157" s="1" t="s">
        <v>73</v>
      </c>
      <c r="BG157" s="1">
        <v>2</v>
      </c>
      <c r="BH157">
        <v>1</v>
      </c>
      <c r="BK157" s="1"/>
      <c r="BZ157">
        <v>1</v>
      </c>
      <c r="CS157" t="s">
        <v>111</v>
      </c>
      <c r="CT157" s="10" t="s">
        <v>3303</v>
      </c>
    </row>
    <row r="158" spans="1:98">
      <c r="B158" t="s">
        <v>2269</v>
      </c>
      <c r="C158" s="2" t="s">
        <v>191</v>
      </c>
      <c r="D158" s="3" t="s">
        <v>192</v>
      </c>
      <c r="E158" s="8" t="s">
        <v>193</v>
      </c>
      <c r="F158" s="8" t="s">
        <v>65</v>
      </c>
      <c r="G158" s="1">
        <v>1</v>
      </c>
      <c r="H158" s="1"/>
      <c r="I158" s="1">
        <f>1790-20</f>
        <v>1770</v>
      </c>
      <c r="J158" t="s">
        <v>10</v>
      </c>
      <c r="K158" t="s">
        <v>2271</v>
      </c>
      <c r="Q158">
        <v>5</v>
      </c>
      <c r="R158">
        <v>2</v>
      </c>
      <c r="T158" s="5">
        <f t="shared" si="7"/>
        <v>163.26</v>
      </c>
      <c r="U158" t="s">
        <v>2270</v>
      </c>
      <c r="X158" s="7">
        <v>1</v>
      </c>
      <c r="BC158" t="s">
        <v>2272</v>
      </c>
      <c r="BD158" s="7" t="s">
        <v>103</v>
      </c>
      <c r="BE158" t="s">
        <v>70</v>
      </c>
      <c r="BF158" s="1" t="s">
        <v>29</v>
      </c>
      <c r="BG158" s="1">
        <v>2</v>
      </c>
      <c r="BH158">
        <v>1</v>
      </c>
      <c r="BK158" s="1">
        <v>1</v>
      </c>
      <c r="BZ158">
        <v>1</v>
      </c>
      <c r="CS158" s="7" t="s">
        <v>1539</v>
      </c>
      <c r="CT158" t="s">
        <v>3887</v>
      </c>
    </row>
    <row r="159" spans="1:98">
      <c r="A159" t="s">
        <v>72</v>
      </c>
      <c r="B159" t="s">
        <v>3562</v>
      </c>
      <c r="C159" s="2"/>
      <c r="D159" s="3"/>
      <c r="F159" t="s">
        <v>7</v>
      </c>
      <c r="G159" s="1"/>
      <c r="H159" s="1"/>
      <c r="I159" s="1"/>
      <c r="T159" s="5"/>
      <c r="U159" s="9" t="s">
        <v>3561</v>
      </c>
      <c r="X159" s="14">
        <v>1</v>
      </c>
      <c r="BC159" s="9" t="s">
        <v>3227</v>
      </c>
      <c r="BD159" s="14" t="s">
        <v>338</v>
      </c>
      <c r="BE159" t="s">
        <v>70</v>
      </c>
      <c r="BF159" s="1" t="s">
        <v>339</v>
      </c>
      <c r="BG159" s="1">
        <v>1</v>
      </c>
      <c r="BH159">
        <v>1</v>
      </c>
      <c r="BK159" s="1"/>
      <c r="BZ159">
        <v>1</v>
      </c>
      <c r="CS159" s="14" t="s">
        <v>3361</v>
      </c>
      <c r="CT159" t="s">
        <v>3556</v>
      </c>
    </row>
    <row r="160" spans="1:98">
      <c r="B160" t="s">
        <v>4028</v>
      </c>
      <c r="C160" s="2" t="s">
        <v>1624</v>
      </c>
      <c r="D160" s="3"/>
      <c r="E160" s="8" t="s">
        <v>869</v>
      </c>
      <c r="F160" s="8" t="s">
        <v>65</v>
      </c>
      <c r="G160" s="1">
        <v>1</v>
      </c>
      <c r="H160" s="1"/>
      <c r="I160" s="1">
        <f>1790-36</f>
        <v>1754</v>
      </c>
      <c r="J160" t="s">
        <v>69</v>
      </c>
      <c r="K160" t="s">
        <v>12</v>
      </c>
      <c r="T160" s="5"/>
      <c r="U160" s="9" t="s">
        <v>4027</v>
      </c>
      <c r="X160" s="9">
        <v>1</v>
      </c>
      <c r="Y160" s="14">
        <v>1</v>
      </c>
      <c r="BC160" s="9" t="s">
        <v>4419</v>
      </c>
      <c r="BD160" s="14" t="s">
        <v>338</v>
      </c>
      <c r="BE160" t="s">
        <v>70</v>
      </c>
      <c r="BF160" s="1" t="s">
        <v>339</v>
      </c>
      <c r="BG160" s="1">
        <v>3</v>
      </c>
      <c r="BH160">
        <v>1</v>
      </c>
      <c r="BK160" s="1"/>
      <c r="BZ160">
        <v>1</v>
      </c>
      <c r="CS160" s="14" t="s">
        <v>4420</v>
      </c>
      <c r="CT160" t="s">
        <v>4427</v>
      </c>
    </row>
    <row r="161" spans="1:98">
      <c r="A161" t="s">
        <v>72</v>
      </c>
      <c r="B161" t="s">
        <v>3228</v>
      </c>
      <c r="C161" s="15"/>
      <c r="D161" s="3"/>
      <c r="F161" t="s">
        <v>7</v>
      </c>
      <c r="G161" s="1"/>
      <c r="H161" s="1"/>
      <c r="I161" s="1"/>
      <c r="T161" s="5"/>
      <c r="U161" s="9" t="s">
        <v>3227</v>
      </c>
      <c r="X161" s="9">
        <v>1</v>
      </c>
      <c r="Y161" s="14">
        <v>1</v>
      </c>
      <c r="BC161" s="9" t="s">
        <v>3233</v>
      </c>
      <c r="BD161" s="14" t="s">
        <v>338</v>
      </c>
      <c r="BE161" t="s">
        <v>70</v>
      </c>
      <c r="BF161" s="1" t="s">
        <v>339</v>
      </c>
      <c r="BG161" s="1">
        <v>2</v>
      </c>
      <c r="BH161">
        <v>1</v>
      </c>
      <c r="BK161" s="1"/>
      <c r="BZ161">
        <v>1</v>
      </c>
      <c r="CS161" s="14" t="s">
        <v>3234</v>
      </c>
      <c r="CT161" t="s">
        <v>4029</v>
      </c>
    </row>
    <row r="162" spans="1:98">
      <c r="A162" t="s">
        <v>72</v>
      </c>
      <c r="B162" t="s">
        <v>3891</v>
      </c>
      <c r="C162" s="15"/>
      <c r="D162" s="3"/>
      <c r="F162" s="8" t="s">
        <v>7</v>
      </c>
      <c r="G162" s="1"/>
      <c r="H162" s="1"/>
      <c r="I162" s="1"/>
      <c r="T162" s="5"/>
      <c r="U162" s="9" t="s">
        <v>3227</v>
      </c>
      <c r="W162" s="9"/>
      <c r="X162" s="7">
        <v>1</v>
      </c>
      <c r="BC162" t="s">
        <v>2261</v>
      </c>
      <c r="BD162" s="7" t="s">
        <v>103</v>
      </c>
      <c r="BE162" t="s">
        <v>70</v>
      </c>
      <c r="BF162" s="1" t="s">
        <v>29</v>
      </c>
      <c r="BG162" s="1">
        <v>1</v>
      </c>
      <c r="BH162">
        <v>1</v>
      </c>
      <c r="BK162" s="1" t="s">
        <v>72</v>
      </c>
      <c r="BZ162">
        <v>1</v>
      </c>
      <c r="CS162" s="7" t="s">
        <v>3092</v>
      </c>
      <c r="CT162" t="s">
        <v>3887</v>
      </c>
    </row>
    <row r="163" spans="1:98">
      <c r="A163" t="s">
        <v>72</v>
      </c>
      <c r="B163" t="s">
        <v>3229</v>
      </c>
      <c r="C163" s="15"/>
      <c r="D163" s="3"/>
      <c r="F163" t="s">
        <v>7</v>
      </c>
      <c r="G163" s="1"/>
      <c r="H163" s="1"/>
      <c r="I163" s="1"/>
      <c r="T163" s="5"/>
      <c r="U163" s="9" t="s">
        <v>3227</v>
      </c>
      <c r="X163" s="9">
        <v>1</v>
      </c>
      <c r="Y163" s="14">
        <v>1</v>
      </c>
      <c r="BC163" s="9" t="s">
        <v>3233</v>
      </c>
      <c r="BD163" s="14" t="s">
        <v>338</v>
      </c>
      <c r="BE163" t="s">
        <v>70</v>
      </c>
      <c r="BF163" s="1" t="s">
        <v>339</v>
      </c>
      <c r="BG163" s="1">
        <v>2</v>
      </c>
      <c r="BH163">
        <v>1</v>
      </c>
      <c r="BK163" s="1"/>
      <c r="BZ163">
        <v>1</v>
      </c>
      <c r="CS163" s="14" t="s">
        <v>3234</v>
      </c>
      <c r="CT163" t="s">
        <v>4029</v>
      </c>
    </row>
    <row r="164" spans="1:98">
      <c r="A164" t="s">
        <v>72</v>
      </c>
      <c r="B164" t="s">
        <v>3230</v>
      </c>
      <c r="C164" s="15"/>
      <c r="D164" s="3"/>
      <c r="F164" t="s">
        <v>7</v>
      </c>
      <c r="G164" s="1"/>
      <c r="H164" s="1"/>
      <c r="I164" s="1"/>
      <c r="T164" s="5"/>
      <c r="U164" s="9" t="s">
        <v>3227</v>
      </c>
      <c r="X164" s="9">
        <v>1</v>
      </c>
      <c r="Y164" s="14">
        <v>1</v>
      </c>
      <c r="BC164" s="9" t="s">
        <v>3233</v>
      </c>
      <c r="BD164" s="14" t="s">
        <v>338</v>
      </c>
      <c r="BE164" t="s">
        <v>70</v>
      </c>
      <c r="BF164" s="1" t="s">
        <v>339</v>
      </c>
      <c r="BG164" s="1">
        <v>2</v>
      </c>
      <c r="BH164">
        <v>1</v>
      </c>
      <c r="BK164" s="1"/>
      <c r="BZ164">
        <v>1</v>
      </c>
      <c r="CS164" s="14" t="s">
        <v>3234</v>
      </c>
      <c r="CT164" t="s">
        <v>4029</v>
      </c>
    </row>
    <row r="165" spans="1:98">
      <c r="A165" t="s">
        <v>72</v>
      </c>
      <c r="B165" t="s">
        <v>3231</v>
      </c>
      <c r="C165" s="15"/>
      <c r="D165" s="3"/>
      <c r="F165" t="s">
        <v>7</v>
      </c>
      <c r="G165" s="1"/>
      <c r="H165" s="1"/>
      <c r="I165" s="1"/>
      <c r="T165" s="5"/>
      <c r="U165" s="9" t="s">
        <v>3227</v>
      </c>
      <c r="X165" s="9">
        <v>1</v>
      </c>
      <c r="Y165" s="14">
        <v>1</v>
      </c>
      <c r="BC165" s="9" t="s">
        <v>3233</v>
      </c>
      <c r="BD165" s="14" t="s">
        <v>338</v>
      </c>
      <c r="BE165" t="s">
        <v>70</v>
      </c>
      <c r="BF165" s="1" t="s">
        <v>339</v>
      </c>
      <c r="BG165" s="1">
        <v>2</v>
      </c>
      <c r="BH165">
        <v>1</v>
      </c>
      <c r="BK165" s="1"/>
      <c r="BZ165">
        <v>1</v>
      </c>
      <c r="CS165" s="14" t="s">
        <v>3234</v>
      </c>
      <c r="CT165" t="s">
        <v>4029</v>
      </c>
    </row>
    <row r="166" spans="1:98">
      <c r="A166" t="s">
        <v>72</v>
      </c>
      <c r="B166" t="s">
        <v>3892</v>
      </c>
      <c r="C166" s="15"/>
      <c r="D166" s="3"/>
      <c r="F166" s="8" t="s">
        <v>7</v>
      </c>
      <c r="G166" s="1"/>
      <c r="H166" s="1"/>
      <c r="I166" s="1"/>
      <c r="T166" s="5"/>
      <c r="U166" s="9" t="s">
        <v>3227</v>
      </c>
      <c r="W166" s="9"/>
      <c r="X166" s="7">
        <v>1</v>
      </c>
      <c r="BC166" t="s">
        <v>2261</v>
      </c>
      <c r="BD166" s="7" t="s">
        <v>103</v>
      </c>
      <c r="BE166" t="s">
        <v>70</v>
      </c>
      <c r="BF166" s="1" t="s">
        <v>29</v>
      </c>
      <c r="BG166" s="1">
        <v>1</v>
      </c>
      <c r="BH166">
        <v>1</v>
      </c>
      <c r="BK166" s="1" t="s">
        <v>72</v>
      </c>
      <c r="BZ166">
        <v>1</v>
      </c>
      <c r="CS166" s="7" t="s">
        <v>3092</v>
      </c>
      <c r="CT166" t="s">
        <v>3887</v>
      </c>
    </row>
    <row r="167" spans="1:98">
      <c r="B167" t="s">
        <v>3947</v>
      </c>
      <c r="C167" s="8" t="s">
        <v>3946</v>
      </c>
      <c r="D167" s="3"/>
      <c r="F167" s="8" t="s">
        <v>88</v>
      </c>
      <c r="G167" s="1"/>
      <c r="H167" s="1">
        <v>1</v>
      </c>
      <c r="I167" s="1">
        <f>1791-20</f>
        <v>1771</v>
      </c>
      <c r="J167" t="s">
        <v>10</v>
      </c>
      <c r="K167" t="s">
        <v>12</v>
      </c>
      <c r="T167" s="5"/>
      <c r="U167" s="9" t="s">
        <v>3227</v>
      </c>
      <c r="X167" s="9">
        <v>1</v>
      </c>
      <c r="Y167" s="6">
        <v>1</v>
      </c>
      <c r="BC167">
        <v>1791</v>
      </c>
      <c r="BD167" t="s">
        <v>81</v>
      </c>
      <c r="BE167" s="10" t="s">
        <v>70</v>
      </c>
      <c r="BF167" s="1" t="s">
        <v>73</v>
      </c>
      <c r="BG167" s="1">
        <v>2</v>
      </c>
      <c r="BH167">
        <v>1</v>
      </c>
      <c r="BK167" s="1"/>
      <c r="BZ167">
        <v>1</v>
      </c>
      <c r="CS167" t="s">
        <v>111</v>
      </c>
      <c r="CT167" s="10" t="s">
        <v>3938</v>
      </c>
    </row>
    <row r="168" spans="1:98">
      <c r="A168" t="s">
        <v>72</v>
      </c>
      <c r="B168" t="s">
        <v>3232</v>
      </c>
      <c r="C168" s="15"/>
      <c r="D168" s="3"/>
      <c r="F168" t="s">
        <v>7</v>
      </c>
      <c r="G168" s="1"/>
      <c r="H168" s="1"/>
      <c r="I168" s="1"/>
      <c r="T168" s="5"/>
      <c r="U168" s="9" t="s">
        <v>3227</v>
      </c>
      <c r="X168" s="9">
        <v>1</v>
      </c>
      <c r="Y168" s="14">
        <v>1</v>
      </c>
      <c r="BC168" s="9" t="s">
        <v>3233</v>
      </c>
      <c r="BD168" s="14" t="s">
        <v>338</v>
      </c>
      <c r="BE168" t="s">
        <v>70</v>
      </c>
      <c r="BF168" s="1" t="s">
        <v>339</v>
      </c>
      <c r="BG168" s="1">
        <v>2</v>
      </c>
      <c r="BH168">
        <v>1</v>
      </c>
      <c r="BK168" s="1"/>
      <c r="BZ168">
        <v>1</v>
      </c>
      <c r="CS168" s="14" t="s">
        <v>3234</v>
      </c>
      <c r="CT168" t="s">
        <v>4029</v>
      </c>
    </row>
    <row r="169" spans="1:98">
      <c r="A169" t="s">
        <v>72</v>
      </c>
      <c r="B169" t="s">
        <v>3052</v>
      </c>
      <c r="C169" s="15"/>
      <c r="D169" s="3"/>
      <c r="F169" t="s">
        <v>7</v>
      </c>
      <c r="G169" s="1"/>
      <c r="H169" s="1"/>
      <c r="I169" s="1"/>
      <c r="T169" s="5"/>
      <c r="U169" s="9" t="s">
        <v>3343</v>
      </c>
      <c r="X169" s="9">
        <v>1</v>
      </c>
      <c r="Y169" s="7">
        <v>1</v>
      </c>
      <c r="BC169" t="s">
        <v>3053</v>
      </c>
      <c r="BD169" s="7" t="s">
        <v>103</v>
      </c>
      <c r="BE169" t="s">
        <v>2635</v>
      </c>
      <c r="BF169" s="1" t="s">
        <v>29</v>
      </c>
      <c r="BG169" s="1">
        <v>2</v>
      </c>
      <c r="BH169">
        <v>1</v>
      </c>
      <c r="BK169" s="1"/>
      <c r="BQ169">
        <v>1</v>
      </c>
      <c r="CS169" s="7" t="s">
        <v>2613</v>
      </c>
    </row>
    <row r="170" spans="1:98">
      <c r="A170" t="s">
        <v>72</v>
      </c>
      <c r="B170" t="s">
        <v>4429</v>
      </c>
      <c r="C170" s="15"/>
      <c r="D170" s="3"/>
      <c r="F170" t="s">
        <v>7</v>
      </c>
      <c r="G170" s="1"/>
      <c r="H170" s="1"/>
      <c r="I170" s="1"/>
      <c r="T170" s="5"/>
      <c r="U170" s="9" t="s">
        <v>4428</v>
      </c>
      <c r="Y170" s="9">
        <v>1</v>
      </c>
      <c r="BC170">
        <v>1791</v>
      </c>
      <c r="BD170" t="s">
        <v>81</v>
      </c>
      <c r="BE170" s="10" t="s">
        <v>70</v>
      </c>
      <c r="BF170" s="1" t="s">
        <v>73</v>
      </c>
      <c r="BG170" s="1">
        <v>2</v>
      </c>
      <c r="BH170">
        <v>1</v>
      </c>
      <c r="BK170" s="1"/>
      <c r="BZ170">
        <v>1</v>
      </c>
      <c r="CS170" t="s">
        <v>111</v>
      </c>
      <c r="CT170" s="10" t="s">
        <v>4431</v>
      </c>
    </row>
    <row r="171" spans="1:98">
      <c r="A171" t="s">
        <v>72</v>
      </c>
      <c r="B171" t="s">
        <v>4430</v>
      </c>
      <c r="C171" s="15"/>
      <c r="D171" s="3"/>
      <c r="F171" t="s">
        <v>7</v>
      </c>
      <c r="G171" s="1"/>
      <c r="H171" s="1"/>
      <c r="I171" s="1"/>
      <c r="T171" s="5"/>
      <c r="U171" s="9" t="s">
        <v>4428</v>
      </c>
      <c r="Y171" s="9">
        <v>1</v>
      </c>
      <c r="BC171">
        <v>1791</v>
      </c>
      <c r="BD171" t="s">
        <v>81</v>
      </c>
      <c r="BE171" s="10" t="s">
        <v>70</v>
      </c>
      <c r="BF171" s="1" t="s">
        <v>73</v>
      </c>
      <c r="BG171" s="1">
        <v>2</v>
      </c>
      <c r="BH171">
        <v>1</v>
      </c>
      <c r="BK171" s="1"/>
      <c r="BZ171">
        <v>1</v>
      </c>
      <c r="CS171" t="s">
        <v>111</v>
      </c>
      <c r="CT171" s="10" t="s">
        <v>4431</v>
      </c>
    </row>
    <row r="172" spans="1:98">
      <c r="A172" t="s">
        <v>72</v>
      </c>
      <c r="B172" t="s">
        <v>3342</v>
      </c>
      <c r="C172" s="15"/>
      <c r="D172" s="3"/>
      <c r="F172" t="s">
        <v>7</v>
      </c>
      <c r="G172" s="1"/>
      <c r="H172" s="1"/>
      <c r="I172" s="1"/>
      <c r="T172" s="5"/>
      <c r="U172" s="9" t="s">
        <v>3344</v>
      </c>
      <c r="Y172" s="9">
        <v>1</v>
      </c>
      <c r="BC172">
        <v>1791</v>
      </c>
      <c r="BD172" s="7" t="s">
        <v>103</v>
      </c>
      <c r="BE172" t="s">
        <v>70</v>
      </c>
      <c r="BF172" s="1" t="s">
        <v>29</v>
      </c>
      <c r="BG172" s="1">
        <v>1</v>
      </c>
      <c r="BH172">
        <v>1</v>
      </c>
      <c r="BK172" s="1" t="s">
        <v>72</v>
      </c>
      <c r="BZ172">
        <v>1</v>
      </c>
      <c r="CS172" s="7" t="s">
        <v>1539</v>
      </c>
      <c r="CT172" t="s">
        <v>3345</v>
      </c>
    </row>
    <row r="173" spans="1:98">
      <c r="B173" t="s">
        <v>3880</v>
      </c>
      <c r="C173" s="2" t="s">
        <v>3881</v>
      </c>
      <c r="D173" s="3"/>
      <c r="E173" s="8" t="s">
        <v>3885</v>
      </c>
      <c r="F173" s="8" t="s">
        <v>3882</v>
      </c>
      <c r="G173" s="1">
        <v>1</v>
      </c>
      <c r="H173" s="1"/>
      <c r="I173" s="1">
        <f>1791-16</f>
        <v>1775</v>
      </c>
      <c r="J173" t="s">
        <v>10</v>
      </c>
      <c r="K173" t="s">
        <v>12</v>
      </c>
      <c r="Q173">
        <v>5</v>
      </c>
      <c r="R173">
        <v>1</v>
      </c>
      <c r="S173">
        <v>1</v>
      </c>
      <c r="T173" s="5">
        <f t="shared" ref="T173" si="8">((Q173*316)+(R173*26.3)+(S173*2.2))/10</f>
        <v>160.85</v>
      </c>
      <c r="U173" t="s">
        <v>3883</v>
      </c>
      <c r="Y173" s="6">
        <v>1</v>
      </c>
      <c r="Z173" s="6">
        <v>1</v>
      </c>
      <c r="AA173" s="6">
        <v>1</v>
      </c>
      <c r="BC173">
        <v>1793</v>
      </c>
      <c r="BD173" t="s">
        <v>81</v>
      </c>
      <c r="BE173" t="s">
        <v>3884</v>
      </c>
      <c r="BF173" s="1" t="s">
        <v>73</v>
      </c>
      <c r="BG173" s="1">
        <v>3</v>
      </c>
      <c r="BH173">
        <v>1</v>
      </c>
      <c r="BK173" s="30">
        <v>1</v>
      </c>
      <c r="BQ173">
        <v>1</v>
      </c>
      <c r="CR173">
        <v>1</v>
      </c>
      <c r="CS173" t="s">
        <v>3886</v>
      </c>
    </row>
    <row r="174" spans="1:98">
      <c r="B174" t="s">
        <v>2359</v>
      </c>
      <c r="C174" s="2" t="s">
        <v>2360</v>
      </c>
      <c r="D174" s="37" t="s">
        <v>2361</v>
      </c>
      <c r="F174" s="8" t="s">
        <v>218</v>
      </c>
      <c r="G174" s="1">
        <v>1</v>
      </c>
      <c r="H174" s="1"/>
      <c r="I174" s="1">
        <f>1802-39</f>
        <v>1763</v>
      </c>
      <c r="J174" t="s">
        <v>10</v>
      </c>
      <c r="K174" t="s">
        <v>2362</v>
      </c>
      <c r="Q174">
        <v>5</v>
      </c>
      <c r="R174">
        <v>7</v>
      </c>
      <c r="S174">
        <v>2</v>
      </c>
      <c r="T174" s="5">
        <f t="shared" si="7"/>
        <v>176.85</v>
      </c>
      <c r="U174" s="9" t="s">
        <v>2363</v>
      </c>
      <c r="Y174" s="9">
        <v>1</v>
      </c>
      <c r="Z174" s="9">
        <v>1</v>
      </c>
      <c r="AA174" s="9">
        <v>1</v>
      </c>
      <c r="AB174" s="9">
        <v>1</v>
      </c>
      <c r="AC174" s="9">
        <v>1</v>
      </c>
      <c r="AD174" s="9">
        <v>1</v>
      </c>
      <c r="AE174" s="9">
        <v>1</v>
      </c>
      <c r="AF174" s="6">
        <v>1</v>
      </c>
      <c r="AG174" s="6">
        <v>1</v>
      </c>
      <c r="AH174" s="6">
        <v>1</v>
      </c>
      <c r="AI174" s="6">
        <v>1</v>
      </c>
      <c r="AJ174" s="6">
        <v>1</v>
      </c>
      <c r="AK174" s="6">
        <v>1</v>
      </c>
      <c r="AL174" s="6">
        <v>1</v>
      </c>
      <c r="AM174" s="6">
        <v>1</v>
      </c>
      <c r="AN174" s="6">
        <v>1</v>
      </c>
      <c r="AO174" s="6">
        <v>1</v>
      </c>
      <c r="AP174" s="6">
        <v>1</v>
      </c>
      <c r="AQ174" s="6">
        <v>1</v>
      </c>
      <c r="AR174" s="7">
        <v>1</v>
      </c>
      <c r="AS174" s="7">
        <v>1</v>
      </c>
      <c r="BC174" t="s">
        <v>2364</v>
      </c>
      <c r="BD174" s="7" t="s">
        <v>959</v>
      </c>
      <c r="BE174" s="7" t="s">
        <v>1558</v>
      </c>
      <c r="BF174" s="1" t="s">
        <v>29</v>
      </c>
      <c r="BG174" s="1">
        <v>2</v>
      </c>
      <c r="BH174">
        <v>3</v>
      </c>
      <c r="BJ174">
        <v>1</v>
      </c>
      <c r="BK174" s="1">
        <v>1</v>
      </c>
      <c r="BQ174">
        <v>1</v>
      </c>
      <c r="CB174" s="7">
        <v>1</v>
      </c>
      <c r="CG174">
        <v>1</v>
      </c>
      <c r="CS174" s="7" t="s">
        <v>2365</v>
      </c>
    </row>
    <row r="175" spans="1:98">
      <c r="B175" t="s">
        <v>963</v>
      </c>
      <c r="C175" s="8" t="s">
        <v>964</v>
      </c>
      <c r="F175" s="8" t="s">
        <v>88</v>
      </c>
      <c r="G175" s="1"/>
      <c r="H175" s="1">
        <v>1</v>
      </c>
      <c r="I175" s="1">
        <f>1800-46</f>
        <v>1754</v>
      </c>
      <c r="J175" t="s">
        <v>69</v>
      </c>
      <c r="K175" t="s">
        <v>197</v>
      </c>
      <c r="T175" s="5"/>
      <c r="U175" s="9" t="s">
        <v>965</v>
      </c>
      <c r="Z175" s="9">
        <v>1</v>
      </c>
      <c r="AA175" s="6">
        <v>1</v>
      </c>
      <c r="AB175" s="6">
        <v>1</v>
      </c>
      <c r="AC175" s="6">
        <v>1</v>
      </c>
      <c r="AD175" s="6">
        <v>1</v>
      </c>
      <c r="AE175" s="6">
        <v>1</v>
      </c>
      <c r="AF175" s="6">
        <v>1</v>
      </c>
      <c r="AG175" s="6">
        <v>1</v>
      </c>
      <c r="AH175" s="6">
        <v>1</v>
      </c>
      <c r="BC175">
        <v>1800</v>
      </c>
      <c r="BD175" t="s">
        <v>81</v>
      </c>
      <c r="BE175" s="10" t="s">
        <v>70</v>
      </c>
      <c r="BF175" s="1" t="s">
        <v>73</v>
      </c>
      <c r="BG175" s="1">
        <v>1</v>
      </c>
      <c r="BH175">
        <v>1</v>
      </c>
      <c r="BK175" s="1">
        <v>1</v>
      </c>
      <c r="BZ175">
        <v>1</v>
      </c>
      <c r="CN175">
        <v>1</v>
      </c>
      <c r="CP175">
        <v>1</v>
      </c>
      <c r="CS175" t="s">
        <v>966</v>
      </c>
      <c r="CT175" s="10" t="s">
        <v>2273</v>
      </c>
    </row>
    <row r="176" spans="1:98">
      <c r="B176" t="s">
        <v>3865</v>
      </c>
      <c r="C176" s="2" t="s">
        <v>3863</v>
      </c>
      <c r="D176" s="3" t="s">
        <v>3864</v>
      </c>
      <c r="E176" s="8" t="s">
        <v>654</v>
      </c>
      <c r="F176" s="8" t="s">
        <v>65</v>
      </c>
      <c r="G176" s="1">
        <v>1</v>
      </c>
      <c r="H176" s="1"/>
      <c r="I176" s="1"/>
      <c r="J176" t="s">
        <v>10</v>
      </c>
      <c r="K176" t="s">
        <v>12</v>
      </c>
      <c r="T176" s="5"/>
      <c r="U176" s="9" t="s">
        <v>3862</v>
      </c>
      <c r="Y176" s="9"/>
      <c r="Z176" s="14">
        <v>1</v>
      </c>
      <c r="BC176" s="9" t="s">
        <v>3866</v>
      </c>
      <c r="BD176" s="14" t="s">
        <v>338</v>
      </c>
      <c r="BE176" t="s">
        <v>70</v>
      </c>
      <c r="BF176" s="1" t="s">
        <v>339</v>
      </c>
      <c r="BG176" s="1">
        <v>1</v>
      </c>
      <c r="BH176">
        <v>1</v>
      </c>
      <c r="BK176" s="1"/>
      <c r="BZ176">
        <v>1</v>
      </c>
      <c r="CS176" s="14" t="s">
        <v>3867</v>
      </c>
      <c r="CT176" t="s">
        <v>3868</v>
      </c>
    </row>
    <row r="177" spans="1:98">
      <c r="A177" t="s">
        <v>72</v>
      </c>
      <c r="B177" t="s">
        <v>3419</v>
      </c>
      <c r="C177" s="2" t="s">
        <v>3420</v>
      </c>
      <c r="D177" s="2" t="s">
        <v>3421</v>
      </c>
      <c r="E177" s="8" t="s">
        <v>542</v>
      </c>
      <c r="F177" s="8" t="s">
        <v>218</v>
      </c>
      <c r="G177" s="1">
        <v>1</v>
      </c>
      <c r="H177" s="1"/>
      <c r="I177" s="1">
        <f>1806-35</f>
        <v>1771</v>
      </c>
      <c r="J177" t="s">
        <v>10</v>
      </c>
      <c r="K177" t="s">
        <v>12</v>
      </c>
      <c r="Q177">
        <v>5</v>
      </c>
      <c r="R177">
        <v>2</v>
      </c>
      <c r="S177">
        <v>2</v>
      </c>
      <c r="T177" s="5">
        <f t="shared" si="7"/>
        <v>163.69999999999999</v>
      </c>
      <c r="U177" t="s">
        <v>3454</v>
      </c>
      <c r="Z177" s="6">
        <v>1</v>
      </c>
      <c r="AA177" s="6">
        <v>1</v>
      </c>
      <c r="AB177" s="6">
        <v>1</v>
      </c>
      <c r="AC177" s="6">
        <v>1</v>
      </c>
      <c r="AD177" s="6">
        <v>1</v>
      </c>
      <c r="AE177" s="6">
        <v>1</v>
      </c>
      <c r="AF177" s="6">
        <v>1</v>
      </c>
      <c r="AG177" s="6">
        <v>1</v>
      </c>
      <c r="AH177" s="6">
        <v>1</v>
      </c>
      <c r="AI177" s="6">
        <v>1</v>
      </c>
      <c r="AJ177" s="6">
        <v>1</v>
      </c>
      <c r="AK177" s="6">
        <v>1</v>
      </c>
      <c r="AL177" s="6">
        <v>1</v>
      </c>
      <c r="AM177" s="6">
        <v>1</v>
      </c>
      <c r="AN177" s="6">
        <v>1</v>
      </c>
      <c r="AO177" s="6">
        <v>1</v>
      </c>
      <c r="AP177" s="7">
        <v>1</v>
      </c>
      <c r="BC177" t="s">
        <v>3422</v>
      </c>
      <c r="BD177" s="7" t="s">
        <v>103</v>
      </c>
      <c r="BE177" t="s">
        <v>1502</v>
      </c>
      <c r="BF177" s="1" t="s">
        <v>29</v>
      </c>
      <c r="BG177" s="1">
        <v>4</v>
      </c>
      <c r="BH177">
        <v>2</v>
      </c>
      <c r="BK177" s="1">
        <v>1</v>
      </c>
      <c r="BQ177">
        <v>1</v>
      </c>
      <c r="CL177">
        <v>1</v>
      </c>
      <c r="CM177">
        <v>1</v>
      </c>
      <c r="CS177" s="7" t="s">
        <v>3423</v>
      </c>
    </row>
    <row r="178" spans="1:98">
      <c r="A178" t="s">
        <v>72</v>
      </c>
      <c r="B178" t="s">
        <v>3455</v>
      </c>
      <c r="C178" s="2" t="s">
        <v>3456</v>
      </c>
      <c r="D178" s="2" t="s">
        <v>1223</v>
      </c>
      <c r="E178" s="8" t="s">
        <v>130</v>
      </c>
      <c r="F178" s="8" t="s">
        <v>65</v>
      </c>
      <c r="G178" s="1">
        <v>1</v>
      </c>
      <c r="H178" s="1"/>
      <c r="I178" s="1">
        <f>1806-35</f>
        <v>1771</v>
      </c>
      <c r="J178" t="s">
        <v>10</v>
      </c>
      <c r="K178" t="s">
        <v>12</v>
      </c>
      <c r="Q178">
        <v>5</v>
      </c>
      <c r="R178">
        <v>2</v>
      </c>
      <c r="S178">
        <v>2</v>
      </c>
      <c r="T178" s="5">
        <f t="shared" si="7"/>
        <v>163.69999999999999</v>
      </c>
      <c r="U178" t="s">
        <v>3457</v>
      </c>
      <c r="AA178" s="6">
        <v>1</v>
      </c>
      <c r="AB178" s="6">
        <v>1</v>
      </c>
      <c r="AC178" s="6">
        <v>1</v>
      </c>
      <c r="AD178" s="6">
        <v>1</v>
      </c>
      <c r="AE178" s="6">
        <v>1</v>
      </c>
      <c r="AF178" s="6">
        <v>1</v>
      </c>
      <c r="AG178" s="6">
        <v>1</v>
      </c>
      <c r="AH178" s="6">
        <v>1</v>
      </c>
      <c r="AI178" s="6">
        <v>1</v>
      </c>
      <c r="AJ178" s="6">
        <v>1</v>
      </c>
      <c r="AK178" s="6">
        <v>1</v>
      </c>
      <c r="AL178" s="6">
        <v>1</v>
      </c>
      <c r="AM178" s="6">
        <v>1</v>
      </c>
      <c r="AN178" s="6">
        <v>1</v>
      </c>
      <c r="AO178" s="6">
        <v>1</v>
      </c>
      <c r="AP178" s="7">
        <v>1</v>
      </c>
      <c r="BC178" t="s">
        <v>3458</v>
      </c>
      <c r="BD178" s="7" t="s">
        <v>103</v>
      </c>
      <c r="BE178" t="s">
        <v>1502</v>
      </c>
      <c r="BF178" s="1" t="s">
        <v>29</v>
      </c>
      <c r="BG178" s="1">
        <v>4</v>
      </c>
      <c r="BH178">
        <v>1</v>
      </c>
      <c r="BK178" s="1">
        <v>1</v>
      </c>
      <c r="BQ178">
        <v>1</v>
      </c>
      <c r="CM178">
        <v>1</v>
      </c>
      <c r="CR178" t="s">
        <v>72</v>
      </c>
      <c r="CS178" s="7" t="s">
        <v>3423</v>
      </c>
    </row>
    <row r="179" spans="1:98">
      <c r="A179" t="s">
        <v>72</v>
      </c>
      <c r="B179" t="s">
        <v>2565</v>
      </c>
      <c r="C179" s="15"/>
      <c r="D179" s="37"/>
      <c r="F179" t="s">
        <v>7</v>
      </c>
      <c r="G179" s="1"/>
      <c r="H179" s="1"/>
      <c r="I179" s="1"/>
      <c r="T179" s="5"/>
      <c r="U179" t="s">
        <v>2566</v>
      </c>
      <c r="AB179" s="6">
        <v>1</v>
      </c>
      <c r="AC179" s="7">
        <v>1</v>
      </c>
      <c r="BC179" t="s">
        <v>2567</v>
      </c>
      <c r="BD179" s="7" t="s">
        <v>280</v>
      </c>
      <c r="BE179" t="s">
        <v>70</v>
      </c>
      <c r="BF179" s="1" t="s">
        <v>29</v>
      </c>
      <c r="BG179" s="1">
        <v>2</v>
      </c>
      <c r="BH179">
        <v>1</v>
      </c>
      <c r="BK179" s="1"/>
      <c r="BZ179">
        <v>1</v>
      </c>
      <c r="CN179">
        <v>1</v>
      </c>
      <c r="CS179" s="7" t="s">
        <v>2568</v>
      </c>
    </row>
    <row r="180" spans="1:98">
      <c r="B180" t="s">
        <v>2569</v>
      </c>
      <c r="C180" s="8" t="s">
        <v>2570</v>
      </c>
      <c r="D180" s="37"/>
      <c r="F180" s="8" t="s">
        <v>234</v>
      </c>
      <c r="G180" s="1">
        <v>1</v>
      </c>
      <c r="H180" s="1"/>
      <c r="I180" s="1">
        <f>1794-25</f>
        <v>1769</v>
      </c>
      <c r="J180" t="s">
        <v>10</v>
      </c>
      <c r="K180" t="s">
        <v>12</v>
      </c>
      <c r="T180" s="5"/>
      <c r="U180" t="s">
        <v>2571</v>
      </c>
      <c r="AB180" s="6">
        <v>1</v>
      </c>
      <c r="AC180" s="7">
        <v>1</v>
      </c>
      <c r="BC180" s="38" t="s">
        <v>2567</v>
      </c>
      <c r="BD180" s="7" t="s">
        <v>280</v>
      </c>
      <c r="BE180" t="s">
        <v>70</v>
      </c>
      <c r="BF180" s="1" t="s">
        <v>29</v>
      </c>
      <c r="BG180" s="1">
        <v>3</v>
      </c>
      <c r="BH180">
        <v>1</v>
      </c>
      <c r="BK180" s="1" t="s">
        <v>72</v>
      </c>
      <c r="BZ180">
        <v>1</v>
      </c>
      <c r="CN180">
        <v>1</v>
      </c>
      <c r="CS180" s="7" t="s">
        <v>2568</v>
      </c>
      <c r="CT180" s="10" t="s">
        <v>2400</v>
      </c>
    </row>
    <row r="181" spans="1:98">
      <c r="B181" t="s">
        <v>1</v>
      </c>
      <c r="C181" s="2" t="s">
        <v>8</v>
      </c>
      <c r="F181" s="8" t="s">
        <v>33</v>
      </c>
      <c r="G181" s="1"/>
      <c r="H181" s="1">
        <v>1</v>
      </c>
      <c r="I181" s="1">
        <f>1795-20</f>
        <v>1775</v>
      </c>
      <c r="J181" t="s">
        <v>10</v>
      </c>
      <c r="K181" s="4" t="s">
        <v>12</v>
      </c>
      <c r="Q181">
        <v>5</v>
      </c>
      <c r="R181">
        <v>3</v>
      </c>
      <c r="S181">
        <v>3</v>
      </c>
      <c r="T181" s="5">
        <f>((Q181*316)+(R181*26.3)+(S181*2.2))/10</f>
        <v>166.55</v>
      </c>
      <c r="U181" t="s">
        <v>24</v>
      </c>
      <c r="AB181" s="6">
        <v>1</v>
      </c>
      <c r="AC181" s="7">
        <v>1</v>
      </c>
      <c r="BC181" t="s">
        <v>25</v>
      </c>
      <c r="BD181" s="7" t="s">
        <v>26</v>
      </c>
      <c r="BE181" t="s">
        <v>62</v>
      </c>
      <c r="BF181" s="1" t="s">
        <v>29</v>
      </c>
      <c r="BG181" s="1">
        <v>3</v>
      </c>
      <c r="BH181">
        <v>1</v>
      </c>
      <c r="BK181" s="1"/>
      <c r="BO181">
        <v>1</v>
      </c>
      <c r="BQ181">
        <v>1</v>
      </c>
      <c r="CS181" s="7" t="s">
        <v>104</v>
      </c>
    </row>
    <row r="182" spans="1:98">
      <c r="A182" t="s">
        <v>72</v>
      </c>
      <c r="B182" t="s">
        <v>3464</v>
      </c>
      <c r="C182" s="2" t="s">
        <v>3465</v>
      </c>
      <c r="D182" s="2" t="s">
        <v>3466</v>
      </c>
      <c r="F182" s="8" t="s">
        <v>218</v>
      </c>
      <c r="G182" s="1">
        <v>1</v>
      </c>
      <c r="H182" s="1"/>
      <c r="I182" s="1">
        <f>1806-40</f>
        <v>1766</v>
      </c>
      <c r="J182" t="s">
        <v>10</v>
      </c>
      <c r="K182" s="4" t="s">
        <v>12</v>
      </c>
      <c r="Q182">
        <v>5</v>
      </c>
      <c r="R182">
        <v>2</v>
      </c>
      <c r="T182" s="5">
        <f>((Q182*316)+(R182*26.3)+(S182*2.2))/10</f>
        <v>163.26</v>
      </c>
      <c r="U182" t="s">
        <v>3467</v>
      </c>
      <c r="AC182" s="6">
        <v>1</v>
      </c>
      <c r="AD182" s="7">
        <v>1</v>
      </c>
      <c r="AE182" s="40"/>
      <c r="AF182" s="40"/>
      <c r="AG182" s="40"/>
      <c r="AH182" s="40"/>
      <c r="AI182" s="40"/>
      <c r="AJ182" s="40"/>
      <c r="AK182" s="6">
        <v>1</v>
      </c>
      <c r="AL182" s="6">
        <v>1</v>
      </c>
      <c r="AM182" s="6">
        <v>1</v>
      </c>
      <c r="AN182" s="6">
        <v>1</v>
      </c>
      <c r="AO182" s="6">
        <v>1</v>
      </c>
      <c r="AP182" s="7">
        <v>1</v>
      </c>
      <c r="BC182" t="s">
        <v>3468</v>
      </c>
      <c r="BD182" s="7" t="s">
        <v>3469</v>
      </c>
      <c r="BE182" s="7" t="s">
        <v>3470</v>
      </c>
      <c r="BF182" s="1" t="s">
        <v>29</v>
      </c>
      <c r="BG182" s="1">
        <v>4</v>
      </c>
      <c r="BH182">
        <v>2</v>
      </c>
      <c r="BK182" s="1">
        <v>1</v>
      </c>
      <c r="BQ182">
        <v>1</v>
      </c>
      <c r="CB182" s="7">
        <v>1</v>
      </c>
      <c r="CM182">
        <v>1</v>
      </c>
      <c r="CR182" t="s">
        <v>72</v>
      </c>
      <c r="CS182" s="7" t="s">
        <v>3472</v>
      </c>
    </row>
    <row r="183" spans="1:98">
      <c r="B183" t="s">
        <v>4525</v>
      </c>
      <c r="C183" s="2" t="s">
        <v>1929</v>
      </c>
      <c r="D183" s="3" t="s">
        <v>3186</v>
      </c>
      <c r="E183" s="8" t="s">
        <v>710</v>
      </c>
      <c r="F183" s="8" t="s">
        <v>115</v>
      </c>
      <c r="G183" s="1">
        <v>1</v>
      </c>
      <c r="H183" s="1"/>
      <c r="I183" s="1">
        <f>1802-41</f>
        <v>1761</v>
      </c>
      <c r="J183" t="s">
        <v>10</v>
      </c>
      <c r="K183" s="4" t="s">
        <v>12</v>
      </c>
      <c r="Q183">
        <v>5</v>
      </c>
      <c r="R183">
        <v>3</v>
      </c>
      <c r="T183" s="5">
        <f>((Q183*316)+(R183*26.3)+(S183*2.2))/10</f>
        <v>165.89000000000001</v>
      </c>
      <c r="U183" t="s">
        <v>4526</v>
      </c>
      <c r="AC183" s="6">
        <v>1</v>
      </c>
      <c r="AD183" s="6">
        <v>1</v>
      </c>
      <c r="AE183" s="6">
        <v>1</v>
      </c>
      <c r="AF183" s="6">
        <v>1</v>
      </c>
      <c r="AG183" s="6">
        <v>1</v>
      </c>
      <c r="AH183" s="9"/>
      <c r="AI183" s="6">
        <v>1</v>
      </c>
      <c r="AJ183" s="7">
        <v>1</v>
      </c>
      <c r="BC183" t="s">
        <v>1420</v>
      </c>
      <c r="BD183" s="7" t="s">
        <v>959</v>
      </c>
      <c r="BE183" s="7" t="s">
        <v>1558</v>
      </c>
      <c r="BF183" s="1" t="s">
        <v>29</v>
      </c>
      <c r="BG183" s="1">
        <v>2</v>
      </c>
      <c r="BH183">
        <v>2</v>
      </c>
      <c r="BK183" s="1" t="s">
        <v>72</v>
      </c>
      <c r="BQ183">
        <v>1</v>
      </c>
      <c r="CB183" s="7">
        <v>1</v>
      </c>
      <c r="CM183">
        <v>1</v>
      </c>
      <c r="CS183" s="7" t="s">
        <v>4527</v>
      </c>
    </row>
    <row r="184" spans="1:98">
      <c r="B184" t="s">
        <v>2140</v>
      </c>
      <c r="C184" s="2" t="s">
        <v>2141</v>
      </c>
      <c r="D184" s="2" t="s">
        <v>1635</v>
      </c>
      <c r="E184" s="8" t="s">
        <v>130</v>
      </c>
      <c r="F184" s="8" t="s">
        <v>65</v>
      </c>
      <c r="G184" s="1">
        <v>1</v>
      </c>
      <c r="H184" s="1"/>
      <c r="I184" s="1">
        <f>1803-26</f>
        <v>1777</v>
      </c>
      <c r="J184" t="s">
        <v>10</v>
      </c>
      <c r="K184" s="4" t="s">
        <v>12</v>
      </c>
      <c r="Q184">
        <v>5</v>
      </c>
      <c r="R184">
        <v>5</v>
      </c>
      <c r="T184" s="5">
        <f>((Q184*316)+(R184*26.3)+(S184*2.2))/10</f>
        <v>171.15</v>
      </c>
      <c r="U184" t="s">
        <v>2139</v>
      </c>
      <c r="AC184" s="6">
        <v>1</v>
      </c>
      <c r="AD184" s="6">
        <v>1</v>
      </c>
      <c r="AE184" s="6">
        <v>1</v>
      </c>
      <c r="AF184" s="6">
        <v>1</v>
      </c>
      <c r="AG184" s="6">
        <v>1</v>
      </c>
      <c r="AH184" s="6">
        <v>1</v>
      </c>
      <c r="AI184" s="6">
        <v>1</v>
      </c>
      <c r="AJ184" s="6">
        <v>1</v>
      </c>
      <c r="AK184" s="7">
        <v>1</v>
      </c>
      <c r="BC184" t="s">
        <v>1528</v>
      </c>
      <c r="BD184" s="7" t="s">
        <v>280</v>
      </c>
      <c r="BE184" t="s">
        <v>1502</v>
      </c>
      <c r="BF184" s="1" t="s">
        <v>29</v>
      </c>
      <c r="BG184" s="1">
        <v>2</v>
      </c>
      <c r="BH184">
        <v>1</v>
      </c>
      <c r="BK184" s="1">
        <v>1</v>
      </c>
      <c r="BQ184">
        <v>1</v>
      </c>
      <c r="CN184">
        <v>1</v>
      </c>
      <c r="CS184" s="7" t="s">
        <v>947</v>
      </c>
    </row>
    <row r="185" spans="1:98">
      <c r="B185" t="s">
        <v>4373</v>
      </c>
      <c r="C185" s="2" t="s">
        <v>1624</v>
      </c>
      <c r="D185" s="15"/>
      <c r="F185" s="8" t="s">
        <v>65</v>
      </c>
      <c r="G185" s="1">
        <v>1</v>
      </c>
      <c r="H185" s="1"/>
      <c r="I185" s="1">
        <f>1797-25</f>
        <v>1772</v>
      </c>
      <c r="J185" t="s">
        <v>10</v>
      </c>
      <c r="K185" s="4" t="s">
        <v>12</v>
      </c>
      <c r="T185" s="5"/>
      <c r="U185" s="9" t="s">
        <v>4372</v>
      </c>
      <c r="AD185" s="9">
        <v>1</v>
      </c>
      <c r="AE185" s="6">
        <v>1</v>
      </c>
      <c r="AF185" s="14">
        <v>1</v>
      </c>
      <c r="BC185" s="9" t="s">
        <v>4376</v>
      </c>
      <c r="BD185" s="14" t="s">
        <v>338</v>
      </c>
      <c r="BE185" t="s">
        <v>70</v>
      </c>
      <c r="BF185" s="1" t="s">
        <v>339</v>
      </c>
      <c r="BG185" s="1">
        <v>2</v>
      </c>
      <c r="BH185">
        <v>1</v>
      </c>
      <c r="BK185" s="1"/>
      <c r="BZ185">
        <v>1</v>
      </c>
      <c r="CS185" s="14" t="s">
        <v>4377</v>
      </c>
      <c r="CT185" t="s">
        <v>4378</v>
      </c>
    </row>
    <row r="186" spans="1:98">
      <c r="B186" t="s">
        <v>4374</v>
      </c>
      <c r="C186" s="13" t="s">
        <v>4375</v>
      </c>
      <c r="D186" s="15"/>
      <c r="F186" s="8" t="s">
        <v>88</v>
      </c>
      <c r="G186" s="1"/>
      <c r="H186" s="1">
        <v>1</v>
      </c>
      <c r="I186" s="1">
        <f>1797-31</f>
        <v>1766</v>
      </c>
      <c r="J186" t="s">
        <v>69</v>
      </c>
      <c r="K186" s="4" t="s">
        <v>12</v>
      </c>
      <c r="T186" s="5"/>
      <c r="U186" s="9" t="s">
        <v>4372</v>
      </c>
      <c r="AD186" s="9">
        <v>1</v>
      </c>
      <c r="AE186" s="6">
        <v>1</v>
      </c>
      <c r="AF186" s="14">
        <v>1</v>
      </c>
      <c r="BC186" s="9" t="s">
        <v>4376</v>
      </c>
      <c r="BD186" s="14" t="s">
        <v>338</v>
      </c>
      <c r="BE186" t="s">
        <v>70</v>
      </c>
      <c r="BF186" s="1" t="s">
        <v>339</v>
      </c>
      <c r="BG186" s="1">
        <v>2</v>
      </c>
      <c r="BH186">
        <v>1</v>
      </c>
      <c r="BK186" s="1"/>
      <c r="BZ186">
        <v>1</v>
      </c>
      <c r="CS186" s="14" t="s">
        <v>4377</v>
      </c>
      <c r="CT186" t="s">
        <v>4378</v>
      </c>
    </row>
    <row r="187" spans="1:98">
      <c r="B187" t="s">
        <v>4382</v>
      </c>
      <c r="C187" s="13" t="s">
        <v>4383</v>
      </c>
      <c r="D187" s="15"/>
      <c r="F187" s="8" t="s">
        <v>88</v>
      </c>
      <c r="G187" s="1"/>
      <c r="H187" s="1">
        <v>1</v>
      </c>
      <c r="I187" s="1">
        <f>1797-40</f>
        <v>1757</v>
      </c>
      <c r="J187" t="s">
        <v>69</v>
      </c>
      <c r="K187" s="4" t="s">
        <v>12</v>
      </c>
      <c r="T187" s="5"/>
      <c r="U187" s="9" t="s">
        <v>4372</v>
      </c>
      <c r="AD187" s="9">
        <v>1</v>
      </c>
      <c r="AE187" s="6">
        <v>1</v>
      </c>
      <c r="AF187" s="6">
        <v>1</v>
      </c>
      <c r="AG187" s="6">
        <v>1</v>
      </c>
      <c r="AH187" s="6">
        <v>1</v>
      </c>
      <c r="BC187">
        <v>1800</v>
      </c>
      <c r="BD187" t="s">
        <v>81</v>
      </c>
      <c r="BE187" s="10" t="s">
        <v>70</v>
      </c>
      <c r="BF187" s="1" t="s">
        <v>73</v>
      </c>
      <c r="BG187" s="1">
        <v>3</v>
      </c>
      <c r="BH187">
        <v>1</v>
      </c>
      <c r="BK187" s="1"/>
      <c r="BZ187">
        <v>1</v>
      </c>
      <c r="CS187" t="s">
        <v>966</v>
      </c>
      <c r="CT187" s="10" t="s">
        <v>4381</v>
      </c>
    </row>
    <row r="188" spans="1:98">
      <c r="B188" t="s">
        <v>4272</v>
      </c>
      <c r="C188" s="13" t="s">
        <v>4273</v>
      </c>
      <c r="D188" s="15"/>
      <c r="F188" s="8" t="s">
        <v>4274</v>
      </c>
      <c r="G188" s="1"/>
      <c r="H188" s="1">
        <v>1</v>
      </c>
      <c r="I188" s="1">
        <f>1803-27</f>
        <v>1776</v>
      </c>
      <c r="J188" t="s">
        <v>69</v>
      </c>
      <c r="K188" s="4" t="s">
        <v>900</v>
      </c>
      <c r="M188">
        <v>1</v>
      </c>
      <c r="O188">
        <v>1</v>
      </c>
      <c r="P188">
        <v>1</v>
      </c>
      <c r="Q188">
        <v>5</v>
      </c>
      <c r="R188">
        <v>5</v>
      </c>
      <c r="T188" s="5">
        <f>((Q188*316)+(R188*26.3)+(S188*2.2))/10</f>
        <v>171.15</v>
      </c>
      <c r="U188" t="s">
        <v>4277</v>
      </c>
      <c r="AD188" s="6">
        <v>1</v>
      </c>
      <c r="AE188" s="6">
        <v>1</v>
      </c>
      <c r="AF188" s="6">
        <v>1</v>
      </c>
      <c r="AG188" s="6">
        <v>1</v>
      </c>
      <c r="AH188" s="6">
        <v>1</v>
      </c>
      <c r="AI188" s="6">
        <v>1</v>
      </c>
      <c r="AJ188" s="6">
        <v>1</v>
      </c>
      <c r="AK188" s="6">
        <v>1</v>
      </c>
      <c r="AL188" s="6">
        <v>1</v>
      </c>
      <c r="AM188" s="7">
        <v>1</v>
      </c>
      <c r="BC188" t="s">
        <v>1329</v>
      </c>
      <c r="BD188" s="7" t="s">
        <v>280</v>
      </c>
      <c r="BE188" t="s">
        <v>2635</v>
      </c>
      <c r="BF188" s="1" t="s">
        <v>29</v>
      </c>
      <c r="BG188" s="1">
        <v>2</v>
      </c>
      <c r="BH188">
        <v>1</v>
      </c>
      <c r="BK188" s="1"/>
      <c r="BO188">
        <v>1</v>
      </c>
      <c r="BQ188">
        <v>1</v>
      </c>
      <c r="CN188">
        <v>1</v>
      </c>
      <c r="CS188" s="7" t="s">
        <v>947</v>
      </c>
    </row>
    <row r="189" spans="1:98">
      <c r="A189" t="s">
        <v>72</v>
      </c>
      <c r="B189" t="s">
        <v>934</v>
      </c>
      <c r="C189" s="60"/>
      <c r="F189" t="s">
        <v>7</v>
      </c>
      <c r="G189" s="1"/>
      <c r="H189" s="1"/>
      <c r="I189" s="1"/>
      <c r="K189" s="4"/>
      <c r="T189" s="5"/>
      <c r="U189" t="s">
        <v>751</v>
      </c>
      <c r="AD189" s="6">
        <v>1</v>
      </c>
      <c r="AE189" s="6">
        <v>1</v>
      </c>
      <c r="AF189" s="6">
        <v>1</v>
      </c>
      <c r="AG189" s="6">
        <v>1</v>
      </c>
      <c r="AH189" s="7">
        <v>1</v>
      </c>
      <c r="BC189" t="s">
        <v>935</v>
      </c>
      <c r="BD189" s="7" t="s">
        <v>26</v>
      </c>
      <c r="BE189" t="s">
        <v>927</v>
      </c>
      <c r="BF189" s="1" t="s">
        <v>29</v>
      </c>
      <c r="BG189" s="1">
        <v>2</v>
      </c>
      <c r="BH189">
        <v>2</v>
      </c>
      <c r="BK189" s="1"/>
      <c r="BO189">
        <v>1</v>
      </c>
      <c r="BR189">
        <v>1</v>
      </c>
      <c r="BS189">
        <v>1</v>
      </c>
      <c r="CL189">
        <v>1</v>
      </c>
      <c r="CS189" s="7" t="s">
        <v>936</v>
      </c>
    </row>
    <row r="190" spans="1:98">
      <c r="B190" t="s">
        <v>752</v>
      </c>
      <c r="C190" s="2" t="s">
        <v>166</v>
      </c>
      <c r="E190" s="8" t="s">
        <v>481</v>
      </c>
      <c r="F190" s="8" t="s">
        <v>65</v>
      </c>
      <c r="G190" s="1">
        <v>1</v>
      </c>
      <c r="H190" s="1"/>
      <c r="I190" s="1">
        <f>1796-19</f>
        <v>1777</v>
      </c>
      <c r="J190" t="s">
        <v>10</v>
      </c>
      <c r="K190" s="4" t="s">
        <v>12</v>
      </c>
      <c r="Q190">
        <v>5</v>
      </c>
      <c r="R190">
        <v>4</v>
      </c>
      <c r="T190" s="5">
        <f t="shared" ref="T190:T197" si="9">((Q190*316)+(R190*26.3)+(S190*2.2))/10</f>
        <v>168.52</v>
      </c>
      <c r="U190" t="s">
        <v>751</v>
      </c>
      <c r="AD190" s="7">
        <v>1</v>
      </c>
      <c r="BC190" t="s">
        <v>756</v>
      </c>
      <c r="BD190" s="7" t="s">
        <v>280</v>
      </c>
      <c r="BE190" t="s">
        <v>744</v>
      </c>
      <c r="BF190" s="1" t="s">
        <v>29</v>
      </c>
      <c r="BG190" s="1">
        <v>2</v>
      </c>
      <c r="BH190">
        <v>1</v>
      </c>
      <c r="BK190" s="1"/>
      <c r="BO190">
        <v>1</v>
      </c>
      <c r="BR190">
        <v>1</v>
      </c>
      <c r="CN190">
        <v>1</v>
      </c>
      <c r="CS190" s="7" t="s">
        <v>745</v>
      </c>
    </row>
    <row r="191" spans="1:98">
      <c r="B191" t="s">
        <v>871</v>
      </c>
      <c r="C191" s="2" t="s">
        <v>166</v>
      </c>
      <c r="E191" s="8" t="s">
        <v>481</v>
      </c>
      <c r="F191" s="8" t="s">
        <v>65</v>
      </c>
      <c r="G191" s="1">
        <v>1</v>
      </c>
      <c r="H191" s="1"/>
      <c r="I191" s="1">
        <f>1796-20</f>
        <v>1776</v>
      </c>
      <c r="J191" t="s">
        <v>10</v>
      </c>
      <c r="K191" s="4" t="s">
        <v>12</v>
      </c>
      <c r="Q191">
        <v>5</v>
      </c>
      <c r="R191">
        <v>1</v>
      </c>
      <c r="T191" s="5">
        <f t="shared" si="9"/>
        <v>160.63</v>
      </c>
      <c r="U191" t="s">
        <v>872</v>
      </c>
      <c r="AD191" s="6">
        <v>1</v>
      </c>
      <c r="AE191" s="6">
        <v>1</v>
      </c>
      <c r="AF191" s="6">
        <v>1</v>
      </c>
      <c r="AG191" s="6">
        <v>1</v>
      </c>
      <c r="AH191" s="6">
        <v>1</v>
      </c>
      <c r="AI191" s="6">
        <v>1</v>
      </c>
      <c r="AJ191" s="7">
        <v>1</v>
      </c>
      <c r="BC191" t="s">
        <v>873</v>
      </c>
      <c r="BD191" s="7" t="s">
        <v>280</v>
      </c>
      <c r="BE191" t="s">
        <v>874</v>
      </c>
      <c r="BF191" s="1" t="s">
        <v>29</v>
      </c>
      <c r="BG191" s="1">
        <v>5</v>
      </c>
      <c r="BH191">
        <v>2</v>
      </c>
      <c r="BK191" s="1"/>
      <c r="BO191">
        <v>1</v>
      </c>
      <c r="BR191">
        <v>1</v>
      </c>
      <c r="BV191">
        <v>1</v>
      </c>
      <c r="CL191">
        <v>1</v>
      </c>
      <c r="CN191">
        <v>1</v>
      </c>
      <c r="CS191" s="7" t="s">
        <v>875</v>
      </c>
    </row>
    <row r="192" spans="1:98">
      <c r="B192" t="s">
        <v>931</v>
      </c>
      <c r="C192" s="2" t="s">
        <v>932</v>
      </c>
      <c r="D192" s="2" t="s">
        <v>932</v>
      </c>
      <c r="E192" s="8" t="s">
        <v>481</v>
      </c>
      <c r="F192" s="8" t="s">
        <v>65</v>
      </c>
      <c r="G192" s="1">
        <v>1</v>
      </c>
      <c r="H192" s="1"/>
      <c r="I192" s="1">
        <f>1796-16</f>
        <v>1780</v>
      </c>
      <c r="J192" t="s">
        <v>10</v>
      </c>
      <c r="K192" s="4" t="s">
        <v>12</v>
      </c>
      <c r="Q192">
        <v>5</v>
      </c>
      <c r="R192">
        <v>2</v>
      </c>
      <c r="T192" s="5">
        <f t="shared" si="9"/>
        <v>163.26</v>
      </c>
      <c r="U192" t="s">
        <v>872</v>
      </c>
      <c r="AD192" s="6">
        <v>1</v>
      </c>
      <c r="AE192" s="6">
        <v>1</v>
      </c>
      <c r="AF192" s="6">
        <v>1</v>
      </c>
      <c r="AG192" s="7">
        <v>1</v>
      </c>
      <c r="BC192" t="s">
        <v>929</v>
      </c>
      <c r="BD192" s="7" t="s">
        <v>163</v>
      </c>
      <c r="BE192" t="s">
        <v>927</v>
      </c>
      <c r="BF192" s="1" t="s">
        <v>29</v>
      </c>
      <c r="BG192" s="1">
        <v>3</v>
      </c>
      <c r="BH192">
        <v>2</v>
      </c>
      <c r="BK192" s="1"/>
      <c r="BO192">
        <v>1</v>
      </c>
      <c r="BR192">
        <v>1</v>
      </c>
      <c r="BS192">
        <v>1</v>
      </c>
      <c r="CL192">
        <v>1</v>
      </c>
      <c r="CN192">
        <v>1</v>
      </c>
      <c r="CO192">
        <v>1</v>
      </c>
      <c r="CS192" s="7" t="s">
        <v>933</v>
      </c>
    </row>
    <row r="193" spans="1:97">
      <c r="B193" t="s">
        <v>981</v>
      </c>
      <c r="C193" s="2" t="s">
        <v>932</v>
      </c>
      <c r="D193" s="2" t="s">
        <v>932</v>
      </c>
      <c r="E193" s="8" t="s">
        <v>481</v>
      </c>
      <c r="F193" s="8" t="s">
        <v>65</v>
      </c>
      <c r="G193" s="1">
        <v>1</v>
      </c>
      <c r="H193" s="1"/>
      <c r="I193" s="1">
        <f>1796-20</f>
        <v>1776</v>
      </c>
      <c r="J193" t="s">
        <v>10</v>
      </c>
      <c r="K193" s="4" t="s">
        <v>12</v>
      </c>
      <c r="Q193">
        <v>5</v>
      </c>
      <c r="R193">
        <v>2</v>
      </c>
      <c r="T193" s="5">
        <f t="shared" si="9"/>
        <v>163.26</v>
      </c>
      <c r="U193" t="s">
        <v>872</v>
      </c>
      <c r="AD193" s="6">
        <v>1</v>
      </c>
      <c r="AE193" s="6">
        <v>1</v>
      </c>
      <c r="AF193" s="6">
        <v>1</v>
      </c>
      <c r="AG193" s="6">
        <v>1</v>
      </c>
      <c r="AH193" s="6">
        <v>1</v>
      </c>
      <c r="AI193" s="6">
        <v>1</v>
      </c>
      <c r="AJ193" s="6">
        <v>1</v>
      </c>
      <c r="AK193" s="6">
        <v>1</v>
      </c>
      <c r="AL193" s="6">
        <v>1</v>
      </c>
      <c r="AM193" s="7">
        <v>1</v>
      </c>
      <c r="BC193" t="s">
        <v>982</v>
      </c>
      <c r="BD193" s="7" t="s">
        <v>103</v>
      </c>
      <c r="BE193" t="s">
        <v>975</v>
      </c>
      <c r="BF193" s="1" t="s">
        <v>29</v>
      </c>
      <c r="BG193" s="1">
        <v>7</v>
      </c>
      <c r="BH193">
        <v>3</v>
      </c>
      <c r="BI193">
        <v>1</v>
      </c>
      <c r="BK193" s="1"/>
      <c r="BO193">
        <v>1</v>
      </c>
      <c r="BQ193">
        <v>1</v>
      </c>
      <c r="BR193">
        <v>1</v>
      </c>
      <c r="BS193">
        <v>1</v>
      </c>
      <c r="CL193">
        <v>1</v>
      </c>
      <c r="CS193" s="7" t="s">
        <v>986</v>
      </c>
    </row>
    <row r="194" spans="1:97">
      <c r="B194" t="s">
        <v>753</v>
      </c>
      <c r="C194" s="2" t="s">
        <v>754</v>
      </c>
      <c r="F194" s="8" t="s">
        <v>4275</v>
      </c>
      <c r="G194" s="1"/>
      <c r="H194" s="1">
        <v>1</v>
      </c>
      <c r="I194" s="1">
        <f>1796-16</f>
        <v>1780</v>
      </c>
      <c r="J194" t="s">
        <v>10</v>
      </c>
      <c r="K194" s="4" t="s">
        <v>12</v>
      </c>
      <c r="Q194">
        <v>5</v>
      </c>
      <c r="R194">
        <v>4</v>
      </c>
      <c r="T194" s="5">
        <f t="shared" si="9"/>
        <v>168.52</v>
      </c>
      <c r="U194" t="s">
        <v>755</v>
      </c>
      <c r="AD194" s="7">
        <v>1</v>
      </c>
      <c r="BC194" t="s">
        <v>756</v>
      </c>
      <c r="BD194" s="7" t="s">
        <v>280</v>
      </c>
      <c r="BE194" t="s">
        <v>744</v>
      </c>
      <c r="BF194" s="1" t="s">
        <v>29</v>
      </c>
      <c r="BG194" s="1">
        <v>2</v>
      </c>
      <c r="BH194">
        <v>1</v>
      </c>
      <c r="BK194" s="1"/>
      <c r="BO194">
        <v>1</v>
      </c>
      <c r="BR194">
        <v>1</v>
      </c>
      <c r="CN194">
        <v>1</v>
      </c>
      <c r="CS194" s="7" t="s">
        <v>745</v>
      </c>
    </row>
    <row r="195" spans="1:97">
      <c r="B195" t="s">
        <v>987</v>
      </c>
      <c r="C195" s="2" t="s">
        <v>932</v>
      </c>
      <c r="D195" s="2" t="s">
        <v>932</v>
      </c>
      <c r="E195" s="8" t="s">
        <v>481</v>
      </c>
      <c r="F195" s="8" t="s">
        <v>65</v>
      </c>
      <c r="G195" s="1">
        <v>1</v>
      </c>
      <c r="H195" s="1"/>
      <c r="I195" s="1">
        <f>1796-15</f>
        <v>1781</v>
      </c>
      <c r="J195" t="s">
        <v>10</v>
      </c>
      <c r="K195" s="4" t="s">
        <v>12</v>
      </c>
      <c r="Q195">
        <v>5</v>
      </c>
      <c r="R195">
        <v>2</v>
      </c>
      <c r="T195" s="5">
        <f t="shared" si="9"/>
        <v>163.26</v>
      </c>
      <c r="U195" t="s">
        <v>755</v>
      </c>
      <c r="AD195" s="6">
        <v>1</v>
      </c>
      <c r="AE195" s="6">
        <v>1</v>
      </c>
      <c r="AF195" s="6">
        <v>1</v>
      </c>
      <c r="AG195" s="6">
        <v>1</v>
      </c>
      <c r="AH195" s="6">
        <v>1</v>
      </c>
      <c r="AI195" s="6">
        <v>1</v>
      </c>
      <c r="AJ195" s="6">
        <v>1</v>
      </c>
      <c r="AK195" s="6">
        <v>1</v>
      </c>
      <c r="AL195" s="6">
        <v>1</v>
      </c>
      <c r="AM195" s="7">
        <v>1</v>
      </c>
      <c r="BC195" t="s">
        <v>982</v>
      </c>
      <c r="BD195" s="7" t="s">
        <v>103</v>
      </c>
      <c r="BE195" t="s">
        <v>975</v>
      </c>
      <c r="BF195" s="1" t="s">
        <v>29</v>
      </c>
      <c r="BG195" s="1">
        <v>7</v>
      </c>
      <c r="BH195">
        <v>3</v>
      </c>
      <c r="BI195">
        <v>1</v>
      </c>
      <c r="BK195" s="1"/>
      <c r="BO195">
        <v>1</v>
      </c>
      <c r="BQ195">
        <v>1</v>
      </c>
      <c r="BR195">
        <v>1</v>
      </c>
      <c r="BS195">
        <v>1</v>
      </c>
      <c r="CL195">
        <v>1</v>
      </c>
      <c r="CS195" s="7" t="s">
        <v>986</v>
      </c>
    </row>
    <row r="196" spans="1:97">
      <c r="B196" t="s">
        <v>983</v>
      </c>
      <c r="C196" s="13" t="s">
        <v>984</v>
      </c>
      <c r="F196" s="8" t="s">
        <v>234</v>
      </c>
      <c r="G196" s="1">
        <v>1</v>
      </c>
      <c r="H196" s="1"/>
      <c r="I196" s="1">
        <f>1796-24</f>
        <v>1772</v>
      </c>
      <c r="J196" t="s">
        <v>10</v>
      </c>
      <c r="K196" s="4" t="s">
        <v>12</v>
      </c>
      <c r="Q196">
        <v>5</v>
      </c>
      <c r="R196">
        <v>4</v>
      </c>
      <c r="T196" s="5">
        <f t="shared" si="9"/>
        <v>168.52</v>
      </c>
      <c r="U196" t="s">
        <v>985</v>
      </c>
      <c r="AD196" s="6">
        <v>1</v>
      </c>
      <c r="AE196" s="6">
        <v>1</v>
      </c>
      <c r="AF196" s="6">
        <v>1</v>
      </c>
      <c r="AG196" s="6">
        <v>1</v>
      </c>
      <c r="AH196" s="6">
        <v>1</v>
      </c>
      <c r="AI196" s="6">
        <v>1</v>
      </c>
      <c r="AJ196" s="6">
        <v>1</v>
      </c>
      <c r="AK196" s="6">
        <v>1</v>
      </c>
      <c r="AL196" s="6">
        <v>1</v>
      </c>
      <c r="AM196" s="7">
        <v>1</v>
      </c>
      <c r="BC196" t="s">
        <v>982</v>
      </c>
      <c r="BD196" s="7" t="s">
        <v>103</v>
      </c>
      <c r="BE196" t="s">
        <v>975</v>
      </c>
      <c r="BF196" s="1" t="s">
        <v>29</v>
      </c>
      <c r="BG196" s="1">
        <v>7</v>
      </c>
      <c r="BH196">
        <v>3</v>
      </c>
      <c r="BI196">
        <v>1</v>
      </c>
      <c r="BK196" s="1"/>
      <c r="BO196">
        <v>1</v>
      </c>
      <c r="BQ196">
        <v>1</v>
      </c>
      <c r="BR196">
        <v>1</v>
      </c>
      <c r="BS196">
        <v>1</v>
      </c>
      <c r="CL196">
        <v>1</v>
      </c>
      <c r="CS196" s="7" t="s">
        <v>986</v>
      </c>
    </row>
    <row r="197" spans="1:97">
      <c r="B197" t="s">
        <v>746</v>
      </c>
      <c r="C197" s="15" t="s">
        <v>747</v>
      </c>
      <c r="F197" s="8" t="s">
        <v>4275</v>
      </c>
      <c r="G197" s="1"/>
      <c r="H197" s="1">
        <v>1</v>
      </c>
      <c r="I197" s="1">
        <f>1796-33</f>
        <v>1763</v>
      </c>
      <c r="J197" t="s">
        <v>10</v>
      </c>
      <c r="K197" s="4" t="s">
        <v>12</v>
      </c>
      <c r="Q197">
        <v>5</v>
      </c>
      <c r="R197">
        <v>1</v>
      </c>
      <c r="T197" s="5">
        <f t="shared" si="9"/>
        <v>160.63</v>
      </c>
      <c r="U197" t="s">
        <v>750</v>
      </c>
      <c r="AD197" s="7">
        <v>1</v>
      </c>
      <c r="BC197" t="s">
        <v>749</v>
      </c>
      <c r="BD197" s="7" t="s">
        <v>280</v>
      </c>
      <c r="BE197" t="s">
        <v>744</v>
      </c>
      <c r="BF197" s="1" t="s">
        <v>29</v>
      </c>
      <c r="BG197" s="1">
        <v>2</v>
      </c>
      <c r="BH197">
        <v>1</v>
      </c>
      <c r="BK197" s="1"/>
      <c r="BO197">
        <v>1</v>
      </c>
      <c r="BR197">
        <v>1</v>
      </c>
      <c r="CN197">
        <v>1</v>
      </c>
      <c r="CS197" s="7" t="s">
        <v>745</v>
      </c>
    </row>
    <row r="198" spans="1:97">
      <c r="B198" t="s">
        <v>882</v>
      </c>
      <c r="C198" s="2" t="s">
        <v>883</v>
      </c>
      <c r="F198" s="8" t="s">
        <v>65</v>
      </c>
      <c r="G198" s="1">
        <v>1</v>
      </c>
      <c r="H198" s="1"/>
      <c r="I198" s="1">
        <f>1799-23</f>
        <v>1776</v>
      </c>
      <c r="J198" t="s">
        <v>10</v>
      </c>
      <c r="K198" s="4" t="s">
        <v>12</v>
      </c>
      <c r="T198" s="5"/>
      <c r="U198" t="s">
        <v>855</v>
      </c>
      <c r="AD198" s="6">
        <v>1</v>
      </c>
      <c r="AE198" s="6">
        <v>1</v>
      </c>
      <c r="AF198" s="6">
        <v>1</v>
      </c>
      <c r="AG198" s="6">
        <v>1</v>
      </c>
      <c r="AH198" s="7">
        <v>1</v>
      </c>
      <c r="BC198" t="s">
        <v>884</v>
      </c>
      <c r="BD198" s="7" t="s">
        <v>26</v>
      </c>
      <c r="BE198" t="s">
        <v>849</v>
      </c>
      <c r="BF198" s="1" t="s">
        <v>29</v>
      </c>
      <c r="BG198" s="1">
        <v>3</v>
      </c>
      <c r="BH198">
        <v>2</v>
      </c>
      <c r="BK198" s="1"/>
      <c r="BO198">
        <v>1</v>
      </c>
      <c r="BR198">
        <v>1</v>
      </c>
      <c r="BS198">
        <v>1</v>
      </c>
      <c r="CL198">
        <v>1</v>
      </c>
      <c r="CN198">
        <v>1</v>
      </c>
      <c r="CO198">
        <v>1</v>
      </c>
      <c r="CS198" s="7" t="s">
        <v>885</v>
      </c>
    </row>
    <row r="199" spans="1:97">
      <c r="A199" t="s">
        <v>72</v>
      </c>
      <c r="B199" t="s">
        <v>854</v>
      </c>
      <c r="C199" s="15" t="s">
        <v>349</v>
      </c>
      <c r="F199" t="s">
        <v>7</v>
      </c>
      <c r="G199" s="1"/>
      <c r="H199" s="1"/>
      <c r="I199" s="1"/>
      <c r="K199" s="4"/>
      <c r="T199" s="5"/>
      <c r="U199" t="s">
        <v>855</v>
      </c>
      <c r="AD199" s="6">
        <v>1</v>
      </c>
      <c r="AE199" s="6">
        <v>1</v>
      </c>
      <c r="AF199" s="6">
        <v>1</v>
      </c>
      <c r="AG199" s="7">
        <v>1</v>
      </c>
      <c r="BC199" t="s">
        <v>856</v>
      </c>
      <c r="BD199" s="7" t="s">
        <v>305</v>
      </c>
      <c r="BE199" t="s">
        <v>849</v>
      </c>
      <c r="BF199" s="1" t="s">
        <v>29</v>
      </c>
      <c r="BG199" s="1">
        <v>2</v>
      </c>
      <c r="BH199">
        <v>2</v>
      </c>
      <c r="BK199" s="1"/>
      <c r="BO199">
        <v>1</v>
      </c>
      <c r="BR199">
        <v>1</v>
      </c>
      <c r="BS199">
        <v>1</v>
      </c>
      <c r="CL199">
        <v>1</v>
      </c>
      <c r="CM199">
        <v>1</v>
      </c>
      <c r="CS199" s="7" t="s">
        <v>857</v>
      </c>
    </row>
    <row r="200" spans="1:97">
      <c r="B200" t="s">
        <v>879</v>
      </c>
      <c r="C200" s="15"/>
      <c r="F200" t="s">
        <v>7</v>
      </c>
      <c r="G200" s="1"/>
      <c r="H200" s="1"/>
      <c r="I200" s="1"/>
      <c r="K200" s="4"/>
      <c r="T200" s="5"/>
      <c r="U200" t="s">
        <v>855</v>
      </c>
      <c r="AD200" s="6">
        <v>1</v>
      </c>
      <c r="AE200" s="6">
        <v>1</v>
      </c>
      <c r="AF200" s="6">
        <v>1</v>
      </c>
      <c r="AG200" s="7">
        <v>1</v>
      </c>
      <c r="BC200" t="s">
        <v>880</v>
      </c>
      <c r="BD200" s="7" t="s">
        <v>26</v>
      </c>
      <c r="BE200" t="s">
        <v>849</v>
      </c>
      <c r="BF200" s="1" t="s">
        <v>29</v>
      </c>
      <c r="BG200" s="1">
        <v>3</v>
      </c>
      <c r="BH200">
        <v>2</v>
      </c>
      <c r="BK200" s="1"/>
      <c r="BO200">
        <v>1</v>
      </c>
      <c r="BR200">
        <v>1</v>
      </c>
      <c r="BS200">
        <v>1</v>
      </c>
      <c r="CL200">
        <v>1</v>
      </c>
      <c r="CR200">
        <v>1</v>
      </c>
      <c r="CS200" s="7" t="s">
        <v>881</v>
      </c>
    </row>
    <row r="201" spans="1:97">
      <c r="B201" t="s">
        <v>894</v>
      </c>
      <c r="C201" s="15" t="s">
        <v>349</v>
      </c>
      <c r="F201" s="8" t="s">
        <v>65</v>
      </c>
      <c r="G201" s="1">
        <v>1</v>
      </c>
      <c r="H201" s="1"/>
      <c r="I201" s="1">
        <f>1799-23</f>
        <v>1776</v>
      </c>
      <c r="J201" t="s">
        <v>10</v>
      </c>
      <c r="K201" s="4" t="s">
        <v>895</v>
      </c>
      <c r="Q201">
        <v>5</v>
      </c>
      <c r="R201">
        <v>0</v>
      </c>
      <c r="S201">
        <v>2</v>
      </c>
      <c r="T201" s="5">
        <f>((Q201*316)+(R201*26.3)+(S201*2.2))/10</f>
        <v>158.44</v>
      </c>
      <c r="U201" t="s">
        <v>749</v>
      </c>
      <c r="AD201" s="6">
        <v>1</v>
      </c>
      <c r="AE201" s="6">
        <v>1</v>
      </c>
      <c r="AF201" s="6">
        <v>1</v>
      </c>
      <c r="AG201" s="6">
        <v>1</v>
      </c>
      <c r="AH201" s="6">
        <v>1</v>
      </c>
      <c r="AI201" s="6">
        <v>1</v>
      </c>
      <c r="AJ201" s="7">
        <v>1</v>
      </c>
      <c r="BC201" t="s">
        <v>896</v>
      </c>
      <c r="BD201" s="7" t="s">
        <v>103</v>
      </c>
      <c r="BE201" t="s">
        <v>62</v>
      </c>
      <c r="BF201" s="1" t="s">
        <v>29</v>
      </c>
      <c r="BG201" s="1">
        <v>7</v>
      </c>
      <c r="BH201">
        <v>3</v>
      </c>
      <c r="BI201">
        <v>1</v>
      </c>
      <c r="BK201" s="1"/>
      <c r="BO201">
        <v>1</v>
      </c>
      <c r="BQ201">
        <v>1</v>
      </c>
      <c r="BR201">
        <v>1</v>
      </c>
      <c r="BS201">
        <v>1</v>
      </c>
      <c r="CL201">
        <v>1</v>
      </c>
      <c r="CS201" s="7" t="s">
        <v>897</v>
      </c>
    </row>
    <row r="202" spans="1:97">
      <c r="A202" t="s">
        <v>72</v>
      </c>
      <c r="B202" t="s">
        <v>928</v>
      </c>
      <c r="C202" s="15"/>
      <c r="F202" t="s">
        <v>7</v>
      </c>
      <c r="G202" s="1"/>
      <c r="H202" s="1"/>
      <c r="I202" s="1"/>
      <c r="K202" s="4"/>
      <c r="T202" s="5"/>
      <c r="U202" t="s">
        <v>749</v>
      </c>
      <c r="AD202" s="6">
        <v>1</v>
      </c>
      <c r="AE202" s="6">
        <v>1</v>
      </c>
      <c r="AF202" s="6">
        <v>1</v>
      </c>
      <c r="AG202" s="7">
        <v>1</v>
      </c>
      <c r="BC202" t="s">
        <v>929</v>
      </c>
      <c r="BD202" s="7" t="s">
        <v>305</v>
      </c>
      <c r="BE202" t="s">
        <v>927</v>
      </c>
      <c r="BF202" s="1" t="s">
        <v>29</v>
      </c>
      <c r="BG202" s="1">
        <v>3</v>
      </c>
      <c r="BH202">
        <v>2</v>
      </c>
      <c r="BK202" s="1"/>
      <c r="BO202">
        <v>1</v>
      </c>
      <c r="BR202">
        <v>1</v>
      </c>
      <c r="BS202">
        <v>1</v>
      </c>
      <c r="CL202">
        <v>1</v>
      </c>
      <c r="CM202">
        <v>1</v>
      </c>
      <c r="CS202" s="7" t="s">
        <v>930</v>
      </c>
    </row>
    <row r="203" spans="1:97">
      <c r="B203" t="s">
        <v>971</v>
      </c>
      <c r="C203" s="15" t="s">
        <v>349</v>
      </c>
      <c r="F203" s="8" t="s">
        <v>65</v>
      </c>
      <c r="G203" s="1">
        <v>1</v>
      </c>
      <c r="H203" s="1"/>
      <c r="I203" s="1">
        <f>1802-25</f>
        <v>1777</v>
      </c>
      <c r="J203" t="s">
        <v>10</v>
      </c>
      <c r="K203" s="4" t="s">
        <v>972</v>
      </c>
      <c r="Q203">
        <v>5</v>
      </c>
      <c r="R203">
        <v>1</v>
      </c>
      <c r="T203" s="5">
        <f>((Q203*316)+(R203*26.3)+(S203*2.2))/10</f>
        <v>160.63</v>
      </c>
      <c r="U203" t="s">
        <v>973</v>
      </c>
      <c r="AD203" s="6">
        <v>1</v>
      </c>
      <c r="AE203" s="6">
        <v>1</v>
      </c>
      <c r="AF203" s="6">
        <v>1</v>
      </c>
      <c r="AG203" s="6">
        <v>1</v>
      </c>
      <c r="AH203" s="6">
        <v>1</v>
      </c>
      <c r="AI203" s="6">
        <v>1</v>
      </c>
      <c r="AJ203" s="6">
        <v>1</v>
      </c>
      <c r="AK203" s="7">
        <v>1</v>
      </c>
      <c r="BC203" t="s">
        <v>974</v>
      </c>
      <c r="BD203" s="7" t="s">
        <v>280</v>
      </c>
      <c r="BE203" t="s">
        <v>975</v>
      </c>
      <c r="BF203" s="1" t="s">
        <v>29</v>
      </c>
      <c r="BG203" s="1">
        <v>5</v>
      </c>
      <c r="BH203">
        <v>3</v>
      </c>
      <c r="BI203">
        <v>1</v>
      </c>
      <c r="BK203" s="1"/>
      <c r="BO203">
        <v>1</v>
      </c>
      <c r="BQ203">
        <v>1</v>
      </c>
      <c r="BR203">
        <v>1</v>
      </c>
      <c r="BS203">
        <v>1</v>
      </c>
      <c r="CL203">
        <v>1</v>
      </c>
      <c r="CM203">
        <v>1</v>
      </c>
      <c r="CN203">
        <v>1</v>
      </c>
      <c r="CS203" s="7" t="s">
        <v>947</v>
      </c>
    </row>
    <row r="204" spans="1:97">
      <c r="A204" t="s">
        <v>72</v>
      </c>
      <c r="B204" t="s">
        <v>4414</v>
      </c>
      <c r="C204" s="13" t="s">
        <v>4415</v>
      </c>
      <c r="E204" s="8" t="s">
        <v>146</v>
      </c>
      <c r="F204" s="8" t="s">
        <v>65</v>
      </c>
      <c r="G204" s="1">
        <v>1</v>
      </c>
      <c r="H204" s="1"/>
      <c r="I204" s="1">
        <f>1803-28</f>
        <v>1775</v>
      </c>
      <c r="J204" t="s">
        <v>10</v>
      </c>
      <c r="K204" s="4" t="s">
        <v>12</v>
      </c>
      <c r="Q204">
        <v>5</v>
      </c>
      <c r="R204">
        <v>3</v>
      </c>
      <c r="T204" s="5">
        <f>((Q204*316)+(R204*26.3)+(S204*2.2))/10</f>
        <v>165.89000000000001</v>
      </c>
      <c r="U204" t="s">
        <v>4416</v>
      </c>
      <c r="AD204" s="6">
        <v>1</v>
      </c>
      <c r="AE204" s="6">
        <v>1</v>
      </c>
      <c r="AF204" s="6">
        <v>1</v>
      </c>
      <c r="AG204" s="6">
        <v>1</v>
      </c>
      <c r="AH204" s="6">
        <v>1</v>
      </c>
      <c r="AI204" s="6">
        <v>1</v>
      </c>
      <c r="AJ204" s="6">
        <v>1</v>
      </c>
      <c r="AK204" s="6">
        <v>1</v>
      </c>
      <c r="AL204" s="6">
        <v>1</v>
      </c>
      <c r="BC204">
        <v>1804</v>
      </c>
      <c r="BD204" t="s">
        <v>81</v>
      </c>
      <c r="BE204" s="10" t="s">
        <v>1307</v>
      </c>
      <c r="BF204" s="1" t="s">
        <v>73</v>
      </c>
      <c r="BG204" s="1">
        <v>3</v>
      </c>
      <c r="BH204">
        <v>2</v>
      </c>
      <c r="BK204" s="1" t="s">
        <v>72</v>
      </c>
      <c r="BQ204">
        <v>1</v>
      </c>
      <c r="CL204" s="10">
        <v>1</v>
      </c>
      <c r="CR204" s="9"/>
      <c r="CS204" s="10" t="s">
        <v>4417</v>
      </c>
    </row>
    <row r="205" spans="1:97">
      <c r="B205" t="s">
        <v>890</v>
      </c>
      <c r="C205" s="15"/>
      <c r="F205" t="s">
        <v>7</v>
      </c>
      <c r="G205" s="1"/>
      <c r="H205" s="1"/>
      <c r="I205" s="1"/>
      <c r="K205" s="4"/>
      <c r="T205" s="5"/>
      <c r="U205" t="s">
        <v>891</v>
      </c>
      <c r="AD205" s="6">
        <v>1</v>
      </c>
      <c r="AE205" s="6">
        <v>1</v>
      </c>
      <c r="AF205" s="6">
        <v>1</v>
      </c>
      <c r="AG205" s="6">
        <v>1</v>
      </c>
      <c r="AH205" s="6">
        <v>1</v>
      </c>
      <c r="AI205" s="7">
        <v>1</v>
      </c>
      <c r="BC205" t="s">
        <v>892</v>
      </c>
      <c r="BD205" s="7" t="s">
        <v>109</v>
      </c>
      <c r="BE205" t="s">
        <v>849</v>
      </c>
      <c r="BF205" s="1" t="s">
        <v>29</v>
      </c>
      <c r="BG205" s="1">
        <v>3</v>
      </c>
      <c r="BH205">
        <v>2</v>
      </c>
      <c r="BK205" s="1"/>
      <c r="BR205">
        <v>1</v>
      </c>
      <c r="BS205">
        <v>1</v>
      </c>
      <c r="CL205">
        <v>1</v>
      </c>
      <c r="CN205">
        <v>1</v>
      </c>
      <c r="CR205">
        <v>1</v>
      </c>
      <c r="CS205" s="7" t="s">
        <v>893</v>
      </c>
    </row>
    <row r="206" spans="1:97">
      <c r="B206" t="s">
        <v>903</v>
      </c>
      <c r="C206" s="15" t="s">
        <v>349</v>
      </c>
      <c r="F206" s="8" t="s">
        <v>65</v>
      </c>
      <c r="G206" s="1">
        <v>1</v>
      </c>
      <c r="H206" s="1"/>
      <c r="I206" s="1"/>
      <c r="J206" t="s">
        <v>69</v>
      </c>
      <c r="K206" s="4" t="s">
        <v>904</v>
      </c>
      <c r="Q206">
        <v>5</v>
      </c>
      <c r="R206">
        <v>2</v>
      </c>
      <c r="S206">
        <v>1</v>
      </c>
      <c r="T206" s="5">
        <f t="shared" ref="T206:T217" si="10">((Q206*316)+(R206*26.3)+(S206*2.2))/10</f>
        <v>163.47999999999999</v>
      </c>
      <c r="U206" t="s">
        <v>905</v>
      </c>
      <c r="AD206" s="6">
        <v>1</v>
      </c>
      <c r="AE206" s="6">
        <v>1</v>
      </c>
      <c r="AF206" s="6">
        <v>1</v>
      </c>
      <c r="AG206" s="6">
        <v>1</v>
      </c>
      <c r="AH206" s="6">
        <v>1</v>
      </c>
      <c r="AI206" s="6">
        <v>1</v>
      </c>
      <c r="AJ206" s="7">
        <v>1</v>
      </c>
      <c r="BC206" t="s">
        <v>896</v>
      </c>
      <c r="BD206" s="7" t="s">
        <v>103</v>
      </c>
      <c r="BE206" t="s">
        <v>62</v>
      </c>
      <c r="BF206" s="1" t="s">
        <v>29</v>
      </c>
      <c r="BG206" s="1">
        <v>6</v>
      </c>
      <c r="BH206">
        <v>3</v>
      </c>
      <c r="BI206">
        <v>1</v>
      </c>
      <c r="BK206" s="1"/>
      <c r="BO206">
        <v>1</v>
      </c>
      <c r="BQ206">
        <v>1</v>
      </c>
      <c r="BR206">
        <v>1</v>
      </c>
      <c r="BS206">
        <v>1</v>
      </c>
      <c r="CL206">
        <v>1</v>
      </c>
      <c r="CS206" s="7" t="s">
        <v>897</v>
      </c>
    </row>
    <row r="207" spans="1:97">
      <c r="B207" t="s">
        <v>845</v>
      </c>
      <c r="C207" s="13" t="s">
        <v>846</v>
      </c>
      <c r="F207" s="8" t="s">
        <v>409</v>
      </c>
      <c r="G207" s="1"/>
      <c r="H207" s="1">
        <v>1</v>
      </c>
      <c r="I207" s="1">
        <f>1796-30</f>
        <v>1766</v>
      </c>
      <c r="J207" t="s">
        <v>69</v>
      </c>
      <c r="K207" s="4" t="s">
        <v>12</v>
      </c>
      <c r="Q207">
        <v>5</v>
      </c>
      <c r="R207">
        <v>4</v>
      </c>
      <c r="T207" s="5">
        <f t="shared" si="10"/>
        <v>168.52</v>
      </c>
      <c r="U207" t="s">
        <v>844</v>
      </c>
      <c r="AD207" s="6">
        <v>1</v>
      </c>
      <c r="AE207" s="6">
        <v>1</v>
      </c>
      <c r="AF207" s="7">
        <v>1</v>
      </c>
      <c r="BC207" t="s">
        <v>847</v>
      </c>
      <c r="BD207" s="7" t="s">
        <v>848</v>
      </c>
      <c r="BE207" t="s">
        <v>849</v>
      </c>
      <c r="BF207" s="1" t="s">
        <v>29</v>
      </c>
      <c r="BG207" s="1">
        <v>3</v>
      </c>
      <c r="BH207">
        <v>2</v>
      </c>
      <c r="BK207" s="1"/>
      <c r="BO207">
        <v>1</v>
      </c>
      <c r="BR207">
        <v>1</v>
      </c>
      <c r="BS207">
        <v>1</v>
      </c>
      <c r="CL207">
        <v>1</v>
      </c>
      <c r="CS207" s="7" t="s">
        <v>850</v>
      </c>
    </row>
    <row r="208" spans="1:97">
      <c r="B208" t="s">
        <v>988</v>
      </c>
      <c r="C208" s="2" t="s">
        <v>932</v>
      </c>
      <c r="F208" s="8" t="s">
        <v>65</v>
      </c>
      <c r="G208" s="1">
        <v>1</v>
      </c>
      <c r="H208" s="1"/>
      <c r="I208" s="1">
        <f>1802-21</f>
        <v>1781</v>
      </c>
      <c r="J208" t="s">
        <v>10</v>
      </c>
      <c r="K208" s="4" t="s">
        <v>197</v>
      </c>
      <c r="Q208">
        <v>5</v>
      </c>
      <c r="R208">
        <v>1</v>
      </c>
      <c r="S208">
        <v>1</v>
      </c>
      <c r="T208" s="5">
        <f t="shared" si="10"/>
        <v>160.85</v>
      </c>
      <c r="U208" t="s">
        <v>989</v>
      </c>
      <c r="AD208" s="6">
        <v>1</v>
      </c>
      <c r="AE208" s="6">
        <v>1</v>
      </c>
      <c r="AF208" s="6">
        <v>1</v>
      </c>
      <c r="AG208" s="6">
        <v>1</v>
      </c>
      <c r="AH208" s="6">
        <v>1</v>
      </c>
      <c r="AI208" s="6">
        <v>1</v>
      </c>
      <c r="AJ208" s="6">
        <v>1</v>
      </c>
      <c r="AK208" s="6">
        <v>1</v>
      </c>
      <c r="AL208" s="6">
        <v>1</v>
      </c>
      <c r="AM208" s="6">
        <v>1</v>
      </c>
      <c r="AN208" s="6">
        <v>1</v>
      </c>
      <c r="AO208" s="6">
        <v>1</v>
      </c>
      <c r="AP208" s="6">
        <v>1</v>
      </c>
      <c r="AQ208" s="7">
        <v>1</v>
      </c>
      <c r="BC208" t="s">
        <v>688</v>
      </c>
      <c r="BD208" s="7" t="s">
        <v>163</v>
      </c>
      <c r="BE208" t="s">
        <v>990</v>
      </c>
      <c r="BF208" s="1" t="s">
        <v>29</v>
      </c>
      <c r="BG208" s="1">
        <v>10</v>
      </c>
      <c r="BH208">
        <v>5</v>
      </c>
      <c r="BK208" s="1"/>
      <c r="BO208">
        <v>1</v>
      </c>
      <c r="BQ208">
        <v>1</v>
      </c>
      <c r="BR208">
        <v>1</v>
      </c>
      <c r="BS208">
        <v>1</v>
      </c>
      <c r="BY208">
        <v>1</v>
      </c>
      <c r="CC208">
        <v>1</v>
      </c>
      <c r="CL208">
        <v>1</v>
      </c>
      <c r="CM208">
        <v>1</v>
      </c>
      <c r="CN208">
        <v>1</v>
      </c>
      <c r="CP208">
        <v>1</v>
      </c>
      <c r="CR208">
        <v>1</v>
      </c>
      <c r="CS208" s="7" t="s">
        <v>991</v>
      </c>
    </row>
    <row r="209" spans="1:98">
      <c r="B209" t="s">
        <v>1579</v>
      </c>
      <c r="C209" s="2" t="s">
        <v>1578</v>
      </c>
      <c r="F209" s="8" t="s">
        <v>65</v>
      </c>
      <c r="G209" s="1">
        <v>1</v>
      </c>
      <c r="H209" s="1"/>
      <c r="I209" s="1">
        <f>1796-19</f>
        <v>1777</v>
      </c>
      <c r="J209" t="s">
        <v>10</v>
      </c>
      <c r="K209" s="4" t="s">
        <v>12</v>
      </c>
      <c r="Q209">
        <v>5</v>
      </c>
      <c r="R209">
        <v>2</v>
      </c>
      <c r="S209">
        <v>3</v>
      </c>
      <c r="T209" s="5">
        <f t="shared" si="10"/>
        <v>163.92</v>
      </c>
      <c r="U209" t="s">
        <v>1580</v>
      </c>
      <c r="AD209" s="6">
        <v>1</v>
      </c>
      <c r="BC209">
        <v>1796</v>
      </c>
      <c r="BD209" t="s">
        <v>81</v>
      </c>
      <c r="BE209" t="s">
        <v>1581</v>
      </c>
      <c r="BF209" s="1" t="s">
        <v>73</v>
      </c>
      <c r="BG209" s="1">
        <v>1</v>
      </c>
      <c r="BH209">
        <v>1</v>
      </c>
      <c r="BK209" s="1"/>
      <c r="BO209">
        <v>1</v>
      </c>
      <c r="BR209">
        <v>1</v>
      </c>
      <c r="CS209" t="s">
        <v>1582</v>
      </c>
    </row>
    <row r="210" spans="1:98">
      <c r="B210" t="s">
        <v>1572</v>
      </c>
      <c r="C210" s="13" t="s">
        <v>1573</v>
      </c>
      <c r="F210" s="8" t="s">
        <v>4275</v>
      </c>
      <c r="G210" s="1"/>
      <c r="H210" s="1">
        <v>1</v>
      </c>
      <c r="I210" s="1">
        <f>1796-22</f>
        <v>1774</v>
      </c>
      <c r="J210" t="s">
        <v>69</v>
      </c>
      <c r="K210" s="4" t="s">
        <v>12</v>
      </c>
      <c r="Q210">
        <v>5</v>
      </c>
      <c r="R210">
        <v>4</v>
      </c>
      <c r="T210" s="5">
        <f t="shared" si="10"/>
        <v>168.52</v>
      </c>
      <c r="U210" t="s">
        <v>1574</v>
      </c>
      <c r="AD210" s="6">
        <v>1</v>
      </c>
      <c r="AE210" s="6">
        <v>1</v>
      </c>
      <c r="AF210" s="6">
        <v>1</v>
      </c>
      <c r="AG210" s="7">
        <v>1</v>
      </c>
      <c r="BC210" t="s">
        <v>1575</v>
      </c>
      <c r="BD210" s="7" t="s">
        <v>305</v>
      </c>
      <c r="BE210" t="s">
        <v>1576</v>
      </c>
      <c r="BF210" s="1" t="s">
        <v>29</v>
      </c>
      <c r="BG210" s="1">
        <v>2</v>
      </c>
      <c r="BH210">
        <v>2</v>
      </c>
      <c r="BK210" s="1"/>
      <c r="BO210">
        <v>1</v>
      </c>
      <c r="BR210">
        <v>1</v>
      </c>
      <c r="BS210">
        <v>1</v>
      </c>
      <c r="CL210">
        <v>1</v>
      </c>
      <c r="CM210">
        <v>1</v>
      </c>
      <c r="CS210" s="7" t="s">
        <v>1577</v>
      </c>
    </row>
    <row r="211" spans="1:98">
      <c r="B211" t="s">
        <v>4636</v>
      </c>
      <c r="C211" s="2" t="s">
        <v>3089</v>
      </c>
      <c r="F211" s="8" t="s">
        <v>218</v>
      </c>
      <c r="G211" s="1">
        <v>1</v>
      </c>
      <c r="H211" s="1"/>
      <c r="I211" s="1">
        <f>1804-26</f>
        <v>1778</v>
      </c>
      <c r="J211" t="s">
        <v>10</v>
      </c>
      <c r="K211" s="4" t="s">
        <v>12</v>
      </c>
      <c r="Q211">
        <v>5</v>
      </c>
      <c r="R211">
        <v>4</v>
      </c>
      <c r="S211">
        <v>3</v>
      </c>
      <c r="T211" s="5">
        <f t="shared" si="10"/>
        <v>169.18</v>
      </c>
      <c r="U211" t="s">
        <v>4637</v>
      </c>
      <c r="AD211" s="6">
        <v>1</v>
      </c>
      <c r="AE211" s="6">
        <v>1</v>
      </c>
      <c r="AF211" s="6">
        <v>1</v>
      </c>
      <c r="AG211" s="6">
        <v>1</v>
      </c>
      <c r="AH211" s="6">
        <v>1</v>
      </c>
      <c r="AI211" s="6">
        <v>1</v>
      </c>
      <c r="AJ211" s="6">
        <v>1</v>
      </c>
      <c r="AK211" s="6">
        <v>1</v>
      </c>
      <c r="AL211" s="6">
        <v>1</v>
      </c>
      <c r="AM211" s="7">
        <v>1</v>
      </c>
      <c r="BC211" t="s">
        <v>4638</v>
      </c>
      <c r="BD211" s="7" t="s">
        <v>959</v>
      </c>
      <c r="BE211" s="7" t="s">
        <v>1558</v>
      </c>
      <c r="BF211" s="1" t="s">
        <v>29</v>
      </c>
      <c r="BG211" s="1">
        <v>3</v>
      </c>
      <c r="BH211">
        <v>2</v>
      </c>
      <c r="BK211" s="1" t="s">
        <v>72</v>
      </c>
      <c r="BQ211">
        <v>1</v>
      </c>
      <c r="CB211" s="7">
        <v>1</v>
      </c>
      <c r="CM211">
        <v>1</v>
      </c>
      <c r="CS211" s="7" t="s">
        <v>4639</v>
      </c>
    </row>
    <row r="212" spans="1:98">
      <c r="B212" t="s">
        <v>4640</v>
      </c>
      <c r="C212" s="2" t="s">
        <v>4641</v>
      </c>
      <c r="D212" s="3" t="s">
        <v>192</v>
      </c>
      <c r="E212" s="8" t="s">
        <v>3373</v>
      </c>
      <c r="F212" s="8" t="s">
        <v>218</v>
      </c>
      <c r="G212" s="1">
        <v>1</v>
      </c>
      <c r="H212" s="1"/>
      <c r="I212" s="1">
        <f>1804-29</f>
        <v>1775</v>
      </c>
      <c r="J212" t="s">
        <v>10</v>
      </c>
      <c r="K212" s="4" t="s">
        <v>2356</v>
      </c>
      <c r="Q212">
        <v>5</v>
      </c>
      <c r="R212">
        <v>5</v>
      </c>
      <c r="S212">
        <v>1</v>
      </c>
      <c r="T212" s="5">
        <f>((Q212*316)+(R212*26.3)+(S212*2.2))/10</f>
        <v>171.37</v>
      </c>
      <c r="U212" t="s">
        <v>4642</v>
      </c>
      <c r="AD212" s="6">
        <v>1</v>
      </c>
      <c r="AE212" s="6">
        <v>1</v>
      </c>
      <c r="AF212" s="6">
        <v>1</v>
      </c>
      <c r="AG212" s="6">
        <v>1</v>
      </c>
      <c r="AH212" s="6">
        <v>1</v>
      </c>
      <c r="AI212" s="6">
        <v>1</v>
      </c>
      <c r="AJ212" s="6">
        <v>1</v>
      </c>
      <c r="AK212" s="6">
        <v>1</v>
      </c>
      <c r="AL212" s="6">
        <v>1</v>
      </c>
      <c r="AM212" s="6">
        <v>1</v>
      </c>
      <c r="AN212" s="7">
        <v>1</v>
      </c>
      <c r="BC212" t="s">
        <v>4649</v>
      </c>
      <c r="BD212" s="7" t="s">
        <v>959</v>
      </c>
      <c r="BE212" s="7" t="s">
        <v>1558</v>
      </c>
      <c r="BF212" s="1" t="s">
        <v>29</v>
      </c>
      <c r="BG212" s="1">
        <v>3</v>
      </c>
      <c r="BH212">
        <v>2</v>
      </c>
      <c r="BK212" s="1" t="s">
        <v>72</v>
      </c>
      <c r="BQ212">
        <v>1</v>
      </c>
      <c r="CB212" s="7">
        <v>1</v>
      </c>
      <c r="CF212">
        <v>1</v>
      </c>
      <c r="CM212">
        <v>1</v>
      </c>
      <c r="CS212" s="7" t="s">
        <v>4650</v>
      </c>
    </row>
    <row r="213" spans="1:98">
      <c r="B213" t="s">
        <v>3161</v>
      </c>
      <c r="C213" s="2" t="s">
        <v>3162</v>
      </c>
      <c r="F213" s="8" t="s">
        <v>65</v>
      </c>
      <c r="G213" s="1">
        <v>1</v>
      </c>
      <c r="H213" s="1"/>
      <c r="I213" s="1">
        <f>1806-23</f>
        <v>1783</v>
      </c>
      <c r="J213" t="s">
        <v>69</v>
      </c>
      <c r="K213" s="4" t="s">
        <v>12</v>
      </c>
      <c r="Q213">
        <v>5</v>
      </c>
      <c r="R213">
        <v>3</v>
      </c>
      <c r="T213" s="5">
        <f t="shared" si="10"/>
        <v>165.89000000000001</v>
      </c>
      <c r="U213" t="s">
        <v>3163</v>
      </c>
      <c r="AD213" s="6">
        <v>1</v>
      </c>
      <c r="AE213" s="9"/>
      <c r="AF213" s="9"/>
      <c r="AG213" s="7">
        <v>1</v>
      </c>
      <c r="BC213" s="9" t="s">
        <v>3164</v>
      </c>
      <c r="BD213" s="7" t="s">
        <v>280</v>
      </c>
      <c r="BE213" t="s">
        <v>2407</v>
      </c>
      <c r="BF213" s="1" t="s">
        <v>29</v>
      </c>
      <c r="BG213" s="1">
        <v>5</v>
      </c>
      <c r="BH213">
        <v>1</v>
      </c>
      <c r="BK213" s="30">
        <v>1</v>
      </c>
      <c r="BQ213">
        <v>1</v>
      </c>
      <c r="CM213">
        <v>1</v>
      </c>
      <c r="CO213">
        <v>1</v>
      </c>
      <c r="CS213" s="7" t="s">
        <v>281</v>
      </c>
      <c r="CT213" s="6" t="s">
        <v>3165</v>
      </c>
    </row>
    <row r="214" spans="1:98">
      <c r="B214" t="s">
        <v>2691</v>
      </c>
      <c r="C214" s="2" t="s">
        <v>191</v>
      </c>
      <c r="F214" s="8" t="s">
        <v>65</v>
      </c>
      <c r="G214" s="1">
        <v>1</v>
      </c>
      <c r="H214" s="1"/>
      <c r="I214" s="1">
        <f>1796-20</f>
        <v>1776</v>
      </c>
      <c r="J214" t="s">
        <v>10</v>
      </c>
      <c r="K214" s="4" t="s">
        <v>12</v>
      </c>
      <c r="T214" s="5"/>
      <c r="U214" s="9" t="s">
        <v>2690</v>
      </c>
      <c r="AC214" s="9"/>
      <c r="AD214" s="6">
        <v>1</v>
      </c>
      <c r="BC214">
        <v>1796</v>
      </c>
      <c r="BD214" t="s">
        <v>81</v>
      </c>
      <c r="BE214" s="10" t="s">
        <v>70</v>
      </c>
      <c r="BF214" s="1" t="s">
        <v>73</v>
      </c>
      <c r="BG214" s="1">
        <v>2</v>
      </c>
      <c r="BH214">
        <v>1</v>
      </c>
      <c r="BK214" s="1"/>
      <c r="BZ214">
        <v>1</v>
      </c>
      <c r="CS214" t="s">
        <v>966</v>
      </c>
      <c r="CT214" s="10" t="s">
        <v>2400</v>
      </c>
    </row>
    <row r="215" spans="1:98">
      <c r="B215" t="s">
        <v>3184</v>
      </c>
      <c r="C215" s="2" t="s">
        <v>3185</v>
      </c>
      <c r="D215" s="3" t="s">
        <v>3186</v>
      </c>
      <c r="E215" s="8" t="s">
        <v>542</v>
      </c>
      <c r="F215" s="8" t="s">
        <v>218</v>
      </c>
      <c r="G215" s="1">
        <v>1</v>
      </c>
      <c r="H215" s="1"/>
      <c r="I215" s="1">
        <f>1796-36</f>
        <v>1760</v>
      </c>
      <c r="J215" t="s">
        <v>10</v>
      </c>
      <c r="K215" s="4" t="s">
        <v>1549</v>
      </c>
      <c r="Q215">
        <v>5</v>
      </c>
      <c r="R215">
        <v>2</v>
      </c>
      <c r="S215">
        <v>3</v>
      </c>
      <c r="T215" s="5">
        <f t="shared" si="10"/>
        <v>163.92</v>
      </c>
      <c r="U215" t="s">
        <v>3187</v>
      </c>
      <c r="AD215" s="6">
        <v>1</v>
      </c>
      <c r="AE215" s="6">
        <v>1</v>
      </c>
      <c r="AF215" s="7">
        <v>1</v>
      </c>
      <c r="BC215" t="s">
        <v>3188</v>
      </c>
      <c r="BD215" s="7" t="s">
        <v>109</v>
      </c>
      <c r="BE215" t="s">
        <v>2407</v>
      </c>
      <c r="BF215" s="1" t="s">
        <v>29</v>
      </c>
      <c r="BG215" s="1">
        <v>3</v>
      </c>
      <c r="BH215">
        <v>1</v>
      </c>
      <c r="BK215" s="1">
        <v>1</v>
      </c>
      <c r="BQ215">
        <v>1</v>
      </c>
      <c r="CS215" s="7" t="s">
        <v>1593</v>
      </c>
    </row>
    <row r="216" spans="1:98">
      <c r="B216" t="s">
        <v>4619</v>
      </c>
      <c r="C216" s="2" t="s">
        <v>3089</v>
      </c>
      <c r="D216" s="3"/>
      <c r="F216" s="8" t="s">
        <v>218</v>
      </c>
      <c r="G216" s="1">
        <v>1</v>
      </c>
      <c r="H216" s="1"/>
      <c r="I216" s="1">
        <f>1804-28</f>
        <v>1776</v>
      </c>
      <c r="J216" t="s">
        <v>10</v>
      </c>
      <c r="K216" s="4" t="s">
        <v>900</v>
      </c>
      <c r="Q216">
        <v>5</v>
      </c>
      <c r="R216">
        <v>2</v>
      </c>
      <c r="S216">
        <v>1</v>
      </c>
      <c r="T216" s="5">
        <f>((Q216*316)+(R216*26.3)+(S216*2.2))/10</f>
        <v>163.47999999999999</v>
      </c>
      <c r="U216" t="s">
        <v>3187</v>
      </c>
      <c r="AD216" s="6">
        <v>1</v>
      </c>
      <c r="AE216" s="6">
        <v>1</v>
      </c>
      <c r="AF216" s="6">
        <v>1</v>
      </c>
      <c r="AG216" s="6">
        <v>1</v>
      </c>
      <c r="AH216" s="6">
        <v>1</v>
      </c>
      <c r="AI216" s="6">
        <v>1</v>
      </c>
      <c r="AJ216" s="6">
        <v>1</v>
      </c>
      <c r="AK216" s="6">
        <v>1</v>
      </c>
      <c r="AL216" s="6">
        <v>1</v>
      </c>
      <c r="AM216" s="7">
        <v>1</v>
      </c>
      <c r="BC216" t="s">
        <v>4578</v>
      </c>
      <c r="BD216" s="7" t="s">
        <v>959</v>
      </c>
      <c r="BE216" s="7" t="s">
        <v>1558</v>
      </c>
      <c r="BF216" s="1" t="s">
        <v>29</v>
      </c>
      <c r="BG216" s="1">
        <v>3</v>
      </c>
      <c r="BH216">
        <v>2</v>
      </c>
      <c r="BK216" s="1" t="s">
        <v>72</v>
      </c>
      <c r="BQ216">
        <v>1</v>
      </c>
      <c r="CB216" s="7">
        <v>1</v>
      </c>
      <c r="CM216">
        <v>1</v>
      </c>
      <c r="CS216" s="7" t="s">
        <v>4620</v>
      </c>
    </row>
    <row r="217" spans="1:98">
      <c r="B217" t="s">
        <v>4577</v>
      </c>
      <c r="C217" s="2" t="s">
        <v>4574</v>
      </c>
      <c r="D217" s="2" t="s">
        <v>4575</v>
      </c>
      <c r="E217" s="8" t="s">
        <v>624</v>
      </c>
      <c r="F217" s="8" t="s">
        <v>218</v>
      </c>
      <c r="G217" s="1">
        <v>1</v>
      </c>
      <c r="H217" s="1"/>
      <c r="I217" s="1">
        <f>1804-26</f>
        <v>1778</v>
      </c>
      <c r="J217" t="s">
        <v>10</v>
      </c>
      <c r="K217" s="4" t="s">
        <v>12</v>
      </c>
      <c r="Q217">
        <v>5</v>
      </c>
      <c r="R217">
        <v>0</v>
      </c>
      <c r="S217">
        <v>2</v>
      </c>
      <c r="T217" s="5">
        <f t="shared" si="10"/>
        <v>158.44</v>
      </c>
      <c r="U217" t="s">
        <v>4576</v>
      </c>
      <c r="AD217" s="6">
        <v>1</v>
      </c>
      <c r="AE217" s="6">
        <v>1</v>
      </c>
      <c r="AF217" s="6">
        <v>1</v>
      </c>
      <c r="AG217" s="6">
        <v>1</v>
      </c>
      <c r="AH217" s="6">
        <v>1</v>
      </c>
      <c r="AI217" s="6">
        <v>1</v>
      </c>
      <c r="AJ217" s="6">
        <v>1</v>
      </c>
      <c r="AK217" s="6">
        <v>1</v>
      </c>
      <c r="AL217" s="6">
        <v>1</v>
      </c>
      <c r="AM217" s="7">
        <v>1</v>
      </c>
      <c r="BC217" t="s">
        <v>4578</v>
      </c>
      <c r="BD217" s="7" t="s">
        <v>103</v>
      </c>
      <c r="BE217" t="s">
        <v>712</v>
      </c>
      <c r="BF217" s="1" t="s">
        <v>29</v>
      </c>
      <c r="BG217" s="1">
        <v>3</v>
      </c>
      <c r="BH217">
        <v>1</v>
      </c>
      <c r="BK217" s="1" t="s">
        <v>72</v>
      </c>
      <c r="BQ217">
        <v>1</v>
      </c>
      <c r="CM217">
        <v>1</v>
      </c>
      <c r="CS217" s="7" t="s">
        <v>4579</v>
      </c>
    </row>
    <row r="218" spans="1:98">
      <c r="B218" t="s">
        <v>4656</v>
      </c>
      <c r="C218" s="13" t="s">
        <v>4657</v>
      </c>
      <c r="D218" s="3" t="s">
        <v>4658</v>
      </c>
      <c r="E218" s="8" t="s">
        <v>624</v>
      </c>
      <c r="F218" s="8" t="s">
        <v>218</v>
      </c>
      <c r="G218" s="1">
        <v>1</v>
      </c>
      <c r="H218" s="1"/>
      <c r="I218" s="1">
        <f>1806-23</f>
        <v>1783</v>
      </c>
      <c r="J218" t="s">
        <v>10</v>
      </c>
      <c r="K218" s="4" t="s">
        <v>972</v>
      </c>
      <c r="Q218">
        <v>5</v>
      </c>
      <c r="R218">
        <v>2</v>
      </c>
      <c r="S218">
        <v>3</v>
      </c>
      <c r="T218" s="5">
        <f>((Q218*316)+(R218*26.3)+(S218*2.2))/10</f>
        <v>163.92</v>
      </c>
      <c r="U218" t="s">
        <v>4424</v>
      </c>
      <c r="AD218" s="6">
        <v>1</v>
      </c>
      <c r="AE218" s="6">
        <v>1</v>
      </c>
      <c r="AF218" s="6">
        <v>1</v>
      </c>
      <c r="AG218" s="6">
        <v>1</v>
      </c>
      <c r="AH218" s="6">
        <v>1</v>
      </c>
      <c r="AI218" s="6">
        <v>1</v>
      </c>
      <c r="AJ218" s="6">
        <v>1</v>
      </c>
      <c r="AK218" s="6">
        <v>1</v>
      </c>
      <c r="AL218" s="6">
        <v>1</v>
      </c>
      <c r="AM218" s="6">
        <v>1</v>
      </c>
      <c r="AN218" s="6">
        <v>1</v>
      </c>
      <c r="BC218">
        <v>1806</v>
      </c>
      <c r="BD218" t="s">
        <v>81</v>
      </c>
      <c r="BE218" t="s">
        <v>712</v>
      </c>
      <c r="BF218" s="1" t="s">
        <v>73</v>
      </c>
      <c r="BG218" s="1">
        <v>3</v>
      </c>
      <c r="BH218">
        <v>1</v>
      </c>
      <c r="BK218" s="1" t="s">
        <v>72</v>
      </c>
      <c r="BQ218">
        <v>1</v>
      </c>
      <c r="CM218">
        <v>1</v>
      </c>
      <c r="CS218" t="s">
        <v>713</v>
      </c>
    </row>
    <row r="219" spans="1:98">
      <c r="B219" t="s">
        <v>4423</v>
      </c>
      <c r="C219" s="2" t="s">
        <v>1295</v>
      </c>
      <c r="D219" s="3"/>
      <c r="E219" s="8" t="s">
        <v>624</v>
      </c>
      <c r="F219" s="8" t="s">
        <v>218</v>
      </c>
      <c r="G219" s="1">
        <v>1</v>
      </c>
      <c r="H219" s="1"/>
      <c r="I219" s="1">
        <f>1805-44</f>
        <v>1761</v>
      </c>
      <c r="J219" t="s">
        <v>10</v>
      </c>
      <c r="K219" s="4" t="s">
        <v>12</v>
      </c>
      <c r="Q219">
        <v>5</v>
      </c>
      <c r="R219">
        <v>4</v>
      </c>
      <c r="S219">
        <v>2</v>
      </c>
      <c r="T219" s="5">
        <f>((Q219*316)+(R219*26.3)+(S219*2.2))/10</f>
        <v>168.96</v>
      </c>
      <c r="U219" t="s">
        <v>4424</v>
      </c>
      <c r="AD219" s="6">
        <v>1</v>
      </c>
      <c r="AE219" s="6">
        <v>1</v>
      </c>
      <c r="AF219" s="6">
        <v>1</v>
      </c>
      <c r="AG219" s="6">
        <v>1</v>
      </c>
      <c r="AH219" s="6">
        <v>1</v>
      </c>
      <c r="AI219" s="6">
        <v>1</v>
      </c>
      <c r="AJ219" s="6">
        <v>1</v>
      </c>
      <c r="AK219" s="6">
        <v>1</v>
      </c>
      <c r="AL219" s="6">
        <v>1</v>
      </c>
      <c r="AM219" s="6">
        <v>1</v>
      </c>
      <c r="BC219">
        <v>1805</v>
      </c>
      <c r="BD219" t="s">
        <v>81</v>
      </c>
      <c r="BE219" t="s">
        <v>1307</v>
      </c>
      <c r="BF219" s="1" t="s">
        <v>73</v>
      </c>
      <c r="BG219" s="1">
        <v>4</v>
      </c>
      <c r="BH219">
        <v>1</v>
      </c>
      <c r="BK219" s="1">
        <v>1</v>
      </c>
      <c r="BQ219">
        <v>1</v>
      </c>
      <c r="CL219">
        <v>1</v>
      </c>
      <c r="CM219">
        <v>1</v>
      </c>
      <c r="CS219" t="s">
        <v>1308</v>
      </c>
    </row>
    <row r="220" spans="1:98">
      <c r="A220" t="s">
        <v>72</v>
      </c>
      <c r="B220" t="s">
        <v>335</v>
      </c>
      <c r="F220" t="s">
        <v>7</v>
      </c>
      <c r="G220" s="1"/>
      <c r="H220" s="1"/>
      <c r="I220" s="1"/>
      <c r="T220" s="5"/>
      <c r="U220" t="s">
        <v>336</v>
      </c>
      <c r="AD220" s="6">
        <v>1</v>
      </c>
      <c r="AE220" s="6">
        <v>1</v>
      </c>
      <c r="AF220" s="14">
        <v>1</v>
      </c>
      <c r="BC220" s="9" t="s">
        <v>337</v>
      </c>
      <c r="BD220" s="14" t="s">
        <v>338</v>
      </c>
      <c r="BE220" t="s">
        <v>125</v>
      </c>
      <c r="BF220" s="1" t="s">
        <v>339</v>
      </c>
      <c r="BG220" s="1">
        <v>3</v>
      </c>
      <c r="BH220">
        <v>1</v>
      </c>
      <c r="BK220" s="1">
        <v>1</v>
      </c>
      <c r="BQ220">
        <v>1</v>
      </c>
      <c r="CS220" s="14" t="s">
        <v>340</v>
      </c>
    </row>
    <row r="221" spans="1:98">
      <c r="B221" t="s">
        <v>4425</v>
      </c>
      <c r="C221" s="2" t="s">
        <v>1286</v>
      </c>
      <c r="E221" s="8" t="s">
        <v>1288</v>
      </c>
      <c r="F221" s="8" t="s">
        <v>218</v>
      </c>
      <c r="G221" s="1">
        <v>1</v>
      </c>
      <c r="H221" s="1"/>
      <c r="I221" s="1">
        <f>1805-31</f>
        <v>1774</v>
      </c>
      <c r="J221" t="s">
        <v>69</v>
      </c>
      <c r="K221" s="4" t="s">
        <v>140</v>
      </c>
      <c r="L221">
        <v>1</v>
      </c>
      <c r="P221">
        <v>1</v>
      </c>
      <c r="Q221">
        <v>5</v>
      </c>
      <c r="R221">
        <v>3</v>
      </c>
      <c r="S221">
        <v>1</v>
      </c>
      <c r="T221" s="5">
        <f>((Q221*316)+(R221*26.3)+(S221*2.2))/10</f>
        <v>166.11</v>
      </c>
      <c r="U221" t="s">
        <v>4426</v>
      </c>
      <c r="AD221" s="6">
        <v>1</v>
      </c>
      <c r="AE221" s="6">
        <v>1</v>
      </c>
      <c r="AF221" s="6">
        <v>1</v>
      </c>
      <c r="AG221" s="6">
        <v>1</v>
      </c>
      <c r="AH221" s="6">
        <v>1</v>
      </c>
      <c r="AI221" s="6">
        <v>1</v>
      </c>
      <c r="AJ221" s="6">
        <v>1</v>
      </c>
      <c r="AK221" s="6">
        <v>1</v>
      </c>
      <c r="AL221" s="6">
        <v>1</v>
      </c>
      <c r="AM221" s="6">
        <v>1</v>
      </c>
      <c r="BC221">
        <v>1805</v>
      </c>
      <c r="BD221" t="s">
        <v>81</v>
      </c>
      <c r="BE221" t="s">
        <v>1307</v>
      </c>
      <c r="BF221" s="1" t="s">
        <v>73</v>
      </c>
      <c r="BG221" s="1">
        <v>4</v>
      </c>
      <c r="BH221">
        <v>1</v>
      </c>
      <c r="BK221" s="1" t="s">
        <v>72</v>
      </c>
      <c r="BQ221">
        <v>1</v>
      </c>
      <c r="CR221">
        <v>1</v>
      </c>
      <c r="CS221" t="s">
        <v>1308</v>
      </c>
    </row>
    <row r="222" spans="1:98">
      <c r="B222" t="s">
        <v>2749</v>
      </c>
      <c r="C222" s="2" t="s">
        <v>237</v>
      </c>
      <c r="E222" s="8" t="s">
        <v>238</v>
      </c>
      <c r="F222" s="8" t="s">
        <v>65</v>
      </c>
      <c r="G222" s="1">
        <v>1</v>
      </c>
      <c r="H222" s="1"/>
      <c r="I222" s="1">
        <f>1802-26</f>
        <v>1776</v>
      </c>
      <c r="J222" t="s">
        <v>10</v>
      </c>
      <c r="K222" s="4" t="s">
        <v>197</v>
      </c>
      <c r="Q222">
        <v>5</v>
      </c>
      <c r="R222">
        <v>3</v>
      </c>
      <c r="S222">
        <v>2</v>
      </c>
      <c r="T222" s="5">
        <f t="shared" ref="T222:T231" si="11">((Q222*316)+(R222*26.3)+(S222*2.2))/10</f>
        <v>166.33</v>
      </c>
      <c r="U222" t="s">
        <v>2750</v>
      </c>
      <c r="AD222" s="6">
        <v>1</v>
      </c>
      <c r="AE222" s="6">
        <v>1</v>
      </c>
      <c r="AF222" s="6">
        <v>1</v>
      </c>
      <c r="AG222" s="6">
        <v>1</v>
      </c>
      <c r="AH222" s="6">
        <v>1</v>
      </c>
      <c r="AI222" s="6">
        <v>1</v>
      </c>
      <c r="AJ222" s="6">
        <v>1</v>
      </c>
      <c r="AK222" s="7">
        <v>1</v>
      </c>
      <c r="BC222" t="s">
        <v>2751</v>
      </c>
      <c r="BD222" s="7" t="s">
        <v>103</v>
      </c>
      <c r="BE222" t="s">
        <v>2005</v>
      </c>
      <c r="BF222" s="1" t="s">
        <v>29</v>
      </c>
      <c r="BG222" s="1">
        <v>2</v>
      </c>
      <c r="BH222">
        <v>1</v>
      </c>
      <c r="BK222" s="1">
        <v>1</v>
      </c>
      <c r="BQ222">
        <v>1</v>
      </c>
      <c r="CS222" s="7" t="s">
        <v>2752</v>
      </c>
    </row>
    <row r="223" spans="1:98">
      <c r="B223" t="s">
        <v>2827</v>
      </c>
      <c r="C223" s="2" t="s">
        <v>2766</v>
      </c>
      <c r="E223" s="8" t="s">
        <v>238</v>
      </c>
      <c r="F223" s="8" t="s">
        <v>65</v>
      </c>
      <c r="G223" s="1">
        <v>1</v>
      </c>
      <c r="H223" s="1"/>
      <c r="I223" s="1">
        <f>1804-27</f>
        <v>1777</v>
      </c>
      <c r="J223" t="s">
        <v>10</v>
      </c>
      <c r="K223" s="4" t="s">
        <v>12</v>
      </c>
      <c r="Q223">
        <v>5</v>
      </c>
      <c r="R223">
        <v>2</v>
      </c>
      <c r="S223">
        <v>2</v>
      </c>
      <c r="T223" s="5">
        <f t="shared" si="11"/>
        <v>163.69999999999999</v>
      </c>
      <c r="U223" t="s">
        <v>2750</v>
      </c>
      <c r="AD223" s="6">
        <v>1</v>
      </c>
      <c r="AE223" s="6">
        <v>1</v>
      </c>
      <c r="AF223" s="6">
        <v>1</v>
      </c>
      <c r="AG223" s="6">
        <v>1</v>
      </c>
      <c r="AH223" s="6">
        <v>1</v>
      </c>
      <c r="AI223" s="6">
        <v>1</v>
      </c>
      <c r="AJ223" s="6">
        <v>1</v>
      </c>
      <c r="AK223" s="6">
        <v>1</v>
      </c>
      <c r="AL223" s="6">
        <v>1</v>
      </c>
      <c r="AM223" s="7">
        <v>1</v>
      </c>
      <c r="BC223" t="s">
        <v>1889</v>
      </c>
      <c r="BD223" s="7" t="s">
        <v>103</v>
      </c>
      <c r="BE223" t="s">
        <v>2005</v>
      </c>
      <c r="BF223" s="1" t="s">
        <v>29</v>
      </c>
      <c r="BG223" s="1">
        <v>4</v>
      </c>
      <c r="BH223">
        <v>1</v>
      </c>
      <c r="BK223" s="1">
        <v>1</v>
      </c>
      <c r="BQ223">
        <v>1</v>
      </c>
      <c r="CS223" s="7" t="s">
        <v>412</v>
      </c>
    </row>
    <row r="224" spans="1:98">
      <c r="B224" t="s">
        <v>2207</v>
      </c>
      <c r="C224" s="2" t="s">
        <v>1223</v>
      </c>
      <c r="D224" s="2" t="s">
        <v>1223</v>
      </c>
      <c r="E224" s="8" t="s">
        <v>130</v>
      </c>
      <c r="F224" s="8" t="s">
        <v>65</v>
      </c>
      <c r="G224" s="1">
        <v>1</v>
      </c>
      <c r="H224" s="1"/>
      <c r="I224" s="1">
        <f>1803-26</f>
        <v>1777</v>
      </c>
      <c r="J224" t="s">
        <v>10</v>
      </c>
      <c r="K224" s="4" t="s">
        <v>12</v>
      </c>
      <c r="T224" s="5"/>
      <c r="U224" t="s">
        <v>2208</v>
      </c>
      <c r="AD224" s="6">
        <v>1</v>
      </c>
      <c r="AE224" s="6">
        <v>1</v>
      </c>
      <c r="AF224" s="6">
        <v>1</v>
      </c>
      <c r="AG224" s="6">
        <v>1</v>
      </c>
      <c r="AH224" s="6">
        <v>1</v>
      </c>
      <c r="AI224" s="6">
        <v>1</v>
      </c>
      <c r="AJ224" s="6">
        <v>1</v>
      </c>
      <c r="AK224" s="7">
        <v>1</v>
      </c>
      <c r="BC224" t="s">
        <v>1528</v>
      </c>
      <c r="BD224" s="7" t="s">
        <v>280</v>
      </c>
      <c r="BE224" t="s">
        <v>1502</v>
      </c>
      <c r="BF224" s="1" t="s">
        <v>29</v>
      </c>
      <c r="BG224" s="1">
        <v>2</v>
      </c>
      <c r="BH224">
        <v>1</v>
      </c>
      <c r="BK224" s="1">
        <v>1</v>
      </c>
      <c r="BQ224">
        <v>1</v>
      </c>
      <c r="CM224">
        <v>1</v>
      </c>
      <c r="CN224">
        <v>1</v>
      </c>
      <c r="CS224" s="7" t="s">
        <v>947</v>
      </c>
    </row>
    <row r="225" spans="1:97">
      <c r="B225" t="s">
        <v>4667</v>
      </c>
      <c r="C225" s="2" t="s">
        <v>3863</v>
      </c>
      <c r="D225" s="2"/>
      <c r="F225" s="8" t="s">
        <v>65</v>
      </c>
      <c r="G225" s="1">
        <v>1</v>
      </c>
      <c r="H225" s="1"/>
      <c r="I225" s="1">
        <f>1802-25</f>
        <v>1777</v>
      </c>
      <c r="J225" t="s">
        <v>10</v>
      </c>
      <c r="K225" s="4" t="s">
        <v>12</v>
      </c>
      <c r="Q225">
        <v>5</v>
      </c>
      <c r="R225">
        <v>3</v>
      </c>
      <c r="S225">
        <v>1</v>
      </c>
      <c r="T225" s="5">
        <f t="shared" ref="T225:T230" si="12">((Q225*316)+(R225*26.3)+(S225*2.2))/10</f>
        <v>166.11</v>
      </c>
      <c r="U225" t="s">
        <v>2203</v>
      </c>
      <c r="AD225" s="6">
        <v>1</v>
      </c>
      <c r="AE225" s="6">
        <v>1</v>
      </c>
      <c r="AF225" s="6">
        <v>1</v>
      </c>
      <c r="AG225" s="6">
        <v>1</v>
      </c>
      <c r="AH225" s="6">
        <v>1</v>
      </c>
      <c r="AI225" s="6">
        <v>1</v>
      </c>
      <c r="AJ225" s="7">
        <v>1</v>
      </c>
      <c r="BC225" s="9" t="s">
        <v>4668</v>
      </c>
      <c r="BD225" s="7" t="s">
        <v>103</v>
      </c>
      <c r="BE225" t="s">
        <v>975</v>
      </c>
      <c r="BF225" s="1" t="s">
        <v>29</v>
      </c>
      <c r="BG225" s="1">
        <v>2</v>
      </c>
      <c r="BH225">
        <v>1</v>
      </c>
      <c r="BK225" s="1" t="s">
        <v>72</v>
      </c>
      <c r="BQ225">
        <v>1</v>
      </c>
      <c r="CS225" s="7" t="s">
        <v>897</v>
      </c>
    </row>
    <row r="226" spans="1:97">
      <c r="B226" t="s">
        <v>2828</v>
      </c>
      <c r="C226" s="2" t="s">
        <v>2829</v>
      </c>
      <c r="D226" s="2" t="s">
        <v>2829</v>
      </c>
      <c r="E226" s="8" t="s">
        <v>238</v>
      </c>
      <c r="F226" s="8" t="s">
        <v>65</v>
      </c>
      <c r="G226" s="1">
        <v>1</v>
      </c>
      <c r="H226" s="1"/>
      <c r="I226" s="1">
        <f>1804-27</f>
        <v>1777</v>
      </c>
      <c r="J226" t="s">
        <v>10</v>
      </c>
      <c r="K226" s="4" t="s">
        <v>12</v>
      </c>
      <c r="Q226">
        <v>5</v>
      </c>
      <c r="R226">
        <v>3</v>
      </c>
      <c r="T226" s="5">
        <f t="shared" si="12"/>
        <v>165.89000000000001</v>
      </c>
      <c r="U226" t="s">
        <v>2203</v>
      </c>
      <c r="AD226" s="6">
        <v>1</v>
      </c>
      <c r="AE226" s="6">
        <v>1</v>
      </c>
      <c r="AF226" s="6">
        <v>1</v>
      </c>
      <c r="AG226" s="6">
        <v>1</v>
      </c>
      <c r="AH226" s="6">
        <v>1</v>
      </c>
      <c r="AI226" s="6">
        <v>1</v>
      </c>
      <c r="AJ226" s="6">
        <v>1</v>
      </c>
      <c r="AK226" s="6">
        <v>1</v>
      </c>
      <c r="AL226" s="6">
        <v>1</v>
      </c>
      <c r="AM226" s="6">
        <v>1</v>
      </c>
      <c r="AN226" s="7">
        <v>1</v>
      </c>
      <c r="BC226" t="s">
        <v>2830</v>
      </c>
      <c r="BD226" s="7" t="s">
        <v>109</v>
      </c>
      <c r="BE226" t="s">
        <v>2005</v>
      </c>
      <c r="BF226" s="1" t="s">
        <v>29</v>
      </c>
      <c r="BG226" s="1">
        <v>5</v>
      </c>
      <c r="BH226">
        <v>1</v>
      </c>
      <c r="BK226" s="1">
        <v>1</v>
      </c>
      <c r="BQ226">
        <v>1</v>
      </c>
      <c r="CS226" s="7" t="s">
        <v>354</v>
      </c>
    </row>
    <row r="227" spans="1:97">
      <c r="B227" t="s">
        <v>1950</v>
      </c>
      <c r="C227" s="15" t="s">
        <v>1223</v>
      </c>
      <c r="D227" s="3" t="s">
        <v>192</v>
      </c>
      <c r="E227" s="8" t="s">
        <v>130</v>
      </c>
      <c r="F227" s="8" t="s">
        <v>65</v>
      </c>
      <c r="G227" s="1">
        <v>1</v>
      </c>
      <c r="H227" s="1"/>
      <c r="I227" s="1">
        <f>1803-30</f>
        <v>1773</v>
      </c>
      <c r="J227" t="s">
        <v>69</v>
      </c>
      <c r="K227" t="s">
        <v>12</v>
      </c>
      <c r="Q227">
        <v>5</v>
      </c>
      <c r="R227">
        <v>4</v>
      </c>
      <c r="S227">
        <v>1</v>
      </c>
      <c r="T227" s="5">
        <f t="shared" si="12"/>
        <v>168.74</v>
      </c>
      <c r="U227" t="s">
        <v>2203</v>
      </c>
      <c r="AD227" s="6">
        <v>1</v>
      </c>
      <c r="AE227" s="6">
        <v>1</v>
      </c>
      <c r="AF227" s="6">
        <v>1</v>
      </c>
      <c r="AG227" s="6">
        <v>1</v>
      </c>
      <c r="AH227" s="6">
        <v>1</v>
      </c>
      <c r="AI227" s="6">
        <v>1</v>
      </c>
      <c r="AJ227" s="6">
        <v>1</v>
      </c>
      <c r="AK227" s="7">
        <v>1</v>
      </c>
      <c r="BC227" t="s">
        <v>1412</v>
      </c>
      <c r="BD227" s="7" t="s">
        <v>280</v>
      </c>
      <c r="BE227" t="s">
        <v>1502</v>
      </c>
      <c r="BF227" s="1" t="s">
        <v>29</v>
      </c>
      <c r="BG227" s="1">
        <v>2</v>
      </c>
      <c r="BH227">
        <v>1</v>
      </c>
      <c r="BK227" s="1">
        <v>1</v>
      </c>
      <c r="BQ227">
        <v>1</v>
      </c>
      <c r="CN227">
        <v>1</v>
      </c>
      <c r="CS227" s="7" t="s">
        <v>1951</v>
      </c>
    </row>
    <row r="228" spans="1:97">
      <c r="B228" t="s">
        <v>2894</v>
      </c>
      <c r="C228" s="2" t="s">
        <v>1500</v>
      </c>
      <c r="D228" s="2" t="s">
        <v>1500</v>
      </c>
      <c r="F228" s="8" t="s">
        <v>65</v>
      </c>
      <c r="G228" s="1">
        <v>1</v>
      </c>
      <c r="H228" s="1"/>
      <c r="I228" s="1">
        <f>1804-34</f>
        <v>1770</v>
      </c>
      <c r="J228" t="s">
        <v>10</v>
      </c>
      <c r="K228" s="4" t="s">
        <v>12</v>
      </c>
      <c r="Q228">
        <v>5</v>
      </c>
      <c r="R228">
        <v>1</v>
      </c>
      <c r="S228">
        <v>2</v>
      </c>
      <c r="T228" s="5">
        <f t="shared" si="12"/>
        <v>161.07</v>
      </c>
      <c r="U228" t="s">
        <v>2203</v>
      </c>
      <c r="AD228" s="6">
        <v>1</v>
      </c>
      <c r="AE228" s="6">
        <v>1</v>
      </c>
      <c r="AF228" s="6">
        <v>1</v>
      </c>
      <c r="AG228" s="6">
        <v>1</v>
      </c>
      <c r="AH228" s="6">
        <v>1</v>
      </c>
      <c r="AI228" s="6">
        <v>1</v>
      </c>
      <c r="AJ228" s="6">
        <v>1</v>
      </c>
      <c r="AK228" s="6">
        <v>1</v>
      </c>
      <c r="AL228" s="6">
        <v>1</v>
      </c>
      <c r="AM228" s="6">
        <v>1</v>
      </c>
      <c r="AN228" s="6">
        <v>1</v>
      </c>
      <c r="AO228" s="6">
        <v>1</v>
      </c>
      <c r="AP228" s="6">
        <v>1</v>
      </c>
      <c r="AQ228" s="7">
        <v>1</v>
      </c>
      <c r="BC228" t="s">
        <v>635</v>
      </c>
      <c r="BD228" s="7" t="s">
        <v>305</v>
      </c>
      <c r="BE228" t="s">
        <v>2005</v>
      </c>
      <c r="BF228" s="1" t="s">
        <v>29</v>
      </c>
      <c r="BG228" s="1">
        <v>6</v>
      </c>
      <c r="BH228">
        <v>1</v>
      </c>
      <c r="BK228" s="1">
        <v>1</v>
      </c>
      <c r="BQ228">
        <v>1</v>
      </c>
      <c r="CM228">
        <v>1</v>
      </c>
      <c r="CS228" s="7" t="s">
        <v>2895</v>
      </c>
    </row>
    <row r="229" spans="1:97">
      <c r="B229" t="s">
        <v>4688</v>
      </c>
      <c r="C229" s="2" t="s">
        <v>3863</v>
      </c>
      <c r="D229" s="2" t="s">
        <v>3863</v>
      </c>
      <c r="E229" s="8" t="s">
        <v>654</v>
      </c>
      <c r="F229" s="8" t="s">
        <v>65</v>
      </c>
      <c r="G229" s="1">
        <v>1</v>
      </c>
      <c r="H229" s="1"/>
      <c r="I229" s="1">
        <f>1802-27</f>
        <v>1775</v>
      </c>
      <c r="J229" t="s">
        <v>10</v>
      </c>
      <c r="K229" s="4" t="s">
        <v>12</v>
      </c>
      <c r="Q229">
        <v>5</v>
      </c>
      <c r="R229">
        <v>3</v>
      </c>
      <c r="T229" s="5">
        <f t="shared" si="12"/>
        <v>165.89000000000001</v>
      </c>
      <c r="U229" t="s">
        <v>2203</v>
      </c>
      <c r="AD229" s="6">
        <v>1</v>
      </c>
      <c r="AE229" s="6">
        <v>1</v>
      </c>
      <c r="AF229" s="6">
        <v>1</v>
      </c>
      <c r="AG229" s="6">
        <v>1</v>
      </c>
      <c r="AH229" s="6">
        <v>1</v>
      </c>
      <c r="AI229" s="6">
        <v>1</v>
      </c>
      <c r="AJ229" s="6">
        <v>1</v>
      </c>
      <c r="AK229" s="7">
        <v>1</v>
      </c>
      <c r="BC229" t="s">
        <v>4689</v>
      </c>
      <c r="BD229" s="7" t="s">
        <v>103</v>
      </c>
      <c r="BE229" t="s">
        <v>975</v>
      </c>
      <c r="BF229" s="1" t="s">
        <v>29</v>
      </c>
      <c r="BG229" s="1">
        <v>3</v>
      </c>
      <c r="BH229">
        <v>1</v>
      </c>
      <c r="BK229" s="1" t="s">
        <v>72</v>
      </c>
      <c r="BQ229">
        <v>1</v>
      </c>
      <c r="CS229" s="7" t="s">
        <v>2870</v>
      </c>
    </row>
    <row r="230" spans="1:97">
      <c r="B230" t="s">
        <v>3403</v>
      </c>
      <c r="C230" s="2" t="s">
        <v>191</v>
      </c>
      <c r="F230" s="8" t="s">
        <v>65</v>
      </c>
      <c r="G230" s="1">
        <v>1</v>
      </c>
      <c r="H230" s="1"/>
      <c r="I230" s="1">
        <f>1802-26</f>
        <v>1776</v>
      </c>
      <c r="J230" t="s">
        <v>10</v>
      </c>
      <c r="K230" t="s">
        <v>972</v>
      </c>
      <c r="Q230">
        <v>5</v>
      </c>
      <c r="R230">
        <v>2</v>
      </c>
      <c r="S230">
        <v>1</v>
      </c>
      <c r="T230" s="5">
        <f t="shared" si="12"/>
        <v>163.47999999999999</v>
      </c>
      <c r="U230" t="s">
        <v>2203</v>
      </c>
      <c r="AD230" s="6">
        <v>1</v>
      </c>
      <c r="AE230" s="6">
        <v>1</v>
      </c>
      <c r="AF230" s="6">
        <v>1</v>
      </c>
      <c r="AG230" s="6">
        <v>1</v>
      </c>
      <c r="AH230" s="6">
        <v>1</v>
      </c>
      <c r="AI230" s="6">
        <v>1</v>
      </c>
      <c r="AJ230" s="6">
        <v>1</v>
      </c>
      <c r="AK230" s="6">
        <v>1</v>
      </c>
      <c r="AL230" s="6">
        <v>1</v>
      </c>
      <c r="AM230" s="6">
        <v>1</v>
      </c>
      <c r="AN230" s="6">
        <v>1</v>
      </c>
      <c r="AO230" s="6">
        <v>1</v>
      </c>
      <c r="AP230" s="6">
        <v>1</v>
      </c>
      <c r="AQ230" s="6">
        <v>1</v>
      </c>
      <c r="AR230" s="7">
        <v>1</v>
      </c>
      <c r="BC230" t="s">
        <v>3404</v>
      </c>
      <c r="BD230" s="7" t="s">
        <v>103</v>
      </c>
      <c r="BE230" t="s">
        <v>118</v>
      </c>
      <c r="BF230" s="1" t="s">
        <v>29</v>
      </c>
      <c r="BG230" s="1">
        <v>5</v>
      </c>
      <c r="BH230">
        <v>3</v>
      </c>
      <c r="BK230" s="1">
        <v>1</v>
      </c>
      <c r="BQ230">
        <v>1</v>
      </c>
      <c r="BX230">
        <v>1</v>
      </c>
      <c r="CL230">
        <v>1</v>
      </c>
      <c r="CM230">
        <v>1</v>
      </c>
      <c r="CS230" s="7" t="s">
        <v>1505</v>
      </c>
    </row>
    <row r="231" spans="1:97">
      <c r="B231" t="s">
        <v>2204</v>
      </c>
      <c r="C231" s="2" t="s">
        <v>2205</v>
      </c>
      <c r="D231" s="2" t="s">
        <v>2205</v>
      </c>
      <c r="E231" s="8" t="s">
        <v>654</v>
      </c>
      <c r="F231" s="8" t="s">
        <v>65</v>
      </c>
      <c r="G231" s="1">
        <v>1</v>
      </c>
      <c r="H231" s="1"/>
      <c r="I231" s="1">
        <f>1803-25</f>
        <v>1778</v>
      </c>
      <c r="J231" t="s">
        <v>10</v>
      </c>
      <c r="K231" s="4" t="s">
        <v>197</v>
      </c>
      <c r="Q231">
        <v>5</v>
      </c>
      <c r="R231">
        <v>2</v>
      </c>
      <c r="S231">
        <v>3</v>
      </c>
      <c r="T231" s="5">
        <f t="shared" si="11"/>
        <v>163.92</v>
      </c>
      <c r="U231" t="s">
        <v>2203</v>
      </c>
      <c r="AD231" s="6">
        <v>1</v>
      </c>
      <c r="AE231" s="6">
        <v>1</v>
      </c>
      <c r="AF231" s="6">
        <v>1</v>
      </c>
      <c r="AG231" s="6">
        <v>1</v>
      </c>
      <c r="AH231" s="6">
        <v>1</v>
      </c>
      <c r="AI231" s="6">
        <v>1</v>
      </c>
      <c r="AJ231" s="6">
        <v>1</v>
      </c>
      <c r="AK231" s="7">
        <v>1</v>
      </c>
      <c r="BC231" t="s">
        <v>2206</v>
      </c>
      <c r="BD231" s="7" t="s">
        <v>103</v>
      </c>
      <c r="BE231" t="s">
        <v>1502</v>
      </c>
      <c r="BF231" s="1" t="s">
        <v>29</v>
      </c>
      <c r="BG231" s="1">
        <v>2</v>
      </c>
      <c r="BH231">
        <v>1</v>
      </c>
      <c r="BK231" s="1">
        <v>1</v>
      </c>
      <c r="BQ231">
        <v>1</v>
      </c>
      <c r="CM231">
        <v>1</v>
      </c>
      <c r="CS231" s="7" t="s">
        <v>203</v>
      </c>
    </row>
    <row r="232" spans="1:97">
      <c r="B232" t="s">
        <v>3425</v>
      </c>
      <c r="C232" s="2" t="s">
        <v>3426</v>
      </c>
      <c r="D232" s="2" t="s">
        <v>3426</v>
      </c>
      <c r="E232" s="8" t="s">
        <v>654</v>
      </c>
      <c r="F232" s="8" t="s">
        <v>65</v>
      </c>
      <c r="G232" s="1">
        <v>1</v>
      </c>
      <c r="H232" s="1"/>
      <c r="I232" s="1">
        <f>1810-31</f>
        <v>1779</v>
      </c>
      <c r="J232" t="s">
        <v>10</v>
      </c>
      <c r="K232" s="4" t="s">
        <v>972</v>
      </c>
      <c r="Q232">
        <v>5</v>
      </c>
      <c r="R232">
        <v>3</v>
      </c>
      <c r="S232">
        <v>1</v>
      </c>
      <c r="T232" s="5">
        <f>((Q232*316)+(R232*26.3)+(S232*2.2))/10</f>
        <v>166.11</v>
      </c>
      <c r="U232" t="s">
        <v>2203</v>
      </c>
      <c r="AD232" s="6">
        <v>1</v>
      </c>
      <c r="AE232" s="6">
        <v>1</v>
      </c>
      <c r="AF232" s="6">
        <v>1</v>
      </c>
      <c r="AG232" s="6">
        <v>1</v>
      </c>
      <c r="AH232" s="6">
        <v>1</v>
      </c>
      <c r="AI232" s="6">
        <v>1</v>
      </c>
      <c r="AJ232" s="6">
        <v>1</v>
      </c>
      <c r="AK232" s="6">
        <v>1</v>
      </c>
      <c r="AL232" s="6">
        <v>1</v>
      </c>
      <c r="AM232" s="6">
        <v>1</v>
      </c>
      <c r="AN232" s="6">
        <v>1</v>
      </c>
      <c r="AO232" s="6">
        <v>1</v>
      </c>
      <c r="AP232" s="6">
        <v>1</v>
      </c>
      <c r="AQ232" s="6">
        <v>1</v>
      </c>
      <c r="AR232" s="7">
        <v>1</v>
      </c>
      <c r="BC232" t="s">
        <v>3427</v>
      </c>
      <c r="BD232" s="7" t="s">
        <v>103</v>
      </c>
      <c r="BE232" t="s">
        <v>1502</v>
      </c>
      <c r="BF232" s="1" t="s">
        <v>29</v>
      </c>
      <c r="BG232" s="1">
        <v>7</v>
      </c>
      <c r="BH232">
        <v>2</v>
      </c>
      <c r="BK232" s="1">
        <v>1</v>
      </c>
      <c r="BQ232">
        <v>1</v>
      </c>
      <c r="BX232">
        <v>1</v>
      </c>
      <c r="CL232">
        <v>1</v>
      </c>
      <c r="CS232" s="7" t="s">
        <v>3428</v>
      </c>
    </row>
    <row r="233" spans="1:97">
      <c r="B233" t="s">
        <v>348</v>
      </c>
      <c r="C233" s="15" t="s">
        <v>349</v>
      </c>
      <c r="F233" s="8" t="s">
        <v>65</v>
      </c>
      <c r="G233" s="1">
        <v>1</v>
      </c>
      <c r="H233" s="1"/>
      <c r="I233" s="1">
        <f>1802-26</f>
        <v>1776</v>
      </c>
      <c r="J233" t="s">
        <v>10</v>
      </c>
      <c r="K233" t="s">
        <v>12</v>
      </c>
      <c r="T233" s="1"/>
      <c r="U233" t="s">
        <v>303</v>
      </c>
      <c r="AD233" s="6">
        <v>1</v>
      </c>
      <c r="AE233" s="6">
        <v>1</v>
      </c>
      <c r="AF233" s="6">
        <v>1</v>
      </c>
      <c r="AG233" s="6">
        <v>1</v>
      </c>
      <c r="AH233" s="6">
        <v>1</v>
      </c>
      <c r="AI233" s="6">
        <v>1</v>
      </c>
      <c r="AJ233" s="6">
        <v>1</v>
      </c>
      <c r="AK233" s="6">
        <v>1</v>
      </c>
      <c r="AL233" s="6">
        <v>1</v>
      </c>
      <c r="AM233" s="6">
        <v>1</v>
      </c>
      <c r="AN233" s="7">
        <v>1</v>
      </c>
      <c r="BC233" t="s">
        <v>350</v>
      </c>
      <c r="BD233" s="7" t="s">
        <v>280</v>
      </c>
      <c r="BE233" t="s">
        <v>125</v>
      </c>
      <c r="BF233" s="1" t="s">
        <v>29</v>
      </c>
      <c r="BG233" s="1">
        <v>3</v>
      </c>
      <c r="BH233">
        <v>1</v>
      </c>
      <c r="BK233" s="1">
        <v>1</v>
      </c>
      <c r="BQ233">
        <v>1</v>
      </c>
      <c r="CF233">
        <v>1</v>
      </c>
      <c r="CN233">
        <v>1</v>
      </c>
      <c r="CS233" s="7" t="s">
        <v>351</v>
      </c>
    </row>
    <row r="234" spans="1:97">
      <c r="A234" t="s">
        <v>72</v>
      </c>
      <c r="B234" t="s">
        <v>302</v>
      </c>
      <c r="F234" t="s">
        <v>7</v>
      </c>
      <c r="G234" s="1"/>
      <c r="H234" s="1"/>
      <c r="I234" s="1"/>
      <c r="T234" s="1"/>
      <c r="U234" t="s">
        <v>303</v>
      </c>
      <c r="AD234" s="6">
        <v>1</v>
      </c>
      <c r="AE234" s="6">
        <v>1</v>
      </c>
      <c r="AF234" s="6">
        <v>1</v>
      </c>
      <c r="AG234" s="6">
        <v>1</v>
      </c>
      <c r="AH234" s="7">
        <v>1</v>
      </c>
      <c r="BC234" t="s">
        <v>304</v>
      </c>
      <c r="BD234" s="7" t="s">
        <v>305</v>
      </c>
      <c r="BE234" t="s">
        <v>125</v>
      </c>
      <c r="BF234" s="1" t="s">
        <v>29</v>
      </c>
      <c r="BG234" s="1">
        <v>5</v>
      </c>
      <c r="BH234">
        <v>1</v>
      </c>
      <c r="BK234" s="1">
        <v>1</v>
      </c>
      <c r="BQ234">
        <v>1</v>
      </c>
      <c r="CM234">
        <v>1</v>
      </c>
      <c r="CS234" s="7" t="s">
        <v>306</v>
      </c>
    </row>
    <row r="235" spans="1:97">
      <c r="A235" t="s">
        <v>72</v>
      </c>
      <c r="B235" t="s">
        <v>341</v>
      </c>
      <c r="F235" t="s">
        <v>7</v>
      </c>
      <c r="G235" s="1"/>
      <c r="H235" s="1"/>
      <c r="I235" s="1"/>
      <c r="T235" s="1"/>
      <c r="U235" t="s">
        <v>303</v>
      </c>
      <c r="AD235" s="6">
        <v>1</v>
      </c>
      <c r="AE235" s="6">
        <v>1</v>
      </c>
      <c r="AF235" s="14">
        <v>1</v>
      </c>
      <c r="BC235" s="9" t="s">
        <v>342</v>
      </c>
      <c r="BD235" s="14" t="s">
        <v>338</v>
      </c>
      <c r="BE235" t="s">
        <v>125</v>
      </c>
      <c r="BF235" s="1" t="s">
        <v>339</v>
      </c>
      <c r="BG235" s="1">
        <v>3</v>
      </c>
      <c r="BH235">
        <v>1</v>
      </c>
      <c r="BK235" s="1">
        <v>1</v>
      </c>
      <c r="BQ235">
        <v>1</v>
      </c>
      <c r="CS235" s="14" t="s">
        <v>340</v>
      </c>
    </row>
    <row r="236" spans="1:97">
      <c r="B236" t="s">
        <v>4676</v>
      </c>
      <c r="C236" s="2" t="s">
        <v>4677</v>
      </c>
      <c r="D236" s="2" t="s">
        <v>4677</v>
      </c>
      <c r="E236" s="8" t="s">
        <v>654</v>
      </c>
      <c r="F236" s="8" t="s">
        <v>65</v>
      </c>
      <c r="G236" s="1">
        <v>1</v>
      </c>
      <c r="H236" s="1"/>
      <c r="I236" s="1">
        <f>1802-26</f>
        <v>1776</v>
      </c>
      <c r="J236" t="s">
        <v>10</v>
      </c>
      <c r="K236" t="s">
        <v>12</v>
      </c>
      <c r="Q236">
        <v>5</v>
      </c>
      <c r="R236">
        <v>4</v>
      </c>
      <c r="T236" s="5">
        <f>((Q236*316)+(R236*26.3)+(S236*2.2))/10</f>
        <v>168.52</v>
      </c>
      <c r="U236" t="s">
        <v>303</v>
      </c>
      <c r="AD236" s="6">
        <v>1</v>
      </c>
      <c r="AE236" s="6">
        <v>1</v>
      </c>
      <c r="AF236" s="6">
        <v>1</v>
      </c>
      <c r="AG236" s="6">
        <v>1</v>
      </c>
      <c r="AH236" s="6">
        <v>1</v>
      </c>
      <c r="AI236" s="6">
        <v>1</v>
      </c>
      <c r="AJ236" s="7">
        <v>1</v>
      </c>
      <c r="BC236" t="s">
        <v>1420</v>
      </c>
      <c r="BD236" s="7" t="s">
        <v>280</v>
      </c>
      <c r="BE236" t="s">
        <v>975</v>
      </c>
      <c r="BF236" s="1" t="s">
        <v>29</v>
      </c>
      <c r="BG236" s="1">
        <v>2</v>
      </c>
      <c r="BH236">
        <v>1</v>
      </c>
      <c r="BK236" s="1">
        <v>1</v>
      </c>
      <c r="BQ236">
        <v>1</v>
      </c>
      <c r="CN236">
        <v>1</v>
      </c>
      <c r="CS236" s="7" t="s">
        <v>947</v>
      </c>
    </row>
    <row r="237" spans="1:97">
      <c r="B237" t="s">
        <v>4300</v>
      </c>
      <c r="C237" s="2" t="s">
        <v>3436</v>
      </c>
      <c r="D237" s="3" t="s">
        <v>3954</v>
      </c>
      <c r="E237" s="8" t="s">
        <v>238</v>
      </c>
      <c r="F237" s="8" t="s">
        <v>65</v>
      </c>
      <c r="G237" s="1">
        <v>1</v>
      </c>
      <c r="H237" s="1"/>
      <c r="I237" s="1">
        <f>1806-28</f>
        <v>1778</v>
      </c>
      <c r="J237" t="s">
        <v>10</v>
      </c>
      <c r="K237" s="4" t="s">
        <v>197</v>
      </c>
      <c r="Q237">
        <v>5</v>
      </c>
      <c r="R237">
        <v>3</v>
      </c>
      <c r="S237">
        <v>3</v>
      </c>
      <c r="T237" s="5">
        <f>((Q237*316)+(R237*26.3)+(S237*2.2))/10</f>
        <v>166.55</v>
      </c>
      <c r="U237" t="s">
        <v>303</v>
      </c>
      <c r="AD237" s="6">
        <v>1</v>
      </c>
      <c r="AE237" s="6">
        <v>1</v>
      </c>
      <c r="AF237" s="6">
        <v>1</v>
      </c>
      <c r="AG237" s="6">
        <v>1</v>
      </c>
      <c r="AH237" s="6">
        <v>1</v>
      </c>
      <c r="AI237" s="6">
        <v>1</v>
      </c>
      <c r="AJ237" s="6">
        <v>1</v>
      </c>
      <c r="AK237" s="6">
        <v>1</v>
      </c>
      <c r="AL237" s="6">
        <v>1</v>
      </c>
      <c r="AM237" s="6">
        <v>1</v>
      </c>
      <c r="AN237" s="7">
        <v>1</v>
      </c>
      <c r="AO237" s="7">
        <v>1</v>
      </c>
      <c r="AP237" s="7">
        <v>1</v>
      </c>
      <c r="AQ237" s="7">
        <v>1</v>
      </c>
      <c r="AR237" s="7">
        <v>1</v>
      </c>
      <c r="BC237" t="s">
        <v>574</v>
      </c>
      <c r="BD237" s="7" t="s">
        <v>103</v>
      </c>
      <c r="BE237" t="s">
        <v>2635</v>
      </c>
      <c r="BF237" s="1" t="s">
        <v>29</v>
      </c>
      <c r="BG237" s="1">
        <v>5</v>
      </c>
      <c r="BH237">
        <v>2</v>
      </c>
      <c r="BI237">
        <v>1</v>
      </c>
      <c r="BK237" s="1">
        <v>1</v>
      </c>
      <c r="BQ237">
        <v>1</v>
      </c>
      <c r="CB237">
        <v>1</v>
      </c>
      <c r="CI237">
        <v>1</v>
      </c>
      <c r="CL237">
        <v>1</v>
      </c>
      <c r="CN237">
        <v>1</v>
      </c>
      <c r="CO237">
        <v>1</v>
      </c>
      <c r="CS237" s="7" t="s">
        <v>4301</v>
      </c>
    </row>
    <row r="238" spans="1:97">
      <c r="A238" t="s">
        <v>72</v>
      </c>
      <c r="B238" t="s">
        <v>329</v>
      </c>
      <c r="F238" t="s">
        <v>7</v>
      </c>
      <c r="G238" s="1"/>
      <c r="H238" s="1"/>
      <c r="I238" s="1"/>
      <c r="T238" s="1"/>
      <c r="U238" t="s">
        <v>330</v>
      </c>
      <c r="AD238" s="6">
        <v>1</v>
      </c>
      <c r="AE238" s="6">
        <v>1</v>
      </c>
      <c r="AF238" s="7">
        <v>1</v>
      </c>
      <c r="BC238" t="s">
        <v>331</v>
      </c>
      <c r="BD238" s="7" t="s">
        <v>26</v>
      </c>
      <c r="BE238" t="s">
        <v>125</v>
      </c>
      <c r="BF238" s="1" t="s">
        <v>29</v>
      </c>
      <c r="BG238" s="1">
        <v>3</v>
      </c>
      <c r="BH238">
        <v>1</v>
      </c>
      <c r="BK238" s="1">
        <v>1</v>
      </c>
      <c r="BQ238">
        <v>1</v>
      </c>
      <c r="CS238" s="7" t="s">
        <v>332</v>
      </c>
    </row>
    <row r="239" spans="1:97">
      <c r="A239" t="s">
        <v>72</v>
      </c>
      <c r="B239" t="s">
        <v>343</v>
      </c>
      <c r="F239" t="s">
        <v>7</v>
      </c>
      <c r="G239" s="1"/>
      <c r="H239" s="1"/>
      <c r="I239" s="1"/>
      <c r="T239" s="1"/>
      <c r="U239" t="s">
        <v>330</v>
      </c>
      <c r="AD239" s="6">
        <v>1</v>
      </c>
      <c r="AE239" s="6">
        <v>1</v>
      </c>
      <c r="AF239" s="14">
        <v>1</v>
      </c>
      <c r="BC239" s="9" t="s">
        <v>337</v>
      </c>
      <c r="BD239" s="14" t="s">
        <v>338</v>
      </c>
      <c r="BE239" t="s">
        <v>125</v>
      </c>
      <c r="BF239" s="1" t="s">
        <v>339</v>
      </c>
      <c r="BG239" s="1">
        <v>2</v>
      </c>
      <c r="BH239">
        <v>1</v>
      </c>
      <c r="BK239" s="1">
        <v>1</v>
      </c>
      <c r="BQ239">
        <v>1</v>
      </c>
      <c r="CS239" s="14" t="s">
        <v>338</v>
      </c>
    </row>
    <row r="240" spans="1:97">
      <c r="B240" t="s">
        <v>2794</v>
      </c>
      <c r="C240" s="2" t="s">
        <v>1328</v>
      </c>
      <c r="D240" s="2" t="s">
        <v>1328</v>
      </c>
      <c r="E240" s="8" t="s">
        <v>832</v>
      </c>
      <c r="F240" t="s">
        <v>65</v>
      </c>
      <c r="G240" s="1">
        <v>1</v>
      </c>
      <c r="H240" s="1"/>
      <c r="I240" s="1">
        <f>1796-21</f>
        <v>1775</v>
      </c>
      <c r="J240" t="s">
        <v>10</v>
      </c>
      <c r="K240" t="s">
        <v>12</v>
      </c>
      <c r="Q240">
        <v>5</v>
      </c>
      <c r="R240">
        <v>2</v>
      </c>
      <c r="T240" s="5">
        <f>((Q240*316)+(R240*26.3)+(S240*2.2))/10</f>
        <v>163.26</v>
      </c>
      <c r="U240" t="s">
        <v>330</v>
      </c>
      <c r="AD240" s="6">
        <v>1</v>
      </c>
      <c r="AE240" s="6">
        <v>1</v>
      </c>
      <c r="BC240">
        <v>1797</v>
      </c>
      <c r="BD240" t="s">
        <v>81</v>
      </c>
      <c r="BE240" s="10" t="s">
        <v>2407</v>
      </c>
      <c r="BF240" s="1" t="s">
        <v>73</v>
      </c>
      <c r="BG240" s="1">
        <v>2</v>
      </c>
      <c r="BH240">
        <v>1</v>
      </c>
      <c r="BK240" s="1">
        <v>1</v>
      </c>
      <c r="BQ240">
        <v>1</v>
      </c>
      <c r="CL240" s="10">
        <v>1</v>
      </c>
      <c r="CS240" s="10" t="s">
        <v>2778</v>
      </c>
    </row>
    <row r="241" spans="1:99">
      <c r="B241" t="s">
        <v>352</v>
      </c>
      <c r="C241" s="15" t="s">
        <v>353</v>
      </c>
      <c r="F241" s="8" t="s">
        <v>65</v>
      </c>
      <c r="G241" s="1">
        <v>1</v>
      </c>
      <c r="H241" s="1"/>
      <c r="I241" s="1">
        <f>1802-24</f>
        <v>1778</v>
      </c>
      <c r="J241" t="s">
        <v>10</v>
      </c>
      <c r="K241" t="s">
        <v>12</v>
      </c>
      <c r="Q241">
        <v>5</v>
      </c>
      <c r="R241">
        <v>4</v>
      </c>
      <c r="T241" s="5">
        <f>((Q241*316)+(R241*26.3)+(S241*2.2))/10</f>
        <v>168.52</v>
      </c>
      <c r="U241" t="s">
        <v>330</v>
      </c>
      <c r="AD241" s="6">
        <v>1</v>
      </c>
      <c r="AE241" s="6">
        <v>1</v>
      </c>
      <c r="AF241" s="6">
        <v>1</v>
      </c>
      <c r="AG241" s="6">
        <v>1</v>
      </c>
      <c r="AH241" s="6">
        <v>1</v>
      </c>
      <c r="AI241" s="6">
        <v>1</v>
      </c>
      <c r="AJ241" s="6">
        <v>1</v>
      </c>
      <c r="AK241" s="6">
        <v>1</v>
      </c>
      <c r="AL241" s="6">
        <v>1</v>
      </c>
      <c r="AM241" s="6">
        <v>1</v>
      </c>
      <c r="AN241" s="7">
        <v>1</v>
      </c>
      <c r="BC241" t="s">
        <v>198</v>
      </c>
      <c r="BD241" s="7" t="s">
        <v>109</v>
      </c>
      <c r="BE241" t="s">
        <v>125</v>
      </c>
      <c r="BF241" s="1" t="s">
        <v>29</v>
      </c>
      <c r="BG241" s="1">
        <v>10</v>
      </c>
      <c r="BH241">
        <v>1</v>
      </c>
      <c r="BK241" s="1">
        <v>1</v>
      </c>
      <c r="BQ241">
        <v>1</v>
      </c>
      <c r="CM241">
        <v>1</v>
      </c>
      <c r="CS241" s="7" t="s">
        <v>354</v>
      </c>
    </row>
    <row r="242" spans="1:99">
      <c r="B242" t="s">
        <v>2136</v>
      </c>
      <c r="C242" s="2" t="s">
        <v>2137</v>
      </c>
      <c r="D242" s="2" t="s">
        <v>2137</v>
      </c>
      <c r="E242" s="8" t="s">
        <v>130</v>
      </c>
      <c r="F242" s="8" t="s">
        <v>65</v>
      </c>
      <c r="G242" s="1">
        <v>1</v>
      </c>
      <c r="H242" s="1"/>
      <c r="I242" s="1">
        <f>1803-25</f>
        <v>1778</v>
      </c>
      <c r="J242" t="s">
        <v>10</v>
      </c>
      <c r="K242" t="s">
        <v>197</v>
      </c>
      <c r="Q242">
        <v>5</v>
      </c>
      <c r="R242">
        <v>1</v>
      </c>
      <c r="S242">
        <v>2</v>
      </c>
      <c r="T242" s="5">
        <f>((Q242*316)+(R242*26.3)+(S242*2.2))/10</f>
        <v>161.07</v>
      </c>
      <c r="U242" t="s">
        <v>330</v>
      </c>
      <c r="AD242" s="6">
        <v>1</v>
      </c>
      <c r="AE242" s="6">
        <v>1</v>
      </c>
      <c r="AF242" s="6">
        <v>1</v>
      </c>
      <c r="AG242" s="6">
        <v>1</v>
      </c>
      <c r="AH242" s="6">
        <v>1</v>
      </c>
      <c r="AI242" s="6">
        <v>1</v>
      </c>
      <c r="AJ242" s="6">
        <v>1</v>
      </c>
      <c r="AK242" s="6">
        <v>1</v>
      </c>
      <c r="AL242" s="6">
        <v>1</v>
      </c>
      <c r="AM242" s="7">
        <v>1</v>
      </c>
      <c r="BC242" t="s">
        <v>2138</v>
      </c>
      <c r="BD242" s="7" t="s">
        <v>103</v>
      </c>
      <c r="BE242" t="s">
        <v>1502</v>
      </c>
      <c r="BF242" s="1" t="s">
        <v>29</v>
      </c>
      <c r="BG242" s="1">
        <v>3</v>
      </c>
      <c r="BH242">
        <v>1</v>
      </c>
      <c r="BK242" s="1">
        <v>1</v>
      </c>
      <c r="BQ242">
        <v>1</v>
      </c>
      <c r="CS242" s="7" t="s">
        <v>475</v>
      </c>
    </row>
    <row r="243" spans="1:99">
      <c r="A243" t="s">
        <v>72</v>
      </c>
      <c r="B243" t="s">
        <v>298</v>
      </c>
      <c r="F243" t="s">
        <v>7</v>
      </c>
      <c r="G243" s="1"/>
      <c r="H243" s="1"/>
      <c r="I243" s="1"/>
      <c r="T243" s="5"/>
      <c r="U243" t="s">
        <v>299</v>
      </c>
      <c r="AD243" s="7">
        <v>1</v>
      </c>
      <c r="BC243" t="s">
        <v>300</v>
      </c>
      <c r="BD243" s="7" t="s">
        <v>26</v>
      </c>
      <c r="BE243" t="s">
        <v>125</v>
      </c>
      <c r="BF243" s="1" t="s">
        <v>29</v>
      </c>
      <c r="BG243" s="1">
        <v>1</v>
      </c>
      <c r="BH243">
        <v>1</v>
      </c>
      <c r="BK243" s="1">
        <v>1</v>
      </c>
      <c r="BQ243">
        <v>1</v>
      </c>
      <c r="CS243" s="7" t="s">
        <v>301</v>
      </c>
    </row>
    <row r="244" spans="1:99">
      <c r="B244" t="s">
        <v>4410</v>
      </c>
      <c r="C244" s="2" t="s">
        <v>4411</v>
      </c>
      <c r="E244" s="8" t="s">
        <v>1919</v>
      </c>
      <c r="F244" s="8" t="s">
        <v>218</v>
      </c>
      <c r="G244" s="1">
        <v>1</v>
      </c>
      <c r="H244" s="1"/>
      <c r="I244" s="1">
        <f>1803-29</f>
        <v>1774</v>
      </c>
      <c r="J244" t="s">
        <v>10</v>
      </c>
      <c r="K244" t="s">
        <v>12</v>
      </c>
      <c r="Q244">
        <v>5</v>
      </c>
      <c r="R244">
        <v>4</v>
      </c>
      <c r="S244">
        <v>3</v>
      </c>
      <c r="T244" s="5">
        <f t="shared" ref="T244" si="13">((Q244*316)+(R244*26.3)+(S244*2.2))/10</f>
        <v>169.18</v>
      </c>
      <c r="U244" t="s">
        <v>4412</v>
      </c>
      <c r="AD244" s="6">
        <v>1</v>
      </c>
      <c r="AE244" s="6">
        <v>1</v>
      </c>
      <c r="AF244" s="6">
        <v>1</v>
      </c>
      <c r="AG244" s="6">
        <v>1</v>
      </c>
      <c r="AH244" s="6">
        <v>1</v>
      </c>
      <c r="AI244" s="6">
        <v>1</v>
      </c>
      <c r="AJ244" s="6">
        <v>1</v>
      </c>
      <c r="AK244" s="7">
        <v>1</v>
      </c>
      <c r="BC244" t="s">
        <v>4413</v>
      </c>
      <c r="BD244" s="7" t="s">
        <v>103</v>
      </c>
      <c r="BE244" t="s">
        <v>1307</v>
      </c>
      <c r="BF244" s="1" t="s">
        <v>29</v>
      </c>
      <c r="BG244" s="1">
        <v>3</v>
      </c>
      <c r="BH244">
        <v>1</v>
      </c>
      <c r="BK244" s="1" t="s">
        <v>72</v>
      </c>
      <c r="BQ244">
        <v>1</v>
      </c>
      <c r="CS244" s="7" t="s">
        <v>2172</v>
      </c>
    </row>
    <row r="245" spans="1:99">
      <c r="A245" t="s">
        <v>72</v>
      </c>
      <c r="B245" t="s">
        <v>741</v>
      </c>
      <c r="F245" t="s">
        <v>7</v>
      </c>
      <c r="G245" s="1"/>
      <c r="H245" s="1"/>
      <c r="I245" s="1"/>
      <c r="T245" s="5"/>
      <c r="U245" t="s">
        <v>742</v>
      </c>
      <c r="AD245" s="7">
        <v>1</v>
      </c>
      <c r="BC245" t="s">
        <v>743</v>
      </c>
      <c r="BD245" s="7" t="s">
        <v>280</v>
      </c>
      <c r="BE245" t="s">
        <v>744</v>
      </c>
      <c r="BF245" s="1" t="s">
        <v>29</v>
      </c>
      <c r="BG245" s="1">
        <v>1</v>
      </c>
      <c r="BH245">
        <v>1</v>
      </c>
      <c r="BK245" s="1"/>
      <c r="BO245">
        <v>1</v>
      </c>
      <c r="BR245">
        <v>1</v>
      </c>
      <c r="CN245">
        <v>1</v>
      </c>
      <c r="CS245" s="7" t="s">
        <v>745</v>
      </c>
    </row>
    <row r="246" spans="1:99">
      <c r="B246" t="s">
        <v>2316</v>
      </c>
      <c r="C246" s="15" t="s">
        <v>2317</v>
      </c>
      <c r="D246" s="2" t="s">
        <v>2318</v>
      </c>
      <c r="E246" s="8" t="s">
        <v>1145</v>
      </c>
      <c r="F246" s="8" t="s">
        <v>218</v>
      </c>
      <c r="G246" s="1">
        <v>1</v>
      </c>
      <c r="H246" s="1"/>
      <c r="I246" s="1">
        <f>1806-23</f>
        <v>1783</v>
      </c>
      <c r="J246" t="s">
        <v>10</v>
      </c>
      <c r="K246" t="s">
        <v>12</v>
      </c>
      <c r="Q246">
        <v>5</v>
      </c>
      <c r="R246">
        <v>6</v>
      </c>
      <c r="T246" s="5">
        <f>((Q246*316)+(R246*26.3)+(S246*2.2))/10</f>
        <v>173.78</v>
      </c>
      <c r="U246" t="s">
        <v>2319</v>
      </c>
      <c r="AD246" s="6">
        <v>1</v>
      </c>
      <c r="AE246" s="6">
        <v>1</v>
      </c>
      <c r="AF246" s="6">
        <v>1</v>
      </c>
      <c r="AG246" s="6">
        <v>1</v>
      </c>
      <c r="AH246" s="6">
        <v>1</v>
      </c>
      <c r="AI246" s="6">
        <v>1</v>
      </c>
      <c r="AJ246" s="6">
        <v>1</v>
      </c>
      <c r="AK246" s="6">
        <v>1</v>
      </c>
      <c r="AL246" s="6">
        <v>1</v>
      </c>
      <c r="AM246" s="6">
        <v>1</v>
      </c>
      <c r="AN246" s="6">
        <v>1</v>
      </c>
      <c r="AO246" s="7">
        <v>1</v>
      </c>
      <c r="BC246" t="s">
        <v>2320</v>
      </c>
      <c r="BD246" s="7" t="s">
        <v>959</v>
      </c>
      <c r="BE246" s="7" t="s">
        <v>1558</v>
      </c>
      <c r="BF246" s="1" t="s">
        <v>29</v>
      </c>
      <c r="BG246" s="1">
        <v>3</v>
      </c>
      <c r="BH246">
        <v>2</v>
      </c>
      <c r="BI246">
        <v>1</v>
      </c>
      <c r="BJ246">
        <v>1</v>
      </c>
      <c r="BK246" s="1">
        <v>1</v>
      </c>
      <c r="BQ246">
        <v>1</v>
      </c>
      <c r="CB246" s="7">
        <v>1</v>
      </c>
      <c r="CG246">
        <v>1</v>
      </c>
      <c r="CM246">
        <v>1</v>
      </c>
      <c r="CS246" s="7" t="s">
        <v>2974</v>
      </c>
    </row>
    <row r="247" spans="1:99">
      <c r="A247" t="s">
        <v>72</v>
      </c>
      <c r="B247" t="s">
        <v>925</v>
      </c>
      <c r="F247" t="s">
        <v>7</v>
      </c>
      <c r="G247" s="1"/>
      <c r="H247" s="1"/>
      <c r="I247" s="1"/>
      <c r="J247" s="8"/>
      <c r="K247" s="8"/>
      <c r="T247" s="5"/>
      <c r="U247" t="s">
        <v>924</v>
      </c>
      <c r="AD247" s="6">
        <v>1</v>
      </c>
      <c r="AE247" s="6">
        <v>1</v>
      </c>
      <c r="AF247" s="6">
        <v>1</v>
      </c>
      <c r="AG247" s="7">
        <v>1</v>
      </c>
      <c r="BC247" t="s">
        <v>926</v>
      </c>
      <c r="BD247" s="7" t="s">
        <v>109</v>
      </c>
      <c r="BE247" t="s">
        <v>927</v>
      </c>
      <c r="BF247" s="1" t="s">
        <v>29</v>
      </c>
      <c r="BG247" s="1">
        <v>3</v>
      </c>
      <c r="BH247">
        <v>2</v>
      </c>
      <c r="BO247">
        <v>1</v>
      </c>
      <c r="BR247">
        <v>1</v>
      </c>
      <c r="BS247">
        <v>1</v>
      </c>
      <c r="CL247">
        <v>1</v>
      </c>
      <c r="CS247" s="7" t="s">
        <v>893</v>
      </c>
    </row>
    <row r="248" spans="1:99">
      <c r="B248" t="s">
        <v>721</v>
      </c>
      <c r="C248" s="2" t="s">
        <v>722</v>
      </c>
      <c r="E248" s="8" t="s">
        <v>599</v>
      </c>
      <c r="F248" s="8" t="s">
        <v>357</v>
      </c>
      <c r="G248" s="1">
        <v>1</v>
      </c>
      <c r="H248" s="1"/>
      <c r="I248" s="1">
        <f>1796-26</f>
        <v>1770</v>
      </c>
      <c r="J248" t="s">
        <v>10</v>
      </c>
      <c r="K248" t="s">
        <v>723</v>
      </c>
      <c r="Q248">
        <v>5</v>
      </c>
      <c r="R248">
        <v>2</v>
      </c>
      <c r="T248" s="5">
        <f>((Q248*316)+(R248*26.3)+(S248*2.2))/10</f>
        <v>163.26</v>
      </c>
      <c r="U248" t="s">
        <v>724</v>
      </c>
      <c r="AD248" s="6">
        <v>1</v>
      </c>
      <c r="AE248" s="6">
        <v>1</v>
      </c>
      <c r="AF248" s="7">
        <v>1</v>
      </c>
      <c r="BC248" t="s">
        <v>725</v>
      </c>
      <c r="BD248" s="7" t="s">
        <v>103</v>
      </c>
      <c r="BE248" t="s">
        <v>726</v>
      </c>
      <c r="BF248" s="1" t="s">
        <v>29</v>
      </c>
      <c r="BG248" s="1">
        <v>2</v>
      </c>
      <c r="BH248">
        <v>1</v>
      </c>
      <c r="BK248" s="1"/>
      <c r="BO248">
        <v>1</v>
      </c>
      <c r="BR248">
        <v>1</v>
      </c>
      <c r="CF248">
        <v>1</v>
      </c>
      <c r="CM248">
        <v>1</v>
      </c>
      <c r="CS248" s="7" t="s">
        <v>727</v>
      </c>
    </row>
    <row r="249" spans="1:99">
      <c r="B249" t="s">
        <v>906</v>
      </c>
      <c r="C249" s="2" t="s">
        <v>907</v>
      </c>
      <c r="F249" s="8" t="s">
        <v>4276</v>
      </c>
      <c r="G249" s="1"/>
      <c r="H249" s="1">
        <v>1</v>
      </c>
      <c r="I249" s="1">
        <f>1806-31</f>
        <v>1775</v>
      </c>
      <c r="J249" t="s">
        <v>10</v>
      </c>
      <c r="K249" t="s">
        <v>12</v>
      </c>
      <c r="Q249">
        <v>5</v>
      </c>
      <c r="R249">
        <v>2</v>
      </c>
      <c r="S249">
        <v>3</v>
      </c>
      <c r="T249" s="5">
        <f>((Q249*316)+(R249*26.3)+(S249*2.2))/10</f>
        <v>163.92</v>
      </c>
      <c r="U249" t="s">
        <v>909</v>
      </c>
      <c r="AD249" s="6">
        <v>1</v>
      </c>
      <c r="AE249" s="6">
        <v>1</v>
      </c>
      <c r="AF249" s="6">
        <v>1</v>
      </c>
      <c r="AG249" s="6">
        <v>1</v>
      </c>
      <c r="AH249" s="6">
        <v>1</v>
      </c>
      <c r="AI249" s="6">
        <v>1</v>
      </c>
      <c r="AJ249" s="6">
        <v>1</v>
      </c>
      <c r="AK249" s="6">
        <v>1</v>
      </c>
      <c r="AL249" s="6">
        <v>1</v>
      </c>
      <c r="AM249" s="6">
        <v>1</v>
      </c>
      <c r="AN249" s="7">
        <v>1</v>
      </c>
      <c r="BC249" t="s">
        <v>910</v>
      </c>
      <c r="BD249" s="7" t="s">
        <v>280</v>
      </c>
      <c r="BE249" t="s">
        <v>62</v>
      </c>
      <c r="BF249" s="1" t="s">
        <v>29</v>
      </c>
      <c r="BG249" s="1">
        <v>9</v>
      </c>
      <c r="BH249">
        <v>3</v>
      </c>
      <c r="BK249" s="1"/>
      <c r="BO249">
        <v>1</v>
      </c>
      <c r="BP249">
        <v>1</v>
      </c>
      <c r="BQ249">
        <v>1</v>
      </c>
      <c r="BR249">
        <v>1</v>
      </c>
      <c r="BS249">
        <v>1</v>
      </c>
      <c r="CF249">
        <v>1</v>
      </c>
      <c r="CL249">
        <v>1</v>
      </c>
      <c r="CN249">
        <v>1</v>
      </c>
      <c r="CO249">
        <v>1</v>
      </c>
      <c r="CR249">
        <v>1</v>
      </c>
      <c r="CS249" s="7" t="s">
        <v>911</v>
      </c>
    </row>
    <row r="250" spans="1:99">
      <c r="B250" t="s">
        <v>2046</v>
      </c>
      <c r="C250" s="13" t="s">
        <v>2044</v>
      </c>
      <c r="F250" s="8" t="s">
        <v>4276</v>
      </c>
      <c r="G250" s="1"/>
      <c r="H250" s="1">
        <v>1</v>
      </c>
      <c r="I250" s="1">
        <f>1803-30</f>
        <v>1773</v>
      </c>
      <c r="J250" t="s">
        <v>69</v>
      </c>
      <c r="K250" t="s">
        <v>12</v>
      </c>
      <c r="T250" s="5"/>
      <c r="U250" t="s">
        <v>2045</v>
      </c>
      <c r="AD250" s="6">
        <v>1</v>
      </c>
      <c r="AE250" s="6">
        <v>1</v>
      </c>
      <c r="AF250" s="6">
        <v>1</v>
      </c>
      <c r="AG250" s="6">
        <v>1</v>
      </c>
      <c r="AH250" s="6">
        <v>1</v>
      </c>
      <c r="AI250" s="6">
        <v>1</v>
      </c>
      <c r="AJ250" s="6">
        <v>1</v>
      </c>
      <c r="AK250" s="7">
        <v>1</v>
      </c>
      <c r="BC250" t="s">
        <v>1528</v>
      </c>
      <c r="BD250" s="7" t="s">
        <v>280</v>
      </c>
      <c r="BE250" t="s">
        <v>1502</v>
      </c>
      <c r="BF250" s="1" t="s">
        <v>29</v>
      </c>
      <c r="BG250" s="1">
        <v>2</v>
      </c>
      <c r="BH250">
        <v>1</v>
      </c>
      <c r="BK250" s="1">
        <v>1</v>
      </c>
      <c r="BQ250">
        <v>1</v>
      </c>
      <c r="CN250">
        <v>1</v>
      </c>
      <c r="CS250" s="7" t="s">
        <v>947</v>
      </c>
    </row>
    <row r="251" spans="1:99">
      <c r="B251" t="s">
        <v>887</v>
      </c>
      <c r="C251" s="15" t="s">
        <v>888</v>
      </c>
      <c r="F251" s="8" t="s">
        <v>4275</v>
      </c>
      <c r="G251" s="1"/>
      <c r="H251" s="1">
        <v>1</v>
      </c>
      <c r="I251" s="1">
        <f>1799-22</f>
        <v>1777</v>
      </c>
      <c r="J251" t="s">
        <v>10</v>
      </c>
      <c r="K251" t="s">
        <v>197</v>
      </c>
      <c r="T251" s="5"/>
      <c r="U251" t="s">
        <v>886</v>
      </c>
      <c r="AD251" s="6">
        <v>1</v>
      </c>
      <c r="AE251" s="6">
        <v>1</v>
      </c>
      <c r="AF251" s="6">
        <v>1</v>
      </c>
      <c r="AG251" s="6">
        <v>1</v>
      </c>
      <c r="AH251" s="7">
        <v>1</v>
      </c>
      <c r="BC251" t="s">
        <v>889</v>
      </c>
      <c r="BD251" s="7" t="s">
        <v>26</v>
      </c>
      <c r="BE251" t="s">
        <v>849</v>
      </c>
      <c r="BF251" s="1" t="s">
        <v>29</v>
      </c>
      <c r="BG251" s="1">
        <v>4</v>
      </c>
      <c r="BH251">
        <v>2</v>
      </c>
      <c r="BK251" s="1"/>
      <c r="BO251">
        <v>1</v>
      </c>
      <c r="BR251">
        <v>1</v>
      </c>
      <c r="BS251">
        <v>1</v>
      </c>
      <c r="CL251">
        <v>1</v>
      </c>
      <c r="CS251" s="7" t="s">
        <v>179</v>
      </c>
    </row>
    <row r="252" spans="1:99">
      <c r="B252" t="s">
        <v>967</v>
      </c>
      <c r="C252" s="2" t="s">
        <v>191</v>
      </c>
      <c r="F252" s="8" t="s">
        <v>65</v>
      </c>
      <c r="G252" s="1">
        <v>1</v>
      </c>
      <c r="H252" s="1"/>
      <c r="I252" s="1">
        <f>1801-25</f>
        <v>1776</v>
      </c>
      <c r="J252" t="s">
        <v>10</v>
      </c>
      <c r="K252" t="s">
        <v>12</v>
      </c>
      <c r="Q252">
        <v>5</v>
      </c>
      <c r="R252">
        <v>4</v>
      </c>
      <c r="T252" s="5">
        <f t="shared" ref="T252:T288" si="14">((Q252*316)+(R252*26.3)+(S252*2.2))/10</f>
        <v>168.52</v>
      </c>
      <c r="U252" t="s">
        <v>968</v>
      </c>
      <c r="AD252" s="6">
        <v>1</v>
      </c>
      <c r="AE252" s="6">
        <v>1</v>
      </c>
      <c r="AF252" s="6">
        <v>1</v>
      </c>
      <c r="AG252" s="6">
        <v>1</v>
      </c>
      <c r="AH252" s="6">
        <v>1</v>
      </c>
      <c r="AI252" s="6">
        <v>1</v>
      </c>
      <c r="AJ252" s="7">
        <v>1</v>
      </c>
      <c r="BC252" t="s">
        <v>970</v>
      </c>
      <c r="BD252" s="7" t="s">
        <v>103</v>
      </c>
      <c r="BE252" t="s">
        <v>969</v>
      </c>
      <c r="BF252" s="1" t="s">
        <v>29</v>
      </c>
      <c r="BG252" s="1">
        <v>5</v>
      </c>
      <c r="BH252">
        <v>3</v>
      </c>
      <c r="BI252">
        <v>1</v>
      </c>
      <c r="BK252" s="1"/>
      <c r="BO252">
        <v>1</v>
      </c>
      <c r="BQ252">
        <v>1</v>
      </c>
      <c r="BR252">
        <v>1</v>
      </c>
      <c r="BS252">
        <v>1</v>
      </c>
      <c r="CF252">
        <v>1</v>
      </c>
      <c r="CL252">
        <v>1</v>
      </c>
      <c r="CS252" s="7" t="s">
        <v>614</v>
      </c>
    </row>
    <row r="253" spans="1:99">
      <c r="B253" t="s">
        <v>2887</v>
      </c>
      <c r="C253" s="2" t="s">
        <v>191</v>
      </c>
      <c r="D253" s="15"/>
      <c r="E253" s="8" t="s">
        <v>193</v>
      </c>
      <c r="F253" s="8" t="s">
        <v>65</v>
      </c>
      <c r="G253" s="1">
        <v>1</v>
      </c>
      <c r="H253" s="1"/>
      <c r="I253" s="1">
        <f>1811-39</f>
        <v>1772</v>
      </c>
      <c r="J253" t="s">
        <v>1998</v>
      </c>
      <c r="K253" t="s">
        <v>2888</v>
      </c>
      <c r="Q253">
        <v>5</v>
      </c>
      <c r="R253">
        <v>3</v>
      </c>
      <c r="T253" s="5">
        <f t="shared" si="14"/>
        <v>165.89000000000001</v>
      </c>
      <c r="U253" s="9" t="s">
        <v>2886</v>
      </c>
      <c r="AE253" s="9">
        <v>1</v>
      </c>
      <c r="AF253" s="6">
        <v>1</v>
      </c>
      <c r="AG253" s="7">
        <v>1</v>
      </c>
      <c r="AH253" s="40"/>
      <c r="AI253" s="40"/>
      <c r="AJ253" s="40"/>
      <c r="AK253" s="40"/>
      <c r="AL253" s="40"/>
      <c r="AM253" s="40"/>
      <c r="AN253" s="40"/>
      <c r="AO253" s="40"/>
      <c r="AP253" s="40"/>
      <c r="AQ253" s="40"/>
      <c r="AR253" s="40"/>
      <c r="AS253" s="7">
        <v>1</v>
      </c>
      <c r="BC253" t="s">
        <v>2889</v>
      </c>
      <c r="BD253" s="7" t="s">
        <v>103</v>
      </c>
      <c r="BE253" t="s">
        <v>118</v>
      </c>
      <c r="BF253" s="1" t="s">
        <v>29</v>
      </c>
      <c r="BG253" s="1">
        <v>2</v>
      </c>
      <c r="BH253">
        <v>2</v>
      </c>
      <c r="BJ253">
        <v>1</v>
      </c>
      <c r="BK253" s="41">
        <v>1</v>
      </c>
      <c r="BL253" s="41"/>
      <c r="BM253" s="41"/>
      <c r="BN253" s="41"/>
      <c r="BO253" s="41"/>
      <c r="BP253" s="41"/>
      <c r="BQ253" s="42">
        <v>1</v>
      </c>
      <c r="BR253" s="41"/>
      <c r="BS253" s="41"/>
      <c r="CL253">
        <v>1</v>
      </c>
      <c r="CM253">
        <v>1</v>
      </c>
      <c r="CN253" s="40"/>
      <c r="CS253" s="7" t="s">
        <v>309</v>
      </c>
      <c r="CT253" s="9" t="s">
        <v>127</v>
      </c>
      <c r="CU253" s="40" t="s">
        <v>2890</v>
      </c>
    </row>
    <row r="254" spans="1:99">
      <c r="B254" t="s">
        <v>3202</v>
      </c>
      <c r="C254" s="2" t="s">
        <v>3203</v>
      </c>
      <c r="F254" s="8" t="s">
        <v>3193</v>
      </c>
      <c r="G254" s="1"/>
      <c r="H254" s="30">
        <v>1</v>
      </c>
      <c r="I254" s="1">
        <f>1797-18</f>
        <v>1779</v>
      </c>
      <c r="J254" t="s">
        <v>10</v>
      </c>
      <c r="K254" t="s">
        <v>12</v>
      </c>
      <c r="Q254">
        <v>5</v>
      </c>
      <c r="R254">
        <v>0</v>
      </c>
      <c r="S254">
        <v>2</v>
      </c>
      <c r="T254" s="5">
        <f t="shared" si="14"/>
        <v>158.44</v>
      </c>
      <c r="U254" t="s">
        <v>3204</v>
      </c>
      <c r="AE254" s="6">
        <v>1</v>
      </c>
      <c r="AF254" s="6">
        <v>1</v>
      </c>
      <c r="AG254" s="6">
        <v>1</v>
      </c>
      <c r="AH254" s="7">
        <v>1</v>
      </c>
      <c r="BC254" t="s">
        <v>2296</v>
      </c>
      <c r="BD254" s="7" t="s">
        <v>280</v>
      </c>
      <c r="BE254" t="s">
        <v>2407</v>
      </c>
      <c r="BF254" s="1" t="s">
        <v>29</v>
      </c>
      <c r="BG254" s="1">
        <v>4</v>
      </c>
      <c r="BH254">
        <v>1</v>
      </c>
      <c r="BK254" s="30">
        <v>1</v>
      </c>
      <c r="BQ254">
        <v>1</v>
      </c>
      <c r="CM254">
        <v>1</v>
      </c>
      <c r="CN254">
        <v>1</v>
      </c>
      <c r="CP254">
        <v>1</v>
      </c>
      <c r="CS254" s="7" t="s">
        <v>3205</v>
      </c>
      <c r="CT254" s="6" t="s">
        <v>2936</v>
      </c>
    </row>
    <row r="255" spans="1:99">
      <c r="B255" t="s">
        <v>3212</v>
      </c>
      <c r="C255" s="2" t="s">
        <v>2924</v>
      </c>
      <c r="D255" s="2" t="s">
        <v>2924</v>
      </c>
      <c r="E255" s="8" t="s">
        <v>599</v>
      </c>
      <c r="F255" s="8" t="s">
        <v>357</v>
      </c>
      <c r="G255" s="1">
        <v>1</v>
      </c>
      <c r="H255" s="1"/>
      <c r="I255" s="1">
        <f>1797-25</f>
        <v>1772</v>
      </c>
      <c r="J255" t="s">
        <v>10</v>
      </c>
      <c r="K255" t="s">
        <v>12</v>
      </c>
      <c r="Q255">
        <v>5</v>
      </c>
      <c r="R255">
        <v>2</v>
      </c>
      <c r="T255" s="5">
        <f t="shared" si="14"/>
        <v>163.26</v>
      </c>
      <c r="U255" t="s">
        <v>3179</v>
      </c>
      <c r="AE255" s="6">
        <v>1</v>
      </c>
      <c r="AF255" s="6">
        <v>1</v>
      </c>
      <c r="AG255" s="6">
        <v>1</v>
      </c>
      <c r="AH255" s="6">
        <v>1</v>
      </c>
      <c r="AI255" s="6">
        <v>1</v>
      </c>
      <c r="AJ255" s="6">
        <v>1</v>
      </c>
      <c r="AK255" s="7">
        <v>1</v>
      </c>
      <c r="BC255" t="s">
        <v>2228</v>
      </c>
      <c r="BD255" s="7" t="s">
        <v>103</v>
      </c>
      <c r="BE255" t="s">
        <v>2407</v>
      </c>
      <c r="BF255" s="1" t="s">
        <v>29</v>
      </c>
      <c r="BG255" s="1">
        <v>5</v>
      </c>
      <c r="BH255">
        <v>1</v>
      </c>
      <c r="BK255" s="1">
        <v>1</v>
      </c>
      <c r="BQ255">
        <v>1</v>
      </c>
      <c r="CF255">
        <v>1</v>
      </c>
      <c r="CS255" s="7" t="s">
        <v>3213</v>
      </c>
    </row>
    <row r="256" spans="1:99">
      <c r="B256" t="s">
        <v>3180</v>
      </c>
      <c r="C256" s="2" t="s">
        <v>2924</v>
      </c>
      <c r="D256" s="2" t="s">
        <v>2924</v>
      </c>
      <c r="E256" s="8" t="s">
        <v>599</v>
      </c>
      <c r="F256" s="8" t="s">
        <v>357</v>
      </c>
      <c r="G256" s="1">
        <v>1</v>
      </c>
      <c r="H256" s="1"/>
      <c r="I256" s="1">
        <f>1797-34</f>
        <v>1763</v>
      </c>
      <c r="J256" t="s">
        <v>10</v>
      </c>
      <c r="K256" t="s">
        <v>12</v>
      </c>
      <c r="Q256">
        <v>5</v>
      </c>
      <c r="R256">
        <v>1</v>
      </c>
      <c r="S256">
        <v>1</v>
      </c>
      <c r="T256" s="5">
        <f t="shared" si="14"/>
        <v>160.85</v>
      </c>
      <c r="U256" t="s">
        <v>3179</v>
      </c>
      <c r="AE256" s="14">
        <v>1</v>
      </c>
      <c r="BC256" s="9" t="s">
        <v>3176</v>
      </c>
      <c r="BD256" s="14" t="s">
        <v>338</v>
      </c>
      <c r="BE256" t="s">
        <v>2407</v>
      </c>
      <c r="BF256" s="1" t="s">
        <v>339</v>
      </c>
      <c r="BG256" s="1">
        <v>2</v>
      </c>
      <c r="BH256">
        <v>1</v>
      </c>
      <c r="BK256" s="41">
        <v>1</v>
      </c>
      <c r="BL256" s="41"/>
      <c r="BM256" s="41"/>
      <c r="BN256" s="41"/>
      <c r="BO256" s="41"/>
      <c r="BP256" s="41"/>
      <c r="BQ256" s="42">
        <v>1</v>
      </c>
      <c r="BR256" s="41"/>
      <c r="BS256" s="41"/>
      <c r="CS256" s="14" t="s">
        <v>338</v>
      </c>
    </row>
    <row r="257" spans="2:98">
      <c r="B257" t="s">
        <v>3211</v>
      </c>
      <c r="C257" s="2" t="s">
        <v>356</v>
      </c>
      <c r="D257" s="2" t="s">
        <v>356</v>
      </c>
      <c r="E257" s="8" t="s">
        <v>546</v>
      </c>
      <c r="F257" s="8" t="s">
        <v>357</v>
      </c>
      <c r="G257" s="1">
        <v>1</v>
      </c>
      <c r="H257" s="1"/>
      <c r="I257" s="1">
        <f>1797-23</f>
        <v>1774</v>
      </c>
      <c r="J257" t="s">
        <v>10</v>
      </c>
      <c r="K257" t="s">
        <v>12</v>
      </c>
      <c r="Q257">
        <v>5</v>
      </c>
      <c r="R257">
        <v>0</v>
      </c>
      <c r="S257">
        <v>3</v>
      </c>
      <c r="T257" s="5">
        <f t="shared" si="14"/>
        <v>158.66</v>
      </c>
      <c r="U257" t="s">
        <v>2971</v>
      </c>
      <c r="AE257" s="6">
        <v>1</v>
      </c>
      <c r="AF257" s="6">
        <v>1</v>
      </c>
      <c r="AG257" s="6">
        <v>1</v>
      </c>
      <c r="AH257" s="6">
        <v>1</v>
      </c>
      <c r="AI257" s="6">
        <v>1</v>
      </c>
      <c r="AJ257" s="7">
        <v>1</v>
      </c>
      <c r="BC257" t="s">
        <v>3168</v>
      </c>
      <c r="BD257" s="7" t="s">
        <v>103</v>
      </c>
      <c r="BE257" t="s">
        <v>2407</v>
      </c>
      <c r="BF257" s="1" t="s">
        <v>29</v>
      </c>
      <c r="BG257" s="1">
        <v>4</v>
      </c>
      <c r="BH257">
        <v>1</v>
      </c>
      <c r="BK257" s="41">
        <v>1</v>
      </c>
      <c r="BL257" s="41"/>
      <c r="BM257" s="41"/>
      <c r="BN257" s="41"/>
      <c r="BO257" s="41"/>
      <c r="BP257" s="41"/>
      <c r="BQ257" s="42">
        <v>1</v>
      </c>
      <c r="BR257" s="41"/>
      <c r="BS257" s="41"/>
      <c r="CM257">
        <v>1</v>
      </c>
      <c r="CS257" s="7" t="s">
        <v>412</v>
      </c>
    </row>
    <row r="258" spans="2:98">
      <c r="B258" t="s">
        <v>3208</v>
      </c>
      <c r="C258" s="2" t="s">
        <v>356</v>
      </c>
      <c r="D258" s="2" t="s">
        <v>3146</v>
      </c>
      <c r="E258" s="8" t="s">
        <v>546</v>
      </c>
      <c r="F258" s="8" t="s">
        <v>357</v>
      </c>
      <c r="G258" s="1">
        <v>1</v>
      </c>
      <c r="H258" s="1"/>
      <c r="I258" s="1">
        <f>1797-24</f>
        <v>1773</v>
      </c>
      <c r="J258" t="s">
        <v>10</v>
      </c>
      <c r="K258" t="s">
        <v>12</v>
      </c>
      <c r="Q258">
        <v>5</v>
      </c>
      <c r="R258">
        <v>3</v>
      </c>
      <c r="T258" s="5">
        <f t="shared" si="14"/>
        <v>165.89000000000001</v>
      </c>
      <c r="U258" t="s">
        <v>2971</v>
      </c>
      <c r="AE258" s="6">
        <v>1</v>
      </c>
      <c r="AF258" s="6">
        <v>1</v>
      </c>
      <c r="AG258" s="6">
        <v>1</v>
      </c>
      <c r="AH258" s="6">
        <v>1</v>
      </c>
      <c r="AI258" s="6">
        <v>1</v>
      </c>
      <c r="AJ258" s="7">
        <v>1</v>
      </c>
      <c r="BC258" t="s">
        <v>3209</v>
      </c>
      <c r="BD258" s="7" t="s">
        <v>109</v>
      </c>
      <c r="BE258" t="s">
        <v>2407</v>
      </c>
      <c r="BF258" s="1" t="s">
        <v>29</v>
      </c>
      <c r="BG258" s="1">
        <v>3</v>
      </c>
      <c r="BH258">
        <v>1</v>
      </c>
      <c r="BK258" s="41">
        <v>1</v>
      </c>
      <c r="BL258" s="41"/>
      <c r="BM258" s="41"/>
      <c r="BN258" s="41"/>
      <c r="BO258" s="41"/>
      <c r="BP258" s="41"/>
      <c r="BQ258" s="42">
        <v>1</v>
      </c>
      <c r="BR258" s="41"/>
      <c r="BS258" s="41"/>
      <c r="CS258" s="7" t="s">
        <v>1593</v>
      </c>
    </row>
    <row r="259" spans="2:98">
      <c r="B259" t="s">
        <v>2969</v>
      </c>
      <c r="C259" s="2" t="s">
        <v>2970</v>
      </c>
      <c r="D259" s="2" t="s">
        <v>2970</v>
      </c>
      <c r="E259" s="8" t="s">
        <v>599</v>
      </c>
      <c r="F259" s="8" t="s">
        <v>357</v>
      </c>
      <c r="G259" s="1">
        <v>1</v>
      </c>
      <c r="H259" s="1"/>
      <c r="I259" s="1">
        <f>1800-27</f>
        <v>1773</v>
      </c>
      <c r="J259" t="s">
        <v>10</v>
      </c>
      <c r="K259" t="s">
        <v>12</v>
      </c>
      <c r="Q259">
        <v>5</v>
      </c>
      <c r="R259">
        <v>6</v>
      </c>
      <c r="S259">
        <v>1</v>
      </c>
      <c r="T259" s="5">
        <f t="shared" si="14"/>
        <v>174</v>
      </c>
      <c r="U259" t="s">
        <v>2971</v>
      </c>
      <c r="AE259" s="6">
        <v>1</v>
      </c>
      <c r="AF259" s="6">
        <v>1</v>
      </c>
      <c r="AG259" s="6">
        <v>1</v>
      </c>
      <c r="AH259" s="7">
        <v>1</v>
      </c>
      <c r="BC259" t="s">
        <v>2972</v>
      </c>
      <c r="BD259" s="7" t="s">
        <v>959</v>
      </c>
      <c r="BE259" s="7" t="s">
        <v>4533</v>
      </c>
      <c r="BF259" s="1" t="s">
        <v>29</v>
      </c>
      <c r="BG259" s="1">
        <v>4</v>
      </c>
      <c r="BH259">
        <v>2</v>
      </c>
      <c r="BI259">
        <v>1</v>
      </c>
      <c r="BJ259">
        <v>1</v>
      </c>
      <c r="BK259" s="41">
        <v>1</v>
      </c>
      <c r="BL259" s="41"/>
      <c r="BM259" s="41"/>
      <c r="BN259" s="41"/>
      <c r="BO259" s="41"/>
      <c r="BP259" s="41"/>
      <c r="BQ259" s="42">
        <v>1</v>
      </c>
      <c r="BR259" s="41"/>
      <c r="BS259" s="41"/>
      <c r="CB259" s="7">
        <v>1</v>
      </c>
      <c r="CS259" s="7" t="s">
        <v>2973</v>
      </c>
    </row>
    <row r="260" spans="2:98">
      <c r="B260" t="s">
        <v>4602</v>
      </c>
      <c r="C260" s="2" t="s">
        <v>4603</v>
      </c>
      <c r="D260" s="2" t="s">
        <v>4604</v>
      </c>
      <c r="E260" s="8" t="s">
        <v>624</v>
      </c>
      <c r="F260" s="8" t="s">
        <v>218</v>
      </c>
      <c r="G260" s="1">
        <v>1</v>
      </c>
      <c r="H260" s="1"/>
      <c r="I260" s="1">
        <f>1804-41</f>
        <v>1763</v>
      </c>
      <c r="J260" t="s">
        <v>10</v>
      </c>
      <c r="K260" t="s">
        <v>12</v>
      </c>
      <c r="Q260">
        <v>5</v>
      </c>
      <c r="R260">
        <v>2</v>
      </c>
      <c r="S260">
        <v>1</v>
      </c>
      <c r="T260" s="5">
        <f t="shared" si="14"/>
        <v>163.47999999999999</v>
      </c>
      <c r="U260" t="s">
        <v>4605</v>
      </c>
      <c r="AE260" s="6">
        <v>1</v>
      </c>
      <c r="AF260" s="6">
        <v>1</v>
      </c>
      <c r="AG260" s="6">
        <v>1</v>
      </c>
      <c r="AH260" s="6">
        <v>1</v>
      </c>
      <c r="AI260" s="6">
        <v>1</v>
      </c>
      <c r="AJ260" s="6">
        <v>1</v>
      </c>
      <c r="AK260" s="6">
        <v>1</v>
      </c>
      <c r="AL260" s="6">
        <v>1</v>
      </c>
      <c r="AM260" s="7">
        <v>1</v>
      </c>
      <c r="BC260" t="s">
        <v>3171</v>
      </c>
      <c r="BD260" s="7" t="s">
        <v>103</v>
      </c>
      <c r="BE260" t="s">
        <v>712</v>
      </c>
      <c r="BF260" s="1" t="s">
        <v>29</v>
      </c>
      <c r="BG260" s="1">
        <v>3</v>
      </c>
      <c r="BH260">
        <v>1</v>
      </c>
      <c r="BK260" s="41" t="s">
        <v>72</v>
      </c>
      <c r="BL260" s="41"/>
      <c r="BM260" s="41"/>
      <c r="BN260" s="41"/>
      <c r="BO260" s="41"/>
      <c r="BP260" s="41"/>
      <c r="BQ260" s="42">
        <v>1</v>
      </c>
      <c r="BR260" s="41"/>
      <c r="BS260" s="41"/>
      <c r="CM260">
        <v>1</v>
      </c>
      <c r="CS260" s="7" t="s">
        <v>897</v>
      </c>
    </row>
    <row r="261" spans="2:98">
      <c r="B261" t="s">
        <v>4563</v>
      </c>
      <c r="C261" s="13" t="s">
        <v>4564</v>
      </c>
      <c r="D261" s="13" t="s">
        <v>4564</v>
      </c>
      <c r="E261" s="8" t="s">
        <v>1084</v>
      </c>
      <c r="F261" s="8" t="s">
        <v>65</v>
      </c>
      <c r="G261" s="1">
        <v>1</v>
      </c>
      <c r="H261" s="1"/>
      <c r="I261" s="1">
        <f>1804-25</f>
        <v>1779</v>
      </c>
      <c r="J261" t="s">
        <v>10</v>
      </c>
      <c r="K261" t="s">
        <v>12</v>
      </c>
      <c r="T261" s="5"/>
      <c r="U261" t="s">
        <v>1900</v>
      </c>
      <c r="AE261" s="6">
        <v>1</v>
      </c>
      <c r="AF261" s="6">
        <v>1</v>
      </c>
      <c r="AG261" s="6">
        <v>1</v>
      </c>
      <c r="AH261" s="6">
        <v>1</v>
      </c>
      <c r="AI261" s="6">
        <v>1</v>
      </c>
      <c r="AJ261" s="6">
        <v>1</v>
      </c>
      <c r="AK261" s="6">
        <v>1</v>
      </c>
      <c r="AL261" s="6">
        <v>1</v>
      </c>
      <c r="AM261" s="7">
        <v>1</v>
      </c>
      <c r="BC261" t="s">
        <v>4000</v>
      </c>
      <c r="BD261" s="7" t="s">
        <v>103</v>
      </c>
      <c r="BE261" t="s">
        <v>712</v>
      </c>
      <c r="BF261" s="1" t="s">
        <v>29</v>
      </c>
      <c r="BG261" s="1">
        <v>3</v>
      </c>
      <c r="BH261">
        <v>1</v>
      </c>
      <c r="BK261" s="41" t="s">
        <v>72</v>
      </c>
      <c r="BL261" s="41"/>
      <c r="BM261" s="41"/>
      <c r="BN261" s="41"/>
      <c r="BO261" s="41"/>
      <c r="BP261" s="41"/>
      <c r="BQ261" s="42">
        <v>1</v>
      </c>
      <c r="BR261" s="41"/>
      <c r="BS261" s="41"/>
      <c r="CG261">
        <v>1</v>
      </c>
      <c r="CS261" s="7" t="s">
        <v>1404</v>
      </c>
    </row>
    <row r="262" spans="2:98">
      <c r="B262" t="s">
        <v>2935</v>
      </c>
      <c r="C262" s="2" t="s">
        <v>677</v>
      </c>
      <c r="D262" s="15"/>
      <c r="F262" s="8" t="s">
        <v>678</v>
      </c>
      <c r="G262" s="1"/>
      <c r="H262" s="30">
        <v>1</v>
      </c>
      <c r="I262" s="1">
        <f>1797-22</f>
        <v>1775</v>
      </c>
      <c r="J262" t="s">
        <v>10</v>
      </c>
      <c r="K262" t="s">
        <v>900</v>
      </c>
      <c r="Q262">
        <v>5</v>
      </c>
      <c r="R262">
        <v>1</v>
      </c>
      <c r="T262" s="5">
        <f t="shared" si="14"/>
        <v>160.63</v>
      </c>
      <c r="U262" t="s">
        <v>1900</v>
      </c>
      <c r="AE262" s="6">
        <v>1</v>
      </c>
      <c r="BC262">
        <v>1797</v>
      </c>
      <c r="BD262" t="s">
        <v>81</v>
      </c>
      <c r="BE262" s="10" t="s">
        <v>1904</v>
      </c>
      <c r="BF262" s="1" t="s">
        <v>73</v>
      </c>
      <c r="BG262" s="1">
        <v>1</v>
      </c>
      <c r="BH262">
        <v>2</v>
      </c>
      <c r="BI262">
        <v>1</v>
      </c>
      <c r="BK262" s="44">
        <v>1</v>
      </c>
      <c r="BL262" s="41"/>
      <c r="BM262" s="41"/>
      <c r="BN262" s="41"/>
      <c r="BO262" s="41"/>
      <c r="BP262" s="41"/>
      <c r="BQ262" s="42">
        <v>1</v>
      </c>
      <c r="BR262" s="41"/>
      <c r="BS262" s="41"/>
      <c r="CL262" s="10">
        <v>1</v>
      </c>
      <c r="CS262" s="10" t="s">
        <v>142</v>
      </c>
      <c r="CT262" s="6" t="s">
        <v>2936</v>
      </c>
    </row>
    <row r="263" spans="2:98">
      <c r="B263" t="s">
        <v>4535</v>
      </c>
      <c r="C263" s="13" t="s">
        <v>4536</v>
      </c>
      <c r="D263" s="2" t="s">
        <v>1311</v>
      </c>
      <c r="E263" s="8" t="s">
        <v>122</v>
      </c>
      <c r="F263" s="8" t="s">
        <v>115</v>
      </c>
      <c r="G263" s="1">
        <v>1</v>
      </c>
      <c r="H263" s="1"/>
      <c r="I263" s="1">
        <f>1802-22</f>
        <v>1780</v>
      </c>
      <c r="J263" t="s">
        <v>10</v>
      </c>
      <c r="K263" t="s">
        <v>12</v>
      </c>
      <c r="Q263">
        <v>5</v>
      </c>
      <c r="R263">
        <v>3</v>
      </c>
      <c r="S263">
        <v>3</v>
      </c>
      <c r="T263" s="5">
        <f t="shared" si="14"/>
        <v>166.55</v>
      </c>
      <c r="U263" t="s">
        <v>1900</v>
      </c>
      <c r="AE263" s="6">
        <v>1</v>
      </c>
      <c r="AF263" s="6">
        <v>1</v>
      </c>
      <c r="AG263" s="6">
        <v>1</v>
      </c>
      <c r="AH263" s="6">
        <v>1</v>
      </c>
      <c r="AI263" s="6">
        <v>1</v>
      </c>
      <c r="AJ263" s="6">
        <v>1</v>
      </c>
      <c r="AK263" s="7">
        <v>1</v>
      </c>
      <c r="BC263" t="s">
        <v>1412</v>
      </c>
      <c r="BD263" s="7" t="s">
        <v>103</v>
      </c>
      <c r="BE263" t="s">
        <v>712</v>
      </c>
      <c r="BF263" s="1" t="s">
        <v>29</v>
      </c>
      <c r="BG263" s="1">
        <v>2</v>
      </c>
      <c r="BH263">
        <v>1</v>
      </c>
      <c r="BK263" s="41" t="s">
        <v>72</v>
      </c>
      <c r="BL263" s="41"/>
      <c r="BM263" s="41"/>
      <c r="BN263" s="41"/>
      <c r="BO263" s="41"/>
      <c r="BP263" s="41"/>
      <c r="BQ263" s="42">
        <v>1</v>
      </c>
      <c r="BR263" s="41"/>
      <c r="BS263" s="41"/>
      <c r="CM263">
        <v>1</v>
      </c>
      <c r="CS263" s="7" t="s">
        <v>4537</v>
      </c>
      <c r="CT263" s="6"/>
    </row>
    <row r="264" spans="2:98">
      <c r="B264" t="s">
        <v>2940</v>
      </c>
      <c r="C264" s="2" t="s">
        <v>176</v>
      </c>
      <c r="D264" s="2" t="s">
        <v>176</v>
      </c>
      <c r="E264" s="8" t="s">
        <v>114</v>
      </c>
      <c r="F264" s="8" t="s">
        <v>115</v>
      </c>
      <c r="G264" s="1">
        <v>1</v>
      </c>
      <c r="H264" s="1"/>
      <c r="I264" s="1">
        <f>1797-35</f>
        <v>1762</v>
      </c>
      <c r="J264" t="s">
        <v>10</v>
      </c>
      <c r="K264" t="s">
        <v>12</v>
      </c>
      <c r="Q264">
        <v>5</v>
      </c>
      <c r="R264">
        <v>1</v>
      </c>
      <c r="T264" s="5">
        <f t="shared" si="14"/>
        <v>160.63</v>
      </c>
      <c r="U264" t="s">
        <v>1900</v>
      </c>
      <c r="AE264" s="6">
        <v>1</v>
      </c>
      <c r="BC264">
        <v>1797</v>
      </c>
      <c r="BD264" t="s">
        <v>81</v>
      </c>
      <c r="BE264" s="10" t="s">
        <v>1904</v>
      </c>
      <c r="BF264" s="1" t="s">
        <v>73</v>
      </c>
      <c r="BG264" s="1">
        <v>1</v>
      </c>
      <c r="BH264">
        <v>2</v>
      </c>
      <c r="BI264">
        <v>1</v>
      </c>
      <c r="BK264" s="41">
        <v>1</v>
      </c>
      <c r="BL264" s="41"/>
      <c r="BM264" s="41"/>
      <c r="BN264" s="41"/>
      <c r="BO264" s="41"/>
      <c r="BP264" s="41"/>
      <c r="BQ264" s="42">
        <v>1</v>
      </c>
      <c r="BR264" s="41"/>
      <c r="BS264" s="41"/>
      <c r="CL264" s="10">
        <v>1</v>
      </c>
      <c r="CS264" s="10" t="s">
        <v>2939</v>
      </c>
    </row>
    <row r="265" spans="2:98">
      <c r="B265" t="s">
        <v>4647</v>
      </c>
      <c r="C265" s="2" t="s">
        <v>1662</v>
      </c>
      <c r="D265" s="2"/>
      <c r="E265" s="8" t="s">
        <v>837</v>
      </c>
      <c r="F265" s="8" t="s">
        <v>115</v>
      </c>
      <c r="G265" s="1">
        <v>1</v>
      </c>
      <c r="H265" s="1"/>
      <c r="I265" s="1">
        <f>1797-22</f>
        <v>1775</v>
      </c>
      <c r="J265" t="s">
        <v>10</v>
      </c>
      <c r="K265" t="s">
        <v>12</v>
      </c>
      <c r="Q265">
        <v>5</v>
      </c>
      <c r="R265">
        <v>1</v>
      </c>
      <c r="T265" s="5">
        <f t="shared" si="14"/>
        <v>160.63</v>
      </c>
      <c r="U265" t="s">
        <v>1900</v>
      </c>
      <c r="AE265" s="6">
        <v>1</v>
      </c>
      <c r="AF265" s="6">
        <v>1</v>
      </c>
      <c r="AG265" s="9">
        <v>1</v>
      </c>
      <c r="AH265" s="9"/>
      <c r="AI265" s="9"/>
      <c r="AJ265" s="9"/>
      <c r="AK265" s="9">
        <v>1</v>
      </c>
      <c r="AL265" s="6">
        <v>1</v>
      </c>
      <c r="AM265" s="7">
        <v>1</v>
      </c>
      <c r="BC265" t="s">
        <v>4000</v>
      </c>
      <c r="BD265" s="7" t="s">
        <v>103</v>
      </c>
      <c r="BE265" t="s">
        <v>712</v>
      </c>
      <c r="BF265" s="1" t="s">
        <v>29</v>
      </c>
      <c r="BG265" s="1">
        <v>3</v>
      </c>
      <c r="BH265">
        <v>2</v>
      </c>
      <c r="BI265">
        <v>1</v>
      </c>
      <c r="BK265" s="41">
        <v>1</v>
      </c>
      <c r="BL265" s="41"/>
      <c r="BM265" s="41"/>
      <c r="BN265" s="41"/>
      <c r="BO265" s="41"/>
      <c r="BP265" s="41"/>
      <c r="BQ265" s="42">
        <v>1</v>
      </c>
      <c r="BR265" s="41"/>
      <c r="BS265" s="41"/>
      <c r="CL265" s="10">
        <v>1</v>
      </c>
      <c r="CM265" s="9">
        <v>1</v>
      </c>
      <c r="CN265" s="9">
        <v>1</v>
      </c>
      <c r="CP265">
        <v>1</v>
      </c>
      <c r="CS265" s="7" t="s">
        <v>1949</v>
      </c>
      <c r="CT265" s="9" t="s">
        <v>4648</v>
      </c>
    </row>
    <row r="266" spans="2:98">
      <c r="B266" t="s">
        <v>4592</v>
      </c>
      <c r="C266" s="2" t="s">
        <v>4593</v>
      </c>
      <c r="D266" s="2" t="s">
        <v>4593</v>
      </c>
      <c r="F266" s="8" t="s">
        <v>115</v>
      </c>
      <c r="G266" s="1">
        <v>1</v>
      </c>
      <c r="H266" s="1"/>
      <c r="I266" s="1">
        <f>1804-34</f>
        <v>1770</v>
      </c>
      <c r="J266" t="s">
        <v>10</v>
      </c>
      <c r="K266" t="s">
        <v>12</v>
      </c>
      <c r="Q266">
        <v>5</v>
      </c>
      <c r="R266">
        <v>4</v>
      </c>
      <c r="S266">
        <v>3</v>
      </c>
      <c r="T266" s="5">
        <f t="shared" si="14"/>
        <v>169.18</v>
      </c>
      <c r="U266" t="s">
        <v>1900</v>
      </c>
      <c r="AE266" s="6">
        <v>1</v>
      </c>
      <c r="AF266" s="6">
        <v>1</v>
      </c>
      <c r="AG266" s="9">
        <v>1</v>
      </c>
      <c r="AH266" s="9"/>
      <c r="AI266" s="9">
        <v>1</v>
      </c>
      <c r="AJ266" s="6">
        <v>1</v>
      </c>
      <c r="AK266" s="6">
        <v>1</v>
      </c>
      <c r="AL266" s="6">
        <v>1</v>
      </c>
      <c r="AM266" s="6">
        <v>1</v>
      </c>
      <c r="AN266" s="6">
        <v>1</v>
      </c>
      <c r="BC266">
        <v>1806</v>
      </c>
      <c r="BD266" t="s">
        <v>81</v>
      </c>
      <c r="BE266" t="s">
        <v>712</v>
      </c>
      <c r="BF266" s="1" t="s">
        <v>73</v>
      </c>
      <c r="BG266" s="1">
        <v>4</v>
      </c>
      <c r="BH266">
        <v>2</v>
      </c>
      <c r="BI266">
        <v>1</v>
      </c>
      <c r="BK266" s="41">
        <v>1</v>
      </c>
      <c r="BL266" s="41"/>
      <c r="BM266" s="41"/>
      <c r="BN266" s="41"/>
      <c r="BO266" s="41"/>
      <c r="BP266" s="41"/>
      <c r="BQ266" s="42">
        <v>1</v>
      </c>
      <c r="BR266" s="41"/>
      <c r="BS266" s="41"/>
      <c r="CL266">
        <v>1</v>
      </c>
      <c r="CM266">
        <v>1</v>
      </c>
      <c r="CR266" t="s">
        <v>72</v>
      </c>
      <c r="CS266" t="s">
        <v>713</v>
      </c>
    </row>
    <row r="267" spans="2:98">
      <c r="B267" t="s">
        <v>2142</v>
      </c>
      <c r="C267" s="2" t="s">
        <v>1601</v>
      </c>
      <c r="F267" s="8" t="s">
        <v>4274</v>
      </c>
      <c r="G267" s="1"/>
      <c r="H267" s="30">
        <v>1</v>
      </c>
      <c r="I267" s="1">
        <f>1804-26</f>
        <v>1778</v>
      </c>
      <c r="J267" t="s">
        <v>10</v>
      </c>
      <c r="K267" t="s">
        <v>12</v>
      </c>
      <c r="Q267">
        <v>5</v>
      </c>
      <c r="R267">
        <v>5</v>
      </c>
      <c r="S267">
        <v>2</v>
      </c>
      <c r="T267" s="5">
        <f t="shared" si="14"/>
        <v>171.59</v>
      </c>
      <c r="U267" t="s">
        <v>1900</v>
      </c>
      <c r="AE267" s="6">
        <v>1</v>
      </c>
      <c r="AF267" s="6">
        <v>1</v>
      </c>
      <c r="AG267" s="6">
        <v>1</v>
      </c>
      <c r="AH267" s="6">
        <v>1</v>
      </c>
      <c r="AI267" s="6">
        <v>1</v>
      </c>
      <c r="AJ267" s="6">
        <v>1</v>
      </c>
      <c r="AK267" s="14">
        <v>1</v>
      </c>
      <c r="BC267" s="9" t="s">
        <v>2143</v>
      </c>
      <c r="BD267" s="14" t="s">
        <v>338</v>
      </c>
      <c r="BE267" t="s">
        <v>1502</v>
      </c>
      <c r="BF267" s="1" t="s">
        <v>339</v>
      </c>
      <c r="BG267" s="1">
        <v>3</v>
      </c>
      <c r="BH267">
        <v>1</v>
      </c>
      <c r="BK267" s="30">
        <v>1</v>
      </c>
      <c r="BQ267">
        <v>1</v>
      </c>
      <c r="CS267" s="14" t="s">
        <v>338</v>
      </c>
      <c r="CT267" s="6" t="s">
        <v>2175</v>
      </c>
    </row>
    <row r="268" spans="2:98">
      <c r="B268" t="s">
        <v>2937</v>
      </c>
      <c r="C268" s="2" t="s">
        <v>224</v>
      </c>
      <c r="D268" s="2" t="s">
        <v>224</v>
      </c>
      <c r="E268" s="8" t="s">
        <v>122</v>
      </c>
      <c r="F268" t="s">
        <v>115</v>
      </c>
      <c r="G268" s="1">
        <v>1</v>
      </c>
      <c r="H268" s="1"/>
      <c r="I268" s="1">
        <f>1797-35</f>
        <v>1762</v>
      </c>
      <c r="J268" t="s">
        <v>10</v>
      </c>
      <c r="K268" t="s">
        <v>12</v>
      </c>
      <c r="Q268">
        <v>5</v>
      </c>
      <c r="R268">
        <v>1</v>
      </c>
      <c r="T268" s="5">
        <f t="shared" si="14"/>
        <v>160.63</v>
      </c>
      <c r="U268" t="s">
        <v>1900</v>
      </c>
      <c r="AE268" s="6">
        <v>1</v>
      </c>
      <c r="BC268">
        <v>1797</v>
      </c>
      <c r="BD268" t="s">
        <v>81</v>
      </c>
      <c r="BE268" s="10" t="s">
        <v>1904</v>
      </c>
      <c r="BF268" s="1" t="s">
        <v>73</v>
      </c>
      <c r="BG268" s="1">
        <v>1</v>
      </c>
      <c r="BH268">
        <v>2</v>
      </c>
      <c r="BI268">
        <v>1</v>
      </c>
      <c r="BK268" s="1">
        <v>1</v>
      </c>
      <c r="BQ268">
        <v>1</v>
      </c>
      <c r="CL268" s="10">
        <v>1</v>
      </c>
      <c r="CS268" s="10" t="s">
        <v>142</v>
      </c>
    </row>
    <row r="269" spans="2:98">
      <c r="B269" t="s">
        <v>4432</v>
      </c>
      <c r="C269" s="2" t="s">
        <v>836</v>
      </c>
      <c r="D269" s="15"/>
      <c r="E269" s="8" t="s">
        <v>837</v>
      </c>
      <c r="F269" s="8" t="s">
        <v>115</v>
      </c>
      <c r="G269" s="1">
        <v>1</v>
      </c>
      <c r="H269" s="1"/>
      <c r="I269" s="1">
        <f>1797-20</f>
        <v>1777</v>
      </c>
      <c r="J269" t="s">
        <v>10</v>
      </c>
      <c r="K269" t="s">
        <v>12</v>
      </c>
      <c r="Q269">
        <v>5</v>
      </c>
      <c r="R269">
        <v>3</v>
      </c>
      <c r="T269" s="5">
        <f t="shared" si="14"/>
        <v>165.89000000000001</v>
      </c>
      <c r="U269" t="s">
        <v>1900</v>
      </c>
      <c r="AE269" s="6">
        <v>1</v>
      </c>
      <c r="AF269" s="6">
        <v>1</v>
      </c>
      <c r="AG269" s="6">
        <v>1</v>
      </c>
      <c r="AH269" s="6">
        <v>1</v>
      </c>
      <c r="AI269" s="6">
        <v>1</v>
      </c>
      <c r="AJ269" s="6">
        <v>1</v>
      </c>
      <c r="BC269">
        <v>1802</v>
      </c>
      <c r="BD269" t="s">
        <v>81</v>
      </c>
      <c r="BE269" s="10" t="s">
        <v>712</v>
      </c>
      <c r="BF269" s="1" t="s">
        <v>73</v>
      </c>
      <c r="BG269" s="1">
        <v>3</v>
      </c>
      <c r="BH269">
        <v>3</v>
      </c>
      <c r="BI269">
        <v>1</v>
      </c>
      <c r="BK269" s="1">
        <v>1</v>
      </c>
      <c r="BQ269" s="42">
        <v>1</v>
      </c>
      <c r="CL269" s="10">
        <v>1</v>
      </c>
      <c r="CM269">
        <v>1</v>
      </c>
      <c r="CS269" s="10" t="s">
        <v>4433</v>
      </c>
    </row>
    <row r="270" spans="2:98">
      <c r="B270" t="s">
        <v>1335</v>
      </c>
      <c r="C270" s="2" t="s">
        <v>1336</v>
      </c>
      <c r="D270" s="15"/>
      <c r="F270" t="s">
        <v>115</v>
      </c>
      <c r="G270" s="1">
        <v>1</v>
      </c>
      <c r="H270" s="1"/>
      <c r="I270" s="1">
        <f>1797-20</f>
        <v>1777</v>
      </c>
      <c r="J270" t="s">
        <v>10</v>
      </c>
      <c r="K270" t="s">
        <v>197</v>
      </c>
      <c r="Q270">
        <v>5</v>
      </c>
      <c r="R270">
        <v>3</v>
      </c>
      <c r="S270">
        <v>1</v>
      </c>
      <c r="T270" s="5">
        <f t="shared" si="14"/>
        <v>166.11</v>
      </c>
      <c r="U270" t="s">
        <v>1900</v>
      </c>
      <c r="AE270" s="6">
        <v>1</v>
      </c>
      <c r="AF270" s="6">
        <v>1</v>
      </c>
      <c r="AG270" s="6">
        <v>1</v>
      </c>
      <c r="AH270" s="6">
        <v>1</v>
      </c>
      <c r="AI270" s="6">
        <v>1</v>
      </c>
      <c r="AJ270" s="6">
        <v>1</v>
      </c>
      <c r="AK270" s="6">
        <v>1</v>
      </c>
      <c r="AL270" s="6">
        <v>1</v>
      </c>
      <c r="AM270" s="7">
        <v>1</v>
      </c>
      <c r="BC270" t="s">
        <v>1076</v>
      </c>
      <c r="BD270" s="7" t="s">
        <v>280</v>
      </c>
      <c r="BE270" t="s">
        <v>125</v>
      </c>
      <c r="BF270" s="1" t="s">
        <v>29</v>
      </c>
      <c r="BG270" s="1">
        <v>12</v>
      </c>
      <c r="BH270">
        <v>2</v>
      </c>
      <c r="BK270" s="1">
        <v>1</v>
      </c>
      <c r="BQ270">
        <v>1</v>
      </c>
      <c r="CL270">
        <v>1</v>
      </c>
      <c r="CN270">
        <v>1</v>
      </c>
      <c r="CS270" s="7" t="s">
        <v>1337</v>
      </c>
    </row>
    <row r="271" spans="2:98">
      <c r="B271" t="s">
        <v>2575</v>
      </c>
      <c r="C271" s="2" t="s">
        <v>224</v>
      </c>
      <c r="D271" s="2"/>
      <c r="E271" s="8" t="s">
        <v>122</v>
      </c>
      <c r="F271" t="s">
        <v>115</v>
      </c>
      <c r="G271" s="1">
        <v>1</v>
      </c>
      <c r="H271" s="1"/>
      <c r="I271" s="1">
        <f>1797-18</f>
        <v>1779</v>
      </c>
      <c r="J271" t="s">
        <v>10</v>
      </c>
      <c r="K271" t="s">
        <v>12</v>
      </c>
      <c r="Q271">
        <v>5</v>
      </c>
      <c r="R271">
        <v>1</v>
      </c>
      <c r="T271" s="5">
        <f t="shared" si="14"/>
        <v>160.63</v>
      </c>
      <c r="U271" t="s">
        <v>1900</v>
      </c>
      <c r="AE271" s="6">
        <v>1</v>
      </c>
      <c r="AF271" s="6">
        <v>1</v>
      </c>
      <c r="AG271" s="6">
        <v>1</v>
      </c>
      <c r="AH271" s="6">
        <v>1</v>
      </c>
      <c r="AI271" s="6">
        <v>1</v>
      </c>
      <c r="AJ271" s="7">
        <v>1</v>
      </c>
      <c r="BC271" t="s">
        <v>2576</v>
      </c>
      <c r="BD271" s="7" t="s">
        <v>103</v>
      </c>
      <c r="BE271" t="s">
        <v>124</v>
      </c>
      <c r="BF271" s="1" t="s">
        <v>29</v>
      </c>
      <c r="BG271" s="1">
        <v>2</v>
      </c>
      <c r="BH271">
        <v>2</v>
      </c>
      <c r="BI271">
        <v>1</v>
      </c>
      <c r="BK271" s="1">
        <v>1</v>
      </c>
      <c r="BQ271">
        <v>1</v>
      </c>
      <c r="CI271">
        <v>1</v>
      </c>
      <c r="CL271">
        <v>1</v>
      </c>
      <c r="CS271" s="7" t="s">
        <v>2172</v>
      </c>
    </row>
    <row r="272" spans="2:98" s="45" customFormat="1">
      <c r="B272" s="45" t="s">
        <v>2938</v>
      </c>
      <c r="C272" s="2" t="s">
        <v>224</v>
      </c>
      <c r="D272" s="2" t="s">
        <v>224</v>
      </c>
      <c r="E272" s="8" t="s">
        <v>122</v>
      </c>
      <c r="F272" t="s">
        <v>115</v>
      </c>
      <c r="G272" s="1">
        <v>1</v>
      </c>
      <c r="H272" s="46"/>
      <c r="I272" s="46">
        <f>1797-20</f>
        <v>1777</v>
      </c>
      <c r="J272" s="45" t="s">
        <v>10</v>
      </c>
      <c r="K272" s="45" t="s">
        <v>12</v>
      </c>
      <c r="Q272" s="45">
        <v>5</v>
      </c>
      <c r="R272" s="45">
        <v>1</v>
      </c>
      <c r="T272" s="47">
        <f t="shared" si="14"/>
        <v>160.63</v>
      </c>
      <c r="U272" s="45" t="s">
        <v>1900</v>
      </c>
      <c r="AE272" s="6">
        <v>1</v>
      </c>
      <c r="AF272"/>
      <c r="AG272"/>
      <c r="AH272"/>
      <c r="AI272"/>
      <c r="AJ272"/>
      <c r="AK272"/>
      <c r="AL272"/>
      <c r="AM272"/>
      <c r="AN272"/>
      <c r="AO272"/>
      <c r="BC272">
        <v>1797</v>
      </c>
      <c r="BD272" t="s">
        <v>81</v>
      </c>
      <c r="BE272" s="48" t="s">
        <v>1904</v>
      </c>
      <c r="BF272" s="1" t="s">
        <v>73</v>
      </c>
      <c r="BG272" s="1">
        <v>1</v>
      </c>
      <c r="BH272">
        <v>2</v>
      </c>
      <c r="BI272">
        <v>1</v>
      </c>
      <c r="BK272" s="46">
        <v>1</v>
      </c>
      <c r="BQ272" s="45">
        <v>1</v>
      </c>
      <c r="CL272" s="10">
        <v>1</v>
      </c>
      <c r="CM272"/>
      <c r="CN272"/>
      <c r="CO272"/>
      <c r="CP272"/>
      <c r="CQ272"/>
      <c r="CR272"/>
      <c r="CS272" s="10" t="s">
        <v>2939</v>
      </c>
    </row>
    <row r="273" spans="1:98" s="45" customFormat="1">
      <c r="B273" s="45" t="s">
        <v>4645</v>
      </c>
      <c r="C273" s="2" t="s">
        <v>4446</v>
      </c>
      <c r="D273" s="15"/>
      <c r="E273" s="8"/>
      <c r="F273" t="s">
        <v>115</v>
      </c>
      <c r="G273" s="1">
        <v>1</v>
      </c>
      <c r="H273" s="46"/>
      <c r="I273" s="46">
        <f>1804-31</f>
        <v>1773</v>
      </c>
      <c r="J273" s="45" t="s">
        <v>69</v>
      </c>
      <c r="K273" s="45" t="s">
        <v>900</v>
      </c>
      <c r="N273" s="45">
        <v>1</v>
      </c>
      <c r="Q273" s="45">
        <v>5</v>
      </c>
      <c r="R273" s="45">
        <v>4</v>
      </c>
      <c r="T273" s="47">
        <f t="shared" si="14"/>
        <v>168.52</v>
      </c>
      <c r="U273" s="45" t="s">
        <v>1902</v>
      </c>
      <c r="AE273" s="6">
        <v>1</v>
      </c>
      <c r="AF273" s="6">
        <v>1</v>
      </c>
      <c r="AG273" s="6">
        <v>1</v>
      </c>
      <c r="AH273" s="6">
        <v>1</v>
      </c>
      <c r="AI273" s="9">
        <v>1</v>
      </c>
      <c r="AJ273" s="40"/>
      <c r="AK273" s="9"/>
      <c r="AL273" s="9">
        <v>1</v>
      </c>
      <c r="AM273" s="7">
        <v>1</v>
      </c>
      <c r="AN273"/>
      <c r="AO273"/>
      <c r="BC273" t="s">
        <v>4000</v>
      </c>
      <c r="BD273" s="7" t="s">
        <v>103</v>
      </c>
      <c r="BE273" s="45" t="s">
        <v>712</v>
      </c>
      <c r="BF273" s="1" t="s">
        <v>29</v>
      </c>
      <c r="BG273" s="1">
        <v>4</v>
      </c>
      <c r="BH273">
        <v>1</v>
      </c>
      <c r="BI273"/>
      <c r="BK273" s="46" t="s">
        <v>72</v>
      </c>
      <c r="BQ273" s="45">
        <v>1</v>
      </c>
      <c r="CL273"/>
      <c r="CM273">
        <v>1</v>
      </c>
      <c r="CN273">
        <v>1</v>
      </c>
      <c r="CO273"/>
      <c r="CP273">
        <v>1</v>
      </c>
      <c r="CQ273"/>
      <c r="CR273"/>
      <c r="CS273" s="7" t="s">
        <v>1949</v>
      </c>
      <c r="CT273" s="40" t="s">
        <v>4646</v>
      </c>
    </row>
    <row r="274" spans="1:98" s="45" customFormat="1">
      <c r="B274" s="45" t="s">
        <v>4530</v>
      </c>
      <c r="C274" s="2" t="s">
        <v>4531</v>
      </c>
      <c r="D274" s="2" t="s">
        <v>4531</v>
      </c>
      <c r="E274" s="8" t="s">
        <v>1919</v>
      </c>
      <c r="F274" s="8" t="s">
        <v>218</v>
      </c>
      <c r="G274" s="1">
        <v>1</v>
      </c>
      <c r="H274" s="46"/>
      <c r="I274" s="46">
        <f>1802-29</f>
        <v>1773</v>
      </c>
      <c r="J274" s="45" t="s">
        <v>10</v>
      </c>
      <c r="K274" s="45" t="s">
        <v>358</v>
      </c>
      <c r="Q274" s="45">
        <v>5</v>
      </c>
      <c r="R274" s="45">
        <v>0</v>
      </c>
      <c r="S274" s="45">
        <v>3</v>
      </c>
      <c r="T274" s="47">
        <f t="shared" si="14"/>
        <v>158.66</v>
      </c>
      <c r="U274" s="45" t="s">
        <v>1902</v>
      </c>
      <c r="AE274" s="6">
        <v>1</v>
      </c>
      <c r="AF274" s="6">
        <v>1</v>
      </c>
      <c r="AG274" s="9">
        <v>1</v>
      </c>
      <c r="AH274" s="9"/>
      <c r="AI274" s="9">
        <v>1</v>
      </c>
      <c r="AJ274" s="6">
        <v>1</v>
      </c>
      <c r="AK274" s="7">
        <v>1</v>
      </c>
      <c r="AL274"/>
      <c r="AM274"/>
      <c r="AN274"/>
      <c r="AO274"/>
      <c r="BC274" t="s">
        <v>4532</v>
      </c>
      <c r="BD274" s="7" t="s">
        <v>959</v>
      </c>
      <c r="BE274" s="63" t="s">
        <v>1558</v>
      </c>
      <c r="BF274" s="1" t="s">
        <v>29</v>
      </c>
      <c r="BG274" s="1">
        <v>2</v>
      </c>
      <c r="BH274">
        <v>3</v>
      </c>
      <c r="BI274"/>
      <c r="BK274" s="46" t="s">
        <v>72</v>
      </c>
      <c r="BQ274" s="45">
        <v>1</v>
      </c>
      <c r="CB274" s="63">
        <v>1</v>
      </c>
      <c r="CL274">
        <v>1</v>
      </c>
      <c r="CM274">
        <v>1</v>
      </c>
      <c r="CN274"/>
      <c r="CO274"/>
      <c r="CP274"/>
      <c r="CQ274"/>
      <c r="CR274"/>
      <c r="CS274" s="7" t="s">
        <v>4534</v>
      </c>
    </row>
    <row r="275" spans="1:98">
      <c r="B275" t="s">
        <v>1901</v>
      </c>
      <c r="C275" s="2" t="s">
        <v>139</v>
      </c>
      <c r="D275" s="2" t="s">
        <v>139</v>
      </c>
      <c r="E275" s="8" t="s">
        <v>114</v>
      </c>
      <c r="F275" s="8" t="s">
        <v>115</v>
      </c>
      <c r="G275" s="1">
        <v>1</v>
      </c>
      <c r="H275" s="1"/>
      <c r="I275" s="1">
        <f>1797-33</f>
        <v>1764</v>
      </c>
      <c r="J275" t="s">
        <v>69</v>
      </c>
      <c r="K275" t="s">
        <v>12</v>
      </c>
      <c r="Q275">
        <v>5</v>
      </c>
      <c r="R275">
        <v>2</v>
      </c>
      <c r="S275">
        <v>2</v>
      </c>
      <c r="T275" s="5">
        <f t="shared" si="14"/>
        <v>163.69999999999999</v>
      </c>
      <c r="U275" t="s">
        <v>1902</v>
      </c>
      <c r="AE275" s="7">
        <v>1</v>
      </c>
      <c r="BC275" t="s">
        <v>1903</v>
      </c>
      <c r="BD275" s="7" t="s">
        <v>280</v>
      </c>
      <c r="BE275" t="s">
        <v>1904</v>
      </c>
      <c r="BF275" s="1" t="s">
        <v>29</v>
      </c>
      <c r="BG275" s="1">
        <v>1</v>
      </c>
      <c r="BH275">
        <v>1</v>
      </c>
      <c r="BK275" s="1">
        <v>1</v>
      </c>
      <c r="BQ275">
        <v>1</v>
      </c>
      <c r="CN275">
        <v>1</v>
      </c>
      <c r="CS275" s="7" t="s">
        <v>328</v>
      </c>
    </row>
    <row r="276" spans="1:98">
      <c r="B276" t="s">
        <v>1928</v>
      </c>
      <c r="C276" s="2" t="s">
        <v>1929</v>
      </c>
      <c r="D276" s="2" t="s">
        <v>1929</v>
      </c>
      <c r="E276" s="8" t="s">
        <v>710</v>
      </c>
      <c r="F276" s="8" t="s">
        <v>115</v>
      </c>
      <c r="G276" s="1">
        <v>1</v>
      </c>
      <c r="H276" s="1"/>
      <c r="I276" s="1">
        <f>1803-32</f>
        <v>1771</v>
      </c>
      <c r="J276" t="s">
        <v>10</v>
      </c>
      <c r="K276" t="s">
        <v>12</v>
      </c>
      <c r="Q276">
        <v>5</v>
      </c>
      <c r="R276">
        <v>0</v>
      </c>
      <c r="S276">
        <v>1</v>
      </c>
      <c r="T276" s="5">
        <f t="shared" si="14"/>
        <v>158.22</v>
      </c>
      <c r="U276" t="s">
        <v>1902</v>
      </c>
      <c r="AE276" s="6">
        <v>1</v>
      </c>
      <c r="AF276" s="6">
        <v>1</v>
      </c>
      <c r="AG276" s="6">
        <v>1</v>
      </c>
      <c r="AH276" s="6">
        <v>1</v>
      </c>
      <c r="AI276" s="6">
        <v>1</v>
      </c>
      <c r="AJ276" s="6">
        <v>1</v>
      </c>
      <c r="AK276" s="7">
        <v>1</v>
      </c>
      <c r="BC276" t="s">
        <v>1930</v>
      </c>
      <c r="BD276" s="7" t="s">
        <v>103</v>
      </c>
      <c r="BE276" t="s">
        <v>118</v>
      </c>
      <c r="BF276" s="1" t="s">
        <v>29</v>
      </c>
      <c r="BG276" s="1">
        <v>3</v>
      </c>
      <c r="BH276">
        <v>2</v>
      </c>
      <c r="BK276" s="1">
        <v>1</v>
      </c>
      <c r="BQ276">
        <v>1</v>
      </c>
      <c r="CN276">
        <v>1</v>
      </c>
      <c r="CO276">
        <v>1</v>
      </c>
      <c r="CP276">
        <v>1</v>
      </c>
      <c r="CS276" s="7" t="s">
        <v>1754</v>
      </c>
    </row>
    <row r="277" spans="1:98">
      <c r="B277" t="s">
        <v>3948</v>
      </c>
      <c r="C277" s="13" t="s">
        <v>3949</v>
      </c>
      <c r="D277" s="2"/>
      <c r="E277" s="8" t="s">
        <v>122</v>
      </c>
      <c r="F277" s="8" t="s">
        <v>115</v>
      </c>
      <c r="G277" s="1">
        <v>1</v>
      </c>
      <c r="H277" s="1"/>
      <c r="I277" s="1">
        <f>1803-26</f>
        <v>1777</v>
      </c>
      <c r="J277" t="s">
        <v>10</v>
      </c>
      <c r="K277" t="s">
        <v>12</v>
      </c>
      <c r="Q277">
        <v>5</v>
      </c>
      <c r="R277">
        <v>4</v>
      </c>
      <c r="S277">
        <v>1</v>
      </c>
      <c r="T277" s="5">
        <f t="shared" si="14"/>
        <v>168.74</v>
      </c>
      <c r="U277" t="s">
        <v>1902</v>
      </c>
      <c r="AE277" s="6">
        <v>1</v>
      </c>
      <c r="AF277" s="6">
        <v>1</v>
      </c>
      <c r="AG277" s="6">
        <v>1</v>
      </c>
      <c r="AH277" s="6">
        <v>1</v>
      </c>
      <c r="AI277" s="6">
        <v>1</v>
      </c>
      <c r="AJ277" s="6">
        <v>1</v>
      </c>
      <c r="AK277" s="6">
        <v>1</v>
      </c>
      <c r="AL277" s="6">
        <v>1</v>
      </c>
      <c r="AM277" s="7">
        <v>1</v>
      </c>
      <c r="BC277" t="s">
        <v>1329</v>
      </c>
      <c r="BD277" s="7" t="s">
        <v>280</v>
      </c>
      <c r="BE277" t="s">
        <v>2635</v>
      </c>
      <c r="BF277" s="1" t="s">
        <v>29</v>
      </c>
      <c r="BG277" s="1">
        <v>2</v>
      </c>
      <c r="BH277">
        <v>1</v>
      </c>
      <c r="BK277" s="1">
        <v>1</v>
      </c>
      <c r="BQ277">
        <v>1</v>
      </c>
      <c r="CN277">
        <v>1</v>
      </c>
      <c r="CS277" s="7" t="s">
        <v>947</v>
      </c>
    </row>
    <row r="278" spans="1:98">
      <c r="B278" t="s">
        <v>2944</v>
      </c>
      <c r="C278" s="2" t="s">
        <v>121</v>
      </c>
      <c r="D278" s="2" t="s">
        <v>121</v>
      </c>
      <c r="E278" s="8" t="s">
        <v>122</v>
      </c>
      <c r="F278" s="8" t="s">
        <v>115</v>
      </c>
      <c r="G278" s="1">
        <v>1</v>
      </c>
      <c r="H278" s="1"/>
      <c r="I278" s="1">
        <f>1797-19</f>
        <v>1778</v>
      </c>
      <c r="J278" t="s">
        <v>10</v>
      </c>
      <c r="K278" t="s">
        <v>12</v>
      </c>
      <c r="Q278">
        <v>5</v>
      </c>
      <c r="R278">
        <v>2</v>
      </c>
      <c r="S278">
        <v>3</v>
      </c>
      <c r="T278" s="5">
        <f t="shared" si="14"/>
        <v>163.92</v>
      </c>
      <c r="U278" t="s">
        <v>1902</v>
      </c>
      <c r="AE278" s="6">
        <v>1</v>
      </c>
      <c r="BC278">
        <v>1797</v>
      </c>
      <c r="BD278" t="s">
        <v>81</v>
      </c>
      <c r="BE278" s="48" t="s">
        <v>1904</v>
      </c>
      <c r="BF278" s="1" t="s">
        <v>73</v>
      </c>
      <c r="BG278" s="1">
        <v>1</v>
      </c>
      <c r="BH278">
        <v>2</v>
      </c>
      <c r="BI278">
        <v>1</v>
      </c>
      <c r="BK278" s="1">
        <v>1</v>
      </c>
      <c r="BQ278">
        <v>1</v>
      </c>
      <c r="CL278" s="10">
        <v>1</v>
      </c>
      <c r="CS278" s="10" t="s">
        <v>2939</v>
      </c>
    </row>
    <row r="279" spans="1:98">
      <c r="B279" t="s">
        <v>2945</v>
      </c>
      <c r="C279" s="13" t="s">
        <v>2946</v>
      </c>
      <c r="D279" s="15"/>
      <c r="F279" s="8" t="s">
        <v>595</v>
      </c>
      <c r="G279" s="1"/>
      <c r="H279" s="30">
        <v>1</v>
      </c>
      <c r="I279" s="1">
        <f>1797-18</f>
        <v>1779</v>
      </c>
      <c r="J279" t="s">
        <v>10</v>
      </c>
      <c r="K279" t="s">
        <v>12</v>
      </c>
      <c r="Q279">
        <v>5</v>
      </c>
      <c r="R279">
        <v>3</v>
      </c>
      <c r="T279" s="5">
        <f t="shared" si="14"/>
        <v>165.89000000000001</v>
      </c>
      <c r="U279" t="s">
        <v>1902</v>
      </c>
      <c r="AE279" s="6">
        <v>1</v>
      </c>
      <c r="BC279">
        <v>1797</v>
      </c>
      <c r="BD279" t="s">
        <v>81</v>
      </c>
      <c r="BE279" s="48" t="s">
        <v>1904</v>
      </c>
      <c r="BF279" s="1" t="s">
        <v>73</v>
      </c>
      <c r="BG279" s="1">
        <v>1</v>
      </c>
      <c r="BH279">
        <v>2</v>
      </c>
      <c r="BI279">
        <v>1</v>
      </c>
      <c r="BK279" s="30">
        <v>1</v>
      </c>
      <c r="BQ279">
        <v>1</v>
      </c>
      <c r="CL279" s="10">
        <v>1</v>
      </c>
      <c r="CS279" s="10" t="s">
        <v>142</v>
      </c>
      <c r="CT279" s="6" t="s">
        <v>2936</v>
      </c>
    </row>
    <row r="280" spans="1:98">
      <c r="B280" t="s">
        <v>3956</v>
      </c>
      <c r="C280" s="13" t="s">
        <v>2941</v>
      </c>
      <c r="D280" s="15"/>
      <c r="E280" s="8" t="s">
        <v>122</v>
      </c>
      <c r="F280" s="8" t="s">
        <v>115</v>
      </c>
      <c r="G280" s="1">
        <v>1</v>
      </c>
      <c r="H280" s="1"/>
      <c r="I280" s="1">
        <f>1797-22</f>
        <v>1775</v>
      </c>
      <c r="J280" t="s">
        <v>10</v>
      </c>
      <c r="K280" t="s">
        <v>3957</v>
      </c>
      <c r="Q280">
        <v>5</v>
      </c>
      <c r="R280">
        <v>1</v>
      </c>
      <c r="T280" s="5">
        <f t="shared" si="14"/>
        <v>160.63</v>
      </c>
      <c r="U280" t="s">
        <v>1902</v>
      </c>
      <c r="AE280" s="6">
        <v>1</v>
      </c>
      <c r="AF280" s="6">
        <v>1</v>
      </c>
      <c r="AG280" s="6">
        <v>1</v>
      </c>
      <c r="AH280" s="6">
        <v>1</v>
      </c>
      <c r="AI280" s="6">
        <v>1</v>
      </c>
      <c r="AJ280" s="6">
        <v>1</v>
      </c>
      <c r="AK280" s="6">
        <v>1</v>
      </c>
      <c r="AL280" s="6">
        <v>1</v>
      </c>
      <c r="AM280" s="7">
        <v>1</v>
      </c>
      <c r="BC280" t="s">
        <v>2055</v>
      </c>
      <c r="BD280" s="7" t="s">
        <v>103</v>
      </c>
      <c r="BE280" s="45" t="s">
        <v>2635</v>
      </c>
      <c r="BF280" s="1" t="s">
        <v>29</v>
      </c>
      <c r="BG280" s="1">
        <v>3</v>
      </c>
      <c r="BH280">
        <v>2</v>
      </c>
      <c r="BI280">
        <v>1</v>
      </c>
      <c r="BK280" s="1">
        <v>1</v>
      </c>
      <c r="BQ280">
        <v>1</v>
      </c>
      <c r="CL280">
        <v>1</v>
      </c>
      <c r="CS280" s="7" t="s">
        <v>614</v>
      </c>
    </row>
    <row r="281" spans="1:98">
      <c r="B281" t="s">
        <v>2942</v>
      </c>
      <c r="C281" s="2" t="s">
        <v>1744</v>
      </c>
      <c r="D281" s="2" t="s">
        <v>1744</v>
      </c>
      <c r="E281" s="8" t="s">
        <v>122</v>
      </c>
      <c r="F281" s="8" t="s">
        <v>115</v>
      </c>
      <c r="G281" s="1">
        <v>1</v>
      </c>
      <c r="H281" s="1"/>
      <c r="I281" s="1">
        <f>1797-30</f>
        <v>1767</v>
      </c>
      <c r="J281" t="s">
        <v>10</v>
      </c>
      <c r="K281" t="s">
        <v>12</v>
      </c>
      <c r="Q281">
        <v>5</v>
      </c>
      <c r="R281">
        <v>3</v>
      </c>
      <c r="S281">
        <v>2</v>
      </c>
      <c r="T281" s="5">
        <f t="shared" si="14"/>
        <v>166.33</v>
      </c>
      <c r="U281" t="s">
        <v>1902</v>
      </c>
      <c r="AE281" s="6">
        <v>1</v>
      </c>
      <c r="AF281" s="6">
        <v>1</v>
      </c>
      <c r="AG281" s="6">
        <v>1</v>
      </c>
      <c r="AH281" s="6">
        <v>1</v>
      </c>
      <c r="AI281" s="6">
        <v>1</v>
      </c>
      <c r="AJ281" s="6">
        <v>1</v>
      </c>
      <c r="AK281" s="6">
        <v>1</v>
      </c>
      <c r="AL281" s="14">
        <v>1</v>
      </c>
      <c r="BC281" s="9" t="s">
        <v>3965</v>
      </c>
      <c r="BD281" s="14" t="s">
        <v>338</v>
      </c>
      <c r="BE281" s="45" t="s">
        <v>2635</v>
      </c>
      <c r="BF281" s="1" t="s">
        <v>339</v>
      </c>
      <c r="BG281" s="1">
        <v>2</v>
      </c>
      <c r="BH281">
        <v>2</v>
      </c>
      <c r="BI281">
        <v>1</v>
      </c>
      <c r="BK281" s="1">
        <v>1</v>
      </c>
      <c r="BQ281">
        <v>1</v>
      </c>
      <c r="CL281">
        <v>1</v>
      </c>
      <c r="CS281" s="14" t="s">
        <v>4278</v>
      </c>
    </row>
    <row r="282" spans="1:98">
      <c r="B282" t="s">
        <v>2943</v>
      </c>
      <c r="C282" s="2" t="s">
        <v>1797</v>
      </c>
      <c r="D282" s="2" t="s">
        <v>1797</v>
      </c>
      <c r="E282" s="8" t="s">
        <v>122</v>
      </c>
      <c r="F282" s="8" t="s">
        <v>115</v>
      </c>
      <c r="G282" s="1">
        <v>1</v>
      </c>
      <c r="H282" s="1"/>
      <c r="I282" s="1">
        <f>1797-20</f>
        <v>1777</v>
      </c>
      <c r="J282" t="s">
        <v>10</v>
      </c>
      <c r="K282" t="s">
        <v>12</v>
      </c>
      <c r="Q282">
        <v>5</v>
      </c>
      <c r="R282">
        <v>2</v>
      </c>
      <c r="S282">
        <v>3</v>
      </c>
      <c r="T282" s="5">
        <f t="shared" si="14"/>
        <v>163.92</v>
      </c>
      <c r="U282" t="s">
        <v>1902</v>
      </c>
      <c r="AE282" s="6">
        <v>1</v>
      </c>
      <c r="BC282">
        <v>1797</v>
      </c>
      <c r="BD282" t="s">
        <v>81</v>
      </c>
      <c r="BE282" s="48" t="s">
        <v>1904</v>
      </c>
      <c r="BF282" s="1" t="s">
        <v>73</v>
      </c>
      <c r="BG282" s="1">
        <v>1</v>
      </c>
      <c r="BH282">
        <v>2</v>
      </c>
      <c r="BI282">
        <v>1</v>
      </c>
      <c r="BK282" s="1">
        <v>1</v>
      </c>
      <c r="BQ282">
        <v>1</v>
      </c>
      <c r="CL282" s="10">
        <v>1</v>
      </c>
      <c r="CS282" s="10" t="s">
        <v>2939</v>
      </c>
    </row>
    <row r="283" spans="1:98">
      <c r="B283" t="s">
        <v>4662</v>
      </c>
      <c r="C283" s="2" t="s">
        <v>1336</v>
      </c>
      <c r="D283" s="2" t="s">
        <v>1336</v>
      </c>
      <c r="E283" s="8" t="s">
        <v>837</v>
      </c>
      <c r="F283" s="8" t="s">
        <v>115</v>
      </c>
      <c r="G283" s="1">
        <v>1</v>
      </c>
      <c r="H283" s="1"/>
      <c r="I283" s="1">
        <f>1804-26</f>
        <v>1778</v>
      </c>
      <c r="J283" t="s">
        <v>10</v>
      </c>
      <c r="K283" t="s">
        <v>12</v>
      </c>
      <c r="Q283">
        <v>5</v>
      </c>
      <c r="R283">
        <v>3</v>
      </c>
      <c r="T283" s="5">
        <f t="shared" si="14"/>
        <v>165.89000000000001</v>
      </c>
      <c r="U283" t="s">
        <v>1902</v>
      </c>
      <c r="AE283" s="6">
        <v>1</v>
      </c>
      <c r="AF283" s="6">
        <v>1</v>
      </c>
      <c r="AG283" s="9">
        <v>1</v>
      </c>
      <c r="AH283" s="9"/>
      <c r="AI283" s="9">
        <v>1</v>
      </c>
      <c r="AJ283" s="6">
        <v>1</v>
      </c>
      <c r="AK283" s="6">
        <v>1</v>
      </c>
      <c r="AL283" s="6">
        <v>1</v>
      </c>
      <c r="AM283" s="7">
        <v>1</v>
      </c>
      <c r="BC283" t="s">
        <v>4663</v>
      </c>
      <c r="BD283" s="7" t="s">
        <v>103</v>
      </c>
      <c r="BE283" s="45" t="s">
        <v>712</v>
      </c>
      <c r="BF283" s="1" t="s">
        <v>29</v>
      </c>
      <c r="BG283" s="1">
        <v>3</v>
      </c>
      <c r="BH283">
        <v>2</v>
      </c>
      <c r="BK283" s="1" t="s">
        <v>72</v>
      </c>
      <c r="BQ283">
        <v>1</v>
      </c>
      <c r="CL283">
        <v>1</v>
      </c>
      <c r="CM283">
        <v>1</v>
      </c>
      <c r="CS283" s="7" t="s">
        <v>1949</v>
      </c>
    </row>
    <row r="284" spans="1:98">
      <c r="A284" t="s">
        <v>72</v>
      </c>
      <c r="B284" t="s">
        <v>307</v>
      </c>
      <c r="F284" t="s">
        <v>7</v>
      </c>
      <c r="G284" s="1"/>
      <c r="H284" s="1"/>
      <c r="I284" s="1"/>
      <c r="T284" s="5"/>
      <c r="U284" t="s">
        <v>228</v>
      </c>
      <c r="AE284" s="6">
        <v>1</v>
      </c>
      <c r="AF284" s="6">
        <v>1</v>
      </c>
      <c r="AG284" s="9">
        <v>1</v>
      </c>
      <c r="AH284" s="9"/>
      <c r="AI284" s="7">
        <v>1</v>
      </c>
      <c r="BC284" t="s">
        <v>308</v>
      </c>
      <c r="BD284" s="7" t="s">
        <v>103</v>
      </c>
      <c r="BE284" t="s">
        <v>125</v>
      </c>
      <c r="BF284" s="1" t="s">
        <v>29</v>
      </c>
      <c r="BG284" s="1">
        <v>5</v>
      </c>
      <c r="BH284">
        <v>1</v>
      </c>
      <c r="BK284" s="1">
        <v>1</v>
      </c>
      <c r="BQ284">
        <v>1</v>
      </c>
      <c r="CS284" s="7" t="s">
        <v>309</v>
      </c>
    </row>
    <row r="285" spans="1:98">
      <c r="A285" t="s">
        <v>72</v>
      </c>
      <c r="B285" t="s">
        <v>320</v>
      </c>
      <c r="F285" t="s">
        <v>7</v>
      </c>
      <c r="G285" s="1"/>
      <c r="H285" s="1"/>
      <c r="I285" s="1"/>
      <c r="T285" s="5"/>
      <c r="U285" t="s">
        <v>228</v>
      </c>
      <c r="AE285" s="6">
        <v>1</v>
      </c>
      <c r="AF285" s="6">
        <v>1</v>
      </c>
      <c r="AG285" s="7">
        <v>1</v>
      </c>
      <c r="BC285" t="s">
        <v>321</v>
      </c>
      <c r="BD285" s="7" t="s">
        <v>26</v>
      </c>
      <c r="BE285" t="s">
        <v>125</v>
      </c>
      <c r="BF285" s="1" t="s">
        <v>29</v>
      </c>
      <c r="BG285" s="1">
        <v>3</v>
      </c>
      <c r="BH285">
        <v>1</v>
      </c>
      <c r="BK285" s="1">
        <v>1</v>
      </c>
      <c r="BQ285">
        <v>1</v>
      </c>
      <c r="CS285" s="7" t="s">
        <v>322</v>
      </c>
    </row>
    <row r="286" spans="1:98">
      <c r="B286" t="s">
        <v>2808</v>
      </c>
      <c r="C286" s="2" t="s">
        <v>1765</v>
      </c>
      <c r="D286" s="2" t="s">
        <v>1765</v>
      </c>
      <c r="E286" s="8" t="s">
        <v>1381</v>
      </c>
      <c r="F286" t="s">
        <v>115</v>
      </c>
      <c r="G286" s="1">
        <v>1</v>
      </c>
      <c r="H286" s="1"/>
      <c r="I286" s="1">
        <f>1804-25</f>
        <v>1779</v>
      </c>
      <c r="J286" t="s">
        <v>10</v>
      </c>
      <c r="K286" t="s">
        <v>12</v>
      </c>
      <c r="Q286">
        <v>5</v>
      </c>
      <c r="R286">
        <v>3</v>
      </c>
      <c r="S286">
        <v>3</v>
      </c>
      <c r="T286" s="5">
        <f t="shared" si="14"/>
        <v>166.55</v>
      </c>
      <c r="U286" t="s">
        <v>228</v>
      </c>
      <c r="AE286" s="6">
        <v>1</v>
      </c>
      <c r="AF286" s="6">
        <v>1</v>
      </c>
      <c r="AG286" s="9">
        <v>1</v>
      </c>
      <c r="AH286" s="9"/>
      <c r="AI286" s="9">
        <v>1</v>
      </c>
      <c r="AJ286" s="6">
        <v>1</v>
      </c>
      <c r="AK286" s="6">
        <v>1</v>
      </c>
      <c r="AL286" s="6">
        <v>1</v>
      </c>
      <c r="AM286" s="7">
        <v>1</v>
      </c>
      <c r="BC286" t="s">
        <v>2864</v>
      </c>
      <c r="BD286" s="7" t="s">
        <v>103</v>
      </c>
      <c r="BE286" t="s">
        <v>2005</v>
      </c>
      <c r="BF286" s="1" t="s">
        <v>29</v>
      </c>
      <c r="BG286" s="1">
        <v>4</v>
      </c>
      <c r="BH286">
        <v>1</v>
      </c>
      <c r="BK286" s="1">
        <v>1</v>
      </c>
      <c r="BQ286">
        <v>1</v>
      </c>
      <c r="CM286">
        <v>1</v>
      </c>
      <c r="CS286" s="7" t="s">
        <v>986</v>
      </c>
    </row>
    <row r="287" spans="1:98">
      <c r="B287" t="s">
        <v>4286</v>
      </c>
      <c r="C287" s="2" t="s">
        <v>664</v>
      </c>
      <c r="D287" s="15"/>
      <c r="E287" s="8" t="s">
        <v>1735</v>
      </c>
      <c r="F287" t="s">
        <v>115</v>
      </c>
      <c r="G287" s="1">
        <v>1</v>
      </c>
      <c r="H287" s="1"/>
      <c r="I287" s="1">
        <f>1803-4</f>
        <v>1799</v>
      </c>
      <c r="J287" t="s">
        <v>10</v>
      </c>
      <c r="K287" t="s">
        <v>12</v>
      </c>
      <c r="Q287">
        <v>5</v>
      </c>
      <c r="R287">
        <v>4</v>
      </c>
      <c r="S287">
        <v>2</v>
      </c>
      <c r="T287" s="5">
        <f t="shared" si="14"/>
        <v>168.96</v>
      </c>
      <c r="U287" t="s">
        <v>228</v>
      </c>
      <c r="AE287" s="6">
        <v>1</v>
      </c>
      <c r="AF287" s="6">
        <v>1</v>
      </c>
      <c r="AG287" s="6">
        <v>1</v>
      </c>
      <c r="AH287" s="6">
        <v>1</v>
      </c>
      <c r="AI287" s="6">
        <v>1</v>
      </c>
      <c r="AJ287" s="6">
        <v>1</v>
      </c>
      <c r="AK287" s="6">
        <v>1</v>
      </c>
      <c r="AL287" s="6">
        <v>1</v>
      </c>
      <c r="AM287" s="7">
        <v>1</v>
      </c>
      <c r="BC287" t="s">
        <v>1329</v>
      </c>
      <c r="BD287" s="7" t="s">
        <v>280</v>
      </c>
      <c r="BE287" t="s">
        <v>2635</v>
      </c>
      <c r="BF287" s="1" t="s">
        <v>29</v>
      </c>
      <c r="BG287" s="1">
        <v>2</v>
      </c>
      <c r="BH287">
        <v>2</v>
      </c>
      <c r="BK287" s="1">
        <v>1</v>
      </c>
      <c r="BQ287">
        <v>1</v>
      </c>
      <c r="CL287">
        <v>1</v>
      </c>
      <c r="CS287" s="7" t="s">
        <v>947</v>
      </c>
    </row>
    <row r="288" spans="1:98">
      <c r="B288" t="s">
        <v>3771</v>
      </c>
      <c r="C288" s="2" t="s">
        <v>1641</v>
      </c>
      <c r="D288" s="2"/>
      <c r="F288" t="s">
        <v>115</v>
      </c>
      <c r="G288" s="1">
        <v>1</v>
      </c>
      <c r="H288" s="1"/>
      <c r="I288" s="1">
        <f>1798-19</f>
        <v>1779</v>
      </c>
      <c r="J288" t="s">
        <v>10</v>
      </c>
      <c r="K288" t="s">
        <v>12</v>
      </c>
      <c r="Q288">
        <v>5</v>
      </c>
      <c r="R288">
        <v>1</v>
      </c>
      <c r="T288" s="5">
        <f t="shared" si="14"/>
        <v>160.63</v>
      </c>
      <c r="U288" t="s">
        <v>228</v>
      </c>
      <c r="AE288" s="6">
        <v>1</v>
      </c>
      <c r="AF288" s="6">
        <v>1</v>
      </c>
      <c r="BC288">
        <v>1798</v>
      </c>
      <c r="BD288" t="s">
        <v>81</v>
      </c>
      <c r="BE288" t="s">
        <v>118</v>
      </c>
      <c r="BF288" s="1" t="s">
        <v>73</v>
      </c>
      <c r="BG288" s="1">
        <v>1</v>
      </c>
      <c r="BH288">
        <v>2</v>
      </c>
      <c r="BI288">
        <v>1</v>
      </c>
      <c r="BK288" s="1" t="s">
        <v>72</v>
      </c>
      <c r="BQ288">
        <v>1</v>
      </c>
      <c r="CL288">
        <v>1</v>
      </c>
      <c r="CS288" t="s">
        <v>2900</v>
      </c>
    </row>
    <row r="289" spans="1:97">
      <c r="A289" t="s">
        <v>72</v>
      </c>
      <c r="B289" t="s">
        <v>310</v>
      </c>
      <c r="F289" t="s">
        <v>7</v>
      </c>
      <c r="G289" s="1"/>
      <c r="H289" s="1"/>
      <c r="I289" s="1"/>
      <c r="T289" s="1"/>
      <c r="U289" t="s">
        <v>228</v>
      </c>
      <c r="AE289" s="6">
        <v>1</v>
      </c>
      <c r="AF289" s="6">
        <v>1</v>
      </c>
      <c r="AG289" s="6">
        <v>1</v>
      </c>
      <c r="AH289" s="6">
        <v>1</v>
      </c>
      <c r="AI289" s="6">
        <v>1</v>
      </c>
      <c r="AJ289" s="7">
        <v>1</v>
      </c>
      <c r="BC289" t="s">
        <v>311</v>
      </c>
      <c r="BD289" s="7" t="s">
        <v>26</v>
      </c>
      <c r="BE289" t="s">
        <v>125</v>
      </c>
      <c r="BF289" s="1" t="s">
        <v>29</v>
      </c>
      <c r="BG289" s="1">
        <v>4</v>
      </c>
      <c r="BH289">
        <v>1</v>
      </c>
      <c r="BK289" s="1">
        <v>1</v>
      </c>
      <c r="BQ289">
        <v>1</v>
      </c>
      <c r="CS289" s="7" t="s">
        <v>297</v>
      </c>
    </row>
    <row r="290" spans="1:97">
      <c r="A290" t="s">
        <v>72</v>
      </c>
      <c r="B290" t="s">
        <v>344</v>
      </c>
      <c r="C290" s="15"/>
      <c r="F290" t="s">
        <v>7</v>
      </c>
      <c r="G290" s="1"/>
      <c r="H290" s="1"/>
      <c r="I290" s="1"/>
      <c r="T290" s="5"/>
      <c r="U290" t="s">
        <v>228</v>
      </c>
      <c r="AE290" s="6">
        <v>1</v>
      </c>
      <c r="AF290" s="14">
        <v>1</v>
      </c>
      <c r="BC290" s="9" t="s">
        <v>337</v>
      </c>
      <c r="BD290" s="14" t="s">
        <v>338</v>
      </c>
      <c r="BE290" t="s">
        <v>125</v>
      </c>
      <c r="BF290" s="1" t="s">
        <v>339</v>
      </c>
      <c r="BG290" s="1">
        <v>2</v>
      </c>
      <c r="BH290">
        <v>1</v>
      </c>
      <c r="BK290" s="1">
        <v>1</v>
      </c>
      <c r="BQ290">
        <v>1</v>
      </c>
      <c r="CS290" s="14" t="s">
        <v>338</v>
      </c>
    </row>
    <row r="291" spans="1:97">
      <c r="B291" t="s">
        <v>371</v>
      </c>
      <c r="C291" s="13" t="s">
        <v>372</v>
      </c>
      <c r="F291" s="8" t="s">
        <v>65</v>
      </c>
      <c r="G291" s="1">
        <v>1</v>
      </c>
      <c r="H291" s="1"/>
      <c r="I291" s="1">
        <f>1802-23</f>
        <v>1779</v>
      </c>
      <c r="J291" t="s">
        <v>10</v>
      </c>
      <c r="K291" t="s">
        <v>12</v>
      </c>
      <c r="Q291">
        <v>5</v>
      </c>
      <c r="R291">
        <v>2</v>
      </c>
      <c r="T291" s="5">
        <f>((Q291*316)+(R291*26.3)+(S291*2.2))/10</f>
        <v>163.26</v>
      </c>
      <c r="U291" t="s">
        <v>228</v>
      </c>
      <c r="AE291" s="6">
        <v>1</v>
      </c>
      <c r="AF291" s="6">
        <v>1</v>
      </c>
      <c r="AG291" s="6">
        <v>1</v>
      </c>
      <c r="AH291" s="6">
        <v>1</v>
      </c>
      <c r="AI291" s="6">
        <v>1</v>
      </c>
      <c r="AJ291" s="6">
        <v>1</v>
      </c>
      <c r="AK291" s="6">
        <v>1</v>
      </c>
      <c r="AL291" s="6">
        <v>1</v>
      </c>
      <c r="AM291" s="6">
        <v>1</v>
      </c>
      <c r="AN291" s="7">
        <v>1</v>
      </c>
      <c r="BC291" t="s">
        <v>198</v>
      </c>
      <c r="BD291" s="7" t="s">
        <v>109</v>
      </c>
      <c r="BE291" t="s">
        <v>125</v>
      </c>
      <c r="BF291" s="1" t="s">
        <v>29</v>
      </c>
      <c r="BG291" s="1">
        <v>11</v>
      </c>
      <c r="BH291">
        <v>1</v>
      </c>
      <c r="BK291" s="1">
        <v>1</v>
      </c>
      <c r="BQ291">
        <v>1</v>
      </c>
      <c r="CS291" s="7" t="s">
        <v>893</v>
      </c>
    </row>
    <row r="292" spans="1:97">
      <c r="B292" t="s">
        <v>4565</v>
      </c>
      <c r="C292" s="13" t="s">
        <v>4566</v>
      </c>
      <c r="D292" s="2" t="s">
        <v>4567</v>
      </c>
      <c r="E292" s="8" t="s">
        <v>837</v>
      </c>
      <c r="F292" s="8" t="s">
        <v>115</v>
      </c>
      <c r="G292" s="1">
        <v>1</v>
      </c>
      <c r="H292" s="1"/>
      <c r="I292" s="1">
        <f>1804-30</f>
        <v>1774</v>
      </c>
      <c r="J292" t="s">
        <v>10</v>
      </c>
      <c r="K292" t="s">
        <v>12</v>
      </c>
      <c r="Q292">
        <v>5</v>
      </c>
      <c r="R292">
        <v>3</v>
      </c>
      <c r="S292">
        <v>1</v>
      </c>
      <c r="T292" s="5">
        <f t="shared" ref="T292" si="15">((Q292*316)+(R292*26.3)+(S292*2.2))/10</f>
        <v>166.11</v>
      </c>
      <c r="U292" t="s">
        <v>228</v>
      </c>
      <c r="AE292" s="6">
        <v>1</v>
      </c>
      <c r="AF292" s="6">
        <v>1</v>
      </c>
      <c r="AG292" s="6">
        <v>1</v>
      </c>
      <c r="AH292" s="6">
        <v>1</v>
      </c>
      <c r="AI292" s="6">
        <v>1</v>
      </c>
      <c r="AJ292" s="6">
        <v>1</v>
      </c>
      <c r="AK292" s="6">
        <v>1</v>
      </c>
      <c r="AL292" s="6">
        <v>1</v>
      </c>
      <c r="AM292" s="7">
        <v>1</v>
      </c>
      <c r="BC292" t="s">
        <v>362</v>
      </c>
      <c r="BD292" s="7" t="s">
        <v>103</v>
      </c>
      <c r="BE292" t="s">
        <v>712</v>
      </c>
      <c r="BF292" s="1" t="s">
        <v>29</v>
      </c>
      <c r="BG292" s="1">
        <v>3</v>
      </c>
      <c r="BH292">
        <v>2</v>
      </c>
      <c r="BK292" s="1" t="s">
        <v>72</v>
      </c>
      <c r="BQ292">
        <v>1</v>
      </c>
      <c r="CL292">
        <v>1</v>
      </c>
      <c r="CM292">
        <v>1</v>
      </c>
      <c r="CS292" s="7" t="s">
        <v>1949</v>
      </c>
    </row>
    <row r="293" spans="1:97">
      <c r="A293" t="s">
        <v>72</v>
      </c>
      <c r="B293" t="s">
        <v>345</v>
      </c>
      <c r="C293" s="15"/>
      <c r="F293" t="s">
        <v>7</v>
      </c>
      <c r="G293" s="1"/>
      <c r="H293" s="1"/>
      <c r="I293" s="1"/>
      <c r="T293" s="5"/>
      <c r="U293" t="s">
        <v>228</v>
      </c>
      <c r="AE293" s="6">
        <v>1</v>
      </c>
      <c r="AF293" s="14">
        <v>1</v>
      </c>
      <c r="BC293" s="9" t="s">
        <v>337</v>
      </c>
      <c r="BD293" s="14" t="s">
        <v>338</v>
      </c>
      <c r="BE293" t="s">
        <v>125</v>
      </c>
      <c r="BF293" s="1" t="s">
        <v>339</v>
      </c>
      <c r="BG293" s="1">
        <v>2</v>
      </c>
      <c r="BH293">
        <v>1</v>
      </c>
      <c r="BK293" s="1">
        <v>1</v>
      </c>
      <c r="BQ293">
        <v>1</v>
      </c>
      <c r="CS293" s="14" t="s">
        <v>338</v>
      </c>
    </row>
    <row r="294" spans="1:97">
      <c r="A294" t="s">
        <v>72</v>
      </c>
      <c r="B294" t="s">
        <v>326</v>
      </c>
      <c r="C294" s="15"/>
      <c r="F294" t="s">
        <v>7</v>
      </c>
      <c r="G294" s="1"/>
      <c r="H294" s="1"/>
      <c r="I294" s="1"/>
      <c r="T294" s="5"/>
      <c r="U294" t="s">
        <v>228</v>
      </c>
      <c r="AE294" s="6">
        <v>1</v>
      </c>
      <c r="AF294" s="6">
        <v>1</v>
      </c>
      <c r="AG294" s="6">
        <v>1</v>
      </c>
      <c r="AH294" s="6">
        <v>1</v>
      </c>
      <c r="AI294" s="7">
        <v>1</v>
      </c>
      <c r="BC294" t="s">
        <v>327</v>
      </c>
      <c r="BD294" s="7" t="s">
        <v>280</v>
      </c>
      <c r="BE294" t="s">
        <v>125</v>
      </c>
      <c r="BF294" s="1" t="s">
        <v>29</v>
      </c>
      <c r="BG294" s="1">
        <v>3</v>
      </c>
      <c r="BH294">
        <v>1</v>
      </c>
      <c r="BK294" s="1">
        <v>1</v>
      </c>
      <c r="BQ294">
        <v>1</v>
      </c>
      <c r="CS294" s="7" t="s">
        <v>328</v>
      </c>
    </row>
    <row r="295" spans="1:97">
      <c r="B295" t="s">
        <v>377</v>
      </c>
      <c r="C295" s="13" t="s">
        <v>378</v>
      </c>
      <c r="F295" s="8" t="s">
        <v>65</v>
      </c>
      <c r="G295" s="1">
        <v>1</v>
      </c>
      <c r="H295" s="1"/>
      <c r="I295" s="1">
        <f>1802-29</f>
        <v>1773</v>
      </c>
      <c r="J295" t="s">
        <v>10</v>
      </c>
      <c r="K295" t="s">
        <v>197</v>
      </c>
      <c r="Q295">
        <v>5</v>
      </c>
      <c r="R295">
        <v>3</v>
      </c>
      <c r="T295" s="5">
        <f>((Q295*316)+(R295*26.3)+(S295*2.2))/10</f>
        <v>165.89000000000001</v>
      </c>
      <c r="U295" t="s">
        <v>228</v>
      </c>
      <c r="AE295" s="6">
        <v>1</v>
      </c>
      <c r="AF295" s="6">
        <v>1</v>
      </c>
      <c r="AG295" s="6">
        <v>1</v>
      </c>
      <c r="AH295" s="6">
        <v>1</v>
      </c>
      <c r="AI295" s="6">
        <v>1</v>
      </c>
      <c r="AJ295" s="6">
        <v>1</v>
      </c>
      <c r="AK295" s="6">
        <v>1</v>
      </c>
      <c r="AL295" s="6">
        <v>1</v>
      </c>
      <c r="AM295" s="6">
        <v>1</v>
      </c>
      <c r="AN295" s="7">
        <v>1</v>
      </c>
      <c r="BC295" t="s">
        <v>198</v>
      </c>
      <c r="BD295" s="7" t="s">
        <v>109</v>
      </c>
      <c r="BE295" t="s">
        <v>125</v>
      </c>
      <c r="BF295" s="1" t="s">
        <v>29</v>
      </c>
      <c r="BG295" s="1">
        <v>12</v>
      </c>
      <c r="BH295">
        <v>1</v>
      </c>
      <c r="BK295" s="1">
        <v>1</v>
      </c>
      <c r="BQ295">
        <v>1</v>
      </c>
      <c r="CS295" s="7" t="s">
        <v>354</v>
      </c>
    </row>
    <row r="296" spans="1:97">
      <c r="A296" t="s">
        <v>72</v>
      </c>
      <c r="B296" t="s">
        <v>312</v>
      </c>
      <c r="C296" s="15"/>
      <c r="F296" t="s">
        <v>7</v>
      </c>
      <c r="G296" s="1"/>
      <c r="H296" s="1"/>
      <c r="I296" s="1"/>
      <c r="T296" s="5"/>
      <c r="U296" t="s">
        <v>228</v>
      </c>
      <c r="AE296" s="6">
        <v>1</v>
      </c>
      <c r="AF296" s="7">
        <v>1</v>
      </c>
      <c r="BC296" t="s">
        <v>313</v>
      </c>
      <c r="BD296" s="7" t="s">
        <v>109</v>
      </c>
      <c r="BE296" t="s">
        <v>125</v>
      </c>
      <c r="BF296" s="1" t="s">
        <v>29</v>
      </c>
      <c r="BG296" s="1">
        <v>2</v>
      </c>
      <c r="BH296">
        <v>1</v>
      </c>
      <c r="BK296" s="1">
        <v>1</v>
      </c>
      <c r="BQ296">
        <v>1</v>
      </c>
      <c r="CS296" s="7" t="s">
        <v>1763</v>
      </c>
    </row>
    <row r="297" spans="1:97">
      <c r="A297" t="s">
        <v>72</v>
      </c>
      <c r="B297" t="s">
        <v>383</v>
      </c>
      <c r="C297" s="15"/>
      <c r="F297" t="s">
        <v>7</v>
      </c>
      <c r="G297" s="1"/>
      <c r="H297" s="1"/>
      <c r="I297" s="1"/>
      <c r="T297" s="5"/>
      <c r="U297" t="s">
        <v>228</v>
      </c>
      <c r="AE297" s="6">
        <v>1</v>
      </c>
      <c r="AF297" s="6">
        <v>1</v>
      </c>
      <c r="AG297" s="6">
        <v>1</v>
      </c>
      <c r="AH297" s="14">
        <v>1</v>
      </c>
      <c r="BC297" s="9" t="s">
        <v>384</v>
      </c>
      <c r="BD297" s="14" t="s">
        <v>338</v>
      </c>
      <c r="BE297" t="s">
        <v>125</v>
      </c>
      <c r="BF297" s="1" t="s">
        <v>339</v>
      </c>
      <c r="BG297" s="1">
        <v>4</v>
      </c>
      <c r="BH297">
        <v>1</v>
      </c>
      <c r="BK297" s="1">
        <v>1</v>
      </c>
      <c r="BQ297">
        <v>1</v>
      </c>
      <c r="CS297" s="14" t="s">
        <v>338</v>
      </c>
    </row>
    <row r="298" spans="1:97">
      <c r="B298" t="s">
        <v>1368</v>
      </c>
      <c r="C298" s="15" t="s">
        <v>211</v>
      </c>
      <c r="F298" s="8" t="s">
        <v>115</v>
      </c>
      <c r="G298" s="1">
        <v>1</v>
      </c>
      <c r="H298" s="1"/>
      <c r="I298" s="1">
        <f>1802-24</f>
        <v>1778</v>
      </c>
      <c r="J298" t="s">
        <v>10</v>
      </c>
      <c r="K298" t="s">
        <v>12</v>
      </c>
      <c r="Q298">
        <v>5</v>
      </c>
      <c r="R298">
        <v>4</v>
      </c>
      <c r="T298" s="5">
        <f>((Q298*316)+(R298*26.3)+(S298*2.2))/10</f>
        <v>168.52</v>
      </c>
      <c r="U298" t="s">
        <v>228</v>
      </c>
      <c r="AE298" s="6">
        <v>1</v>
      </c>
      <c r="AF298" s="6">
        <v>1</v>
      </c>
      <c r="AG298" s="6">
        <v>1</v>
      </c>
      <c r="AH298" s="6">
        <v>1</v>
      </c>
      <c r="AI298" s="6">
        <v>1</v>
      </c>
      <c r="AJ298" s="7">
        <v>1</v>
      </c>
      <c r="BC298" t="s">
        <v>1369</v>
      </c>
      <c r="BD298" s="7" t="s">
        <v>280</v>
      </c>
      <c r="BE298" t="s">
        <v>125</v>
      </c>
      <c r="BF298" s="1" t="s">
        <v>29</v>
      </c>
      <c r="BG298" s="1">
        <v>8</v>
      </c>
      <c r="BH298">
        <v>1</v>
      </c>
      <c r="BK298" s="1">
        <v>1</v>
      </c>
      <c r="BQ298">
        <v>1</v>
      </c>
      <c r="CN298">
        <v>1</v>
      </c>
      <c r="CS298" s="7" t="s">
        <v>1370</v>
      </c>
    </row>
    <row r="299" spans="1:97">
      <c r="A299" t="s">
        <v>72</v>
      </c>
      <c r="B299" t="s">
        <v>295</v>
      </c>
      <c r="C299" s="15"/>
      <c r="F299" t="s">
        <v>7</v>
      </c>
      <c r="G299" s="1"/>
      <c r="H299" s="1"/>
      <c r="I299" s="1"/>
      <c r="T299" s="5"/>
      <c r="U299" t="s">
        <v>228</v>
      </c>
      <c r="AE299" s="6">
        <v>1</v>
      </c>
      <c r="AF299" s="6">
        <v>1</v>
      </c>
      <c r="AG299" s="7">
        <v>1</v>
      </c>
      <c r="BC299" t="s">
        <v>296</v>
      </c>
      <c r="BD299" s="7" t="s">
        <v>26</v>
      </c>
      <c r="BE299" t="s">
        <v>125</v>
      </c>
      <c r="BF299" s="1" t="s">
        <v>29</v>
      </c>
      <c r="BG299" s="1">
        <v>11</v>
      </c>
      <c r="BH299">
        <v>1</v>
      </c>
      <c r="BK299" s="1">
        <v>1</v>
      </c>
      <c r="BQ299">
        <v>1</v>
      </c>
      <c r="CS299" s="7" t="s">
        <v>297</v>
      </c>
    </row>
    <row r="300" spans="1:97">
      <c r="B300" t="s">
        <v>226</v>
      </c>
      <c r="C300" s="15" t="s">
        <v>227</v>
      </c>
      <c r="F300" s="8" t="s">
        <v>115</v>
      </c>
      <c r="G300" s="1">
        <v>1</v>
      </c>
      <c r="H300" s="1"/>
      <c r="I300" s="1">
        <f>1802-26</f>
        <v>1776</v>
      </c>
      <c r="J300" t="s">
        <v>10</v>
      </c>
      <c r="K300" t="s">
        <v>12</v>
      </c>
      <c r="Q300">
        <v>5</v>
      </c>
      <c r="R300">
        <v>4</v>
      </c>
      <c r="S300">
        <v>3</v>
      </c>
      <c r="T300" s="5">
        <f t="shared" ref="T300:T334" si="16">((Q300*316)+(R300*26.3)+(S300*2.2))/10</f>
        <v>169.18</v>
      </c>
      <c r="U300" t="s">
        <v>228</v>
      </c>
      <c r="AE300" s="6">
        <v>1</v>
      </c>
      <c r="AF300" s="6">
        <v>1</v>
      </c>
      <c r="AG300" s="6">
        <v>1</v>
      </c>
      <c r="AH300" s="6">
        <v>1</v>
      </c>
      <c r="AI300" s="6">
        <v>1</v>
      </c>
      <c r="AJ300" s="6">
        <v>1</v>
      </c>
      <c r="AK300" s="6">
        <v>1</v>
      </c>
      <c r="AL300" s="6">
        <v>1</v>
      </c>
      <c r="AM300" s="6">
        <v>1</v>
      </c>
      <c r="AN300" s="7">
        <v>1</v>
      </c>
      <c r="BC300" t="s">
        <v>198</v>
      </c>
      <c r="BD300" s="7" t="s">
        <v>109</v>
      </c>
      <c r="BE300" t="s">
        <v>125</v>
      </c>
      <c r="BF300" s="1" t="s">
        <v>29</v>
      </c>
      <c r="BG300" s="1">
        <v>11</v>
      </c>
      <c r="BH300">
        <v>1</v>
      </c>
      <c r="BK300" s="1">
        <v>1</v>
      </c>
      <c r="BQ300">
        <v>1</v>
      </c>
      <c r="CG300">
        <v>1</v>
      </c>
      <c r="CS300" s="7" t="s">
        <v>354</v>
      </c>
    </row>
    <row r="301" spans="1:97">
      <c r="B301" t="s">
        <v>2181</v>
      </c>
      <c r="C301" s="13" t="s">
        <v>2182</v>
      </c>
      <c r="D301" s="13" t="s">
        <v>2182</v>
      </c>
      <c r="E301" s="8" t="s">
        <v>837</v>
      </c>
      <c r="F301" s="8" t="s">
        <v>115</v>
      </c>
      <c r="G301" s="1">
        <v>1</v>
      </c>
      <c r="H301" s="1"/>
      <c r="I301" s="1">
        <f>1804-31</f>
        <v>1773</v>
      </c>
      <c r="J301" t="s">
        <v>10</v>
      </c>
      <c r="K301" t="s">
        <v>12</v>
      </c>
      <c r="Q301">
        <v>5</v>
      </c>
      <c r="R301">
        <v>4</v>
      </c>
      <c r="T301" s="5">
        <f t="shared" ref="T301:T307" si="17">((Q301*316)+(R301*26.3)+(S301*2.2))/10</f>
        <v>168.52</v>
      </c>
      <c r="U301" t="s">
        <v>2183</v>
      </c>
      <c r="AE301" s="6">
        <v>1</v>
      </c>
      <c r="AF301" s="6">
        <v>1</v>
      </c>
      <c r="AG301" s="6">
        <v>1</v>
      </c>
      <c r="AH301" s="6">
        <v>1</v>
      </c>
      <c r="AI301" s="6">
        <v>1</v>
      </c>
      <c r="AJ301" s="6">
        <v>1</v>
      </c>
      <c r="AK301" s="6">
        <v>1</v>
      </c>
      <c r="AL301" s="6">
        <v>1</v>
      </c>
      <c r="AM301" s="7">
        <v>1</v>
      </c>
      <c r="BC301" t="s">
        <v>1348</v>
      </c>
      <c r="BD301" s="7" t="s">
        <v>103</v>
      </c>
      <c r="BE301" t="s">
        <v>1502</v>
      </c>
      <c r="BF301" s="1" t="s">
        <v>29</v>
      </c>
      <c r="BG301" s="1">
        <v>3</v>
      </c>
      <c r="BH301">
        <v>1</v>
      </c>
      <c r="BK301" s="1">
        <v>1</v>
      </c>
      <c r="BQ301">
        <v>1</v>
      </c>
      <c r="CM301">
        <v>1</v>
      </c>
      <c r="CS301" s="7" t="s">
        <v>986</v>
      </c>
    </row>
    <row r="302" spans="1:97">
      <c r="B302" t="s">
        <v>2451</v>
      </c>
      <c r="C302" s="2" t="s">
        <v>1925</v>
      </c>
      <c r="D302" s="2" t="s">
        <v>1925</v>
      </c>
      <c r="E302" s="8" t="s">
        <v>1381</v>
      </c>
      <c r="F302" s="8" t="s">
        <v>115</v>
      </c>
      <c r="G302" s="1">
        <v>1</v>
      </c>
      <c r="H302" s="1"/>
      <c r="I302" s="1">
        <f>1804-32</f>
        <v>1772</v>
      </c>
      <c r="J302" t="s">
        <v>69</v>
      </c>
      <c r="K302" t="s">
        <v>197</v>
      </c>
      <c r="Q302">
        <v>5</v>
      </c>
      <c r="R302">
        <v>5</v>
      </c>
      <c r="S302">
        <v>2</v>
      </c>
      <c r="T302" s="5">
        <f t="shared" si="17"/>
        <v>171.59</v>
      </c>
      <c r="U302" t="s">
        <v>2183</v>
      </c>
      <c r="AE302" s="6">
        <v>1</v>
      </c>
      <c r="AF302" s="6">
        <v>1</v>
      </c>
      <c r="AG302" s="6">
        <v>1</v>
      </c>
      <c r="AH302" s="6">
        <v>1</v>
      </c>
      <c r="AI302" s="6">
        <v>1</v>
      </c>
      <c r="AJ302" s="6">
        <v>1</v>
      </c>
      <c r="AK302" s="6">
        <v>1</v>
      </c>
      <c r="AL302" s="6">
        <v>1</v>
      </c>
      <c r="AM302" s="6">
        <v>1</v>
      </c>
      <c r="AN302" s="6">
        <v>1</v>
      </c>
      <c r="AO302" s="6">
        <v>1</v>
      </c>
      <c r="AP302" s="6">
        <v>1</v>
      </c>
      <c r="AQ302" s="6">
        <v>1</v>
      </c>
      <c r="AR302" s="6">
        <v>1</v>
      </c>
      <c r="AS302" s="6">
        <v>1</v>
      </c>
      <c r="AT302" s="6">
        <v>1</v>
      </c>
      <c r="AU302" s="6">
        <v>1</v>
      </c>
      <c r="AV302" s="6">
        <v>1</v>
      </c>
      <c r="AW302" s="6">
        <v>1</v>
      </c>
      <c r="AX302" s="6">
        <v>1</v>
      </c>
      <c r="AY302" s="7">
        <v>1</v>
      </c>
      <c r="BC302" t="s">
        <v>2452</v>
      </c>
      <c r="BD302" s="7" t="s">
        <v>103</v>
      </c>
      <c r="BE302" t="s">
        <v>118</v>
      </c>
      <c r="BF302" s="1" t="s">
        <v>29</v>
      </c>
      <c r="BG302" s="1">
        <v>3</v>
      </c>
      <c r="BH302">
        <v>2</v>
      </c>
      <c r="BK302" s="1">
        <v>1</v>
      </c>
      <c r="BQ302">
        <v>1</v>
      </c>
      <c r="CL302">
        <v>1</v>
      </c>
      <c r="CS302" s="7" t="s">
        <v>1518</v>
      </c>
    </row>
    <row r="303" spans="1:97">
      <c r="B303" t="s">
        <v>2194</v>
      </c>
      <c r="C303" s="2" t="s">
        <v>1911</v>
      </c>
      <c r="D303" s="2" t="s">
        <v>1911</v>
      </c>
      <c r="E303" s="8" t="s">
        <v>1912</v>
      </c>
      <c r="F303" s="8" t="s">
        <v>65</v>
      </c>
      <c r="G303" s="1">
        <v>1</v>
      </c>
      <c r="H303" s="1"/>
      <c r="I303" s="1">
        <f>1803-26</f>
        <v>1777</v>
      </c>
      <c r="J303" t="s">
        <v>10</v>
      </c>
      <c r="K303" t="s">
        <v>12</v>
      </c>
      <c r="Q303">
        <v>5</v>
      </c>
      <c r="R303">
        <v>1</v>
      </c>
      <c r="T303" s="5">
        <f t="shared" si="17"/>
        <v>160.63</v>
      </c>
      <c r="U303" t="s">
        <v>2183</v>
      </c>
      <c r="AE303" s="6">
        <v>1</v>
      </c>
      <c r="AF303" s="6">
        <v>1</v>
      </c>
      <c r="AG303" s="6">
        <v>1</v>
      </c>
      <c r="AH303" s="6">
        <v>1</v>
      </c>
      <c r="AI303" s="6">
        <v>1</v>
      </c>
      <c r="AJ303" s="6">
        <v>1</v>
      </c>
      <c r="AK303" s="6">
        <v>1</v>
      </c>
      <c r="AL303" s="6">
        <v>1</v>
      </c>
      <c r="AM303" s="6">
        <v>1</v>
      </c>
      <c r="AN303" s="7">
        <v>1</v>
      </c>
      <c r="BC303" t="s">
        <v>1501</v>
      </c>
      <c r="BD303" s="7" t="s">
        <v>109</v>
      </c>
      <c r="BE303" t="s">
        <v>1502</v>
      </c>
      <c r="BF303" s="1" t="s">
        <v>29</v>
      </c>
      <c r="BG303" s="1">
        <v>3</v>
      </c>
      <c r="BH303">
        <v>1</v>
      </c>
      <c r="BK303" s="1">
        <v>1</v>
      </c>
      <c r="BQ303">
        <v>1</v>
      </c>
      <c r="CS303" s="7" t="s">
        <v>354</v>
      </c>
    </row>
    <row r="304" spans="1:97">
      <c r="B304" t="s">
        <v>3190</v>
      </c>
      <c r="C304" s="2" t="s">
        <v>1765</v>
      </c>
      <c r="D304" s="2" t="s">
        <v>1765</v>
      </c>
      <c r="E304" s="8" t="s">
        <v>1381</v>
      </c>
      <c r="F304" s="8" t="s">
        <v>115</v>
      </c>
      <c r="G304" s="1">
        <v>1</v>
      </c>
      <c r="H304" s="1"/>
      <c r="I304" s="1">
        <f>1797-28</f>
        <v>1769</v>
      </c>
      <c r="J304" t="s">
        <v>69</v>
      </c>
      <c r="K304" t="s">
        <v>197</v>
      </c>
      <c r="Q304">
        <v>5</v>
      </c>
      <c r="R304">
        <v>8</v>
      </c>
      <c r="S304">
        <v>1</v>
      </c>
      <c r="T304" s="5">
        <f t="shared" si="17"/>
        <v>179.26000000000002</v>
      </c>
      <c r="U304" t="s">
        <v>2179</v>
      </c>
      <c r="AE304" s="7">
        <v>1</v>
      </c>
      <c r="BC304" t="s">
        <v>3171</v>
      </c>
      <c r="BD304" s="7" t="s">
        <v>280</v>
      </c>
      <c r="BE304" t="s">
        <v>2407</v>
      </c>
      <c r="BF304" s="1" t="s">
        <v>29</v>
      </c>
      <c r="BG304" s="1">
        <v>2</v>
      </c>
      <c r="BH304">
        <v>1</v>
      </c>
      <c r="BK304" s="1">
        <v>1</v>
      </c>
      <c r="BQ304">
        <v>1</v>
      </c>
      <c r="CN304">
        <v>1</v>
      </c>
      <c r="CS304" s="7" t="s">
        <v>281</v>
      </c>
    </row>
    <row r="305" spans="2:97">
      <c r="B305" t="s">
        <v>3189</v>
      </c>
      <c r="C305" s="2" t="s">
        <v>1925</v>
      </c>
      <c r="D305" s="2" t="s">
        <v>1925</v>
      </c>
      <c r="E305" s="8" t="s">
        <v>1381</v>
      </c>
      <c r="F305" s="8" t="s">
        <v>115</v>
      </c>
      <c r="G305" s="1">
        <v>1</v>
      </c>
      <c r="H305" s="1"/>
      <c r="I305" s="1">
        <f>1797-34</f>
        <v>1763</v>
      </c>
      <c r="J305" t="s">
        <v>69</v>
      </c>
      <c r="K305" t="s">
        <v>12</v>
      </c>
      <c r="Q305">
        <v>5</v>
      </c>
      <c r="R305">
        <v>1</v>
      </c>
      <c r="T305" s="5">
        <f t="shared" si="17"/>
        <v>160.63</v>
      </c>
      <c r="U305" t="s">
        <v>2179</v>
      </c>
      <c r="AE305" s="6">
        <v>1</v>
      </c>
      <c r="BC305">
        <v>1797</v>
      </c>
      <c r="BD305" t="s">
        <v>81</v>
      </c>
      <c r="BE305" s="10" t="s">
        <v>2407</v>
      </c>
      <c r="BF305" s="1" t="s">
        <v>73</v>
      </c>
      <c r="BG305" s="1">
        <v>1</v>
      </c>
      <c r="BH305">
        <v>1</v>
      </c>
      <c r="BK305" s="1">
        <v>1</v>
      </c>
      <c r="BQ305">
        <v>1</v>
      </c>
      <c r="CL305" s="10">
        <v>1</v>
      </c>
      <c r="CS305" s="10" t="s">
        <v>2778</v>
      </c>
    </row>
    <row r="306" spans="2:97">
      <c r="B306" t="s">
        <v>3199</v>
      </c>
      <c r="C306" s="2" t="s">
        <v>1925</v>
      </c>
      <c r="D306" s="2" t="s">
        <v>1925</v>
      </c>
      <c r="E306" s="8" t="s">
        <v>1381</v>
      </c>
      <c r="F306" s="8" t="s">
        <v>115</v>
      </c>
      <c r="G306" s="1">
        <v>1</v>
      </c>
      <c r="H306" s="1"/>
      <c r="I306" s="1">
        <f>1797-22</f>
        <v>1775</v>
      </c>
      <c r="J306" t="s">
        <v>69</v>
      </c>
      <c r="K306" t="s">
        <v>12</v>
      </c>
      <c r="Q306">
        <v>5</v>
      </c>
      <c r="R306">
        <v>2</v>
      </c>
      <c r="T306" s="5">
        <f t="shared" si="17"/>
        <v>163.26</v>
      </c>
      <c r="U306" t="s">
        <v>2179</v>
      </c>
      <c r="AE306" s="6">
        <v>1</v>
      </c>
      <c r="AF306" s="6">
        <v>1</v>
      </c>
      <c r="AG306" s="7">
        <v>1</v>
      </c>
      <c r="BC306" t="s">
        <v>3200</v>
      </c>
      <c r="BD306" s="7" t="s">
        <v>305</v>
      </c>
      <c r="BE306" t="s">
        <v>2407</v>
      </c>
      <c r="BF306" s="1" t="s">
        <v>29</v>
      </c>
      <c r="BG306" s="1">
        <v>2</v>
      </c>
      <c r="BH306">
        <v>1</v>
      </c>
      <c r="BK306" s="1">
        <v>1</v>
      </c>
      <c r="BQ306">
        <v>1</v>
      </c>
      <c r="CM306">
        <v>1</v>
      </c>
      <c r="CS306" s="7" t="s">
        <v>3201</v>
      </c>
    </row>
    <row r="307" spans="2:97">
      <c r="B307" t="s">
        <v>2779</v>
      </c>
      <c r="C307" s="2" t="s">
        <v>1925</v>
      </c>
      <c r="D307" s="2" t="s">
        <v>1925</v>
      </c>
      <c r="E307" s="8" t="s">
        <v>1381</v>
      </c>
      <c r="F307" s="8" t="s">
        <v>115</v>
      </c>
      <c r="G307" s="1">
        <v>1</v>
      </c>
      <c r="H307" s="1"/>
      <c r="I307" s="1">
        <f>1797-38</f>
        <v>1759</v>
      </c>
      <c r="J307" t="s">
        <v>69</v>
      </c>
      <c r="K307" t="s">
        <v>12</v>
      </c>
      <c r="Q307">
        <v>5</v>
      </c>
      <c r="R307">
        <v>2</v>
      </c>
      <c r="T307" s="5">
        <f t="shared" si="17"/>
        <v>163.26</v>
      </c>
      <c r="U307" t="s">
        <v>2179</v>
      </c>
      <c r="AE307" s="6">
        <v>1</v>
      </c>
      <c r="BC307">
        <v>1797</v>
      </c>
      <c r="BD307" t="s">
        <v>81</v>
      </c>
      <c r="BE307" s="10" t="s">
        <v>2407</v>
      </c>
      <c r="BF307" s="1" t="s">
        <v>73</v>
      </c>
      <c r="BG307" s="1">
        <v>1</v>
      </c>
      <c r="BH307">
        <v>1</v>
      </c>
      <c r="BK307" s="1">
        <v>1</v>
      </c>
      <c r="BQ307">
        <v>1</v>
      </c>
      <c r="CL307" s="10">
        <v>1</v>
      </c>
      <c r="CS307" s="10" t="s">
        <v>2778</v>
      </c>
    </row>
    <row r="308" spans="2:97">
      <c r="B308" t="s">
        <v>2177</v>
      </c>
      <c r="C308" s="15" t="s">
        <v>2178</v>
      </c>
      <c r="D308" s="2" t="s">
        <v>2178</v>
      </c>
      <c r="E308" s="8" t="s">
        <v>696</v>
      </c>
      <c r="F308" s="8" t="s">
        <v>115</v>
      </c>
      <c r="G308" s="1">
        <v>1</v>
      </c>
      <c r="H308" s="1"/>
      <c r="I308" s="1">
        <f>1803-38</f>
        <v>1765</v>
      </c>
      <c r="J308" t="s">
        <v>69</v>
      </c>
      <c r="K308" t="s">
        <v>12</v>
      </c>
      <c r="N308">
        <v>1</v>
      </c>
      <c r="Q308">
        <v>5</v>
      </c>
      <c r="R308">
        <v>1</v>
      </c>
      <c r="S308">
        <v>2</v>
      </c>
      <c r="T308" s="5">
        <f t="shared" si="16"/>
        <v>161.07</v>
      </c>
      <c r="U308" t="s">
        <v>2179</v>
      </c>
      <c r="AE308" s="6">
        <v>1</v>
      </c>
      <c r="AF308" s="6">
        <v>1</v>
      </c>
      <c r="AG308" s="6">
        <v>1</v>
      </c>
      <c r="AH308" s="6">
        <v>1</v>
      </c>
      <c r="AI308" s="6">
        <v>1</v>
      </c>
      <c r="AJ308" s="6">
        <v>1</v>
      </c>
      <c r="AK308" s="6">
        <v>1</v>
      </c>
      <c r="AL308" s="6">
        <v>1</v>
      </c>
      <c r="AM308" s="7">
        <v>1</v>
      </c>
      <c r="BC308" t="s">
        <v>1889</v>
      </c>
      <c r="BD308" s="7" t="s">
        <v>103</v>
      </c>
      <c r="BE308" t="s">
        <v>1502</v>
      </c>
      <c r="BF308" s="1" t="s">
        <v>29</v>
      </c>
      <c r="BG308" s="1">
        <v>4</v>
      </c>
      <c r="BH308">
        <v>1</v>
      </c>
      <c r="BI308">
        <v>1</v>
      </c>
      <c r="BJ308">
        <v>1</v>
      </c>
      <c r="BK308" s="1">
        <v>1</v>
      </c>
      <c r="BQ308">
        <v>1</v>
      </c>
      <c r="CS308" s="7" t="s">
        <v>2172</v>
      </c>
    </row>
    <row r="309" spans="2:97">
      <c r="B309" t="s">
        <v>2780</v>
      </c>
      <c r="C309" s="2" t="s">
        <v>2781</v>
      </c>
      <c r="D309" s="2" t="s">
        <v>2781</v>
      </c>
      <c r="E309" s="8" t="s">
        <v>1381</v>
      </c>
      <c r="F309" s="8" t="s">
        <v>115</v>
      </c>
      <c r="G309" s="1">
        <v>1</v>
      </c>
      <c r="H309" s="1"/>
      <c r="I309" s="1">
        <f>1797-20</f>
        <v>1777</v>
      </c>
      <c r="J309" t="s">
        <v>10</v>
      </c>
      <c r="K309" t="s">
        <v>197</v>
      </c>
      <c r="Q309">
        <v>5</v>
      </c>
      <c r="R309">
        <v>2</v>
      </c>
      <c r="T309" s="5">
        <f t="shared" si="16"/>
        <v>163.26</v>
      </c>
      <c r="U309" t="s">
        <v>2179</v>
      </c>
      <c r="AE309" s="6">
        <v>1</v>
      </c>
      <c r="BC309">
        <v>1797</v>
      </c>
      <c r="BD309" t="s">
        <v>81</v>
      </c>
      <c r="BE309" s="10" t="s">
        <v>2407</v>
      </c>
      <c r="BF309" s="1" t="s">
        <v>73</v>
      </c>
      <c r="BG309" s="1">
        <v>1</v>
      </c>
      <c r="BH309">
        <v>1</v>
      </c>
      <c r="BK309" s="1">
        <v>1</v>
      </c>
      <c r="BQ309">
        <v>1</v>
      </c>
      <c r="CL309" s="10">
        <v>1</v>
      </c>
      <c r="CS309" s="10" t="s">
        <v>2782</v>
      </c>
    </row>
    <row r="310" spans="2:97">
      <c r="B310" t="s">
        <v>2783</v>
      </c>
      <c r="C310" s="2" t="s">
        <v>2784</v>
      </c>
      <c r="D310" s="2" t="s">
        <v>2784</v>
      </c>
      <c r="E310" s="8" t="s">
        <v>1381</v>
      </c>
      <c r="F310" s="8" t="s">
        <v>115</v>
      </c>
      <c r="G310" s="1">
        <v>1</v>
      </c>
      <c r="H310" s="1"/>
      <c r="I310" s="1">
        <f>1797-18</f>
        <v>1779</v>
      </c>
      <c r="J310" t="s">
        <v>10</v>
      </c>
      <c r="K310" t="s">
        <v>12</v>
      </c>
      <c r="Q310">
        <v>5</v>
      </c>
      <c r="R310">
        <v>1</v>
      </c>
      <c r="T310" s="5">
        <f t="shared" si="16"/>
        <v>160.63</v>
      </c>
      <c r="U310" t="s">
        <v>2179</v>
      </c>
      <c r="AE310" s="6">
        <v>1</v>
      </c>
      <c r="BC310">
        <v>1797</v>
      </c>
      <c r="BD310" t="s">
        <v>81</v>
      </c>
      <c r="BE310" s="10" t="s">
        <v>2407</v>
      </c>
      <c r="BF310" s="1" t="s">
        <v>73</v>
      </c>
      <c r="BG310" s="1">
        <v>1</v>
      </c>
      <c r="BH310">
        <v>1</v>
      </c>
      <c r="BK310" s="1">
        <v>1</v>
      </c>
      <c r="BQ310">
        <v>1</v>
      </c>
      <c r="CL310" s="10">
        <v>1</v>
      </c>
      <c r="CS310" s="10" t="s">
        <v>2778</v>
      </c>
    </row>
    <row r="311" spans="2:97">
      <c r="B311" t="s">
        <v>3093</v>
      </c>
      <c r="C311" s="2" t="s">
        <v>3094</v>
      </c>
      <c r="D311" s="2" t="s">
        <v>3094</v>
      </c>
      <c r="E311" s="8" t="s">
        <v>1381</v>
      </c>
      <c r="F311" s="8" t="s">
        <v>115</v>
      </c>
      <c r="G311" s="1">
        <v>1</v>
      </c>
      <c r="H311" s="1"/>
      <c r="I311" s="1">
        <f>1797-25</f>
        <v>1772</v>
      </c>
      <c r="J311" t="s">
        <v>69</v>
      </c>
      <c r="K311" t="s">
        <v>12</v>
      </c>
      <c r="N311">
        <v>1</v>
      </c>
      <c r="Q311">
        <v>5</v>
      </c>
      <c r="R311">
        <v>3</v>
      </c>
      <c r="T311" s="5">
        <f t="shared" si="16"/>
        <v>165.89000000000001</v>
      </c>
      <c r="U311" t="s">
        <v>2179</v>
      </c>
      <c r="AE311" s="6">
        <v>1</v>
      </c>
      <c r="AF311" s="6">
        <v>1</v>
      </c>
      <c r="AG311" s="6">
        <v>1</v>
      </c>
      <c r="AH311" s="6">
        <v>1</v>
      </c>
      <c r="AI311" s="6">
        <v>1</v>
      </c>
      <c r="AJ311" s="6">
        <v>1</v>
      </c>
      <c r="AK311" s="6">
        <v>1</v>
      </c>
      <c r="AL311" s="6">
        <v>1</v>
      </c>
      <c r="AM311" s="7">
        <v>1</v>
      </c>
      <c r="BC311" t="s">
        <v>1889</v>
      </c>
      <c r="BD311" s="7" t="s">
        <v>103</v>
      </c>
      <c r="BE311" t="s">
        <v>2407</v>
      </c>
      <c r="BF311" s="1" t="s">
        <v>29</v>
      </c>
      <c r="BG311" s="1">
        <v>4</v>
      </c>
      <c r="BH311">
        <v>1</v>
      </c>
      <c r="BK311" s="1">
        <v>1</v>
      </c>
      <c r="BQ311">
        <v>1</v>
      </c>
      <c r="CS311" s="7" t="s">
        <v>412</v>
      </c>
    </row>
    <row r="312" spans="2:97">
      <c r="B312" t="s">
        <v>3169</v>
      </c>
      <c r="C312" s="2" t="s">
        <v>1925</v>
      </c>
      <c r="D312" s="2" t="s">
        <v>1925</v>
      </c>
      <c r="E312" s="8" t="s">
        <v>1381</v>
      </c>
      <c r="F312" s="8" t="s">
        <v>115</v>
      </c>
      <c r="G312" s="1">
        <v>1</v>
      </c>
      <c r="H312" s="1"/>
      <c r="I312" s="1">
        <f>1797-30</f>
        <v>1767</v>
      </c>
      <c r="J312" t="s">
        <v>69</v>
      </c>
      <c r="K312" t="s">
        <v>3170</v>
      </c>
      <c r="Q312">
        <v>5</v>
      </c>
      <c r="R312">
        <v>0</v>
      </c>
      <c r="S312">
        <v>1</v>
      </c>
      <c r="T312" s="5">
        <f t="shared" si="16"/>
        <v>158.22</v>
      </c>
      <c r="U312" t="s">
        <v>2179</v>
      </c>
      <c r="AE312" s="7">
        <v>1</v>
      </c>
      <c r="BC312" t="s">
        <v>3171</v>
      </c>
      <c r="BD312" s="7" t="s">
        <v>103</v>
      </c>
      <c r="BE312" t="s">
        <v>2407</v>
      </c>
      <c r="BF312" s="1" t="s">
        <v>29</v>
      </c>
      <c r="BG312" s="1">
        <v>2</v>
      </c>
      <c r="BH312">
        <v>1</v>
      </c>
      <c r="BK312" s="1">
        <v>1</v>
      </c>
      <c r="BQ312">
        <v>1</v>
      </c>
      <c r="CS312" s="7" t="s">
        <v>3172</v>
      </c>
    </row>
    <row r="313" spans="2:97">
      <c r="B313" t="s">
        <v>2180</v>
      </c>
      <c r="C313" s="15" t="s">
        <v>2178</v>
      </c>
      <c r="D313" s="2" t="s">
        <v>2178</v>
      </c>
      <c r="E313" s="8" t="s">
        <v>696</v>
      </c>
      <c r="F313" s="8" t="s">
        <v>115</v>
      </c>
      <c r="G313" s="1">
        <v>1</v>
      </c>
      <c r="H313" s="1"/>
      <c r="I313" s="1">
        <f>1803-31</f>
        <v>1772</v>
      </c>
      <c r="J313" t="s">
        <v>69</v>
      </c>
      <c r="K313" t="s">
        <v>12</v>
      </c>
      <c r="Q313">
        <v>5</v>
      </c>
      <c r="R313">
        <v>1</v>
      </c>
      <c r="S313">
        <v>2</v>
      </c>
      <c r="T313" s="5">
        <f t="shared" si="16"/>
        <v>161.07</v>
      </c>
      <c r="U313" t="s">
        <v>2179</v>
      </c>
      <c r="AE313" s="6">
        <v>1</v>
      </c>
      <c r="AF313" s="6">
        <v>1</v>
      </c>
      <c r="AG313" s="6">
        <v>1</v>
      </c>
      <c r="AH313" s="6">
        <v>1</v>
      </c>
      <c r="AI313" s="6">
        <v>1</v>
      </c>
      <c r="AJ313" s="6">
        <v>1</v>
      </c>
      <c r="AK313" s="6">
        <v>1</v>
      </c>
      <c r="AL313" s="6">
        <v>1</v>
      </c>
      <c r="AM313" s="7">
        <v>1</v>
      </c>
      <c r="BC313" t="s">
        <v>1889</v>
      </c>
      <c r="BD313" s="7" t="s">
        <v>103</v>
      </c>
      <c r="BE313" t="s">
        <v>1502</v>
      </c>
      <c r="BF313" s="1" t="s">
        <v>29</v>
      </c>
      <c r="BG313" s="1">
        <v>4</v>
      </c>
      <c r="BH313">
        <v>1</v>
      </c>
      <c r="BI313">
        <v>1</v>
      </c>
      <c r="BJ313">
        <v>1</v>
      </c>
      <c r="BK313" s="1">
        <v>1</v>
      </c>
      <c r="BQ313">
        <v>1</v>
      </c>
      <c r="CS313" s="7" t="s">
        <v>2172</v>
      </c>
    </row>
    <row r="314" spans="2:97">
      <c r="B314" t="s">
        <v>2785</v>
      </c>
      <c r="C314" s="2" t="s">
        <v>1925</v>
      </c>
      <c r="D314" s="2" t="s">
        <v>1925</v>
      </c>
      <c r="E314" s="8" t="s">
        <v>1381</v>
      </c>
      <c r="F314" s="8" t="s">
        <v>115</v>
      </c>
      <c r="G314" s="1">
        <v>1</v>
      </c>
      <c r="H314" s="1"/>
      <c r="I314" s="1">
        <f>1797-36</f>
        <v>1761</v>
      </c>
      <c r="J314" t="s">
        <v>69</v>
      </c>
      <c r="K314" t="s">
        <v>12</v>
      </c>
      <c r="Q314">
        <v>5</v>
      </c>
      <c r="R314">
        <v>0</v>
      </c>
      <c r="S314">
        <v>2</v>
      </c>
      <c r="T314" s="5">
        <f t="shared" si="16"/>
        <v>158.44</v>
      </c>
      <c r="U314" t="s">
        <v>2179</v>
      </c>
      <c r="AE314" s="6">
        <v>1</v>
      </c>
      <c r="BC314">
        <v>1797</v>
      </c>
      <c r="BD314" t="s">
        <v>81</v>
      </c>
      <c r="BE314" s="10" t="s">
        <v>2407</v>
      </c>
      <c r="BF314" s="1" t="s">
        <v>73</v>
      </c>
      <c r="BG314" s="1">
        <v>1</v>
      </c>
      <c r="BH314">
        <v>1</v>
      </c>
      <c r="BK314" s="1">
        <v>1</v>
      </c>
      <c r="BQ314">
        <v>1</v>
      </c>
      <c r="CL314" s="10">
        <v>1</v>
      </c>
      <c r="CS314" s="10" t="s">
        <v>2778</v>
      </c>
    </row>
    <row r="315" spans="2:97">
      <c r="B315" t="s">
        <v>3096</v>
      </c>
      <c r="C315" s="2" t="s">
        <v>3097</v>
      </c>
      <c r="D315" s="2" t="s">
        <v>3097</v>
      </c>
      <c r="E315" s="8" t="s">
        <v>1381</v>
      </c>
      <c r="F315" s="8" t="s">
        <v>115</v>
      </c>
      <c r="G315" s="1">
        <v>1</v>
      </c>
      <c r="H315" s="1"/>
      <c r="I315" s="1">
        <f>1797-22</f>
        <v>1775</v>
      </c>
      <c r="J315" t="s">
        <v>69</v>
      </c>
      <c r="K315" t="s">
        <v>12</v>
      </c>
      <c r="Q315">
        <v>5</v>
      </c>
      <c r="R315">
        <v>4</v>
      </c>
      <c r="T315" s="5">
        <f t="shared" si="16"/>
        <v>168.52</v>
      </c>
      <c r="U315" t="s">
        <v>2179</v>
      </c>
      <c r="AE315" s="6">
        <v>1</v>
      </c>
      <c r="AF315" s="6">
        <v>1</v>
      </c>
      <c r="AG315" s="6">
        <v>1</v>
      </c>
      <c r="AH315" s="6">
        <v>1</v>
      </c>
      <c r="AI315" s="6">
        <v>1</v>
      </c>
      <c r="AJ315" s="6">
        <v>1</v>
      </c>
      <c r="AK315" s="6">
        <v>1</v>
      </c>
      <c r="AL315" s="6">
        <v>1</v>
      </c>
      <c r="AM315" s="7">
        <v>1</v>
      </c>
      <c r="BC315" t="s">
        <v>2189</v>
      </c>
      <c r="BD315" s="7" t="s">
        <v>103</v>
      </c>
      <c r="BE315" t="s">
        <v>2407</v>
      </c>
      <c r="BF315" s="1" t="s">
        <v>29</v>
      </c>
      <c r="BG315" s="1">
        <v>4</v>
      </c>
      <c r="BH315">
        <v>1</v>
      </c>
      <c r="BK315" s="1">
        <v>1</v>
      </c>
      <c r="BQ315">
        <v>1</v>
      </c>
      <c r="CS315" s="7" t="s">
        <v>412</v>
      </c>
    </row>
    <row r="316" spans="2:97">
      <c r="B316" t="s">
        <v>2786</v>
      </c>
      <c r="C316" s="2" t="s">
        <v>2787</v>
      </c>
      <c r="D316" s="2" t="s">
        <v>2787</v>
      </c>
      <c r="E316" s="8" t="s">
        <v>1381</v>
      </c>
      <c r="F316" s="8" t="s">
        <v>115</v>
      </c>
      <c r="G316" s="1">
        <v>1</v>
      </c>
      <c r="H316" s="1"/>
      <c r="I316" s="1">
        <f>1797-20</f>
        <v>1777</v>
      </c>
      <c r="J316" t="s">
        <v>10</v>
      </c>
      <c r="K316" t="s">
        <v>197</v>
      </c>
      <c r="Q316">
        <v>5</v>
      </c>
      <c r="R316">
        <v>1</v>
      </c>
      <c r="S316">
        <v>1</v>
      </c>
      <c r="T316" s="5">
        <f t="shared" si="16"/>
        <v>160.85</v>
      </c>
      <c r="U316" t="s">
        <v>2788</v>
      </c>
      <c r="AE316" s="6">
        <v>1</v>
      </c>
      <c r="BC316">
        <v>1797</v>
      </c>
      <c r="BD316" t="s">
        <v>81</v>
      </c>
      <c r="BE316" s="10" t="s">
        <v>2407</v>
      </c>
      <c r="BF316" s="1" t="s">
        <v>73</v>
      </c>
      <c r="BG316" s="1">
        <v>1</v>
      </c>
      <c r="BH316">
        <v>1</v>
      </c>
      <c r="BK316" s="1">
        <v>1</v>
      </c>
      <c r="BQ316">
        <v>1</v>
      </c>
      <c r="CL316" s="10">
        <v>1</v>
      </c>
      <c r="CS316" s="10" t="s">
        <v>2778</v>
      </c>
    </row>
    <row r="317" spans="2:97">
      <c r="B317" t="s">
        <v>3160</v>
      </c>
      <c r="C317" s="13" t="s">
        <v>2790</v>
      </c>
      <c r="D317" s="13" t="s">
        <v>2790</v>
      </c>
      <c r="E317" s="8" t="s">
        <v>1381</v>
      </c>
      <c r="F317" s="8" t="s">
        <v>115</v>
      </c>
      <c r="G317" s="1">
        <v>1</v>
      </c>
      <c r="H317" s="1"/>
      <c r="I317" s="1">
        <f>1797-22</f>
        <v>1775</v>
      </c>
      <c r="J317" t="s">
        <v>10</v>
      </c>
      <c r="K317" t="s">
        <v>12</v>
      </c>
      <c r="Q317">
        <v>5</v>
      </c>
      <c r="R317">
        <v>5</v>
      </c>
      <c r="S317">
        <v>2</v>
      </c>
      <c r="T317" s="5">
        <f t="shared" si="16"/>
        <v>171.59</v>
      </c>
      <c r="U317" t="s">
        <v>2788</v>
      </c>
      <c r="AE317" s="6">
        <v>1</v>
      </c>
      <c r="AF317" s="6">
        <v>1</v>
      </c>
      <c r="AG317" s="6">
        <v>1</v>
      </c>
      <c r="AH317" s="6">
        <v>1</v>
      </c>
      <c r="AI317" s="6">
        <v>1</v>
      </c>
      <c r="AJ317" s="6">
        <v>1</v>
      </c>
      <c r="AK317" s="6">
        <v>1</v>
      </c>
      <c r="AL317" s="6">
        <v>1</v>
      </c>
      <c r="AM317" s="7">
        <v>1</v>
      </c>
      <c r="BC317" t="s">
        <v>2189</v>
      </c>
      <c r="BD317" s="7" t="s">
        <v>103</v>
      </c>
      <c r="BE317" t="s">
        <v>2407</v>
      </c>
      <c r="BF317" s="1" t="s">
        <v>29</v>
      </c>
      <c r="BG317" s="1">
        <v>6</v>
      </c>
      <c r="BH317">
        <v>1</v>
      </c>
      <c r="BK317" s="1">
        <v>1</v>
      </c>
      <c r="BQ317">
        <v>1</v>
      </c>
      <c r="CS317" s="7" t="s">
        <v>614</v>
      </c>
    </row>
    <row r="318" spans="2:97">
      <c r="B318" t="s">
        <v>2789</v>
      </c>
      <c r="C318" s="13" t="s">
        <v>2790</v>
      </c>
      <c r="D318" s="13" t="s">
        <v>2790</v>
      </c>
      <c r="E318" s="8" t="s">
        <v>1381</v>
      </c>
      <c r="F318" s="8" t="s">
        <v>115</v>
      </c>
      <c r="G318" s="1">
        <v>1</v>
      </c>
      <c r="H318" s="1"/>
      <c r="I318" s="1">
        <f>1797-24</f>
        <v>1773</v>
      </c>
      <c r="J318" t="s">
        <v>10</v>
      </c>
      <c r="K318" t="s">
        <v>12</v>
      </c>
      <c r="Q318">
        <v>5</v>
      </c>
      <c r="R318">
        <v>1</v>
      </c>
      <c r="T318" s="5">
        <f t="shared" si="16"/>
        <v>160.63</v>
      </c>
      <c r="U318" t="s">
        <v>2788</v>
      </c>
      <c r="AE318" s="6">
        <v>1</v>
      </c>
      <c r="BC318">
        <v>1797</v>
      </c>
      <c r="BD318" t="s">
        <v>81</v>
      </c>
      <c r="BE318" s="10" t="s">
        <v>2407</v>
      </c>
      <c r="BF318" s="1" t="s">
        <v>73</v>
      </c>
      <c r="BG318" s="1">
        <v>1</v>
      </c>
      <c r="BH318">
        <v>2</v>
      </c>
      <c r="BK318" s="1">
        <v>1</v>
      </c>
      <c r="BQ318">
        <v>1</v>
      </c>
      <c r="CL318" s="10">
        <v>1</v>
      </c>
      <c r="CS318" s="10" t="s">
        <v>2778</v>
      </c>
    </row>
    <row r="319" spans="2:97">
      <c r="B319" t="s">
        <v>4540</v>
      </c>
      <c r="C319" s="13" t="s">
        <v>4538</v>
      </c>
      <c r="D319" s="13" t="s">
        <v>4539</v>
      </c>
      <c r="E319" s="8" t="s">
        <v>837</v>
      </c>
      <c r="F319" s="8" t="s">
        <v>115</v>
      </c>
      <c r="G319" s="1">
        <v>1</v>
      </c>
      <c r="H319" s="1"/>
      <c r="I319" s="1">
        <f>1802-26</f>
        <v>1776</v>
      </c>
      <c r="J319" t="s">
        <v>10</v>
      </c>
      <c r="K319" t="s">
        <v>790</v>
      </c>
      <c r="Q319">
        <v>5</v>
      </c>
      <c r="T319" s="5">
        <f t="shared" si="16"/>
        <v>158</v>
      </c>
      <c r="U319" t="s">
        <v>977</v>
      </c>
      <c r="AE319" s="6">
        <v>1</v>
      </c>
      <c r="AF319" s="6">
        <v>1</v>
      </c>
      <c r="AG319" s="9">
        <v>1</v>
      </c>
      <c r="AH319" s="9"/>
      <c r="AI319" s="9">
        <v>1</v>
      </c>
      <c r="AJ319" s="6">
        <v>1</v>
      </c>
      <c r="AK319" s="7">
        <v>1</v>
      </c>
      <c r="BC319" t="s">
        <v>1412</v>
      </c>
      <c r="BD319" s="7" t="s">
        <v>103</v>
      </c>
      <c r="BE319" t="s">
        <v>712</v>
      </c>
      <c r="BF319" s="1" t="s">
        <v>29</v>
      </c>
      <c r="BG319" s="1">
        <v>2</v>
      </c>
      <c r="BH319">
        <v>1</v>
      </c>
      <c r="BK319" s="1" t="s">
        <v>72</v>
      </c>
      <c r="BQ319">
        <v>1</v>
      </c>
      <c r="CM319">
        <v>1</v>
      </c>
      <c r="CS319" s="7" t="s">
        <v>4541</v>
      </c>
    </row>
    <row r="320" spans="2:97">
      <c r="B320" t="s">
        <v>979</v>
      </c>
      <c r="C320" s="2" t="s">
        <v>976</v>
      </c>
      <c r="F320" s="8" t="s">
        <v>65</v>
      </c>
      <c r="G320" s="1">
        <v>1</v>
      </c>
      <c r="H320" s="1"/>
      <c r="I320" s="1">
        <f>1802-41</f>
        <v>1761</v>
      </c>
      <c r="J320" t="s">
        <v>69</v>
      </c>
      <c r="K320" t="s">
        <v>140</v>
      </c>
      <c r="M320">
        <v>1</v>
      </c>
      <c r="O320">
        <v>1</v>
      </c>
      <c r="P320">
        <v>1</v>
      </c>
      <c r="Q320">
        <v>5</v>
      </c>
      <c r="T320" s="5">
        <f t="shared" si="16"/>
        <v>158</v>
      </c>
      <c r="U320" t="s">
        <v>977</v>
      </c>
      <c r="AE320" s="6">
        <v>1</v>
      </c>
      <c r="AF320" s="6">
        <v>1</v>
      </c>
      <c r="AG320" s="6">
        <v>1</v>
      </c>
      <c r="AH320" s="6">
        <v>1</v>
      </c>
      <c r="AI320" s="6">
        <v>1</v>
      </c>
      <c r="AJ320" s="7">
        <v>1</v>
      </c>
      <c r="BC320" t="s">
        <v>978</v>
      </c>
      <c r="BD320" s="7" t="s">
        <v>26</v>
      </c>
      <c r="BE320" t="s">
        <v>975</v>
      </c>
      <c r="BF320" s="1" t="s">
        <v>29</v>
      </c>
      <c r="BG320" s="1">
        <v>6</v>
      </c>
      <c r="BH320">
        <v>3</v>
      </c>
      <c r="BI320">
        <v>1</v>
      </c>
      <c r="BK320" s="1"/>
      <c r="BO320">
        <v>1</v>
      </c>
      <c r="BQ320">
        <v>1</v>
      </c>
      <c r="BR320">
        <v>1</v>
      </c>
      <c r="BS320">
        <v>1</v>
      </c>
      <c r="CL320">
        <v>1</v>
      </c>
      <c r="CS320" s="7" t="s">
        <v>980</v>
      </c>
    </row>
    <row r="321" spans="1:97">
      <c r="B321" t="s">
        <v>3969</v>
      </c>
      <c r="C321" s="2" t="s">
        <v>3436</v>
      </c>
      <c r="D321" s="26" t="s">
        <v>192</v>
      </c>
      <c r="E321" s="8" t="s">
        <v>238</v>
      </c>
      <c r="F321" s="8" t="s">
        <v>65</v>
      </c>
      <c r="G321" s="1">
        <v>1</v>
      </c>
      <c r="H321" s="1"/>
      <c r="I321" s="1">
        <f>1803-30</f>
        <v>1773</v>
      </c>
      <c r="J321" t="s">
        <v>69</v>
      </c>
      <c r="K321" t="s">
        <v>3775</v>
      </c>
      <c r="M321">
        <v>1</v>
      </c>
      <c r="Q321">
        <v>5</v>
      </c>
      <c r="R321">
        <v>1</v>
      </c>
      <c r="S321">
        <v>1</v>
      </c>
      <c r="T321" s="5">
        <f t="shared" si="16"/>
        <v>160.85</v>
      </c>
      <c r="U321" t="s">
        <v>3968</v>
      </c>
      <c r="AE321" s="6">
        <v>1</v>
      </c>
      <c r="AF321" s="6">
        <v>1</v>
      </c>
      <c r="AG321" s="6">
        <v>1</v>
      </c>
      <c r="AH321" s="6">
        <v>1</v>
      </c>
      <c r="AI321" s="6">
        <v>1</v>
      </c>
      <c r="AJ321" s="6">
        <v>1</v>
      </c>
      <c r="AK321" s="6">
        <v>1</v>
      </c>
      <c r="AL321" s="14">
        <v>1</v>
      </c>
      <c r="BC321" s="9" t="s">
        <v>3965</v>
      </c>
      <c r="BD321" s="14" t="s">
        <v>338</v>
      </c>
      <c r="BE321" t="s">
        <v>2635</v>
      </c>
      <c r="BF321" s="1" t="s">
        <v>339</v>
      </c>
      <c r="BG321" s="1">
        <v>1</v>
      </c>
      <c r="BH321">
        <v>1</v>
      </c>
      <c r="BK321" s="1">
        <v>1</v>
      </c>
      <c r="BQ321">
        <v>1</v>
      </c>
      <c r="CS321" s="14" t="s">
        <v>3966</v>
      </c>
    </row>
    <row r="322" spans="1:97">
      <c r="B322" t="s">
        <v>2195</v>
      </c>
      <c r="C322" s="2" t="s">
        <v>2196</v>
      </c>
      <c r="D322" s="26" t="s">
        <v>2197</v>
      </c>
      <c r="E322" s="8" t="s">
        <v>696</v>
      </c>
      <c r="F322" s="8" t="s">
        <v>115</v>
      </c>
      <c r="G322" s="1">
        <v>1</v>
      </c>
      <c r="H322" s="1"/>
      <c r="I322" s="1">
        <f>1803-32</f>
        <v>1771</v>
      </c>
      <c r="J322" t="s">
        <v>69</v>
      </c>
      <c r="K322" t="s">
        <v>12</v>
      </c>
      <c r="N322">
        <v>1</v>
      </c>
      <c r="Q322">
        <v>5</v>
      </c>
      <c r="R322">
        <v>2</v>
      </c>
      <c r="S322">
        <v>3</v>
      </c>
      <c r="T322" s="5">
        <f t="shared" si="16"/>
        <v>163.92</v>
      </c>
      <c r="U322" t="s">
        <v>1898</v>
      </c>
      <c r="AE322" s="6">
        <v>1</v>
      </c>
      <c r="AF322" s="6">
        <v>1</v>
      </c>
      <c r="AG322" s="6">
        <v>1</v>
      </c>
      <c r="AH322" s="6">
        <v>1</v>
      </c>
      <c r="AI322" s="6">
        <v>1</v>
      </c>
      <c r="AJ322" s="6">
        <v>1</v>
      </c>
      <c r="AK322" s="6">
        <v>1</v>
      </c>
      <c r="AL322" s="6">
        <v>1</v>
      </c>
      <c r="AM322" s="7">
        <v>1</v>
      </c>
      <c r="BC322" t="s">
        <v>2198</v>
      </c>
      <c r="BD322" s="7" t="s">
        <v>26</v>
      </c>
      <c r="BE322" t="s">
        <v>1502</v>
      </c>
      <c r="BF322" s="1" t="s">
        <v>29</v>
      </c>
      <c r="BG322" s="1">
        <v>3</v>
      </c>
      <c r="BH322">
        <v>1</v>
      </c>
      <c r="BK322" s="1" t="s">
        <v>72</v>
      </c>
      <c r="BQ322">
        <v>1</v>
      </c>
      <c r="CS322" s="7" t="s">
        <v>2199</v>
      </c>
    </row>
    <row r="323" spans="1:97">
      <c r="B323" t="s">
        <v>1895</v>
      </c>
      <c r="C323" s="2" t="s">
        <v>1896</v>
      </c>
      <c r="E323" s="8" t="s">
        <v>696</v>
      </c>
      <c r="F323" s="8" t="s">
        <v>115</v>
      </c>
      <c r="G323" s="1">
        <v>1</v>
      </c>
      <c r="H323" s="1"/>
      <c r="I323" s="1">
        <f>1803-26</f>
        <v>1777</v>
      </c>
      <c r="J323" t="s">
        <v>10</v>
      </c>
      <c r="K323" t="s">
        <v>1897</v>
      </c>
      <c r="Q323">
        <v>5</v>
      </c>
      <c r="R323">
        <v>8</v>
      </c>
      <c r="S323">
        <v>1</v>
      </c>
      <c r="T323" s="5">
        <f t="shared" si="16"/>
        <v>179.26000000000002</v>
      </c>
      <c r="U323" t="s">
        <v>1898</v>
      </c>
      <c r="AE323" s="6">
        <v>1</v>
      </c>
      <c r="AF323" s="6">
        <v>1</v>
      </c>
      <c r="AG323" s="6">
        <v>1</v>
      </c>
      <c r="AH323" s="6">
        <v>1</v>
      </c>
      <c r="AI323" s="6">
        <v>1</v>
      </c>
      <c r="AJ323" s="6">
        <v>1</v>
      </c>
      <c r="AK323" s="6">
        <v>1</v>
      </c>
      <c r="AL323" s="6">
        <v>1</v>
      </c>
      <c r="AM323" s="6">
        <v>1</v>
      </c>
      <c r="AN323" s="7">
        <v>1</v>
      </c>
      <c r="BC323" t="s">
        <v>1899</v>
      </c>
      <c r="BD323" s="7" t="s">
        <v>280</v>
      </c>
      <c r="BE323" t="s">
        <v>1502</v>
      </c>
      <c r="BF323" s="1" t="s">
        <v>29</v>
      </c>
      <c r="BG323" s="1">
        <v>3</v>
      </c>
      <c r="BH323">
        <v>1</v>
      </c>
      <c r="BK323" s="1">
        <v>1</v>
      </c>
      <c r="BQ323">
        <v>1</v>
      </c>
      <c r="CG323">
        <v>1</v>
      </c>
      <c r="CN323">
        <v>1</v>
      </c>
      <c r="CS323" s="7" t="s">
        <v>351</v>
      </c>
    </row>
    <row r="324" spans="1:97">
      <c r="B324" t="s">
        <v>4522</v>
      </c>
      <c r="C324" s="2" t="s">
        <v>3089</v>
      </c>
      <c r="F324" s="8" t="s">
        <v>218</v>
      </c>
      <c r="G324" s="1">
        <v>1</v>
      </c>
      <c r="H324" s="1"/>
      <c r="I324" s="1">
        <f>1802-25</f>
        <v>1777</v>
      </c>
      <c r="J324" t="s">
        <v>10</v>
      </c>
      <c r="K324" t="s">
        <v>900</v>
      </c>
      <c r="Q324">
        <v>5</v>
      </c>
      <c r="T324" s="5">
        <f t="shared" si="16"/>
        <v>158</v>
      </c>
      <c r="U324" t="s">
        <v>3828</v>
      </c>
      <c r="AE324" s="6">
        <v>1</v>
      </c>
      <c r="AF324" s="6">
        <v>1</v>
      </c>
      <c r="AG324" s="6">
        <v>1</v>
      </c>
      <c r="AH324" s="6">
        <v>1</v>
      </c>
      <c r="AI324" s="6">
        <v>1</v>
      </c>
      <c r="AJ324" s="7">
        <v>1</v>
      </c>
      <c r="BC324" t="s">
        <v>4523</v>
      </c>
      <c r="BD324" s="7" t="s">
        <v>26</v>
      </c>
      <c r="BE324" t="s">
        <v>712</v>
      </c>
      <c r="BF324" s="1" t="s">
        <v>29</v>
      </c>
      <c r="BG324" s="1">
        <v>2</v>
      </c>
      <c r="BH324">
        <v>1</v>
      </c>
      <c r="BK324" s="1" t="s">
        <v>72</v>
      </c>
      <c r="BQ324">
        <v>1</v>
      </c>
      <c r="CS324" s="7" t="s">
        <v>4524</v>
      </c>
    </row>
    <row r="325" spans="1:97">
      <c r="B325" t="s">
        <v>3827</v>
      </c>
      <c r="C325" s="2" t="s">
        <v>1336</v>
      </c>
      <c r="D325" s="2" t="s">
        <v>1336</v>
      </c>
      <c r="E325" s="8" t="s">
        <v>837</v>
      </c>
      <c r="F325" s="8" t="s">
        <v>115</v>
      </c>
      <c r="G325" s="1">
        <v>1</v>
      </c>
      <c r="H325" s="1"/>
      <c r="I325" s="1">
        <f>1798-24</f>
        <v>1774</v>
      </c>
      <c r="J325" t="s">
        <v>10</v>
      </c>
      <c r="K325" t="s">
        <v>12</v>
      </c>
      <c r="Q325">
        <v>5</v>
      </c>
      <c r="R325">
        <v>3</v>
      </c>
      <c r="T325" s="5">
        <f>((Q325*316)+(R325*26.3)+(S325*2.2))/10</f>
        <v>165.89000000000001</v>
      </c>
      <c r="U325" t="s">
        <v>3828</v>
      </c>
      <c r="AE325" s="6">
        <v>1</v>
      </c>
      <c r="AF325" s="6">
        <v>1</v>
      </c>
      <c r="BC325">
        <v>1798</v>
      </c>
      <c r="BD325" t="s">
        <v>81</v>
      </c>
      <c r="BE325" t="s">
        <v>118</v>
      </c>
      <c r="BF325" s="1" t="s">
        <v>73</v>
      </c>
      <c r="BG325" s="1">
        <v>2</v>
      </c>
      <c r="BH325">
        <v>2</v>
      </c>
      <c r="BI325">
        <v>1</v>
      </c>
      <c r="BK325" s="1" t="s">
        <v>72</v>
      </c>
      <c r="BQ325">
        <v>1</v>
      </c>
      <c r="CL325">
        <v>1</v>
      </c>
      <c r="CS325" t="s">
        <v>2900</v>
      </c>
    </row>
    <row r="326" spans="1:97">
      <c r="B326" t="s">
        <v>1362</v>
      </c>
      <c r="C326" s="15" t="s">
        <v>349</v>
      </c>
      <c r="F326" s="8" t="s">
        <v>65</v>
      </c>
      <c r="G326" s="1">
        <v>1</v>
      </c>
      <c r="H326" s="1"/>
      <c r="I326" s="1">
        <f>1802-25</f>
        <v>1777</v>
      </c>
      <c r="J326" t="s">
        <v>69</v>
      </c>
      <c r="K326" t="s">
        <v>197</v>
      </c>
      <c r="N326">
        <v>1</v>
      </c>
      <c r="Q326">
        <v>5</v>
      </c>
      <c r="R326">
        <v>7</v>
      </c>
      <c r="S326">
        <v>3</v>
      </c>
      <c r="T326" s="5">
        <f t="shared" si="16"/>
        <v>177.07</v>
      </c>
      <c r="U326" t="s">
        <v>1363</v>
      </c>
      <c r="AE326" s="6">
        <v>1</v>
      </c>
      <c r="AF326" s="6">
        <v>1</v>
      </c>
      <c r="AG326" s="6">
        <v>1</v>
      </c>
      <c r="AH326" s="6">
        <v>1</v>
      </c>
      <c r="AI326" s="6">
        <v>1</v>
      </c>
      <c r="AJ326" s="6">
        <v>1</v>
      </c>
      <c r="AK326" s="6">
        <v>1</v>
      </c>
      <c r="AL326" s="7">
        <v>1</v>
      </c>
      <c r="BC326" t="s">
        <v>1361</v>
      </c>
      <c r="BD326" s="7" t="s">
        <v>103</v>
      </c>
      <c r="BE326" t="s">
        <v>125</v>
      </c>
      <c r="BF326" s="1" t="s">
        <v>29</v>
      </c>
      <c r="BG326" s="1">
        <v>11</v>
      </c>
      <c r="BH326">
        <v>1</v>
      </c>
      <c r="BK326" s="1">
        <v>1</v>
      </c>
      <c r="BQ326">
        <v>1</v>
      </c>
      <c r="CG326">
        <v>1</v>
      </c>
      <c r="CS326" s="7" t="s">
        <v>1398</v>
      </c>
    </row>
    <row r="327" spans="1:97">
      <c r="B327" t="s">
        <v>3973</v>
      </c>
      <c r="C327" s="2" t="s">
        <v>1765</v>
      </c>
      <c r="D327" s="26"/>
      <c r="E327" s="8" t="s">
        <v>1381</v>
      </c>
      <c r="F327" s="8" t="s">
        <v>115</v>
      </c>
      <c r="G327" s="1">
        <v>1</v>
      </c>
      <c r="H327" s="1"/>
      <c r="I327" s="1">
        <f>1803-24</f>
        <v>1779</v>
      </c>
      <c r="J327" t="s">
        <v>10</v>
      </c>
      <c r="K327" t="s">
        <v>197</v>
      </c>
      <c r="Q327">
        <v>5</v>
      </c>
      <c r="R327">
        <v>4</v>
      </c>
      <c r="S327">
        <v>2</v>
      </c>
      <c r="T327" s="5">
        <f t="shared" si="16"/>
        <v>168.96</v>
      </c>
      <c r="U327" t="s">
        <v>1363</v>
      </c>
      <c r="AE327" s="6">
        <v>1</v>
      </c>
      <c r="AF327" s="6">
        <v>1</v>
      </c>
      <c r="AG327" s="6">
        <v>1</v>
      </c>
      <c r="AH327" s="6">
        <v>1</v>
      </c>
      <c r="AI327" s="6">
        <v>1</v>
      </c>
      <c r="AJ327" s="6">
        <v>1</v>
      </c>
      <c r="AK327" s="6">
        <v>1</v>
      </c>
      <c r="AL327" s="14">
        <v>1</v>
      </c>
      <c r="BC327" s="9" t="s">
        <v>3965</v>
      </c>
      <c r="BD327" s="14" t="s">
        <v>338</v>
      </c>
      <c r="BE327" t="s">
        <v>2635</v>
      </c>
      <c r="BF327" s="1" t="s">
        <v>339</v>
      </c>
      <c r="BG327" s="1">
        <v>3</v>
      </c>
      <c r="BH327">
        <v>2</v>
      </c>
      <c r="BK327" s="1">
        <v>1</v>
      </c>
      <c r="BQ327">
        <v>1</v>
      </c>
      <c r="CL327">
        <v>1</v>
      </c>
      <c r="CS327" s="14" t="s">
        <v>3966</v>
      </c>
    </row>
    <row r="328" spans="1:97">
      <c r="B328" t="s">
        <v>4601</v>
      </c>
      <c r="C328" s="2" t="s">
        <v>4600</v>
      </c>
      <c r="D328" s="2" t="s">
        <v>145</v>
      </c>
      <c r="E328" s="8" t="s">
        <v>146</v>
      </c>
      <c r="F328" s="8" t="s">
        <v>65</v>
      </c>
      <c r="G328" s="1">
        <v>1</v>
      </c>
      <c r="H328" s="1"/>
      <c r="I328" s="1">
        <f>1804-34</f>
        <v>1770</v>
      </c>
      <c r="J328" t="s">
        <v>69</v>
      </c>
      <c r="K328" t="s">
        <v>12</v>
      </c>
      <c r="N328">
        <v>1</v>
      </c>
      <c r="Q328">
        <v>5</v>
      </c>
      <c r="R328">
        <v>2</v>
      </c>
      <c r="T328" s="5">
        <f t="shared" si="16"/>
        <v>163.26</v>
      </c>
      <c r="U328" t="s">
        <v>2792</v>
      </c>
      <c r="AE328" s="6">
        <v>1</v>
      </c>
      <c r="AF328" s="6">
        <v>1</v>
      </c>
      <c r="AG328" s="6">
        <v>1</v>
      </c>
      <c r="AH328" s="6">
        <v>1</v>
      </c>
      <c r="AI328" s="6">
        <v>1</v>
      </c>
      <c r="AJ328" s="6">
        <v>1</v>
      </c>
      <c r="AK328" s="6">
        <v>1</v>
      </c>
      <c r="AL328" s="6">
        <v>1</v>
      </c>
      <c r="AM328" s="6">
        <v>1</v>
      </c>
      <c r="AN328" s="7">
        <v>1</v>
      </c>
      <c r="BC328" t="s">
        <v>1501</v>
      </c>
      <c r="BD328" s="7" t="s">
        <v>109</v>
      </c>
      <c r="BE328" t="s">
        <v>712</v>
      </c>
      <c r="BF328" s="1" t="s">
        <v>29</v>
      </c>
      <c r="BG328" s="1">
        <v>3</v>
      </c>
      <c r="BH328">
        <v>1</v>
      </c>
      <c r="BK328" s="1" t="s">
        <v>72</v>
      </c>
      <c r="BQ328">
        <v>1</v>
      </c>
      <c r="CL328">
        <v>1</v>
      </c>
      <c r="CS328" s="7" t="s">
        <v>354</v>
      </c>
    </row>
    <row r="329" spans="1:97">
      <c r="B329" t="s">
        <v>3728</v>
      </c>
      <c r="C329" s="2" t="s">
        <v>3195</v>
      </c>
      <c r="D329" s="2" t="s">
        <v>3195</v>
      </c>
      <c r="E329" s="8" t="s">
        <v>832</v>
      </c>
      <c r="F329" s="8" t="s">
        <v>65</v>
      </c>
      <c r="G329" s="1">
        <v>1</v>
      </c>
      <c r="H329" s="1"/>
      <c r="I329" s="1">
        <f>1797-18</f>
        <v>1779</v>
      </c>
      <c r="J329" t="s">
        <v>10</v>
      </c>
      <c r="K329" t="s">
        <v>12</v>
      </c>
      <c r="Q329">
        <v>5</v>
      </c>
      <c r="R329">
        <v>2</v>
      </c>
      <c r="T329" s="5">
        <f>((Q329*316)+(R329*26.3)+(S329*2.2))/10</f>
        <v>163.26</v>
      </c>
      <c r="U329" t="s">
        <v>2792</v>
      </c>
      <c r="AE329" s="6">
        <v>1</v>
      </c>
      <c r="AF329" s="6">
        <v>1</v>
      </c>
      <c r="AG329" s="6">
        <v>1</v>
      </c>
      <c r="AH329" s="6">
        <v>1</v>
      </c>
      <c r="BC329">
        <v>1800</v>
      </c>
      <c r="BD329" t="s">
        <v>81</v>
      </c>
      <c r="BE329" s="10" t="s">
        <v>2407</v>
      </c>
      <c r="BF329" s="1" t="s">
        <v>73</v>
      </c>
      <c r="BG329" s="1">
        <v>2</v>
      </c>
      <c r="BH329">
        <v>2</v>
      </c>
      <c r="BK329" s="1">
        <v>1</v>
      </c>
      <c r="BQ329">
        <v>1</v>
      </c>
      <c r="CL329" s="10">
        <v>1</v>
      </c>
      <c r="CS329" s="10" t="s">
        <v>2778</v>
      </c>
    </row>
    <row r="330" spans="1:97">
      <c r="B330" t="s">
        <v>2791</v>
      </c>
      <c r="C330" s="2" t="s">
        <v>208</v>
      </c>
      <c r="D330" s="2" t="s">
        <v>208</v>
      </c>
      <c r="E330" s="8" t="s">
        <v>832</v>
      </c>
      <c r="F330" s="8" t="s">
        <v>65</v>
      </c>
      <c r="G330" s="1">
        <v>1</v>
      </c>
      <c r="H330" s="1"/>
      <c r="I330" s="1">
        <f>1797-40</f>
        <v>1757</v>
      </c>
      <c r="J330" t="s">
        <v>10</v>
      </c>
      <c r="K330" t="s">
        <v>12</v>
      </c>
      <c r="Q330">
        <v>5</v>
      </c>
      <c r="R330">
        <v>3</v>
      </c>
      <c r="T330" s="5">
        <f t="shared" si="16"/>
        <v>165.89000000000001</v>
      </c>
      <c r="U330" t="s">
        <v>2792</v>
      </c>
      <c r="AE330" s="6">
        <v>1</v>
      </c>
      <c r="BC330">
        <v>1797</v>
      </c>
      <c r="BD330" t="s">
        <v>81</v>
      </c>
      <c r="BE330" s="10" t="s">
        <v>2407</v>
      </c>
      <c r="BF330" s="1" t="s">
        <v>73</v>
      </c>
      <c r="BG330" s="1">
        <v>1</v>
      </c>
      <c r="BH330">
        <v>2</v>
      </c>
      <c r="BK330" s="1">
        <v>1</v>
      </c>
      <c r="BQ330">
        <v>1</v>
      </c>
      <c r="CL330" s="10">
        <v>1</v>
      </c>
      <c r="CS330" s="10" t="s">
        <v>2778</v>
      </c>
    </row>
    <row r="331" spans="1:97">
      <c r="B331" t="s">
        <v>3194</v>
      </c>
      <c r="C331" s="2" t="s">
        <v>3195</v>
      </c>
      <c r="D331" s="2" t="s">
        <v>3195</v>
      </c>
      <c r="E331" s="8" t="s">
        <v>832</v>
      </c>
      <c r="F331" s="8" t="s">
        <v>65</v>
      </c>
      <c r="G331" s="1">
        <v>1</v>
      </c>
      <c r="H331" s="1"/>
      <c r="I331" s="1">
        <f>1797-18</f>
        <v>1779</v>
      </c>
      <c r="J331" t="s">
        <v>10</v>
      </c>
      <c r="K331" t="s">
        <v>12</v>
      </c>
      <c r="Q331">
        <v>5</v>
      </c>
      <c r="R331">
        <v>1</v>
      </c>
      <c r="S331">
        <v>2</v>
      </c>
      <c r="T331" s="5">
        <f t="shared" si="16"/>
        <v>161.07</v>
      </c>
      <c r="U331" t="s">
        <v>2792</v>
      </c>
      <c r="AE331" s="6">
        <v>1</v>
      </c>
      <c r="AF331" s="6">
        <v>1</v>
      </c>
      <c r="AG331" s="7">
        <v>1</v>
      </c>
      <c r="BC331" t="s">
        <v>3196</v>
      </c>
      <c r="BD331" s="7" t="s">
        <v>260</v>
      </c>
      <c r="BE331" t="s">
        <v>2407</v>
      </c>
      <c r="BF331" s="1" t="s">
        <v>29</v>
      </c>
      <c r="BG331" s="1">
        <v>4</v>
      </c>
      <c r="BH331">
        <v>1</v>
      </c>
      <c r="BK331" s="1">
        <v>1</v>
      </c>
      <c r="BQ331">
        <v>1</v>
      </c>
      <c r="CS331" s="7" t="s">
        <v>4010</v>
      </c>
    </row>
    <row r="332" spans="1:97">
      <c r="B332" t="s">
        <v>4005</v>
      </c>
      <c r="C332" s="13" t="s">
        <v>4006</v>
      </c>
      <c r="D332" s="13" t="s">
        <v>4006</v>
      </c>
      <c r="E332" s="8" t="s">
        <v>740</v>
      </c>
      <c r="F332" s="8" t="s">
        <v>65</v>
      </c>
      <c r="G332" s="1">
        <v>1</v>
      </c>
      <c r="H332" s="1"/>
      <c r="I332" s="1">
        <f>1803-28</f>
        <v>1775</v>
      </c>
      <c r="J332" t="s">
        <v>10</v>
      </c>
      <c r="K332" t="s">
        <v>12</v>
      </c>
      <c r="Q332">
        <v>5</v>
      </c>
      <c r="R332">
        <v>2</v>
      </c>
      <c r="T332" s="5">
        <f t="shared" si="16"/>
        <v>163.26</v>
      </c>
      <c r="U332" t="s">
        <v>4007</v>
      </c>
      <c r="AE332" s="6">
        <v>1</v>
      </c>
      <c r="AF332" s="6">
        <v>1</v>
      </c>
      <c r="AG332" s="6">
        <v>1</v>
      </c>
      <c r="AH332" s="6">
        <v>1</v>
      </c>
      <c r="AI332" s="6">
        <v>1</v>
      </c>
      <c r="AJ332" s="6">
        <v>1</v>
      </c>
      <c r="AK332" s="6">
        <v>1</v>
      </c>
      <c r="AL332" s="6">
        <v>1</v>
      </c>
      <c r="AM332" s="7">
        <v>1</v>
      </c>
      <c r="BC332" t="s">
        <v>4008</v>
      </c>
      <c r="BD332" s="7" t="s">
        <v>305</v>
      </c>
      <c r="BE332" t="s">
        <v>2635</v>
      </c>
      <c r="BF332" s="1" t="s">
        <v>29</v>
      </c>
      <c r="BG332" s="1">
        <v>4</v>
      </c>
      <c r="BH332">
        <v>1</v>
      </c>
      <c r="BK332" s="1">
        <v>1</v>
      </c>
      <c r="BQ332">
        <v>1</v>
      </c>
      <c r="CM332">
        <v>1</v>
      </c>
      <c r="CS332" s="7" t="s">
        <v>4009</v>
      </c>
    </row>
    <row r="333" spans="1:97">
      <c r="B333" t="s">
        <v>2855</v>
      </c>
      <c r="C333" s="2" t="s">
        <v>1427</v>
      </c>
      <c r="D333" s="26" t="s">
        <v>2856</v>
      </c>
      <c r="E333" s="8" t="s">
        <v>238</v>
      </c>
      <c r="F333" s="8" t="s">
        <v>65</v>
      </c>
      <c r="G333" s="1">
        <v>1</v>
      </c>
      <c r="H333" s="1"/>
      <c r="I333" s="1">
        <f>1804-27</f>
        <v>1777</v>
      </c>
      <c r="J333" t="s">
        <v>10</v>
      </c>
      <c r="K333" t="s">
        <v>2857</v>
      </c>
      <c r="Q333">
        <v>5</v>
      </c>
      <c r="R333">
        <v>1</v>
      </c>
      <c r="S333">
        <v>3</v>
      </c>
      <c r="T333" s="5">
        <f t="shared" si="16"/>
        <v>161.29</v>
      </c>
      <c r="U333" t="s">
        <v>323</v>
      </c>
      <c r="AE333" s="6">
        <v>1</v>
      </c>
      <c r="AF333" s="6">
        <v>1</v>
      </c>
      <c r="AG333" s="6">
        <v>1</v>
      </c>
      <c r="AH333" s="6">
        <v>1</v>
      </c>
      <c r="AI333" s="6">
        <v>1</v>
      </c>
      <c r="AJ333" s="6">
        <v>1</v>
      </c>
      <c r="AK333" s="6">
        <v>1</v>
      </c>
      <c r="AL333" s="6">
        <v>1</v>
      </c>
      <c r="AM333" s="6">
        <v>1</v>
      </c>
      <c r="AN333" s="7">
        <v>1</v>
      </c>
      <c r="BC333" t="s">
        <v>2830</v>
      </c>
      <c r="BD333" s="7" t="s">
        <v>109</v>
      </c>
      <c r="BE333" t="s">
        <v>2005</v>
      </c>
      <c r="BF333" s="1" t="s">
        <v>73</v>
      </c>
      <c r="BG333" s="1">
        <v>6</v>
      </c>
      <c r="BH333">
        <v>1</v>
      </c>
      <c r="BK333" s="1">
        <v>1</v>
      </c>
      <c r="BQ333">
        <v>1</v>
      </c>
      <c r="CM333">
        <v>1</v>
      </c>
      <c r="CS333" s="7" t="s">
        <v>354</v>
      </c>
    </row>
    <row r="334" spans="1:97">
      <c r="B334" t="s">
        <v>3178</v>
      </c>
      <c r="C334" s="2" t="s">
        <v>1328</v>
      </c>
      <c r="D334" s="2" t="s">
        <v>1328</v>
      </c>
      <c r="E334" s="8" t="s">
        <v>832</v>
      </c>
      <c r="F334" t="s">
        <v>65</v>
      </c>
      <c r="G334" s="1">
        <v>1</v>
      </c>
      <c r="H334" s="1"/>
      <c r="I334" s="1">
        <f>1797-34</f>
        <v>1763</v>
      </c>
      <c r="J334" t="s">
        <v>69</v>
      </c>
      <c r="K334" t="s">
        <v>12</v>
      </c>
      <c r="Q334">
        <v>5</v>
      </c>
      <c r="R334">
        <v>3</v>
      </c>
      <c r="T334" s="5">
        <f t="shared" si="16"/>
        <v>165.89000000000001</v>
      </c>
      <c r="U334" t="s">
        <v>323</v>
      </c>
      <c r="AE334" s="6">
        <v>1</v>
      </c>
      <c r="AF334" s="6">
        <v>1</v>
      </c>
      <c r="BC334">
        <v>1798</v>
      </c>
      <c r="BD334" t="s">
        <v>81</v>
      </c>
      <c r="BE334" t="s">
        <v>118</v>
      </c>
      <c r="BF334" s="1" t="s">
        <v>73</v>
      </c>
      <c r="BG334" s="1">
        <v>3</v>
      </c>
      <c r="BH334">
        <v>2</v>
      </c>
      <c r="BI334">
        <v>1</v>
      </c>
      <c r="BK334" s="1">
        <v>1</v>
      </c>
      <c r="BQ334">
        <v>1</v>
      </c>
      <c r="CL334">
        <v>1</v>
      </c>
      <c r="CS334" t="s">
        <v>2900</v>
      </c>
    </row>
    <row r="335" spans="1:97">
      <c r="A335" t="s">
        <v>72</v>
      </c>
      <c r="B335" t="s">
        <v>325</v>
      </c>
      <c r="C335" s="15"/>
      <c r="F335" t="s">
        <v>7</v>
      </c>
      <c r="G335" s="1"/>
      <c r="H335" s="1"/>
      <c r="I335" s="1"/>
      <c r="T335" s="5"/>
      <c r="U335" t="s">
        <v>323</v>
      </c>
      <c r="AE335" s="6">
        <v>1</v>
      </c>
      <c r="AF335" s="6">
        <v>1</v>
      </c>
      <c r="AG335" s="6">
        <v>1</v>
      </c>
      <c r="AH335" s="6">
        <v>1</v>
      </c>
      <c r="AI335" s="7">
        <v>1</v>
      </c>
      <c r="BC335" t="s">
        <v>324</v>
      </c>
      <c r="BD335" s="7" t="s">
        <v>109</v>
      </c>
      <c r="BE335" t="s">
        <v>125</v>
      </c>
      <c r="BF335" s="1" t="s">
        <v>29</v>
      </c>
      <c r="BG335" s="1">
        <v>4</v>
      </c>
      <c r="BH335">
        <v>1</v>
      </c>
      <c r="BK335" s="1">
        <v>1</v>
      </c>
      <c r="BQ335">
        <v>1</v>
      </c>
      <c r="CS335" s="7" t="s">
        <v>1763</v>
      </c>
    </row>
    <row r="336" spans="1:97">
      <c r="B336" t="s">
        <v>3964</v>
      </c>
      <c r="C336" s="2" t="s">
        <v>2902</v>
      </c>
      <c r="D336" s="26" t="s">
        <v>3963</v>
      </c>
      <c r="E336" s="8" t="s">
        <v>238</v>
      </c>
      <c r="F336" s="8" t="s">
        <v>65</v>
      </c>
      <c r="G336" s="1">
        <v>1</v>
      </c>
      <c r="H336" s="1"/>
      <c r="I336" s="1">
        <f>1803-27</f>
        <v>1776</v>
      </c>
      <c r="J336" t="s">
        <v>10</v>
      </c>
      <c r="K336" t="s">
        <v>12</v>
      </c>
      <c r="Q336">
        <v>5</v>
      </c>
      <c r="R336">
        <v>2</v>
      </c>
      <c r="S336">
        <v>3</v>
      </c>
      <c r="T336" s="5">
        <f t="shared" ref="T336" si="18">((Q336*316)+(R336*26.3)+(S336*2.2))/10</f>
        <v>163.92</v>
      </c>
      <c r="U336" t="s">
        <v>323</v>
      </c>
      <c r="AE336" s="6">
        <v>1</v>
      </c>
      <c r="AF336" s="6">
        <v>1</v>
      </c>
      <c r="AG336" s="6">
        <v>1</v>
      </c>
      <c r="AH336" s="6">
        <v>1</v>
      </c>
      <c r="AI336" s="6">
        <v>1</v>
      </c>
      <c r="AJ336" s="6">
        <v>1</v>
      </c>
      <c r="AK336" s="6">
        <v>1</v>
      </c>
      <c r="AL336" s="14">
        <v>1</v>
      </c>
      <c r="BC336" s="9" t="s">
        <v>3965</v>
      </c>
      <c r="BD336" s="14" t="s">
        <v>338</v>
      </c>
      <c r="BE336" t="s">
        <v>2635</v>
      </c>
      <c r="BF336" s="1" t="s">
        <v>339</v>
      </c>
      <c r="BG336" s="1">
        <v>1</v>
      </c>
      <c r="BH336">
        <v>1</v>
      </c>
      <c r="BK336" s="1">
        <v>1</v>
      </c>
      <c r="BQ336">
        <v>1</v>
      </c>
      <c r="CS336" s="14" t="s">
        <v>3966</v>
      </c>
    </row>
    <row r="337" spans="1:98">
      <c r="B337" t="s">
        <v>3206</v>
      </c>
      <c r="C337" s="2" t="s">
        <v>2924</v>
      </c>
      <c r="D337" s="2" t="s">
        <v>2924</v>
      </c>
      <c r="E337" s="8" t="s">
        <v>599</v>
      </c>
      <c r="F337" s="8" t="s">
        <v>357</v>
      </c>
      <c r="G337" s="1">
        <v>1</v>
      </c>
      <c r="H337" s="1"/>
      <c r="I337" s="1">
        <f>1797-18</f>
        <v>1779</v>
      </c>
      <c r="J337" t="s">
        <v>10</v>
      </c>
      <c r="K337" t="s">
        <v>12</v>
      </c>
      <c r="Q337">
        <v>5</v>
      </c>
      <c r="R337">
        <v>3</v>
      </c>
      <c r="S337">
        <v>3</v>
      </c>
      <c r="T337" s="5">
        <f t="shared" ref="T337:T349" si="19">((Q337*316)+(R337*26.3)+(S337*2.2))/10</f>
        <v>166.55</v>
      </c>
      <c r="U337" t="s">
        <v>323</v>
      </c>
      <c r="AE337" s="6">
        <v>1</v>
      </c>
      <c r="AF337" s="6">
        <v>1</v>
      </c>
      <c r="AG337" s="6">
        <v>1</v>
      </c>
      <c r="AH337" s="6">
        <v>1</v>
      </c>
      <c r="AI337" s="6">
        <v>1</v>
      </c>
      <c r="AJ337" s="7">
        <v>1</v>
      </c>
      <c r="BC337" t="s">
        <v>3207</v>
      </c>
      <c r="BD337" s="7" t="s">
        <v>103</v>
      </c>
      <c r="BE337" t="s">
        <v>2407</v>
      </c>
      <c r="BF337" s="1" t="s">
        <v>29</v>
      </c>
      <c r="BG337" s="1">
        <v>5</v>
      </c>
      <c r="BH337">
        <v>1</v>
      </c>
      <c r="BK337" s="1">
        <v>1</v>
      </c>
      <c r="BQ337">
        <v>1</v>
      </c>
      <c r="CF337">
        <v>1</v>
      </c>
      <c r="CS337" s="7" t="s">
        <v>1066</v>
      </c>
    </row>
    <row r="338" spans="1:98">
      <c r="B338" t="s">
        <v>4586</v>
      </c>
      <c r="C338" s="2" t="s">
        <v>4587</v>
      </c>
      <c r="D338" s="2" t="s">
        <v>4588</v>
      </c>
      <c r="E338" s="8" t="s">
        <v>146</v>
      </c>
      <c r="F338" s="8" t="s">
        <v>65</v>
      </c>
      <c r="G338" s="1">
        <v>1</v>
      </c>
      <c r="H338" s="1"/>
      <c r="I338" s="1">
        <f>1804-26</f>
        <v>1778</v>
      </c>
      <c r="J338" t="s">
        <v>10</v>
      </c>
      <c r="K338" t="s">
        <v>12</v>
      </c>
      <c r="Q338">
        <v>5</v>
      </c>
      <c r="R338">
        <v>2</v>
      </c>
      <c r="T338" s="5">
        <f t="shared" si="19"/>
        <v>163.26</v>
      </c>
      <c r="U338" t="s">
        <v>323</v>
      </c>
      <c r="AE338" s="6">
        <v>1</v>
      </c>
      <c r="AF338" s="6">
        <v>1</v>
      </c>
      <c r="AG338" s="6">
        <v>1</v>
      </c>
      <c r="AH338" s="6">
        <v>1</v>
      </c>
      <c r="AI338" s="6">
        <v>1</v>
      </c>
      <c r="AJ338" s="6">
        <v>1</v>
      </c>
      <c r="AK338" s="6">
        <v>1</v>
      </c>
      <c r="AL338" s="6">
        <v>1</v>
      </c>
      <c r="AM338" s="6">
        <v>1</v>
      </c>
      <c r="AN338" s="7">
        <v>1</v>
      </c>
      <c r="BC338" t="s">
        <v>1501</v>
      </c>
      <c r="BD338" s="7" t="s">
        <v>109</v>
      </c>
      <c r="BE338" t="s">
        <v>712</v>
      </c>
      <c r="BF338" s="1" t="s">
        <v>29</v>
      </c>
      <c r="BG338" s="1">
        <v>3</v>
      </c>
      <c r="BH338">
        <v>2</v>
      </c>
      <c r="BK338" s="1" t="s">
        <v>72</v>
      </c>
      <c r="BQ338">
        <v>1</v>
      </c>
      <c r="CL338">
        <v>1</v>
      </c>
      <c r="CS338" s="7" t="s">
        <v>354</v>
      </c>
    </row>
    <row r="339" spans="1:98">
      <c r="B339" t="s">
        <v>3210</v>
      </c>
      <c r="C339" s="2" t="s">
        <v>356</v>
      </c>
      <c r="D339" s="2" t="s">
        <v>3146</v>
      </c>
      <c r="E339" s="8" t="s">
        <v>546</v>
      </c>
      <c r="F339" s="8" t="s">
        <v>357</v>
      </c>
      <c r="G339" s="1">
        <v>1</v>
      </c>
      <c r="H339" s="1"/>
      <c r="I339" s="1">
        <f>1797-22</f>
        <v>1775</v>
      </c>
      <c r="J339" t="s">
        <v>10</v>
      </c>
      <c r="K339" t="s">
        <v>12</v>
      </c>
      <c r="Q339">
        <v>5</v>
      </c>
      <c r="R339">
        <v>3</v>
      </c>
      <c r="S339">
        <v>3</v>
      </c>
      <c r="T339" s="5">
        <f t="shared" si="19"/>
        <v>166.55</v>
      </c>
      <c r="U339" t="s">
        <v>323</v>
      </c>
      <c r="AE339" s="6">
        <v>1</v>
      </c>
      <c r="AF339" s="6">
        <v>1</v>
      </c>
      <c r="AG339" s="6">
        <v>1</v>
      </c>
      <c r="AH339" s="6">
        <v>1</v>
      </c>
      <c r="AI339" s="6">
        <v>1</v>
      </c>
      <c r="AJ339" s="7">
        <v>1</v>
      </c>
      <c r="BC339" t="s">
        <v>3168</v>
      </c>
      <c r="BD339" s="7" t="s">
        <v>103</v>
      </c>
      <c r="BE339" t="s">
        <v>2407</v>
      </c>
      <c r="BF339" s="1" t="s">
        <v>29</v>
      </c>
      <c r="BG339" s="1">
        <v>2</v>
      </c>
      <c r="BH339">
        <v>1</v>
      </c>
      <c r="BK339" s="1">
        <v>1</v>
      </c>
      <c r="BQ339">
        <v>1</v>
      </c>
      <c r="CS339" s="7" t="s">
        <v>1066</v>
      </c>
    </row>
    <row r="340" spans="1:98">
      <c r="B340" t="s">
        <v>3950</v>
      </c>
      <c r="C340" s="2" t="s">
        <v>237</v>
      </c>
      <c r="D340" s="26" t="s">
        <v>3951</v>
      </c>
      <c r="E340" s="8" t="s">
        <v>238</v>
      </c>
      <c r="F340" s="8" t="s">
        <v>65</v>
      </c>
      <c r="G340" s="1">
        <v>1</v>
      </c>
      <c r="H340" s="1"/>
      <c r="I340" s="1">
        <f>1803-27</f>
        <v>1776</v>
      </c>
      <c r="J340" t="s">
        <v>10</v>
      </c>
      <c r="K340" t="s">
        <v>12</v>
      </c>
      <c r="Q340">
        <v>5</v>
      </c>
      <c r="R340">
        <v>3</v>
      </c>
      <c r="T340" s="5">
        <f t="shared" si="19"/>
        <v>165.89000000000001</v>
      </c>
      <c r="U340" t="s">
        <v>323</v>
      </c>
      <c r="AE340" s="6">
        <v>1</v>
      </c>
      <c r="AF340" s="6">
        <v>1</v>
      </c>
      <c r="AG340" s="6">
        <v>1</v>
      </c>
      <c r="AH340" s="6">
        <v>1</v>
      </c>
      <c r="AI340" s="6">
        <v>1</v>
      </c>
      <c r="AJ340" s="6">
        <v>1</v>
      </c>
      <c r="AK340" s="6">
        <v>1</v>
      </c>
      <c r="AL340" s="6">
        <v>1</v>
      </c>
      <c r="AM340" s="7">
        <v>1</v>
      </c>
      <c r="BC340" t="s">
        <v>1329</v>
      </c>
      <c r="BD340" s="7" t="s">
        <v>280</v>
      </c>
      <c r="BE340" t="s">
        <v>2635</v>
      </c>
      <c r="BF340" s="1" t="s">
        <v>29</v>
      </c>
      <c r="BG340" s="1">
        <v>2</v>
      </c>
      <c r="BH340">
        <v>1</v>
      </c>
      <c r="BK340" s="1">
        <v>1</v>
      </c>
      <c r="BQ340">
        <v>1</v>
      </c>
      <c r="CF340" s="6">
        <v>1</v>
      </c>
      <c r="CN340">
        <v>1</v>
      </c>
      <c r="CS340" s="7" t="s">
        <v>947</v>
      </c>
      <c r="CT340" s="6" t="s">
        <v>3655</v>
      </c>
    </row>
    <row r="341" spans="1:98">
      <c r="B341" t="s">
        <v>2869</v>
      </c>
      <c r="C341" s="2" t="s">
        <v>2766</v>
      </c>
      <c r="D341" s="2" t="s">
        <v>2766</v>
      </c>
      <c r="E341" s="8" t="s">
        <v>238</v>
      </c>
      <c r="F341" s="8" t="s">
        <v>65</v>
      </c>
      <c r="G341" s="1">
        <v>1</v>
      </c>
      <c r="H341" s="1"/>
      <c r="I341" s="1">
        <f>1804-29</f>
        <v>1775</v>
      </c>
      <c r="J341" t="s">
        <v>10</v>
      </c>
      <c r="K341" t="s">
        <v>12</v>
      </c>
      <c r="Q341">
        <v>5</v>
      </c>
      <c r="R341">
        <v>1</v>
      </c>
      <c r="T341" s="5">
        <f t="shared" si="19"/>
        <v>160.63</v>
      </c>
      <c r="U341" t="s">
        <v>323</v>
      </c>
      <c r="AE341" s="6">
        <v>1</v>
      </c>
      <c r="AF341" s="6">
        <v>1</v>
      </c>
      <c r="AG341" s="6">
        <v>1</v>
      </c>
      <c r="AH341" s="6">
        <v>1</v>
      </c>
      <c r="AI341" s="6">
        <v>1</v>
      </c>
      <c r="AJ341" s="6">
        <v>1</v>
      </c>
      <c r="AK341" s="6">
        <v>1</v>
      </c>
      <c r="AL341" s="6">
        <v>1</v>
      </c>
      <c r="AM341" s="7">
        <v>1</v>
      </c>
      <c r="BC341" t="s">
        <v>1076</v>
      </c>
      <c r="BD341" s="7" t="s">
        <v>103</v>
      </c>
      <c r="BE341" t="s">
        <v>2005</v>
      </c>
      <c r="BF341" s="1" t="s">
        <v>29</v>
      </c>
      <c r="BG341" s="1">
        <v>4</v>
      </c>
      <c r="BH341">
        <v>1</v>
      </c>
      <c r="BK341" s="1">
        <v>1</v>
      </c>
      <c r="BQ341">
        <v>1</v>
      </c>
      <c r="CM341">
        <v>1</v>
      </c>
      <c r="CS341" s="7" t="s">
        <v>2870</v>
      </c>
    </row>
    <row r="342" spans="1:98">
      <c r="B342" t="s">
        <v>2846</v>
      </c>
      <c r="C342" s="2" t="s">
        <v>976</v>
      </c>
      <c r="D342" s="2" t="s">
        <v>976</v>
      </c>
      <c r="E342" s="8" t="s">
        <v>832</v>
      </c>
      <c r="F342" s="8" t="s">
        <v>65</v>
      </c>
      <c r="G342" s="1">
        <v>1</v>
      </c>
      <c r="H342" s="1"/>
      <c r="I342" s="1">
        <f>1804-32</f>
        <v>1772</v>
      </c>
      <c r="J342" t="s">
        <v>10</v>
      </c>
      <c r="K342" t="s">
        <v>12</v>
      </c>
      <c r="Q342">
        <v>5</v>
      </c>
      <c r="T342" s="5">
        <f t="shared" si="19"/>
        <v>158</v>
      </c>
      <c r="U342" t="s">
        <v>323</v>
      </c>
      <c r="AE342" s="6">
        <v>1</v>
      </c>
      <c r="AF342" s="6">
        <v>1</v>
      </c>
      <c r="AG342" s="6">
        <v>1</v>
      </c>
      <c r="AH342" s="6">
        <v>1</v>
      </c>
      <c r="AI342" s="6">
        <v>1</v>
      </c>
      <c r="AJ342" s="6">
        <v>1</v>
      </c>
      <c r="AK342" s="6">
        <v>1</v>
      </c>
      <c r="AL342" s="6">
        <v>1</v>
      </c>
      <c r="AM342" s="6">
        <v>1</v>
      </c>
      <c r="AN342" s="7">
        <v>1</v>
      </c>
      <c r="BC342" t="s">
        <v>2847</v>
      </c>
      <c r="BD342" s="7" t="s">
        <v>103</v>
      </c>
      <c r="BE342" t="s">
        <v>2005</v>
      </c>
      <c r="BF342" s="1" t="s">
        <v>29</v>
      </c>
      <c r="BG342" s="1">
        <v>4</v>
      </c>
      <c r="BH342">
        <v>2</v>
      </c>
      <c r="BK342" s="1">
        <v>1</v>
      </c>
      <c r="BQ342">
        <v>1</v>
      </c>
      <c r="CC342">
        <v>1</v>
      </c>
      <c r="CL342">
        <v>1</v>
      </c>
      <c r="CS342" s="7" t="s">
        <v>1747</v>
      </c>
    </row>
    <row r="343" spans="1:98">
      <c r="B343" t="s">
        <v>2793</v>
      </c>
      <c r="C343" s="2" t="s">
        <v>831</v>
      </c>
      <c r="D343" s="2" t="s">
        <v>831</v>
      </c>
      <c r="E343" s="8" t="s">
        <v>832</v>
      </c>
      <c r="F343" s="8" t="s">
        <v>65</v>
      </c>
      <c r="G343" s="1">
        <v>1</v>
      </c>
      <c r="H343" s="1"/>
      <c r="I343" s="1">
        <f>1797-19</f>
        <v>1778</v>
      </c>
      <c r="J343" t="s">
        <v>10</v>
      </c>
      <c r="K343" t="s">
        <v>12</v>
      </c>
      <c r="Q343">
        <v>5</v>
      </c>
      <c r="R343">
        <v>3</v>
      </c>
      <c r="S343">
        <v>1</v>
      </c>
      <c r="T343" s="5">
        <f t="shared" si="19"/>
        <v>166.11</v>
      </c>
      <c r="U343" t="s">
        <v>2776</v>
      </c>
      <c r="AE343" s="6">
        <v>1</v>
      </c>
      <c r="BC343">
        <v>1797</v>
      </c>
      <c r="BD343" t="s">
        <v>81</v>
      </c>
      <c r="BE343" s="10" t="s">
        <v>2407</v>
      </c>
      <c r="BF343" s="1" t="s">
        <v>73</v>
      </c>
      <c r="BG343" s="1">
        <v>1</v>
      </c>
      <c r="BH343">
        <v>1</v>
      </c>
      <c r="BK343" s="1">
        <v>1</v>
      </c>
      <c r="BQ343">
        <v>1</v>
      </c>
      <c r="CL343" s="10">
        <v>1</v>
      </c>
      <c r="CS343" s="10" t="s">
        <v>2778</v>
      </c>
    </row>
    <row r="344" spans="1:98">
      <c r="B344" t="s">
        <v>2871</v>
      </c>
      <c r="C344" s="2" t="s">
        <v>1500</v>
      </c>
      <c r="D344" s="2" t="s">
        <v>1500</v>
      </c>
      <c r="E344" s="8" t="s">
        <v>238</v>
      </c>
      <c r="F344" s="8" t="s">
        <v>65</v>
      </c>
      <c r="G344" s="1">
        <v>1</v>
      </c>
      <c r="H344" s="1"/>
      <c r="I344" s="1">
        <f>1804-32</f>
        <v>1772</v>
      </c>
      <c r="J344" t="s">
        <v>10</v>
      </c>
      <c r="K344" t="s">
        <v>12</v>
      </c>
      <c r="Q344">
        <v>5</v>
      </c>
      <c r="R344">
        <v>2</v>
      </c>
      <c r="S344">
        <v>2</v>
      </c>
      <c r="T344" s="5">
        <f t="shared" si="19"/>
        <v>163.69999999999999</v>
      </c>
      <c r="U344" t="s">
        <v>2776</v>
      </c>
      <c r="AE344" s="6">
        <v>1</v>
      </c>
      <c r="AF344" s="6">
        <v>1</v>
      </c>
      <c r="AG344" s="9">
        <v>1</v>
      </c>
      <c r="AH344" s="9"/>
      <c r="AI344" s="9">
        <v>1</v>
      </c>
      <c r="AJ344" s="6">
        <v>1</v>
      </c>
      <c r="AK344" s="6">
        <v>1</v>
      </c>
      <c r="AL344" s="6">
        <v>1</v>
      </c>
      <c r="AM344" s="7">
        <v>1</v>
      </c>
      <c r="BC344" t="s">
        <v>2872</v>
      </c>
      <c r="BD344" s="7" t="s">
        <v>163</v>
      </c>
      <c r="BE344" t="s">
        <v>2005</v>
      </c>
      <c r="BF344" s="1" t="s">
        <v>29</v>
      </c>
      <c r="BG344" s="1">
        <v>4</v>
      </c>
      <c r="BH344">
        <v>1</v>
      </c>
      <c r="BK344" s="1">
        <v>1</v>
      </c>
      <c r="BQ344">
        <v>1</v>
      </c>
      <c r="CM344">
        <v>1</v>
      </c>
      <c r="CS344" s="7" t="s">
        <v>2873</v>
      </c>
    </row>
    <row r="345" spans="1:98">
      <c r="B345" t="s">
        <v>3197</v>
      </c>
      <c r="C345" s="2" t="s">
        <v>831</v>
      </c>
      <c r="D345" s="2" t="s">
        <v>831</v>
      </c>
      <c r="E345" s="8" t="s">
        <v>832</v>
      </c>
      <c r="F345" s="8" t="s">
        <v>65</v>
      </c>
      <c r="G345" s="1">
        <v>1</v>
      </c>
      <c r="H345" s="1"/>
      <c r="I345" s="1">
        <f>1797-19</f>
        <v>1778</v>
      </c>
      <c r="J345" t="s">
        <v>10</v>
      </c>
      <c r="K345" t="s">
        <v>12</v>
      </c>
      <c r="Q345">
        <v>5</v>
      </c>
      <c r="R345">
        <v>2</v>
      </c>
      <c r="S345">
        <v>1</v>
      </c>
      <c r="T345" s="5">
        <f t="shared" si="19"/>
        <v>163.47999999999999</v>
      </c>
      <c r="U345" t="s">
        <v>2776</v>
      </c>
      <c r="AE345" s="6">
        <v>1</v>
      </c>
      <c r="AF345" s="6">
        <v>1</v>
      </c>
      <c r="AG345" s="7">
        <v>1</v>
      </c>
      <c r="BC345" t="s">
        <v>3198</v>
      </c>
      <c r="BD345" s="7" t="s">
        <v>260</v>
      </c>
      <c r="BE345" t="s">
        <v>2407</v>
      </c>
      <c r="BF345" s="1" t="s">
        <v>29</v>
      </c>
      <c r="BG345" s="1">
        <v>3</v>
      </c>
      <c r="BH345">
        <v>1</v>
      </c>
      <c r="BK345" s="1">
        <v>1</v>
      </c>
      <c r="BQ345">
        <v>1</v>
      </c>
      <c r="CS345" s="7" t="s">
        <v>4035</v>
      </c>
    </row>
    <row r="346" spans="1:98">
      <c r="B346" t="s">
        <v>2774</v>
      </c>
      <c r="C346" s="2" t="s">
        <v>2775</v>
      </c>
      <c r="D346" s="2" t="s">
        <v>2775</v>
      </c>
      <c r="E346" s="8" t="s">
        <v>238</v>
      </c>
      <c r="F346" s="8" t="s">
        <v>65</v>
      </c>
      <c r="G346" s="1">
        <v>1</v>
      </c>
      <c r="H346" s="1"/>
      <c r="I346" s="1">
        <f>1802-39</f>
        <v>1763</v>
      </c>
      <c r="J346" t="s">
        <v>69</v>
      </c>
      <c r="K346" t="s">
        <v>12</v>
      </c>
      <c r="N346">
        <v>1</v>
      </c>
      <c r="Q346">
        <v>5</v>
      </c>
      <c r="R346">
        <v>2</v>
      </c>
      <c r="S346">
        <v>2</v>
      </c>
      <c r="T346" s="5">
        <f t="shared" si="19"/>
        <v>163.69999999999999</v>
      </c>
      <c r="U346" t="s">
        <v>2776</v>
      </c>
      <c r="AE346" s="6">
        <v>1</v>
      </c>
      <c r="AF346" s="6">
        <v>1</v>
      </c>
      <c r="AG346" s="6">
        <v>1</v>
      </c>
      <c r="AH346" s="6">
        <v>1</v>
      </c>
      <c r="AI346" s="6">
        <v>1</v>
      </c>
      <c r="AJ346" s="6">
        <v>1</v>
      </c>
      <c r="AK346" s="7">
        <v>1</v>
      </c>
      <c r="BC346" t="s">
        <v>1416</v>
      </c>
      <c r="BD346" s="7" t="s">
        <v>280</v>
      </c>
      <c r="BE346" t="s">
        <v>2005</v>
      </c>
      <c r="BF346" s="1" t="s">
        <v>29</v>
      </c>
      <c r="BG346" s="1">
        <v>2</v>
      </c>
      <c r="BH346">
        <v>1</v>
      </c>
      <c r="BK346" s="1">
        <v>1</v>
      </c>
      <c r="BQ346">
        <v>1</v>
      </c>
      <c r="CN346">
        <v>1</v>
      </c>
      <c r="CS346" s="7" t="s">
        <v>2748</v>
      </c>
    </row>
    <row r="347" spans="1:98">
      <c r="B347" t="s">
        <v>4528</v>
      </c>
      <c r="C347" s="2" t="s">
        <v>826</v>
      </c>
      <c r="D347" s="2" t="s">
        <v>826</v>
      </c>
      <c r="E347" s="8" t="s">
        <v>654</v>
      </c>
      <c r="F347" s="8" t="s">
        <v>65</v>
      </c>
      <c r="G347" s="1">
        <v>1</v>
      </c>
      <c r="H347" s="1"/>
      <c r="I347" s="1">
        <f>1797-21</f>
        <v>1776</v>
      </c>
      <c r="J347" t="s">
        <v>10</v>
      </c>
      <c r="K347" t="s">
        <v>12</v>
      </c>
      <c r="Q347">
        <v>5</v>
      </c>
      <c r="R347">
        <v>1</v>
      </c>
      <c r="S347">
        <v>2</v>
      </c>
      <c r="T347" s="5">
        <f t="shared" si="19"/>
        <v>161.07</v>
      </c>
      <c r="U347" t="s">
        <v>2776</v>
      </c>
      <c r="AE347" s="6">
        <v>1</v>
      </c>
      <c r="AF347" s="6">
        <v>1</v>
      </c>
      <c r="AG347" s="9">
        <v>1</v>
      </c>
      <c r="AH347" s="9"/>
      <c r="AI347" s="9">
        <v>1</v>
      </c>
      <c r="AJ347" s="7">
        <v>1</v>
      </c>
      <c r="BC347" s="9" t="s">
        <v>4529</v>
      </c>
      <c r="BD347" s="7" t="s">
        <v>280</v>
      </c>
      <c r="BE347" t="s">
        <v>712</v>
      </c>
      <c r="BF347" s="1" t="s">
        <v>29</v>
      </c>
      <c r="BG347" s="1">
        <v>3</v>
      </c>
      <c r="BH347">
        <v>2</v>
      </c>
      <c r="BI347">
        <v>1</v>
      </c>
      <c r="BK347" s="1">
        <v>1</v>
      </c>
      <c r="BQ347">
        <v>1</v>
      </c>
      <c r="CL347">
        <v>1</v>
      </c>
      <c r="CM347">
        <v>1</v>
      </c>
      <c r="CN347">
        <v>1</v>
      </c>
      <c r="CS347" s="7" t="s">
        <v>947</v>
      </c>
    </row>
    <row r="348" spans="1:98">
      <c r="B348" t="s">
        <v>4568</v>
      </c>
      <c r="C348" s="2" t="s">
        <v>656</v>
      </c>
      <c r="D348" s="2" t="s">
        <v>656</v>
      </c>
      <c r="E348" s="8" t="s">
        <v>654</v>
      </c>
      <c r="F348" s="8" t="s">
        <v>65</v>
      </c>
      <c r="G348" s="1">
        <v>1</v>
      </c>
      <c r="H348" s="1"/>
      <c r="I348" s="1">
        <f>1797-21</f>
        <v>1776</v>
      </c>
      <c r="J348" t="s">
        <v>10</v>
      </c>
      <c r="K348" t="s">
        <v>12</v>
      </c>
      <c r="Q348">
        <v>5</v>
      </c>
      <c r="R348">
        <v>2</v>
      </c>
      <c r="T348" s="5">
        <f t="shared" si="19"/>
        <v>163.26</v>
      </c>
      <c r="U348" t="s">
        <v>4569</v>
      </c>
      <c r="AE348" s="6">
        <v>1</v>
      </c>
      <c r="AF348" s="6">
        <v>1</v>
      </c>
      <c r="AG348" s="6">
        <v>1</v>
      </c>
      <c r="AH348" s="6">
        <v>1</v>
      </c>
      <c r="AI348" s="6">
        <v>1</v>
      </c>
      <c r="AJ348" s="6">
        <v>1</v>
      </c>
      <c r="AK348" s="6">
        <v>1</v>
      </c>
      <c r="AL348" s="6">
        <v>1</v>
      </c>
      <c r="AM348" s="6">
        <v>1</v>
      </c>
      <c r="AN348" s="6">
        <v>1</v>
      </c>
      <c r="BC348">
        <v>1806</v>
      </c>
      <c r="BD348" t="s">
        <v>81</v>
      </c>
      <c r="BE348" t="s">
        <v>712</v>
      </c>
      <c r="BF348" s="1" t="s">
        <v>29</v>
      </c>
      <c r="BG348" s="1">
        <v>4</v>
      </c>
      <c r="BH348">
        <v>2</v>
      </c>
      <c r="BK348" s="1">
        <v>1</v>
      </c>
      <c r="BQ348">
        <v>1</v>
      </c>
      <c r="CL348">
        <v>1</v>
      </c>
      <c r="CM348">
        <v>1</v>
      </c>
      <c r="CS348" t="s">
        <v>713</v>
      </c>
    </row>
    <row r="349" spans="1:98">
      <c r="B349" t="s">
        <v>817</v>
      </c>
      <c r="C349" s="15" t="s">
        <v>818</v>
      </c>
      <c r="F349" s="8" t="s">
        <v>65</v>
      </c>
      <c r="G349" s="1">
        <v>1</v>
      </c>
      <c r="H349" s="1"/>
      <c r="I349" s="1">
        <f>1810-32</f>
        <v>1778</v>
      </c>
      <c r="J349" t="s">
        <v>10</v>
      </c>
      <c r="K349" t="s">
        <v>12</v>
      </c>
      <c r="Q349">
        <v>5</v>
      </c>
      <c r="R349">
        <v>4</v>
      </c>
      <c r="S349">
        <v>1</v>
      </c>
      <c r="T349" s="5">
        <f t="shared" si="19"/>
        <v>168.74</v>
      </c>
      <c r="U349" t="s">
        <v>819</v>
      </c>
      <c r="AE349" s="6">
        <v>1</v>
      </c>
      <c r="AF349" s="6">
        <v>1</v>
      </c>
      <c r="AG349" s="6">
        <v>1</v>
      </c>
      <c r="AH349" s="6">
        <v>1</v>
      </c>
      <c r="AI349" s="6">
        <v>1</v>
      </c>
      <c r="AJ349" s="6">
        <v>1</v>
      </c>
      <c r="AK349" s="6">
        <v>1</v>
      </c>
      <c r="AL349" s="6">
        <v>1</v>
      </c>
      <c r="AM349" s="6">
        <v>1</v>
      </c>
      <c r="AN349" s="6">
        <v>1</v>
      </c>
      <c r="AO349" s="6">
        <v>1</v>
      </c>
      <c r="AP349" s="6">
        <v>1</v>
      </c>
      <c r="AQ349" s="6">
        <v>1</v>
      </c>
      <c r="AR349" s="7">
        <v>1</v>
      </c>
      <c r="BC349" t="s">
        <v>1433</v>
      </c>
      <c r="BD349" s="7" t="s">
        <v>103</v>
      </c>
      <c r="BE349" t="s">
        <v>820</v>
      </c>
      <c r="BF349" s="1" t="s">
        <v>29</v>
      </c>
      <c r="BG349" s="1">
        <v>2</v>
      </c>
      <c r="BH349">
        <v>2</v>
      </c>
      <c r="BK349" s="1">
        <v>1</v>
      </c>
      <c r="BQ349">
        <v>1</v>
      </c>
      <c r="CF349">
        <v>1</v>
      </c>
      <c r="CL349">
        <v>1</v>
      </c>
      <c r="CS349" s="7" t="s">
        <v>412</v>
      </c>
    </row>
    <row r="350" spans="1:98">
      <c r="A350" t="s">
        <v>72</v>
      </c>
      <c r="B350" t="s">
        <v>276</v>
      </c>
      <c r="C350" s="15"/>
      <c r="F350" t="s">
        <v>7</v>
      </c>
      <c r="G350" s="1"/>
      <c r="H350" s="1"/>
      <c r="I350" s="1"/>
      <c r="T350" s="5"/>
      <c r="U350" s="9" t="s">
        <v>212</v>
      </c>
      <c r="AE350" s="7">
        <v>1</v>
      </c>
      <c r="BC350" t="s">
        <v>275</v>
      </c>
      <c r="BD350" s="7" t="s">
        <v>103</v>
      </c>
      <c r="BE350" t="s">
        <v>125</v>
      </c>
      <c r="BF350" s="1" t="s">
        <v>29</v>
      </c>
      <c r="BG350" s="1">
        <v>1</v>
      </c>
      <c r="BH350">
        <v>1</v>
      </c>
      <c r="BK350" s="1">
        <v>1</v>
      </c>
      <c r="BQ350">
        <v>1</v>
      </c>
      <c r="CS350" s="7" t="s">
        <v>277</v>
      </c>
    </row>
    <row r="351" spans="1:98">
      <c r="B351" t="s">
        <v>4370</v>
      </c>
      <c r="C351" s="2" t="s">
        <v>2426</v>
      </c>
      <c r="E351" s="8" t="s">
        <v>832</v>
      </c>
      <c r="F351" s="8" t="s">
        <v>65</v>
      </c>
      <c r="G351" s="1">
        <v>1</v>
      </c>
      <c r="H351" s="1"/>
      <c r="I351" s="1">
        <f>1797-24</f>
        <v>1773</v>
      </c>
      <c r="J351" t="s">
        <v>69</v>
      </c>
      <c r="K351" t="s">
        <v>12</v>
      </c>
      <c r="T351" s="5"/>
      <c r="U351" s="9" t="s">
        <v>212</v>
      </c>
      <c r="AE351" s="9">
        <v>1</v>
      </c>
      <c r="BC351">
        <v>1797</v>
      </c>
      <c r="BD351" t="s">
        <v>81</v>
      </c>
      <c r="BE351" s="10" t="s">
        <v>70</v>
      </c>
      <c r="BF351" s="1" t="s">
        <v>73</v>
      </c>
      <c r="BG351" s="1">
        <v>2</v>
      </c>
      <c r="BH351">
        <v>1</v>
      </c>
      <c r="BK351" s="1" t="s">
        <v>72</v>
      </c>
      <c r="BZ351">
        <v>1</v>
      </c>
      <c r="CS351" s="10" t="s">
        <v>111</v>
      </c>
      <c r="CT351" s="10" t="s">
        <v>4371</v>
      </c>
    </row>
    <row r="352" spans="1:98">
      <c r="A352" t="s">
        <v>72</v>
      </c>
      <c r="B352" t="s">
        <v>278</v>
      </c>
      <c r="C352" s="15"/>
      <c r="F352" t="s">
        <v>7</v>
      </c>
      <c r="G352" s="1"/>
      <c r="H352" s="1"/>
      <c r="I352" s="1"/>
      <c r="T352" s="5"/>
      <c r="U352" s="9" t="s">
        <v>212</v>
      </c>
      <c r="AE352" s="9">
        <v>1</v>
      </c>
      <c r="AF352" s="6">
        <v>1</v>
      </c>
      <c r="AG352" s="7">
        <v>1</v>
      </c>
      <c r="BC352" t="s">
        <v>279</v>
      </c>
      <c r="BD352" s="7" t="s">
        <v>280</v>
      </c>
      <c r="BE352" t="s">
        <v>125</v>
      </c>
      <c r="BF352" s="1" t="s">
        <v>29</v>
      </c>
      <c r="BG352" s="1">
        <v>3</v>
      </c>
      <c r="BH352">
        <v>1</v>
      </c>
      <c r="BK352" s="1">
        <v>1</v>
      </c>
      <c r="BQ352">
        <v>1</v>
      </c>
      <c r="CN352">
        <v>1</v>
      </c>
      <c r="CS352" s="7" t="s">
        <v>281</v>
      </c>
    </row>
    <row r="353" spans="1:98">
      <c r="A353" t="s">
        <v>72</v>
      </c>
      <c r="B353" t="s">
        <v>282</v>
      </c>
      <c r="C353" s="15"/>
      <c r="F353" t="s">
        <v>7</v>
      </c>
      <c r="G353" s="1"/>
      <c r="H353" s="1"/>
      <c r="I353" s="1"/>
      <c r="T353" s="5"/>
      <c r="U353" s="9" t="s">
        <v>212</v>
      </c>
      <c r="AE353" s="9">
        <v>1</v>
      </c>
      <c r="AF353" s="6">
        <v>1</v>
      </c>
      <c r="AG353" s="7">
        <v>1</v>
      </c>
      <c r="BC353" t="s">
        <v>283</v>
      </c>
      <c r="BD353" s="7" t="s">
        <v>280</v>
      </c>
      <c r="BE353" t="s">
        <v>125</v>
      </c>
      <c r="BF353" s="1" t="s">
        <v>29</v>
      </c>
      <c r="BG353" s="1">
        <v>3</v>
      </c>
      <c r="BH353">
        <v>1</v>
      </c>
      <c r="BK353" s="1">
        <v>1</v>
      </c>
      <c r="BQ353">
        <v>1</v>
      </c>
      <c r="CN353">
        <v>1</v>
      </c>
      <c r="CS353" s="7" t="s">
        <v>284</v>
      </c>
    </row>
    <row r="354" spans="1:98">
      <c r="B354" t="s">
        <v>285</v>
      </c>
      <c r="C354" s="15" t="s">
        <v>286</v>
      </c>
      <c r="F354" s="8" t="s">
        <v>115</v>
      </c>
      <c r="G354" s="1">
        <v>1</v>
      </c>
      <c r="H354" s="1"/>
      <c r="I354" s="1">
        <f>1802-25</f>
        <v>1777</v>
      </c>
      <c r="J354" t="s">
        <v>10</v>
      </c>
      <c r="K354" t="s">
        <v>12</v>
      </c>
      <c r="Q354">
        <v>5</v>
      </c>
      <c r="R354">
        <v>2</v>
      </c>
      <c r="S354">
        <v>3</v>
      </c>
      <c r="T354" s="5">
        <f>((Q354*316)+(R354*26.3)+(S354*2.2))/10</f>
        <v>163.92</v>
      </c>
      <c r="U354" s="9" t="s">
        <v>212</v>
      </c>
      <c r="AE354" s="9">
        <v>1</v>
      </c>
      <c r="AF354" s="6">
        <v>1</v>
      </c>
      <c r="AG354" s="6">
        <v>1</v>
      </c>
      <c r="AH354" s="6">
        <v>1</v>
      </c>
      <c r="AI354" s="6">
        <v>1</v>
      </c>
      <c r="AJ354" s="6">
        <v>1</v>
      </c>
      <c r="AK354" s="6">
        <v>1</v>
      </c>
      <c r="AL354" s="6">
        <v>1</v>
      </c>
      <c r="AM354" s="6">
        <v>1</v>
      </c>
      <c r="AN354" s="7">
        <v>1</v>
      </c>
      <c r="BC354" t="s">
        <v>198</v>
      </c>
      <c r="BD354" s="7" t="s">
        <v>109</v>
      </c>
      <c r="BE354" t="s">
        <v>125</v>
      </c>
      <c r="BF354" s="1" t="s">
        <v>29</v>
      </c>
      <c r="BG354" s="1">
        <v>11</v>
      </c>
      <c r="BH354">
        <v>1</v>
      </c>
      <c r="BK354" s="1">
        <v>1</v>
      </c>
      <c r="BQ354">
        <v>1</v>
      </c>
      <c r="CF354">
        <v>1</v>
      </c>
      <c r="CS354" s="7" t="s">
        <v>354</v>
      </c>
      <c r="CT354" s="9" t="s">
        <v>127</v>
      </c>
    </row>
    <row r="355" spans="1:98">
      <c r="B355" t="s">
        <v>210</v>
      </c>
      <c r="C355" s="15" t="s">
        <v>211</v>
      </c>
      <c r="F355" s="8" t="s">
        <v>115</v>
      </c>
      <c r="G355" s="1">
        <v>1</v>
      </c>
      <c r="H355" s="1"/>
      <c r="I355" s="1">
        <f>1802-53</f>
        <v>1749</v>
      </c>
      <c r="J355" t="s">
        <v>69</v>
      </c>
      <c r="K355" t="s">
        <v>209</v>
      </c>
      <c r="N355">
        <v>1</v>
      </c>
      <c r="Q355">
        <v>5</v>
      </c>
      <c r="R355">
        <v>6</v>
      </c>
      <c r="S355">
        <v>2</v>
      </c>
      <c r="T355" s="5">
        <f>((Q355*316)+(R355*26.3)+(S355*2.2))/10</f>
        <v>174.22</v>
      </c>
      <c r="U355" s="9" t="s">
        <v>212</v>
      </c>
      <c r="AE355" s="9">
        <v>1</v>
      </c>
      <c r="AF355" s="6">
        <v>1</v>
      </c>
      <c r="AG355" s="6">
        <v>1</v>
      </c>
      <c r="AH355" s="6">
        <v>1</v>
      </c>
      <c r="AI355" s="6">
        <v>1</v>
      </c>
      <c r="AJ355" s="6">
        <v>1</v>
      </c>
      <c r="AK355" s="6">
        <v>1</v>
      </c>
      <c r="AL355" s="6">
        <v>1</v>
      </c>
      <c r="AM355" s="6">
        <v>1</v>
      </c>
      <c r="AN355" s="7">
        <v>1</v>
      </c>
      <c r="BC355" t="s">
        <v>198</v>
      </c>
      <c r="BD355" s="7" t="s">
        <v>109</v>
      </c>
      <c r="BE355" t="s">
        <v>125</v>
      </c>
      <c r="BF355" s="1" t="s">
        <v>29</v>
      </c>
      <c r="BG355" s="1">
        <v>12</v>
      </c>
      <c r="BH355">
        <v>1</v>
      </c>
      <c r="BK355" s="1">
        <v>1</v>
      </c>
      <c r="BQ355">
        <v>1</v>
      </c>
      <c r="CS355" s="7" t="s">
        <v>354</v>
      </c>
      <c r="CT355" s="9" t="s">
        <v>213</v>
      </c>
    </row>
    <row r="356" spans="1:98">
      <c r="A356" t="s">
        <v>72</v>
      </c>
      <c r="B356" t="s">
        <v>274</v>
      </c>
      <c r="F356" t="s">
        <v>7</v>
      </c>
      <c r="G356" s="1"/>
      <c r="H356" s="1"/>
      <c r="I356" s="1"/>
      <c r="U356" s="9" t="s">
        <v>212</v>
      </c>
      <c r="AE356" s="10">
        <v>1</v>
      </c>
      <c r="BC356" t="s">
        <v>275</v>
      </c>
      <c r="BD356" t="s">
        <v>81</v>
      </c>
      <c r="BE356" s="10" t="s">
        <v>125</v>
      </c>
      <c r="BF356" s="1" t="s">
        <v>73</v>
      </c>
      <c r="BG356" s="1">
        <v>1</v>
      </c>
      <c r="BH356">
        <v>1</v>
      </c>
      <c r="BK356" s="1">
        <v>1</v>
      </c>
      <c r="BQ356">
        <v>1</v>
      </c>
      <c r="BZ356">
        <v>1</v>
      </c>
      <c r="CL356">
        <v>1</v>
      </c>
      <c r="CS356" s="10" t="s">
        <v>111</v>
      </c>
      <c r="CT356" s="9" t="s">
        <v>127</v>
      </c>
    </row>
    <row r="357" spans="1:98">
      <c r="B357" t="s">
        <v>3181</v>
      </c>
      <c r="C357" s="2" t="s">
        <v>2924</v>
      </c>
      <c r="D357" s="2" t="s">
        <v>2924</v>
      </c>
      <c r="E357" s="8" t="s">
        <v>599</v>
      </c>
      <c r="F357" s="8" t="s">
        <v>357</v>
      </c>
      <c r="G357" s="1">
        <v>1</v>
      </c>
      <c r="H357" s="1"/>
      <c r="I357" s="1">
        <f>1799-18</f>
        <v>1781</v>
      </c>
      <c r="J357" t="s">
        <v>10</v>
      </c>
      <c r="K357" t="s">
        <v>12</v>
      </c>
      <c r="Q357">
        <v>5</v>
      </c>
      <c r="R357">
        <v>3</v>
      </c>
      <c r="S357">
        <v>3</v>
      </c>
      <c r="T357" s="5">
        <f t="shared" ref="T357:T372" si="20">((Q357*316)+(R357*26.3)+(S357*2.2))/10</f>
        <v>166.55</v>
      </c>
      <c r="U357" t="s">
        <v>269</v>
      </c>
      <c r="AE357" s="7">
        <v>1</v>
      </c>
      <c r="BC357" t="s">
        <v>3182</v>
      </c>
      <c r="BD357" s="7" t="s">
        <v>26</v>
      </c>
      <c r="BE357" t="s">
        <v>2407</v>
      </c>
      <c r="BF357" s="1" t="s">
        <v>29</v>
      </c>
      <c r="BG357" s="1">
        <v>2</v>
      </c>
      <c r="BH357">
        <v>1</v>
      </c>
      <c r="BK357" s="1">
        <v>1</v>
      </c>
      <c r="BQ357">
        <v>1</v>
      </c>
      <c r="CS357" s="7" t="s">
        <v>3183</v>
      </c>
    </row>
    <row r="358" spans="1:98">
      <c r="B358" t="s">
        <v>2862</v>
      </c>
      <c r="C358" s="2" t="s">
        <v>2863</v>
      </c>
      <c r="D358" s="2" t="s">
        <v>2863</v>
      </c>
      <c r="E358" s="8" t="s">
        <v>122</v>
      </c>
      <c r="F358" s="8" t="s">
        <v>115</v>
      </c>
      <c r="G358" s="1">
        <v>1</v>
      </c>
      <c r="H358" s="1"/>
      <c r="I358" s="1">
        <f>1804-27</f>
        <v>1777</v>
      </c>
      <c r="J358" t="s">
        <v>10</v>
      </c>
      <c r="K358" t="s">
        <v>12</v>
      </c>
      <c r="Q358">
        <v>5</v>
      </c>
      <c r="R358">
        <v>2</v>
      </c>
      <c r="S358">
        <v>1</v>
      </c>
      <c r="T358" s="5">
        <f t="shared" si="20"/>
        <v>163.47999999999999</v>
      </c>
      <c r="U358" t="s">
        <v>269</v>
      </c>
      <c r="AE358" s="6">
        <v>1</v>
      </c>
      <c r="AF358" s="6">
        <v>1</v>
      </c>
      <c r="AG358" s="6">
        <v>1</v>
      </c>
      <c r="AH358" s="6">
        <v>1</v>
      </c>
      <c r="AI358" s="6">
        <v>1</v>
      </c>
      <c r="AJ358" s="6">
        <v>1</v>
      </c>
      <c r="AK358" s="6">
        <v>1</v>
      </c>
      <c r="AL358" s="6">
        <v>1</v>
      </c>
      <c r="AM358" s="7">
        <v>1</v>
      </c>
      <c r="BC358" t="s">
        <v>2864</v>
      </c>
      <c r="BD358" s="7" t="s">
        <v>103</v>
      </c>
      <c r="BE358" t="s">
        <v>2005</v>
      </c>
      <c r="BF358" s="1" t="s">
        <v>29</v>
      </c>
      <c r="BG358" s="1">
        <v>4</v>
      </c>
      <c r="BH358">
        <v>1</v>
      </c>
      <c r="BK358" s="1">
        <v>1</v>
      </c>
      <c r="BQ358">
        <v>1</v>
      </c>
      <c r="CS358" s="7" t="s">
        <v>1066</v>
      </c>
      <c r="CT358" s="9"/>
    </row>
    <row r="359" spans="1:98">
      <c r="B359" t="s">
        <v>267</v>
      </c>
      <c r="C359" s="15" t="s">
        <v>268</v>
      </c>
      <c r="F359" s="8" t="s">
        <v>115</v>
      </c>
      <c r="G359" s="1">
        <v>1</v>
      </c>
      <c r="H359" s="1"/>
      <c r="I359" s="1">
        <f>1802-45</f>
        <v>1757</v>
      </c>
      <c r="J359" t="s">
        <v>69</v>
      </c>
      <c r="K359" t="s">
        <v>12</v>
      </c>
      <c r="N359">
        <v>1</v>
      </c>
      <c r="Q359">
        <v>5</v>
      </c>
      <c r="R359">
        <v>1</v>
      </c>
      <c r="S359">
        <v>2</v>
      </c>
      <c r="T359" s="5">
        <f t="shared" si="20"/>
        <v>161.07</v>
      </c>
      <c r="U359" t="s">
        <v>269</v>
      </c>
      <c r="AE359" s="6">
        <v>1</v>
      </c>
      <c r="AF359" s="6">
        <v>1</v>
      </c>
      <c r="AG359" s="6">
        <v>1</v>
      </c>
      <c r="AH359" s="6">
        <v>1</v>
      </c>
      <c r="AI359" s="6">
        <v>1</v>
      </c>
      <c r="AJ359" s="6">
        <v>1</v>
      </c>
      <c r="AK359" s="6">
        <v>1</v>
      </c>
      <c r="AL359" s="6">
        <v>1</v>
      </c>
      <c r="AM359" s="6">
        <v>1</v>
      </c>
      <c r="AN359" s="7">
        <v>1</v>
      </c>
      <c r="BC359" t="s">
        <v>198</v>
      </c>
      <c r="BD359" s="7" t="s">
        <v>109</v>
      </c>
      <c r="BE359" t="s">
        <v>125</v>
      </c>
      <c r="BF359" s="1" t="s">
        <v>29</v>
      </c>
      <c r="BG359" s="1">
        <v>11</v>
      </c>
      <c r="BH359">
        <v>1</v>
      </c>
      <c r="BK359" s="1">
        <v>1</v>
      </c>
      <c r="BQ359">
        <v>1</v>
      </c>
      <c r="CN359">
        <v>1</v>
      </c>
      <c r="CP359">
        <v>1</v>
      </c>
      <c r="CS359" s="7" t="s">
        <v>354</v>
      </c>
    </row>
    <row r="360" spans="1:98">
      <c r="B360" t="s">
        <v>4616</v>
      </c>
      <c r="C360" s="13" t="s">
        <v>4617</v>
      </c>
      <c r="D360" s="13" t="s">
        <v>4617</v>
      </c>
      <c r="F360" s="8" t="s">
        <v>115</v>
      </c>
      <c r="G360" s="1">
        <v>1</v>
      </c>
      <c r="H360" s="1"/>
      <c r="I360" s="1">
        <f>1804-34</f>
        <v>1770</v>
      </c>
      <c r="J360" t="s">
        <v>69</v>
      </c>
      <c r="K360" t="s">
        <v>12</v>
      </c>
      <c r="N360">
        <v>1</v>
      </c>
      <c r="Q360">
        <v>5</v>
      </c>
      <c r="R360">
        <v>3</v>
      </c>
      <c r="S360">
        <v>3</v>
      </c>
      <c r="T360" s="5">
        <f t="shared" si="20"/>
        <v>166.55</v>
      </c>
      <c r="U360" t="s">
        <v>1903</v>
      </c>
      <c r="AE360" s="6">
        <v>1</v>
      </c>
      <c r="AF360" s="6">
        <v>1</v>
      </c>
      <c r="AG360" s="9">
        <v>1</v>
      </c>
      <c r="AH360" s="9"/>
      <c r="AI360" s="9"/>
      <c r="AJ360" s="9"/>
      <c r="AK360" s="9">
        <v>1</v>
      </c>
      <c r="AL360" s="6">
        <v>1</v>
      </c>
      <c r="AM360" s="7">
        <v>1</v>
      </c>
      <c r="BC360" t="s">
        <v>4618</v>
      </c>
      <c r="BD360" s="7" t="s">
        <v>103</v>
      </c>
      <c r="BE360" t="s">
        <v>712</v>
      </c>
      <c r="BF360" s="1" t="s">
        <v>29</v>
      </c>
      <c r="BG360" s="1">
        <v>2</v>
      </c>
      <c r="BH360">
        <v>2</v>
      </c>
      <c r="BK360" s="1" t="s">
        <v>72</v>
      </c>
      <c r="BQ360">
        <v>1</v>
      </c>
      <c r="CL360">
        <v>1</v>
      </c>
      <c r="CN360">
        <v>1</v>
      </c>
      <c r="CP360">
        <v>1</v>
      </c>
      <c r="CS360" s="7" t="s">
        <v>614</v>
      </c>
    </row>
    <row r="361" spans="1:98">
      <c r="B361" t="s">
        <v>4589</v>
      </c>
      <c r="C361" s="2" t="s">
        <v>2345</v>
      </c>
      <c r="D361" s="2" t="s">
        <v>2345</v>
      </c>
      <c r="E361" s="8" t="s">
        <v>624</v>
      </c>
      <c r="F361" s="8" t="s">
        <v>218</v>
      </c>
      <c r="G361" s="1">
        <v>1</v>
      </c>
      <c r="H361" s="1"/>
      <c r="I361" s="1">
        <f>1804-27</f>
        <v>1777</v>
      </c>
      <c r="J361" t="s">
        <v>10</v>
      </c>
      <c r="K361" t="s">
        <v>730</v>
      </c>
      <c r="Q361">
        <v>5</v>
      </c>
      <c r="R361">
        <v>2</v>
      </c>
      <c r="S361">
        <v>2</v>
      </c>
      <c r="T361" s="5">
        <f t="shared" si="20"/>
        <v>163.69999999999999</v>
      </c>
      <c r="U361" t="s">
        <v>1903</v>
      </c>
      <c r="AE361" s="6">
        <v>1</v>
      </c>
      <c r="AF361" s="6">
        <v>1</v>
      </c>
      <c r="AG361" s="6">
        <v>1</v>
      </c>
      <c r="AH361" s="6">
        <v>1</v>
      </c>
      <c r="AI361" s="6">
        <v>1</v>
      </c>
      <c r="AJ361" s="6">
        <v>1</v>
      </c>
      <c r="AK361" s="6">
        <v>1</v>
      </c>
      <c r="AL361" s="6">
        <v>1</v>
      </c>
      <c r="AM361" s="14">
        <v>1</v>
      </c>
      <c r="BC361" s="9" t="s">
        <v>4590</v>
      </c>
      <c r="BD361" s="14" t="s">
        <v>338</v>
      </c>
      <c r="BE361" t="s">
        <v>712</v>
      </c>
      <c r="BF361" s="1" t="s">
        <v>339</v>
      </c>
      <c r="BG361" s="1">
        <v>3</v>
      </c>
      <c r="BH361">
        <v>1</v>
      </c>
      <c r="BK361" s="1" t="s">
        <v>72</v>
      </c>
      <c r="BQ361">
        <v>1</v>
      </c>
      <c r="CS361" s="14" t="s">
        <v>4591</v>
      </c>
    </row>
    <row r="362" spans="1:98">
      <c r="B362" t="s">
        <v>3219</v>
      </c>
      <c r="C362" s="2" t="s">
        <v>2970</v>
      </c>
      <c r="D362" s="2" t="s">
        <v>2970</v>
      </c>
      <c r="E362" s="8" t="s">
        <v>599</v>
      </c>
      <c r="F362" s="8" t="s">
        <v>357</v>
      </c>
      <c r="G362" s="1">
        <v>1</v>
      </c>
      <c r="H362" s="1"/>
      <c r="I362" s="1">
        <f>1797-18</f>
        <v>1779</v>
      </c>
      <c r="J362" t="s">
        <v>69</v>
      </c>
      <c r="K362" t="s">
        <v>12</v>
      </c>
      <c r="Q362">
        <v>5</v>
      </c>
      <c r="R362">
        <v>1</v>
      </c>
      <c r="T362" s="5">
        <f t="shared" si="20"/>
        <v>160.63</v>
      </c>
      <c r="U362" t="s">
        <v>3220</v>
      </c>
      <c r="AE362" s="6">
        <v>1</v>
      </c>
      <c r="AF362" s="6">
        <v>1</v>
      </c>
      <c r="AG362" s="6">
        <v>1</v>
      </c>
      <c r="AH362" s="6">
        <v>1</v>
      </c>
      <c r="AI362" s="6">
        <v>1</v>
      </c>
      <c r="AJ362" s="6">
        <v>1</v>
      </c>
      <c r="AK362" s="6">
        <v>1</v>
      </c>
      <c r="AL362" s="6">
        <v>1</v>
      </c>
      <c r="AM362" s="6">
        <v>1</v>
      </c>
      <c r="AN362" s="6">
        <v>1</v>
      </c>
      <c r="AO362" s="7">
        <v>1</v>
      </c>
      <c r="BC362" t="s">
        <v>3221</v>
      </c>
      <c r="BD362" s="7" t="s">
        <v>103</v>
      </c>
      <c r="BE362" t="s">
        <v>2407</v>
      </c>
      <c r="BF362" s="1" t="s">
        <v>29</v>
      </c>
      <c r="BG362" s="1">
        <v>8</v>
      </c>
      <c r="BH362">
        <v>1</v>
      </c>
      <c r="BK362" s="1">
        <v>1</v>
      </c>
      <c r="BQ362">
        <v>1</v>
      </c>
      <c r="CS362" s="7" t="s">
        <v>3222</v>
      </c>
    </row>
    <row r="363" spans="1:98">
      <c r="B363" t="s">
        <v>196</v>
      </c>
      <c r="C363" s="15" t="s">
        <v>211</v>
      </c>
      <c r="F363" s="8" t="s">
        <v>115</v>
      </c>
      <c r="G363" s="1">
        <v>1</v>
      </c>
      <c r="H363" s="1"/>
      <c r="I363" s="1">
        <f>1803-50</f>
        <v>1753</v>
      </c>
      <c r="J363" t="s">
        <v>69</v>
      </c>
      <c r="K363" t="s">
        <v>197</v>
      </c>
      <c r="N363">
        <v>1</v>
      </c>
      <c r="Q363">
        <v>5</v>
      </c>
      <c r="R363">
        <v>4</v>
      </c>
      <c r="S363">
        <v>1</v>
      </c>
      <c r="T363" s="5">
        <f t="shared" si="20"/>
        <v>168.74</v>
      </c>
      <c r="U363" t="s">
        <v>214</v>
      </c>
      <c r="AE363" s="6">
        <v>1</v>
      </c>
      <c r="AF363" s="6">
        <v>1</v>
      </c>
      <c r="AG363" s="6">
        <v>1</v>
      </c>
      <c r="AH363" s="6">
        <v>1</v>
      </c>
      <c r="AI363" s="6">
        <v>1</v>
      </c>
      <c r="AJ363" s="6">
        <v>1</v>
      </c>
      <c r="AK363" s="6">
        <v>1</v>
      </c>
      <c r="AL363" s="6">
        <v>1</v>
      </c>
      <c r="AM363" s="6">
        <v>1</v>
      </c>
      <c r="AN363" s="7">
        <v>1</v>
      </c>
      <c r="BC363" t="s">
        <v>198</v>
      </c>
      <c r="BD363" s="7" t="s">
        <v>103</v>
      </c>
      <c r="BE363" t="s">
        <v>125</v>
      </c>
      <c r="BF363" s="1" t="s">
        <v>29</v>
      </c>
      <c r="BG363" s="1">
        <v>12</v>
      </c>
      <c r="BH363">
        <v>1</v>
      </c>
      <c r="BK363" s="1">
        <v>1</v>
      </c>
      <c r="BQ363">
        <v>1</v>
      </c>
      <c r="CS363" s="7" t="s">
        <v>199</v>
      </c>
    </row>
    <row r="364" spans="1:98">
      <c r="B364" t="s">
        <v>3967</v>
      </c>
      <c r="C364" s="2" t="s">
        <v>2902</v>
      </c>
      <c r="D364" s="26" t="s">
        <v>3963</v>
      </c>
      <c r="E364" s="8" t="s">
        <v>238</v>
      </c>
      <c r="F364" s="8" t="s">
        <v>65</v>
      </c>
      <c r="G364" s="1">
        <v>1</v>
      </c>
      <c r="H364" s="1"/>
      <c r="I364" s="1">
        <f>1803-22</f>
        <v>1781</v>
      </c>
      <c r="J364" t="s">
        <v>10</v>
      </c>
      <c r="K364" t="s">
        <v>12</v>
      </c>
      <c r="Q364">
        <v>5</v>
      </c>
      <c r="R364">
        <v>1</v>
      </c>
      <c r="S364">
        <v>1</v>
      </c>
      <c r="T364" s="5">
        <f t="shared" si="20"/>
        <v>160.85</v>
      </c>
      <c r="U364" t="s">
        <v>3968</v>
      </c>
      <c r="AE364" s="6">
        <v>1</v>
      </c>
      <c r="AF364" s="6">
        <v>1</v>
      </c>
      <c r="AG364" s="6">
        <v>1</v>
      </c>
      <c r="AH364" s="6">
        <v>1</v>
      </c>
      <c r="AI364" s="6">
        <v>1</v>
      </c>
      <c r="AJ364" s="6">
        <v>1</v>
      </c>
      <c r="AK364" s="6">
        <v>1</v>
      </c>
      <c r="AL364" s="14">
        <v>1</v>
      </c>
      <c r="BC364" s="9" t="s">
        <v>3965</v>
      </c>
      <c r="BD364" s="14" t="s">
        <v>338</v>
      </c>
      <c r="BE364" t="s">
        <v>2635</v>
      </c>
      <c r="BF364" s="1" t="s">
        <v>339</v>
      </c>
      <c r="BG364" s="1">
        <v>1</v>
      </c>
      <c r="BH364">
        <v>1</v>
      </c>
      <c r="BK364" s="1">
        <v>1</v>
      </c>
      <c r="BQ364">
        <v>1</v>
      </c>
      <c r="CS364" s="14" t="s">
        <v>3966</v>
      </c>
    </row>
    <row r="365" spans="1:98">
      <c r="B365" t="s">
        <v>2843</v>
      </c>
      <c r="C365" s="2" t="s">
        <v>2002</v>
      </c>
      <c r="D365" s="2" t="s">
        <v>2002</v>
      </c>
      <c r="E365" s="8" t="s">
        <v>238</v>
      </c>
      <c r="F365" s="8" t="s">
        <v>65</v>
      </c>
      <c r="G365" s="1">
        <v>1</v>
      </c>
      <c r="H365" s="1"/>
      <c r="I365" s="1">
        <f>1804-30</f>
        <v>1774</v>
      </c>
      <c r="J365" t="s">
        <v>69</v>
      </c>
      <c r="K365" t="s">
        <v>12</v>
      </c>
      <c r="N365">
        <v>1</v>
      </c>
      <c r="Q365">
        <v>5</v>
      </c>
      <c r="R365">
        <v>1</v>
      </c>
      <c r="S365">
        <v>2</v>
      </c>
      <c r="T365" s="5">
        <f t="shared" si="20"/>
        <v>161.07</v>
      </c>
      <c r="U365" t="s">
        <v>2844</v>
      </c>
      <c r="AE365" s="6">
        <v>1</v>
      </c>
      <c r="AF365" s="6">
        <v>1</v>
      </c>
      <c r="AG365" s="9">
        <v>1</v>
      </c>
      <c r="AH365" s="9"/>
      <c r="AI365" s="9">
        <v>1</v>
      </c>
      <c r="AJ365" s="6">
        <v>1</v>
      </c>
      <c r="AK365" s="6">
        <v>1</v>
      </c>
      <c r="AL365" s="6">
        <v>1</v>
      </c>
      <c r="AM365" s="6">
        <v>1</v>
      </c>
      <c r="AN365" s="7">
        <v>1</v>
      </c>
      <c r="BC365" t="s">
        <v>2830</v>
      </c>
      <c r="BD365" s="7" t="s">
        <v>109</v>
      </c>
      <c r="BE365" t="s">
        <v>2005</v>
      </c>
      <c r="BF365" s="1" t="s">
        <v>29</v>
      </c>
      <c r="BG365" s="1">
        <v>5</v>
      </c>
      <c r="BH365">
        <v>1</v>
      </c>
      <c r="BK365" s="1">
        <v>1</v>
      </c>
      <c r="BQ365">
        <v>1</v>
      </c>
      <c r="CM365">
        <v>1</v>
      </c>
      <c r="CS365" s="7" t="s">
        <v>354</v>
      </c>
      <c r="CT365" s="9" t="s">
        <v>2845</v>
      </c>
    </row>
    <row r="366" spans="1:98">
      <c r="B366" t="s">
        <v>4687</v>
      </c>
      <c r="C366" s="2" t="s">
        <v>1336</v>
      </c>
      <c r="D366" s="15"/>
      <c r="E366" s="8" t="s">
        <v>837</v>
      </c>
      <c r="F366" s="8" t="s">
        <v>115</v>
      </c>
      <c r="G366" s="1">
        <v>1</v>
      </c>
      <c r="H366" s="1"/>
      <c r="I366" s="1">
        <f>1802-24</f>
        <v>1778</v>
      </c>
      <c r="J366" t="s">
        <v>10</v>
      </c>
      <c r="K366" t="s">
        <v>12</v>
      </c>
      <c r="Q366">
        <v>5</v>
      </c>
      <c r="R366">
        <v>2</v>
      </c>
      <c r="S366">
        <v>1</v>
      </c>
      <c r="T366" s="5">
        <f t="shared" si="20"/>
        <v>163.47999999999999</v>
      </c>
      <c r="U366" s="9" t="s">
        <v>4686</v>
      </c>
      <c r="AB366" s="9"/>
      <c r="AC366" s="9"/>
      <c r="AD366" s="9"/>
      <c r="AE366" s="6">
        <v>1</v>
      </c>
      <c r="AF366" s="6">
        <v>1</v>
      </c>
      <c r="AG366" s="6">
        <v>1</v>
      </c>
      <c r="AH366" s="6">
        <v>1</v>
      </c>
      <c r="AI366" s="6">
        <v>1</v>
      </c>
      <c r="AJ366" s="6">
        <v>1</v>
      </c>
      <c r="BC366">
        <v>1802</v>
      </c>
      <c r="BD366" t="s">
        <v>81</v>
      </c>
      <c r="BE366" s="10" t="s">
        <v>712</v>
      </c>
      <c r="BF366" s="1" t="s">
        <v>73</v>
      </c>
      <c r="BG366" s="1">
        <v>2</v>
      </c>
      <c r="BH366">
        <v>2</v>
      </c>
      <c r="BK366" s="1" t="s">
        <v>72</v>
      </c>
      <c r="BQ366">
        <v>1</v>
      </c>
      <c r="BY366" s="10">
        <v>1</v>
      </c>
      <c r="CL366" s="10">
        <v>1</v>
      </c>
      <c r="CS366" s="10" t="s">
        <v>3238</v>
      </c>
    </row>
    <row r="367" spans="1:98">
      <c r="B367" t="s">
        <v>1403</v>
      </c>
      <c r="C367" s="2" t="s">
        <v>1207</v>
      </c>
      <c r="D367" s="2" t="s">
        <v>1207</v>
      </c>
      <c r="E367" s="8" t="s">
        <v>114</v>
      </c>
      <c r="F367" s="8" t="s">
        <v>115</v>
      </c>
      <c r="G367" s="1">
        <v>1</v>
      </c>
      <c r="H367" s="1"/>
      <c r="I367" s="1">
        <f>1797-20</f>
        <v>1777</v>
      </c>
      <c r="J367" t="s">
        <v>10</v>
      </c>
      <c r="K367" t="s">
        <v>197</v>
      </c>
      <c r="Q367">
        <v>5</v>
      </c>
      <c r="R367">
        <v>2</v>
      </c>
      <c r="S367">
        <v>3</v>
      </c>
      <c r="T367" s="5">
        <f t="shared" si="20"/>
        <v>163.92</v>
      </c>
      <c r="U367" t="s">
        <v>1405</v>
      </c>
      <c r="AE367" s="6">
        <v>1</v>
      </c>
      <c r="AF367" s="6">
        <v>1</v>
      </c>
      <c r="AG367" s="6">
        <v>1</v>
      </c>
      <c r="AH367" s="6">
        <v>1</v>
      </c>
      <c r="AI367" s="6">
        <v>1</v>
      </c>
      <c r="AJ367" s="6">
        <v>1</v>
      </c>
      <c r="AK367" s="7">
        <v>1</v>
      </c>
      <c r="BC367" t="s">
        <v>1528</v>
      </c>
      <c r="BD367" s="7" t="s">
        <v>103</v>
      </c>
      <c r="BE367" t="s">
        <v>125</v>
      </c>
      <c r="BF367" s="1" t="s">
        <v>29</v>
      </c>
      <c r="BG367" s="1">
        <v>8</v>
      </c>
      <c r="BH367">
        <v>2</v>
      </c>
      <c r="BI367">
        <v>1</v>
      </c>
      <c r="BK367" s="1">
        <v>1</v>
      </c>
      <c r="BQ367">
        <v>1</v>
      </c>
      <c r="CL367">
        <v>1</v>
      </c>
      <c r="CS367" s="7" t="s">
        <v>1404</v>
      </c>
    </row>
    <row r="368" spans="1:98">
      <c r="B368" t="s">
        <v>708</v>
      </c>
      <c r="C368" s="2" t="s">
        <v>3811</v>
      </c>
      <c r="E368" s="8" t="s">
        <v>710</v>
      </c>
      <c r="F368" s="8" t="s">
        <v>115</v>
      </c>
      <c r="G368" s="1">
        <v>1</v>
      </c>
      <c r="H368" s="1"/>
      <c r="I368" s="1">
        <f>1797-20</f>
        <v>1777</v>
      </c>
      <c r="J368" t="s">
        <v>10</v>
      </c>
      <c r="K368" t="s">
        <v>12</v>
      </c>
      <c r="Q368">
        <v>5</v>
      </c>
      <c r="R368">
        <v>3</v>
      </c>
      <c r="T368" s="5">
        <f t="shared" si="20"/>
        <v>165.89000000000001</v>
      </c>
      <c r="U368" t="s">
        <v>711</v>
      </c>
      <c r="AE368" s="6">
        <v>1</v>
      </c>
      <c r="BC368">
        <v>1797</v>
      </c>
      <c r="BD368" t="s">
        <v>81</v>
      </c>
      <c r="BE368" t="s">
        <v>712</v>
      </c>
      <c r="BF368" s="1" t="s">
        <v>73</v>
      </c>
      <c r="BG368" s="1">
        <v>1</v>
      </c>
      <c r="BH368">
        <v>1</v>
      </c>
      <c r="BK368" s="1">
        <v>1</v>
      </c>
      <c r="BQ368">
        <v>1</v>
      </c>
      <c r="CS368" t="s">
        <v>713</v>
      </c>
    </row>
    <row r="369" spans="1:98">
      <c r="B369" t="s">
        <v>1963</v>
      </c>
      <c r="C369" s="2" t="s">
        <v>3819</v>
      </c>
      <c r="D369" s="2" t="s">
        <v>3819</v>
      </c>
      <c r="E369" s="8" t="s">
        <v>710</v>
      </c>
      <c r="F369" s="8" t="s">
        <v>115</v>
      </c>
      <c r="G369" s="1">
        <v>1</v>
      </c>
      <c r="H369" s="1"/>
      <c r="I369" s="1">
        <f>1798-21</f>
        <v>1777</v>
      </c>
      <c r="J369" t="s">
        <v>10</v>
      </c>
      <c r="K369" t="s">
        <v>12</v>
      </c>
      <c r="Q369">
        <v>5</v>
      </c>
      <c r="R369">
        <v>1</v>
      </c>
      <c r="S369">
        <v>2</v>
      </c>
      <c r="T369" s="5">
        <f t="shared" si="20"/>
        <v>161.07</v>
      </c>
      <c r="U369" t="s">
        <v>3818</v>
      </c>
      <c r="AE369" s="6">
        <v>1</v>
      </c>
      <c r="AF369" s="6">
        <v>1</v>
      </c>
      <c r="BC369">
        <v>1798</v>
      </c>
      <c r="BD369" t="s">
        <v>81</v>
      </c>
      <c r="BE369" t="s">
        <v>118</v>
      </c>
      <c r="BF369" s="1" t="s">
        <v>73</v>
      </c>
      <c r="BG369" s="1">
        <v>1</v>
      </c>
      <c r="BH369">
        <v>2</v>
      </c>
      <c r="BK369" s="1">
        <v>1</v>
      </c>
      <c r="BQ369">
        <v>1</v>
      </c>
      <c r="CL369">
        <v>1</v>
      </c>
      <c r="CS369" t="s">
        <v>2900</v>
      </c>
    </row>
    <row r="370" spans="1:98">
      <c r="B370" t="s">
        <v>2896</v>
      </c>
      <c r="C370" s="15" t="s">
        <v>504</v>
      </c>
      <c r="F370" s="8" t="s">
        <v>505</v>
      </c>
      <c r="G370" s="1">
        <v>1</v>
      </c>
      <c r="H370" s="1"/>
      <c r="I370" s="1">
        <f>1811-36</f>
        <v>1775</v>
      </c>
      <c r="J370" t="s">
        <v>10</v>
      </c>
      <c r="K370" t="s">
        <v>506</v>
      </c>
      <c r="T370" s="5"/>
      <c r="U370" t="s">
        <v>507</v>
      </c>
      <c r="AE370" s="6">
        <v>1</v>
      </c>
      <c r="AF370" s="6">
        <v>1</v>
      </c>
      <c r="AG370" s="6">
        <v>1</v>
      </c>
      <c r="AH370" s="6">
        <v>1</v>
      </c>
      <c r="AI370" s="6">
        <v>1</v>
      </c>
      <c r="AJ370" s="6">
        <v>1</v>
      </c>
      <c r="AK370" s="6">
        <v>1</v>
      </c>
      <c r="AL370" s="6">
        <v>1</v>
      </c>
      <c r="AM370" s="6">
        <v>1</v>
      </c>
      <c r="AN370" s="6">
        <v>1</v>
      </c>
      <c r="AO370" s="6">
        <v>1</v>
      </c>
      <c r="AP370" s="6">
        <v>1</v>
      </c>
      <c r="AQ370" s="6">
        <v>1</v>
      </c>
      <c r="AR370" s="6">
        <v>1</v>
      </c>
      <c r="AS370" s="6">
        <v>1</v>
      </c>
      <c r="AT370" s="7">
        <v>1</v>
      </c>
      <c r="BC370" t="s">
        <v>2447</v>
      </c>
      <c r="BD370" s="7" t="s">
        <v>2897</v>
      </c>
      <c r="BE370" t="s">
        <v>1511</v>
      </c>
      <c r="BF370" s="1" t="s">
        <v>29</v>
      </c>
      <c r="BG370" s="1">
        <v>10</v>
      </c>
      <c r="BH370">
        <v>4</v>
      </c>
      <c r="BK370" s="1"/>
      <c r="BO370">
        <v>1</v>
      </c>
      <c r="BQ370">
        <v>1</v>
      </c>
      <c r="CE370">
        <v>1</v>
      </c>
      <c r="CL370">
        <v>1</v>
      </c>
      <c r="CM370">
        <v>1</v>
      </c>
      <c r="CS370" s="7" t="s">
        <v>2898</v>
      </c>
    </row>
    <row r="371" spans="1:98">
      <c r="B371" t="s">
        <v>3191</v>
      </c>
      <c r="C371" s="2" t="s">
        <v>3192</v>
      </c>
      <c r="F371" s="8" t="s">
        <v>3193</v>
      </c>
      <c r="G371" s="1"/>
      <c r="H371" s="1">
        <v>1</v>
      </c>
      <c r="I371" s="1">
        <f>1797-23</f>
        <v>1774</v>
      </c>
      <c r="J371" t="s">
        <v>10</v>
      </c>
      <c r="K371" t="s">
        <v>12</v>
      </c>
      <c r="Q371">
        <v>5</v>
      </c>
      <c r="T371" s="5">
        <f t="shared" si="20"/>
        <v>158</v>
      </c>
      <c r="U371" t="s">
        <v>2981</v>
      </c>
      <c r="AE371" s="7">
        <v>1</v>
      </c>
      <c r="BC371" t="s">
        <v>3171</v>
      </c>
      <c r="BD371" s="7" t="s">
        <v>280</v>
      </c>
      <c r="BE371" t="s">
        <v>2407</v>
      </c>
      <c r="BF371" s="1" t="s">
        <v>29</v>
      </c>
      <c r="BG371" s="1">
        <v>2</v>
      </c>
      <c r="BH371">
        <v>1</v>
      </c>
      <c r="BK371" s="1"/>
      <c r="BO371">
        <v>1</v>
      </c>
      <c r="BQ371">
        <v>1</v>
      </c>
      <c r="CN371">
        <v>1</v>
      </c>
      <c r="CS371" s="7" t="s">
        <v>281</v>
      </c>
    </row>
    <row r="372" spans="1:98">
      <c r="B372" t="s">
        <v>2979</v>
      </c>
      <c r="C372" s="2" t="s">
        <v>2980</v>
      </c>
      <c r="D372" s="2" t="s">
        <v>2980</v>
      </c>
      <c r="E372" s="8" t="s">
        <v>393</v>
      </c>
      <c r="F372" s="8" t="s">
        <v>247</v>
      </c>
      <c r="G372" s="1">
        <v>1</v>
      </c>
      <c r="H372" s="1"/>
      <c r="I372" s="1">
        <f>1801-25</f>
        <v>1776</v>
      </c>
      <c r="J372" t="s">
        <v>10</v>
      </c>
      <c r="K372" t="s">
        <v>12</v>
      </c>
      <c r="Q372">
        <v>5</v>
      </c>
      <c r="R372">
        <v>3</v>
      </c>
      <c r="S372">
        <v>1</v>
      </c>
      <c r="T372" s="5">
        <f t="shared" si="20"/>
        <v>166.11</v>
      </c>
      <c r="U372" t="s">
        <v>2981</v>
      </c>
      <c r="AE372" s="6">
        <v>1</v>
      </c>
      <c r="AF372" s="6">
        <v>1</v>
      </c>
      <c r="AG372" s="6">
        <v>1</v>
      </c>
      <c r="AH372" s="6">
        <v>1</v>
      </c>
      <c r="AI372" s="6">
        <v>1</v>
      </c>
      <c r="BC372">
        <v>1801</v>
      </c>
      <c r="BD372" t="s">
        <v>81</v>
      </c>
      <c r="BE372" s="10" t="s">
        <v>2407</v>
      </c>
      <c r="BF372" s="1" t="s">
        <v>73</v>
      </c>
      <c r="BG372" s="1">
        <v>2</v>
      </c>
      <c r="BH372">
        <v>2</v>
      </c>
      <c r="BI372">
        <v>1</v>
      </c>
      <c r="BJ372">
        <v>1</v>
      </c>
      <c r="BK372" s="30">
        <v>1</v>
      </c>
      <c r="BQ372">
        <v>1</v>
      </c>
      <c r="CL372" s="10">
        <v>1</v>
      </c>
      <c r="CS372" s="10" t="s">
        <v>2982</v>
      </c>
      <c r="CT372" s="6" t="s">
        <v>3177</v>
      </c>
    </row>
    <row r="373" spans="1:98">
      <c r="A373" t="s">
        <v>72</v>
      </c>
      <c r="B373" t="s">
        <v>851</v>
      </c>
      <c r="C373" s="15"/>
      <c r="F373" t="s">
        <v>7</v>
      </c>
      <c r="G373" s="1"/>
      <c r="H373" s="1"/>
      <c r="I373" s="1"/>
      <c r="T373" s="5"/>
      <c r="U373" t="s">
        <v>852</v>
      </c>
      <c r="AE373" s="6">
        <v>1</v>
      </c>
      <c r="AF373" s="6">
        <v>1</v>
      </c>
      <c r="AG373" s="7">
        <v>1</v>
      </c>
      <c r="BC373" t="s">
        <v>926</v>
      </c>
      <c r="BD373" s="7" t="s">
        <v>109</v>
      </c>
      <c r="BE373" t="s">
        <v>849</v>
      </c>
      <c r="BF373" s="1" t="s">
        <v>29</v>
      </c>
      <c r="BG373" s="1">
        <v>3</v>
      </c>
      <c r="BH373">
        <v>2</v>
      </c>
      <c r="BK373" s="1"/>
      <c r="BO373">
        <v>1</v>
      </c>
      <c r="BR373">
        <v>1</v>
      </c>
      <c r="BS373">
        <v>1</v>
      </c>
      <c r="CL373">
        <v>1</v>
      </c>
      <c r="CS373" s="7" t="s">
        <v>853</v>
      </c>
    </row>
    <row r="374" spans="1:98">
      <c r="B374" t="s">
        <v>3173</v>
      </c>
      <c r="C374" s="13" t="s">
        <v>3175</v>
      </c>
      <c r="D374" s="13" t="s">
        <v>3174</v>
      </c>
      <c r="E374" s="8" t="s">
        <v>1145</v>
      </c>
      <c r="F374" s="8" t="s">
        <v>218</v>
      </c>
      <c r="G374" s="1">
        <v>1</v>
      </c>
      <c r="H374" s="1"/>
      <c r="I374" s="1">
        <f>1797-45</f>
        <v>1752</v>
      </c>
      <c r="J374" t="s">
        <v>10</v>
      </c>
      <c r="K374" t="s">
        <v>12</v>
      </c>
      <c r="Q374">
        <v>5</v>
      </c>
      <c r="R374">
        <v>0</v>
      </c>
      <c r="S374">
        <v>2</v>
      </c>
      <c r="T374" s="5">
        <f t="shared" ref="T374:T394" si="21">((Q374*316)+(R374*26.3)+(S374*2.2))/10</f>
        <v>158.44</v>
      </c>
      <c r="U374" t="s">
        <v>852</v>
      </c>
      <c r="AE374" s="14">
        <v>1</v>
      </c>
      <c r="BC374" s="9" t="s">
        <v>3176</v>
      </c>
      <c r="BD374" s="14" t="s">
        <v>338</v>
      </c>
      <c r="BE374" t="s">
        <v>2407</v>
      </c>
      <c r="BF374" s="1" t="s">
        <v>339</v>
      </c>
      <c r="BG374" s="1">
        <v>2</v>
      </c>
      <c r="BH374">
        <v>1</v>
      </c>
      <c r="BK374" s="30">
        <v>1</v>
      </c>
      <c r="BQ374">
        <v>1</v>
      </c>
      <c r="CS374" s="14" t="s">
        <v>338</v>
      </c>
      <c r="CT374" s="6" t="s">
        <v>3177</v>
      </c>
    </row>
    <row r="375" spans="1:98">
      <c r="B375" t="s">
        <v>2698</v>
      </c>
      <c r="C375" s="2" t="s">
        <v>2699</v>
      </c>
      <c r="F375" s="8" t="s">
        <v>115</v>
      </c>
      <c r="G375" s="1">
        <v>1</v>
      </c>
      <c r="H375" s="1"/>
      <c r="I375" s="1">
        <f>1814-37</f>
        <v>1777</v>
      </c>
      <c r="J375" t="s">
        <v>10</v>
      </c>
      <c r="K375" t="s">
        <v>12</v>
      </c>
      <c r="Q375">
        <v>5</v>
      </c>
      <c r="R375">
        <v>4</v>
      </c>
      <c r="T375" s="5">
        <f t="shared" si="21"/>
        <v>168.52</v>
      </c>
      <c r="U375" t="s">
        <v>2700</v>
      </c>
      <c r="AE375" s="6">
        <v>1</v>
      </c>
      <c r="AF375" s="6">
        <v>1</v>
      </c>
      <c r="AG375" s="6">
        <v>1</v>
      </c>
      <c r="AH375" s="6">
        <v>1</v>
      </c>
      <c r="AI375" s="6">
        <v>1</v>
      </c>
      <c r="AJ375" s="6">
        <v>1</v>
      </c>
      <c r="AK375" s="6">
        <v>1</v>
      </c>
      <c r="AL375" s="6">
        <v>1</v>
      </c>
      <c r="AM375" s="6">
        <v>1</v>
      </c>
      <c r="AN375" s="6">
        <v>1</v>
      </c>
      <c r="AO375" s="6">
        <v>1</v>
      </c>
      <c r="AP375" s="6">
        <v>1</v>
      </c>
      <c r="AQ375" s="6">
        <v>1</v>
      </c>
      <c r="AR375" s="6">
        <v>1</v>
      </c>
      <c r="AS375" s="6">
        <v>1</v>
      </c>
      <c r="AT375" s="6">
        <v>1</v>
      </c>
      <c r="AU375" s="6">
        <v>1</v>
      </c>
      <c r="AV375" s="6">
        <v>1</v>
      </c>
      <c r="AW375" s="14">
        <v>1</v>
      </c>
      <c r="BC375" s="9" t="s">
        <v>2701</v>
      </c>
      <c r="BD375" s="14" t="s">
        <v>338</v>
      </c>
      <c r="BE375" t="s">
        <v>999</v>
      </c>
      <c r="BF375" s="1" t="s">
        <v>339</v>
      </c>
      <c r="BG375" s="1">
        <v>4</v>
      </c>
      <c r="BH375">
        <v>3</v>
      </c>
      <c r="BJ375">
        <v>1</v>
      </c>
      <c r="BK375" s="1">
        <v>1</v>
      </c>
      <c r="BP375">
        <v>1</v>
      </c>
      <c r="BQ375">
        <v>1</v>
      </c>
      <c r="BT375">
        <v>1</v>
      </c>
      <c r="CC375">
        <v>1</v>
      </c>
      <c r="CI375">
        <v>1</v>
      </c>
      <c r="CS375" s="14" t="s">
        <v>2702</v>
      </c>
    </row>
    <row r="376" spans="1:98">
      <c r="B376" t="s">
        <v>2187</v>
      </c>
      <c r="C376" s="2" t="s">
        <v>2178</v>
      </c>
      <c r="D376" s="2" t="s">
        <v>2178</v>
      </c>
      <c r="E376" s="8" t="s">
        <v>696</v>
      </c>
      <c r="F376" s="8" t="s">
        <v>115</v>
      </c>
      <c r="G376" s="1">
        <v>1</v>
      </c>
      <c r="H376" s="1"/>
      <c r="I376" s="1">
        <f>1803-23</f>
        <v>1780</v>
      </c>
      <c r="J376" t="s">
        <v>10</v>
      </c>
      <c r="K376" t="s">
        <v>12</v>
      </c>
      <c r="Q376">
        <v>5</v>
      </c>
      <c r="R376">
        <v>2</v>
      </c>
      <c r="S376">
        <v>2</v>
      </c>
      <c r="T376" s="5">
        <f t="shared" si="21"/>
        <v>163.69999999999999</v>
      </c>
      <c r="U376" t="s">
        <v>2188</v>
      </c>
      <c r="AE376" s="6">
        <v>1</v>
      </c>
      <c r="AF376" s="6">
        <v>1</v>
      </c>
      <c r="AG376" s="6">
        <v>1</v>
      </c>
      <c r="AH376" s="6">
        <v>1</v>
      </c>
      <c r="AI376" s="6">
        <v>1</v>
      </c>
      <c r="AJ376" s="6">
        <v>1</v>
      </c>
      <c r="AK376" s="6">
        <v>1</v>
      </c>
      <c r="AL376" s="6">
        <v>1</v>
      </c>
      <c r="AM376" s="7">
        <v>1</v>
      </c>
      <c r="BC376" t="s">
        <v>2189</v>
      </c>
      <c r="BD376" s="7" t="s">
        <v>103</v>
      </c>
      <c r="BE376" t="s">
        <v>1502</v>
      </c>
      <c r="BF376" s="1" t="s">
        <v>29</v>
      </c>
      <c r="BG376" s="1">
        <v>4</v>
      </c>
      <c r="BH376">
        <v>1</v>
      </c>
      <c r="BK376" s="1">
        <v>1</v>
      </c>
      <c r="BQ376">
        <v>1</v>
      </c>
      <c r="CS376" s="7" t="s">
        <v>614</v>
      </c>
    </row>
    <row r="377" spans="1:98">
      <c r="B377" t="s">
        <v>3997</v>
      </c>
      <c r="C377" s="13" t="s">
        <v>3998</v>
      </c>
      <c r="D377" s="13" t="s">
        <v>3999</v>
      </c>
      <c r="E377" s="8" t="s">
        <v>122</v>
      </c>
      <c r="F377" s="8" t="s">
        <v>115</v>
      </c>
      <c r="G377" s="1">
        <v>1</v>
      </c>
      <c r="H377" s="1"/>
      <c r="I377" s="1">
        <f>1803-30</f>
        <v>1773</v>
      </c>
      <c r="J377" t="s">
        <v>69</v>
      </c>
      <c r="K377" t="s">
        <v>12</v>
      </c>
      <c r="M377">
        <v>1</v>
      </c>
      <c r="Q377">
        <v>5</v>
      </c>
      <c r="R377">
        <v>1</v>
      </c>
      <c r="T377" s="5">
        <f t="shared" si="21"/>
        <v>160.63</v>
      </c>
      <c r="U377" t="s">
        <v>3814</v>
      </c>
      <c r="AE377" s="6">
        <v>1</v>
      </c>
      <c r="AF377" s="6">
        <v>1</v>
      </c>
      <c r="AG377" s="6">
        <v>1</v>
      </c>
      <c r="AH377" s="6">
        <v>1</v>
      </c>
      <c r="AI377" s="6">
        <v>1</v>
      </c>
      <c r="AJ377" s="6">
        <v>1</v>
      </c>
      <c r="AK377" s="6">
        <v>1</v>
      </c>
      <c r="AL377" s="6">
        <v>1</v>
      </c>
      <c r="AM377" s="7">
        <v>1</v>
      </c>
      <c r="BC377" t="s">
        <v>4000</v>
      </c>
      <c r="BD377" s="7" t="s">
        <v>103</v>
      </c>
      <c r="BE377" t="s">
        <v>2635</v>
      </c>
      <c r="BF377" s="1" t="s">
        <v>29</v>
      </c>
      <c r="BG377" s="1">
        <v>2</v>
      </c>
      <c r="BH377">
        <v>2</v>
      </c>
      <c r="BK377" s="1">
        <v>1</v>
      </c>
      <c r="BQ377">
        <v>1</v>
      </c>
      <c r="CI377">
        <v>1</v>
      </c>
      <c r="CL377">
        <v>1</v>
      </c>
      <c r="CS377" s="7" t="s">
        <v>614</v>
      </c>
    </row>
    <row r="378" spans="1:98">
      <c r="B378" t="s">
        <v>3817</v>
      </c>
      <c r="C378" s="13" t="s">
        <v>3816</v>
      </c>
      <c r="D378" s="13" t="s">
        <v>3815</v>
      </c>
      <c r="E378" s="8" t="s">
        <v>920</v>
      </c>
      <c r="F378" s="8" t="s">
        <v>115</v>
      </c>
      <c r="G378" s="1">
        <v>1</v>
      </c>
      <c r="H378" s="1"/>
      <c r="I378" s="1">
        <f>1798-24</f>
        <v>1774</v>
      </c>
      <c r="J378" t="s">
        <v>69</v>
      </c>
      <c r="K378" t="s">
        <v>12</v>
      </c>
      <c r="Q378">
        <v>5</v>
      </c>
      <c r="R378">
        <v>1</v>
      </c>
      <c r="S378">
        <v>3</v>
      </c>
      <c r="T378" s="5">
        <f t="shared" si="21"/>
        <v>161.29</v>
      </c>
      <c r="U378" t="s">
        <v>3814</v>
      </c>
      <c r="AE378" s="6">
        <v>1</v>
      </c>
      <c r="AF378" s="6">
        <v>1</v>
      </c>
      <c r="BC378">
        <v>1798</v>
      </c>
      <c r="BD378" t="s">
        <v>81</v>
      </c>
      <c r="BE378" t="s">
        <v>118</v>
      </c>
      <c r="BF378" s="1" t="s">
        <v>73</v>
      </c>
      <c r="BG378" s="1">
        <v>1</v>
      </c>
      <c r="BH378">
        <v>2</v>
      </c>
      <c r="BI378">
        <v>1</v>
      </c>
      <c r="BK378" s="1" t="s">
        <v>72</v>
      </c>
      <c r="BQ378">
        <v>1</v>
      </c>
      <c r="CL378">
        <v>1</v>
      </c>
      <c r="CN378">
        <v>1</v>
      </c>
      <c r="CP378">
        <v>1</v>
      </c>
      <c r="CS378" t="s">
        <v>2900</v>
      </c>
    </row>
    <row r="379" spans="1:98">
      <c r="B379" t="s">
        <v>4270</v>
      </c>
      <c r="C379" s="2" t="s">
        <v>1207</v>
      </c>
      <c r="D379" s="26" t="s">
        <v>3186</v>
      </c>
      <c r="E379" s="8" t="s">
        <v>837</v>
      </c>
      <c r="F379" s="8" t="s">
        <v>115</v>
      </c>
      <c r="G379" s="1">
        <v>1</v>
      </c>
      <c r="H379" s="1"/>
      <c r="I379" s="1">
        <f>1803-25</f>
        <v>1778</v>
      </c>
      <c r="J379" t="s">
        <v>69</v>
      </c>
      <c r="K379" t="s">
        <v>12</v>
      </c>
      <c r="M379">
        <v>1</v>
      </c>
      <c r="Q379">
        <v>5</v>
      </c>
      <c r="R379">
        <v>6</v>
      </c>
      <c r="T379" s="5">
        <f t="shared" si="21"/>
        <v>173.78</v>
      </c>
      <c r="U379" t="s">
        <v>3814</v>
      </c>
      <c r="AE379" s="6">
        <v>1</v>
      </c>
      <c r="AF379" s="6">
        <v>1</v>
      </c>
      <c r="AG379" s="6">
        <v>1</v>
      </c>
      <c r="AH379" s="6">
        <v>1</v>
      </c>
      <c r="AI379" s="6">
        <v>1</v>
      </c>
      <c r="AJ379" s="6">
        <v>1</v>
      </c>
      <c r="AK379" s="6">
        <v>1</v>
      </c>
      <c r="AL379" s="6">
        <v>1</v>
      </c>
      <c r="AM379" s="7">
        <v>1</v>
      </c>
      <c r="BC379" t="s">
        <v>4271</v>
      </c>
      <c r="BD379" s="7" t="s">
        <v>103</v>
      </c>
      <c r="BE379" t="s">
        <v>2635</v>
      </c>
      <c r="BF379" s="1" t="s">
        <v>29</v>
      </c>
      <c r="BG379" s="1">
        <v>2</v>
      </c>
      <c r="BH379">
        <v>3</v>
      </c>
      <c r="BK379" s="1">
        <v>1</v>
      </c>
      <c r="BQ379">
        <v>1</v>
      </c>
      <c r="CF379">
        <v>1</v>
      </c>
      <c r="CL379">
        <v>1</v>
      </c>
      <c r="CS379" s="7" t="s">
        <v>1388</v>
      </c>
    </row>
    <row r="380" spans="1:98">
      <c r="B380" t="s">
        <v>2951</v>
      </c>
      <c r="C380" s="2" t="s">
        <v>2950</v>
      </c>
      <c r="D380" s="2"/>
      <c r="E380" s="8" t="s">
        <v>122</v>
      </c>
      <c r="F380" s="8" t="s">
        <v>115</v>
      </c>
      <c r="G380" s="1">
        <v>1</v>
      </c>
      <c r="H380" s="1"/>
      <c r="I380" s="1">
        <f>1797-30</f>
        <v>1767</v>
      </c>
      <c r="J380" t="s">
        <v>69</v>
      </c>
      <c r="K380" t="s">
        <v>140</v>
      </c>
      <c r="Q380">
        <v>5</v>
      </c>
      <c r="R380">
        <v>5</v>
      </c>
      <c r="T380" s="5">
        <f t="shared" si="21"/>
        <v>171.15</v>
      </c>
      <c r="U380" t="s">
        <v>2746</v>
      </c>
      <c r="AE380" s="6">
        <v>1</v>
      </c>
      <c r="AF380" s="6">
        <v>1</v>
      </c>
      <c r="AG380" s="6">
        <v>1</v>
      </c>
      <c r="AH380" s="6">
        <v>1</v>
      </c>
      <c r="AI380" s="6">
        <v>1</v>
      </c>
      <c r="AJ380" s="6">
        <v>1</v>
      </c>
      <c r="AK380" s="6">
        <v>1</v>
      </c>
      <c r="AL380" s="6">
        <v>1</v>
      </c>
      <c r="AM380" s="7">
        <v>1</v>
      </c>
      <c r="BC380" t="s">
        <v>2055</v>
      </c>
      <c r="BD380" s="7" t="s">
        <v>103</v>
      </c>
      <c r="BE380" t="s">
        <v>2635</v>
      </c>
      <c r="BF380" s="1" t="s">
        <v>29</v>
      </c>
      <c r="BG380" s="1">
        <v>3</v>
      </c>
      <c r="BH380">
        <v>2</v>
      </c>
      <c r="BI380">
        <v>1</v>
      </c>
      <c r="BK380" s="1">
        <v>1</v>
      </c>
      <c r="BQ380">
        <v>1</v>
      </c>
      <c r="CL380">
        <v>1</v>
      </c>
      <c r="CS380" s="7" t="s">
        <v>614</v>
      </c>
    </row>
    <row r="381" spans="1:98">
      <c r="B381" t="s">
        <v>2743</v>
      </c>
      <c r="C381" s="2" t="s">
        <v>2744</v>
      </c>
      <c r="D381" s="2" t="s">
        <v>2745</v>
      </c>
      <c r="E381" s="8" t="s">
        <v>1381</v>
      </c>
      <c r="F381" s="8" t="s">
        <v>115</v>
      </c>
      <c r="G381" s="1">
        <v>1</v>
      </c>
      <c r="H381" s="1"/>
      <c r="I381" s="1">
        <f>1802-25</f>
        <v>1777</v>
      </c>
      <c r="J381" t="s">
        <v>69</v>
      </c>
      <c r="K381" t="s">
        <v>12</v>
      </c>
      <c r="N381">
        <v>1</v>
      </c>
      <c r="Q381">
        <v>5</v>
      </c>
      <c r="R381">
        <v>3</v>
      </c>
      <c r="S381">
        <v>2</v>
      </c>
      <c r="T381" s="5">
        <f>((Q381*316)+(R381*26.3)+(S381*2.2))/10</f>
        <v>166.33</v>
      </c>
      <c r="U381" t="s">
        <v>2746</v>
      </c>
      <c r="AE381" s="6">
        <v>1</v>
      </c>
      <c r="AF381" s="6">
        <v>1</v>
      </c>
      <c r="AG381" s="6">
        <v>1</v>
      </c>
      <c r="AH381" s="6">
        <v>1</v>
      </c>
      <c r="AI381" s="6">
        <v>1</v>
      </c>
      <c r="AJ381" s="7">
        <v>1</v>
      </c>
      <c r="BC381" t="s">
        <v>1420</v>
      </c>
      <c r="BD381" s="7" t="s">
        <v>280</v>
      </c>
      <c r="BE381" t="s">
        <v>2005</v>
      </c>
      <c r="BF381" s="1" t="s">
        <v>29</v>
      </c>
      <c r="BG381" s="1">
        <v>2</v>
      </c>
      <c r="BH381">
        <v>1</v>
      </c>
      <c r="BK381" s="1">
        <v>1</v>
      </c>
      <c r="BQ381">
        <v>1</v>
      </c>
      <c r="CN381">
        <v>1</v>
      </c>
      <c r="CS381" s="7" t="s">
        <v>2748</v>
      </c>
    </row>
    <row r="382" spans="1:98">
      <c r="B382" t="s">
        <v>2957</v>
      </c>
      <c r="C382" s="2" t="s">
        <v>2955</v>
      </c>
      <c r="D382" s="2" t="s">
        <v>2955</v>
      </c>
      <c r="E382" s="8" t="s">
        <v>122</v>
      </c>
      <c r="F382" s="8" t="s">
        <v>115</v>
      </c>
      <c r="G382" s="1">
        <v>1</v>
      </c>
      <c r="H382" s="1"/>
      <c r="I382" s="1">
        <f>1797-28</f>
        <v>1769</v>
      </c>
      <c r="J382" t="s">
        <v>10</v>
      </c>
      <c r="K382" t="s">
        <v>12</v>
      </c>
      <c r="Q382">
        <v>5</v>
      </c>
      <c r="R382">
        <v>1</v>
      </c>
      <c r="S382">
        <v>1</v>
      </c>
      <c r="T382" s="5">
        <f>((Q382*316)+(R382*26.3)+(S382*2.2))/10</f>
        <v>160.85</v>
      </c>
      <c r="U382" t="s">
        <v>2746</v>
      </c>
      <c r="AE382" s="6">
        <v>1</v>
      </c>
      <c r="BC382">
        <v>1797</v>
      </c>
      <c r="BD382" t="s">
        <v>81</v>
      </c>
      <c r="BE382" s="10" t="s">
        <v>1904</v>
      </c>
      <c r="BF382" s="1" t="s">
        <v>73</v>
      </c>
      <c r="BG382" s="1">
        <v>1</v>
      </c>
      <c r="BH382">
        <v>2</v>
      </c>
      <c r="BI382">
        <v>1</v>
      </c>
      <c r="BK382" s="1">
        <v>1</v>
      </c>
      <c r="BQ382">
        <v>1</v>
      </c>
      <c r="CL382" s="10">
        <v>1</v>
      </c>
      <c r="CS382" s="10" t="s">
        <v>2939</v>
      </c>
    </row>
    <row r="383" spans="1:98">
      <c r="B383" t="s">
        <v>3952</v>
      </c>
      <c r="C383" s="2" t="s">
        <v>2949</v>
      </c>
      <c r="D383" s="2" t="s">
        <v>2949</v>
      </c>
      <c r="E383" s="8" t="s">
        <v>122</v>
      </c>
      <c r="F383" s="8" t="s">
        <v>115</v>
      </c>
      <c r="G383" s="1">
        <v>1</v>
      </c>
      <c r="H383" s="1"/>
      <c r="I383" s="1">
        <f>1797-16</f>
        <v>1781</v>
      </c>
      <c r="J383" t="s">
        <v>10</v>
      </c>
      <c r="K383" t="s">
        <v>197</v>
      </c>
      <c r="Q383">
        <v>5</v>
      </c>
      <c r="R383">
        <v>1</v>
      </c>
      <c r="T383" s="5">
        <f>((Q383*316)+(R383*26.3)+(S383*2.2))/10</f>
        <v>160.63</v>
      </c>
      <c r="U383" t="s">
        <v>2746</v>
      </c>
      <c r="AE383" s="6">
        <v>1</v>
      </c>
      <c r="AF383" s="6">
        <v>1</v>
      </c>
      <c r="AG383" s="6">
        <v>1</v>
      </c>
      <c r="AH383" s="6">
        <v>1</v>
      </c>
      <c r="AI383" s="6">
        <v>1</v>
      </c>
      <c r="AJ383" s="6">
        <v>1</v>
      </c>
      <c r="AK383" s="6">
        <v>1</v>
      </c>
      <c r="AL383" s="6">
        <v>1</v>
      </c>
      <c r="AM383" s="7">
        <v>1</v>
      </c>
      <c r="BC383" t="s">
        <v>1889</v>
      </c>
      <c r="BD383" s="7" t="s">
        <v>103</v>
      </c>
      <c r="BE383" t="s">
        <v>2635</v>
      </c>
      <c r="BF383" s="1" t="s">
        <v>29</v>
      </c>
      <c r="BG383" s="1">
        <v>3</v>
      </c>
      <c r="BH383">
        <v>2</v>
      </c>
      <c r="BI383">
        <v>1</v>
      </c>
      <c r="BK383" s="1">
        <v>1</v>
      </c>
      <c r="BQ383">
        <v>1</v>
      </c>
      <c r="CL383">
        <v>1</v>
      </c>
      <c r="CS383" s="7" t="s">
        <v>614</v>
      </c>
    </row>
    <row r="384" spans="1:98">
      <c r="B384" t="s">
        <v>3800</v>
      </c>
      <c r="C384" s="13" t="s">
        <v>3801</v>
      </c>
      <c r="D384" s="2"/>
      <c r="F384" s="8" t="s">
        <v>234</v>
      </c>
      <c r="G384" s="1">
        <v>1</v>
      </c>
      <c r="H384" s="1"/>
      <c r="I384" s="1">
        <f>1798-30</f>
        <v>1768</v>
      </c>
      <c r="J384" t="s">
        <v>10</v>
      </c>
      <c r="K384" t="s">
        <v>12</v>
      </c>
      <c r="Q384">
        <v>5</v>
      </c>
      <c r="R384">
        <v>2</v>
      </c>
      <c r="T384" s="5">
        <f t="shared" si="21"/>
        <v>163.26</v>
      </c>
      <c r="U384" t="s">
        <v>2746</v>
      </c>
      <c r="AE384" s="6">
        <v>1</v>
      </c>
      <c r="AF384" s="6">
        <v>1</v>
      </c>
      <c r="BC384">
        <v>1798</v>
      </c>
      <c r="BD384" t="s">
        <v>81</v>
      </c>
      <c r="BE384" t="s">
        <v>118</v>
      </c>
      <c r="BF384" s="1" t="s">
        <v>73</v>
      </c>
      <c r="BG384" s="1">
        <v>2</v>
      </c>
      <c r="BH384">
        <v>2</v>
      </c>
      <c r="BI384">
        <v>1</v>
      </c>
      <c r="BK384" s="1" t="s">
        <v>72</v>
      </c>
      <c r="BQ384">
        <v>1</v>
      </c>
      <c r="CL384">
        <v>1</v>
      </c>
      <c r="CS384" t="s">
        <v>2900</v>
      </c>
    </row>
    <row r="385" spans="1:98">
      <c r="B385" t="s">
        <v>2947</v>
      </c>
      <c r="C385" s="2" t="s">
        <v>2948</v>
      </c>
      <c r="D385" s="2" t="s">
        <v>2948</v>
      </c>
      <c r="E385" s="8" t="s">
        <v>122</v>
      </c>
      <c r="F385" s="8" t="s">
        <v>115</v>
      </c>
      <c r="G385" s="1">
        <v>1</v>
      </c>
      <c r="H385" s="1"/>
      <c r="I385" s="1">
        <f>1797-25</f>
        <v>1772</v>
      </c>
      <c r="J385" t="s">
        <v>10</v>
      </c>
      <c r="K385" t="s">
        <v>197</v>
      </c>
      <c r="Q385">
        <v>5</v>
      </c>
      <c r="R385">
        <v>2</v>
      </c>
      <c r="S385">
        <v>2</v>
      </c>
      <c r="T385" s="5">
        <f t="shared" si="21"/>
        <v>163.69999999999999</v>
      </c>
      <c r="U385" t="s">
        <v>2746</v>
      </c>
      <c r="AE385" s="6">
        <v>1</v>
      </c>
      <c r="AF385" s="6">
        <v>1</v>
      </c>
      <c r="AG385" s="6">
        <v>1</v>
      </c>
      <c r="AH385" s="6">
        <v>1</v>
      </c>
      <c r="AI385" s="6">
        <v>1</v>
      </c>
      <c r="AJ385" s="6">
        <v>1</v>
      </c>
      <c r="AK385" s="6">
        <v>1</v>
      </c>
      <c r="AL385" s="6">
        <v>1</v>
      </c>
      <c r="AM385" s="7">
        <v>1</v>
      </c>
      <c r="BC385" t="s">
        <v>1889</v>
      </c>
      <c r="BD385" s="7" t="s">
        <v>103</v>
      </c>
      <c r="BE385" t="s">
        <v>2635</v>
      </c>
      <c r="BF385" s="1" t="s">
        <v>29</v>
      </c>
      <c r="BG385" s="1">
        <v>3</v>
      </c>
      <c r="BH385">
        <v>2</v>
      </c>
      <c r="BI385">
        <v>1</v>
      </c>
      <c r="BK385" s="1">
        <v>1</v>
      </c>
      <c r="BQ385">
        <v>1</v>
      </c>
      <c r="CL385">
        <v>1</v>
      </c>
      <c r="CS385" s="7" t="s">
        <v>614</v>
      </c>
    </row>
    <row r="386" spans="1:98">
      <c r="B386" t="s">
        <v>2954</v>
      </c>
      <c r="C386" s="2" t="s">
        <v>224</v>
      </c>
      <c r="D386" s="2" t="s">
        <v>224</v>
      </c>
      <c r="E386" s="8" t="s">
        <v>122</v>
      </c>
      <c r="F386" s="8" t="s">
        <v>115</v>
      </c>
      <c r="G386" s="1">
        <v>1</v>
      </c>
      <c r="H386" s="1"/>
      <c r="I386" s="1">
        <f>1797-20</f>
        <v>1777</v>
      </c>
      <c r="J386" t="s">
        <v>10</v>
      </c>
      <c r="K386" t="s">
        <v>12</v>
      </c>
      <c r="Q386">
        <v>5</v>
      </c>
      <c r="R386">
        <v>1</v>
      </c>
      <c r="T386" s="5">
        <f t="shared" si="21"/>
        <v>160.63</v>
      </c>
      <c r="U386" t="s">
        <v>2746</v>
      </c>
      <c r="AE386" s="6">
        <v>1</v>
      </c>
      <c r="BC386">
        <v>1797</v>
      </c>
      <c r="BD386" t="s">
        <v>81</v>
      </c>
      <c r="BE386" s="10" t="s">
        <v>1904</v>
      </c>
      <c r="BF386" s="1" t="s">
        <v>73</v>
      </c>
      <c r="BG386" s="1">
        <v>1</v>
      </c>
      <c r="BH386">
        <v>2</v>
      </c>
      <c r="BI386">
        <v>1</v>
      </c>
      <c r="BK386" s="1">
        <v>1</v>
      </c>
      <c r="BQ386">
        <v>1</v>
      </c>
      <c r="CL386" s="10">
        <v>1</v>
      </c>
      <c r="CS386" s="10" t="s">
        <v>2939</v>
      </c>
    </row>
    <row r="387" spans="1:98">
      <c r="B387" t="s">
        <v>4014</v>
      </c>
      <c r="C387" s="13" t="s">
        <v>4015</v>
      </c>
      <c r="D387" s="13" t="s">
        <v>4016</v>
      </c>
      <c r="E387" s="8" t="s">
        <v>122</v>
      </c>
      <c r="F387" s="8" t="s">
        <v>115</v>
      </c>
      <c r="G387" s="1">
        <v>1</v>
      </c>
      <c r="H387" s="1"/>
      <c r="I387" s="1">
        <f>1803-27</f>
        <v>1776</v>
      </c>
      <c r="J387" t="s">
        <v>10</v>
      </c>
      <c r="K387" t="s">
        <v>197</v>
      </c>
      <c r="Q387">
        <v>5</v>
      </c>
      <c r="R387">
        <v>2</v>
      </c>
      <c r="S387">
        <v>1</v>
      </c>
      <c r="T387" s="5">
        <f t="shared" si="21"/>
        <v>163.47999999999999</v>
      </c>
      <c r="U387" t="s">
        <v>2746</v>
      </c>
      <c r="AE387" s="6">
        <v>1</v>
      </c>
      <c r="AF387" s="6">
        <v>1</v>
      </c>
      <c r="AG387" s="6">
        <v>1</v>
      </c>
      <c r="AH387" s="6">
        <v>1</v>
      </c>
      <c r="AI387" s="6">
        <v>1</v>
      </c>
      <c r="AJ387" s="6">
        <v>1</v>
      </c>
      <c r="AK387" s="6">
        <v>1</v>
      </c>
      <c r="AL387" s="7">
        <v>1</v>
      </c>
      <c r="BC387" t="s">
        <v>3955</v>
      </c>
      <c r="BD387" s="7" t="s">
        <v>103</v>
      </c>
      <c r="BE387" t="s">
        <v>2635</v>
      </c>
      <c r="BF387" s="1" t="s">
        <v>29</v>
      </c>
      <c r="BG387" s="1">
        <v>3</v>
      </c>
      <c r="BH387">
        <v>3</v>
      </c>
      <c r="BK387" s="1">
        <v>1</v>
      </c>
      <c r="BQ387">
        <v>1</v>
      </c>
      <c r="CC387">
        <v>1</v>
      </c>
      <c r="CL387">
        <v>1</v>
      </c>
      <c r="CS387" s="7" t="s">
        <v>4017</v>
      </c>
    </row>
    <row r="388" spans="1:98">
      <c r="B388" t="s">
        <v>2956</v>
      </c>
      <c r="C388" s="2" t="s">
        <v>2955</v>
      </c>
      <c r="D388" s="2" t="s">
        <v>2955</v>
      </c>
      <c r="E388" s="8" t="s">
        <v>122</v>
      </c>
      <c r="F388" s="8" t="s">
        <v>115</v>
      </c>
      <c r="G388" s="1">
        <v>1</v>
      </c>
      <c r="H388" s="1"/>
      <c r="I388" s="1">
        <f>1797-20</f>
        <v>1777</v>
      </c>
      <c r="J388" t="s">
        <v>10</v>
      </c>
      <c r="K388" t="s">
        <v>12</v>
      </c>
      <c r="Q388">
        <v>5</v>
      </c>
      <c r="R388">
        <v>4</v>
      </c>
      <c r="T388" s="5">
        <f t="shared" si="21"/>
        <v>168.52</v>
      </c>
      <c r="U388" t="s">
        <v>2746</v>
      </c>
      <c r="AE388" s="6">
        <v>1</v>
      </c>
      <c r="BC388">
        <v>1797</v>
      </c>
      <c r="BD388" t="s">
        <v>81</v>
      </c>
      <c r="BE388" s="10" t="s">
        <v>1904</v>
      </c>
      <c r="BF388" s="1" t="s">
        <v>73</v>
      </c>
      <c r="BG388" s="1">
        <v>1</v>
      </c>
      <c r="BH388">
        <v>2</v>
      </c>
      <c r="BI388">
        <v>1</v>
      </c>
      <c r="BK388" s="1">
        <v>1</v>
      </c>
      <c r="BQ388">
        <v>1</v>
      </c>
      <c r="CL388" s="10">
        <v>1</v>
      </c>
      <c r="CS388" s="10" t="s">
        <v>2939</v>
      </c>
    </row>
    <row r="389" spans="1:98">
      <c r="B389" t="s">
        <v>3140</v>
      </c>
      <c r="C389" s="2" t="s">
        <v>2918</v>
      </c>
      <c r="D389" s="2" t="s">
        <v>2918</v>
      </c>
      <c r="E389" s="8" t="s">
        <v>1306</v>
      </c>
      <c r="F389" s="8" t="s">
        <v>65</v>
      </c>
      <c r="G389" s="1">
        <v>1</v>
      </c>
      <c r="H389" s="1"/>
      <c r="I389" s="1">
        <f>1797-17</f>
        <v>1780</v>
      </c>
      <c r="J389" t="s">
        <v>10</v>
      </c>
      <c r="K389" t="s">
        <v>197</v>
      </c>
      <c r="Q389">
        <v>5</v>
      </c>
      <c r="R389">
        <v>2</v>
      </c>
      <c r="T389" s="5">
        <f t="shared" si="21"/>
        <v>163.26</v>
      </c>
      <c r="U389" t="s">
        <v>2746</v>
      </c>
      <c r="AE389" s="6">
        <v>1</v>
      </c>
      <c r="AF389" s="6">
        <v>1</v>
      </c>
      <c r="AG389" s="6">
        <v>1</v>
      </c>
      <c r="AH389" s="6">
        <v>1</v>
      </c>
      <c r="AI389" s="6">
        <v>1</v>
      </c>
      <c r="AJ389" s="6">
        <v>1</v>
      </c>
      <c r="AK389" s="6">
        <v>1</v>
      </c>
      <c r="AL389" s="6">
        <v>1</v>
      </c>
      <c r="AM389" s="7">
        <v>1</v>
      </c>
      <c r="BC389" t="s">
        <v>3065</v>
      </c>
      <c r="BD389" s="7" t="s">
        <v>305</v>
      </c>
      <c r="BE389" t="s">
        <v>1904</v>
      </c>
      <c r="BF389" s="1" t="s">
        <v>29</v>
      </c>
      <c r="BG389" s="1">
        <v>5</v>
      </c>
      <c r="BH389">
        <v>1</v>
      </c>
      <c r="BK389" s="1">
        <v>1</v>
      </c>
      <c r="BQ389">
        <v>1</v>
      </c>
      <c r="CM389">
        <v>1</v>
      </c>
      <c r="CS389" s="7" t="s">
        <v>4036</v>
      </c>
    </row>
    <row r="390" spans="1:98">
      <c r="B390" t="s">
        <v>2953</v>
      </c>
      <c r="C390" s="13" t="s">
        <v>2952</v>
      </c>
      <c r="D390" s="15"/>
      <c r="E390" s="8" t="s">
        <v>122</v>
      </c>
      <c r="F390" s="8" t="s">
        <v>115</v>
      </c>
      <c r="G390" s="1">
        <v>1</v>
      </c>
      <c r="H390" s="1"/>
      <c r="I390" s="1">
        <f>1797-20</f>
        <v>1777</v>
      </c>
      <c r="J390" t="s">
        <v>10</v>
      </c>
      <c r="K390" t="s">
        <v>140</v>
      </c>
      <c r="Q390">
        <v>5</v>
      </c>
      <c r="R390">
        <v>2</v>
      </c>
      <c r="T390" s="5">
        <f>((Q390*316)+(R390*26.3)+(S390*2.2))/10</f>
        <v>163.26</v>
      </c>
      <c r="U390" t="s">
        <v>2746</v>
      </c>
      <c r="AE390" s="6">
        <v>1</v>
      </c>
      <c r="AF390" s="6">
        <v>1</v>
      </c>
      <c r="AG390" s="6">
        <v>1</v>
      </c>
      <c r="AH390" s="6">
        <v>1</v>
      </c>
      <c r="AI390" s="6">
        <v>1</v>
      </c>
      <c r="AJ390" s="6">
        <v>1</v>
      </c>
      <c r="AK390" s="6">
        <v>1</v>
      </c>
      <c r="AL390" s="6">
        <v>1</v>
      </c>
      <c r="AM390" s="7">
        <v>1</v>
      </c>
      <c r="BC390" t="s">
        <v>2055</v>
      </c>
      <c r="BD390" s="7" t="s">
        <v>103</v>
      </c>
      <c r="BE390" t="s">
        <v>2635</v>
      </c>
      <c r="BF390" s="1" t="s">
        <v>29</v>
      </c>
      <c r="BG390" s="1">
        <v>3</v>
      </c>
      <c r="BH390">
        <v>2</v>
      </c>
      <c r="BI390">
        <v>1</v>
      </c>
      <c r="BK390" s="1">
        <v>1</v>
      </c>
      <c r="BQ390">
        <v>1</v>
      </c>
      <c r="CL390">
        <v>1</v>
      </c>
      <c r="CS390" s="7" t="s">
        <v>614</v>
      </c>
    </row>
    <row r="391" spans="1:98">
      <c r="B391" t="s">
        <v>3995</v>
      </c>
      <c r="C391" s="13" t="s">
        <v>2952</v>
      </c>
      <c r="D391" s="15"/>
      <c r="E391" s="8" t="s">
        <v>122</v>
      </c>
      <c r="F391" s="8" t="s">
        <v>115</v>
      </c>
      <c r="G391" s="1">
        <v>1</v>
      </c>
      <c r="H391" s="1"/>
      <c r="I391" s="1">
        <f>1797-22</f>
        <v>1775</v>
      </c>
      <c r="J391" t="s">
        <v>10</v>
      </c>
      <c r="K391" t="s">
        <v>3996</v>
      </c>
      <c r="Q391">
        <v>5</v>
      </c>
      <c r="R391">
        <v>2</v>
      </c>
      <c r="T391" s="5">
        <f>((Q391*316)+(R391*26.3)+(S391*2.2))/10</f>
        <v>163.26</v>
      </c>
      <c r="U391" t="s">
        <v>2746</v>
      </c>
      <c r="AE391" s="6">
        <v>1</v>
      </c>
      <c r="AF391" s="6">
        <v>1</v>
      </c>
      <c r="AG391" s="6">
        <v>1</v>
      </c>
      <c r="AH391" s="6">
        <v>1</v>
      </c>
      <c r="AI391" s="6">
        <v>1</v>
      </c>
      <c r="AJ391" s="6">
        <v>1</v>
      </c>
      <c r="AK391" s="6">
        <v>1</v>
      </c>
      <c r="AL391" s="6">
        <v>1</v>
      </c>
      <c r="AM391" s="6">
        <v>1</v>
      </c>
      <c r="AN391" s="7">
        <v>1</v>
      </c>
      <c r="BC391" t="s">
        <v>198</v>
      </c>
      <c r="BD391" s="7" t="s">
        <v>109</v>
      </c>
      <c r="BE391" t="s">
        <v>2635</v>
      </c>
      <c r="BF391" s="1" t="s">
        <v>29</v>
      </c>
      <c r="BG391" s="1">
        <v>1</v>
      </c>
      <c r="BH391">
        <v>2</v>
      </c>
      <c r="BI391">
        <v>1</v>
      </c>
      <c r="BK391" s="1">
        <v>1</v>
      </c>
      <c r="BQ391">
        <v>1</v>
      </c>
      <c r="CL391">
        <v>1</v>
      </c>
      <c r="CS391" s="7" t="s">
        <v>1593</v>
      </c>
    </row>
    <row r="392" spans="1:98">
      <c r="B392" t="s">
        <v>3953</v>
      </c>
      <c r="C392" s="2" t="s">
        <v>1765</v>
      </c>
      <c r="D392" s="26" t="s">
        <v>3954</v>
      </c>
      <c r="E392" s="8" t="s">
        <v>1381</v>
      </c>
      <c r="F392" s="8" t="s">
        <v>115</v>
      </c>
      <c r="G392" s="1">
        <v>1</v>
      </c>
      <c r="H392" s="1"/>
      <c r="I392" s="1">
        <f>1803-25</f>
        <v>1778</v>
      </c>
      <c r="J392" t="s">
        <v>10</v>
      </c>
      <c r="K392" t="s">
        <v>12</v>
      </c>
      <c r="Q392">
        <v>5</v>
      </c>
      <c r="R392">
        <v>4</v>
      </c>
      <c r="S392">
        <v>1</v>
      </c>
      <c r="T392" s="5">
        <f t="shared" si="21"/>
        <v>168.74</v>
      </c>
      <c r="U392" t="s">
        <v>2746</v>
      </c>
      <c r="AE392" s="6">
        <v>1</v>
      </c>
      <c r="AF392" s="6">
        <v>1</v>
      </c>
      <c r="AG392" s="6">
        <v>1</v>
      </c>
      <c r="AH392" s="6">
        <v>1</v>
      </c>
      <c r="AI392" s="6">
        <v>1</v>
      </c>
      <c r="AJ392" s="6">
        <v>1</v>
      </c>
      <c r="AK392" s="6">
        <v>1</v>
      </c>
      <c r="AL392" s="7">
        <v>1</v>
      </c>
      <c r="BC392" t="s">
        <v>3955</v>
      </c>
      <c r="BD392" s="7" t="s">
        <v>103</v>
      </c>
      <c r="BE392" t="s">
        <v>2635</v>
      </c>
      <c r="BF392" s="1" t="s">
        <v>29</v>
      </c>
      <c r="BG392" s="1">
        <v>2</v>
      </c>
      <c r="BH392">
        <v>2</v>
      </c>
      <c r="BK392" s="1">
        <v>1</v>
      </c>
      <c r="BQ392">
        <v>1</v>
      </c>
      <c r="CL392">
        <v>1</v>
      </c>
      <c r="CS392" s="7" t="s">
        <v>4017</v>
      </c>
    </row>
    <row r="393" spans="1:98">
      <c r="B393" t="s">
        <v>4284</v>
      </c>
      <c r="C393" s="2" t="s">
        <v>224</v>
      </c>
      <c r="D393" s="2" t="s">
        <v>224</v>
      </c>
      <c r="E393" s="8" t="s">
        <v>122</v>
      </c>
      <c r="F393" s="8" t="s">
        <v>115</v>
      </c>
      <c r="G393" s="1">
        <v>1</v>
      </c>
      <c r="H393" s="1"/>
      <c r="I393" s="1">
        <f>1797-20</f>
        <v>1777</v>
      </c>
      <c r="J393" t="s">
        <v>10</v>
      </c>
      <c r="K393" t="s">
        <v>12</v>
      </c>
      <c r="Q393">
        <v>5</v>
      </c>
      <c r="R393">
        <v>4</v>
      </c>
      <c r="S393">
        <v>1</v>
      </c>
      <c r="T393" s="5">
        <f t="shared" si="21"/>
        <v>168.74</v>
      </c>
      <c r="U393" t="s">
        <v>2746</v>
      </c>
      <c r="AE393" s="6">
        <v>1</v>
      </c>
      <c r="AF393" s="6">
        <v>1</v>
      </c>
      <c r="AG393" s="6">
        <v>1</v>
      </c>
      <c r="AH393" s="6">
        <v>1</v>
      </c>
      <c r="AI393" s="6">
        <v>1</v>
      </c>
      <c r="AJ393" s="6">
        <v>1</v>
      </c>
      <c r="AK393" s="6">
        <v>1</v>
      </c>
      <c r="AL393" s="6">
        <v>1</v>
      </c>
      <c r="AM393" s="7">
        <v>1</v>
      </c>
      <c r="BC393" t="s">
        <v>4285</v>
      </c>
      <c r="BD393" s="7" t="s">
        <v>103</v>
      </c>
      <c r="BE393" t="s">
        <v>2635</v>
      </c>
      <c r="BF393" s="1" t="s">
        <v>29</v>
      </c>
      <c r="BG393" s="1">
        <v>3</v>
      </c>
      <c r="BH393">
        <v>2</v>
      </c>
      <c r="BI393">
        <v>1</v>
      </c>
      <c r="BK393" s="1">
        <v>1</v>
      </c>
      <c r="BQ393">
        <v>1</v>
      </c>
      <c r="CL393">
        <v>1</v>
      </c>
      <c r="CS393" s="7" t="s">
        <v>614</v>
      </c>
    </row>
    <row r="394" spans="1:98">
      <c r="B394" t="s">
        <v>3809</v>
      </c>
      <c r="C394" s="2" t="s">
        <v>3808</v>
      </c>
      <c r="D394" s="2" t="s">
        <v>3808</v>
      </c>
      <c r="E394" s="8" t="s">
        <v>837</v>
      </c>
      <c r="F394" s="8" t="s">
        <v>115</v>
      </c>
      <c r="G394" s="1">
        <v>1</v>
      </c>
      <c r="H394" s="1"/>
      <c r="I394" s="1">
        <f>1798-20</f>
        <v>1778</v>
      </c>
      <c r="J394" t="s">
        <v>10</v>
      </c>
      <c r="K394" t="s">
        <v>12</v>
      </c>
      <c r="Q394">
        <v>5</v>
      </c>
      <c r="R394">
        <v>3</v>
      </c>
      <c r="S394">
        <v>1</v>
      </c>
      <c r="T394" s="5">
        <f t="shared" si="21"/>
        <v>166.11</v>
      </c>
      <c r="U394" t="s">
        <v>725</v>
      </c>
      <c r="AE394" s="6">
        <v>1</v>
      </c>
      <c r="AF394" s="6">
        <v>1</v>
      </c>
      <c r="BC394">
        <v>1798</v>
      </c>
      <c r="BD394" t="s">
        <v>81</v>
      </c>
      <c r="BE394" t="s">
        <v>118</v>
      </c>
      <c r="BF394" s="1" t="s">
        <v>73</v>
      </c>
      <c r="BG394" s="1">
        <v>1</v>
      </c>
      <c r="BH394">
        <v>2</v>
      </c>
      <c r="BI394">
        <v>1</v>
      </c>
      <c r="BK394" s="1">
        <v>1</v>
      </c>
      <c r="BQ394" t="s">
        <v>72</v>
      </c>
      <c r="CL394">
        <v>1</v>
      </c>
      <c r="CS394" t="s">
        <v>2900</v>
      </c>
    </row>
    <row r="395" spans="1:98">
      <c r="A395" t="s">
        <v>72</v>
      </c>
      <c r="B395" t="s">
        <v>288</v>
      </c>
      <c r="C395" s="15"/>
      <c r="F395" t="s">
        <v>7</v>
      </c>
      <c r="G395" s="1"/>
      <c r="H395" s="1"/>
      <c r="I395" s="1"/>
      <c r="T395" s="5"/>
      <c r="U395" s="9" t="s">
        <v>289</v>
      </c>
      <c r="AE395" s="9">
        <v>1</v>
      </c>
      <c r="AF395" s="6">
        <v>1</v>
      </c>
      <c r="AG395" s="6">
        <v>1</v>
      </c>
      <c r="AH395" s="6">
        <v>1</v>
      </c>
      <c r="AI395" s="7">
        <v>1</v>
      </c>
      <c r="BC395" t="s">
        <v>290</v>
      </c>
      <c r="BD395" s="7" t="s">
        <v>26</v>
      </c>
      <c r="BE395" t="s">
        <v>125</v>
      </c>
      <c r="BF395" s="1" t="s">
        <v>29</v>
      </c>
      <c r="BG395" s="1">
        <v>7</v>
      </c>
      <c r="BH395">
        <v>1</v>
      </c>
      <c r="BK395" s="1">
        <v>1</v>
      </c>
      <c r="BQ395">
        <v>1</v>
      </c>
      <c r="CS395" s="7" t="s">
        <v>291</v>
      </c>
      <c r="CT395" s="9" t="s">
        <v>127</v>
      </c>
    </row>
    <row r="396" spans="1:98">
      <c r="A396" t="s">
        <v>72</v>
      </c>
      <c r="B396" t="s">
        <v>292</v>
      </c>
      <c r="C396" s="15"/>
      <c r="F396" t="s">
        <v>7</v>
      </c>
      <c r="G396" s="1"/>
      <c r="H396" s="1"/>
      <c r="I396" s="1"/>
      <c r="T396" s="5"/>
      <c r="U396" s="9" t="s">
        <v>289</v>
      </c>
      <c r="AE396" s="9">
        <v>1</v>
      </c>
      <c r="AF396" s="6">
        <v>1</v>
      </c>
      <c r="AG396" s="7">
        <v>1</v>
      </c>
      <c r="BC396" t="s">
        <v>293</v>
      </c>
      <c r="BD396" s="7" t="s">
        <v>26</v>
      </c>
      <c r="BE396" t="s">
        <v>125</v>
      </c>
      <c r="BF396" s="1" t="s">
        <v>29</v>
      </c>
      <c r="BG396" s="1">
        <v>3</v>
      </c>
      <c r="BH396">
        <v>1</v>
      </c>
      <c r="BK396" s="1">
        <v>1</v>
      </c>
      <c r="BQ396">
        <v>1</v>
      </c>
      <c r="CS396" s="7" t="s">
        <v>294</v>
      </c>
      <c r="CT396" s="9" t="s">
        <v>127</v>
      </c>
    </row>
    <row r="397" spans="1:98">
      <c r="B397" t="s">
        <v>2919</v>
      </c>
      <c r="C397" s="13" t="s">
        <v>2920</v>
      </c>
      <c r="F397" s="8" t="s">
        <v>88</v>
      </c>
      <c r="G397" s="1"/>
      <c r="H397" s="1">
        <v>1</v>
      </c>
      <c r="I397" s="1">
        <f>1802-24</f>
        <v>1778</v>
      </c>
      <c r="J397" t="s">
        <v>10</v>
      </c>
      <c r="K397" t="s">
        <v>12</v>
      </c>
      <c r="Q397">
        <v>5</v>
      </c>
      <c r="R397">
        <v>2</v>
      </c>
      <c r="S397">
        <v>1</v>
      </c>
      <c r="T397" s="5">
        <f t="shared" ref="T397" si="22">((Q397*316)+(R397*26.3)+(S397*2.2))/10</f>
        <v>163.47999999999999</v>
      </c>
      <c r="U397" t="s">
        <v>272</v>
      </c>
      <c r="AE397" s="6">
        <v>1</v>
      </c>
      <c r="AF397" s="6">
        <v>1</v>
      </c>
      <c r="AG397" s="6">
        <v>1</v>
      </c>
      <c r="AH397" s="6">
        <v>1</v>
      </c>
      <c r="AI397" s="6">
        <v>1</v>
      </c>
      <c r="AJ397" s="6">
        <v>1</v>
      </c>
      <c r="AK397" s="6">
        <v>1</v>
      </c>
      <c r="AL397" s="6">
        <v>1</v>
      </c>
      <c r="AM397" s="6">
        <v>1</v>
      </c>
      <c r="AN397" s="6">
        <v>1</v>
      </c>
      <c r="AO397" s="6">
        <v>1</v>
      </c>
      <c r="AP397" s="6">
        <v>1</v>
      </c>
      <c r="AQ397" s="6">
        <v>1</v>
      </c>
      <c r="AR397" s="6">
        <v>1</v>
      </c>
      <c r="AS397" s="6">
        <v>1</v>
      </c>
      <c r="AT397" s="6">
        <v>1</v>
      </c>
      <c r="BC397">
        <v>1812</v>
      </c>
      <c r="BD397" t="s">
        <v>81</v>
      </c>
      <c r="BE397" t="s">
        <v>62</v>
      </c>
      <c r="BF397" s="1" t="s">
        <v>29</v>
      </c>
      <c r="BG397" s="1">
        <v>4</v>
      </c>
      <c r="BH397">
        <v>3</v>
      </c>
      <c r="BK397" s="1" t="s">
        <v>72</v>
      </c>
      <c r="BP397" s="9"/>
      <c r="BQ397">
        <v>1</v>
      </c>
      <c r="CL397">
        <v>1</v>
      </c>
      <c r="CN397">
        <v>1</v>
      </c>
      <c r="CO397" s="9">
        <v>1</v>
      </c>
      <c r="CS397" t="s">
        <v>2487</v>
      </c>
      <c r="CT397" s="9" t="s">
        <v>2921</v>
      </c>
    </row>
    <row r="398" spans="1:98">
      <c r="B398" t="s">
        <v>2340</v>
      </c>
      <c r="C398" s="2" t="s">
        <v>1336</v>
      </c>
      <c r="D398" s="2" t="s">
        <v>2341</v>
      </c>
      <c r="E398" s="8" t="s">
        <v>837</v>
      </c>
      <c r="F398" s="8" t="s">
        <v>115</v>
      </c>
      <c r="G398" s="1">
        <v>1</v>
      </c>
      <c r="H398" s="1"/>
      <c r="I398" s="1">
        <f>1797-30</f>
        <v>1767</v>
      </c>
      <c r="J398" t="s">
        <v>69</v>
      </c>
      <c r="K398" t="s">
        <v>12</v>
      </c>
      <c r="Q398">
        <v>5</v>
      </c>
      <c r="R398">
        <v>4</v>
      </c>
      <c r="T398" s="5">
        <f t="shared" ref="T398:T419" si="23">((Q398*316)+(R398*26.3)+(S398*2.2))/10</f>
        <v>168.52</v>
      </c>
      <c r="U398" t="s">
        <v>272</v>
      </c>
      <c r="AE398" s="7">
        <v>1</v>
      </c>
      <c r="BC398" t="s">
        <v>2342</v>
      </c>
      <c r="BD398" s="7" t="s">
        <v>103</v>
      </c>
      <c r="BE398" t="s">
        <v>1922</v>
      </c>
      <c r="BF398" s="1" t="s">
        <v>29</v>
      </c>
      <c r="BG398" s="1">
        <v>1</v>
      </c>
      <c r="BH398">
        <v>1</v>
      </c>
      <c r="BK398" s="1">
        <v>1</v>
      </c>
      <c r="BQ398">
        <v>1</v>
      </c>
      <c r="CS398" s="7" t="s">
        <v>2343</v>
      </c>
    </row>
    <row r="399" spans="1:98">
      <c r="B399" t="s">
        <v>2371</v>
      </c>
      <c r="C399" s="2" t="s">
        <v>2372</v>
      </c>
      <c r="D399" s="2" t="s">
        <v>2372</v>
      </c>
      <c r="E399" s="8" t="s">
        <v>837</v>
      </c>
      <c r="F399" s="8" t="s">
        <v>115</v>
      </c>
      <c r="G399" s="1">
        <v>1</v>
      </c>
      <c r="H399" s="1"/>
      <c r="I399" s="1">
        <f>1797-20</f>
        <v>1777</v>
      </c>
      <c r="J399" t="s">
        <v>69</v>
      </c>
      <c r="K399" t="s">
        <v>12</v>
      </c>
      <c r="Q399">
        <v>5</v>
      </c>
      <c r="R399">
        <v>1</v>
      </c>
      <c r="S399">
        <v>1</v>
      </c>
      <c r="T399" s="5">
        <f t="shared" si="23"/>
        <v>160.85</v>
      </c>
      <c r="U399" t="s">
        <v>272</v>
      </c>
      <c r="AE399" s="7">
        <v>1</v>
      </c>
      <c r="BC399" t="s">
        <v>2373</v>
      </c>
      <c r="BD399" s="7" t="s">
        <v>103</v>
      </c>
      <c r="BE399" t="s">
        <v>1922</v>
      </c>
      <c r="BF399" s="1" t="s">
        <v>29</v>
      </c>
      <c r="BG399" s="1">
        <v>1</v>
      </c>
      <c r="BH399">
        <v>1</v>
      </c>
      <c r="BK399" s="1">
        <v>1</v>
      </c>
      <c r="BQ399">
        <v>1</v>
      </c>
      <c r="CS399" s="7" t="s">
        <v>2374</v>
      </c>
    </row>
    <row r="400" spans="1:98">
      <c r="B400" t="s">
        <v>270</v>
      </c>
      <c r="C400" s="15" t="s">
        <v>227</v>
      </c>
      <c r="D400" s="15" t="s">
        <v>227</v>
      </c>
      <c r="E400" s="8" t="s">
        <v>271</v>
      </c>
      <c r="F400" s="8" t="s">
        <v>115</v>
      </c>
      <c r="G400" s="1">
        <v>1</v>
      </c>
      <c r="H400" s="1"/>
      <c r="I400" s="1">
        <f>1797-30</f>
        <v>1767</v>
      </c>
      <c r="J400" t="s">
        <v>69</v>
      </c>
      <c r="K400" t="s">
        <v>12</v>
      </c>
      <c r="N400">
        <v>1</v>
      </c>
      <c r="Q400">
        <v>5</v>
      </c>
      <c r="T400" s="5">
        <f t="shared" si="23"/>
        <v>158</v>
      </c>
      <c r="U400" t="s">
        <v>272</v>
      </c>
      <c r="AE400" s="6">
        <v>1</v>
      </c>
      <c r="BC400" t="s">
        <v>273</v>
      </c>
      <c r="BD400" t="s">
        <v>81</v>
      </c>
      <c r="BE400" s="10" t="s">
        <v>125</v>
      </c>
      <c r="BF400" s="1" t="s">
        <v>73</v>
      </c>
      <c r="BG400" s="1">
        <v>1</v>
      </c>
      <c r="BH400">
        <v>1</v>
      </c>
      <c r="BI400">
        <v>1</v>
      </c>
      <c r="BJ400">
        <v>1</v>
      </c>
      <c r="BK400" s="1">
        <v>1</v>
      </c>
      <c r="BQ400">
        <v>1</v>
      </c>
      <c r="CC400">
        <v>1</v>
      </c>
      <c r="CL400">
        <v>1</v>
      </c>
      <c r="CS400" s="10" t="s">
        <v>902</v>
      </c>
    </row>
    <row r="401" spans="2:98">
      <c r="B401" t="s">
        <v>3829</v>
      </c>
      <c r="C401" s="2" t="s">
        <v>3830</v>
      </c>
      <c r="D401" s="2" t="s">
        <v>3832</v>
      </c>
      <c r="E401" s="8" t="s">
        <v>3831</v>
      </c>
      <c r="F401" s="8" t="s">
        <v>115</v>
      </c>
      <c r="G401" s="1">
        <v>1</v>
      </c>
      <c r="H401" s="1"/>
      <c r="I401" s="1">
        <f>1798-27</f>
        <v>1771</v>
      </c>
      <c r="J401" t="s">
        <v>10</v>
      </c>
      <c r="K401" t="s">
        <v>12</v>
      </c>
      <c r="Q401">
        <v>5</v>
      </c>
      <c r="R401">
        <v>2</v>
      </c>
      <c r="T401" s="5">
        <f t="shared" si="23"/>
        <v>163.26</v>
      </c>
      <c r="U401" t="s">
        <v>1686</v>
      </c>
      <c r="AE401" s="6">
        <v>1</v>
      </c>
      <c r="AF401" s="6">
        <v>1</v>
      </c>
      <c r="BC401">
        <v>1798</v>
      </c>
      <c r="BD401" t="s">
        <v>81</v>
      </c>
      <c r="BE401" t="s">
        <v>118</v>
      </c>
      <c r="BF401" s="1" t="s">
        <v>73</v>
      </c>
      <c r="BG401" s="1">
        <v>1</v>
      </c>
      <c r="BH401">
        <v>2</v>
      </c>
      <c r="BI401">
        <v>1</v>
      </c>
      <c r="BK401" s="1" t="s">
        <v>72</v>
      </c>
      <c r="BQ401">
        <v>1</v>
      </c>
      <c r="CL401">
        <v>1</v>
      </c>
      <c r="CN401" s="9"/>
      <c r="CP401" s="9"/>
      <c r="CS401" t="s">
        <v>2900</v>
      </c>
      <c r="CT401" s="9" t="s">
        <v>3833</v>
      </c>
    </row>
    <row r="402" spans="2:98">
      <c r="B402" t="s">
        <v>1683</v>
      </c>
      <c r="C402" s="2" t="s">
        <v>826</v>
      </c>
      <c r="D402" s="2" t="s">
        <v>826</v>
      </c>
      <c r="E402" s="8" t="s">
        <v>654</v>
      </c>
      <c r="F402" s="8" t="s">
        <v>65</v>
      </c>
      <c r="G402" s="1">
        <v>1</v>
      </c>
      <c r="H402" s="1"/>
      <c r="I402" s="1">
        <f>1797-22</f>
        <v>1775</v>
      </c>
      <c r="J402" t="s">
        <v>10</v>
      </c>
      <c r="K402" t="s">
        <v>12</v>
      </c>
      <c r="Q402">
        <v>5</v>
      </c>
      <c r="R402">
        <v>1</v>
      </c>
      <c r="S402">
        <v>2</v>
      </c>
      <c r="T402" s="5">
        <f t="shared" si="23"/>
        <v>161.07</v>
      </c>
      <c r="U402" t="s">
        <v>1686</v>
      </c>
      <c r="AE402" s="6">
        <v>1</v>
      </c>
      <c r="AF402" s="7">
        <v>1</v>
      </c>
      <c r="BC402" t="s">
        <v>1684</v>
      </c>
      <c r="BD402" s="7" t="s">
        <v>280</v>
      </c>
      <c r="BE402" t="s">
        <v>125</v>
      </c>
      <c r="BF402" s="1" t="s">
        <v>29</v>
      </c>
      <c r="BG402" s="1">
        <v>4</v>
      </c>
      <c r="BH402">
        <v>2</v>
      </c>
      <c r="BI402">
        <v>1</v>
      </c>
      <c r="BK402">
        <v>1</v>
      </c>
      <c r="BQ402">
        <v>1</v>
      </c>
      <c r="CL402">
        <v>1</v>
      </c>
      <c r="CN402">
        <v>1</v>
      </c>
      <c r="CS402" s="7" t="s">
        <v>1685</v>
      </c>
    </row>
    <row r="403" spans="2:98">
      <c r="B403" t="s">
        <v>1675</v>
      </c>
      <c r="C403" s="2" t="s">
        <v>1676</v>
      </c>
      <c r="D403" s="8" t="s">
        <v>1677</v>
      </c>
      <c r="E403" s="8" t="s">
        <v>837</v>
      </c>
      <c r="F403" s="8" t="s">
        <v>115</v>
      </c>
      <c r="G403" s="1">
        <v>1</v>
      </c>
      <c r="H403" s="1"/>
      <c r="I403" s="1">
        <f>1797-26</f>
        <v>1771</v>
      </c>
      <c r="J403" t="s">
        <v>69</v>
      </c>
      <c r="K403" t="s">
        <v>197</v>
      </c>
      <c r="Q403">
        <v>5</v>
      </c>
      <c r="R403">
        <v>2</v>
      </c>
      <c r="T403" s="5">
        <f t="shared" si="23"/>
        <v>163.26</v>
      </c>
      <c r="U403" t="s">
        <v>1679</v>
      </c>
      <c r="AE403" s="6">
        <v>1</v>
      </c>
      <c r="AF403" s="6">
        <v>1</v>
      </c>
      <c r="AG403" s="7">
        <v>1</v>
      </c>
      <c r="BC403" t="s">
        <v>1678</v>
      </c>
      <c r="BD403" s="7" t="s">
        <v>26</v>
      </c>
      <c r="BE403" t="s">
        <v>125</v>
      </c>
      <c r="BF403" s="1" t="s">
        <v>29</v>
      </c>
      <c r="BG403" s="1">
        <v>6</v>
      </c>
      <c r="BH403">
        <v>2</v>
      </c>
      <c r="BI403">
        <v>1</v>
      </c>
      <c r="BK403">
        <v>1</v>
      </c>
      <c r="BQ403">
        <v>1</v>
      </c>
      <c r="CL403">
        <v>1</v>
      </c>
      <c r="CS403" s="7" t="s">
        <v>294</v>
      </c>
    </row>
    <row r="404" spans="2:98">
      <c r="B404" t="s">
        <v>1406</v>
      </c>
      <c r="C404" s="15" t="s">
        <v>1680</v>
      </c>
      <c r="D404" s="15"/>
      <c r="E404" s="8" t="s">
        <v>654</v>
      </c>
      <c r="F404" s="8" t="s">
        <v>65</v>
      </c>
      <c r="G404" s="1">
        <v>1</v>
      </c>
      <c r="H404" s="1"/>
      <c r="I404" s="1">
        <f>1797-42</f>
        <v>1755</v>
      </c>
      <c r="J404" t="s">
        <v>69</v>
      </c>
      <c r="K404" t="s">
        <v>197</v>
      </c>
      <c r="M404">
        <v>1</v>
      </c>
      <c r="Q404">
        <v>5</v>
      </c>
      <c r="R404">
        <v>5</v>
      </c>
      <c r="S404">
        <v>1</v>
      </c>
      <c r="T404" s="5">
        <f t="shared" si="23"/>
        <v>171.37</v>
      </c>
      <c r="U404" t="s">
        <v>1920</v>
      </c>
      <c r="AE404" s="6">
        <v>1</v>
      </c>
      <c r="AF404" s="6">
        <v>1</v>
      </c>
      <c r="AG404" s="6">
        <v>1</v>
      </c>
      <c r="AH404" s="6">
        <v>1</v>
      </c>
      <c r="AI404" s="7">
        <v>1</v>
      </c>
      <c r="BC404" t="s">
        <v>1681</v>
      </c>
      <c r="BD404" s="7" t="s">
        <v>26</v>
      </c>
      <c r="BE404" t="s">
        <v>125</v>
      </c>
      <c r="BF404" s="1" t="s">
        <v>29</v>
      </c>
      <c r="BG404" s="1">
        <v>6</v>
      </c>
      <c r="BH404">
        <v>2</v>
      </c>
      <c r="BI404">
        <v>1</v>
      </c>
      <c r="BK404">
        <v>1</v>
      </c>
      <c r="BQ404">
        <v>1</v>
      </c>
      <c r="CL404">
        <v>1</v>
      </c>
      <c r="CS404" s="7" t="s">
        <v>1682</v>
      </c>
    </row>
    <row r="405" spans="2:98">
      <c r="B405" t="s">
        <v>1916</v>
      </c>
      <c r="C405" s="2" t="s">
        <v>1917</v>
      </c>
      <c r="D405" s="2" t="s">
        <v>1918</v>
      </c>
      <c r="E405" s="8" t="s">
        <v>1919</v>
      </c>
      <c r="F405" s="8" t="s">
        <v>218</v>
      </c>
      <c r="G405" s="1">
        <v>1</v>
      </c>
      <c r="H405" s="1"/>
      <c r="I405" s="1">
        <f>1797-26</f>
        <v>1771</v>
      </c>
      <c r="J405" t="s">
        <v>10</v>
      </c>
      <c r="K405" t="s">
        <v>12</v>
      </c>
      <c r="Q405">
        <v>5</v>
      </c>
      <c r="R405">
        <v>3</v>
      </c>
      <c r="S405">
        <v>2</v>
      </c>
      <c r="T405" s="5">
        <f t="shared" si="23"/>
        <v>166.33</v>
      </c>
      <c r="U405" t="s">
        <v>1674</v>
      </c>
      <c r="AE405" s="7">
        <v>1</v>
      </c>
      <c r="BC405" t="s">
        <v>1921</v>
      </c>
      <c r="BD405" s="7" t="s">
        <v>103</v>
      </c>
      <c r="BE405" t="s">
        <v>1922</v>
      </c>
      <c r="BF405" s="1" t="s">
        <v>29</v>
      </c>
      <c r="BG405" s="1">
        <v>1</v>
      </c>
      <c r="BH405">
        <v>1</v>
      </c>
      <c r="BK405">
        <v>1</v>
      </c>
      <c r="BN405">
        <v>1</v>
      </c>
      <c r="BQ405">
        <v>1</v>
      </c>
      <c r="CS405" s="7" t="s">
        <v>1754</v>
      </c>
    </row>
    <row r="406" spans="2:98">
      <c r="B406" t="s">
        <v>1671</v>
      </c>
      <c r="C406" s="2" t="s">
        <v>655</v>
      </c>
      <c r="D406" s="2" t="s">
        <v>655</v>
      </c>
      <c r="E406" s="8" t="s">
        <v>654</v>
      </c>
      <c r="F406" s="8" t="s">
        <v>65</v>
      </c>
      <c r="G406" s="1">
        <v>1</v>
      </c>
      <c r="H406" s="1"/>
      <c r="I406" s="1">
        <f>1797-20</f>
        <v>1777</v>
      </c>
      <c r="J406" t="s">
        <v>10</v>
      </c>
      <c r="K406" t="s">
        <v>12</v>
      </c>
      <c r="Q406">
        <v>5</v>
      </c>
      <c r="R406">
        <v>2</v>
      </c>
      <c r="T406" s="5">
        <f t="shared" si="23"/>
        <v>163.26</v>
      </c>
      <c r="U406" t="s">
        <v>1674</v>
      </c>
      <c r="AE406" s="6">
        <v>1</v>
      </c>
      <c r="AF406" s="6">
        <v>1</v>
      </c>
      <c r="AG406" s="6">
        <v>1</v>
      </c>
      <c r="AH406" s="6">
        <v>1</v>
      </c>
      <c r="AI406" s="7">
        <v>1</v>
      </c>
      <c r="BC406" t="s">
        <v>324</v>
      </c>
      <c r="BD406" s="7" t="s">
        <v>109</v>
      </c>
      <c r="BE406" t="s">
        <v>125</v>
      </c>
      <c r="BF406" s="1" t="s">
        <v>29</v>
      </c>
      <c r="BG406" s="1">
        <v>6</v>
      </c>
      <c r="BH406">
        <v>2</v>
      </c>
      <c r="BI406">
        <v>1</v>
      </c>
      <c r="BK406" s="6">
        <v>1</v>
      </c>
      <c r="BQ406">
        <v>1</v>
      </c>
      <c r="CL406">
        <v>1</v>
      </c>
      <c r="CS406" s="7" t="s">
        <v>1672</v>
      </c>
      <c r="CT406" s="6" t="s">
        <v>1673</v>
      </c>
    </row>
    <row r="407" spans="2:98">
      <c r="B407" t="s">
        <v>3136</v>
      </c>
      <c r="C407" s="2" t="s">
        <v>3137</v>
      </c>
      <c r="D407" s="15"/>
      <c r="F407" s="8" t="s">
        <v>115</v>
      </c>
      <c r="G407" s="1">
        <v>1</v>
      </c>
      <c r="H407" s="1"/>
      <c r="I407" s="1">
        <f>1797-20</f>
        <v>1777</v>
      </c>
      <c r="J407" t="s">
        <v>69</v>
      </c>
      <c r="K407" t="s">
        <v>12</v>
      </c>
      <c r="N407">
        <v>1</v>
      </c>
      <c r="Q407">
        <v>5</v>
      </c>
      <c r="R407">
        <v>2</v>
      </c>
      <c r="T407" s="5">
        <f>((Q407*316)+(R407*26.3)+(S407*2.2))/10</f>
        <v>163.26</v>
      </c>
      <c r="U407" t="s">
        <v>3138</v>
      </c>
      <c r="AE407" s="6">
        <v>1</v>
      </c>
      <c r="AF407" s="6">
        <v>1</v>
      </c>
      <c r="AG407" s="6">
        <v>1</v>
      </c>
      <c r="AH407" s="6">
        <v>1</v>
      </c>
      <c r="AI407" s="6">
        <v>1</v>
      </c>
      <c r="AJ407" s="6">
        <v>1</v>
      </c>
      <c r="AK407" s="6">
        <v>1</v>
      </c>
      <c r="AL407" s="6">
        <v>1</v>
      </c>
      <c r="AM407" s="7">
        <v>1</v>
      </c>
      <c r="BC407" t="s">
        <v>3139</v>
      </c>
      <c r="BD407" s="7" t="s">
        <v>103</v>
      </c>
      <c r="BE407" t="s">
        <v>1904</v>
      </c>
      <c r="BF407" s="1" t="s">
        <v>29</v>
      </c>
      <c r="BG407" s="1">
        <v>5</v>
      </c>
      <c r="BH407">
        <v>3</v>
      </c>
      <c r="BI407">
        <v>1</v>
      </c>
      <c r="BK407">
        <v>1</v>
      </c>
      <c r="BQ407">
        <v>1</v>
      </c>
      <c r="CL407">
        <v>1</v>
      </c>
      <c r="CM407">
        <v>1</v>
      </c>
      <c r="CS407" s="7" t="s">
        <v>1066</v>
      </c>
    </row>
    <row r="408" spans="2:98">
      <c r="B408" t="s">
        <v>1661</v>
      </c>
      <c r="C408" s="15" t="s">
        <v>1662</v>
      </c>
      <c r="D408" s="15"/>
      <c r="F408" s="8" t="s">
        <v>115</v>
      </c>
      <c r="G408" s="1">
        <v>1</v>
      </c>
      <c r="H408" s="1"/>
      <c r="I408" s="1">
        <f>1797-20</f>
        <v>1777</v>
      </c>
      <c r="J408" t="s">
        <v>10</v>
      </c>
      <c r="K408" t="s">
        <v>12</v>
      </c>
      <c r="Q408">
        <v>5</v>
      </c>
      <c r="R408">
        <v>4</v>
      </c>
      <c r="S408">
        <v>2</v>
      </c>
      <c r="T408" s="5">
        <f t="shared" si="23"/>
        <v>168.96</v>
      </c>
      <c r="U408" t="s">
        <v>1665</v>
      </c>
      <c r="AE408" s="6">
        <v>1</v>
      </c>
      <c r="AF408" s="14">
        <v>1</v>
      </c>
      <c r="BC408" s="9" t="s">
        <v>1663</v>
      </c>
      <c r="BD408" s="14" t="s">
        <v>338</v>
      </c>
      <c r="BE408" t="s">
        <v>125</v>
      </c>
      <c r="BF408" s="1" t="s">
        <v>29</v>
      </c>
      <c r="BG408" s="1">
        <v>1</v>
      </c>
      <c r="BH408">
        <v>2</v>
      </c>
      <c r="BI408">
        <v>1</v>
      </c>
      <c r="BK408">
        <v>1</v>
      </c>
      <c r="BQ408">
        <v>1</v>
      </c>
      <c r="CL408">
        <v>1</v>
      </c>
      <c r="CS408" s="14" t="s">
        <v>1664</v>
      </c>
    </row>
    <row r="409" spans="2:98">
      <c r="B409" t="s">
        <v>1546</v>
      </c>
      <c r="C409" s="13" t="s">
        <v>1547</v>
      </c>
      <c r="D409" s="15"/>
      <c r="F409" s="8" t="s">
        <v>1548</v>
      </c>
      <c r="G409" s="1"/>
      <c r="H409" s="1">
        <v>1</v>
      </c>
      <c r="I409" s="1">
        <f>1799-24</f>
        <v>1775</v>
      </c>
      <c r="J409" t="s">
        <v>10</v>
      </c>
      <c r="K409" t="s">
        <v>3775</v>
      </c>
      <c r="T409" s="5"/>
      <c r="U409" t="s">
        <v>1550</v>
      </c>
      <c r="AE409" s="6">
        <v>1</v>
      </c>
      <c r="AF409" s="6">
        <v>1</v>
      </c>
      <c r="AG409" s="6">
        <v>1</v>
      </c>
      <c r="AH409" s="7">
        <v>1</v>
      </c>
      <c r="BC409" t="s">
        <v>496</v>
      </c>
      <c r="BD409" s="7" t="s">
        <v>26</v>
      </c>
      <c r="BE409" t="s">
        <v>849</v>
      </c>
      <c r="BF409" s="1" t="s">
        <v>29</v>
      </c>
      <c r="BG409" s="1">
        <v>4</v>
      </c>
      <c r="BH409">
        <v>2</v>
      </c>
      <c r="BK409" s="1"/>
      <c r="BO409">
        <v>1</v>
      </c>
      <c r="BR409">
        <v>1</v>
      </c>
      <c r="BS409">
        <v>1</v>
      </c>
      <c r="CS409" s="7" t="s">
        <v>1551</v>
      </c>
    </row>
    <row r="410" spans="2:98">
      <c r="B410" t="s">
        <v>2765</v>
      </c>
      <c r="C410" s="2" t="s">
        <v>2766</v>
      </c>
      <c r="D410" s="2" t="s">
        <v>2766</v>
      </c>
      <c r="E410" s="8" t="s">
        <v>238</v>
      </c>
      <c r="F410" s="8" t="s">
        <v>65</v>
      </c>
      <c r="G410" s="1">
        <v>1</v>
      </c>
      <c r="H410" s="1"/>
      <c r="I410" s="1">
        <f>1802-21</f>
        <v>1781</v>
      </c>
      <c r="J410" t="s">
        <v>10</v>
      </c>
      <c r="K410" t="s">
        <v>12</v>
      </c>
      <c r="Q410">
        <v>5</v>
      </c>
      <c r="T410" s="5">
        <f t="shared" si="23"/>
        <v>158</v>
      </c>
      <c r="U410" t="s">
        <v>2767</v>
      </c>
      <c r="AE410" s="6">
        <v>1</v>
      </c>
      <c r="AF410" s="6">
        <v>1</v>
      </c>
      <c r="AG410" s="6">
        <v>1</v>
      </c>
      <c r="AH410" s="6">
        <v>1</v>
      </c>
      <c r="AI410" s="6">
        <v>1</v>
      </c>
      <c r="AJ410" s="6">
        <v>1</v>
      </c>
      <c r="AK410" s="7">
        <v>1</v>
      </c>
      <c r="BC410" t="s">
        <v>1948</v>
      </c>
      <c r="BD410" s="7" t="s">
        <v>103</v>
      </c>
      <c r="BE410" t="s">
        <v>2005</v>
      </c>
      <c r="BF410" s="1" t="s">
        <v>29</v>
      </c>
      <c r="BG410" s="1">
        <v>2</v>
      </c>
      <c r="BH410">
        <v>1</v>
      </c>
      <c r="BK410" s="1">
        <v>1</v>
      </c>
      <c r="BQ410">
        <v>1</v>
      </c>
      <c r="CS410" s="7" t="s">
        <v>1066</v>
      </c>
    </row>
    <row r="411" spans="2:98">
      <c r="B411" t="s">
        <v>3970</v>
      </c>
      <c r="C411" s="2" t="s">
        <v>237</v>
      </c>
      <c r="D411" s="2" t="s">
        <v>237</v>
      </c>
      <c r="E411" s="8" t="s">
        <v>238</v>
      </c>
      <c r="F411" s="8" t="s">
        <v>65</v>
      </c>
      <c r="G411" s="1">
        <v>1</v>
      </c>
      <c r="H411" s="1"/>
      <c r="I411" s="1">
        <f>1803-29</f>
        <v>1774</v>
      </c>
      <c r="J411" t="s">
        <v>10</v>
      </c>
      <c r="K411" t="s">
        <v>12</v>
      </c>
      <c r="Q411">
        <v>5</v>
      </c>
      <c r="R411">
        <v>4</v>
      </c>
      <c r="S411">
        <v>3</v>
      </c>
      <c r="T411" s="5">
        <f t="shared" si="23"/>
        <v>169.18</v>
      </c>
      <c r="U411" t="s">
        <v>3971</v>
      </c>
      <c r="AE411" s="6">
        <v>1</v>
      </c>
      <c r="AF411" s="6">
        <v>1</v>
      </c>
      <c r="AG411" s="6">
        <v>1</v>
      </c>
      <c r="AH411" s="6">
        <v>1</v>
      </c>
      <c r="AI411" s="6">
        <v>1</v>
      </c>
      <c r="AJ411" s="6">
        <v>1</v>
      </c>
      <c r="AK411" s="6">
        <v>1</v>
      </c>
      <c r="AL411" s="7">
        <v>1</v>
      </c>
      <c r="BC411" t="s">
        <v>3972</v>
      </c>
      <c r="BD411" s="7" t="s">
        <v>103</v>
      </c>
      <c r="BE411" t="s">
        <v>2635</v>
      </c>
      <c r="BF411" s="1" t="s">
        <v>29</v>
      </c>
      <c r="BG411" s="1">
        <v>3</v>
      </c>
      <c r="BH411">
        <v>1</v>
      </c>
      <c r="BK411" s="1">
        <v>1</v>
      </c>
      <c r="BQ411">
        <v>1</v>
      </c>
      <c r="CS411" s="7" t="s">
        <v>1066</v>
      </c>
    </row>
    <row r="412" spans="2:98">
      <c r="B412" t="s">
        <v>3958</v>
      </c>
      <c r="C412" s="2" t="s">
        <v>237</v>
      </c>
      <c r="D412" s="3" t="s">
        <v>3959</v>
      </c>
      <c r="E412" s="8" t="s">
        <v>238</v>
      </c>
      <c r="F412" s="8" t="s">
        <v>65</v>
      </c>
      <c r="G412" s="1">
        <v>1</v>
      </c>
      <c r="H412" s="1"/>
      <c r="I412" s="1">
        <f>1803-28</f>
        <v>1775</v>
      </c>
      <c r="J412" t="s">
        <v>10</v>
      </c>
      <c r="K412" t="s">
        <v>12</v>
      </c>
      <c r="Q412">
        <v>5</v>
      </c>
      <c r="R412">
        <v>2</v>
      </c>
      <c r="S412">
        <v>1</v>
      </c>
      <c r="T412" s="5">
        <f t="shared" si="23"/>
        <v>163.47999999999999</v>
      </c>
      <c r="U412" t="s">
        <v>3960</v>
      </c>
      <c r="AE412" s="6">
        <v>1</v>
      </c>
      <c r="AF412" s="6">
        <v>1</v>
      </c>
      <c r="AG412" s="6">
        <v>1</v>
      </c>
      <c r="AH412" s="6">
        <v>1</v>
      </c>
      <c r="AI412" s="6">
        <v>1</v>
      </c>
      <c r="AJ412" s="6">
        <v>1</v>
      </c>
      <c r="AK412" s="7">
        <v>1</v>
      </c>
      <c r="BC412" t="s">
        <v>3961</v>
      </c>
      <c r="BD412" s="7" t="s">
        <v>103</v>
      </c>
      <c r="BE412" t="s">
        <v>2635</v>
      </c>
      <c r="BF412" s="1" t="s">
        <v>29</v>
      </c>
      <c r="BG412" s="1">
        <v>2</v>
      </c>
      <c r="BH412">
        <v>1</v>
      </c>
      <c r="BK412" s="1">
        <v>1</v>
      </c>
      <c r="BQ412">
        <v>1</v>
      </c>
      <c r="CF412" s="6">
        <v>1</v>
      </c>
      <c r="CS412" s="7" t="s">
        <v>1066</v>
      </c>
      <c r="CT412" s="6" t="s">
        <v>3962</v>
      </c>
    </row>
    <row r="413" spans="2:98">
      <c r="B413" t="s">
        <v>3822</v>
      </c>
      <c r="C413" s="2" t="s">
        <v>2489</v>
      </c>
      <c r="D413" s="15"/>
      <c r="E413" s="8" t="s">
        <v>1630</v>
      </c>
      <c r="F413" s="8" t="s">
        <v>65</v>
      </c>
      <c r="G413" s="1">
        <v>1</v>
      </c>
      <c r="H413" s="1"/>
      <c r="I413" s="1">
        <f>1798-20</f>
        <v>1778</v>
      </c>
      <c r="J413" t="s">
        <v>10</v>
      </c>
      <c r="K413" t="s">
        <v>12</v>
      </c>
      <c r="Q413">
        <v>5</v>
      </c>
      <c r="R413">
        <v>1</v>
      </c>
      <c r="T413" s="5">
        <f t="shared" si="23"/>
        <v>160.63</v>
      </c>
      <c r="U413" t="s">
        <v>3823</v>
      </c>
      <c r="AE413" s="6">
        <v>1</v>
      </c>
      <c r="AF413" s="6">
        <v>1</v>
      </c>
      <c r="BC413">
        <v>1798</v>
      </c>
      <c r="BD413" t="s">
        <v>81</v>
      </c>
      <c r="BE413" t="s">
        <v>118</v>
      </c>
      <c r="BF413" s="1" t="s">
        <v>73</v>
      </c>
      <c r="BG413" s="1">
        <v>1</v>
      </c>
      <c r="BH413">
        <v>2</v>
      </c>
      <c r="BI413">
        <v>1</v>
      </c>
      <c r="BK413" s="1" t="s">
        <v>72</v>
      </c>
      <c r="BQ413">
        <v>1</v>
      </c>
      <c r="CL413">
        <v>1</v>
      </c>
      <c r="CS413" t="s">
        <v>2900</v>
      </c>
    </row>
    <row r="414" spans="2:98">
      <c r="B414" t="s">
        <v>2795</v>
      </c>
      <c r="C414" s="2" t="s">
        <v>208</v>
      </c>
      <c r="D414" s="2" t="s">
        <v>208</v>
      </c>
      <c r="E414" s="8" t="s">
        <v>832</v>
      </c>
      <c r="F414" s="8" t="s">
        <v>65</v>
      </c>
      <c r="G414" s="1">
        <v>1</v>
      </c>
      <c r="H414" s="1"/>
      <c r="I414" s="1">
        <f>1797-20</f>
        <v>1777</v>
      </c>
      <c r="J414" t="s">
        <v>10</v>
      </c>
      <c r="K414" t="s">
        <v>12</v>
      </c>
      <c r="Q414">
        <v>5</v>
      </c>
      <c r="R414">
        <v>1</v>
      </c>
      <c r="S414">
        <v>2</v>
      </c>
      <c r="T414" s="5">
        <f t="shared" si="23"/>
        <v>161.07</v>
      </c>
      <c r="U414" t="s">
        <v>2796</v>
      </c>
      <c r="AE414" s="6">
        <v>1</v>
      </c>
      <c r="BC414">
        <v>1797</v>
      </c>
      <c r="BD414" t="s">
        <v>81</v>
      </c>
      <c r="BE414" s="10" t="s">
        <v>2407</v>
      </c>
      <c r="BF414" s="1" t="s">
        <v>73</v>
      </c>
      <c r="BG414" s="1">
        <v>1</v>
      </c>
      <c r="BH414">
        <v>2</v>
      </c>
      <c r="BK414" s="1">
        <v>1</v>
      </c>
      <c r="BQ414">
        <v>1</v>
      </c>
      <c r="CL414" s="10">
        <v>1</v>
      </c>
      <c r="CS414" s="10" t="s">
        <v>2782</v>
      </c>
    </row>
    <row r="415" spans="2:98">
      <c r="B415" t="s">
        <v>2819</v>
      </c>
      <c r="C415" s="2" t="s">
        <v>208</v>
      </c>
      <c r="D415" s="2" t="s">
        <v>208</v>
      </c>
      <c r="E415" s="8" t="s">
        <v>832</v>
      </c>
      <c r="F415" s="8" t="s">
        <v>65</v>
      </c>
      <c r="G415" s="1">
        <v>1</v>
      </c>
      <c r="H415" s="1"/>
      <c r="I415" s="1">
        <f>1797-20</f>
        <v>1777</v>
      </c>
      <c r="J415" t="s">
        <v>69</v>
      </c>
      <c r="K415" t="s">
        <v>12</v>
      </c>
      <c r="Q415">
        <v>5</v>
      </c>
      <c r="R415">
        <v>2</v>
      </c>
      <c r="T415" s="5">
        <f t="shared" si="23"/>
        <v>163.26</v>
      </c>
      <c r="U415" t="s">
        <v>2796</v>
      </c>
      <c r="AE415" s="6">
        <v>1</v>
      </c>
      <c r="AF415" s="7">
        <v>1</v>
      </c>
      <c r="BC415" t="s">
        <v>2820</v>
      </c>
      <c r="BD415" s="7" t="s">
        <v>280</v>
      </c>
      <c r="BE415" t="s">
        <v>2407</v>
      </c>
      <c r="BF415" s="1" t="s">
        <v>29</v>
      </c>
      <c r="BG415" s="1">
        <v>2</v>
      </c>
      <c r="BH415">
        <v>1</v>
      </c>
      <c r="BK415" s="1">
        <v>1</v>
      </c>
      <c r="BQ415">
        <v>1</v>
      </c>
      <c r="CN415">
        <v>1</v>
      </c>
      <c r="CS415" s="7" t="s">
        <v>1425</v>
      </c>
    </row>
    <row r="416" spans="2:98">
      <c r="B416" t="s">
        <v>3806</v>
      </c>
      <c r="C416" s="2" t="s">
        <v>2348</v>
      </c>
      <c r="D416" s="2" t="s">
        <v>2348</v>
      </c>
      <c r="E416" s="8" t="s">
        <v>654</v>
      </c>
      <c r="F416" s="8" t="s">
        <v>65</v>
      </c>
      <c r="G416" s="1">
        <v>1</v>
      </c>
      <c r="H416" s="1"/>
      <c r="I416" s="1">
        <f>1798-21</f>
        <v>1777</v>
      </c>
      <c r="J416" t="s">
        <v>10</v>
      </c>
      <c r="K416" t="s">
        <v>12</v>
      </c>
      <c r="Q416">
        <v>5</v>
      </c>
      <c r="R416">
        <v>3</v>
      </c>
      <c r="S416">
        <v>2</v>
      </c>
      <c r="T416" s="5">
        <f t="shared" si="23"/>
        <v>166.33</v>
      </c>
      <c r="U416" t="s">
        <v>3805</v>
      </c>
      <c r="AE416" s="6">
        <v>1</v>
      </c>
      <c r="AF416" s="7">
        <v>1</v>
      </c>
      <c r="BC416" t="s">
        <v>3807</v>
      </c>
      <c r="BD416" s="7" t="s">
        <v>103</v>
      </c>
      <c r="BE416" t="s">
        <v>118</v>
      </c>
      <c r="BF416" s="1" t="s">
        <v>29</v>
      </c>
      <c r="BG416" s="1">
        <v>1</v>
      </c>
      <c r="BH416">
        <v>2</v>
      </c>
      <c r="BI416">
        <v>1</v>
      </c>
      <c r="BJ416">
        <v>1</v>
      </c>
      <c r="BK416" s="1" t="s">
        <v>72</v>
      </c>
      <c r="BQ416">
        <v>1</v>
      </c>
      <c r="CL416">
        <v>1</v>
      </c>
      <c r="CS416" s="7" t="s">
        <v>1378</v>
      </c>
    </row>
    <row r="417" spans="1:97">
      <c r="B417" t="s">
        <v>2808</v>
      </c>
      <c r="C417" s="2" t="s">
        <v>1427</v>
      </c>
      <c r="D417" s="3" t="s">
        <v>2809</v>
      </c>
      <c r="E417" s="8" t="s">
        <v>238</v>
      </c>
      <c r="F417" s="8" t="s">
        <v>65</v>
      </c>
      <c r="G417" s="1">
        <v>1</v>
      </c>
      <c r="H417" s="1"/>
      <c r="I417" s="1">
        <f>1803-26</f>
        <v>1777</v>
      </c>
      <c r="J417" t="s">
        <v>10</v>
      </c>
      <c r="K417" t="s">
        <v>12</v>
      </c>
      <c r="Q417">
        <v>5</v>
      </c>
      <c r="R417">
        <v>3</v>
      </c>
      <c r="S417">
        <v>3</v>
      </c>
      <c r="T417" s="5">
        <f t="shared" si="23"/>
        <v>166.55</v>
      </c>
      <c r="U417" t="s">
        <v>2798</v>
      </c>
      <c r="AE417" s="6">
        <v>1</v>
      </c>
      <c r="AF417" s="6">
        <v>1</v>
      </c>
      <c r="AG417" s="6">
        <v>1</v>
      </c>
      <c r="AH417" s="6">
        <v>1</v>
      </c>
      <c r="AI417" s="6">
        <v>1</v>
      </c>
      <c r="AJ417" s="6">
        <v>1</v>
      </c>
      <c r="AK417" s="6">
        <v>1</v>
      </c>
      <c r="AL417" s="7">
        <v>1</v>
      </c>
      <c r="BC417" t="s">
        <v>2810</v>
      </c>
      <c r="BD417" s="7" t="s">
        <v>103</v>
      </c>
      <c r="BE417" t="s">
        <v>2005</v>
      </c>
      <c r="BF417" s="1" t="s">
        <v>29</v>
      </c>
      <c r="BG417" s="1">
        <v>3</v>
      </c>
      <c r="BH417">
        <v>1</v>
      </c>
      <c r="BK417" s="1">
        <v>1</v>
      </c>
      <c r="BQ417">
        <v>1</v>
      </c>
      <c r="CS417" s="7" t="s">
        <v>2758</v>
      </c>
    </row>
    <row r="418" spans="1:97">
      <c r="B418" t="s">
        <v>2799</v>
      </c>
      <c r="C418" s="2" t="s">
        <v>1328</v>
      </c>
      <c r="D418" s="2" t="s">
        <v>1328</v>
      </c>
      <c r="E418" s="8" t="s">
        <v>832</v>
      </c>
      <c r="F418" s="8" t="s">
        <v>65</v>
      </c>
      <c r="G418" s="1">
        <v>1</v>
      </c>
      <c r="H418" s="1"/>
      <c r="I418" s="1">
        <f>1797-18</f>
        <v>1779</v>
      </c>
      <c r="J418" t="s">
        <v>10</v>
      </c>
      <c r="K418" t="s">
        <v>12</v>
      </c>
      <c r="Q418">
        <v>5</v>
      </c>
      <c r="R418">
        <v>2</v>
      </c>
      <c r="S418">
        <v>3</v>
      </c>
      <c r="T418" s="5">
        <f t="shared" si="23"/>
        <v>163.92</v>
      </c>
      <c r="U418" t="s">
        <v>2798</v>
      </c>
      <c r="AE418" s="6">
        <v>1</v>
      </c>
      <c r="BC418">
        <v>1797</v>
      </c>
      <c r="BD418" t="s">
        <v>81</v>
      </c>
      <c r="BE418" s="10" t="s">
        <v>2407</v>
      </c>
      <c r="BF418" s="1" t="s">
        <v>73</v>
      </c>
      <c r="BG418" s="1">
        <v>1</v>
      </c>
      <c r="BH418">
        <v>2</v>
      </c>
      <c r="BK418" s="1">
        <v>1</v>
      </c>
      <c r="BQ418">
        <v>1</v>
      </c>
      <c r="CL418" s="10">
        <v>1</v>
      </c>
      <c r="CS418" s="10" t="s">
        <v>2782</v>
      </c>
    </row>
    <row r="419" spans="1:97">
      <c r="B419" t="s">
        <v>2797</v>
      </c>
      <c r="C419" s="2" t="s">
        <v>1328</v>
      </c>
      <c r="D419" s="2" t="s">
        <v>1328</v>
      </c>
      <c r="E419" s="8" t="s">
        <v>832</v>
      </c>
      <c r="F419" s="8" t="s">
        <v>65</v>
      </c>
      <c r="G419" s="1">
        <v>1</v>
      </c>
      <c r="H419" s="1"/>
      <c r="I419" s="1">
        <f>1797-24</f>
        <v>1773</v>
      </c>
      <c r="J419" t="s">
        <v>10</v>
      </c>
      <c r="K419" t="s">
        <v>12</v>
      </c>
      <c r="Q419">
        <v>5</v>
      </c>
      <c r="R419">
        <v>1</v>
      </c>
      <c r="S419">
        <v>2</v>
      </c>
      <c r="T419" s="5">
        <f t="shared" si="23"/>
        <v>161.07</v>
      </c>
      <c r="U419" t="s">
        <v>2798</v>
      </c>
      <c r="AE419" s="6">
        <v>1</v>
      </c>
      <c r="BC419">
        <v>1797</v>
      </c>
      <c r="BD419" t="s">
        <v>81</v>
      </c>
      <c r="BE419" s="10" t="s">
        <v>2407</v>
      </c>
      <c r="BF419" s="1" t="s">
        <v>73</v>
      </c>
      <c r="BG419" s="1">
        <v>1</v>
      </c>
      <c r="BH419">
        <v>2</v>
      </c>
      <c r="BK419" s="1">
        <v>1</v>
      </c>
      <c r="BQ419">
        <v>1</v>
      </c>
      <c r="CL419" s="10">
        <v>1</v>
      </c>
      <c r="CS419" s="10" t="s">
        <v>2782</v>
      </c>
    </row>
    <row r="420" spans="1:97">
      <c r="B420" t="s">
        <v>3022</v>
      </c>
      <c r="C420" s="2" t="s">
        <v>3023</v>
      </c>
      <c r="D420" s="15"/>
      <c r="E420" s="8" t="s">
        <v>1630</v>
      </c>
      <c r="F420" s="8" t="s">
        <v>65</v>
      </c>
      <c r="G420" s="1">
        <v>1</v>
      </c>
      <c r="H420" s="1"/>
      <c r="I420" s="1">
        <f>1804-31</f>
        <v>1773</v>
      </c>
      <c r="J420" t="s">
        <v>10</v>
      </c>
      <c r="K420" t="s">
        <v>12</v>
      </c>
      <c r="Q420">
        <v>5</v>
      </c>
      <c r="R420">
        <v>6</v>
      </c>
      <c r="S420">
        <v>1</v>
      </c>
      <c r="T420" s="5">
        <f>((Q420*316)+(R420*26.3)+(S420*2.2))/10</f>
        <v>174</v>
      </c>
      <c r="U420" t="s">
        <v>3024</v>
      </c>
      <c r="AE420" s="6">
        <v>1</v>
      </c>
      <c r="AF420" s="6">
        <v>1</v>
      </c>
      <c r="AG420" s="6">
        <v>1</v>
      </c>
      <c r="AH420" s="6">
        <v>1</v>
      </c>
      <c r="AI420" s="6">
        <v>1</v>
      </c>
      <c r="AJ420" s="6">
        <v>1</v>
      </c>
      <c r="AK420" s="6">
        <v>1</v>
      </c>
      <c r="AL420" s="6">
        <v>1</v>
      </c>
      <c r="AM420" s="7">
        <v>1</v>
      </c>
      <c r="BC420" t="s">
        <v>3025</v>
      </c>
      <c r="BD420" s="7" t="s">
        <v>103</v>
      </c>
      <c r="BE420" t="s">
        <v>1904</v>
      </c>
      <c r="BF420" s="1" t="s">
        <v>29</v>
      </c>
      <c r="BG420" s="1">
        <v>5</v>
      </c>
      <c r="BH420">
        <v>1</v>
      </c>
      <c r="BK420" s="1">
        <v>1</v>
      </c>
      <c r="BQ420">
        <v>1</v>
      </c>
      <c r="CM420">
        <v>1</v>
      </c>
      <c r="CS420" s="7" t="s">
        <v>1066</v>
      </c>
    </row>
    <row r="421" spans="1:97">
      <c r="A421" t="s">
        <v>72</v>
      </c>
      <c r="B421" t="s">
        <v>333</v>
      </c>
      <c r="C421" s="15"/>
      <c r="D421" s="15"/>
      <c r="F421" t="s">
        <v>7</v>
      </c>
      <c r="G421" s="1"/>
      <c r="H421" s="1"/>
      <c r="I421" s="1"/>
      <c r="T421" s="5"/>
      <c r="U421" t="s">
        <v>334</v>
      </c>
      <c r="AE421" s="6">
        <v>1</v>
      </c>
      <c r="AF421" s="6">
        <v>1</v>
      </c>
      <c r="AG421" s="6">
        <v>1</v>
      </c>
      <c r="AH421" s="6">
        <v>1</v>
      </c>
      <c r="AI421" s="7">
        <v>1</v>
      </c>
      <c r="BC421" t="s">
        <v>308</v>
      </c>
      <c r="BD421" s="7" t="s">
        <v>109</v>
      </c>
      <c r="BE421" t="s">
        <v>125</v>
      </c>
      <c r="BF421" s="1" t="s">
        <v>29</v>
      </c>
      <c r="BG421" s="1">
        <v>5</v>
      </c>
      <c r="BH421">
        <v>1</v>
      </c>
      <c r="BK421" s="1">
        <v>1</v>
      </c>
      <c r="BQ421">
        <v>1</v>
      </c>
      <c r="CS421" s="7" t="s">
        <v>1763</v>
      </c>
    </row>
    <row r="422" spans="1:97">
      <c r="A422" t="s">
        <v>72</v>
      </c>
      <c r="B422" t="s">
        <v>317</v>
      </c>
      <c r="C422" s="15"/>
      <c r="D422" s="15"/>
      <c r="F422" t="s">
        <v>7</v>
      </c>
      <c r="G422" s="1"/>
      <c r="H422" s="1"/>
      <c r="I422" s="1"/>
      <c r="T422" s="5"/>
      <c r="U422" t="s">
        <v>315</v>
      </c>
      <c r="AE422" s="6">
        <v>1</v>
      </c>
      <c r="AF422" s="6">
        <v>1</v>
      </c>
      <c r="AG422" s="7">
        <v>1</v>
      </c>
      <c r="BC422" t="s">
        <v>318</v>
      </c>
      <c r="BD422" s="7" t="s">
        <v>26</v>
      </c>
      <c r="BE422" t="s">
        <v>125</v>
      </c>
      <c r="BF422" s="1" t="s">
        <v>29</v>
      </c>
      <c r="BG422" s="1">
        <v>3</v>
      </c>
      <c r="BH422">
        <v>1</v>
      </c>
      <c r="BK422" s="1">
        <v>1</v>
      </c>
      <c r="BQ422">
        <v>1</v>
      </c>
      <c r="CS422" s="7" t="s">
        <v>319</v>
      </c>
    </row>
    <row r="423" spans="1:97">
      <c r="B423" t="s">
        <v>737</v>
      </c>
      <c r="C423" s="15" t="s">
        <v>738</v>
      </c>
      <c r="D423" s="15" t="s">
        <v>739</v>
      </c>
      <c r="E423" s="8" t="s">
        <v>740</v>
      </c>
      <c r="F423" s="8" t="s">
        <v>65</v>
      </c>
      <c r="G423" s="1">
        <v>1</v>
      </c>
      <c r="H423" s="1"/>
      <c r="I423" s="1">
        <f>1797-19</f>
        <v>1778</v>
      </c>
      <c r="J423" t="s">
        <v>10</v>
      </c>
      <c r="K423" t="s">
        <v>12</v>
      </c>
      <c r="Q423">
        <v>5</v>
      </c>
      <c r="R423">
        <v>2</v>
      </c>
      <c r="S423">
        <v>1</v>
      </c>
      <c r="T423" s="5">
        <f>((Q423*316)+(R423*26.3)+(S423*2.2))/10</f>
        <v>163.47999999999999</v>
      </c>
      <c r="U423" t="s">
        <v>315</v>
      </c>
      <c r="AE423" s="6">
        <v>1</v>
      </c>
      <c r="AF423" s="6">
        <v>1</v>
      </c>
      <c r="AG423" s="6">
        <v>1</v>
      </c>
      <c r="AH423" s="6">
        <v>1</v>
      </c>
      <c r="AI423" s="6">
        <v>1</v>
      </c>
      <c r="AJ423" s="6">
        <v>1</v>
      </c>
      <c r="AK423" s="6">
        <v>1</v>
      </c>
      <c r="AL423" s="6">
        <v>1</v>
      </c>
      <c r="AM423" s="6">
        <v>1</v>
      </c>
      <c r="AN423" s="7">
        <v>1</v>
      </c>
      <c r="BC423" t="s">
        <v>198</v>
      </c>
      <c r="BD423" s="7" t="s">
        <v>109</v>
      </c>
      <c r="BE423" t="s">
        <v>125</v>
      </c>
      <c r="BF423" s="1" t="s">
        <v>29</v>
      </c>
      <c r="BG423" s="1">
        <v>7</v>
      </c>
      <c r="BH423">
        <v>2</v>
      </c>
      <c r="BK423" s="1">
        <v>1</v>
      </c>
      <c r="BQ423">
        <v>1</v>
      </c>
      <c r="CL423">
        <v>1</v>
      </c>
      <c r="CS423" s="7" t="s">
        <v>354</v>
      </c>
    </row>
    <row r="424" spans="1:97">
      <c r="A424" t="s">
        <v>72</v>
      </c>
      <c r="B424" t="s">
        <v>314</v>
      </c>
      <c r="C424" s="15"/>
      <c r="D424" s="15"/>
      <c r="F424" t="s">
        <v>7</v>
      </c>
      <c r="G424" s="1"/>
      <c r="H424" s="1"/>
      <c r="I424" s="1"/>
      <c r="T424" s="5"/>
      <c r="U424" t="s">
        <v>315</v>
      </c>
      <c r="AE424" s="6">
        <v>1</v>
      </c>
      <c r="AF424" s="6">
        <v>1</v>
      </c>
      <c r="AG424" s="7">
        <v>1</v>
      </c>
      <c r="BC424" t="s">
        <v>316</v>
      </c>
      <c r="BD424" s="7" t="s">
        <v>260</v>
      </c>
      <c r="BE424" t="s">
        <v>125</v>
      </c>
      <c r="BF424" s="1" t="s">
        <v>29</v>
      </c>
      <c r="BG424" s="1">
        <v>3</v>
      </c>
      <c r="BH424">
        <v>1</v>
      </c>
      <c r="BK424" s="1">
        <v>1</v>
      </c>
      <c r="BQ424">
        <v>1</v>
      </c>
      <c r="CS424" s="7" t="s">
        <v>4037</v>
      </c>
    </row>
    <row r="425" spans="1:97">
      <c r="B425" t="s">
        <v>1323</v>
      </c>
      <c r="C425" s="2" t="s">
        <v>1324</v>
      </c>
      <c r="D425" s="15"/>
      <c r="F425" s="8" t="s">
        <v>115</v>
      </c>
      <c r="G425" s="1">
        <v>1</v>
      </c>
      <c r="H425" s="1"/>
      <c r="I425" s="1">
        <f>1802-31</f>
        <v>1771</v>
      </c>
      <c r="J425" t="s">
        <v>10</v>
      </c>
      <c r="K425" t="s">
        <v>12</v>
      </c>
      <c r="Q425">
        <v>5</v>
      </c>
      <c r="R425">
        <v>4</v>
      </c>
      <c r="S425">
        <v>1</v>
      </c>
      <c r="T425" s="5">
        <f>((Q425*316)+(R425*26.3)+(S425*2.2))/10</f>
        <v>168.74</v>
      </c>
      <c r="U425" t="s">
        <v>315</v>
      </c>
      <c r="AE425" s="6">
        <v>1</v>
      </c>
      <c r="AF425" s="6">
        <v>1</v>
      </c>
      <c r="AG425" s="6">
        <v>1</v>
      </c>
      <c r="AH425" s="6">
        <v>1</v>
      </c>
      <c r="AI425" s="6">
        <v>1</v>
      </c>
      <c r="AJ425" s="6">
        <v>1</v>
      </c>
      <c r="AK425" s="6">
        <v>1</v>
      </c>
      <c r="AL425" s="6">
        <v>1</v>
      </c>
      <c r="AM425" s="6">
        <v>1</v>
      </c>
      <c r="AN425" s="7">
        <v>1</v>
      </c>
      <c r="BC425" t="s">
        <v>1325</v>
      </c>
      <c r="BD425" s="7" t="s">
        <v>26</v>
      </c>
      <c r="BE425" t="s">
        <v>125</v>
      </c>
      <c r="BF425" s="1" t="s">
        <v>29</v>
      </c>
      <c r="BG425" s="1">
        <v>12</v>
      </c>
      <c r="BH425">
        <v>1</v>
      </c>
      <c r="BK425" s="1">
        <v>1</v>
      </c>
      <c r="BQ425">
        <v>1</v>
      </c>
      <c r="CS425" s="7" t="s">
        <v>1326</v>
      </c>
    </row>
    <row r="426" spans="1:97">
      <c r="A426" t="s">
        <v>72</v>
      </c>
      <c r="B426" t="s">
        <v>1364</v>
      </c>
      <c r="C426" s="15"/>
      <c r="D426" s="15"/>
      <c r="F426" t="s">
        <v>7</v>
      </c>
      <c r="G426" s="1"/>
      <c r="H426" s="1"/>
      <c r="I426" s="1"/>
      <c r="T426" s="5"/>
      <c r="U426" t="s">
        <v>1365</v>
      </c>
      <c r="AE426" s="6">
        <v>1</v>
      </c>
      <c r="AF426" s="6">
        <v>1</v>
      </c>
      <c r="AG426" s="14">
        <v>1</v>
      </c>
      <c r="BC426" s="9" t="s">
        <v>1366</v>
      </c>
      <c r="BD426" s="14" t="s">
        <v>338</v>
      </c>
      <c r="BE426" t="s">
        <v>125</v>
      </c>
      <c r="BF426" s="1" t="s">
        <v>339</v>
      </c>
      <c r="BG426" s="1">
        <v>3</v>
      </c>
      <c r="BH426">
        <v>1</v>
      </c>
      <c r="BK426" s="1">
        <v>1</v>
      </c>
      <c r="BQ426">
        <v>1</v>
      </c>
      <c r="CS426" s="14" t="s">
        <v>1367</v>
      </c>
    </row>
    <row r="427" spans="1:97">
      <c r="B427" t="s">
        <v>2759</v>
      </c>
      <c r="C427" s="2" t="s">
        <v>1500</v>
      </c>
      <c r="D427" s="2" t="s">
        <v>1500</v>
      </c>
      <c r="E427" s="8" t="s">
        <v>238</v>
      </c>
      <c r="F427" s="8" t="s">
        <v>65</v>
      </c>
      <c r="G427" s="1">
        <v>1</v>
      </c>
      <c r="H427" s="1"/>
      <c r="I427" s="1">
        <f>1802-28</f>
        <v>1774</v>
      </c>
      <c r="J427" t="s">
        <v>10</v>
      </c>
      <c r="K427" t="s">
        <v>2517</v>
      </c>
      <c r="Q427">
        <v>5</v>
      </c>
      <c r="R427">
        <v>1</v>
      </c>
      <c r="T427" s="5">
        <f t="shared" ref="T427:T440" si="24">((Q427*316)+(R427*26.3)+(S427*2.2))/10</f>
        <v>160.63</v>
      </c>
      <c r="U427" t="s">
        <v>1365</v>
      </c>
      <c r="AE427" s="6">
        <v>1</v>
      </c>
      <c r="AF427" s="6">
        <v>1</v>
      </c>
      <c r="AG427" s="6">
        <v>1</v>
      </c>
      <c r="AH427" s="6">
        <v>1</v>
      </c>
      <c r="AI427" s="6">
        <v>1</v>
      </c>
      <c r="AJ427" s="6">
        <v>1</v>
      </c>
      <c r="AK427" s="7">
        <v>1</v>
      </c>
      <c r="BC427" t="s">
        <v>1416</v>
      </c>
      <c r="BD427" s="7" t="s">
        <v>280</v>
      </c>
      <c r="BE427" t="s">
        <v>2005</v>
      </c>
      <c r="BF427" s="1" t="s">
        <v>29</v>
      </c>
      <c r="BG427" s="1">
        <v>2</v>
      </c>
      <c r="BH427">
        <v>1</v>
      </c>
      <c r="BK427" s="1">
        <v>1</v>
      </c>
      <c r="BQ427">
        <v>1</v>
      </c>
      <c r="CN427">
        <v>1</v>
      </c>
      <c r="CS427" s="7" t="s">
        <v>2748</v>
      </c>
    </row>
    <row r="428" spans="1:97">
      <c r="B428" t="s">
        <v>3824</v>
      </c>
      <c r="C428" s="8" t="s">
        <v>3825</v>
      </c>
      <c r="D428" s="2"/>
      <c r="E428" s="8" t="s">
        <v>869</v>
      </c>
      <c r="F428" s="8" t="s">
        <v>65</v>
      </c>
      <c r="G428" s="1">
        <v>1</v>
      </c>
      <c r="H428" s="1"/>
      <c r="I428" s="1">
        <f>1798-31</f>
        <v>1767</v>
      </c>
      <c r="J428" t="s">
        <v>10</v>
      </c>
      <c r="K428" t="s">
        <v>12</v>
      </c>
      <c r="Q428">
        <v>5</v>
      </c>
      <c r="R428">
        <v>1</v>
      </c>
      <c r="S428">
        <v>2</v>
      </c>
      <c r="T428" s="5">
        <f t="shared" si="24"/>
        <v>161.07</v>
      </c>
      <c r="U428" t="s">
        <v>3826</v>
      </c>
      <c r="AE428" s="6">
        <v>1</v>
      </c>
      <c r="AF428" s="6">
        <v>1</v>
      </c>
      <c r="BC428">
        <v>1798</v>
      </c>
      <c r="BD428" t="s">
        <v>81</v>
      </c>
      <c r="BE428" t="s">
        <v>118</v>
      </c>
      <c r="BF428" s="1" t="s">
        <v>73</v>
      </c>
      <c r="BG428" s="1">
        <v>1</v>
      </c>
      <c r="BH428">
        <v>2</v>
      </c>
      <c r="BI428">
        <v>1</v>
      </c>
      <c r="BK428" s="1" t="s">
        <v>72</v>
      </c>
      <c r="BQ428">
        <v>1</v>
      </c>
      <c r="CL428">
        <v>1</v>
      </c>
      <c r="CS428" t="s">
        <v>2900</v>
      </c>
    </row>
    <row r="429" spans="1:97">
      <c r="B429" t="s">
        <v>2800</v>
      </c>
      <c r="C429" s="2" t="s">
        <v>1427</v>
      </c>
      <c r="D429" s="2" t="s">
        <v>1427</v>
      </c>
      <c r="E429" s="8" t="s">
        <v>238</v>
      </c>
      <c r="F429" s="8" t="s">
        <v>65</v>
      </c>
      <c r="G429" s="1">
        <v>1</v>
      </c>
      <c r="H429" s="1"/>
      <c r="I429" s="1">
        <f>1802-26</f>
        <v>1776</v>
      </c>
      <c r="J429" t="s">
        <v>69</v>
      </c>
      <c r="K429" t="s">
        <v>12</v>
      </c>
      <c r="Q429">
        <v>5</v>
      </c>
      <c r="R429">
        <v>0</v>
      </c>
      <c r="S429">
        <v>2</v>
      </c>
      <c r="T429" s="5">
        <f t="shared" si="24"/>
        <v>158.44</v>
      </c>
      <c r="U429" t="s">
        <v>2801</v>
      </c>
      <c r="AE429" s="6">
        <v>1</v>
      </c>
      <c r="AF429" s="6">
        <v>1</v>
      </c>
      <c r="AG429" s="6">
        <v>1</v>
      </c>
      <c r="AH429" s="6">
        <v>1</v>
      </c>
      <c r="AI429" s="6">
        <v>1</v>
      </c>
      <c r="AJ429" s="6">
        <v>1</v>
      </c>
      <c r="AK429" s="7">
        <v>1</v>
      </c>
      <c r="BC429" t="s">
        <v>1416</v>
      </c>
      <c r="BD429" s="7" t="s">
        <v>280</v>
      </c>
      <c r="BE429" t="s">
        <v>2005</v>
      </c>
      <c r="BF429" s="1" t="s">
        <v>29</v>
      </c>
      <c r="BG429" s="1">
        <v>2</v>
      </c>
      <c r="BH429">
        <v>1</v>
      </c>
      <c r="BK429" s="1">
        <v>1</v>
      </c>
      <c r="BQ429">
        <v>1</v>
      </c>
      <c r="CN429">
        <v>1</v>
      </c>
      <c r="CS429" s="7" t="s">
        <v>2748</v>
      </c>
    </row>
    <row r="430" spans="1:97">
      <c r="B430" t="s">
        <v>2431</v>
      </c>
      <c r="C430" s="2" t="s">
        <v>2432</v>
      </c>
      <c r="D430" s="3" t="s">
        <v>2433</v>
      </c>
      <c r="E430" s="8" t="s">
        <v>740</v>
      </c>
      <c r="F430" s="8" t="s">
        <v>65</v>
      </c>
      <c r="G430" s="1">
        <v>1</v>
      </c>
      <c r="H430" s="1"/>
      <c r="I430" s="1">
        <f>1797-40</f>
        <v>1757</v>
      </c>
      <c r="J430" t="s">
        <v>69</v>
      </c>
      <c r="K430" t="s">
        <v>12</v>
      </c>
      <c r="Q430">
        <v>5</v>
      </c>
      <c r="R430">
        <v>4</v>
      </c>
      <c r="S430">
        <v>3</v>
      </c>
      <c r="T430" s="5">
        <f t="shared" si="24"/>
        <v>169.18</v>
      </c>
      <c r="U430" t="s">
        <v>2434</v>
      </c>
      <c r="AE430" s="7">
        <v>1</v>
      </c>
      <c r="BC430" t="s">
        <v>2435</v>
      </c>
      <c r="BD430" s="7" t="s">
        <v>103</v>
      </c>
      <c r="BE430" t="s">
        <v>1922</v>
      </c>
      <c r="BF430" s="1" t="s">
        <v>29</v>
      </c>
      <c r="BG430" s="1">
        <v>1</v>
      </c>
      <c r="BH430">
        <v>1</v>
      </c>
      <c r="BK430" s="1">
        <v>1</v>
      </c>
      <c r="BQ430">
        <v>1</v>
      </c>
      <c r="CS430" s="7" t="s">
        <v>1754</v>
      </c>
    </row>
    <row r="431" spans="1:97">
      <c r="B431" t="s">
        <v>4295</v>
      </c>
      <c r="C431" s="2" t="s">
        <v>3819</v>
      </c>
      <c r="D431" s="3"/>
      <c r="E431" s="8" t="s">
        <v>710</v>
      </c>
      <c r="F431" s="8" t="s">
        <v>115</v>
      </c>
      <c r="G431" s="1">
        <v>1</v>
      </c>
      <c r="H431" s="1"/>
      <c r="I431" s="1">
        <f>1803-23</f>
        <v>1780</v>
      </c>
      <c r="J431" t="s">
        <v>69</v>
      </c>
      <c r="K431" t="s">
        <v>972</v>
      </c>
      <c r="L431">
        <v>1</v>
      </c>
      <c r="Q431">
        <v>5</v>
      </c>
      <c r="R431">
        <v>1</v>
      </c>
      <c r="S431">
        <v>2</v>
      </c>
      <c r="T431" s="5">
        <f t="shared" si="24"/>
        <v>161.07</v>
      </c>
      <c r="U431" t="s">
        <v>4296</v>
      </c>
      <c r="AE431" s="6">
        <v>1</v>
      </c>
      <c r="AF431" s="6">
        <v>1</v>
      </c>
      <c r="AG431" s="6">
        <v>1</v>
      </c>
      <c r="AH431" s="6">
        <v>1</v>
      </c>
      <c r="AI431" s="6">
        <v>1</v>
      </c>
      <c r="AJ431" s="6">
        <v>1</v>
      </c>
      <c r="AK431" s="6">
        <v>1</v>
      </c>
      <c r="AL431" s="6">
        <v>1</v>
      </c>
      <c r="AM431" s="6">
        <v>1</v>
      </c>
      <c r="AN431" s="6">
        <v>1</v>
      </c>
      <c r="AO431" s="6">
        <v>1</v>
      </c>
      <c r="AP431" s="6">
        <v>1</v>
      </c>
      <c r="AQ431" s="6">
        <v>1</v>
      </c>
      <c r="AR431" s="6">
        <v>1</v>
      </c>
      <c r="AS431" s="6">
        <v>1</v>
      </c>
      <c r="BC431">
        <v>1811</v>
      </c>
      <c r="BD431" t="s">
        <v>81</v>
      </c>
      <c r="BE431" t="s">
        <v>2635</v>
      </c>
      <c r="BF431" s="1" t="s">
        <v>73</v>
      </c>
      <c r="BG431" s="1">
        <v>3</v>
      </c>
      <c r="BH431">
        <v>1</v>
      </c>
      <c r="BK431" s="1">
        <v>1</v>
      </c>
      <c r="BP431">
        <v>1</v>
      </c>
      <c r="BQ431">
        <v>1</v>
      </c>
      <c r="CF431">
        <v>1</v>
      </c>
      <c r="CR431">
        <v>1</v>
      </c>
      <c r="CS431" t="s">
        <v>4297</v>
      </c>
    </row>
    <row r="432" spans="1:97">
      <c r="B432" t="s">
        <v>728</v>
      </c>
      <c r="C432" s="15" t="s">
        <v>729</v>
      </c>
      <c r="D432" s="15"/>
      <c r="F432" s="8" t="s">
        <v>218</v>
      </c>
      <c r="G432" s="1">
        <v>1</v>
      </c>
      <c r="H432" s="1"/>
      <c r="I432" s="1">
        <f>1802-25</f>
        <v>1777</v>
      </c>
      <c r="J432" t="s">
        <v>10</v>
      </c>
      <c r="K432" t="s">
        <v>730</v>
      </c>
      <c r="Q432">
        <v>5</v>
      </c>
      <c r="R432">
        <v>4</v>
      </c>
      <c r="T432" s="5">
        <f t="shared" si="24"/>
        <v>168.52</v>
      </c>
      <c r="U432" t="s">
        <v>731</v>
      </c>
      <c r="AE432" s="6">
        <v>1</v>
      </c>
      <c r="AF432" s="6">
        <v>1</v>
      </c>
      <c r="AG432" s="6">
        <v>1</v>
      </c>
      <c r="AH432" s="6">
        <v>1</v>
      </c>
      <c r="AI432" s="6">
        <v>1</v>
      </c>
      <c r="AJ432" s="6">
        <v>1</v>
      </c>
      <c r="AK432" s="6">
        <v>1</v>
      </c>
      <c r="AL432" s="6">
        <v>1</v>
      </c>
      <c r="AM432" s="6">
        <v>1</v>
      </c>
      <c r="AN432" s="7">
        <v>1</v>
      </c>
      <c r="BC432" t="s">
        <v>198</v>
      </c>
      <c r="BD432" s="7" t="s">
        <v>109</v>
      </c>
      <c r="BE432" t="s">
        <v>125</v>
      </c>
      <c r="BF432" s="1" t="s">
        <v>29</v>
      </c>
      <c r="BG432" s="1">
        <v>10</v>
      </c>
      <c r="BH432">
        <v>2</v>
      </c>
      <c r="BK432" s="1">
        <v>1</v>
      </c>
      <c r="BQ432">
        <v>1</v>
      </c>
      <c r="CL432">
        <v>1</v>
      </c>
      <c r="CS432" s="7" t="s">
        <v>354</v>
      </c>
    </row>
    <row r="433" spans="1:98">
      <c r="A433" t="s">
        <v>72</v>
      </c>
      <c r="B433" t="s">
        <v>3765</v>
      </c>
      <c r="C433" s="15"/>
      <c r="D433" s="15"/>
      <c r="F433" s="8"/>
      <c r="G433" s="1"/>
      <c r="H433" s="1"/>
      <c r="I433" s="1"/>
      <c r="T433" s="5"/>
      <c r="U433" s="9" t="s">
        <v>3768</v>
      </c>
      <c r="AD433" s="9"/>
      <c r="AE433" s="7">
        <v>1</v>
      </c>
      <c r="BC433" s="9" t="s">
        <v>3768</v>
      </c>
      <c r="BD433" s="7" t="s">
        <v>103</v>
      </c>
      <c r="BE433" t="s">
        <v>3377</v>
      </c>
      <c r="BF433" s="1" t="s">
        <v>29</v>
      </c>
      <c r="BG433" s="1">
        <v>1</v>
      </c>
      <c r="BH433">
        <v>1</v>
      </c>
      <c r="BK433" s="1">
        <v>1</v>
      </c>
      <c r="BQ433">
        <v>1</v>
      </c>
      <c r="CS433" s="7" t="s">
        <v>3769</v>
      </c>
    </row>
    <row r="434" spans="1:98">
      <c r="B434" t="s">
        <v>3766</v>
      </c>
      <c r="C434" s="2" t="s">
        <v>3770</v>
      </c>
      <c r="D434" s="2" t="s">
        <v>3770</v>
      </c>
      <c r="E434" s="8" t="s">
        <v>654</v>
      </c>
      <c r="F434" s="8" t="s">
        <v>65</v>
      </c>
      <c r="G434" s="1">
        <v>1</v>
      </c>
      <c r="H434" s="1"/>
      <c r="I434" s="1">
        <f>1798-21</f>
        <v>1777</v>
      </c>
      <c r="J434" t="s">
        <v>10</v>
      </c>
      <c r="K434" t="s">
        <v>12</v>
      </c>
      <c r="Q434">
        <v>5</v>
      </c>
      <c r="R434">
        <v>2</v>
      </c>
      <c r="S434">
        <v>1</v>
      </c>
      <c r="T434" s="5">
        <f t="shared" si="24"/>
        <v>163.47999999999999</v>
      </c>
      <c r="U434" t="s">
        <v>3767</v>
      </c>
      <c r="AE434" s="6">
        <v>1</v>
      </c>
      <c r="AF434" s="6">
        <v>1</v>
      </c>
      <c r="BC434">
        <v>1798</v>
      </c>
      <c r="BD434" t="s">
        <v>81</v>
      </c>
      <c r="BE434" t="s">
        <v>118</v>
      </c>
      <c r="BF434" s="1" t="s">
        <v>73</v>
      </c>
      <c r="BG434" s="1">
        <v>1</v>
      </c>
      <c r="BH434">
        <v>2</v>
      </c>
      <c r="BI434">
        <v>1</v>
      </c>
      <c r="BK434" s="1">
        <v>1</v>
      </c>
      <c r="BQ434">
        <v>1</v>
      </c>
      <c r="CL434">
        <v>1</v>
      </c>
      <c r="CS434" t="s">
        <v>2900</v>
      </c>
    </row>
    <row r="435" spans="1:98">
      <c r="B435" t="s">
        <v>4623</v>
      </c>
      <c r="C435" s="2" t="s">
        <v>623</v>
      </c>
      <c r="D435" s="2" t="s">
        <v>623</v>
      </c>
      <c r="E435" s="8" t="s">
        <v>624</v>
      </c>
      <c r="F435" s="8" t="s">
        <v>218</v>
      </c>
      <c r="G435" s="1">
        <v>1</v>
      </c>
      <c r="H435" s="1"/>
      <c r="I435" s="1">
        <f>1804-23</f>
        <v>1781</v>
      </c>
      <c r="J435" t="s">
        <v>10</v>
      </c>
      <c r="K435" t="s">
        <v>4624</v>
      </c>
      <c r="Q435">
        <v>5</v>
      </c>
      <c r="R435">
        <v>2</v>
      </c>
      <c r="S435">
        <v>2</v>
      </c>
      <c r="T435" s="5">
        <f t="shared" si="24"/>
        <v>163.69999999999999</v>
      </c>
      <c r="U435" t="s">
        <v>4625</v>
      </c>
      <c r="AE435" s="6">
        <v>1</v>
      </c>
      <c r="AF435" s="6">
        <v>1</v>
      </c>
      <c r="AG435" s="6">
        <v>1</v>
      </c>
      <c r="AH435" s="6">
        <v>1</v>
      </c>
      <c r="AI435" s="6">
        <v>1</v>
      </c>
      <c r="AJ435" s="6">
        <v>1</v>
      </c>
      <c r="AK435" s="6">
        <v>1</v>
      </c>
      <c r="AL435" s="6">
        <v>1</v>
      </c>
      <c r="AM435" s="7">
        <v>1</v>
      </c>
      <c r="BC435" t="s">
        <v>1599</v>
      </c>
      <c r="BD435" s="7" t="s">
        <v>103</v>
      </c>
      <c r="BE435" t="s">
        <v>712</v>
      </c>
      <c r="BF435" s="1" t="s">
        <v>29</v>
      </c>
      <c r="BG435" s="1">
        <v>3</v>
      </c>
      <c r="BH435">
        <v>1</v>
      </c>
      <c r="BK435" s="1" t="s">
        <v>72</v>
      </c>
      <c r="BQ435">
        <v>1</v>
      </c>
      <c r="CS435" s="7" t="s">
        <v>1949</v>
      </c>
    </row>
    <row r="436" spans="1:98">
      <c r="B436" t="s">
        <v>2815</v>
      </c>
      <c r="C436" s="2" t="s">
        <v>2816</v>
      </c>
      <c r="D436" s="2" t="s">
        <v>2817</v>
      </c>
      <c r="E436" s="8" t="s">
        <v>1306</v>
      </c>
      <c r="F436" s="8" t="s">
        <v>65</v>
      </c>
      <c r="G436" s="1">
        <v>1</v>
      </c>
      <c r="H436" s="1"/>
      <c r="I436" s="1">
        <f>1803-28</f>
        <v>1775</v>
      </c>
      <c r="J436" t="s">
        <v>10</v>
      </c>
      <c r="K436" t="s">
        <v>12</v>
      </c>
      <c r="Q436">
        <v>5</v>
      </c>
      <c r="R436">
        <v>3</v>
      </c>
      <c r="S436">
        <v>1</v>
      </c>
      <c r="T436" s="5">
        <f t="shared" si="24"/>
        <v>166.11</v>
      </c>
      <c r="U436" t="s">
        <v>2818</v>
      </c>
      <c r="AE436" s="6">
        <v>1</v>
      </c>
      <c r="AF436" s="6">
        <v>1</v>
      </c>
      <c r="AG436" s="6">
        <v>1</v>
      </c>
      <c r="AH436" s="6">
        <v>1</v>
      </c>
      <c r="AI436" s="6">
        <v>1</v>
      </c>
      <c r="AJ436" s="6">
        <v>1</v>
      </c>
      <c r="AK436" s="6">
        <v>1</v>
      </c>
      <c r="AL436" s="7">
        <v>1</v>
      </c>
      <c r="BC436" t="s">
        <v>2810</v>
      </c>
      <c r="BD436" s="7" t="s">
        <v>280</v>
      </c>
      <c r="BE436" t="s">
        <v>2005</v>
      </c>
      <c r="BF436" s="1" t="s">
        <v>29</v>
      </c>
      <c r="BG436" s="1">
        <v>4</v>
      </c>
      <c r="BH436">
        <v>1</v>
      </c>
      <c r="BK436" s="1">
        <v>1</v>
      </c>
      <c r="BQ436">
        <v>1</v>
      </c>
      <c r="CN436">
        <v>1</v>
      </c>
      <c r="CS436" s="7" t="s">
        <v>2748</v>
      </c>
    </row>
    <row r="437" spans="1:98">
      <c r="B437" t="s">
        <v>3157</v>
      </c>
      <c r="C437" s="2" t="s">
        <v>356</v>
      </c>
      <c r="D437" s="2" t="s">
        <v>3146</v>
      </c>
      <c r="E437" s="8" t="s">
        <v>546</v>
      </c>
      <c r="F437" s="8" t="s">
        <v>357</v>
      </c>
      <c r="G437" s="1">
        <v>1</v>
      </c>
      <c r="H437" s="1"/>
      <c r="I437" s="1">
        <f>1797-32</f>
        <v>1765</v>
      </c>
      <c r="J437" t="s">
        <v>10</v>
      </c>
      <c r="K437" t="s">
        <v>12</v>
      </c>
      <c r="Q437">
        <v>5</v>
      </c>
      <c r="R437">
        <v>0</v>
      </c>
      <c r="S437">
        <v>3</v>
      </c>
      <c r="T437" s="5">
        <f t="shared" si="24"/>
        <v>158.66</v>
      </c>
      <c r="U437" t="s">
        <v>3158</v>
      </c>
      <c r="AE437" s="6">
        <v>1</v>
      </c>
      <c r="AF437" s="6">
        <v>1</v>
      </c>
      <c r="AG437" s="7">
        <v>1</v>
      </c>
      <c r="BC437" t="s">
        <v>3729</v>
      </c>
      <c r="BD437" s="7" t="s">
        <v>103</v>
      </c>
      <c r="BE437" t="s">
        <v>2407</v>
      </c>
      <c r="BF437" s="1" t="s">
        <v>29</v>
      </c>
      <c r="BG437" s="1">
        <v>2</v>
      </c>
      <c r="BH437">
        <v>1</v>
      </c>
      <c r="BK437" s="1">
        <v>1</v>
      </c>
      <c r="BQ437">
        <v>1</v>
      </c>
      <c r="CS437" s="7" t="s">
        <v>3159</v>
      </c>
    </row>
    <row r="438" spans="1:98">
      <c r="A438" t="s">
        <v>72</v>
      </c>
      <c r="B438" t="s">
        <v>4380</v>
      </c>
      <c r="C438" s="15"/>
      <c r="D438" s="15"/>
      <c r="F438" s="8"/>
      <c r="G438" s="1"/>
      <c r="H438" s="1"/>
      <c r="I438" s="1"/>
      <c r="T438" s="5"/>
      <c r="U438" s="9" t="s">
        <v>4379</v>
      </c>
      <c r="AE438" s="9">
        <v>1</v>
      </c>
      <c r="AF438" s="6">
        <v>1</v>
      </c>
      <c r="AG438" s="6">
        <v>1</v>
      </c>
      <c r="BC438">
        <v>1800</v>
      </c>
      <c r="BD438" t="s">
        <v>81</v>
      </c>
      <c r="BE438" s="10" t="s">
        <v>70</v>
      </c>
      <c r="BF438" s="1" t="s">
        <v>73</v>
      </c>
      <c r="BG438" s="1">
        <v>2</v>
      </c>
      <c r="BH438">
        <v>1</v>
      </c>
      <c r="BK438" s="1"/>
      <c r="BZ438">
        <v>1</v>
      </c>
      <c r="CS438" t="s">
        <v>111</v>
      </c>
      <c r="CT438" s="10" t="s">
        <v>4381</v>
      </c>
    </row>
    <row r="439" spans="1:98">
      <c r="B439" t="s">
        <v>992</v>
      </c>
      <c r="C439" s="2" t="s">
        <v>166</v>
      </c>
      <c r="F439" s="8" t="s">
        <v>65</v>
      </c>
      <c r="G439" s="1">
        <v>1</v>
      </c>
      <c r="H439" s="1"/>
      <c r="I439" s="1">
        <f>1802-29</f>
        <v>1773</v>
      </c>
      <c r="J439" t="s">
        <v>69</v>
      </c>
      <c r="K439" t="s">
        <v>12</v>
      </c>
      <c r="M439">
        <v>1</v>
      </c>
      <c r="Q439">
        <v>5</v>
      </c>
      <c r="R439">
        <v>4</v>
      </c>
      <c r="T439" s="5">
        <f t="shared" si="24"/>
        <v>168.52</v>
      </c>
      <c r="U439" t="s">
        <v>993</v>
      </c>
      <c r="AE439" s="6">
        <v>1</v>
      </c>
      <c r="AF439" s="6">
        <v>1</v>
      </c>
      <c r="AG439" s="6">
        <v>1</v>
      </c>
      <c r="AH439" s="6">
        <v>1</v>
      </c>
      <c r="AI439" s="6">
        <v>1</v>
      </c>
      <c r="AJ439" s="6">
        <v>1</v>
      </c>
      <c r="AK439" s="6">
        <v>1</v>
      </c>
      <c r="AL439" s="7">
        <v>1</v>
      </c>
      <c r="BC439" t="s">
        <v>994</v>
      </c>
      <c r="BD439" s="7" t="s">
        <v>280</v>
      </c>
      <c r="BE439" t="s">
        <v>874</v>
      </c>
      <c r="BF439" s="1" t="s">
        <v>29</v>
      </c>
      <c r="BG439" s="1">
        <v>3</v>
      </c>
      <c r="BH439">
        <v>3</v>
      </c>
      <c r="BK439" s="1"/>
      <c r="BO439">
        <v>1</v>
      </c>
      <c r="BR439">
        <v>1</v>
      </c>
      <c r="BS439">
        <v>1</v>
      </c>
      <c r="BV439">
        <v>1</v>
      </c>
      <c r="CL439">
        <v>1</v>
      </c>
      <c r="CN439">
        <v>1</v>
      </c>
      <c r="CS439" s="7" t="s">
        <v>351</v>
      </c>
    </row>
    <row r="440" spans="1:98">
      <c r="B440" t="s">
        <v>898</v>
      </c>
      <c r="C440" s="2" t="s">
        <v>2304</v>
      </c>
      <c r="D440" s="15"/>
      <c r="F440" s="8" t="s">
        <v>409</v>
      </c>
      <c r="G440" s="1"/>
      <c r="H440" s="1">
        <v>1</v>
      </c>
      <c r="I440" s="1"/>
      <c r="J440" t="s">
        <v>10</v>
      </c>
      <c r="K440" t="s">
        <v>900</v>
      </c>
      <c r="Q440">
        <v>5</v>
      </c>
      <c r="R440">
        <v>3</v>
      </c>
      <c r="S440">
        <v>3</v>
      </c>
      <c r="T440" s="5">
        <f t="shared" si="24"/>
        <v>166.55</v>
      </c>
      <c r="U440" s="9" t="s">
        <v>901</v>
      </c>
      <c r="AF440" s="9">
        <v>1</v>
      </c>
      <c r="AG440" s="9"/>
      <c r="AH440" s="9"/>
      <c r="AI440" s="6">
        <v>1</v>
      </c>
      <c r="AJ440" s="7">
        <v>1</v>
      </c>
      <c r="BC440" t="s">
        <v>896</v>
      </c>
      <c r="BD440" s="7" t="s">
        <v>103</v>
      </c>
      <c r="BE440" t="s">
        <v>62</v>
      </c>
      <c r="BF440" s="1" t="s">
        <v>29</v>
      </c>
      <c r="BG440" s="1">
        <v>4</v>
      </c>
      <c r="BH440">
        <v>3</v>
      </c>
      <c r="BI440">
        <v>1</v>
      </c>
      <c r="BK440" s="30">
        <v>1</v>
      </c>
      <c r="BQ440">
        <v>1</v>
      </c>
      <c r="BR440">
        <v>1</v>
      </c>
      <c r="BS440">
        <v>1</v>
      </c>
      <c r="CL440">
        <v>1</v>
      </c>
      <c r="CN440">
        <v>1</v>
      </c>
      <c r="CS440" s="7" t="s">
        <v>897</v>
      </c>
      <c r="CT440" s="6" t="s">
        <v>2417</v>
      </c>
    </row>
    <row r="441" spans="1:98">
      <c r="B441" t="s">
        <v>476</v>
      </c>
      <c r="C441" s="8" t="s">
        <v>477</v>
      </c>
      <c r="F441" s="8" t="s">
        <v>65</v>
      </c>
      <c r="G441" s="1">
        <v>1</v>
      </c>
      <c r="H441" s="1"/>
      <c r="I441" s="1">
        <v>1768</v>
      </c>
      <c r="J441" t="s">
        <v>10</v>
      </c>
      <c r="K441" t="s">
        <v>12</v>
      </c>
      <c r="T441" s="5"/>
      <c r="U441" s="9" t="s">
        <v>486</v>
      </c>
      <c r="AF441" s="9">
        <v>1</v>
      </c>
      <c r="AG441" s="6">
        <v>1</v>
      </c>
      <c r="AH441" s="6">
        <v>1</v>
      </c>
      <c r="AI441" s="6">
        <v>1</v>
      </c>
      <c r="BC441">
        <v>1801</v>
      </c>
      <c r="BD441" t="s">
        <v>81</v>
      </c>
      <c r="BE441" s="10" t="s">
        <v>70</v>
      </c>
      <c r="BF441" s="1" t="s">
        <v>73</v>
      </c>
      <c r="BG441" s="1">
        <v>3</v>
      </c>
      <c r="BH441">
        <v>1</v>
      </c>
      <c r="BK441" s="1">
        <v>1</v>
      </c>
      <c r="BZ441">
        <v>1</v>
      </c>
      <c r="CS441" t="s">
        <v>111</v>
      </c>
      <c r="CT441" s="10" t="s">
        <v>479</v>
      </c>
    </row>
    <row r="442" spans="1:98">
      <c r="B442" t="s">
        <v>3774</v>
      </c>
      <c r="C442" s="8" t="s">
        <v>3773</v>
      </c>
      <c r="F442" s="8" t="s">
        <v>65</v>
      </c>
      <c r="G442" s="1">
        <v>1</v>
      </c>
      <c r="H442" s="1"/>
      <c r="I442" s="1">
        <f>1798-32</f>
        <v>1766</v>
      </c>
      <c r="J442" t="s">
        <v>69</v>
      </c>
      <c r="K442" t="s">
        <v>3772</v>
      </c>
      <c r="Q442">
        <v>5</v>
      </c>
      <c r="R442">
        <v>3</v>
      </c>
      <c r="S442">
        <v>2</v>
      </c>
      <c r="T442" s="5">
        <f>((Q442*316)+(R442*26.3)+(S442*2.2))/10</f>
        <v>166.33</v>
      </c>
      <c r="U442" t="s">
        <v>3752</v>
      </c>
      <c r="AF442" s="6">
        <v>1</v>
      </c>
      <c r="BC442">
        <v>1798</v>
      </c>
      <c r="BD442" t="s">
        <v>81</v>
      </c>
      <c r="BE442" t="s">
        <v>118</v>
      </c>
      <c r="BF442" s="1" t="s">
        <v>73</v>
      </c>
      <c r="BG442" s="1">
        <v>1</v>
      </c>
      <c r="BH442">
        <v>2</v>
      </c>
      <c r="BI442">
        <v>1</v>
      </c>
      <c r="BK442" s="1">
        <v>1</v>
      </c>
      <c r="BQ442">
        <v>1</v>
      </c>
      <c r="CL442">
        <v>1</v>
      </c>
      <c r="CS442" t="s">
        <v>2900</v>
      </c>
    </row>
    <row r="443" spans="1:98">
      <c r="B443" t="s">
        <v>3751</v>
      </c>
      <c r="C443" s="2" t="s">
        <v>224</v>
      </c>
      <c r="F443" s="8" t="s">
        <v>115</v>
      </c>
      <c r="G443" s="1">
        <v>1</v>
      </c>
      <c r="H443" s="1"/>
      <c r="I443" s="1">
        <f>1798-22</f>
        <v>1776</v>
      </c>
      <c r="J443" t="s">
        <v>10</v>
      </c>
      <c r="K443" t="s">
        <v>2356</v>
      </c>
      <c r="Q443">
        <v>5</v>
      </c>
      <c r="R443">
        <v>4</v>
      </c>
      <c r="T443" s="5">
        <f>((Q443*316)+(R443*26.3)+(S443*2.2))/10</f>
        <v>168.52</v>
      </c>
      <c r="U443" t="s">
        <v>3752</v>
      </c>
      <c r="AF443" s="6">
        <v>1</v>
      </c>
      <c r="BC443">
        <v>1798</v>
      </c>
      <c r="BD443" t="s">
        <v>81</v>
      </c>
      <c r="BE443" t="s">
        <v>118</v>
      </c>
      <c r="BF443" s="1" t="s">
        <v>73</v>
      </c>
      <c r="BG443" s="1">
        <v>1</v>
      </c>
      <c r="BH443">
        <v>2</v>
      </c>
      <c r="BI443">
        <v>1</v>
      </c>
      <c r="BK443" s="1" t="s">
        <v>72</v>
      </c>
      <c r="BQ443">
        <v>1</v>
      </c>
      <c r="CL443">
        <v>1</v>
      </c>
      <c r="CS443" t="s">
        <v>2900</v>
      </c>
    </row>
    <row r="444" spans="1:98">
      <c r="B444" t="s">
        <v>3813</v>
      </c>
      <c r="C444" s="2" t="s">
        <v>224</v>
      </c>
      <c r="F444" s="8" t="s">
        <v>115</v>
      </c>
      <c r="G444" s="1">
        <v>1</v>
      </c>
      <c r="H444" s="1"/>
      <c r="I444" s="1">
        <f>1798-38</f>
        <v>1760</v>
      </c>
      <c r="J444" t="s">
        <v>69</v>
      </c>
      <c r="K444" t="s">
        <v>197</v>
      </c>
      <c r="Q444">
        <v>5</v>
      </c>
      <c r="R444">
        <v>2</v>
      </c>
      <c r="S444">
        <v>3</v>
      </c>
      <c r="T444" s="5">
        <f>((Q444*316)+(R444*26.3)+(S444*2.2))/10</f>
        <v>163.92</v>
      </c>
      <c r="U444" t="s">
        <v>3752</v>
      </c>
      <c r="AF444" s="6">
        <v>1</v>
      </c>
      <c r="BC444">
        <v>1798</v>
      </c>
      <c r="BD444" t="s">
        <v>81</v>
      </c>
      <c r="BE444" t="s">
        <v>118</v>
      </c>
      <c r="BF444" s="1" t="s">
        <v>73</v>
      </c>
      <c r="BG444" s="1">
        <v>1</v>
      </c>
      <c r="BH444">
        <v>2</v>
      </c>
      <c r="BI444">
        <v>1</v>
      </c>
      <c r="BK444" s="1" t="s">
        <v>72</v>
      </c>
      <c r="BQ444">
        <v>1</v>
      </c>
      <c r="CL444">
        <v>1</v>
      </c>
      <c r="CS444" t="s">
        <v>2900</v>
      </c>
    </row>
    <row r="445" spans="1:98">
      <c r="B445" t="s">
        <v>1619</v>
      </c>
      <c r="C445" s="2" t="s">
        <v>899</v>
      </c>
      <c r="D445" s="15"/>
      <c r="F445" s="8" t="s">
        <v>409</v>
      </c>
      <c r="G445" s="1"/>
      <c r="H445" s="1">
        <v>1</v>
      </c>
      <c r="I445" s="1">
        <f>1811-40</f>
        <v>1771</v>
      </c>
      <c r="J445" t="s">
        <v>69</v>
      </c>
      <c r="K445" t="s">
        <v>12</v>
      </c>
      <c r="M445">
        <v>1</v>
      </c>
      <c r="Q445">
        <v>5</v>
      </c>
      <c r="R445">
        <v>6</v>
      </c>
      <c r="T445" s="5">
        <f>((Q445*316)+(R445*26.3)+(S445*2.2))/10</f>
        <v>173.78</v>
      </c>
      <c r="U445" t="s">
        <v>1687</v>
      </c>
      <c r="AF445" s="6">
        <v>1</v>
      </c>
      <c r="AG445" s="6">
        <v>1</v>
      </c>
      <c r="AH445" s="6">
        <v>1</v>
      </c>
      <c r="AI445" s="6">
        <v>1</v>
      </c>
      <c r="AJ445" s="6">
        <v>1</v>
      </c>
      <c r="AK445" s="6">
        <v>1</v>
      </c>
      <c r="AL445" s="6">
        <v>1</v>
      </c>
      <c r="AM445" s="6">
        <v>1</v>
      </c>
      <c r="AN445" s="6">
        <v>1</v>
      </c>
      <c r="AO445" s="6">
        <v>1</v>
      </c>
      <c r="AP445" s="6">
        <v>1</v>
      </c>
      <c r="AQ445" s="6">
        <v>1</v>
      </c>
      <c r="AR445" s="6">
        <v>1</v>
      </c>
      <c r="AS445" s="6">
        <v>1</v>
      </c>
      <c r="AT445" s="7">
        <v>1</v>
      </c>
      <c r="BC445" t="s">
        <v>1620</v>
      </c>
      <c r="BD445" s="7" t="s">
        <v>103</v>
      </c>
      <c r="BE445" t="s">
        <v>62</v>
      </c>
      <c r="BF445" s="1" t="s">
        <v>29</v>
      </c>
      <c r="BG445" s="1">
        <v>3</v>
      </c>
      <c r="BH445">
        <v>2</v>
      </c>
      <c r="BK445" s="1"/>
      <c r="BO445">
        <v>1</v>
      </c>
      <c r="BQ445">
        <v>1</v>
      </c>
      <c r="CL445">
        <v>1</v>
      </c>
      <c r="CS445" s="7" t="s">
        <v>1125</v>
      </c>
    </row>
    <row r="446" spans="1:98">
      <c r="B446" t="s">
        <v>67</v>
      </c>
      <c r="C446" s="2" t="s">
        <v>64</v>
      </c>
      <c r="F446" s="8" t="s">
        <v>65</v>
      </c>
      <c r="G446" s="1">
        <v>1</v>
      </c>
      <c r="H446" s="1"/>
      <c r="I446" s="1">
        <f>1801-42</f>
        <v>1759</v>
      </c>
      <c r="J446" t="s">
        <v>69</v>
      </c>
      <c r="K446" s="4" t="s">
        <v>12</v>
      </c>
      <c r="U446" s="9" t="s">
        <v>66</v>
      </c>
      <c r="AF446" s="9">
        <v>1</v>
      </c>
      <c r="AG446" s="6">
        <v>1</v>
      </c>
      <c r="AH446" s="6">
        <v>1</v>
      </c>
      <c r="AI446" s="6">
        <v>1</v>
      </c>
      <c r="BC446">
        <v>1801</v>
      </c>
      <c r="BD446" t="s">
        <v>81</v>
      </c>
      <c r="BE446" s="10" t="s">
        <v>70</v>
      </c>
      <c r="BF446" s="1" t="s">
        <v>73</v>
      </c>
      <c r="BG446" s="1">
        <v>2</v>
      </c>
      <c r="BH446">
        <v>1</v>
      </c>
      <c r="BK446" s="1" t="s">
        <v>72</v>
      </c>
      <c r="BZ446">
        <v>1</v>
      </c>
      <c r="CS446" t="s">
        <v>111</v>
      </c>
      <c r="CT446" s="10" t="s">
        <v>71</v>
      </c>
    </row>
    <row r="447" spans="1:98">
      <c r="B447" t="s">
        <v>68</v>
      </c>
      <c r="C447" s="2" t="s">
        <v>64</v>
      </c>
      <c r="F447" s="8" t="s">
        <v>65</v>
      </c>
      <c r="G447" s="1">
        <v>1</v>
      </c>
      <c r="H447" s="1"/>
      <c r="I447" s="1">
        <f>1801-30</f>
        <v>1771</v>
      </c>
      <c r="J447" t="s">
        <v>69</v>
      </c>
      <c r="K447" s="4" t="s">
        <v>12</v>
      </c>
      <c r="T447" s="5"/>
      <c r="U447" s="9" t="s">
        <v>66</v>
      </c>
      <c r="AF447" s="9">
        <v>1</v>
      </c>
      <c r="AG447" s="6">
        <v>1</v>
      </c>
      <c r="AH447" s="6">
        <v>1</v>
      </c>
      <c r="AI447" s="6">
        <v>1</v>
      </c>
      <c r="BC447">
        <v>1801</v>
      </c>
      <c r="BD447" t="s">
        <v>81</v>
      </c>
      <c r="BE447" s="10" t="s">
        <v>70</v>
      </c>
      <c r="BF447" s="1" t="s">
        <v>73</v>
      </c>
      <c r="BG447" s="1">
        <v>2</v>
      </c>
      <c r="BH447">
        <v>1</v>
      </c>
      <c r="BK447" s="1" t="s">
        <v>72</v>
      </c>
      <c r="BZ447">
        <v>1</v>
      </c>
      <c r="CS447" t="s">
        <v>111</v>
      </c>
      <c r="CT447" s="10" t="s">
        <v>71</v>
      </c>
    </row>
    <row r="448" spans="1:98">
      <c r="B448" t="s">
        <v>2190</v>
      </c>
      <c r="C448" s="2" t="s">
        <v>2109</v>
      </c>
      <c r="D448" s="2" t="s">
        <v>2109</v>
      </c>
      <c r="F448" s="8" t="s">
        <v>115</v>
      </c>
      <c r="G448" s="1">
        <v>1</v>
      </c>
      <c r="H448" s="1"/>
      <c r="I448" s="1">
        <f>1804-23</f>
        <v>1781</v>
      </c>
      <c r="J448" t="s">
        <v>69</v>
      </c>
      <c r="K448" s="4" t="s">
        <v>2191</v>
      </c>
      <c r="N448">
        <v>1</v>
      </c>
      <c r="Q448">
        <v>5</v>
      </c>
      <c r="R448">
        <v>3</v>
      </c>
      <c r="T448" s="5">
        <f>((Q448*316)+(R448*26.3)+(S448*2.2))/10</f>
        <v>165.89000000000001</v>
      </c>
      <c r="U448" t="s">
        <v>2192</v>
      </c>
      <c r="AF448" s="6">
        <v>1</v>
      </c>
      <c r="AG448" s="6">
        <v>1</v>
      </c>
      <c r="AH448" s="6">
        <v>1</v>
      </c>
      <c r="AI448" s="6">
        <v>1</v>
      </c>
      <c r="AJ448" s="6">
        <v>1</v>
      </c>
      <c r="AK448" s="6">
        <v>1</v>
      </c>
      <c r="AL448" s="6">
        <v>1</v>
      </c>
      <c r="AM448" s="6">
        <v>1</v>
      </c>
      <c r="AN448" s="7">
        <v>1</v>
      </c>
      <c r="BC448" t="s">
        <v>1501</v>
      </c>
      <c r="BD448" s="7" t="s">
        <v>109</v>
      </c>
      <c r="BE448" t="s">
        <v>1502</v>
      </c>
      <c r="BF448" s="1" t="s">
        <v>29</v>
      </c>
      <c r="BG448" s="1">
        <v>2</v>
      </c>
      <c r="BH448">
        <v>1</v>
      </c>
      <c r="BK448" s="1">
        <v>1</v>
      </c>
      <c r="BQ448">
        <v>1</v>
      </c>
      <c r="CS448" s="7" t="s">
        <v>354</v>
      </c>
    </row>
    <row r="449" spans="2:98">
      <c r="B449" t="s">
        <v>3032</v>
      </c>
      <c r="C449" s="2" t="s">
        <v>3033</v>
      </c>
      <c r="D449" s="2" t="s">
        <v>3034</v>
      </c>
      <c r="E449" s="8" t="s">
        <v>430</v>
      </c>
      <c r="F449" s="8" t="s">
        <v>218</v>
      </c>
      <c r="G449" s="1">
        <v>1</v>
      </c>
      <c r="H449" s="1"/>
      <c r="I449" s="1">
        <f>1803-31</f>
        <v>1772</v>
      </c>
      <c r="J449" t="s">
        <v>10</v>
      </c>
      <c r="K449" s="4" t="s">
        <v>12</v>
      </c>
      <c r="Q449">
        <v>5</v>
      </c>
      <c r="R449">
        <v>4</v>
      </c>
      <c r="S449">
        <v>1</v>
      </c>
      <c r="T449" s="5">
        <f>((Q449*316)+(R449*26.3)+(S449*2.2))/10</f>
        <v>168.74</v>
      </c>
      <c r="U449" t="s">
        <v>3035</v>
      </c>
      <c r="AF449" s="6">
        <v>1</v>
      </c>
      <c r="AG449" s="6">
        <v>1</v>
      </c>
      <c r="AH449" s="6">
        <v>1</v>
      </c>
      <c r="AI449" s="6">
        <v>1</v>
      </c>
      <c r="AJ449" s="6">
        <v>1</v>
      </c>
      <c r="AK449" s="6">
        <v>1</v>
      </c>
      <c r="AL449" s="7">
        <v>1</v>
      </c>
      <c r="BC449" t="s">
        <v>3036</v>
      </c>
      <c r="BD449" s="7" t="s">
        <v>280</v>
      </c>
      <c r="BE449" t="s">
        <v>2407</v>
      </c>
      <c r="BF449" s="1" t="s">
        <v>29</v>
      </c>
      <c r="BG449" s="1">
        <v>3</v>
      </c>
      <c r="BH449">
        <v>1</v>
      </c>
      <c r="BK449" s="1">
        <v>1</v>
      </c>
      <c r="BQ449">
        <v>1</v>
      </c>
      <c r="CF449">
        <v>1</v>
      </c>
      <c r="CN449">
        <v>1</v>
      </c>
      <c r="CO449">
        <v>1</v>
      </c>
      <c r="CS449" s="7" t="s">
        <v>3037</v>
      </c>
    </row>
    <row r="450" spans="2:98">
      <c r="B450" t="s">
        <v>1734</v>
      </c>
      <c r="C450" s="2" t="s">
        <v>664</v>
      </c>
      <c r="E450" s="8" t="s">
        <v>1735</v>
      </c>
      <c r="F450" s="8" t="s">
        <v>115</v>
      </c>
      <c r="G450" s="1">
        <v>1</v>
      </c>
      <c r="H450" s="1"/>
      <c r="I450" s="1">
        <f>1799-30</f>
        <v>1769</v>
      </c>
      <c r="J450" t="s">
        <v>69</v>
      </c>
      <c r="K450" t="s">
        <v>1736</v>
      </c>
      <c r="T450" s="5"/>
      <c r="U450" s="9" t="s">
        <v>1737</v>
      </c>
      <c r="AF450" s="6">
        <v>1</v>
      </c>
      <c r="AG450" s="6">
        <v>1</v>
      </c>
      <c r="BC450" t="s">
        <v>1496</v>
      </c>
      <c r="BD450" t="s">
        <v>81</v>
      </c>
      <c r="BE450" s="10" t="s">
        <v>70</v>
      </c>
      <c r="BF450" s="1" t="s">
        <v>73</v>
      </c>
      <c r="BG450" s="1">
        <v>2</v>
      </c>
      <c r="BH450">
        <v>1</v>
      </c>
      <c r="BK450" s="1">
        <v>1</v>
      </c>
      <c r="BQ450">
        <v>1</v>
      </c>
      <c r="BZ450">
        <v>1</v>
      </c>
      <c r="CS450" t="s">
        <v>111</v>
      </c>
      <c r="CT450" s="10" t="s">
        <v>82</v>
      </c>
    </row>
    <row r="451" spans="2:98">
      <c r="B451" t="s">
        <v>3821</v>
      </c>
      <c r="C451" s="2" t="s">
        <v>191</v>
      </c>
      <c r="D451" s="2" t="s">
        <v>191</v>
      </c>
      <c r="E451" s="8" t="s">
        <v>193</v>
      </c>
      <c r="F451" s="8" t="s">
        <v>65</v>
      </c>
      <c r="G451" s="1">
        <v>1</v>
      </c>
      <c r="H451" s="1"/>
      <c r="I451" s="1">
        <f>1798-20</f>
        <v>1778</v>
      </c>
      <c r="J451" t="s">
        <v>10</v>
      </c>
      <c r="K451" s="4" t="s">
        <v>12</v>
      </c>
      <c r="Q451">
        <v>5</v>
      </c>
      <c r="R451">
        <v>1</v>
      </c>
      <c r="S451">
        <v>3</v>
      </c>
      <c r="T451" s="5">
        <f t="shared" ref="T451:T464" si="25">((Q451*316)+(R451*26.3)+(S451*2.2))/10</f>
        <v>161.29</v>
      </c>
      <c r="U451" s="9" t="s">
        <v>3820</v>
      </c>
      <c r="AF451" s="6">
        <v>1</v>
      </c>
      <c r="BC451">
        <v>1798</v>
      </c>
      <c r="BD451" t="s">
        <v>81</v>
      </c>
      <c r="BE451" t="s">
        <v>118</v>
      </c>
      <c r="BF451" s="1" t="s">
        <v>73</v>
      </c>
      <c r="BG451" s="1">
        <v>1</v>
      </c>
      <c r="BH451">
        <v>1</v>
      </c>
      <c r="BK451" s="1">
        <v>1</v>
      </c>
      <c r="BQ451">
        <v>1</v>
      </c>
      <c r="CS451" t="s">
        <v>2900</v>
      </c>
    </row>
    <row r="452" spans="2:98">
      <c r="B452" t="s">
        <v>2988</v>
      </c>
      <c r="C452" s="2" t="s">
        <v>2989</v>
      </c>
      <c r="D452" s="8" t="s">
        <v>2990</v>
      </c>
      <c r="E452" s="8" t="s">
        <v>2991</v>
      </c>
      <c r="F452" s="8" t="s">
        <v>357</v>
      </c>
      <c r="G452" s="1">
        <v>1</v>
      </c>
      <c r="H452" s="1"/>
      <c r="I452" s="1">
        <f>1799-25</f>
        <v>1774</v>
      </c>
      <c r="J452" t="s">
        <v>10</v>
      </c>
      <c r="K452" s="4" t="s">
        <v>12</v>
      </c>
      <c r="Q452">
        <v>5</v>
      </c>
      <c r="R452">
        <v>0</v>
      </c>
      <c r="S452">
        <v>2</v>
      </c>
      <c r="T452" s="5">
        <f t="shared" si="25"/>
        <v>158.44</v>
      </c>
      <c r="U452" t="s">
        <v>2992</v>
      </c>
      <c r="AF452" s="6">
        <v>1</v>
      </c>
      <c r="AG452" s="6">
        <v>1</v>
      </c>
      <c r="AH452" s="6">
        <v>1</v>
      </c>
      <c r="AI452" s="6">
        <v>1</v>
      </c>
      <c r="AJ452" s="6">
        <v>1</v>
      </c>
      <c r="BC452">
        <v>1802</v>
      </c>
      <c r="BD452" t="s">
        <v>81</v>
      </c>
      <c r="BE452" s="10" t="s">
        <v>2407</v>
      </c>
      <c r="BF452" s="1" t="s">
        <v>73</v>
      </c>
      <c r="BG452" s="1">
        <v>2</v>
      </c>
      <c r="BH452">
        <v>2</v>
      </c>
      <c r="BI452">
        <v>1</v>
      </c>
      <c r="BK452" s="1" t="s">
        <v>72</v>
      </c>
      <c r="BQ452">
        <v>1</v>
      </c>
      <c r="CL452" s="10">
        <v>1</v>
      </c>
      <c r="CS452" s="10" t="s">
        <v>2987</v>
      </c>
    </row>
    <row r="453" spans="2:98">
      <c r="B453" t="s">
        <v>3753</v>
      </c>
      <c r="C453" s="2" t="s">
        <v>1223</v>
      </c>
      <c r="D453" s="2" t="s">
        <v>1223</v>
      </c>
      <c r="E453" s="8" t="s">
        <v>130</v>
      </c>
      <c r="F453" s="8" t="s">
        <v>65</v>
      </c>
      <c r="G453" s="1">
        <v>1</v>
      </c>
      <c r="H453" s="1"/>
      <c r="I453" s="1">
        <f>1798-19</f>
        <v>1779</v>
      </c>
      <c r="J453" t="s">
        <v>10</v>
      </c>
      <c r="K453" s="4" t="s">
        <v>12</v>
      </c>
      <c r="Q453">
        <v>5</v>
      </c>
      <c r="R453">
        <v>3</v>
      </c>
      <c r="S453">
        <v>1</v>
      </c>
      <c r="T453" s="5">
        <f t="shared" si="25"/>
        <v>166.11</v>
      </c>
      <c r="U453" t="s">
        <v>3754</v>
      </c>
      <c r="AF453" s="6">
        <v>1</v>
      </c>
      <c r="BC453">
        <v>1798</v>
      </c>
      <c r="BD453" t="s">
        <v>81</v>
      </c>
      <c r="BE453" t="s">
        <v>118</v>
      </c>
      <c r="BF453" s="1" t="s">
        <v>73</v>
      </c>
      <c r="BG453" s="1">
        <v>1</v>
      </c>
      <c r="BH453">
        <v>1</v>
      </c>
      <c r="BK453" s="1">
        <v>1</v>
      </c>
      <c r="BQ453">
        <v>1</v>
      </c>
      <c r="CS453" t="s">
        <v>2900</v>
      </c>
    </row>
    <row r="454" spans="2:98">
      <c r="B454" t="s">
        <v>3798</v>
      </c>
      <c r="C454" s="2" t="s">
        <v>2137</v>
      </c>
      <c r="D454" s="2"/>
      <c r="E454" s="8" t="s">
        <v>130</v>
      </c>
      <c r="F454" s="8" t="s">
        <v>65</v>
      </c>
      <c r="G454" s="1">
        <v>1</v>
      </c>
      <c r="H454" s="1"/>
      <c r="I454" s="1">
        <f>1798-18</f>
        <v>1780</v>
      </c>
      <c r="J454" t="s">
        <v>10</v>
      </c>
      <c r="K454" s="4" t="s">
        <v>116</v>
      </c>
      <c r="Q454">
        <v>5</v>
      </c>
      <c r="R454">
        <v>3</v>
      </c>
      <c r="T454" s="5">
        <f t="shared" si="25"/>
        <v>165.89000000000001</v>
      </c>
      <c r="U454" t="s">
        <v>3799</v>
      </c>
      <c r="AF454" s="6">
        <v>1</v>
      </c>
      <c r="BC454">
        <v>1798</v>
      </c>
      <c r="BD454" t="s">
        <v>81</v>
      </c>
      <c r="BE454" t="s">
        <v>118</v>
      </c>
      <c r="BF454" s="1" t="s">
        <v>73</v>
      </c>
      <c r="BG454" s="1">
        <v>1</v>
      </c>
      <c r="BH454">
        <v>1</v>
      </c>
      <c r="BK454" s="1">
        <v>1</v>
      </c>
      <c r="BQ454">
        <v>1</v>
      </c>
      <c r="CS454" t="s">
        <v>2900</v>
      </c>
    </row>
    <row r="455" spans="2:98">
      <c r="B455" t="s">
        <v>3810</v>
      </c>
      <c r="C455" s="2" t="s">
        <v>3811</v>
      </c>
      <c r="D455" s="2" t="s">
        <v>3811</v>
      </c>
      <c r="E455" s="8" t="s">
        <v>837</v>
      </c>
      <c r="F455" s="8" t="s">
        <v>115</v>
      </c>
      <c r="G455" s="1">
        <v>1</v>
      </c>
      <c r="H455" s="1"/>
      <c r="I455" s="1">
        <f>1798-30</f>
        <v>1768</v>
      </c>
      <c r="J455" t="s">
        <v>69</v>
      </c>
      <c r="K455" s="4" t="s">
        <v>116</v>
      </c>
      <c r="Q455">
        <v>5</v>
      </c>
      <c r="R455">
        <v>4</v>
      </c>
      <c r="T455" s="5">
        <f t="shared" si="25"/>
        <v>168.52</v>
      </c>
      <c r="U455" t="s">
        <v>3807</v>
      </c>
      <c r="AF455" s="6">
        <v>1</v>
      </c>
      <c r="BC455">
        <v>1798</v>
      </c>
      <c r="BD455" t="s">
        <v>81</v>
      </c>
      <c r="BE455" t="s">
        <v>118</v>
      </c>
      <c r="BF455" s="1" t="s">
        <v>73</v>
      </c>
      <c r="BG455" s="1">
        <v>1</v>
      </c>
      <c r="BH455">
        <v>1</v>
      </c>
      <c r="BK455" s="30">
        <v>1</v>
      </c>
      <c r="BQ455">
        <v>1</v>
      </c>
      <c r="CS455" t="s">
        <v>2900</v>
      </c>
      <c r="CT455" s="6" t="s">
        <v>3812</v>
      </c>
    </row>
    <row r="456" spans="2:98">
      <c r="B456" t="s">
        <v>4651</v>
      </c>
      <c r="C456" s="2" t="s">
        <v>3089</v>
      </c>
      <c r="D456" s="15"/>
      <c r="F456" s="8" t="s">
        <v>218</v>
      </c>
      <c r="G456" s="1">
        <v>1</v>
      </c>
      <c r="H456" s="1"/>
      <c r="I456" s="1">
        <f>1804-27</f>
        <v>1777</v>
      </c>
      <c r="J456" t="s">
        <v>10</v>
      </c>
      <c r="K456" s="4" t="s">
        <v>358</v>
      </c>
      <c r="Q456">
        <v>5</v>
      </c>
      <c r="T456" s="5">
        <f t="shared" si="25"/>
        <v>158</v>
      </c>
      <c r="U456" t="s">
        <v>287</v>
      </c>
      <c r="AF456" s="6">
        <v>1</v>
      </c>
      <c r="AG456" s="6">
        <v>1</v>
      </c>
      <c r="AH456" s="6">
        <v>1</v>
      </c>
      <c r="AI456" s="6">
        <v>1</v>
      </c>
      <c r="AJ456" s="6">
        <v>1</v>
      </c>
      <c r="AK456" s="6">
        <v>1</v>
      </c>
      <c r="AL456" s="6">
        <v>1</v>
      </c>
      <c r="AM456" s="7">
        <v>1</v>
      </c>
      <c r="BC456" t="s">
        <v>3065</v>
      </c>
      <c r="BD456" s="7" t="s">
        <v>305</v>
      </c>
      <c r="BE456" t="s">
        <v>712</v>
      </c>
      <c r="BF456" s="1" t="s">
        <v>29</v>
      </c>
      <c r="BG456" s="1">
        <v>3</v>
      </c>
      <c r="BH456">
        <v>1</v>
      </c>
      <c r="BK456" s="1" t="s">
        <v>72</v>
      </c>
      <c r="BQ456">
        <v>1</v>
      </c>
      <c r="CM456">
        <v>1</v>
      </c>
      <c r="CS456" s="7" t="s">
        <v>4643</v>
      </c>
    </row>
    <row r="457" spans="2:98">
      <c r="B457" t="s">
        <v>105</v>
      </c>
      <c r="C457" s="8" t="s">
        <v>106</v>
      </c>
      <c r="F457" s="8" t="s">
        <v>4274</v>
      </c>
      <c r="G457" s="1"/>
      <c r="H457" s="1">
        <v>1</v>
      </c>
      <c r="I457" s="1">
        <f>1802-25</f>
        <v>1777</v>
      </c>
      <c r="J457" t="s">
        <v>69</v>
      </c>
      <c r="K457" t="s">
        <v>12</v>
      </c>
      <c r="N457">
        <v>1</v>
      </c>
      <c r="Q457">
        <v>5</v>
      </c>
      <c r="R457">
        <v>5</v>
      </c>
      <c r="S457">
        <v>1</v>
      </c>
      <c r="T457" s="5">
        <f t="shared" si="25"/>
        <v>171.37</v>
      </c>
      <c r="U457" t="s">
        <v>287</v>
      </c>
      <c r="AF457" s="6">
        <v>1</v>
      </c>
      <c r="AG457" s="6">
        <v>1</v>
      </c>
      <c r="AH457" s="6">
        <v>1</v>
      </c>
      <c r="AI457" s="6">
        <v>1</v>
      </c>
      <c r="AJ457" s="6">
        <v>1</v>
      </c>
      <c r="AK457" s="6">
        <v>1</v>
      </c>
      <c r="AL457" s="6">
        <v>1</v>
      </c>
      <c r="AM457" s="6">
        <v>1</v>
      </c>
      <c r="AN457" s="6">
        <v>1</v>
      </c>
      <c r="AO457" s="6">
        <v>1</v>
      </c>
      <c r="AP457" s="6">
        <v>1</v>
      </c>
      <c r="AQ457" s="6">
        <v>1</v>
      </c>
      <c r="AR457" s="7">
        <v>1</v>
      </c>
      <c r="BC457" t="s">
        <v>108</v>
      </c>
      <c r="BD457" s="7" t="s">
        <v>109</v>
      </c>
      <c r="BE457" t="s">
        <v>125</v>
      </c>
      <c r="BF457" s="1" t="s">
        <v>29</v>
      </c>
      <c r="BG457" s="1">
        <v>13</v>
      </c>
      <c r="BH457">
        <v>1</v>
      </c>
      <c r="BK457" s="1"/>
      <c r="BO457">
        <v>1</v>
      </c>
      <c r="BP457">
        <v>1</v>
      </c>
      <c r="BQ457">
        <v>1</v>
      </c>
      <c r="CS457" s="7" t="s">
        <v>110</v>
      </c>
    </row>
    <row r="458" spans="2:98">
      <c r="B458" t="s">
        <v>3802</v>
      </c>
      <c r="C458" s="2" t="s">
        <v>3803</v>
      </c>
      <c r="D458" s="2" t="s">
        <v>3803</v>
      </c>
      <c r="E458" s="8" t="s">
        <v>1084</v>
      </c>
      <c r="F458" s="8" t="s">
        <v>65</v>
      </c>
      <c r="G458" s="1">
        <v>1</v>
      </c>
      <c r="H458" s="1"/>
      <c r="I458" s="1">
        <f>1804-25</f>
        <v>1779</v>
      </c>
      <c r="J458" t="s">
        <v>10</v>
      </c>
      <c r="K458" s="4" t="s">
        <v>12</v>
      </c>
      <c r="Q458">
        <v>5</v>
      </c>
      <c r="R458">
        <v>3</v>
      </c>
      <c r="S458">
        <v>1</v>
      </c>
      <c r="T458" s="5">
        <f t="shared" si="25"/>
        <v>166.11</v>
      </c>
      <c r="U458" t="s">
        <v>3804</v>
      </c>
      <c r="AF458" s="6">
        <v>1</v>
      </c>
      <c r="AG458" s="6">
        <v>1</v>
      </c>
      <c r="AH458" s="6">
        <v>1</v>
      </c>
      <c r="AI458" s="6">
        <v>1</v>
      </c>
      <c r="AJ458" s="6">
        <v>1</v>
      </c>
      <c r="AK458" s="6">
        <v>1</v>
      </c>
      <c r="AL458" s="6">
        <v>1</v>
      </c>
      <c r="AM458" s="6">
        <v>1</v>
      </c>
      <c r="BC458">
        <v>1805</v>
      </c>
      <c r="BD458" t="s">
        <v>81</v>
      </c>
      <c r="BE458" t="s">
        <v>118</v>
      </c>
      <c r="BF458" s="1" t="s">
        <v>73</v>
      </c>
      <c r="BG458" s="1">
        <v>4</v>
      </c>
      <c r="BH458">
        <v>2</v>
      </c>
      <c r="BK458" s="1">
        <v>1</v>
      </c>
      <c r="BQ458">
        <v>1</v>
      </c>
      <c r="CL458">
        <v>1</v>
      </c>
      <c r="CM458">
        <v>1</v>
      </c>
      <c r="CS458" t="s">
        <v>2900</v>
      </c>
    </row>
    <row r="459" spans="2:98">
      <c r="B459" t="s">
        <v>1465</v>
      </c>
      <c r="C459" s="2" t="s">
        <v>1466</v>
      </c>
      <c r="F459" s="8" t="s">
        <v>595</v>
      </c>
      <c r="G459" s="1"/>
      <c r="H459" s="1">
        <v>1</v>
      </c>
      <c r="I459" s="1">
        <f>1802-34</f>
        <v>1768</v>
      </c>
      <c r="J459" t="s">
        <v>10</v>
      </c>
      <c r="K459" t="s">
        <v>197</v>
      </c>
      <c r="Q459">
        <v>5</v>
      </c>
      <c r="R459">
        <v>5</v>
      </c>
      <c r="T459" s="5">
        <f t="shared" si="25"/>
        <v>171.15</v>
      </c>
      <c r="U459" s="9" t="s">
        <v>1357</v>
      </c>
      <c r="AF459" s="6">
        <v>1</v>
      </c>
      <c r="AG459" s="6">
        <v>1</v>
      </c>
      <c r="AH459" s="6">
        <v>1</v>
      </c>
      <c r="AI459" s="6">
        <v>1</v>
      </c>
      <c r="AJ459" s="6">
        <v>1</v>
      </c>
      <c r="AK459" s="6">
        <v>1</v>
      </c>
      <c r="AL459" s="6">
        <v>1</v>
      </c>
      <c r="AM459" s="7">
        <v>1</v>
      </c>
      <c r="BC459" t="s">
        <v>1467</v>
      </c>
      <c r="BD459" s="7" t="s">
        <v>103</v>
      </c>
      <c r="BE459" t="s">
        <v>62</v>
      </c>
      <c r="BF459" s="1" t="s">
        <v>29</v>
      </c>
      <c r="BG459" s="1">
        <v>4</v>
      </c>
      <c r="BH459">
        <v>1</v>
      </c>
      <c r="BI459">
        <v>1</v>
      </c>
      <c r="BK459" s="30">
        <v>1</v>
      </c>
      <c r="BQ459">
        <v>1</v>
      </c>
      <c r="CF459">
        <v>1</v>
      </c>
      <c r="CL459">
        <v>1</v>
      </c>
      <c r="CS459" s="7" t="s">
        <v>1468</v>
      </c>
      <c r="CT459" s="6" t="s">
        <v>1469</v>
      </c>
    </row>
    <row r="460" spans="2:98">
      <c r="B460" t="s">
        <v>1355</v>
      </c>
      <c r="C460" s="2" t="s">
        <v>1356</v>
      </c>
      <c r="F460" s="8" t="s">
        <v>115</v>
      </c>
      <c r="G460" s="1"/>
      <c r="H460" s="1">
        <v>1</v>
      </c>
      <c r="I460" s="1">
        <f>1802-22</f>
        <v>1780</v>
      </c>
      <c r="J460" t="s">
        <v>10</v>
      </c>
      <c r="K460" t="s">
        <v>12</v>
      </c>
      <c r="Q460">
        <v>5</v>
      </c>
      <c r="R460">
        <v>3</v>
      </c>
      <c r="S460">
        <v>3</v>
      </c>
      <c r="T460" s="5">
        <f t="shared" si="25"/>
        <v>166.55</v>
      </c>
      <c r="U460" t="s">
        <v>1357</v>
      </c>
      <c r="AF460" s="6">
        <v>1</v>
      </c>
      <c r="AG460" s="6">
        <v>1</v>
      </c>
      <c r="AH460" s="6">
        <v>1</v>
      </c>
      <c r="AI460" s="6">
        <v>1</v>
      </c>
      <c r="AJ460" s="6">
        <v>1</v>
      </c>
      <c r="AK460" s="6">
        <v>1</v>
      </c>
      <c r="AL460" s="6">
        <v>1</v>
      </c>
      <c r="AM460" s="7">
        <v>1</v>
      </c>
      <c r="BC460" t="s">
        <v>1358</v>
      </c>
      <c r="BD460" s="7" t="s">
        <v>26</v>
      </c>
      <c r="BE460" t="s">
        <v>125</v>
      </c>
      <c r="BF460" s="1" t="s">
        <v>29</v>
      </c>
      <c r="BG460" s="1">
        <v>7</v>
      </c>
      <c r="BH460">
        <v>1</v>
      </c>
      <c r="BK460" s="1">
        <v>1</v>
      </c>
      <c r="BQ460">
        <v>1</v>
      </c>
      <c r="CS460" s="7" t="s">
        <v>1359</v>
      </c>
    </row>
    <row r="461" spans="2:98">
      <c r="B461" t="s">
        <v>918</v>
      </c>
      <c r="C461" s="2" t="s">
        <v>919</v>
      </c>
      <c r="E461" s="8" t="s">
        <v>920</v>
      </c>
      <c r="F461" s="8" t="s">
        <v>115</v>
      </c>
      <c r="G461" s="1">
        <v>1</v>
      </c>
      <c r="H461" s="1"/>
      <c r="I461" s="1">
        <f>1802-23</f>
        <v>1779</v>
      </c>
      <c r="J461" t="s">
        <v>10</v>
      </c>
      <c r="K461" t="s">
        <v>12</v>
      </c>
      <c r="Q461">
        <v>5</v>
      </c>
      <c r="R461">
        <v>4</v>
      </c>
      <c r="T461" s="5">
        <f t="shared" si="25"/>
        <v>168.52</v>
      </c>
      <c r="U461" t="s">
        <v>921</v>
      </c>
      <c r="AF461" s="6">
        <v>1</v>
      </c>
      <c r="AG461" s="6">
        <v>1</v>
      </c>
      <c r="AH461" s="6">
        <v>1</v>
      </c>
      <c r="AI461" s="6">
        <v>1</v>
      </c>
      <c r="AJ461" s="6">
        <v>1</v>
      </c>
      <c r="AK461" s="7">
        <v>1</v>
      </c>
      <c r="BC461" t="s">
        <v>922</v>
      </c>
      <c r="BD461" s="7" t="s">
        <v>280</v>
      </c>
      <c r="BE461" t="s">
        <v>874</v>
      </c>
      <c r="BF461" s="1" t="s">
        <v>29</v>
      </c>
      <c r="BG461" s="1">
        <v>2</v>
      </c>
      <c r="BH461">
        <v>2</v>
      </c>
      <c r="BK461" s="1" t="s">
        <v>72</v>
      </c>
      <c r="BQ461">
        <v>1</v>
      </c>
      <c r="BV461">
        <v>1</v>
      </c>
      <c r="CL461">
        <v>1</v>
      </c>
      <c r="CN461">
        <v>1</v>
      </c>
      <c r="CS461" s="7" t="s">
        <v>923</v>
      </c>
    </row>
    <row r="462" spans="2:98">
      <c r="B462" t="s">
        <v>3755</v>
      </c>
      <c r="C462" s="2" t="s">
        <v>3757</v>
      </c>
      <c r="D462" s="2" t="s">
        <v>3757</v>
      </c>
      <c r="E462" s="8" t="s">
        <v>2403</v>
      </c>
      <c r="F462" s="8" t="s">
        <v>65</v>
      </c>
      <c r="G462" s="1">
        <v>1</v>
      </c>
      <c r="H462" s="1"/>
      <c r="I462" s="1">
        <f>1798-19</f>
        <v>1779</v>
      </c>
      <c r="J462" t="s">
        <v>10</v>
      </c>
      <c r="K462" t="s">
        <v>12</v>
      </c>
      <c r="Q462">
        <v>5</v>
      </c>
      <c r="R462">
        <v>2</v>
      </c>
      <c r="S462">
        <v>3</v>
      </c>
      <c r="T462" s="5">
        <f t="shared" si="25"/>
        <v>163.92</v>
      </c>
      <c r="U462" t="s">
        <v>3760</v>
      </c>
      <c r="AF462" s="6">
        <v>1</v>
      </c>
      <c r="BC462">
        <v>1798</v>
      </c>
      <c r="BD462" t="s">
        <v>81</v>
      </c>
      <c r="BE462" t="s">
        <v>118</v>
      </c>
      <c r="BF462" s="1" t="s">
        <v>73</v>
      </c>
      <c r="BG462" s="1">
        <v>1</v>
      </c>
      <c r="BH462">
        <v>1</v>
      </c>
      <c r="BK462" s="1">
        <v>1</v>
      </c>
      <c r="BQ462">
        <v>1</v>
      </c>
      <c r="CS462" t="s">
        <v>2900</v>
      </c>
    </row>
    <row r="463" spans="2:98">
      <c r="B463" t="s">
        <v>3756</v>
      </c>
      <c r="C463" s="2" t="s">
        <v>3759</v>
      </c>
      <c r="D463" s="2" t="s">
        <v>3759</v>
      </c>
      <c r="E463" s="8" t="s">
        <v>3758</v>
      </c>
      <c r="F463" s="8" t="s">
        <v>65</v>
      </c>
      <c r="G463" s="1">
        <v>1</v>
      </c>
      <c r="H463" s="1"/>
      <c r="I463" s="1">
        <f>1798-24</f>
        <v>1774</v>
      </c>
      <c r="J463" t="s">
        <v>10</v>
      </c>
      <c r="K463" t="s">
        <v>12</v>
      </c>
      <c r="Q463">
        <v>5</v>
      </c>
      <c r="R463">
        <v>4</v>
      </c>
      <c r="S463">
        <v>1</v>
      </c>
      <c r="T463" s="5">
        <f t="shared" si="25"/>
        <v>168.74</v>
      </c>
      <c r="U463" t="s">
        <v>3761</v>
      </c>
      <c r="AF463" s="6">
        <v>1</v>
      </c>
      <c r="BC463">
        <v>1798</v>
      </c>
      <c r="BD463" t="s">
        <v>81</v>
      </c>
      <c r="BE463" t="s">
        <v>118</v>
      </c>
      <c r="BF463" s="1" t="s">
        <v>73</v>
      </c>
      <c r="BG463" s="1">
        <v>1</v>
      </c>
      <c r="BH463">
        <v>1</v>
      </c>
      <c r="BK463" s="1">
        <v>1</v>
      </c>
      <c r="BQ463">
        <v>1</v>
      </c>
      <c r="CS463" t="s">
        <v>2900</v>
      </c>
    </row>
    <row r="464" spans="2:98">
      <c r="B464" t="s">
        <v>3762</v>
      </c>
      <c r="C464" s="2" t="s">
        <v>3763</v>
      </c>
      <c r="D464" s="2" t="s">
        <v>3763</v>
      </c>
      <c r="E464" s="8" t="s">
        <v>3758</v>
      </c>
      <c r="F464" s="8" t="s">
        <v>65</v>
      </c>
      <c r="G464" s="1">
        <v>1</v>
      </c>
      <c r="H464" s="1"/>
      <c r="I464" s="1">
        <f>1804-30</f>
        <v>1774</v>
      </c>
      <c r="J464" t="s">
        <v>10</v>
      </c>
      <c r="K464" t="s">
        <v>12</v>
      </c>
      <c r="Q464">
        <v>5</v>
      </c>
      <c r="R464">
        <v>4</v>
      </c>
      <c r="S464">
        <v>2</v>
      </c>
      <c r="T464" s="5">
        <f t="shared" si="25"/>
        <v>168.96</v>
      </c>
      <c r="U464" t="s">
        <v>3764</v>
      </c>
      <c r="AF464" s="6">
        <v>1</v>
      </c>
      <c r="AG464" s="6">
        <v>1</v>
      </c>
      <c r="AH464" s="6">
        <v>1</v>
      </c>
      <c r="AI464" s="6">
        <v>1</v>
      </c>
      <c r="AJ464" s="6">
        <v>1</v>
      </c>
      <c r="AK464" s="6">
        <v>1</v>
      </c>
      <c r="AL464" s="6">
        <v>1</v>
      </c>
      <c r="AM464" s="6">
        <v>1</v>
      </c>
      <c r="AN464" s="6">
        <v>1</v>
      </c>
      <c r="AO464" s="6">
        <v>1</v>
      </c>
      <c r="AP464" s="6">
        <v>1</v>
      </c>
      <c r="BC464">
        <v>1808</v>
      </c>
      <c r="BD464" t="s">
        <v>81</v>
      </c>
      <c r="BE464" t="s">
        <v>118</v>
      </c>
      <c r="BF464" s="1" t="s">
        <v>73</v>
      </c>
      <c r="BG464" s="1">
        <v>4</v>
      </c>
      <c r="BH464">
        <v>1</v>
      </c>
      <c r="BK464" s="1">
        <v>1</v>
      </c>
      <c r="BQ464">
        <v>1</v>
      </c>
      <c r="CF464">
        <v>1</v>
      </c>
      <c r="CS464" t="s">
        <v>119</v>
      </c>
    </row>
    <row r="465" spans="1:98">
      <c r="B465" t="s">
        <v>714</v>
      </c>
      <c r="C465" s="2" t="s">
        <v>623</v>
      </c>
      <c r="D465" s="2"/>
      <c r="E465" s="21" t="s">
        <v>624</v>
      </c>
      <c r="F465" s="21" t="s">
        <v>218</v>
      </c>
      <c r="G465" s="23">
        <v>1</v>
      </c>
      <c r="H465" s="1"/>
      <c r="I465" s="1">
        <f>1798-19</f>
        <v>1779</v>
      </c>
      <c r="J465" t="s">
        <v>10</v>
      </c>
      <c r="K465" t="s">
        <v>715</v>
      </c>
      <c r="T465" s="5"/>
      <c r="U465" t="s">
        <v>716</v>
      </c>
      <c r="AF465" s="7">
        <v>1</v>
      </c>
      <c r="BC465" t="s">
        <v>717</v>
      </c>
      <c r="BD465" s="7" t="s">
        <v>103</v>
      </c>
      <c r="BE465" t="s">
        <v>712</v>
      </c>
      <c r="BF465" s="1" t="s">
        <v>29</v>
      </c>
      <c r="BG465" s="1">
        <v>1</v>
      </c>
      <c r="BH465">
        <v>1</v>
      </c>
      <c r="BJ465">
        <v>1</v>
      </c>
      <c r="BK465" s="1" t="s">
        <v>72</v>
      </c>
      <c r="BQ465">
        <v>1</v>
      </c>
      <c r="CS465" s="7" t="s">
        <v>718</v>
      </c>
    </row>
    <row r="466" spans="1:98">
      <c r="B466" t="s">
        <v>3223</v>
      </c>
      <c r="C466" s="2" t="s">
        <v>356</v>
      </c>
      <c r="D466" s="2" t="s">
        <v>3146</v>
      </c>
      <c r="E466" s="21" t="s">
        <v>546</v>
      </c>
      <c r="F466" s="21" t="s">
        <v>357</v>
      </c>
      <c r="G466" s="23">
        <v>1</v>
      </c>
      <c r="H466" s="1"/>
      <c r="I466" s="1">
        <f>1798-17</f>
        <v>1781</v>
      </c>
      <c r="J466" t="s">
        <v>10</v>
      </c>
      <c r="K466" t="s">
        <v>12</v>
      </c>
      <c r="Q466">
        <v>5</v>
      </c>
      <c r="R466">
        <v>5</v>
      </c>
      <c r="S466">
        <v>1</v>
      </c>
      <c r="T466" s="5">
        <f t="shared" ref="T466" si="26">((Q466*316)+(R466*26.3)+(S466*2.2))/10</f>
        <v>171.37</v>
      </c>
      <c r="U466" t="s">
        <v>3224</v>
      </c>
      <c r="AF466" s="6">
        <v>1</v>
      </c>
      <c r="AG466" s="6">
        <v>1</v>
      </c>
      <c r="AH466" s="6">
        <v>1</v>
      </c>
      <c r="AI466" s="6">
        <v>1</v>
      </c>
      <c r="AJ466" s="7">
        <v>1</v>
      </c>
      <c r="AM466" s="6">
        <v>1</v>
      </c>
      <c r="AN466" s="6">
        <v>1</v>
      </c>
      <c r="AO466" s="7">
        <v>1</v>
      </c>
      <c r="BC466" t="s">
        <v>1254</v>
      </c>
      <c r="BD466" s="7" t="s">
        <v>103</v>
      </c>
      <c r="BE466" t="s">
        <v>2407</v>
      </c>
      <c r="BF466" s="1" t="s">
        <v>29</v>
      </c>
      <c r="BG466" s="1">
        <v>6</v>
      </c>
      <c r="BH466">
        <v>2</v>
      </c>
      <c r="BJ466">
        <v>1</v>
      </c>
      <c r="BK466" s="30">
        <v>1</v>
      </c>
      <c r="BQ466">
        <v>1</v>
      </c>
      <c r="CS466" s="7" t="s">
        <v>3225</v>
      </c>
      <c r="CT466" s="6" t="s">
        <v>3226</v>
      </c>
    </row>
    <row r="467" spans="1:98">
      <c r="B467" t="s">
        <v>4287</v>
      </c>
      <c r="C467" s="2" t="s">
        <v>4288</v>
      </c>
      <c r="D467" s="2" t="s">
        <v>4289</v>
      </c>
      <c r="E467" s="21" t="s">
        <v>238</v>
      </c>
      <c r="F467" s="21" t="s">
        <v>65</v>
      </c>
      <c r="G467" s="23">
        <v>1</v>
      </c>
      <c r="H467" s="1"/>
      <c r="I467" s="1">
        <f>1806-27</f>
        <v>1779</v>
      </c>
      <c r="J467" t="s">
        <v>10</v>
      </c>
      <c r="K467" t="s">
        <v>12</v>
      </c>
      <c r="Q467">
        <v>5</v>
      </c>
      <c r="R467">
        <v>6</v>
      </c>
      <c r="S467">
        <v>1</v>
      </c>
      <c r="T467" s="5">
        <f>((Q467*316)+(R467*26.3)+(S467*2.2))/10</f>
        <v>174</v>
      </c>
      <c r="U467" t="s">
        <v>1689</v>
      </c>
      <c r="AF467" s="6">
        <v>1</v>
      </c>
      <c r="AG467" s="6">
        <v>1</v>
      </c>
      <c r="AH467" s="6">
        <v>1</v>
      </c>
      <c r="AI467" s="6">
        <v>1</v>
      </c>
      <c r="AJ467" s="6">
        <v>1</v>
      </c>
      <c r="AK467" s="6">
        <v>1</v>
      </c>
      <c r="AL467" s="6">
        <v>1</v>
      </c>
      <c r="AM467" s="6">
        <v>1</v>
      </c>
      <c r="AN467" s="6">
        <v>1</v>
      </c>
      <c r="BC467">
        <v>1806</v>
      </c>
      <c r="BD467" t="s">
        <v>81</v>
      </c>
      <c r="BE467" t="s">
        <v>2635</v>
      </c>
      <c r="BF467" s="1" t="s">
        <v>29</v>
      </c>
      <c r="BG467" s="1">
        <v>2</v>
      </c>
      <c r="BH467">
        <v>1</v>
      </c>
      <c r="BK467" s="1">
        <v>1</v>
      </c>
      <c r="BQ467">
        <v>1</v>
      </c>
      <c r="CG467">
        <v>1</v>
      </c>
      <c r="CS467" t="s">
        <v>4399</v>
      </c>
    </row>
    <row r="468" spans="1:98">
      <c r="A468" t="s">
        <v>72</v>
      </c>
      <c r="B468" t="s">
        <v>1688</v>
      </c>
      <c r="C468" s="8"/>
      <c r="F468" t="s">
        <v>7</v>
      </c>
      <c r="G468" s="1"/>
      <c r="H468" s="1"/>
      <c r="I468" s="1"/>
      <c r="T468" s="5"/>
      <c r="U468" t="s">
        <v>1689</v>
      </c>
      <c r="AF468" s="6">
        <v>1</v>
      </c>
      <c r="AG468" s="14">
        <v>1</v>
      </c>
      <c r="BC468" s="9" t="s">
        <v>1366</v>
      </c>
      <c r="BD468" s="14" t="s">
        <v>338</v>
      </c>
      <c r="BE468" t="s">
        <v>125</v>
      </c>
      <c r="BF468" s="1" t="s">
        <v>29</v>
      </c>
      <c r="BG468" s="1">
        <v>1</v>
      </c>
      <c r="BH468">
        <v>1</v>
      </c>
      <c r="BK468">
        <v>1</v>
      </c>
      <c r="BQ468">
        <v>1</v>
      </c>
      <c r="CS468" s="14" t="s">
        <v>1690</v>
      </c>
    </row>
    <row r="469" spans="1:98">
      <c r="A469" t="s">
        <v>72</v>
      </c>
      <c r="B469" t="s">
        <v>1691</v>
      </c>
      <c r="C469" s="8"/>
      <c r="F469" t="s">
        <v>7</v>
      </c>
      <c r="G469" s="1"/>
      <c r="H469" s="1"/>
      <c r="I469" s="1"/>
      <c r="T469" s="5"/>
      <c r="U469" t="s">
        <v>1689</v>
      </c>
      <c r="AF469" s="6">
        <v>1</v>
      </c>
      <c r="AG469" s="7">
        <v>1</v>
      </c>
      <c r="BC469" t="s">
        <v>1692</v>
      </c>
      <c r="BD469" s="7" t="s">
        <v>26</v>
      </c>
      <c r="BE469" t="s">
        <v>125</v>
      </c>
      <c r="BF469" s="1" t="s">
        <v>29</v>
      </c>
      <c r="BG469" s="1">
        <v>1</v>
      </c>
      <c r="BH469">
        <v>1</v>
      </c>
      <c r="BK469">
        <v>1</v>
      </c>
      <c r="BQ469">
        <v>1</v>
      </c>
      <c r="CS469" s="7" t="s">
        <v>1699</v>
      </c>
    </row>
    <row r="470" spans="1:98">
      <c r="B470" t="s">
        <v>1410</v>
      </c>
      <c r="C470" s="2" t="s">
        <v>1339</v>
      </c>
      <c r="F470" s="8" t="s">
        <v>65</v>
      </c>
      <c r="G470" s="1">
        <v>1</v>
      </c>
      <c r="H470" s="1"/>
      <c r="I470" s="1">
        <f>1802-22</f>
        <v>1780</v>
      </c>
      <c r="J470" t="s">
        <v>10</v>
      </c>
      <c r="K470" t="s">
        <v>12</v>
      </c>
      <c r="Q470">
        <v>5</v>
      </c>
      <c r="R470">
        <v>4</v>
      </c>
      <c r="S470">
        <v>3</v>
      </c>
      <c r="T470" s="5">
        <f>((Q470*316)+(R470*26.3)+(S470*2.2))/10</f>
        <v>169.18</v>
      </c>
      <c r="U470" t="s">
        <v>1411</v>
      </c>
      <c r="AF470" s="6">
        <v>1</v>
      </c>
      <c r="AG470" s="6">
        <v>1</v>
      </c>
      <c r="AH470" s="6">
        <v>1</v>
      </c>
      <c r="AI470" s="6">
        <v>1</v>
      </c>
      <c r="AJ470" s="6">
        <v>1</v>
      </c>
      <c r="AK470" s="7">
        <v>1</v>
      </c>
      <c r="BC470" t="s">
        <v>1412</v>
      </c>
      <c r="BD470" s="7" t="s">
        <v>280</v>
      </c>
      <c r="BE470" t="s">
        <v>125</v>
      </c>
      <c r="BF470" s="1" t="s">
        <v>29</v>
      </c>
      <c r="BG470" s="1">
        <v>6</v>
      </c>
      <c r="BH470">
        <v>1</v>
      </c>
      <c r="BK470" s="1">
        <v>1</v>
      </c>
      <c r="BQ470">
        <v>1</v>
      </c>
      <c r="CM470">
        <v>1</v>
      </c>
      <c r="CS470" s="7" t="s">
        <v>1413</v>
      </c>
    </row>
    <row r="471" spans="1:98">
      <c r="A471" t="s">
        <v>72</v>
      </c>
      <c r="B471" t="s">
        <v>1653</v>
      </c>
      <c r="C471" s="8"/>
      <c r="F471" s="8" t="s">
        <v>7</v>
      </c>
      <c r="G471" s="1"/>
      <c r="H471" s="1"/>
      <c r="I471" s="1"/>
      <c r="T471" s="5"/>
      <c r="U471" t="s">
        <v>1411</v>
      </c>
      <c r="AF471" s="6">
        <v>1</v>
      </c>
      <c r="AG471" s="6">
        <v>1</v>
      </c>
      <c r="AH471" s="6">
        <v>1</v>
      </c>
      <c r="AI471" s="7">
        <v>1</v>
      </c>
      <c r="BC471" t="s">
        <v>1654</v>
      </c>
      <c r="BD471" s="7" t="s">
        <v>103</v>
      </c>
      <c r="BE471" t="s">
        <v>125</v>
      </c>
      <c r="BF471" s="1" t="s">
        <v>29</v>
      </c>
      <c r="BG471" s="1">
        <v>4</v>
      </c>
      <c r="BH471">
        <v>1</v>
      </c>
      <c r="BK471">
        <v>1</v>
      </c>
      <c r="BQ471">
        <v>1</v>
      </c>
      <c r="CS471" s="7" t="s">
        <v>1655</v>
      </c>
    </row>
    <row r="472" spans="1:98">
      <c r="B472" t="s">
        <v>4018</v>
      </c>
      <c r="C472" s="2" t="s">
        <v>3436</v>
      </c>
      <c r="E472" s="8" t="s">
        <v>238</v>
      </c>
      <c r="F472" s="8" t="s">
        <v>65</v>
      </c>
      <c r="G472" s="1">
        <v>1</v>
      </c>
      <c r="H472" s="1"/>
      <c r="I472" s="1"/>
      <c r="J472" t="s">
        <v>10</v>
      </c>
      <c r="K472" t="s">
        <v>197</v>
      </c>
      <c r="Q472">
        <v>5</v>
      </c>
      <c r="R472">
        <v>2</v>
      </c>
      <c r="S472">
        <v>1</v>
      </c>
      <c r="T472" s="5">
        <f t="shared" ref="T472" si="27">((Q472*316)+(R472*26.3)+(S472*2.2))/10</f>
        <v>163.47999999999999</v>
      </c>
      <c r="U472" t="s">
        <v>1411</v>
      </c>
      <c r="AF472" s="6">
        <v>1</v>
      </c>
      <c r="AG472" s="6">
        <v>1</v>
      </c>
      <c r="AH472" s="6">
        <v>1</v>
      </c>
      <c r="AI472" s="6">
        <v>1</v>
      </c>
      <c r="AJ472" s="6">
        <v>1</v>
      </c>
      <c r="AK472" s="6">
        <v>1</v>
      </c>
      <c r="AL472" s="6">
        <v>1</v>
      </c>
      <c r="AM472" s="7">
        <v>1</v>
      </c>
      <c r="BC472" t="s">
        <v>1353</v>
      </c>
      <c r="BD472" s="7" t="s">
        <v>103</v>
      </c>
      <c r="BE472" t="s">
        <v>2635</v>
      </c>
      <c r="BF472" s="1" t="s">
        <v>29</v>
      </c>
      <c r="BG472" s="1">
        <v>2</v>
      </c>
      <c r="BH472">
        <v>1</v>
      </c>
      <c r="BK472">
        <v>1</v>
      </c>
      <c r="BQ472">
        <v>1</v>
      </c>
      <c r="CS472" s="7" t="s">
        <v>1326</v>
      </c>
    </row>
    <row r="473" spans="1:98">
      <c r="A473" t="s">
        <v>72</v>
      </c>
      <c r="B473" t="s">
        <v>1656</v>
      </c>
      <c r="C473" s="8"/>
      <c r="F473" t="s">
        <v>7</v>
      </c>
      <c r="G473" s="1"/>
      <c r="H473" s="1"/>
      <c r="I473" s="1"/>
      <c r="T473" s="5"/>
      <c r="U473" t="s">
        <v>1411</v>
      </c>
      <c r="AF473" s="6">
        <v>1</v>
      </c>
      <c r="AG473" s="6">
        <v>1</v>
      </c>
      <c r="AH473" s="6">
        <v>1</v>
      </c>
      <c r="AI473" s="7">
        <v>1</v>
      </c>
      <c r="BC473" t="s">
        <v>1654</v>
      </c>
      <c r="BD473" s="7" t="s">
        <v>103</v>
      </c>
      <c r="BE473" t="s">
        <v>125</v>
      </c>
      <c r="BF473" s="1" t="s">
        <v>29</v>
      </c>
      <c r="BG473" s="1">
        <v>4</v>
      </c>
      <c r="BH473">
        <v>1</v>
      </c>
      <c r="BK473">
        <v>1</v>
      </c>
      <c r="BQ473">
        <v>1</v>
      </c>
      <c r="CS473" s="7" t="s">
        <v>1655</v>
      </c>
    </row>
    <row r="474" spans="1:98">
      <c r="B474" t="s">
        <v>2425</v>
      </c>
      <c r="C474" s="2" t="s">
        <v>2426</v>
      </c>
      <c r="E474" s="8" t="s">
        <v>832</v>
      </c>
      <c r="F474" s="8" t="s">
        <v>65</v>
      </c>
      <c r="G474" s="1">
        <v>1</v>
      </c>
      <c r="H474" s="1"/>
      <c r="I474" s="1">
        <f>1817-39</f>
        <v>1778</v>
      </c>
      <c r="J474" t="s">
        <v>69</v>
      </c>
      <c r="K474" t="s">
        <v>12</v>
      </c>
      <c r="M474">
        <v>1</v>
      </c>
      <c r="O474">
        <v>1</v>
      </c>
      <c r="Q474">
        <v>5</v>
      </c>
      <c r="R474">
        <v>2</v>
      </c>
      <c r="T474" s="5">
        <f t="shared" ref="T474:T482" si="28">((Q474*316)+(R474*26.3)+(S474*2.2))/10</f>
        <v>163.26</v>
      </c>
      <c r="U474" t="s">
        <v>2427</v>
      </c>
      <c r="AF474" s="6">
        <v>1</v>
      </c>
      <c r="AG474" s="6">
        <v>1</v>
      </c>
      <c r="AH474" s="6">
        <v>1</v>
      </c>
      <c r="AI474" s="6">
        <v>1</v>
      </c>
      <c r="AJ474" s="6">
        <v>1</v>
      </c>
      <c r="AK474" s="6">
        <v>1</v>
      </c>
      <c r="AL474" s="6">
        <v>1</v>
      </c>
      <c r="AM474" s="6">
        <v>1</v>
      </c>
      <c r="AN474" s="6">
        <v>1</v>
      </c>
      <c r="AO474" s="6">
        <v>1</v>
      </c>
      <c r="AP474" s="6">
        <v>1</v>
      </c>
      <c r="AQ474" s="6">
        <v>1</v>
      </c>
      <c r="AR474" s="6">
        <v>1</v>
      </c>
      <c r="AS474" s="6">
        <v>1</v>
      </c>
      <c r="AT474" s="6">
        <v>1</v>
      </c>
      <c r="AU474" s="6">
        <v>1</v>
      </c>
      <c r="AV474" s="6">
        <v>1</v>
      </c>
      <c r="AW474" s="6">
        <v>1</v>
      </c>
      <c r="AX474" s="6">
        <v>1</v>
      </c>
      <c r="AY474" s="7">
        <v>1</v>
      </c>
      <c r="BC474" t="s">
        <v>2428</v>
      </c>
      <c r="BD474" s="7" t="s">
        <v>959</v>
      </c>
      <c r="BE474" s="7" t="s">
        <v>2429</v>
      </c>
      <c r="BF474" s="1" t="s">
        <v>29</v>
      </c>
      <c r="BG474" s="1">
        <v>2</v>
      </c>
      <c r="BH474">
        <v>3</v>
      </c>
      <c r="BK474">
        <v>1</v>
      </c>
      <c r="BQ474">
        <v>1</v>
      </c>
      <c r="BY474">
        <v>1</v>
      </c>
      <c r="CB474" s="7">
        <v>1</v>
      </c>
      <c r="CL474">
        <v>1</v>
      </c>
      <c r="CM474">
        <v>1</v>
      </c>
      <c r="CS474" s="7" t="s">
        <v>2430</v>
      </c>
    </row>
    <row r="475" spans="1:98">
      <c r="B475" t="s">
        <v>2892</v>
      </c>
      <c r="C475" s="2" t="s">
        <v>2002</v>
      </c>
      <c r="D475" s="2" t="s">
        <v>2002</v>
      </c>
      <c r="E475" s="8" t="s">
        <v>238</v>
      </c>
      <c r="F475" s="8" t="s">
        <v>65</v>
      </c>
      <c r="G475" s="1">
        <v>1</v>
      </c>
      <c r="H475" s="1"/>
      <c r="I475" s="1">
        <f>1799-24</f>
        <v>1775</v>
      </c>
      <c r="J475" t="s">
        <v>69</v>
      </c>
      <c r="K475" t="s">
        <v>12</v>
      </c>
      <c r="N475">
        <v>1</v>
      </c>
      <c r="Q475">
        <v>5</v>
      </c>
      <c r="R475">
        <v>3</v>
      </c>
      <c r="S475">
        <v>3</v>
      </c>
      <c r="T475" s="5">
        <f t="shared" si="28"/>
        <v>166.55</v>
      </c>
      <c r="U475" t="s">
        <v>2003</v>
      </c>
      <c r="AF475" s="6">
        <v>1</v>
      </c>
      <c r="AG475" s="6">
        <v>1</v>
      </c>
      <c r="AH475" s="6">
        <v>1</v>
      </c>
      <c r="AI475" s="6">
        <v>1</v>
      </c>
      <c r="AJ475" s="6">
        <v>1</v>
      </c>
      <c r="AK475" s="6">
        <v>1</v>
      </c>
      <c r="AL475" s="6">
        <v>1</v>
      </c>
      <c r="AM475" s="6">
        <v>1</v>
      </c>
      <c r="AN475" s="6">
        <v>1</v>
      </c>
      <c r="AO475" s="6">
        <v>1</v>
      </c>
      <c r="AP475" s="6">
        <v>1</v>
      </c>
      <c r="AQ475" s="7">
        <v>1</v>
      </c>
      <c r="BC475" s="9" t="s">
        <v>2893</v>
      </c>
      <c r="BD475" s="7" t="s">
        <v>305</v>
      </c>
      <c r="BE475" t="s">
        <v>2005</v>
      </c>
      <c r="BF475" s="1" t="s">
        <v>29</v>
      </c>
      <c r="BG475" s="1">
        <v>10</v>
      </c>
      <c r="BH475">
        <v>2</v>
      </c>
      <c r="BJ475">
        <v>1</v>
      </c>
      <c r="BK475">
        <v>1</v>
      </c>
      <c r="BQ475">
        <v>1</v>
      </c>
      <c r="CC475">
        <v>1</v>
      </c>
      <c r="CL475">
        <v>1</v>
      </c>
      <c r="CM475">
        <v>1</v>
      </c>
      <c r="CS475" s="7" t="s">
        <v>4038</v>
      </c>
    </row>
    <row r="476" spans="1:98">
      <c r="B476" t="s">
        <v>2001</v>
      </c>
      <c r="C476" s="2" t="s">
        <v>2002</v>
      </c>
      <c r="D476" s="2" t="s">
        <v>2002</v>
      </c>
      <c r="E476" s="8" t="s">
        <v>238</v>
      </c>
      <c r="F476" s="8" t="s">
        <v>65</v>
      </c>
      <c r="G476" s="1">
        <v>1</v>
      </c>
      <c r="H476" s="1"/>
      <c r="I476" s="1">
        <f>1798-22</f>
        <v>1776</v>
      </c>
      <c r="J476" t="s">
        <v>69</v>
      </c>
      <c r="K476" t="s">
        <v>12</v>
      </c>
      <c r="Q476">
        <v>5</v>
      </c>
      <c r="R476">
        <v>6</v>
      </c>
      <c r="S476">
        <v>2</v>
      </c>
      <c r="T476" s="5">
        <f t="shared" si="28"/>
        <v>174.22</v>
      </c>
      <c r="U476" t="s">
        <v>2003</v>
      </c>
      <c r="AF476" s="6">
        <v>1</v>
      </c>
      <c r="AG476" s="7">
        <v>1</v>
      </c>
      <c r="BC476" t="s">
        <v>2004</v>
      </c>
      <c r="BD476" s="7" t="s">
        <v>103</v>
      </c>
      <c r="BE476" t="s">
        <v>2005</v>
      </c>
      <c r="BF476" s="1" t="s">
        <v>29</v>
      </c>
      <c r="BG476" s="1">
        <v>3</v>
      </c>
      <c r="BH476">
        <v>1</v>
      </c>
      <c r="BK476">
        <v>1</v>
      </c>
      <c r="BQ476">
        <v>1</v>
      </c>
      <c r="CS476" s="7" t="s">
        <v>1341</v>
      </c>
    </row>
    <row r="477" spans="1:98">
      <c r="B477" t="s">
        <v>2409</v>
      </c>
      <c r="C477" s="2" t="s">
        <v>2002</v>
      </c>
      <c r="D477" s="2" t="s">
        <v>2002</v>
      </c>
      <c r="E477" s="8" t="s">
        <v>238</v>
      </c>
      <c r="F477" s="8" t="s">
        <v>65</v>
      </c>
      <c r="G477" s="1">
        <v>1</v>
      </c>
      <c r="H477" s="1"/>
      <c r="I477" s="1">
        <f>1798-18</f>
        <v>1780</v>
      </c>
      <c r="J477" t="s">
        <v>69</v>
      </c>
      <c r="K477" t="s">
        <v>12</v>
      </c>
      <c r="Q477">
        <v>5</v>
      </c>
      <c r="R477">
        <v>3</v>
      </c>
      <c r="T477" s="5">
        <f t="shared" si="28"/>
        <v>165.89000000000001</v>
      </c>
      <c r="U477" t="s">
        <v>2003</v>
      </c>
      <c r="AF477" s="7">
        <v>1</v>
      </c>
      <c r="BC477" t="s">
        <v>2410</v>
      </c>
      <c r="BD477" s="7" t="s">
        <v>103</v>
      </c>
      <c r="BE477" t="s">
        <v>2005</v>
      </c>
      <c r="BF477" s="1" t="s">
        <v>29</v>
      </c>
      <c r="BG477" s="1">
        <v>2</v>
      </c>
      <c r="BH477">
        <v>1</v>
      </c>
      <c r="BK477">
        <v>1</v>
      </c>
      <c r="BQ477">
        <v>1</v>
      </c>
      <c r="CS477" s="7" t="s">
        <v>1378</v>
      </c>
    </row>
    <row r="478" spans="1:98">
      <c r="B478" t="s">
        <v>2455</v>
      </c>
      <c r="C478" s="2" t="s">
        <v>2002</v>
      </c>
      <c r="D478" s="2" t="s">
        <v>2002</v>
      </c>
      <c r="E478" s="8" t="s">
        <v>238</v>
      </c>
      <c r="F478" s="8" t="s">
        <v>65</v>
      </c>
      <c r="G478" s="1">
        <v>1</v>
      </c>
      <c r="H478" s="1"/>
      <c r="I478" s="1">
        <f>1798-24</f>
        <v>1774</v>
      </c>
      <c r="J478" t="s">
        <v>69</v>
      </c>
      <c r="K478" t="s">
        <v>12</v>
      </c>
      <c r="Q478">
        <v>5</v>
      </c>
      <c r="R478">
        <v>3</v>
      </c>
      <c r="S478">
        <v>1</v>
      </c>
      <c r="T478" s="5">
        <f t="shared" si="28"/>
        <v>166.11</v>
      </c>
      <c r="U478" t="s">
        <v>2003</v>
      </c>
      <c r="AF478" s="7">
        <v>1</v>
      </c>
      <c r="BC478" t="s">
        <v>2456</v>
      </c>
      <c r="BD478" s="7" t="s">
        <v>103</v>
      </c>
      <c r="BE478" t="s">
        <v>2005</v>
      </c>
      <c r="BF478" s="1" t="s">
        <v>29</v>
      </c>
      <c r="BG478" s="1">
        <v>3</v>
      </c>
      <c r="BH478">
        <v>1</v>
      </c>
      <c r="BK478">
        <v>1</v>
      </c>
      <c r="BQ478">
        <v>1</v>
      </c>
      <c r="CS478" s="7" t="s">
        <v>1754</v>
      </c>
    </row>
    <row r="479" spans="1:98">
      <c r="B479" t="s">
        <v>2763</v>
      </c>
      <c r="C479" s="2" t="s">
        <v>2263</v>
      </c>
      <c r="D479" s="2" t="s">
        <v>2263</v>
      </c>
      <c r="E479" s="8" t="s">
        <v>238</v>
      </c>
      <c r="F479" s="8" t="s">
        <v>65</v>
      </c>
      <c r="G479" s="1">
        <v>1</v>
      </c>
      <c r="H479" s="1"/>
      <c r="I479" s="1">
        <f>1802-33</f>
        <v>1769</v>
      </c>
      <c r="J479" t="s">
        <v>69</v>
      </c>
      <c r="K479" t="s">
        <v>197</v>
      </c>
      <c r="N479">
        <v>1</v>
      </c>
      <c r="Q479">
        <v>5</v>
      </c>
      <c r="R479">
        <v>1</v>
      </c>
      <c r="S479">
        <v>2</v>
      </c>
      <c r="T479" s="5">
        <f t="shared" si="28"/>
        <v>161.07</v>
      </c>
      <c r="U479" t="s">
        <v>2764</v>
      </c>
      <c r="AF479" s="6">
        <v>1</v>
      </c>
      <c r="AG479" s="6">
        <v>1</v>
      </c>
      <c r="AH479" s="6">
        <v>1</v>
      </c>
      <c r="AI479" s="6">
        <v>1</v>
      </c>
      <c r="AJ479" s="6">
        <v>1</v>
      </c>
      <c r="AK479" s="7">
        <v>1</v>
      </c>
      <c r="BC479" t="s">
        <v>1416</v>
      </c>
      <c r="BD479" s="7" t="s">
        <v>280</v>
      </c>
      <c r="BE479" t="s">
        <v>2005</v>
      </c>
      <c r="BF479" s="1" t="s">
        <v>29</v>
      </c>
      <c r="BG479" s="1">
        <v>4</v>
      </c>
      <c r="BH479">
        <v>1</v>
      </c>
      <c r="BK479">
        <v>1</v>
      </c>
      <c r="BQ479">
        <v>1</v>
      </c>
      <c r="CN479">
        <v>1</v>
      </c>
      <c r="CS479" s="7" t="s">
        <v>2748</v>
      </c>
    </row>
    <row r="480" spans="1:98">
      <c r="B480" t="s">
        <v>2838</v>
      </c>
      <c r="C480" s="2" t="s">
        <v>1427</v>
      </c>
      <c r="D480" s="2" t="s">
        <v>1427</v>
      </c>
      <c r="E480" s="8" t="s">
        <v>238</v>
      </c>
      <c r="F480" s="8" t="s">
        <v>65</v>
      </c>
      <c r="G480" s="1">
        <v>1</v>
      </c>
      <c r="H480" s="1"/>
      <c r="I480" s="1">
        <f>1804-35</f>
        <v>1769</v>
      </c>
      <c r="J480" t="s">
        <v>69</v>
      </c>
      <c r="K480" t="s">
        <v>12</v>
      </c>
      <c r="N480">
        <v>1</v>
      </c>
      <c r="Q480">
        <v>5</v>
      </c>
      <c r="R480">
        <v>6</v>
      </c>
      <c r="T480" s="5">
        <f t="shared" si="28"/>
        <v>173.78</v>
      </c>
      <c r="U480" t="s">
        <v>2764</v>
      </c>
      <c r="AF480" s="6">
        <v>1</v>
      </c>
      <c r="AG480" s="6">
        <v>1</v>
      </c>
      <c r="AH480" s="6">
        <v>1</v>
      </c>
      <c r="AI480" s="6">
        <v>1</v>
      </c>
      <c r="AJ480" s="6">
        <v>1</v>
      </c>
      <c r="AK480" s="6">
        <v>1</v>
      </c>
      <c r="AL480" s="6">
        <v>1</v>
      </c>
      <c r="AM480" s="6">
        <v>1</v>
      </c>
      <c r="AN480" s="7">
        <v>1</v>
      </c>
      <c r="BC480" t="s">
        <v>2830</v>
      </c>
      <c r="BD480" s="7" t="s">
        <v>109</v>
      </c>
      <c r="BE480" t="s">
        <v>2005</v>
      </c>
      <c r="BF480" s="1" t="s">
        <v>29</v>
      </c>
      <c r="BG480" s="1">
        <v>6</v>
      </c>
      <c r="BH480">
        <v>1</v>
      </c>
      <c r="BK480">
        <v>1</v>
      </c>
      <c r="BQ480">
        <v>1</v>
      </c>
      <c r="CS480" s="7" t="s">
        <v>354</v>
      </c>
    </row>
    <row r="481" spans="1:98">
      <c r="B481" t="s">
        <v>4279</v>
      </c>
      <c r="C481" s="2" t="s">
        <v>4280</v>
      </c>
      <c r="D481" s="3" t="s">
        <v>3001</v>
      </c>
      <c r="E481" s="8" t="s">
        <v>238</v>
      </c>
      <c r="F481" s="8" t="s">
        <v>65</v>
      </c>
      <c r="G481" s="1">
        <v>1</v>
      </c>
      <c r="H481" s="1"/>
      <c r="I481" s="1">
        <f>1803-24</f>
        <v>1779</v>
      </c>
      <c r="J481" t="s">
        <v>69</v>
      </c>
      <c r="K481" t="s">
        <v>12</v>
      </c>
      <c r="M481">
        <v>1</v>
      </c>
      <c r="O481">
        <v>1</v>
      </c>
      <c r="Q481">
        <v>5</v>
      </c>
      <c r="R481">
        <v>5</v>
      </c>
      <c r="S481">
        <v>1</v>
      </c>
      <c r="T481" s="5">
        <f t="shared" si="28"/>
        <v>171.37</v>
      </c>
      <c r="U481" t="s">
        <v>4281</v>
      </c>
      <c r="AF481" s="6">
        <v>1</v>
      </c>
      <c r="AG481" s="6">
        <v>1</v>
      </c>
      <c r="AH481" s="6">
        <v>1</v>
      </c>
      <c r="AI481" s="6">
        <v>1</v>
      </c>
      <c r="AJ481" s="6">
        <v>1</v>
      </c>
      <c r="AK481" s="6">
        <v>1</v>
      </c>
      <c r="AL481" s="14">
        <v>1</v>
      </c>
      <c r="BC481" s="9" t="s">
        <v>3965</v>
      </c>
      <c r="BD481" s="14" t="s">
        <v>338</v>
      </c>
      <c r="BE481" t="s">
        <v>2635</v>
      </c>
      <c r="BF481" s="1" t="s">
        <v>339</v>
      </c>
      <c r="BG481" s="1">
        <v>1</v>
      </c>
      <c r="BH481">
        <v>1</v>
      </c>
      <c r="BK481">
        <v>1</v>
      </c>
      <c r="BQ481">
        <v>1</v>
      </c>
      <c r="CS481" s="14" t="s">
        <v>4282</v>
      </c>
    </row>
    <row r="482" spans="1:98">
      <c r="B482" t="s">
        <v>4002</v>
      </c>
      <c r="C482" s="2" t="s">
        <v>237</v>
      </c>
      <c r="D482" s="3" t="s">
        <v>3001</v>
      </c>
      <c r="E482" s="8" t="s">
        <v>238</v>
      </c>
      <c r="F482" s="8" t="s">
        <v>65</v>
      </c>
      <c r="G482" s="1">
        <v>1</v>
      </c>
      <c r="H482" s="1"/>
      <c r="I482" s="1">
        <f>1803-32</f>
        <v>1771</v>
      </c>
      <c r="J482" t="s">
        <v>69</v>
      </c>
      <c r="K482" t="s">
        <v>12</v>
      </c>
      <c r="M482">
        <v>1</v>
      </c>
      <c r="Q482">
        <v>5</v>
      </c>
      <c r="R482">
        <v>2</v>
      </c>
      <c r="S482">
        <v>2</v>
      </c>
      <c r="T482" s="5">
        <f t="shared" si="28"/>
        <v>163.69999999999999</v>
      </c>
      <c r="U482" t="s">
        <v>4003</v>
      </c>
      <c r="AF482" s="6">
        <v>1</v>
      </c>
      <c r="AG482" s="6">
        <v>1</v>
      </c>
      <c r="AH482" s="6">
        <v>1</v>
      </c>
      <c r="AI482" s="6">
        <v>1</v>
      </c>
      <c r="AJ482" s="6">
        <v>1</v>
      </c>
      <c r="AK482" s="7">
        <v>1</v>
      </c>
      <c r="BC482" t="s">
        <v>4004</v>
      </c>
      <c r="BD482" s="7" t="s">
        <v>103</v>
      </c>
      <c r="BE482" t="s">
        <v>2635</v>
      </c>
      <c r="BF482" s="1" t="s">
        <v>29</v>
      </c>
      <c r="BG482" s="1">
        <v>2</v>
      </c>
      <c r="BH482">
        <v>1</v>
      </c>
      <c r="BK482">
        <v>1</v>
      </c>
      <c r="BQ482">
        <v>1</v>
      </c>
      <c r="CS482" s="7" t="s">
        <v>1388</v>
      </c>
    </row>
    <row r="483" spans="1:98">
      <c r="A483" t="s">
        <v>72</v>
      </c>
      <c r="B483" t="s">
        <v>1657</v>
      </c>
      <c r="C483" s="8"/>
      <c r="F483" t="s">
        <v>7</v>
      </c>
      <c r="G483" s="1"/>
      <c r="H483" s="1"/>
      <c r="I483" s="1"/>
      <c r="T483" s="5"/>
      <c r="U483" t="s">
        <v>1407</v>
      </c>
      <c r="AF483" s="6">
        <v>1</v>
      </c>
      <c r="AG483" s="6">
        <v>1</v>
      </c>
      <c r="AH483" s="6">
        <v>1</v>
      </c>
      <c r="AI483" s="7">
        <v>1</v>
      </c>
      <c r="BC483" t="s">
        <v>1654</v>
      </c>
      <c r="BD483" s="7" t="s">
        <v>103</v>
      </c>
      <c r="BE483" t="s">
        <v>125</v>
      </c>
      <c r="BF483" s="1" t="s">
        <v>29</v>
      </c>
      <c r="BG483" s="1">
        <v>4</v>
      </c>
      <c r="BH483">
        <v>1</v>
      </c>
      <c r="BK483">
        <v>1</v>
      </c>
      <c r="BQ483">
        <v>1</v>
      </c>
      <c r="CS483" s="7" t="s">
        <v>1655</v>
      </c>
    </row>
    <row r="484" spans="1:98">
      <c r="B484" t="s">
        <v>1406</v>
      </c>
      <c r="C484" s="2" t="s">
        <v>145</v>
      </c>
      <c r="F484" s="8" t="s">
        <v>65</v>
      </c>
      <c r="G484" s="1">
        <v>1</v>
      </c>
      <c r="H484" s="1"/>
      <c r="I484" s="1">
        <f>1802-27</f>
        <v>1775</v>
      </c>
      <c r="J484" t="s">
        <v>10</v>
      </c>
      <c r="K484" t="s">
        <v>12</v>
      </c>
      <c r="Q484">
        <v>5</v>
      </c>
      <c r="R484">
        <v>3</v>
      </c>
      <c r="S484">
        <v>2</v>
      </c>
      <c r="T484" s="5">
        <f>((Q484*316)+(R484*26.3)+(S484*2.2))/10</f>
        <v>166.33</v>
      </c>
      <c r="U484" t="s">
        <v>1407</v>
      </c>
      <c r="AF484" s="6">
        <v>1</v>
      </c>
      <c r="AG484" s="6">
        <v>1</v>
      </c>
      <c r="AH484" s="6">
        <v>1</v>
      </c>
      <c r="AI484" s="6">
        <v>1</v>
      </c>
      <c r="AJ484" s="6">
        <v>1</v>
      </c>
      <c r="AK484" s="7">
        <v>1</v>
      </c>
      <c r="BC484" t="s">
        <v>1408</v>
      </c>
      <c r="BD484" s="7" t="s">
        <v>103</v>
      </c>
      <c r="BE484" t="s">
        <v>125</v>
      </c>
      <c r="BF484" s="1" t="s">
        <v>29</v>
      </c>
      <c r="BG484" s="1">
        <v>6</v>
      </c>
      <c r="BH484">
        <v>1</v>
      </c>
      <c r="BK484" s="1">
        <v>1</v>
      </c>
      <c r="BQ484">
        <v>1</v>
      </c>
      <c r="CS484" s="7" t="s">
        <v>1409</v>
      </c>
    </row>
    <row r="485" spans="1:98">
      <c r="B485" t="s">
        <v>2802</v>
      </c>
      <c r="C485" s="2" t="s">
        <v>1427</v>
      </c>
      <c r="D485" s="2" t="s">
        <v>1427</v>
      </c>
      <c r="E485" s="8" t="s">
        <v>238</v>
      </c>
      <c r="F485" s="8" t="s">
        <v>65</v>
      </c>
      <c r="G485" s="1">
        <v>1</v>
      </c>
      <c r="H485" s="1"/>
      <c r="I485" s="1">
        <f>1798-19</f>
        <v>1779</v>
      </c>
      <c r="J485" t="s">
        <v>69</v>
      </c>
      <c r="K485" t="s">
        <v>12</v>
      </c>
      <c r="Q485">
        <v>5</v>
      </c>
      <c r="R485">
        <v>2</v>
      </c>
      <c r="T485" s="5">
        <f>((Q485*316)+(R485*26.3)+(S485*2.2))/10</f>
        <v>163.26</v>
      </c>
      <c r="U485" t="s">
        <v>2803</v>
      </c>
      <c r="AF485" s="6">
        <v>1</v>
      </c>
      <c r="AG485" s="6">
        <v>1</v>
      </c>
      <c r="AH485" s="6">
        <v>1</v>
      </c>
      <c r="AI485" s="6">
        <v>1</v>
      </c>
      <c r="AJ485" s="6">
        <v>1</v>
      </c>
      <c r="AK485" s="7">
        <v>1</v>
      </c>
      <c r="BC485" t="s">
        <v>1416</v>
      </c>
      <c r="BD485" s="7" t="s">
        <v>280</v>
      </c>
      <c r="BE485" t="s">
        <v>2005</v>
      </c>
      <c r="BF485" s="1" t="s">
        <v>29</v>
      </c>
      <c r="BG485" s="1">
        <v>4</v>
      </c>
      <c r="BH485">
        <v>1</v>
      </c>
      <c r="BK485" s="1">
        <v>1</v>
      </c>
      <c r="BQ485">
        <v>1</v>
      </c>
      <c r="CN485">
        <v>1</v>
      </c>
      <c r="CS485" s="7" t="s">
        <v>2748</v>
      </c>
    </row>
    <row r="486" spans="1:98">
      <c r="B486" t="s">
        <v>2049</v>
      </c>
      <c r="C486" s="2" t="s">
        <v>2050</v>
      </c>
      <c r="D486" s="2" t="s">
        <v>2050</v>
      </c>
      <c r="E486" s="8" t="s">
        <v>2051</v>
      </c>
      <c r="F486" s="8" t="s">
        <v>115</v>
      </c>
      <c r="G486" s="1">
        <v>1</v>
      </c>
      <c r="H486" s="1"/>
      <c r="I486" s="1">
        <f>1803-34</f>
        <v>1769</v>
      </c>
      <c r="J486" t="s">
        <v>69</v>
      </c>
      <c r="K486" t="s">
        <v>12</v>
      </c>
      <c r="N486">
        <v>1</v>
      </c>
      <c r="Q486">
        <v>5</v>
      </c>
      <c r="R486">
        <v>3</v>
      </c>
      <c r="S486">
        <v>3</v>
      </c>
      <c r="T486" s="5">
        <f>((Q486*316)+(R486*26.3)+(S486*2.2))/10</f>
        <v>166.55</v>
      </c>
      <c r="U486" t="s">
        <v>2052</v>
      </c>
      <c r="AF486" s="6">
        <v>1</v>
      </c>
      <c r="AG486" s="6">
        <v>1</v>
      </c>
      <c r="AH486" s="6">
        <v>1</v>
      </c>
      <c r="AI486" s="6">
        <v>1</v>
      </c>
      <c r="AJ486" s="6">
        <v>1</v>
      </c>
      <c r="AK486" s="6">
        <v>1</v>
      </c>
      <c r="AL486" s="6">
        <v>1</v>
      </c>
      <c r="AM486" s="6">
        <v>1</v>
      </c>
      <c r="AN486" s="7">
        <v>1</v>
      </c>
      <c r="BC486" t="s">
        <v>2056</v>
      </c>
      <c r="BD486" s="7" t="s">
        <v>26</v>
      </c>
      <c r="BE486" t="s">
        <v>1502</v>
      </c>
      <c r="BF486" s="1" t="s">
        <v>29</v>
      </c>
      <c r="BG486" s="1">
        <v>4</v>
      </c>
      <c r="BH486">
        <v>1</v>
      </c>
      <c r="BK486">
        <v>1</v>
      </c>
      <c r="BQ486">
        <v>1</v>
      </c>
      <c r="CS486" s="7" t="s">
        <v>3418</v>
      </c>
    </row>
    <row r="487" spans="1:98">
      <c r="B487" t="s">
        <v>2170</v>
      </c>
      <c r="C487" s="2" t="s">
        <v>2050</v>
      </c>
      <c r="D487" s="2" t="s">
        <v>2050</v>
      </c>
      <c r="E487" s="8" t="s">
        <v>2051</v>
      </c>
      <c r="F487" s="8" t="s">
        <v>115</v>
      </c>
      <c r="G487" s="1">
        <v>1</v>
      </c>
      <c r="H487" s="1"/>
      <c r="I487" s="1">
        <f>1803-23</f>
        <v>1780</v>
      </c>
      <c r="J487" t="s">
        <v>10</v>
      </c>
      <c r="K487" t="s">
        <v>12</v>
      </c>
      <c r="Q487">
        <v>5</v>
      </c>
      <c r="R487">
        <v>4</v>
      </c>
      <c r="T487" s="5">
        <f>((Q487*316)+(R487*26.3)+(S487*2.2))/10</f>
        <v>168.52</v>
      </c>
      <c r="U487" t="s">
        <v>2052</v>
      </c>
      <c r="AF487" s="6">
        <v>1</v>
      </c>
      <c r="AG487" s="6">
        <v>1</v>
      </c>
      <c r="AH487" s="6">
        <v>1</v>
      </c>
      <c r="AI487" s="6">
        <v>1</v>
      </c>
      <c r="AJ487" s="6">
        <v>1</v>
      </c>
      <c r="AK487" s="6">
        <v>1</v>
      </c>
      <c r="AL487" s="6">
        <v>1</v>
      </c>
      <c r="AM487" s="7">
        <v>1</v>
      </c>
      <c r="BC487" t="s">
        <v>2171</v>
      </c>
      <c r="BD487" s="7" t="s">
        <v>103</v>
      </c>
      <c r="BE487" t="s">
        <v>1502</v>
      </c>
      <c r="BF487" s="1" t="s">
        <v>29</v>
      </c>
      <c r="BG487" s="1">
        <v>4</v>
      </c>
      <c r="BH487">
        <v>1</v>
      </c>
      <c r="BJ487">
        <v>1</v>
      </c>
      <c r="BK487">
        <v>1</v>
      </c>
      <c r="BQ487">
        <v>1</v>
      </c>
      <c r="CS487" s="7" t="s">
        <v>2172</v>
      </c>
    </row>
    <row r="488" spans="1:98">
      <c r="A488" t="s">
        <v>72</v>
      </c>
      <c r="B488" t="s">
        <v>2736</v>
      </c>
      <c r="C488" s="15"/>
      <c r="D488" s="15"/>
      <c r="F488" s="8" t="s">
        <v>7</v>
      </c>
      <c r="G488" s="1"/>
      <c r="H488" s="1"/>
      <c r="I488" s="1"/>
      <c r="T488" s="5"/>
      <c r="U488" s="9" t="s">
        <v>2737</v>
      </c>
      <c r="AF488" s="19"/>
      <c r="AG488" s="6">
        <v>1</v>
      </c>
      <c r="AH488" s="6">
        <v>1</v>
      </c>
      <c r="AI488" s="6">
        <v>1</v>
      </c>
      <c r="AJ488" s="7">
        <v>1</v>
      </c>
      <c r="BC488" t="s">
        <v>441</v>
      </c>
      <c r="BD488" s="7" t="s">
        <v>109</v>
      </c>
      <c r="BE488" t="s">
        <v>2005</v>
      </c>
      <c r="BF488" s="1" t="s">
        <v>73</v>
      </c>
      <c r="BG488" s="1">
        <v>2</v>
      </c>
      <c r="BH488">
        <v>1</v>
      </c>
      <c r="BQ488">
        <v>1</v>
      </c>
      <c r="CS488" s="7" t="s">
        <v>1473</v>
      </c>
    </row>
    <row r="489" spans="1:98">
      <c r="B489" t="s">
        <v>2993</v>
      </c>
      <c r="C489" s="2" t="s">
        <v>2994</v>
      </c>
      <c r="D489" s="2" t="s">
        <v>2977</v>
      </c>
      <c r="E489" s="8" t="s">
        <v>546</v>
      </c>
      <c r="F489" s="8" t="s">
        <v>357</v>
      </c>
      <c r="G489" s="1">
        <v>1</v>
      </c>
      <c r="H489" s="1"/>
      <c r="I489" s="1">
        <f>1799-20</f>
        <v>1779</v>
      </c>
      <c r="J489" t="s">
        <v>10</v>
      </c>
      <c r="K489" t="s">
        <v>12</v>
      </c>
      <c r="Q489">
        <v>5</v>
      </c>
      <c r="R489">
        <v>2</v>
      </c>
      <c r="S489">
        <v>1</v>
      </c>
      <c r="T489" s="5">
        <f>((Q489*316)+(R489*26.3)+(S489*2.2))/10</f>
        <v>163.47999999999999</v>
      </c>
      <c r="U489" t="s">
        <v>2995</v>
      </c>
      <c r="AF489" s="31"/>
      <c r="AG489" s="6">
        <v>1</v>
      </c>
      <c r="AH489" s="6">
        <v>1</v>
      </c>
      <c r="AI489" s="6">
        <v>1</v>
      </c>
      <c r="AJ489" s="6">
        <v>1</v>
      </c>
      <c r="BC489">
        <v>1802</v>
      </c>
      <c r="BD489" t="s">
        <v>81</v>
      </c>
      <c r="BE489" s="10" t="s">
        <v>2407</v>
      </c>
      <c r="BF489" s="1" t="s">
        <v>73</v>
      </c>
      <c r="BG489" s="1">
        <v>2</v>
      </c>
      <c r="BH489">
        <v>2</v>
      </c>
      <c r="BI489">
        <v>1</v>
      </c>
      <c r="BK489">
        <v>1</v>
      </c>
      <c r="BQ489">
        <v>1</v>
      </c>
      <c r="CL489" s="10">
        <v>1</v>
      </c>
      <c r="CS489" s="10" t="s">
        <v>2987</v>
      </c>
    </row>
    <row r="490" spans="1:98">
      <c r="B490" t="s">
        <v>2923</v>
      </c>
      <c r="C490" s="2" t="s">
        <v>2924</v>
      </c>
      <c r="D490" s="2" t="s">
        <v>2924</v>
      </c>
      <c r="E490" s="8" t="s">
        <v>599</v>
      </c>
      <c r="F490" s="8" t="s">
        <v>357</v>
      </c>
      <c r="G490" s="1">
        <v>1</v>
      </c>
      <c r="H490" s="1"/>
      <c r="I490" s="1">
        <f>1799-22</f>
        <v>1777</v>
      </c>
      <c r="J490" t="s">
        <v>10</v>
      </c>
      <c r="K490" t="s">
        <v>12</v>
      </c>
      <c r="Q490">
        <v>5</v>
      </c>
      <c r="R490">
        <v>2</v>
      </c>
      <c r="S490">
        <v>1</v>
      </c>
      <c r="T490" s="5">
        <f t="shared" ref="T490:T492" si="29">((Q490*316)+(R490*26.3)+(S490*2.2))/10</f>
        <v>163.47999999999999</v>
      </c>
      <c r="U490" t="s">
        <v>2925</v>
      </c>
      <c r="AF490" s="31"/>
      <c r="AG490" s="6">
        <v>1</v>
      </c>
      <c r="BC490">
        <v>1799</v>
      </c>
      <c r="BD490" t="s">
        <v>81</v>
      </c>
      <c r="BE490" s="10" t="s">
        <v>2407</v>
      </c>
      <c r="BF490" s="1" t="s">
        <v>73</v>
      </c>
      <c r="BG490" s="1">
        <v>1</v>
      </c>
      <c r="BH490">
        <v>2</v>
      </c>
      <c r="BK490">
        <v>1</v>
      </c>
      <c r="BQ490">
        <v>1</v>
      </c>
      <c r="CL490" s="10">
        <v>1</v>
      </c>
      <c r="CS490" s="10" t="s">
        <v>2926</v>
      </c>
    </row>
    <row r="491" spans="1:98">
      <c r="B491" t="s">
        <v>4468</v>
      </c>
      <c r="C491" s="2" t="s">
        <v>4469</v>
      </c>
      <c r="D491" s="15"/>
      <c r="E491" s="8" t="s">
        <v>869</v>
      </c>
      <c r="F491" s="8" t="s">
        <v>65</v>
      </c>
      <c r="G491" s="1">
        <v>1</v>
      </c>
      <c r="H491" s="1"/>
      <c r="I491" s="1">
        <f>1806-27</f>
        <v>1779</v>
      </c>
      <c r="J491" t="s">
        <v>10</v>
      </c>
      <c r="K491" t="s">
        <v>12</v>
      </c>
      <c r="Q491">
        <v>5</v>
      </c>
      <c r="R491">
        <v>3</v>
      </c>
      <c r="T491" s="5">
        <f>((Q491*316)+(R491*26.3)+(S491*2.2))/10</f>
        <v>165.89000000000001</v>
      </c>
      <c r="U491" t="s">
        <v>4470</v>
      </c>
      <c r="AF491" s="31"/>
      <c r="AG491" s="6">
        <v>1</v>
      </c>
      <c r="AH491" s="6">
        <v>1</v>
      </c>
      <c r="AI491" s="6">
        <v>1</v>
      </c>
      <c r="AJ491" s="6">
        <v>1</v>
      </c>
      <c r="AK491" s="6">
        <v>1</v>
      </c>
      <c r="AL491" s="6">
        <v>1</v>
      </c>
      <c r="AM491" s="6">
        <v>1</v>
      </c>
      <c r="AN491" s="6">
        <v>1</v>
      </c>
      <c r="AO491" s="6">
        <v>1</v>
      </c>
      <c r="AP491" s="6">
        <v>1</v>
      </c>
      <c r="AQ491" s="6">
        <v>1</v>
      </c>
      <c r="AR491" s="6">
        <v>1</v>
      </c>
      <c r="AS491" s="6">
        <v>1</v>
      </c>
      <c r="BC491">
        <v>1811</v>
      </c>
      <c r="BD491" t="s">
        <v>81</v>
      </c>
      <c r="BE491" t="s">
        <v>151</v>
      </c>
      <c r="BF491" s="1" t="s">
        <v>73</v>
      </c>
      <c r="BG491" s="1">
        <v>2</v>
      </c>
      <c r="BH491">
        <v>2</v>
      </c>
      <c r="BK491">
        <v>1</v>
      </c>
      <c r="BQ491">
        <v>1</v>
      </c>
      <c r="CL491">
        <v>1</v>
      </c>
      <c r="CM491">
        <v>1</v>
      </c>
      <c r="CS491" t="s">
        <v>4198</v>
      </c>
    </row>
    <row r="492" spans="1:98">
      <c r="B492" t="s">
        <v>3145</v>
      </c>
      <c r="C492" s="2" t="s">
        <v>356</v>
      </c>
      <c r="D492" s="2" t="s">
        <v>3146</v>
      </c>
      <c r="E492" s="8" t="s">
        <v>599</v>
      </c>
      <c r="F492" s="8" t="s">
        <v>357</v>
      </c>
      <c r="G492" s="1">
        <v>1</v>
      </c>
      <c r="H492" s="1"/>
      <c r="I492" s="1">
        <f>1799-24</f>
        <v>1775</v>
      </c>
      <c r="J492" t="s">
        <v>10</v>
      </c>
      <c r="K492" t="s">
        <v>12</v>
      </c>
      <c r="Q492">
        <v>5</v>
      </c>
      <c r="R492">
        <v>2</v>
      </c>
      <c r="S492">
        <v>2</v>
      </c>
      <c r="T492" s="5">
        <f t="shared" si="29"/>
        <v>163.69999999999999</v>
      </c>
      <c r="U492" t="s">
        <v>2004</v>
      </c>
      <c r="AF492" s="31"/>
      <c r="AG492" s="6">
        <v>1</v>
      </c>
      <c r="AH492" s="6">
        <v>1</v>
      </c>
      <c r="AI492" s="6">
        <v>1</v>
      </c>
      <c r="AJ492" s="6">
        <v>1</v>
      </c>
      <c r="AK492" s="7">
        <v>1</v>
      </c>
      <c r="BC492" t="s">
        <v>3147</v>
      </c>
      <c r="BD492" s="7" t="s">
        <v>103</v>
      </c>
      <c r="BE492" t="s">
        <v>2407</v>
      </c>
      <c r="BF492" s="1" t="s">
        <v>29</v>
      </c>
      <c r="BG492" s="1">
        <v>3</v>
      </c>
      <c r="BH492">
        <v>2</v>
      </c>
      <c r="BK492" t="s">
        <v>72</v>
      </c>
      <c r="BQ492">
        <v>1</v>
      </c>
      <c r="CL492">
        <v>1</v>
      </c>
      <c r="CS492" s="7" t="s">
        <v>3148</v>
      </c>
    </row>
    <row r="493" spans="1:98">
      <c r="B493" t="s">
        <v>3060</v>
      </c>
      <c r="C493" s="15" t="s">
        <v>2924</v>
      </c>
      <c r="D493" s="2" t="s">
        <v>2924</v>
      </c>
      <c r="E493" s="8" t="s">
        <v>599</v>
      </c>
      <c r="F493" s="8" t="s">
        <v>357</v>
      </c>
      <c r="G493" s="1">
        <v>1</v>
      </c>
      <c r="H493" s="1"/>
      <c r="I493" s="1">
        <f>1804-26</f>
        <v>1778</v>
      </c>
      <c r="J493" t="s">
        <v>10</v>
      </c>
      <c r="K493" t="s">
        <v>12</v>
      </c>
      <c r="Q493">
        <v>5</v>
      </c>
      <c r="R493">
        <v>2</v>
      </c>
      <c r="S493">
        <v>2</v>
      </c>
      <c r="T493" s="5">
        <f>((Q493*316)+(R493*26.3)+(S493*2.2))/10</f>
        <v>163.69999999999999</v>
      </c>
      <c r="U493" t="s">
        <v>3061</v>
      </c>
      <c r="AF493" s="31"/>
      <c r="AG493" s="6">
        <v>1</v>
      </c>
      <c r="AH493" s="6">
        <v>1</v>
      </c>
      <c r="AI493" s="6">
        <v>1</v>
      </c>
      <c r="AJ493" s="6">
        <v>1</v>
      </c>
      <c r="AK493" s="6">
        <v>1</v>
      </c>
      <c r="AL493" s="6">
        <v>1</v>
      </c>
      <c r="AM493" s="7">
        <v>1</v>
      </c>
      <c r="BC493" s="9" t="s">
        <v>3062</v>
      </c>
      <c r="BD493" s="7" t="s">
        <v>280</v>
      </c>
      <c r="BE493" t="s">
        <v>2407</v>
      </c>
      <c r="BF493" s="1" t="s">
        <v>29</v>
      </c>
      <c r="BG493" s="1">
        <v>4</v>
      </c>
      <c r="BH493">
        <v>1</v>
      </c>
      <c r="BK493">
        <v>1</v>
      </c>
      <c r="BQ493">
        <v>1</v>
      </c>
      <c r="CN493">
        <v>1</v>
      </c>
      <c r="CS493" s="7" t="s">
        <v>3063</v>
      </c>
    </row>
    <row r="494" spans="1:98">
      <c r="B494" t="s">
        <v>2927</v>
      </c>
      <c r="C494" s="8" t="s">
        <v>2929</v>
      </c>
      <c r="D494" s="15"/>
      <c r="E494" s="43" t="s">
        <v>2928</v>
      </c>
      <c r="F494" s="8" t="s">
        <v>247</v>
      </c>
      <c r="G494" s="1">
        <v>1</v>
      </c>
      <c r="H494" s="1"/>
      <c r="I494" s="1">
        <f>1799-20</f>
        <v>1779</v>
      </c>
      <c r="J494" t="s">
        <v>10</v>
      </c>
      <c r="K494" t="s">
        <v>12</v>
      </c>
      <c r="Q494">
        <v>5</v>
      </c>
      <c r="R494">
        <v>7</v>
      </c>
      <c r="T494" s="5">
        <f>((Q494*316)+(R494*26.3)+(S494*2.2))/10</f>
        <v>176.41</v>
      </c>
      <c r="U494" t="s">
        <v>2930</v>
      </c>
      <c r="AF494" s="31"/>
      <c r="AG494" s="6">
        <v>1</v>
      </c>
      <c r="BC494">
        <v>1799</v>
      </c>
      <c r="BD494" t="s">
        <v>81</v>
      </c>
      <c r="BE494" s="10" t="s">
        <v>2407</v>
      </c>
      <c r="BF494" s="1" t="s">
        <v>73</v>
      </c>
      <c r="BG494" s="1">
        <v>1</v>
      </c>
      <c r="BH494">
        <v>2</v>
      </c>
      <c r="BK494">
        <v>1</v>
      </c>
      <c r="BQ494">
        <v>1</v>
      </c>
      <c r="BW494">
        <v>1</v>
      </c>
      <c r="CL494" s="10">
        <v>1</v>
      </c>
      <c r="CS494" s="10" t="s">
        <v>2931</v>
      </c>
    </row>
    <row r="495" spans="1:98">
      <c r="B495" t="s">
        <v>3011</v>
      </c>
      <c r="C495" s="2" t="s">
        <v>3009</v>
      </c>
      <c r="D495" s="15"/>
      <c r="F495" s="8" t="s">
        <v>65</v>
      </c>
      <c r="G495" s="1">
        <v>1</v>
      </c>
      <c r="H495" s="1"/>
      <c r="I495" s="1">
        <f>1802-20</f>
        <v>1782</v>
      </c>
      <c r="J495" t="s">
        <v>10</v>
      </c>
      <c r="K495" t="s">
        <v>12</v>
      </c>
      <c r="Q495">
        <v>5</v>
      </c>
      <c r="R495">
        <v>4</v>
      </c>
      <c r="S495">
        <v>3</v>
      </c>
      <c r="T495" s="5">
        <f>((Q495*316)+(R495*26.3)+(S495*2.2))/10</f>
        <v>169.18</v>
      </c>
      <c r="U495" t="s">
        <v>3010</v>
      </c>
      <c r="AF495" s="31"/>
      <c r="AG495" s="6">
        <v>1</v>
      </c>
      <c r="AH495" s="6">
        <v>1</v>
      </c>
      <c r="AI495" s="6">
        <v>1</v>
      </c>
      <c r="AJ495" s="6">
        <v>1</v>
      </c>
      <c r="AK495" s="6">
        <v>1</v>
      </c>
      <c r="BC495">
        <v>1803</v>
      </c>
      <c r="BD495" t="s">
        <v>81</v>
      </c>
      <c r="BE495" s="10" t="s">
        <v>1904</v>
      </c>
      <c r="BF495" s="1" t="s">
        <v>73</v>
      </c>
      <c r="BG495" s="1">
        <v>3</v>
      </c>
      <c r="BH495">
        <v>2</v>
      </c>
      <c r="BK495">
        <v>1</v>
      </c>
      <c r="BQ495">
        <v>1</v>
      </c>
      <c r="CL495" s="10">
        <v>1</v>
      </c>
      <c r="CS495" s="10" t="s">
        <v>3012</v>
      </c>
    </row>
    <row r="496" spans="1:98">
      <c r="B496" t="s">
        <v>484</v>
      </c>
      <c r="C496" s="8" t="s">
        <v>485</v>
      </c>
      <c r="F496" s="8" t="s">
        <v>115</v>
      </c>
      <c r="G496" s="1">
        <v>1</v>
      </c>
      <c r="H496" s="1"/>
      <c r="I496" s="1">
        <f>1801-20</f>
        <v>1781</v>
      </c>
      <c r="J496" t="s">
        <v>10</v>
      </c>
      <c r="K496" t="s">
        <v>12</v>
      </c>
      <c r="T496" s="5"/>
      <c r="U496" s="9" t="s">
        <v>483</v>
      </c>
      <c r="AG496" s="9">
        <v>1</v>
      </c>
      <c r="AH496" s="6">
        <v>1</v>
      </c>
      <c r="AI496" s="6">
        <v>1</v>
      </c>
      <c r="BC496">
        <v>1801</v>
      </c>
      <c r="BD496" t="s">
        <v>81</v>
      </c>
      <c r="BE496" s="10" t="s">
        <v>70</v>
      </c>
      <c r="BF496" s="1" t="s">
        <v>73</v>
      </c>
      <c r="BG496" s="1">
        <v>2</v>
      </c>
      <c r="BH496">
        <v>1</v>
      </c>
      <c r="BK496" s="1" t="s">
        <v>72</v>
      </c>
      <c r="BZ496">
        <v>1</v>
      </c>
      <c r="CS496" t="s">
        <v>111</v>
      </c>
      <c r="CT496" s="10" t="s">
        <v>479</v>
      </c>
    </row>
    <row r="497" spans="1:98">
      <c r="A497" t="s">
        <v>72</v>
      </c>
      <c r="B497" t="s">
        <v>2573</v>
      </c>
      <c r="C497" s="8"/>
      <c r="F497" s="8" t="s">
        <v>7</v>
      </c>
      <c r="G497" s="1"/>
      <c r="H497" s="1"/>
      <c r="I497" s="1"/>
      <c r="T497" s="5"/>
      <c r="U497" s="9" t="s">
        <v>2572</v>
      </c>
      <c r="AG497" s="7">
        <v>1</v>
      </c>
      <c r="BC497" t="s">
        <v>2574</v>
      </c>
      <c r="BD497" s="7" t="s">
        <v>109</v>
      </c>
      <c r="BE497" t="s">
        <v>124</v>
      </c>
      <c r="BF497" s="1" t="s">
        <v>73</v>
      </c>
      <c r="BG497" s="1">
        <v>1</v>
      </c>
      <c r="BH497">
        <v>1</v>
      </c>
      <c r="BK497" s="1"/>
      <c r="BQ497">
        <v>1</v>
      </c>
      <c r="CS497" s="7" t="s">
        <v>620</v>
      </c>
    </row>
    <row r="498" spans="1:98">
      <c r="B498" t="s">
        <v>4644</v>
      </c>
      <c r="C498" s="2" t="s">
        <v>3089</v>
      </c>
      <c r="F498" s="8" t="s">
        <v>218</v>
      </c>
      <c r="G498" s="1">
        <v>1</v>
      </c>
      <c r="H498" s="1"/>
      <c r="I498" s="1">
        <f>1804-22</f>
        <v>1782</v>
      </c>
      <c r="J498" t="s">
        <v>10</v>
      </c>
      <c r="K498" t="s">
        <v>12</v>
      </c>
      <c r="Q498">
        <v>5</v>
      </c>
      <c r="R498">
        <v>5</v>
      </c>
      <c r="T498" s="5"/>
      <c r="U498" t="s">
        <v>2574</v>
      </c>
      <c r="AG498" s="6">
        <v>1</v>
      </c>
      <c r="AH498" s="6">
        <v>1</v>
      </c>
      <c r="AI498" s="6">
        <v>1</v>
      </c>
      <c r="AJ498" s="6">
        <v>1</v>
      </c>
      <c r="AK498" s="6">
        <v>1</v>
      </c>
      <c r="AL498" s="6">
        <v>1</v>
      </c>
      <c r="AM498" s="7">
        <v>1</v>
      </c>
      <c r="BC498" t="s">
        <v>3065</v>
      </c>
      <c r="BD498" s="7" t="s">
        <v>305</v>
      </c>
      <c r="BE498" t="s">
        <v>712</v>
      </c>
      <c r="BF498" s="1" t="s">
        <v>29</v>
      </c>
      <c r="BG498" s="1">
        <v>3</v>
      </c>
      <c r="BH498">
        <v>1</v>
      </c>
      <c r="BK498" s="1" t="s">
        <v>72</v>
      </c>
      <c r="BQ498">
        <v>1</v>
      </c>
      <c r="CM498">
        <v>1</v>
      </c>
      <c r="CS498" s="7" t="s">
        <v>4643</v>
      </c>
    </row>
    <row r="499" spans="1:98">
      <c r="B499" t="s">
        <v>3151</v>
      </c>
      <c r="C499" s="2" t="s">
        <v>3150</v>
      </c>
      <c r="D499" s="2" t="s">
        <v>3150</v>
      </c>
      <c r="E499" s="8" t="s">
        <v>546</v>
      </c>
      <c r="F499" s="8" t="s">
        <v>357</v>
      </c>
      <c r="G499" s="1">
        <v>1</v>
      </c>
      <c r="H499" s="1"/>
      <c r="I499" s="1">
        <f>1799-29</f>
        <v>1770</v>
      </c>
      <c r="J499" t="s">
        <v>69</v>
      </c>
      <c r="K499" t="s">
        <v>12</v>
      </c>
      <c r="Q499">
        <v>5</v>
      </c>
      <c r="R499">
        <v>1</v>
      </c>
      <c r="S499">
        <v>3</v>
      </c>
      <c r="T499" s="5">
        <f t="shared" ref="T499" si="30">((Q499*316)+(R499*26.3)+(S499*2.2))/10</f>
        <v>161.29</v>
      </c>
      <c r="U499" t="s">
        <v>3149</v>
      </c>
      <c r="AG499" s="6">
        <v>1</v>
      </c>
      <c r="AH499" s="7">
        <v>1</v>
      </c>
      <c r="BC499" t="s">
        <v>2972</v>
      </c>
      <c r="BD499" s="7" t="s">
        <v>103</v>
      </c>
      <c r="BE499" t="s">
        <v>2407</v>
      </c>
      <c r="BF499" s="1" t="s">
        <v>29</v>
      </c>
      <c r="BG499" s="1">
        <v>2</v>
      </c>
      <c r="BH499">
        <v>1</v>
      </c>
      <c r="BK499" s="1">
        <v>1</v>
      </c>
      <c r="BQ499">
        <v>1</v>
      </c>
      <c r="CS499" s="7" t="s">
        <v>3152</v>
      </c>
    </row>
    <row r="500" spans="1:98">
      <c r="B500" t="s">
        <v>1053</v>
      </c>
      <c r="C500" s="2" t="s">
        <v>191</v>
      </c>
      <c r="D500" s="3"/>
      <c r="E500" s="12" t="s">
        <v>193</v>
      </c>
      <c r="F500" s="12" t="s">
        <v>65</v>
      </c>
      <c r="G500" s="1">
        <v>1</v>
      </c>
      <c r="H500" s="1"/>
      <c r="I500" s="1">
        <f>1800-18</f>
        <v>1782</v>
      </c>
      <c r="J500" t="s">
        <v>10</v>
      </c>
      <c r="K500" t="s">
        <v>12</v>
      </c>
      <c r="T500" s="5"/>
      <c r="U500" s="9" t="s">
        <v>1052</v>
      </c>
      <c r="AG500" s="9">
        <v>1</v>
      </c>
      <c r="AH500" s="6">
        <v>1</v>
      </c>
      <c r="BC500">
        <v>1800</v>
      </c>
      <c r="BD500" t="s">
        <v>81</v>
      </c>
      <c r="BE500" s="10" t="s">
        <v>70</v>
      </c>
      <c r="BF500" s="1" t="s">
        <v>73</v>
      </c>
      <c r="BG500" s="1">
        <v>1</v>
      </c>
      <c r="BH500">
        <v>1</v>
      </c>
      <c r="BK500" s="1" t="s">
        <v>72</v>
      </c>
      <c r="BZ500">
        <v>1</v>
      </c>
      <c r="CS500" t="s">
        <v>111</v>
      </c>
      <c r="CT500" s="10" t="s">
        <v>1054</v>
      </c>
    </row>
    <row r="501" spans="1:98">
      <c r="B501" t="s">
        <v>2347</v>
      </c>
      <c r="C501" s="2" t="s">
        <v>2348</v>
      </c>
      <c r="D501" s="2" t="s">
        <v>2348</v>
      </c>
      <c r="E501" s="13" t="s">
        <v>654</v>
      </c>
      <c r="F501" s="13" t="s">
        <v>65</v>
      </c>
      <c r="G501" s="1">
        <v>1</v>
      </c>
      <c r="H501" s="1"/>
      <c r="I501" s="1">
        <f>1802-23</f>
        <v>1779</v>
      </c>
      <c r="J501" t="s">
        <v>10</v>
      </c>
      <c r="K501" t="s">
        <v>12</v>
      </c>
      <c r="Q501">
        <v>5</v>
      </c>
      <c r="R501">
        <v>4</v>
      </c>
      <c r="S501">
        <v>2</v>
      </c>
      <c r="T501" s="5">
        <f>((Q501*316)+(R501*26.3)+(S501*2.2))/10</f>
        <v>168.96</v>
      </c>
      <c r="U501" t="s">
        <v>2349</v>
      </c>
      <c r="AG501" s="6">
        <v>1</v>
      </c>
      <c r="AH501" s="6">
        <v>1</v>
      </c>
      <c r="AI501" s="6">
        <v>1</v>
      </c>
      <c r="AJ501" s="6">
        <v>1</v>
      </c>
      <c r="AK501" s="6">
        <v>1</v>
      </c>
      <c r="AL501" s="6">
        <v>1</v>
      </c>
      <c r="AM501" s="6">
        <v>1</v>
      </c>
      <c r="AN501" s="6">
        <v>1</v>
      </c>
      <c r="AO501" s="6">
        <v>1</v>
      </c>
      <c r="AP501" s="6">
        <v>1</v>
      </c>
      <c r="AQ501" s="6">
        <v>1</v>
      </c>
      <c r="AR501" s="7">
        <v>1</v>
      </c>
      <c r="AS501" s="7">
        <v>1</v>
      </c>
      <c r="BC501" t="s">
        <v>2350</v>
      </c>
      <c r="BD501" s="7" t="s">
        <v>959</v>
      </c>
      <c r="BE501" s="7" t="s">
        <v>1558</v>
      </c>
      <c r="BF501" s="1" t="s">
        <v>29</v>
      </c>
      <c r="BG501" s="1">
        <v>2</v>
      </c>
      <c r="BH501">
        <v>2</v>
      </c>
      <c r="BJ501">
        <v>1</v>
      </c>
      <c r="BK501" s="1" t="s">
        <v>72</v>
      </c>
      <c r="BQ501">
        <v>1</v>
      </c>
      <c r="CB501" s="7">
        <v>1</v>
      </c>
      <c r="CF501">
        <v>1</v>
      </c>
      <c r="CS501" s="7" t="s">
        <v>2351</v>
      </c>
    </row>
    <row r="502" spans="1:98">
      <c r="B502" t="s">
        <v>1055</v>
      </c>
      <c r="C502" s="12" t="s">
        <v>1056</v>
      </c>
      <c r="D502" s="3"/>
      <c r="E502" s="12"/>
      <c r="F502" s="12" t="s">
        <v>115</v>
      </c>
      <c r="G502" s="1">
        <v>1</v>
      </c>
      <c r="H502" s="1"/>
      <c r="I502" s="1">
        <f>1800-19</f>
        <v>1781</v>
      </c>
      <c r="J502" t="s">
        <v>10</v>
      </c>
      <c r="K502" t="s">
        <v>12</v>
      </c>
      <c r="T502" s="5"/>
      <c r="U502" s="9" t="s">
        <v>1057</v>
      </c>
      <c r="AG502" s="9">
        <v>1</v>
      </c>
      <c r="AH502" s="6">
        <v>1</v>
      </c>
      <c r="BC502">
        <v>1800</v>
      </c>
      <c r="BD502" t="s">
        <v>81</v>
      </c>
      <c r="BE502" s="10" t="s">
        <v>70</v>
      </c>
      <c r="BF502" s="1" t="s">
        <v>73</v>
      </c>
      <c r="BG502" s="1">
        <v>1</v>
      </c>
      <c r="BH502">
        <v>1</v>
      </c>
      <c r="BK502" s="1" t="s">
        <v>72</v>
      </c>
      <c r="BZ502">
        <v>1</v>
      </c>
      <c r="CS502" t="s">
        <v>111</v>
      </c>
      <c r="CT502" s="10" t="s">
        <v>1054</v>
      </c>
    </row>
    <row r="503" spans="1:98">
      <c r="B503" t="s">
        <v>126</v>
      </c>
      <c r="C503" s="2" t="s">
        <v>113</v>
      </c>
      <c r="E503" s="8" t="s">
        <v>114</v>
      </c>
      <c r="F503" s="8" t="s">
        <v>115</v>
      </c>
      <c r="G503" s="1">
        <v>1</v>
      </c>
      <c r="H503" s="1"/>
      <c r="I503" s="1">
        <f>1811-29</f>
        <v>1782</v>
      </c>
      <c r="J503" t="s">
        <v>10</v>
      </c>
      <c r="K503" t="s">
        <v>12</v>
      </c>
      <c r="Q503">
        <v>5</v>
      </c>
      <c r="R503">
        <v>3</v>
      </c>
      <c r="S503">
        <v>1</v>
      </c>
      <c r="T503" s="5">
        <f>((Q503*316)+(R503*26.3)+(S503*2.2))/10</f>
        <v>166.11</v>
      </c>
      <c r="U503" s="9" t="s">
        <v>1057</v>
      </c>
      <c r="AG503" s="9">
        <v>1</v>
      </c>
      <c r="AH503" s="6">
        <v>1</v>
      </c>
      <c r="AI503" s="6">
        <v>1</v>
      </c>
      <c r="AJ503" s="6">
        <v>1</v>
      </c>
      <c r="AK503" s="6">
        <v>1</v>
      </c>
      <c r="AL503" s="6">
        <v>1</v>
      </c>
      <c r="AM503" s="6">
        <v>1</v>
      </c>
      <c r="AN503" s="6">
        <v>1</v>
      </c>
      <c r="AO503" s="6">
        <v>1</v>
      </c>
      <c r="AP503" s="6">
        <v>1</v>
      </c>
      <c r="AQ503" s="6">
        <v>1</v>
      </c>
      <c r="AR503" s="6">
        <v>1</v>
      </c>
      <c r="AS503" s="7">
        <v>1</v>
      </c>
      <c r="BC503" t="s">
        <v>1746</v>
      </c>
      <c r="BD503" s="7" t="s">
        <v>103</v>
      </c>
      <c r="BE503" t="s">
        <v>118</v>
      </c>
      <c r="BF503" s="1" t="s">
        <v>73</v>
      </c>
      <c r="BG503" s="1">
        <v>16</v>
      </c>
      <c r="BH503">
        <v>2</v>
      </c>
      <c r="BI503">
        <v>1</v>
      </c>
      <c r="BK503" s="1">
        <v>1</v>
      </c>
      <c r="BQ503">
        <v>1</v>
      </c>
      <c r="CL503">
        <v>1</v>
      </c>
      <c r="CS503" s="7" t="s">
        <v>1747</v>
      </c>
      <c r="CT503" s="9" t="s">
        <v>127</v>
      </c>
    </row>
    <row r="504" spans="1:98">
      <c r="B504" t="s">
        <v>1811</v>
      </c>
      <c r="C504" s="13" t="s">
        <v>1812</v>
      </c>
      <c r="E504" s="8" t="s">
        <v>1813</v>
      </c>
      <c r="F504" s="8" t="s">
        <v>115</v>
      </c>
      <c r="G504" s="1">
        <v>1</v>
      </c>
      <c r="H504" s="1"/>
      <c r="I504" s="1">
        <f>1800-40</f>
        <v>1760</v>
      </c>
      <c r="J504" t="s">
        <v>69</v>
      </c>
      <c r="K504" t="s">
        <v>12</v>
      </c>
      <c r="T504" s="5"/>
      <c r="U504" s="9" t="s">
        <v>1057</v>
      </c>
      <c r="AG504" s="9">
        <v>1</v>
      </c>
      <c r="AH504" s="6">
        <v>1</v>
      </c>
      <c r="AI504" s="6">
        <v>1</v>
      </c>
      <c r="BC504" t="s">
        <v>1807</v>
      </c>
      <c r="BD504" t="s">
        <v>81</v>
      </c>
      <c r="BE504" s="10" t="s">
        <v>70</v>
      </c>
      <c r="BF504" s="1" t="s">
        <v>73</v>
      </c>
      <c r="BG504" s="1">
        <v>2</v>
      </c>
      <c r="BH504">
        <v>1</v>
      </c>
      <c r="BK504" s="1"/>
      <c r="BZ504">
        <v>1</v>
      </c>
      <c r="CS504" t="s">
        <v>111</v>
      </c>
      <c r="CT504" s="10" t="s">
        <v>82</v>
      </c>
    </row>
    <row r="505" spans="1:98">
      <c r="B505" t="s">
        <v>1814</v>
      </c>
      <c r="C505" s="13" t="s">
        <v>1815</v>
      </c>
      <c r="E505" s="8" t="s">
        <v>654</v>
      </c>
      <c r="F505" s="8" t="s">
        <v>65</v>
      </c>
      <c r="G505" s="1">
        <v>1</v>
      </c>
      <c r="H505" s="1"/>
      <c r="I505" s="1">
        <f>1800-40</f>
        <v>1760</v>
      </c>
      <c r="J505" t="s">
        <v>69</v>
      </c>
      <c r="K505" t="s">
        <v>12</v>
      </c>
      <c r="T505" s="5"/>
      <c r="U505" s="9" t="s">
        <v>1057</v>
      </c>
      <c r="AG505" s="9">
        <v>1</v>
      </c>
      <c r="AH505" s="6">
        <v>1</v>
      </c>
      <c r="AI505" s="6">
        <v>1</v>
      </c>
      <c r="BC505" t="s">
        <v>1807</v>
      </c>
      <c r="BD505" t="s">
        <v>81</v>
      </c>
      <c r="BE505" s="10" t="s">
        <v>70</v>
      </c>
      <c r="BF505" s="1" t="s">
        <v>73</v>
      </c>
      <c r="BG505" s="1">
        <v>2</v>
      </c>
      <c r="BH505">
        <v>1</v>
      </c>
      <c r="BK505" s="1"/>
      <c r="BZ505">
        <v>1</v>
      </c>
      <c r="CS505" t="s">
        <v>111</v>
      </c>
      <c r="CT505" s="10" t="s">
        <v>82</v>
      </c>
    </row>
    <row r="506" spans="1:98">
      <c r="B506" t="s">
        <v>1476</v>
      </c>
      <c r="C506" s="15" t="s">
        <v>1477</v>
      </c>
      <c r="E506" s="8" t="s">
        <v>114</v>
      </c>
      <c r="F506" s="8" t="s">
        <v>115</v>
      </c>
      <c r="G506" s="1">
        <v>1</v>
      </c>
      <c r="H506" s="1"/>
      <c r="I506" s="1">
        <f>1800-36</f>
        <v>1764</v>
      </c>
      <c r="J506" t="s">
        <v>69</v>
      </c>
      <c r="K506" t="s">
        <v>12</v>
      </c>
      <c r="M506">
        <v>1</v>
      </c>
      <c r="Q506">
        <v>5</v>
      </c>
      <c r="R506">
        <v>1</v>
      </c>
      <c r="S506">
        <v>2</v>
      </c>
      <c r="T506" s="5">
        <f>((Q506*316)+(R506*26.3)+(S506*2.2))/10</f>
        <v>161.07</v>
      </c>
      <c r="U506" t="s">
        <v>1478</v>
      </c>
      <c r="AG506" s="6">
        <v>1</v>
      </c>
      <c r="AH506" s="6">
        <v>1</v>
      </c>
      <c r="AI506" s="6">
        <v>1</v>
      </c>
      <c r="AJ506" s="6">
        <v>1</v>
      </c>
      <c r="AK506" s="6">
        <v>1</v>
      </c>
      <c r="AL506" s="6">
        <v>1</v>
      </c>
      <c r="AM506" s="6">
        <v>1</v>
      </c>
      <c r="AN506" s="7">
        <v>1</v>
      </c>
      <c r="BC506" t="s">
        <v>1472</v>
      </c>
      <c r="BD506" s="7" t="s">
        <v>109</v>
      </c>
      <c r="BE506" t="s">
        <v>62</v>
      </c>
      <c r="BF506" s="1" t="s">
        <v>29</v>
      </c>
      <c r="BG506" s="1">
        <v>8</v>
      </c>
      <c r="BH506">
        <v>2</v>
      </c>
      <c r="BI506">
        <v>1</v>
      </c>
      <c r="BK506">
        <v>1</v>
      </c>
      <c r="BQ506">
        <v>1</v>
      </c>
      <c r="CL506">
        <v>1</v>
      </c>
      <c r="CS506" s="7" t="s">
        <v>1475</v>
      </c>
    </row>
    <row r="507" spans="1:98">
      <c r="B507" t="s">
        <v>1167</v>
      </c>
      <c r="C507" s="2" t="s">
        <v>1607</v>
      </c>
      <c r="F507" s="8" t="s">
        <v>115</v>
      </c>
      <c r="G507" s="1">
        <v>1</v>
      </c>
      <c r="H507" s="1"/>
      <c r="I507" s="1">
        <f>1803-31</f>
        <v>1772</v>
      </c>
      <c r="J507" t="s">
        <v>69</v>
      </c>
      <c r="K507" t="s">
        <v>12</v>
      </c>
      <c r="M507">
        <v>1</v>
      </c>
      <c r="Q507">
        <v>5</v>
      </c>
      <c r="R507">
        <v>1</v>
      </c>
      <c r="S507">
        <v>2</v>
      </c>
      <c r="T507" s="5">
        <f>((Q507*316)+(R507*26.3)+(S507*2.2))/10</f>
        <v>161.07</v>
      </c>
      <c r="U507" t="s">
        <v>1478</v>
      </c>
      <c r="AG507" s="6">
        <v>1</v>
      </c>
      <c r="AH507" s="6">
        <v>1</v>
      </c>
      <c r="AI507" s="6">
        <v>1</v>
      </c>
      <c r="AJ507" s="6">
        <v>1</v>
      </c>
      <c r="AK507" s="6">
        <v>1</v>
      </c>
      <c r="AL507" s="6">
        <v>1</v>
      </c>
      <c r="AM507" s="6">
        <v>1</v>
      </c>
      <c r="AN507" s="6">
        <v>1</v>
      </c>
      <c r="AO507" s="6">
        <v>1</v>
      </c>
      <c r="AP507" s="6">
        <v>1</v>
      </c>
      <c r="AQ507" s="6">
        <v>1</v>
      </c>
      <c r="AR507" s="7">
        <v>1</v>
      </c>
      <c r="BC507" t="s">
        <v>1608</v>
      </c>
      <c r="BD507" s="7" t="s">
        <v>103</v>
      </c>
      <c r="BE507" t="s">
        <v>62</v>
      </c>
      <c r="BF507" s="1" t="s">
        <v>29</v>
      </c>
      <c r="BG507" s="1">
        <v>10</v>
      </c>
      <c r="BH507">
        <v>2</v>
      </c>
      <c r="BI507">
        <v>1</v>
      </c>
      <c r="BK507">
        <v>1</v>
      </c>
      <c r="BQ507">
        <v>1</v>
      </c>
      <c r="CL507">
        <v>1</v>
      </c>
      <c r="CS507" s="7" t="s">
        <v>1609</v>
      </c>
      <c r="CT507" s="9" t="s">
        <v>382</v>
      </c>
    </row>
    <row r="508" spans="1:98">
      <c r="B508" t="s">
        <v>3154</v>
      </c>
      <c r="C508" s="2" t="s">
        <v>2994</v>
      </c>
      <c r="D508" s="2" t="s">
        <v>2977</v>
      </c>
      <c r="E508" s="8" t="s">
        <v>546</v>
      </c>
      <c r="F508" s="8" t="s">
        <v>357</v>
      </c>
      <c r="G508" s="1">
        <v>1</v>
      </c>
      <c r="H508" s="1"/>
      <c r="I508" s="1">
        <f>1799-24</f>
        <v>1775</v>
      </c>
      <c r="J508" t="s">
        <v>10</v>
      </c>
      <c r="K508" t="s">
        <v>12</v>
      </c>
      <c r="Q508">
        <v>5</v>
      </c>
      <c r="R508">
        <v>7</v>
      </c>
      <c r="T508" s="5">
        <f>((Q508*316)+(R508*26.3)+(S508*2.2))/10</f>
        <v>176.41</v>
      </c>
      <c r="U508" t="s">
        <v>3156</v>
      </c>
      <c r="AG508" s="7">
        <v>1</v>
      </c>
      <c r="BC508" t="s">
        <v>3155</v>
      </c>
      <c r="BD508" s="7" t="s">
        <v>103</v>
      </c>
      <c r="BE508" t="s">
        <v>2407</v>
      </c>
      <c r="BF508" s="1" t="s">
        <v>29</v>
      </c>
      <c r="BG508" s="1">
        <v>2</v>
      </c>
      <c r="BH508">
        <v>1</v>
      </c>
      <c r="BK508" s="1">
        <v>1</v>
      </c>
      <c r="BQ508">
        <v>1</v>
      </c>
      <c r="CS508" s="7" t="s">
        <v>1378</v>
      </c>
    </row>
    <row r="509" spans="1:98">
      <c r="B509" t="s">
        <v>4731</v>
      </c>
      <c r="C509" s="2" t="s">
        <v>3819</v>
      </c>
      <c r="D509" s="15"/>
      <c r="E509" s="8" t="s">
        <v>710</v>
      </c>
      <c r="F509" s="8" t="s">
        <v>115</v>
      </c>
      <c r="G509" s="1">
        <v>1</v>
      </c>
      <c r="H509" s="1"/>
      <c r="I509" s="1">
        <f>1803-28</f>
        <v>1775</v>
      </c>
      <c r="J509" t="s">
        <v>69</v>
      </c>
      <c r="K509" t="s">
        <v>12</v>
      </c>
      <c r="M509">
        <v>1</v>
      </c>
      <c r="Q509">
        <v>5</v>
      </c>
      <c r="R509">
        <v>1</v>
      </c>
      <c r="S509">
        <v>2</v>
      </c>
      <c r="T509" s="5">
        <f>((Q509*316)+(R509*26.3)+(S509*2.2))/10</f>
        <v>161.07</v>
      </c>
      <c r="U509" t="s">
        <v>283</v>
      </c>
      <c r="AG509" s="6">
        <v>1</v>
      </c>
      <c r="AH509" s="6">
        <v>1</v>
      </c>
      <c r="AI509" s="6">
        <v>1</v>
      </c>
      <c r="AJ509" s="6">
        <v>1</v>
      </c>
      <c r="AK509" s="6">
        <v>1</v>
      </c>
      <c r="AL509" s="6">
        <v>1</v>
      </c>
      <c r="AM509" s="6">
        <v>1</v>
      </c>
      <c r="AN509" s="7">
        <v>1</v>
      </c>
      <c r="BC509" t="s">
        <v>198</v>
      </c>
      <c r="BD509" s="7" t="s">
        <v>109</v>
      </c>
      <c r="BE509" t="s">
        <v>975</v>
      </c>
      <c r="BF509" s="1" t="s">
        <v>73</v>
      </c>
      <c r="BG509" s="1">
        <v>4</v>
      </c>
      <c r="BH509">
        <v>1</v>
      </c>
      <c r="BK509" s="1">
        <v>1</v>
      </c>
      <c r="BQ509">
        <v>1</v>
      </c>
      <c r="CS509" s="7" t="s">
        <v>354</v>
      </c>
    </row>
    <row r="510" spans="1:98">
      <c r="B510" t="s">
        <v>1610</v>
      </c>
      <c r="C510" s="18" t="s">
        <v>370</v>
      </c>
      <c r="F510" s="8" t="s">
        <v>218</v>
      </c>
      <c r="G510" s="1">
        <v>1</v>
      </c>
      <c r="H510" s="1"/>
      <c r="I510" s="1">
        <f>1804-25</f>
        <v>1779</v>
      </c>
      <c r="J510" t="s">
        <v>10</v>
      </c>
      <c r="K510" t="s">
        <v>12</v>
      </c>
      <c r="Q510">
        <v>5</v>
      </c>
      <c r="R510">
        <v>1</v>
      </c>
      <c r="S510">
        <v>3</v>
      </c>
      <c r="T510" s="5">
        <f>((Q510*316)+(R510*26.3)+(S510*2.2))/10</f>
        <v>161.29</v>
      </c>
      <c r="U510" t="s">
        <v>912</v>
      </c>
      <c r="AG510" s="6">
        <v>1</v>
      </c>
      <c r="AH510" s="6">
        <v>1</v>
      </c>
      <c r="AI510" s="6">
        <v>1</v>
      </c>
      <c r="AJ510" s="6">
        <v>1</v>
      </c>
      <c r="AK510" s="6">
        <v>1</v>
      </c>
      <c r="AL510" s="6">
        <v>1</v>
      </c>
      <c r="AM510" s="6">
        <v>1</v>
      </c>
      <c r="AN510" s="6">
        <v>1</v>
      </c>
      <c r="BC510">
        <v>1806</v>
      </c>
      <c r="BD510" t="s">
        <v>81</v>
      </c>
      <c r="BE510" t="s">
        <v>360</v>
      </c>
      <c r="BF510" s="1" t="s">
        <v>73</v>
      </c>
      <c r="BG510" s="1">
        <v>2</v>
      </c>
      <c r="BH510">
        <v>3</v>
      </c>
      <c r="BK510" s="1" t="s">
        <v>72</v>
      </c>
      <c r="BQ510">
        <v>1</v>
      </c>
      <c r="BX510">
        <v>1</v>
      </c>
      <c r="CL510">
        <v>1</v>
      </c>
      <c r="CS510" t="s">
        <v>369</v>
      </c>
    </row>
    <row r="511" spans="1:98">
      <c r="A511" t="s">
        <v>72</v>
      </c>
      <c r="B511" t="s">
        <v>1693</v>
      </c>
      <c r="C511" s="15"/>
      <c r="F511" s="8" t="s">
        <v>7</v>
      </c>
      <c r="G511" s="1"/>
      <c r="H511" s="1"/>
      <c r="I511" s="1"/>
      <c r="T511" s="5"/>
      <c r="U511" s="9" t="s">
        <v>376</v>
      </c>
      <c r="AG511" s="9">
        <v>1</v>
      </c>
      <c r="AH511" s="7">
        <v>1</v>
      </c>
      <c r="BC511" t="s">
        <v>1694</v>
      </c>
      <c r="BD511" s="7" t="s">
        <v>26</v>
      </c>
      <c r="BE511" t="s">
        <v>125</v>
      </c>
      <c r="BF511" s="1" t="s">
        <v>29</v>
      </c>
      <c r="BG511" s="1">
        <v>2</v>
      </c>
      <c r="BH511">
        <v>1</v>
      </c>
      <c r="BK511" t="s">
        <v>72</v>
      </c>
      <c r="BQ511">
        <v>1</v>
      </c>
      <c r="CS511" s="7" t="s">
        <v>1695</v>
      </c>
      <c r="CT511" s="9" t="s">
        <v>382</v>
      </c>
    </row>
    <row r="512" spans="1:98">
      <c r="B512" t="s">
        <v>1400</v>
      </c>
      <c r="C512" s="2" t="s">
        <v>1401</v>
      </c>
      <c r="F512" s="8" t="s">
        <v>115</v>
      </c>
      <c r="G512" s="1">
        <v>1</v>
      </c>
      <c r="H512" s="1"/>
      <c r="I512" s="1">
        <f>1802-32</f>
        <v>1770</v>
      </c>
      <c r="J512" t="s">
        <v>69</v>
      </c>
      <c r="K512" t="s">
        <v>197</v>
      </c>
      <c r="N512">
        <v>1</v>
      </c>
      <c r="Q512">
        <v>5</v>
      </c>
      <c r="R512">
        <v>7</v>
      </c>
      <c r="S512">
        <v>2</v>
      </c>
      <c r="T512" s="5">
        <f>((Q512*316)+(R512*26.3)+(S512*2.2))/10</f>
        <v>176.85</v>
      </c>
      <c r="U512" s="9" t="s">
        <v>376</v>
      </c>
      <c r="AG512" s="9">
        <v>1</v>
      </c>
      <c r="AH512" s="6">
        <v>1</v>
      </c>
      <c r="AI512" s="6">
        <v>1</v>
      </c>
      <c r="AJ512" s="6">
        <v>1</v>
      </c>
      <c r="AK512" s="6">
        <v>1</v>
      </c>
      <c r="AL512" s="7">
        <v>1</v>
      </c>
      <c r="BC512" t="s">
        <v>1402</v>
      </c>
      <c r="BD512" s="7" t="s">
        <v>103</v>
      </c>
      <c r="BE512" t="s">
        <v>125</v>
      </c>
      <c r="BF512" s="1" t="s">
        <v>29</v>
      </c>
      <c r="BG512" s="1">
        <v>9</v>
      </c>
      <c r="BH512">
        <v>1</v>
      </c>
      <c r="BK512" s="1">
        <v>1</v>
      </c>
      <c r="BQ512">
        <v>1</v>
      </c>
      <c r="CS512" s="7" t="s">
        <v>1388</v>
      </c>
      <c r="CT512" s="9" t="s">
        <v>382</v>
      </c>
    </row>
    <row r="513" spans="1:98">
      <c r="A513" t="s">
        <v>72</v>
      </c>
      <c r="B513" t="s">
        <v>1700</v>
      </c>
      <c r="C513" s="15"/>
      <c r="F513" s="8" t="s">
        <v>7</v>
      </c>
      <c r="G513" s="1"/>
      <c r="H513" s="1"/>
      <c r="I513" s="1"/>
      <c r="T513" s="5"/>
      <c r="U513" s="9" t="s">
        <v>376</v>
      </c>
      <c r="AG513" s="9">
        <v>1</v>
      </c>
      <c r="AH513" s="7">
        <v>1</v>
      </c>
      <c r="BC513" t="s">
        <v>1390</v>
      </c>
      <c r="BD513" s="7" t="s">
        <v>103</v>
      </c>
      <c r="BE513" t="s">
        <v>125</v>
      </c>
      <c r="BF513" s="1" t="s">
        <v>29</v>
      </c>
      <c r="BG513" s="1">
        <v>2</v>
      </c>
      <c r="BH513">
        <v>1</v>
      </c>
      <c r="BK513" s="1" t="s">
        <v>72</v>
      </c>
      <c r="BQ513">
        <v>1</v>
      </c>
      <c r="CS513" s="7" t="s">
        <v>1378</v>
      </c>
      <c r="CT513" s="9" t="s">
        <v>382</v>
      </c>
    </row>
    <row r="514" spans="1:98">
      <c r="B514" t="s">
        <v>1764</v>
      </c>
      <c r="C514" s="8" t="s">
        <v>1791</v>
      </c>
      <c r="F514" s="8" t="s">
        <v>115</v>
      </c>
      <c r="G514" s="1">
        <v>1</v>
      </c>
      <c r="H514" s="1"/>
      <c r="I514" s="1">
        <f>1800-20</f>
        <v>1780</v>
      </c>
      <c r="J514" t="s">
        <v>10</v>
      </c>
      <c r="K514" t="s">
        <v>197</v>
      </c>
      <c r="Q514">
        <v>5</v>
      </c>
      <c r="R514">
        <v>2</v>
      </c>
      <c r="S514">
        <v>1</v>
      </c>
      <c r="T514" s="5">
        <f>((Q514*316)+(R514*26.3)+(S514*2.2))/10</f>
        <v>163.47999999999999</v>
      </c>
      <c r="U514" s="9" t="s">
        <v>376</v>
      </c>
      <c r="AG514" s="9">
        <v>1</v>
      </c>
      <c r="AH514" s="14">
        <v>1</v>
      </c>
      <c r="BC514" s="9" t="s">
        <v>1792</v>
      </c>
      <c r="BD514" s="14" t="s">
        <v>338</v>
      </c>
      <c r="BE514" t="s">
        <v>125</v>
      </c>
      <c r="BF514" s="1" t="s">
        <v>29</v>
      </c>
      <c r="BG514" s="1">
        <v>3</v>
      </c>
      <c r="BH514">
        <v>1</v>
      </c>
      <c r="BK514" s="1"/>
      <c r="BQ514">
        <v>1</v>
      </c>
      <c r="CS514" s="14" t="s">
        <v>1786</v>
      </c>
      <c r="CT514" s="9" t="s">
        <v>382</v>
      </c>
    </row>
    <row r="515" spans="1:98">
      <c r="B515" t="s">
        <v>1647</v>
      </c>
      <c r="C515" s="8" t="s">
        <v>1648</v>
      </c>
      <c r="F515" s="8" t="s">
        <v>115</v>
      </c>
      <c r="G515" s="1">
        <v>1</v>
      </c>
      <c r="H515" s="1"/>
      <c r="I515" s="1">
        <f>1806-29</f>
        <v>1777</v>
      </c>
      <c r="J515" t="s">
        <v>69</v>
      </c>
      <c r="K515" t="s">
        <v>12</v>
      </c>
      <c r="M515">
        <v>1</v>
      </c>
      <c r="P515">
        <v>1</v>
      </c>
      <c r="T515" s="5"/>
      <c r="U515" s="9" t="s">
        <v>376</v>
      </c>
      <c r="AG515" s="9">
        <v>1</v>
      </c>
      <c r="AH515" s="6">
        <v>1</v>
      </c>
      <c r="AI515" s="6">
        <v>1</v>
      </c>
      <c r="AJ515" s="6">
        <v>1</v>
      </c>
      <c r="AK515" s="6">
        <v>1</v>
      </c>
      <c r="AL515" s="6">
        <v>1</v>
      </c>
      <c r="AM515" s="6">
        <v>1</v>
      </c>
      <c r="AN515" s="6">
        <v>1</v>
      </c>
      <c r="AO515" s="6">
        <v>1</v>
      </c>
      <c r="AP515" s="6">
        <v>1</v>
      </c>
      <c r="AQ515" s="6">
        <v>1</v>
      </c>
      <c r="AR515" s="6">
        <v>1</v>
      </c>
      <c r="AS515" s="6">
        <v>1</v>
      </c>
      <c r="AT515" s="6">
        <v>1</v>
      </c>
      <c r="AU515" s="6">
        <v>1</v>
      </c>
      <c r="AV515" s="6">
        <v>1</v>
      </c>
      <c r="AW515" s="6">
        <v>1</v>
      </c>
      <c r="AX515" s="14">
        <v>1</v>
      </c>
      <c r="BC515" s="9" t="s">
        <v>1649</v>
      </c>
      <c r="BD515" s="14" t="s">
        <v>338</v>
      </c>
      <c r="BE515" t="s">
        <v>1275</v>
      </c>
      <c r="BF515" s="1" t="s">
        <v>29</v>
      </c>
      <c r="BG515" s="1">
        <v>15</v>
      </c>
      <c r="BH515">
        <v>3</v>
      </c>
      <c r="BI515">
        <v>1</v>
      </c>
      <c r="BK515">
        <v>1</v>
      </c>
      <c r="BQ515">
        <v>1</v>
      </c>
      <c r="CC515">
        <v>1</v>
      </c>
      <c r="CI515">
        <v>1</v>
      </c>
      <c r="CL515">
        <v>1</v>
      </c>
      <c r="CS515" s="14" t="s">
        <v>1650</v>
      </c>
      <c r="CT515" s="9" t="s">
        <v>382</v>
      </c>
    </row>
    <row r="516" spans="1:98">
      <c r="A516" t="s">
        <v>72</v>
      </c>
      <c r="B516" t="s">
        <v>1666</v>
      </c>
      <c r="C516" s="15"/>
      <c r="F516" t="s">
        <v>7</v>
      </c>
      <c r="G516" s="1"/>
      <c r="H516" s="1"/>
      <c r="I516" s="1"/>
      <c r="T516" s="5"/>
      <c r="U516" s="9" t="s">
        <v>376</v>
      </c>
      <c r="AG516" s="7">
        <v>1</v>
      </c>
      <c r="BC516" t="s">
        <v>1667</v>
      </c>
      <c r="BD516" s="7" t="s">
        <v>26</v>
      </c>
      <c r="BE516" t="s">
        <v>125</v>
      </c>
      <c r="BF516" s="1" t="s">
        <v>29</v>
      </c>
      <c r="BG516" s="1">
        <v>1</v>
      </c>
      <c r="BH516">
        <v>1</v>
      </c>
      <c r="BQ516">
        <v>1</v>
      </c>
      <c r="CS516" s="7" t="s">
        <v>1668</v>
      </c>
      <c r="CT516" s="9" t="s">
        <v>382</v>
      </c>
    </row>
    <row r="517" spans="1:98">
      <c r="A517" t="s">
        <v>72</v>
      </c>
      <c r="B517" t="s">
        <v>1669</v>
      </c>
      <c r="C517" s="15"/>
      <c r="F517" t="s">
        <v>7</v>
      </c>
      <c r="G517" s="1"/>
      <c r="H517" s="1"/>
      <c r="I517" s="1"/>
      <c r="T517" s="5"/>
      <c r="U517" s="9" t="s">
        <v>376</v>
      </c>
      <c r="AG517" s="7">
        <v>1</v>
      </c>
      <c r="BC517" t="s">
        <v>1670</v>
      </c>
      <c r="BD517" s="7" t="s">
        <v>26</v>
      </c>
      <c r="BE517" t="s">
        <v>125</v>
      </c>
      <c r="BF517" s="1" t="s">
        <v>29</v>
      </c>
      <c r="BG517" s="1">
        <v>1</v>
      </c>
      <c r="BH517">
        <v>1</v>
      </c>
      <c r="BQ517">
        <v>1</v>
      </c>
      <c r="CS517" s="7" t="s">
        <v>1668</v>
      </c>
      <c r="CT517" s="9" t="s">
        <v>382</v>
      </c>
    </row>
    <row r="518" spans="1:98">
      <c r="B518" t="s">
        <v>1643</v>
      </c>
      <c r="C518" s="2" t="s">
        <v>1644</v>
      </c>
      <c r="F518" s="8" t="s">
        <v>115</v>
      </c>
      <c r="G518" s="1">
        <v>1</v>
      </c>
      <c r="H518" s="1"/>
      <c r="I518" s="1">
        <f>1803-28</f>
        <v>1775</v>
      </c>
      <c r="J518" t="s">
        <v>69</v>
      </c>
      <c r="K518" t="s">
        <v>197</v>
      </c>
      <c r="M518">
        <v>1</v>
      </c>
      <c r="Q518">
        <v>5</v>
      </c>
      <c r="R518">
        <v>3</v>
      </c>
      <c r="S518">
        <v>3</v>
      </c>
      <c r="T518" s="5">
        <f>((Q518*316)+(R518*26.3)+(S518*2.2))/10</f>
        <v>166.55</v>
      </c>
      <c r="U518" s="9" t="s">
        <v>376</v>
      </c>
      <c r="AG518" s="9">
        <v>1</v>
      </c>
      <c r="AH518" s="6">
        <v>1</v>
      </c>
      <c r="AI518" s="6">
        <v>1</v>
      </c>
      <c r="AJ518" s="6">
        <v>1</v>
      </c>
      <c r="AK518" s="6">
        <v>1</v>
      </c>
      <c r="AL518" s="6">
        <v>1</v>
      </c>
      <c r="AM518" s="6">
        <v>1</v>
      </c>
      <c r="AN518" s="6">
        <v>1</v>
      </c>
      <c r="AO518" s="6">
        <v>1</v>
      </c>
      <c r="AP518" s="6">
        <v>1</v>
      </c>
      <c r="AQ518" s="6">
        <v>1</v>
      </c>
      <c r="AR518" s="6">
        <v>1</v>
      </c>
      <c r="AS518" s="6">
        <v>1</v>
      </c>
      <c r="AT518" s="6">
        <v>1</v>
      </c>
      <c r="AU518" s="6">
        <v>1</v>
      </c>
      <c r="AV518" s="6">
        <v>1</v>
      </c>
      <c r="AW518" s="6">
        <v>1</v>
      </c>
      <c r="AX518" s="7">
        <v>1</v>
      </c>
      <c r="BC518" t="s">
        <v>1645</v>
      </c>
      <c r="BD518" s="7" t="s">
        <v>103</v>
      </c>
      <c r="BE518" t="s">
        <v>1646</v>
      </c>
      <c r="BF518" s="1" t="s">
        <v>29</v>
      </c>
      <c r="BG518" s="1">
        <v>17</v>
      </c>
      <c r="BH518">
        <v>3</v>
      </c>
      <c r="BJ518">
        <v>1</v>
      </c>
      <c r="BK518">
        <v>1</v>
      </c>
      <c r="BQ518">
        <v>1</v>
      </c>
      <c r="BV518">
        <v>1</v>
      </c>
      <c r="CL518">
        <v>1</v>
      </c>
      <c r="CS518" s="7" t="s">
        <v>1409</v>
      </c>
      <c r="CT518" s="9" t="s">
        <v>382</v>
      </c>
    </row>
    <row r="519" spans="1:98">
      <c r="B519" t="s">
        <v>346</v>
      </c>
      <c r="C519" s="2" t="s">
        <v>113</v>
      </c>
      <c r="E519" s="8" t="s">
        <v>114</v>
      </c>
      <c r="F519" s="8" t="s">
        <v>115</v>
      </c>
      <c r="G519" s="1">
        <v>1</v>
      </c>
      <c r="H519" s="1"/>
      <c r="I519" s="1">
        <f>1800-28</f>
        <v>1772</v>
      </c>
      <c r="J519" t="s">
        <v>69</v>
      </c>
      <c r="K519" t="s">
        <v>347</v>
      </c>
      <c r="N519">
        <v>1</v>
      </c>
      <c r="Q519">
        <v>5</v>
      </c>
      <c r="R519">
        <v>2</v>
      </c>
      <c r="T519" s="5">
        <f>((Q519*316)+(R519*26.3)+(S519*2.2))/10</f>
        <v>163.26</v>
      </c>
      <c r="U519" s="9" t="s">
        <v>376</v>
      </c>
      <c r="AG519" s="9">
        <v>1</v>
      </c>
      <c r="AH519" s="6">
        <v>1</v>
      </c>
      <c r="AI519" s="6">
        <v>1</v>
      </c>
      <c r="AJ519" s="6">
        <v>1</v>
      </c>
      <c r="AK519" s="6">
        <v>1</v>
      </c>
      <c r="AL519" s="6">
        <v>1</v>
      </c>
      <c r="AM519" s="6">
        <v>1</v>
      </c>
      <c r="AN519" s="7">
        <v>1</v>
      </c>
      <c r="BC519" t="s">
        <v>198</v>
      </c>
      <c r="BD519" s="7" t="s">
        <v>103</v>
      </c>
      <c r="BE519" t="s">
        <v>125</v>
      </c>
      <c r="BF519" s="1" t="s">
        <v>29</v>
      </c>
      <c r="BG519" s="1">
        <v>10</v>
      </c>
      <c r="BH519">
        <v>1</v>
      </c>
      <c r="BK519" s="1">
        <v>1</v>
      </c>
      <c r="BQ519">
        <v>1</v>
      </c>
      <c r="CS519" s="7" t="s">
        <v>203</v>
      </c>
      <c r="CT519" s="9" t="s">
        <v>127</v>
      </c>
    </row>
    <row r="520" spans="1:98">
      <c r="B520" t="s">
        <v>1424</v>
      </c>
      <c r="C520" s="2" t="s">
        <v>113</v>
      </c>
      <c r="F520" s="8" t="s">
        <v>115</v>
      </c>
      <c r="G520" s="1">
        <v>1</v>
      </c>
      <c r="H520" s="1"/>
      <c r="I520" s="1">
        <f>1802-22</f>
        <v>1780</v>
      </c>
      <c r="J520" t="s">
        <v>69</v>
      </c>
      <c r="K520" t="s">
        <v>12</v>
      </c>
      <c r="N520">
        <v>1</v>
      </c>
      <c r="Q520">
        <v>5</v>
      </c>
      <c r="R520">
        <v>5</v>
      </c>
      <c r="S520">
        <v>3</v>
      </c>
      <c r="T520" s="5">
        <f>((Q520*316)+(R520*26.3)+(S520*2.2))/10</f>
        <v>171.81</v>
      </c>
      <c r="U520" s="9" t="s">
        <v>376</v>
      </c>
      <c r="AG520" s="9">
        <v>1</v>
      </c>
      <c r="AH520" s="6">
        <v>1</v>
      </c>
      <c r="AI520" s="6">
        <v>1</v>
      </c>
      <c r="AJ520" s="7">
        <v>1</v>
      </c>
      <c r="BC520" t="s">
        <v>1369</v>
      </c>
      <c r="BD520" s="7" t="s">
        <v>280</v>
      </c>
      <c r="BE520" t="s">
        <v>125</v>
      </c>
      <c r="BF520" s="1" t="s">
        <v>29</v>
      </c>
      <c r="BG520" s="1">
        <v>4</v>
      </c>
      <c r="BH520">
        <v>1</v>
      </c>
      <c r="BK520" s="1">
        <v>1</v>
      </c>
      <c r="BQ520">
        <v>1</v>
      </c>
      <c r="CN520">
        <v>1</v>
      </c>
      <c r="CS520" s="7" t="s">
        <v>1425</v>
      </c>
      <c r="CT520" s="9" t="s">
        <v>382</v>
      </c>
    </row>
    <row r="521" spans="1:98">
      <c r="A521" t="s">
        <v>72</v>
      </c>
      <c r="B521" t="s">
        <v>1696</v>
      </c>
      <c r="C521" s="15"/>
      <c r="F521" t="s">
        <v>7</v>
      </c>
      <c r="G521" s="1"/>
      <c r="H521" s="1"/>
      <c r="I521" s="1"/>
      <c r="T521" s="5"/>
      <c r="U521" s="9" t="s">
        <v>376</v>
      </c>
      <c r="AG521" s="9">
        <v>1</v>
      </c>
      <c r="AH521" s="7">
        <v>1</v>
      </c>
      <c r="BC521" t="s">
        <v>1697</v>
      </c>
      <c r="BD521" s="7" t="s">
        <v>26</v>
      </c>
      <c r="BE521" t="s">
        <v>125</v>
      </c>
      <c r="BF521" s="1" t="s">
        <v>29</v>
      </c>
      <c r="BG521" s="1">
        <v>2</v>
      </c>
      <c r="BH521">
        <v>1</v>
      </c>
      <c r="BK521">
        <v>1</v>
      </c>
      <c r="BQ521">
        <v>1</v>
      </c>
      <c r="CS521" s="7" t="s">
        <v>1698</v>
      </c>
      <c r="CT521" s="9" t="s">
        <v>382</v>
      </c>
    </row>
    <row r="522" spans="1:98">
      <c r="B522" t="s">
        <v>1474</v>
      </c>
      <c r="C522" s="2" t="s">
        <v>173</v>
      </c>
      <c r="F522" s="8" t="s">
        <v>115</v>
      </c>
      <c r="G522" s="1">
        <v>1</v>
      </c>
      <c r="H522" s="1"/>
      <c r="I522" s="1">
        <f>1804-34</f>
        <v>1770</v>
      </c>
      <c r="J522" t="s">
        <v>69</v>
      </c>
      <c r="K522" t="s">
        <v>197</v>
      </c>
      <c r="M522">
        <v>1</v>
      </c>
      <c r="Q522">
        <v>5</v>
      </c>
      <c r="R522">
        <v>4</v>
      </c>
      <c r="S522">
        <v>2</v>
      </c>
      <c r="T522" s="5">
        <f>((Q522*316)+(R522*26.3)+(S522*2.2))/10</f>
        <v>168.96</v>
      </c>
      <c r="U522" s="9" t="s">
        <v>376</v>
      </c>
      <c r="AG522" s="9">
        <v>1</v>
      </c>
      <c r="AH522" s="6">
        <v>1</v>
      </c>
      <c r="AI522" s="6">
        <v>1</v>
      </c>
      <c r="AJ522" s="6">
        <v>1</v>
      </c>
      <c r="AK522" s="6">
        <v>1</v>
      </c>
      <c r="AL522" s="6">
        <v>1</v>
      </c>
      <c r="AM522" s="6">
        <v>1</v>
      </c>
      <c r="AN522" s="7">
        <v>1</v>
      </c>
      <c r="BC522" t="s">
        <v>1472</v>
      </c>
      <c r="BD522" s="7" t="s">
        <v>109</v>
      </c>
      <c r="BE522" t="s">
        <v>62</v>
      </c>
      <c r="BF522" s="1" t="s">
        <v>29</v>
      </c>
      <c r="BG522" s="1">
        <v>9</v>
      </c>
      <c r="BH522">
        <v>2</v>
      </c>
      <c r="BI522">
        <v>1</v>
      </c>
      <c r="BK522">
        <v>1</v>
      </c>
      <c r="BQ522">
        <v>1</v>
      </c>
      <c r="CL522">
        <v>1</v>
      </c>
      <c r="CS522" s="7" t="s">
        <v>1475</v>
      </c>
      <c r="CT522" s="9" t="s">
        <v>382</v>
      </c>
    </row>
    <row r="523" spans="1:98">
      <c r="A523" t="s">
        <v>72</v>
      </c>
      <c r="B523" t="s">
        <v>379</v>
      </c>
      <c r="C523" s="15"/>
      <c r="F523" t="s">
        <v>7</v>
      </c>
      <c r="G523" s="1"/>
      <c r="H523" s="1"/>
      <c r="I523" s="1"/>
      <c r="T523" s="5"/>
      <c r="U523" s="9" t="s">
        <v>376</v>
      </c>
      <c r="AG523" s="9">
        <v>1</v>
      </c>
      <c r="AH523" s="6">
        <v>1</v>
      </c>
      <c r="AI523" s="7">
        <v>1</v>
      </c>
      <c r="BC523" t="s">
        <v>380</v>
      </c>
      <c r="BD523" s="7" t="s">
        <v>280</v>
      </c>
      <c r="BE523" t="s">
        <v>125</v>
      </c>
      <c r="BF523" s="1" t="s">
        <v>29</v>
      </c>
      <c r="BG523" s="1">
        <v>3</v>
      </c>
      <c r="BH523">
        <v>1</v>
      </c>
      <c r="BK523" s="1" t="s">
        <v>72</v>
      </c>
      <c r="BQ523">
        <v>1</v>
      </c>
      <c r="CN523">
        <v>1</v>
      </c>
      <c r="CS523" s="7" t="s">
        <v>381</v>
      </c>
      <c r="CT523" s="9" t="s">
        <v>382</v>
      </c>
    </row>
    <row r="524" spans="1:98">
      <c r="A524" t="s">
        <v>72</v>
      </c>
      <c r="B524" t="s">
        <v>1658</v>
      </c>
      <c r="C524" s="15"/>
      <c r="F524" t="s">
        <v>7</v>
      </c>
      <c r="G524" s="1"/>
      <c r="H524" s="1"/>
      <c r="I524" s="1"/>
      <c r="T524" s="5"/>
      <c r="U524" s="9" t="s">
        <v>376</v>
      </c>
      <c r="AG524" s="9">
        <v>1</v>
      </c>
      <c r="AH524" s="6">
        <v>1</v>
      </c>
      <c r="AI524" s="7">
        <v>1</v>
      </c>
      <c r="BC524" t="s">
        <v>1659</v>
      </c>
      <c r="BD524" s="7" t="s">
        <v>26</v>
      </c>
      <c r="BE524" t="s">
        <v>125</v>
      </c>
      <c r="BF524" s="1" t="s">
        <v>29</v>
      </c>
      <c r="BG524" s="1">
        <v>3</v>
      </c>
      <c r="BH524">
        <v>1</v>
      </c>
      <c r="BK524" t="s">
        <v>72</v>
      </c>
      <c r="BQ524">
        <v>1</v>
      </c>
      <c r="CS524" s="7" t="s">
        <v>1660</v>
      </c>
      <c r="CT524" s="9" t="s">
        <v>382</v>
      </c>
    </row>
    <row r="525" spans="1:98">
      <c r="B525" t="s">
        <v>1058</v>
      </c>
      <c r="C525" s="13" t="s">
        <v>1059</v>
      </c>
      <c r="F525" s="8" t="s">
        <v>234</v>
      </c>
      <c r="G525" s="1">
        <v>1</v>
      </c>
      <c r="H525" s="1"/>
      <c r="I525" s="1">
        <f>1800-24</f>
        <v>1776</v>
      </c>
      <c r="J525" t="s">
        <v>10</v>
      </c>
      <c r="K525" t="s">
        <v>12</v>
      </c>
      <c r="T525" s="5"/>
      <c r="U525" s="9" t="s">
        <v>376</v>
      </c>
      <c r="AG525" s="9">
        <v>1</v>
      </c>
      <c r="AH525" s="6">
        <v>1</v>
      </c>
      <c r="BC525">
        <v>1800</v>
      </c>
      <c r="BD525" t="s">
        <v>81</v>
      </c>
      <c r="BE525" s="10" t="s">
        <v>70</v>
      </c>
      <c r="BF525" s="1" t="s">
        <v>73</v>
      </c>
      <c r="BG525" s="1">
        <v>1</v>
      </c>
      <c r="BH525">
        <v>1</v>
      </c>
      <c r="BK525" s="1" t="s">
        <v>72</v>
      </c>
      <c r="BZ525">
        <v>1</v>
      </c>
      <c r="CS525" t="s">
        <v>111</v>
      </c>
      <c r="CT525" s="10" t="s">
        <v>1054</v>
      </c>
    </row>
    <row r="526" spans="1:98">
      <c r="A526" t="s">
        <v>72</v>
      </c>
      <c r="B526" t="s">
        <v>1701</v>
      </c>
      <c r="C526" s="15"/>
      <c r="F526" t="s">
        <v>7</v>
      </c>
      <c r="G526" s="1"/>
      <c r="H526" s="1"/>
      <c r="I526" s="1"/>
      <c r="T526" s="5"/>
      <c r="U526" s="9" t="s">
        <v>376</v>
      </c>
      <c r="AG526" s="9">
        <v>1</v>
      </c>
      <c r="AH526" s="7">
        <v>1</v>
      </c>
      <c r="BC526" t="s">
        <v>1702</v>
      </c>
      <c r="BD526" s="7" t="s">
        <v>103</v>
      </c>
      <c r="BE526" t="s">
        <v>125</v>
      </c>
      <c r="BF526" s="1" t="s">
        <v>29</v>
      </c>
      <c r="BG526" s="1">
        <v>2</v>
      </c>
      <c r="BH526">
        <v>1</v>
      </c>
      <c r="BK526" s="1"/>
      <c r="BQ526">
        <v>1</v>
      </c>
      <c r="CS526" s="7" t="s">
        <v>1378</v>
      </c>
      <c r="CT526" s="9" t="s">
        <v>382</v>
      </c>
    </row>
    <row r="527" spans="1:98">
      <c r="A527" t="s">
        <v>72</v>
      </c>
      <c r="B527" t="s">
        <v>1389</v>
      </c>
      <c r="C527" s="15"/>
      <c r="F527" t="s">
        <v>7</v>
      </c>
      <c r="G527" s="1"/>
      <c r="H527" s="1"/>
      <c r="I527" s="1"/>
      <c r="T527" s="5"/>
      <c r="U527" s="9" t="s">
        <v>376</v>
      </c>
      <c r="AG527" s="9">
        <v>1</v>
      </c>
      <c r="AH527" s="7">
        <v>1</v>
      </c>
      <c r="BC527" t="s">
        <v>1390</v>
      </c>
      <c r="BD527" s="7" t="s">
        <v>103</v>
      </c>
      <c r="BE527" t="s">
        <v>125</v>
      </c>
      <c r="BF527" s="1" t="s">
        <v>29</v>
      </c>
      <c r="BG527" s="1">
        <v>2</v>
      </c>
      <c r="BH527">
        <v>1</v>
      </c>
      <c r="BK527" s="1" t="s">
        <v>72</v>
      </c>
      <c r="BQ527">
        <v>1</v>
      </c>
      <c r="CS527" s="7" t="s">
        <v>1391</v>
      </c>
      <c r="CT527" s="9" t="s">
        <v>382</v>
      </c>
    </row>
    <row r="528" spans="1:98">
      <c r="B528" t="s">
        <v>4684</v>
      </c>
      <c r="C528" s="8" t="s">
        <v>4685</v>
      </c>
      <c r="D528" s="8" t="s">
        <v>4685</v>
      </c>
      <c r="E528" s="8" t="s">
        <v>837</v>
      </c>
      <c r="F528" s="8" t="s">
        <v>115</v>
      </c>
      <c r="G528" s="1">
        <v>1</v>
      </c>
      <c r="H528" s="1"/>
      <c r="I528" s="1">
        <f>1802-22</f>
        <v>1780</v>
      </c>
      <c r="J528" t="s">
        <v>69</v>
      </c>
      <c r="K528" t="s">
        <v>12</v>
      </c>
      <c r="M528">
        <v>1</v>
      </c>
      <c r="Q528">
        <v>5</v>
      </c>
      <c r="R528">
        <v>4</v>
      </c>
      <c r="S528">
        <v>1</v>
      </c>
      <c r="T528" s="5">
        <f t="shared" ref="T528:T541" si="31">((Q528*316)+(R528*26.3)+(S528*2.2))/10</f>
        <v>168.74</v>
      </c>
      <c r="U528" t="s">
        <v>913</v>
      </c>
      <c r="AG528" s="6">
        <v>1</v>
      </c>
      <c r="AH528" s="6">
        <v>1</v>
      </c>
      <c r="AI528" s="6">
        <v>1</v>
      </c>
      <c r="AJ528" s="6">
        <v>1</v>
      </c>
      <c r="AK528" s="7">
        <v>1</v>
      </c>
      <c r="BC528" t="s">
        <v>922</v>
      </c>
      <c r="BD528" s="7" t="s">
        <v>280</v>
      </c>
      <c r="BE528" t="s">
        <v>975</v>
      </c>
      <c r="BF528" s="1" t="s">
        <v>29</v>
      </c>
      <c r="BG528" s="1">
        <v>2</v>
      </c>
      <c r="BH528">
        <v>1</v>
      </c>
      <c r="BK528" s="1">
        <v>1</v>
      </c>
      <c r="BQ528">
        <v>1</v>
      </c>
      <c r="CN528">
        <v>1</v>
      </c>
      <c r="CS528" s="7" t="s">
        <v>947</v>
      </c>
    </row>
    <row r="529" spans="1:97">
      <c r="B529" t="s">
        <v>4722</v>
      </c>
      <c r="C529" s="2" t="s">
        <v>4723</v>
      </c>
      <c r="D529" s="2" t="s">
        <v>4723</v>
      </c>
      <c r="E529" s="8" t="s">
        <v>837</v>
      </c>
      <c r="F529" s="8" t="s">
        <v>115</v>
      </c>
      <c r="G529" s="1">
        <v>1</v>
      </c>
      <c r="H529" s="1"/>
      <c r="I529" s="1">
        <f>1803-29</f>
        <v>1774</v>
      </c>
      <c r="J529" t="s">
        <v>69</v>
      </c>
      <c r="K529" t="s">
        <v>12</v>
      </c>
      <c r="M529">
        <v>1</v>
      </c>
      <c r="Q529">
        <v>5</v>
      </c>
      <c r="R529">
        <v>4</v>
      </c>
      <c r="S529">
        <v>1</v>
      </c>
      <c r="T529" s="5">
        <f t="shared" si="31"/>
        <v>168.74</v>
      </c>
      <c r="U529" s="9" t="s">
        <v>913</v>
      </c>
      <c r="AG529" s="6">
        <v>1</v>
      </c>
      <c r="AH529" s="6">
        <v>1</v>
      </c>
      <c r="AI529" s="6">
        <v>1</v>
      </c>
      <c r="AJ529" s="6">
        <v>1</v>
      </c>
      <c r="AK529" s="6">
        <v>1</v>
      </c>
      <c r="AL529" s="6">
        <v>1</v>
      </c>
      <c r="AM529" s="7">
        <v>1</v>
      </c>
      <c r="BC529" t="s">
        <v>4724</v>
      </c>
      <c r="BD529" s="7" t="s">
        <v>103</v>
      </c>
      <c r="BE529" t="s">
        <v>975</v>
      </c>
      <c r="BF529" s="1" t="s">
        <v>29</v>
      </c>
      <c r="BG529" s="1">
        <v>3</v>
      </c>
      <c r="BH529">
        <v>1</v>
      </c>
      <c r="BK529" s="1" t="s">
        <v>72</v>
      </c>
      <c r="BQ529">
        <v>1</v>
      </c>
      <c r="CS529" s="7" t="s">
        <v>354</v>
      </c>
    </row>
    <row r="530" spans="1:97">
      <c r="B530" t="s">
        <v>914</v>
      </c>
      <c r="C530" s="8" t="s">
        <v>915</v>
      </c>
      <c r="F530" s="8" t="s">
        <v>115</v>
      </c>
      <c r="G530" s="1">
        <v>1</v>
      </c>
      <c r="H530" s="1"/>
      <c r="I530" s="1">
        <f>1802-30</f>
        <v>1772</v>
      </c>
      <c r="J530" t="s">
        <v>69</v>
      </c>
      <c r="K530" t="s">
        <v>12</v>
      </c>
      <c r="N530">
        <v>1</v>
      </c>
      <c r="Q530">
        <v>5</v>
      </c>
      <c r="R530">
        <v>1</v>
      </c>
      <c r="T530" s="5">
        <f t="shared" si="31"/>
        <v>160.63</v>
      </c>
      <c r="U530" t="s">
        <v>913</v>
      </c>
      <c r="AG530" s="6">
        <v>1</v>
      </c>
      <c r="AH530" s="6">
        <v>1</v>
      </c>
      <c r="AI530" s="6">
        <v>1</v>
      </c>
      <c r="AJ530" s="7">
        <v>1</v>
      </c>
      <c r="BC530" t="s">
        <v>916</v>
      </c>
      <c r="BD530" s="7" t="s">
        <v>280</v>
      </c>
      <c r="BE530" t="s">
        <v>874</v>
      </c>
      <c r="BF530" s="1" t="s">
        <v>29</v>
      </c>
      <c r="BG530" s="1">
        <v>2</v>
      </c>
      <c r="BH530">
        <v>3</v>
      </c>
      <c r="BK530" s="1" t="s">
        <v>72</v>
      </c>
      <c r="BQ530">
        <v>1</v>
      </c>
      <c r="BV530">
        <v>1</v>
      </c>
      <c r="CL530">
        <v>1</v>
      </c>
      <c r="CN530">
        <v>1</v>
      </c>
      <c r="CS530" s="7" t="s">
        <v>917</v>
      </c>
    </row>
    <row r="531" spans="1:97">
      <c r="B531" t="s">
        <v>4678</v>
      </c>
      <c r="C531" s="2" t="s">
        <v>3980</v>
      </c>
      <c r="D531" s="2" t="s">
        <v>3980</v>
      </c>
      <c r="E531" s="8" t="s">
        <v>710</v>
      </c>
      <c r="F531" s="8" t="s">
        <v>115</v>
      </c>
      <c r="G531" s="1">
        <v>1</v>
      </c>
      <c r="H531" s="1"/>
      <c r="I531" s="1">
        <f>1802-19</f>
        <v>1783</v>
      </c>
      <c r="J531" t="s">
        <v>10</v>
      </c>
      <c r="K531" t="s">
        <v>12</v>
      </c>
      <c r="Q531">
        <v>5</v>
      </c>
      <c r="R531">
        <v>2</v>
      </c>
      <c r="S531">
        <v>2</v>
      </c>
      <c r="T531" s="5">
        <f t="shared" si="31"/>
        <v>163.69999999999999</v>
      </c>
      <c r="U531" t="s">
        <v>913</v>
      </c>
      <c r="AG531" s="6">
        <v>1</v>
      </c>
      <c r="AH531" s="6">
        <v>1</v>
      </c>
      <c r="AI531" s="6">
        <v>1</v>
      </c>
      <c r="AJ531" s="6">
        <v>1</v>
      </c>
      <c r="AK531" s="7">
        <v>1</v>
      </c>
      <c r="BC531" t="s">
        <v>4679</v>
      </c>
      <c r="BD531" s="7" t="s">
        <v>280</v>
      </c>
      <c r="BE531" t="s">
        <v>975</v>
      </c>
      <c r="BF531" s="1" t="s">
        <v>29</v>
      </c>
      <c r="BG531" s="1">
        <v>2</v>
      </c>
      <c r="BH531">
        <v>1</v>
      </c>
      <c r="BK531" s="1">
        <v>1</v>
      </c>
      <c r="BQ531">
        <v>1</v>
      </c>
      <c r="CN531">
        <v>1</v>
      </c>
      <c r="CS531" s="7" t="s">
        <v>947</v>
      </c>
    </row>
    <row r="532" spans="1:97">
      <c r="B532" t="s">
        <v>835</v>
      </c>
      <c r="C532" s="15" t="s">
        <v>836</v>
      </c>
      <c r="E532" s="8" t="s">
        <v>837</v>
      </c>
      <c r="F532" s="8" t="s">
        <v>115</v>
      </c>
      <c r="G532" s="1">
        <v>1</v>
      </c>
      <c r="H532" s="1"/>
      <c r="I532" s="1">
        <f>1802-37</f>
        <v>1765</v>
      </c>
      <c r="J532" t="s">
        <v>69</v>
      </c>
      <c r="K532" t="s">
        <v>12</v>
      </c>
      <c r="N532">
        <v>1</v>
      </c>
      <c r="O532">
        <v>2</v>
      </c>
      <c r="Q532">
        <v>5</v>
      </c>
      <c r="R532">
        <v>4</v>
      </c>
      <c r="T532" s="5">
        <f t="shared" si="31"/>
        <v>168.52</v>
      </c>
      <c r="U532" t="s">
        <v>174</v>
      </c>
      <c r="AG532" s="6">
        <v>1</v>
      </c>
      <c r="AH532" s="6">
        <v>1</v>
      </c>
      <c r="AI532" s="6">
        <v>1</v>
      </c>
      <c r="AJ532" s="6">
        <v>1</v>
      </c>
      <c r="AK532" s="6">
        <v>1</v>
      </c>
      <c r="AL532" s="6">
        <v>1</v>
      </c>
      <c r="AM532" s="6">
        <v>1</v>
      </c>
      <c r="AN532" s="6">
        <v>1</v>
      </c>
      <c r="AO532" s="6">
        <v>1</v>
      </c>
      <c r="AP532" s="6">
        <v>1</v>
      </c>
      <c r="AQ532" s="6">
        <v>1</v>
      </c>
      <c r="AR532" s="6">
        <v>1</v>
      </c>
      <c r="BC532">
        <v>1810</v>
      </c>
      <c r="BD532" t="s">
        <v>81</v>
      </c>
      <c r="BE532" t="s">
        <v>820</v>
      </c>
      <c r="BF532" s="1" t="s">
        <v>73</v>
      </c>
      <c r="BG532" s="1">
        <v>2</v>
      </c>
      <c r="BH532">
        <v>2</v>
      </c>
      <c r="BK532" s="1">
        <v>1</v>
      </c>
      <c r="BQ532">
        <v>1</v>
      </c>
      <c r="CL532">
        <v>1</v>
      </c>
      <c r="CS532" t="s">
        <v>824</v>
      </c>
    </row>
    <row r="533" spans="1:97">
      <c r="B533" t="s">
        <v>172</v>
      </c>
      <c r="C533" s="15" t="s">
        <v>173</v>
      </c>
      <c r="F533" s="8" t="s">
        <v>115</v>
      </c>
      <c r="G533" s="1">
        <v>1</v>
      </c>
      <c r="H533" s="1"/>
      <c r="I533" s="1">
        <f>1802-25</f>
        <v>1777</v>
      </c>
      <c r="J533" t="s">
        <v>69</v>
      </c>
      <c r="K533" t="s">
        <v>1748</v>
      </c>
      <c r="N533">
        <v>1</v>
      </c>
      <c r="Q533">
        <v>5</v>
      </c>
      <c r="R533">
        <v>3</v>
      </c>
      <c r="S533">
        <v>3</v>
      </c>
      <c r="T533" s="5">
        <f t="shared" si="31"/>
        <v>166.55</v>
      </c>
      <c r="U533" t="s">
        <v>174</v>
      </c>
      <c r="AG533" s="6">
        <v>1</v>
      </c>
      <c r="AH533" s="6">
        <v>1</v>
      </c>
      <c r="AI533" s="6">
        <v>1</v>
      </c>
      <c r="AJ533" s="6">
        <v>1</v>
      </c>
      <c r="AK533" s="6">
        <v>1</v>
      </c>
      <c r="AL533" s="6">
        <v>1</v>
      </c>
      <c r="AM533" s="6">
        <v>1</v>
      </c>
      <c r="AN533" s="6">
        <v>1</v>
      </c>
      <c r="AO533" s="6">
        <v>1</v>
      </c>
      <c r="AP533" s="6">
        <v>1</v>
      </c>
      <c r="AQ533" s="6">
        <v>1</v>
      </c>
      <c r="AR533" s="6">
        <v>1</v>
      </c>
      <c r="AS533" s="6">
        <v>1</v>
      </c>
      <c r="AT533" s="6">
        <v>1</v>
      </c>
      <c r="AU533" s="6">
        <v>1</v>
      </c>
      <c r="AV533" s="7">
        <v>1</v>
      </c>
      <c r="BC533" t="s">
        <v>1749</v>
      </c>
      <c r="BD533" s="7" t="s">
        <v>103</v>
      </c>
      <c r="BE533" t="s">
        <v>1750</v>
      </c>
      <c r="BF533" s="1" t="s">
        <v>29</v>
      </c>
      <c r="BG533" s="1">
        <v>18</v>
      </c>
      <c r="BH533">
        <v>4</v>
      </c>
      <c r="BK533" s="1">
        <v>1</v>
      </c>
      <c r="BQ533">
        <v>1</v>
      </c>
      <c r="BY533">
        <v>1</v>
      </c>
      <c r="CN533">
        <v>1</v>
      </c>
      <c r="CP533">
        <v>1</v>
      </c>
      <c r="CS533" s="7" t="s">
        <v>361</v>
      </c>
    </row>
    <row r="534" spans="1:97">
      <c r="B534" t="s">
        <v>4725</v>
      </c>
      <c r="C534" s="8" t="s">
        <v>4726</v>
      </c>
      <c r="D534" s="8" t="s">
        <v>4726</v>
      </c>
      <c r="E534" s="8" t="s">
        <v>710</v>
      </c>
      <c r="F534" s="8" t="s">
        <v>115</v>
      </c>
      <c r="G534" s="1">
        <v>1</v>
      </c>
      <c r="H534" s="1"/>
      <c r="I534" s="1">
        <f>1804-40</f>
        <v>1764</v>
      </c>
      <c r="J534" t="s">
        <v>69</v>
      </c>
      <c r="K534" t="s">
        <v>12</v>
      </c>
      <c r="M534">
        <v>1</v>
      </c>
      <c r="Q534">
        <v>5</v>
      </c>
      <c r="R534">
        <v>2</v>
      </c>
      <c r="T534" s="5">
        <f t="shared" si="31"/>
        <v>163.26</v>
      </c>
      <c r="U534" t="s">
        <v>174</v>
      </c>
      <c r="AG534" s="6">
        <v>1</v>
      </c>
      <c r="AH534" s="6">
        <v>1</v>
      </c>
      <c r="AI534" s="6">
        <v>1</v>
      </c>
      <c r="AJ534" s="6">
        <v>1</v>
      </c>
      <c r="AK534" s="6">
        <v>1</v>
      </c>
      <c r="AL534" s="6">
        <v>1</v>
      </c>
      <c r="AM534" s="6">
        <v>1</v>
      </c>
      <c r="AN534" s="7">
        <v>1</v>
      </c>
      <c r="BC534" t="s">
        <v>198</v>
      </c>
      <c r="BD534" s="7" t="s">
        <v>109</v>
      </c>
      <c r="BE534" t="s">
        <v>975</v>
      </c>
      <c r="BF534" s="1" t="s">
        <v>29</v>
      </c>
      <c r="BG534" s="1">
        <v>4</v>
      </c>
      <c r="BH534">
        <v>1</v>
      </c>
      <c r="BK534" s="1">
        <v>1</v>
      </c>
      <c r="BQ534">
        <v>1</v>
      </c>
      <c r="CS534" s="7" t="s">
        <v>354</v>
      </c>
    </row>
    <row r="535" spans="1:97">
      <c r="B535" t="s">
        <v>2858</v>
      </c>
      <c r="C535" s="2" t="s">
        <v>2178</v>
      </c>
      <c r="D535" s="3" t="s">
        <v>2859</v>
      </c>
      <c r="E535" s="8" t="s">
        <v>696</v>
      </c>
      <c r="F535" s="8" t="s">
        <v>115</v>
      </c>
      <c r="G535" s="1">
        <v>1</v>
      </c>
      <c r="H535" s="1"/>
      <c r="I535" s="1">
        <f>1804-41</f>
        <v>1763</v>
      </c>
      <c r="J535" t="s">
        <v>69</v>
      </c>
      <c r="K535" t="s">
        <v>12</v>
      </c>
      <c r="N535">
        <v>1</v>
      </c>
      <c r="Q535">
        <v>5</v>
      </c>
      <c r="R535">
        <v>5</v>
      </c>
      <c r="T535" s="5">
        <f t="shared" si="31"/>
        <v>171.15</v>
      </c>
      <c r="U535" t="s">
        <v>174</v>
      </c>
      <c r="AG535" s="6">
        <v>1</v>
      </c>
      <c r="AH535" s="6">
        <v>1</v>
      </c>
      <c r="AI535" s="6">
        <v>1</v>
      </c>
      <c r="AJ535" s="6">
        <v>1</v>
      </c>
      <c r="AK535" s="6">
        <v>1</v>
      </c>
      <c r="AL535" s="6">
        <v>1</v>
      </c>
      <c r="AM535" s="6">
        <v>1</v>
      </c>
      <c r="AN535" s="7">
        <v>1</v>
      </c>
      <c r="BC535" t="s">
        <v>2830</v>
      </c>
      <c r="BD535" s="7" t="s">
        <v>109</v>
      </c>
      <c r="BE535" t="s">
        <v>2005</v>
      </c>
      <c r="BF535" s="1" t="s">
        <v>29</v>
      </c>
      <c r="BG535" s="1">
        <v>5</v>
      </c>
      <c r="BH535">
        <v>1</v>
      </c>
      <c r="BK535" s="1">
        <v>1</v>
      </c>
      <c r="BQ535">
        <v>1</v>
      </c>
      <c r="CS535" s="7" t="s">
        <v>354</v>
      </c>
    </row>
    <row r="536" spans="1:97">
      <c r="A536" t="s">
        <v>72</v>
      </c>
      <c r="B536" t="s">
        <v>2709</v>
      </c>
      <c r="C536" s="15"/>
      <c r="F536" t="s">
        <v>7</v>
      </c>
      <c r="G536" s="1"/>
      <c r="H536" s="1"/>
      <c r="I536" s="1"/>
      <c r="T536" s="5"/>
      <c r="U536" t="s">
        <v>174</v>
      </c>
      <c r="AG536" s="6">
        <v>1</v>
      </c>
      <c r="AH536" s="6">
        <v>1</v>
      </c>
      <c r="AI536" s="7">
        <v>1</v>
      </c>
      <c r="BC536" t="s">
        <v>2710</v>
      </c>
      <c r="BD536" s="7" t="s">
        <v>26</v>
      </c>
      <c r="BE536" t="s">
        <v>2005</v>
      </c>
      <c r="BF536" s="1" t="s">
        <v>29</v>
      </c>
      <c r="BG536" s="1">
        <v>2</v>
      </c>
      <c r="BH536">
        <v>1</v>
      </c>
      <c r="BK536" s="1">
        <v>1</v>
      </c>
      <c r="BQ536">
        <v>1</v>
      </c>
      <c r="CS536" s="7" t="s">
        <v>2711</v>
      </c>
    </row>
    <row r="537" spans="1:97">
      <c r="B537" t="s">
        <v>956</v>
      </c>
      <c r="C537" s="13" t="s">
        <v>957</v>
      </c>
      <c r="E537" s="8" t="s">
        <v>710</v>
      </c>
      <c r="F537" s="8" t="s">
        <v>115</v>
      </c>
      <c r="G537" s="1">
        <v>1</v>
      </c>
      <c r="H537" s="1"/>
      <c r="I537" s="1">
        <f>1801-29</f>
        <v>1772</v>
      </c>
      <c r="J537" t="s">
        <v>69</v>
      </c>
      <c r="K537" t="s">
        <v>12</v>
      </c>
      <c r="Q537">
        <v>5</v>
      </c>
      <c r="R537">
        <v>1</v>
      </c>
      <c r="T537" s="5">
        <f t="shared" si="31"/>
        <v>160.63</v>
      </c>
      <c r="U537" t="s">
        <v>958</v>
      </c>
      <c r="AG537" s="6">
        <v>1</v>
      </c>
      <c r="AH537" s="6">
        <v>1</v>
      </c>
      <c r="AI537" s="7">
        <v>1</v>
      </c>
      <c r="BC537" t="s">
        <v>1654</v>
      </c>
      <c r="BD537" s="7" t="s">
        <v>959</v>
      </c>
      <c r="BE537" s="7" t="s">
        <v>961</v>
      </c>
      <c r="BF537" s="1" t="s">
        <v>29</v>
      </c>
      <c r="BG537" s="1">
        <v>2</v>
      </c>
      <c r="BH537">
        <v>2</v>
      </c>
      <c r="BJ537">
        <v>1</v>
      </c>
      <c r="BK537" s="1" t="s">
        <v>72</v>
      </c>
      <c r="BQ537">
        <v>1</v>
      </c>
      <c r="CB537" s="7">
        <v>1</v>
      </c>
      <c r="CS537" s="7" t="s">
        <v>4609</v>
      </c>
    </row>
    <row r="538" spans="1:97">
      <c r="B538" t="s">
        <v>4673</v>
      </c>
      <c r="C538" s="2" t="s">
        <v>4674</v>
      </c>
      <c r="D538" s="3" t="s">
        <v>192</v>
      </c>
      <c r="E538" s="8" t="s">
        <v>710</v>
      </c>
      <c r="F538" s="8" t="s">
        <v>115</v>
      </c>
      <c r="G538" s="1">
        <v>1</v>
      </c>
      <c r="H538" s="1"/>
      <c r="I538" s="1">
        <f>1802-39</f>
        <v>1763</v>
      </c>
      <c r="J538" t="s">
        <v>69</v>
      </c>
      <c r="K538" t="s">
        <v>197</v>
      </c>
      <c r="M538">
        <v>1</v>
      </c>
      <c r="O538">
        <v>3</v>
      </c>
      <c r="Q538">
        <v>5</v>
      </c>
      <c r="R538">
        <v>3</v>
      </c>
      <c r="T538" s="5">
        <f t="shared" si="31"/>
        <v>165.89000000000001</v>
      </c>
      <c r="U538" t="s">
        <v>958</v>
      </c>
      <c r="AG538" s="6">
        <v>1</v>
      </c>
      <c r="AH538" s="6">
        <v>1</v>
      </c>
      <c r="AI538" s="6">
        <v>1</v>
      </c>
      <c r="AJ538" s="7">
        <v>1</v>
      </c>
      <c r="BC538">
        <v>1802</v>
      </c>
      <c r="BD538" t="s">
        <v>81</v>
      </c>
      <c r="BE538" s="10" t="s">
        <v>975</v>
      </c>
      <c r="BF538" s="1" t="s">
        <v>73</v>
      </c>
      <c r="BG538" s="1">
        <v>3</v>
      </c>
      <c r="BH538">
        <v>2</v>
      </c>
      <c r="BI538">
        <v>1</v>
      </c>
      <c r="BJ538">
        <v>1</v>
      </c>
      <c r="BK538" s="1" t="s">
        <v>72</v>
      </c>
      <c r="BQ538">
        <v>1</v>
      </c>
      <c r="BV538" s="10">
        <v>1</v>
      </c>
      <c r="CL538" s="10">
        <v>1</v>
      </c>
      <c r="CM538">
        <v>1</v>
      </c>
      <c r="CS538" s="10" t="s">
        <v>4675</v>
      </c>
    </row>
    <row r="539" spans="1:97">
      <c r="B539" t="s">
        <v>240</v>
      </c>
      <c r="C539" s="15" t="s">
        <v>241</v>
      </c>
      <c r="E539" s="8" t="s">
        <v>114</v>
      </c>
      <c r="F539" s="8" t="s">
        <v>115</v>
      </c>
      <c r="G539" s="1">
        <v>1</v>
      </c>
      <c r="H539" s="1"/>
      <c r="I539" s="1">
        <f>1800-24</f>
        <v>1776</v>
      </c>
      <c r="J539" t="s">
        <v>69</v>
      </c>
      <c r="K539" t="s">
        <v>12</v>
      </c>
      <c r="N539">
        <v>1</v>
      </c>
      <c r="Q539">
        <v>5</v>
      </c>
      <c r="R539">
        <v>4</v>
      </c>
      <c r="S539">
        <v>2</v>
      </c>
      <c r="T539" s="5">
        <f t="shared" si="31"/>
        <v>168.96</v>
      </c>
      <c r="U539" t="s">
        <v>177</v>
      </c>
      <c r="AG539" s="6">
        <v>1</v>
      </c>
      <c r="AH539" s="6">
        <v>1</v>
      </c>
      <c r="AI539" s="6">
        <v>1</v>
      </c>
      <c r="AJ539" s="6">
        <v>1</v>
      </c>
      <c r="AK539" s="6">
        <v>1</v>
      </c>
      <c r="AL539" s="6">
        <v>1</v>
      </c>
      <c r="AM539" s="6">
        <v>1</v>
      </c>
      <c r="AN539" s="7">
        <v>1</v>
      </c>
      <c r="BC539" t="s">
        <v>198</v>
      </c>
      <c r="BD539" s="7" t="s">
        <v>109</v>
      </c>
      <c r="BE539" t="s">
        <v>125</v>
      </c>
      <c r="BF539" s="1" t="s">
        <v>29</v>
      </c>
      <c r="BG539" s="1">
        <v>10</v>
      </c>
      <c r="BH539">
        <v>1</v>
      </c>
      <c r="BK539" s="1">
        <v>1</v>
      </c>
      <c r="BQ539">
        <v>1</v>
      </c>
      <c r="CS539" s="7" t="s">
        <v>354</v>
      </c>
    </row>
    <row r="540" spans="1:97">
      <c r="B540" t="s">
        <v>175</v>
      </c>
      <c r="C540" s="15" t="s">
        <v>176</v>
      </c>
      <c r="E540" s="8" t="s">
        <v>114</v>
      </c>
      <c r="F540" s="8" t="s">
        <v>115</v>
      </c>
      <c r="G540" s="1">
        <v>1</v>
      </c>
      <c r="H540" s="1"/>
      <c r="I540" s="1">
        <f>1802-26</f>
        <v>1776</v>
      </c>
      <c r="J540" t="s">
        <v>69</v>
      </c>
      <c r="K540" t="s">
        <v>12</v>
      </c>
      <c r="N540">
        <v>1</v>
      </c>
      <c r="Q540">
        <v>5</v>
      </c>
      <c r="R540">
        <v>4</v>
      </c>
      <c r="S540">
        <v>2</v>
      </c>
      <c r="T540" s="5">
        <f t="shared" si="31"/>
        <v>168.96</v>
      </c>
      <c r="U540" t="s">
        <v>177</v>
      </c>
      <c r="AG540" s="6">
        <v>1</v>
      </c>
      <c r="AH540" s="6">
        <v>1</v>
      </c>
      <c r="AI540" s="6">
        <v>1</v>
      </c>
      <c r="AJ540" s="6">
        <v>1</v>
      </c>
      <c r="AK540" s="6">
        <v>1</v>
      </c>
      <c r="AL540" s="6">
        <v>1</v>
      </c>
      <c r="AM540" s="6">
        <v>1</v>
      </c>
      <c r="AN540" s="6">
        <v>1</v>
      </c>
      <c r="AO540" s="6">
        <v>1</v>
      </c>
      <c r="AP540" s="7">
        <v>1</v>
      </c>
      <c r="BC540" t="s">
        <v>178</v>
      </c>
      <c r="BD540" s="7" t="s">
        <v>26</v>
      </c>
      <c r="BE540" t="s">
        <v>125</v>
      </c>
      <c r="BF540" s="1" t="s">
        <v>29</v>
      </c>
      <c r="BG540" s="1">
        <v>12</v>
      </c>
      <c r="BH540">
        <v>1</v>
      </c>
      <c r="BK540" s="1">
        <v>1</v>
      </c>
      <c r="BQ540">
        <v>1</v>
      </c>
      <c r="CS540" s="7" t="s">
        <v>179</v>
      </c>
    </row>
    <row r="541" spans="1:97">
      <c r="B541" t="s">
        <v>242</v>
      </c>
      <c r="C541" s="15" t="s">
        <v>243</v>
      </c>
      <c r="E541" s="8" t="s">
        <v>122</v>
      </c>
      <c r="F541" s="8" t="s">
        <v>115</v>
      </c>
      <c r="G541" s="1">
        <v>1</v>
      </c>
      <c r="H541" s="1"/>
      <c r="I541" s="1">
        <f>1802-38</f>
        <v>1764</v>
      </c>
      <c r="J541" t="s">
        <v>69</v>
      </c>
      <c r="K541" t="s">
        <v>12</v>
      </c>
      <c r="N541">
        <v>1</v>
      </c>
      <c r="Q541">
        <v>5</v>
      </c>
      <c r="R541">
        <v>3</v>
      </c>
      <c r="S541">
        <v>3</v>
      </c>
      <c r="T541" s="5">
        <f t="shared" si="31"/>
        <v>166.55</v>
      </c>
      <c r="U541" t="s">
        <v>177</v>
      </c>
      <c r="AG541" s="6">
        <v>1</v>
      </c>
      <c r="AH541" s="6">
        <v>1</v>
      </c>
      <c r="AI541" s="6">
        <v>1</v>
      </c>
      <c r="AJ541" s="6">
        <v>1</v>
      </c>
      <c r="AK541" s="6">
        <v>1</v>
      </c>
      <c r="AL541" s="6">
        <v>1</v>
      </c>
      <c r="AM541" s="6">
        <v>1</v>
      </c>
      <c r="AN541" s="7">
        <v>1</v>
      </c>
      <c r="BC541" t="s">
        <v>198</v>
      </c>
      <c r="BD541" s="7" t="s">
        <v>109</v>
      </c>
      <c r="BE541" t="s">
        <v>125</v>
      </c>
      <c r="BF541" s="1" t="s">
        <v>29</v>
      </c>
      <c r="BG541" s="1">
        <v>11</v>
      </c>
      <c r="BH541">
        <v>1</v>
      </c>
      <c r="BK541" s="1">
        <v>1</v>
      </c>
      <c r="BQ541">
        <v>1</v>
      </c>
      <c r="CS541" s="7" t="s">
        <v>893</v>
      </c>
    </row>
    <row r="542" spans="1:97">
      <c r="B542" t="s">
        <v>2741</v>
      </c>
      <c r="C542" s="15"/>
      <c r="F542" t="s">
        <v>7</v>
      </c>
      <c r="G542" s="1"/>
      <c r="H542" s="1"/>
      <c r="I542" s="1"/>
      <c r="T542" s="5"/>
      <c r="U542" t="s">
        <v>177</v>
      </c>
      <c r="AG542" s="6">
        <v>1</v>
      </c>
      <c r="AH542" s="6">
        <v>1</v>
      </c>
      <c r="AI542" s="7">
        <v>1</v>
      </c>
      <c r="BC542" t="s">
        <v>2742</v>
      </c>
      <c r="BD542" s="7" t="s">
        <v>103</v>
      </c>
      <c r="BE542" t="s">
        <v>2005</v>
      </c>
      <c r="BF542" s="1" t="s">
        <v>29</v>
      </c>
      <c r="BG542" s="1">
        <v>2</v>
      </c>
      <c r="BH542">
        <v>1</v>
      </c>
      <c r="BK542" s="1">
        <v>1</v>
      </c>
      <c r="BQ542">
        <v>1</v>
      </c>
      <c r="CS542" s="7" t="s">
        <v>2172</v>
      </c>
    </row>
    <row r="543" spans="1:97">
      <c r="B543" t="s">
        <v>1764</v>
      </c>
      <c r="C543" s="2" t="s">
        <v>1765</v>
      </c>
      <c r="D543" s="2" t="s">
        <v>1765</v>
      </c>
      <c r="E543" s="8" t="s">
        <v>114</v>
      </c>
      <c r="F543" s="8" t="s">
        <v>115</v>
      </c>
      <c r="G543" s="1">
        <v>1</v>
      </c>
      <c r="H543" s="1"/>
      <c r="I543" s="1">
        <f>1799-30</f>
        <v>1769</v>
      </c>
      <c r="J543" t="s">
        <v>69</v>
      </c>
      <c r="K543" t="s">
        <v>12</v>
      </c>
      <c r="O543">
        <v>4</v>
      </c>
      <c r="T543" s="5"/>
      <c r="U543" t="s">
        <v>1766</v>
      </c>
      <c r="AG543" s="6">
        <v>1</v>
      </c>
      <c r="BC543" t="s">
        <v>1767</v>
      </c>
      <c r="BD543" t="s">
        <v>81</v>
      </c>
      <c r="BE543" s="10" t="s">
        <v>70</v>
      </c>
      <c r="BF543" s="1" t="s">
        <v>73</v>
      </c>
      <c r="BG543" s="1">
        <v>1</v>
      </c>
      <c r="BH543">
        <v>2</v>
      </c>
      <c r="BJ543">
        <v>1</v>
      </c>
      <c r="BK543" s="1">
        <v>1</v>
      </c>
      <c r="BQ543">
        <v>1</v>
      </c>
      <c r="BZ543" s="10">
        <v>1</v>
      </c>
      <c r="CL543" s="10">
        <v>1</v>
      </c>
      <c r="CS543" s="10" t="s">
        <v>111</v>
      </c>
    </row>
    <row r="544" spans="1:97">
      <c r="B544" t="s">
        <v>2491</v>
      </c>
      <c r="C544" s="2" t="s">
        <v>2492</v>
      </c>
      <c r="D544" s="15" t="s">
        <v>2493</v>
      </c>
      <c r="E544" s="8" t="s">
        <v>1735</v>
      </c>
      <c r="F544" s="8" t="s">
        <v>115</v>
      </c>
      <c r="G544" s="1">
        <v>1</v>
      </c>
      <c r="H544" s="1"/>
      <c r="I544" s="1">
        <f>1802-22</f>
        <v>1780</v>
      </c>
      <c r="J544" t="s">
        <v>10</v>
      </c>
      <c r="K544" t="s">
        <v>197</v>
      </c>
      <c r="Q544">
        <v>5</v>
      </c>
      <c r="R544">
        <v>4</v>
      </c>
      <c r="T544" s="5">
        <f t="shared" ref="T544:T593" si="32">((Q544*316)+(R544*26.3)+(S544*2.2))/10</f>
        <v>168.52</v>
      </c>
      <c r="U544" t="s">
        <v>2494</v>
      </c>
      <c r="AG544" s="6">
        <v>1</v>
      </c>
      <c r="AH544" s="6">
        <v>1</v>
      </c>
      <c r="AI544" s="6">
        <v>1</v>
      </c>
      <c r="AJ544" s="6">
        <v>1</v>
      </c>
      <c r="AK544" s="6">
        <v>1</v>
      </c>
      <c r="AL544" s="6">
        <v>1</v>
      </c>
      <c r="AM544" s="6">
        <v>1</v>
      </c>
      <c r="AN544" s="6">
        <v>1</v>
      </c>
      <c r="AO544" s="6">
        <v>1</v>
      </c>
      <c r="AP544" s="6">
        <v>1</v>
      </c>
      <c r="AQ544" s="6">
        <v>1</v>
      </c>
      <c r="AR544" s="6">
        <v>1</v>
      </c>
      <c r="AS544" s="6">
        <v>1</v>
      </c>
      <c r="AT544" s="6">
        <v>1</v>
      </c>
      <c r="AU544" s="6">
        <v>1</v>
      </c>
      <c r="AV544" s="6">
        <v>1</v>
      </c>
      <c r="AW544" s="6">
        <v>1</v>
      </c>
      <c r="AX544" s="6">
        <v>1</v>
      </c>
      <c r="AY544" s="6">
        <v>1</v>
      </c>
      <c r="AZ544" s="6">
        <v>1</v>
      </c>
      <c r="BA544" s="6">
        <v>1</v>
      </c>
      <c r="BB544" s="6">
        <v>1</v>
      </c>
      <c r="BC544">
        <v>1820</v>
      </c>
      <c r="BD544" t="s">
        <v>81</v>
      </c>
      <c r="BE544" t="s">
        <v>62</v>
      </c>
      <c r="BF544" s="1" t="s">
        <v>73</v>
      </c>
      <c r="BG544" s="1">
        <v>5</v>
      </c>
      <c r="BH544">
        <v>2</v>
      </c>
      <c r="BK544" s="1">
        <v>1</v>
      </c>
      <c r="BP544">
        <v>1</v>
      </c>
      <c r="BQ544">
        <v>1</v>
      </c>
      <c r="CL544">
        <v>1</v>
      </c>
      <c r="CQ544">
        <v>1</v>
      </c>
      <c r="CS544" t="s">
        <v>2487</v>
      </c>
    </row>
    <row r="545" spans="2:98">
      <c r="B545" t="s">
        <v>1392</v>
      </c>
      <c r="C545" s="13" t="s">
        <v>1393</v>
      </c>
      <c r="F545" s="8" t="s">
        <v>234</v>
      </c>
      <c r="G545" s="1">
        <v>1</v>
      </c>
      <c r="H545" s="1"/>
      <c r="I545" s="1">
        <f>1802-22</f>
        <v>1780</v>
      </c>
      <c r="J545" t="s">
        <v>69</v>
      </c>
      <c r="K545" t="s">
        <v>197</v>
      </c>
      <c r="N545">
        <v>1</v>
      </c>
      <c r="Q545">
        <v>5</v>
      </c>
      <c r="R545">
        <v>2</v>
      </c>
      <c r="T545" s="5">
        <f t="shared" si="32"/>
        <v>163.26</v>
      </c>
      <c r="U545" t="s">
        <v>161</v>
      </c>
      <c r="AG545" s="6">
        <v>1</v>
      </c>
      <c r="AH545" s="6">
        <v>1</v>
      </c>
      <c r="AI545" s="6">
        <v>1</v>
      </c>
      <c r="AJ545" s="6">
        <v>1</v>
      </c>
      <c r="AK545" s="6">
        <v>1</v>
      </c>
      <c r="AL545" s="7">
        <v>1</v>
      </c>
      <c r="BC545" t="s">
        <v>1387</v>
      </c>
      <c r="BD545" s="7" t="s">
        <v>103</v>
      </c>
      <c r="BE545" t="s">
        <v>125</v>
      </c>
      <c r="BF545" s="1" t="s">
        <v>29</v>
      </c>
      <c r="BG545" s="1">
        <v>7</v>
      </c>
      <c r="BH545">
        <v>1</v>
      </c>
      <c r="BK545" s="1">
        <v>2</v>
      </c>
      <c r="BQ545">
        <v>1</v>
      </c>
      <c r="CS545" s="22" t="s">
        <v>1388</v>
      </c>
    </row>
    <row r="546" spans="2:98">
      <c r="B546" t="s">
        <v>1587</v>
      </c>
      <c r="C546" s="2" t="s">
        <v>176</v>
      </c>
      <c r="E546" s="8" t="s">
        <v>114</v>
      </c>
      <c r="F546" s="8" t="s">
        <v>115</v>
      </c>
      <c r="G546" s="1">
        <v>1</v>
      </c>
      <c r="H546" s="1"/>
      <c r="I546" s="1">
        <f>1800-20</f>
        <v>1780</v>
      </c>
      <c r="J546" t="s">
        <v>69</v>
      </c>
      <c r="K546" t="s">
        <v>12</v>
      </c>
      <c r="M546">
        <v>1</v>
      </c>
      <c r="Q546">
        <v>5</v>
      </c>
      <c r="R546">
        <v>1</v>
      </c>
      <c r="S546">
        <v>3</v>
      </c>
      <c r="T546" s="5">
        <f t="shared" si="32"/>
        <v>161.29</v>
      </c>
      <c r="U546" t="s">
        <v>161</v>
      </c>
      <c r="AG546" s="6">
        <v>1</v>
      </c>
      <c r="AH546" s="6">
        <v>1</v>
      </c>
      <c r="AI546" s="6">
        <v>1</v>
      </c>
      <c r="AJ546" s="6">
        <v>1</v>
      </c>
      <c r="AK546" s="6">
        <v>1</v>
      </c>
      <c r="AL546" s="6">
        <v>1</v>
      </c>
      <c r="AM546" s="6">
        <v>1</v>
      </c>
      <c r="AN546" s="6">
        <v>1</v>
      </c>
      <c r="AO546" s="6">
        <v>1</v>
      </c>
      <c r="AP546" s="6">
        <v>1</v>
      </c>
      <c r="AQ546" s="7">
        <v>1</v>
      </c>
      <c r="BC546" t="s">
        <v>1588</v>
      </c>
      <c r="BD546" s="7" t="s">
        <v>305</v>
      </c>
      <c r="BE546" t="s">
        <v>62</v>
      </c>
      <c r="BF546" s="1" t="s">
        <v>29</v>
      </c>
      <c r="BG546" s="1">
        <v>10</v>
      </c>
      <c r="BH546">
        <v>2</v>
      </c>
      <c r="BI546">
        <v>1</v>
      </c>
      <c r="BK546" s="1">
        <v>1</v>
      </c>
      <c r="BQ546">
        <v>1</v>
      </c>
      <c r="CL546">
        <v>1</v>
      </c>
      <c r="CM546">
        <v>1</v>
      </c>
      <c r="CS546" s="7" t="s">
        <v>4039</v>
      </c>
    </row>
    <row r="547" spans="2:98">
      <c r="B547" t="s">
        <v>2839</v>
      </c>
      <c r="C547" s="2" t="s">
        <v>2840</v>
      </c>
      <c r="D547" s="3" t="s">
        <v>2841</v>
      </c>
      <c r="E547" s="8" t="s">
        <v>1735</v>
      </c>
      <c r="F547" s="8" t="s">
        <v>115</v>
      </c>
      <c r="G547" s="1">
        <v>1</v>
      </c>
      <c r="H547" s="1"/>
      <c r="I547" s="1">
        <f>1804-29</f>
        <v>1775</v>
      </c>
      <c r="J547" t="s">
        <v>69</v>
      </c>
      <c r="K547" t="s">
        <v>12</v>
      </c>
      <c r="N547">
        <v>1</v>
      </c>
      <c r="Q547">
        <v>5</v>
      </c>
      <c r="R547">
        <v>1</v>
      </c>
      <c r="S547">
        <v>1</v>
      </c>
      <c r="T547" s="5">
        <f>((Q547*316)+(R547*26.3)+(S547*2.2))/10</f>
        <v>160.85</v>
      </c>
      <c r="U547" t="s">
        <v>2842</v>
      </c>
      <c r="AG547" s="6">
        <v>1</v>
      </c>
      <c r="AH547" s="6">
        <v>1</v>
      </c>
      <c r="AI547" s="6">
        <v>1</v>
      </c>
      <c r="AJ547" s="6">
        <v>1</v>
      </c>
      <c r="AK547" s="6">
        <v>1</v>
      </c>
      <c r="AL547" s="6">
        <v>1</v>
      </c>
      <c r="AM547" s="6">
        <v>1</v>
      </c>
      <c r="AN547" s="7">
        <v>1</v>
      </c>
      <c r="BC547" t="s">
        <v>2830</v>
      </c>
      <c r="BD547" s="7" t="s">
        <v>109</v>
      </c>
      <c r="BE547" t="s">
        <v>2005</v>
      </c>
      <c r="BF547" s="1" t="s">
        <v>29</v>
      </c>
      <c r="BG547" s="1">
        <v>5</v>
      </c>
      <c r="BH547">
        <v>1</v>
      </c>
      <c r="BK547" s="1">
        <v>1</v>
      </c>
      <c r="BQ547">
        <v>1</v>
      </c>
      <c r="CS547" s="7" t="s">
        <v>354</v>
      </c>
    </row>
    <row r="548" spans="2:98">
      <c r="B548" t="s">
        <v>4266</v>
      </c>
      <c r="C548" s="13" t="s">
        <v>4267</v>
      </c>
      <c r="D548" s="3"/>
      <c r="E548" s="8" t="s">
        <v>696</v>
      </c>
      <c r="F548" s="8" t="s">
        <v>115</v>
      </c>
      <c r="G548" s="1">
        <v>1</v>
      </c>
      <c r="H548" s="1"/>
      <c r="I548" s="1">
        <f>1804-28</f>
        <v>1776</v>
      </c>
      <c r="J548" t="s">
        <v>10</v>
      </c>
      <c r="K548" t="s">
        <v>197</v>
      </c>
      <c r="Q548">
        <v>5</v>
      </c>
      <c r="R548">
        <v>3</v>
      </c>
      <c r="S548">
        <v>1</v>
      </c>
      <c r="T548" s="5">
        <f>((Q548*316)+(R548*26.3)+(S548*2.2))/10</f>
        <v>166.11</v>
      </c>
      <c r="U548" t="s">
        <v>4268</v>
      </c>
      <c r="AG548" s="6">
        <v>1</v>
      </c>
      <c r="AH548" s="6">
        <v>1</v>
      </c>
      <c r="AI548" s="6">
        <v>1</v>
      </c>
      <c r="AJ548" s="6">
        <v>1</v>
      </c>
      <c r="AK548" s="6">
        <v>1</v>
      </c>
      <c r="AL548" s="6">
        <v>1</v>
      </c>
      <c r="BC548">
        <v>1804</v>
      </c>
      <c r="BD548" t="s">
        <v>81</v>
      </c>
      <c r="BE548" s="10" t="s">
        <v>2635</v>
      </c>
      <c r="BF548" s="1" t="s">
        <v>73</v>
      </c>
      <c r="BG548" s="1">
        <v>3</v>
      </c>
      <c r="BH548">
        <v>2</v>
      </c>
      <c r="BI548">
        <v>1</v>
      </c>
      <c r="BK548" s="1">
        <v>1</v>
      </c>
      <c r="BQ548">
        <v>1</v>
      </c>
      <c r="CL548" s="10">
        <v>1</v>
      </c>
      <c r="CS548" s="10" t="s">
        <v>4269</v>
      </c>
    </row>
    <row r="549" spans="2:98">
      <c r="B549" t="s">
        <v>4303</v>
      </c>
      <c r="C549" s="8" t="s">
        <v>4304</v>
      </c>
      <c r="D549" s="8" t="s">
        <v>4305</v>
      </c>
      <c r="E549" s="8" t="s">
        <v>696</v>
      </c>
      <c r="F549" s="8" t="s">
        <v>115</v>
      </c>
      <c r="G549" s="1">
        <v>1</v>
      </c>
      <c r="H549" s="1"/>
      <c r="I549" s="1">
        <f>1811-36</f>
        <v>1775</v>
      </c>
      <c r="J549" t="s">
        <v>69</v>
      </c>
      <c r="K549" t="s">
        <v>1146</v>
      </c>
      <c r="N549">
        <v>1</v>
      </c>
      <c r="O549">
        <v>1</v>
      </c>
      <c r="P549">
        <v>1</v>
      </c>
      <c r="Q549">
        <v>5</v>
      </c>
      <c r="R549">
        <v>2</v>
      </c>
      <c r="T549" s="5">
        <f>((Q549*316)+(R549*26.3)+(S549*2.2))/10</f>
        <v>163.26</v>
      </c>
      <c r="U549" t="s">
        <v>4268</v>
      </c>
      <c r="AG549" s="6">
        <v>1</v>
      </c>
      <c r="AH549" s="6">
        <v>1</v>
      </c>
      <c r="AI549" s="6">
        <v>1</v>
      </c>
      <c r="AJ549" s="6">
        <v>1</v>
      </c>
      <c r="AK549" s="6">
        <v>1</v>
      </c>
      <c r="AL549" s="6">
        <v>1</v>
      </c>
      <c r="AM549" s="6">
        <v>1</v>
      </c>
      <c r="AN549" s="6">
        <v>1</v>
      </c>
      <c r="AO549" s="6">
        <v>1</v>
      </c>
      <c r="AP549" s="6">
        <v>1</v>
      </c>
      <c r="AQ549" s="6">
        <v>1</v>
      </c>
      <c r="AR549" s="6">
        <v>1</v>
      </c>
      <c r="AS549" s="6">
        <v>1</v>
      </c>
      <c r="BC549">
        <v>1811</v>
      </c>
      <c r="BD549" t="s">
        <v>81</v>
      </c>
      <c r="BE549" t="s">
        <v>2635</v>
      </c>
      <c r="BF549" s="1" t="s">
        <v>73</v>
      </c>
      <c r="BG549" s="1">
        <v>3</v>
      </c>
      <c r="BH549">
        <v>1</v>
      </c>
      <c r="BK549" s="1">
        <v>1</v>
      </c>
      <c r="BQ549">
        <v>1</v>
      </c>
      <c r="CM549">
        <v>1</v>
      </c>
      <c r="CS549" t="s">
        <v>2636</v>
      </c>
    </row>
    <row r="550" spans="2:98">
      <c r="B550" t="s">
        <v>112</v>
      </c>
      <c r="C550" s="2" t="s">
        <v>113</v>
      </c>
      <c r="E550" s="8" t="s">
        <v>114</v>
      </c>
      <c r="F550" s="8" t="s">
        <v>115</v>
      </c>
      <c r="G550" s="1">
        <v>1</v>
      </c>
      <c r="H550" s="1"/>
      <c r="I550" s="1">
        <f>1817-35</f>
        <v>1782</v>
      </c>
      <c r="J550" t="s">
        <v>10</v>
      </c>
      <c r="K550" t="s">
        <v>116</v>
      </c>
      <c r="Q550">
        <v>5</v>
      </c>
      <c r="R550">
        <v>3</v>
      </c>
      <c r="T550" s="5">
        <f t="shared" si="32"/>
        <v>165.89000000000001</v>
      </c>
      <c r="U550" t="s">
        <v>117</v>
      </c>
      <c r="AG550" s="6">
        <v>1</v>
      </c>
      <c r="AH550" s="6">
        <v>1</v>
      </c>
      <c r="AI550" s="6">
        <v>1</v>
      </c>
      <c r="AJ550" s="6">
        <v>1</v>
      </c>
      <c r="AK550" s="6">
        <v>1</v>
      </c>
      <c r="AL550" s="6">
        <v>1</v>
      </c>
      <c r="AM550" s="6">
        <v>1</v>
      </c>
      <c r="AN550" s="6">
        <v>1</v>
      </c>
      <c r="AO550" s="6">
        <v>1</v>
      </c>
      <c r="AP550" s="6">
        <v>1</v>
      </c>
      <c r="AQ550" s="6">
        <v>1</v>
      </c>
      <c r="AR550" s="6">
        <v>1</v>
      </c>
      <c r="AS550" s="6">
        <v>1</v>
      </c>
      <c r="AT550" s="6">
        <v>1</v>
      </c>
      <c r="AU550" s="6">
        <v>1</v>
      </c>
      <c r="AV550" s="6">
        <v>1</v>
      </c>
      <c r="AW550" s="6">
        <v>1</v>
      </c>
      <c r="AX550" s="6">
        <v>1</v>
      </c>
      <c r="AY550" s="6">
        <v>1</v>
      </c>
      <c r="AZ550" s="6">
        <v>1</v>
      </c>
      <c r="BA550" s="6">
        <v>1</v>
      </c>
      <c r="BB550" s="6">
        <v>1</v>
      </c>
      <c r="BC550">
        <v>1820</v>
      </c>
      <c r="BD550" t="s">
        <v>81</v>
      </c>
      <c r="BE550" t="s">
        <v>118</v>
      </c>
      <c r="BF550" s="1" t="s">
        <v>73</v>
      </c>
      <c r="BG550" s="1">
        <v>20</v>
      </c>
      <c r="BH550">
        <v>2</v>
      </c>
      <c r="BI550">
        <v>1</v>
      </c>
      <c r="BK550" s="1">
        <v>1</v>
      </c>
      <c r="BP550">
        <v>1</v>
      </c>
      <c r="BQ550">
        <v>1</v>
      </c>
      <c r="CF550">
        <v>1</v>
      </c>
      <c r="CM550">
        <v>1</v>
      </c>
      <c r="CQ550" s="14">
        <v>1</v>
      </c>
      <c r="CS550" t="s">
        <v>119</v>
      </c>
      <c r="CT550" s="14" t="s">
        <v>120</v>
      </c>
    </row>
    <row r="551" spans="2:98">
      <c r="B551" t="s">
        <v>2553</v>
      </c>
      <c r="C551" s="2" t="s">
        <v>2849</v>
      </c>
      <c r="D551" s="2" t="s">
        <v>2849</v>
      </c>
      <c r="E551" s="8" t="s">
        <v>1735</v>
      </c>
      <c r="F551" s="8" t="s">
        <v>115</v>
      </c>
      <c r="G551" s="1">
        <v>1</v>
      </c>
      <c r="H551" s="1"/>
      <c r="I551" s="1">
        <f>1804-27</f>
        <v>1777</v>
      </c>
      <c r="J551" t="s">
        <v>69</v>
      </c>
      <c r="K551" t="s">
        <v>197</v>
      </c>
      <c r="N551">
        <v>1</v>
      </c>
      <c r="Q551">
        <v>5</v>
      </c>
      <c r="R551">
        <v>1</v>
      </c>
      <c r="S551">
        <v>1</v>
      </c>
      <c r="T551" s="5">
        <f t="shared" si="32"/>
        <v>160.85</v>
      </c>
      <c r="U551" t="s">
        <v>117</v>
      </c>
      <c r="AG551" s="6">
        <v>1</v>
      </c>
      <c r="AH551" s="6">
        <v>1</v>
      </c>
      <c r="AI551" s="6">
        <v>1</v>
      </c>
      <c r="AJ551" s="6">
        <v>1</v>
      </c>
      <c r="AK551" s="6">
        <v>1</v>
      </c>
      <c r="AL551" s="6">
        <v>1</v>
      </c>
      <c r="AM551" s="6">
        <v>1</v>
      </c>
      <c r="AN551" s="7">
        <v>1</v>
      </c>
      <c r="BC551" t="s">
        <v>2830</v>
      </c>
      <c r="BD551" s="7" t="s">
        <v>109</v>
      </c>
      <c r="BE551" t="s">
        <v>2005</v>
      </c>
      <c r="BF551" s="1" t="s">
        <v>29</v>
      </c>
      <c r="BG551" s="1">
        <v>5</v>
      </c>
      <c r="BH551">
        <v>1</v>
      </c>
      <c r="BK551" s="1">
        <v>1</v>
      </c>
      <c r="BQ551">
        <v>1</v>
      </c>
      <c r="CS551" s="7" t="s">
        <v>354</v>
      </c>
    </row>
    <row r="552" spans="2:98">
      <c r="B552" t="s">
        <v>2865</v>
      </c>
      <c r="C552" s="2" t="s">
        <v>2837</v>
      </c>
      <c r="D552" s="2"/>
      <c r="E552" s="8" t="s">
        <v>1735</v>
      </c>
      <c r="F552" s="8" t="s">
        <v>115</v>
      </c>
      <c r="G552" s="1">
        <v>1</v>
      </c>
      <c r="H552" s="1"/>
      <c r="I552" s="1">
        <f>1804-21</f>
        <v>1783</v>
      </c>
      <c r="J552" t="s">
        <v>10</v>
      </c>
      <c r="K552" t="s">
        <v>197</v>
      </c>
      <c r="Q552">
        <v>5</v>
      </c>
      <c r="R552">
        <v>2</v>
      </c>
      <c r="T552" s="5">
        <f t="shared" si="32"/>
        <v>163.26</v>
      </c>
      <c r="U552" t="s">
        <v>117</v>
      </c>
      <c r="AG552" s="6">
        <v>1</v>
      </c>
      <c r="AH552" s="6">
        <v>1</v>
      </c>
      <c r="AI552" s="6">
        <v>1</v>
      </c>
      <c r="AJ552" s="6">
        <v>1</v>
      </c>
      <c r="AK552" s="6">
        <v>1</v>
      </c>
      <c r="AL552" s="6">
        <v>1</v>
      </c>
      <c r="AM552" s="6">
        <v>1</v>
      </c>
      <c r="AN552" s="7">
        <v>1</v>
      </c>
      <c r="BC552" t="s">
        <v>2830</v>
      </c>
      <c r="BD552" s="7" t="s">
        <v>109</v>
      </c>
      <c r="BE552" t="s">
        <v>2005</v>
      </c>
      <c r="BF552" s="1" t="s">
        <v>29</v>
      </c>
      <c r="BG552" s="1">
        <v>5</v>
      </c>
      <c r="BH552">
        <v>1</v>
      </c>
      <c r="BK552" s="1">
        <v>1</v>
      </c>
      <c r="BQ552">
        <v>1</v>
      </c>
      <c r="CS552" s="7" t="s">
        <v>354</v>
      </c>
    </row>
    <row r="553" spans="2:98">
      <c r="B553" t="s">
        <v>2836</v>
      </c>
      <c r="C553" s="2" t="s">
        <v>2837</v>
      </c>
      <c r="D553" s="2" t="s">
        <v>2837</v>
      </c>
      <c r="E553" s="8" t="s">
        <v>1735</v>
      </c>
      <c r="F553" s="8" t="s">
        <v>115</v>
      </c>
      <c r="G553" s="1">
        <v>1</v>
      </c>
      <c r="H553" s="1"/>
      <c r="I553" s="1">
        <f>1804-22</f>
        <v>1782</v>
      </c>
      <c r="J553" t="s">
        <v>10</v>
      </c>
      <c r="K553" t="s">
        <v>12</v>
      </c>
      <c r="Q553">
        <v>5</v>
      </c>
      <c r="R553">
        <v>1</v>
      </c>
      <c r="S553">
        <v>1</v>
      </c>
      <c r="T553" s="5">
        <f t="shared" si="32"/>
        <v>160.85</v>
      </c>
      <c r="U553" t="s">
        <v>117</v>
      </c>
      <c r="AG553" s="6">
        <v>1</v>
      </c>
      <c r="AH553" s="6">
        <v>1</v>
      </c>
      <c r="AI553" s="6">
        <v>1</v>
      </c>
      <c r="AJ553" s="6">
        <v>1</v>
      </c>
      <c r="AK553" s="6">
        <v>1</v>
      </c>
      <c r="AL553" s="6">
        <v>1</v>
      </c>
      <c r="AM553" s="6">
        <v>1</v>
      </c>
      <c r="AN553" s="7">
        <v>1</v>
      </c>
      <c r="BC553" t="s">
        <v>2830</v>
      </c>
      <c r="BD553" s="7" t="s">
        <v>109</v>
      </c>
      <c r="BE553" t="s">
        <v>2005</v>
      </c>
      <c r="BF553" s="1" t="s">
        <v>29</v>
      </c>
      <c r="BG553" s="1">
        <v>5</v>
      </c>
      <c r="BH553">
        <v>1</v>
      </c>
      <c r="BK553" s="1">
        <v>1</v>
      </c>
      <c r="BQ553">
        <v>1</v>
      </c>
      <c r="CM553">
        <v>1</v>
      </c>
      <c r="CS553" s="7" t="s">
        <v>354</v>
      </c>
    </row>
    <row r="554" spans="2:98">
      <c r="B554" t="s">
        <v>2882</v>
      </c>
      <c r="C554" s="2" t="s">
        <v>2837</v>
      </c>
      <c r="D554" s="2" t="s">
        <v>2837</v>
      </c>
      <c r="E554" s="8" t="s">
        <v>1735</v>
      </c>
      <c r="F554" s="8" t="s">
        <v>115</v>
      </c>
      <c r="G554" s="1">
        <v>1</v>
      </c>
      <c r="H554" s="1"/>
      <c r="I554" s="1">
        <f>1804-23</f>
        <v>1781</v>
      </c>
      <c r="J554" t="s">
        <v>10</v>
      </c>
      <c r="K554" t="s">
        <v>140</v>
      </c>
      <c r="Q554">
        <v>5</v>
      </c>
      <c r="R554">
        <v>2</v>
      </c>
      <c r="S554">
        <v>2</v>
      </c>
      <c r="T554" s="5">
        <f t="shared" si="32"/>
        <v>163.69999999999999</v>
      </c>
      <c r="U554" t="s">
        <v>117</v>
      </c>
      <c r="AG554" s="6">
        <v>1</v>
      </c>
      <c r="AH554" s="6">
        <v>1</v>
      </c>
      <c r="AI554" s="6">
        <v>1</v>
      </c>
      <c r="AJ554" s="6">
        <v>1</v>
      </c>
      <c r="AK554" s="6">
        <v>1</v>
      </c>
      <c r="AL554" s="6">
        <v>1</v>
      </c>
      <c r="AM554" s="6">
        <v>1</v>
      </c>
      <c r="AN554" s="7">
        <v>1</v>
      </c>
      <c r="BC554" t="s">
        <v>2830</v>
      </c>
      <c r="BD554" s="7" t="s">
        <v>109</v>
      </c>
      <c r="BE554" t="s">
        <v>2005</v>
      </c>
      <c r="BF554" s="1" t="s">
        <v>29</v>
      </c>
      <c r="BG554" s="1">
        <v>5</v>
      </c>
      <c r="BH554">
        <v>1</v>
      </c>
      <c r="BK554" s="1">
        <v>1</v>
      </c>
      <c r="BQ554">
        <v>1</v>
      </c>
      <c r="CS554" s="7" t="s">
        <v>354</v>
      </c>
    </row>
    <row r="555" spans="2:98">
      <c r="B555" t="s">
        <v>1590</v>
      </c>
      <c r="C555" s="13" t="s">
        <v>1591</v>
      </c>
      <c r="F555" s="8" t="s">
        <v>115</v>
      </c>
      <c r="G555" s="1">
        <v>1</v>
      </c>
      <c r="H555" s="1"/>
      <c r="I555" s="1">
        <f>1806-26</f>
        <v>1780</v>
      </c>
      <c r="J555" t="s">
        <v>69</v>
      </c>
      <c r="K555" t="s">
        <v>12</v>
      </c>
      <c r="Q555">
        <v>5</v>
      </c>
      <c r="R555">
        <v>2</v>
      </c>
      <c r="S555">
        <v>3</v>
      </c>
      <c r="T555" s="5">
        <f t="shared" si="32"/>
        <v>163.92</v>
      </c>
      <c r="U555" t="s">
        <v>1592</v>
      </c>
      <c r="AG555" s="6">
        <v>1</v>
      </c>
      <c r="AH555" s="6">
        <v>1</v>
      </c>
      <c r="AI555" s="6">
        <v>1</v>
      </c>
      <c r="AJ555" s="6">
        <v>1</v>
      </c>
      <c r="AK555" s="6">
        <v>1</v>
      </c>
      <c r="AL555" s="6">
        <v>1</v>
      </c>
      <c r="AM555" s="6">
        <v>1</v>
      </c>
      <c r="AN555" s="6">
        <v>1</v>
      </c>
      <c r="AO555" s="6">
        <v>1</v>
      </c>
      <c r="AP555" s="6">
        <v>1</v>
      </c>
      <c r="AQ555" s="6">
        <v>1</v>
      </c>
      <c r="AR555" s="7">
        <v>1</v>
      </c>
      <c r="BC555" t="s">
        <v>574</v>
      </c>
      <c r="BD555" s="7" t="s">
        <v>109</v>
      </c>
      <c r="BE555" t="s">
        <v>62</v>
      </c>
      <c r="BF555" s="1" t="s">
        <v>29</v>
      </c>
      <c r="BG555" s="1">
        <v>8</v>
      </c>
      <c r="BH555">
        <v>2</v>
      </c>
      <c r="BI555">
        <v>1</v>
      </c>
      <c r="BK555" s="1">
        <v>1</v>
      </c>
      <c r="BQ555">
        <v>1</v>
      </c>
      <c r="CL555">
        <v>1</v>
      </c>
      <c r="CS555" s="7" t="s">
        <v>1593</v>
      </c>
    </row>
    <row r="556" spans="2:98">
      <c r="B556" t="s">
        <v>159</v>
      </c>
      <c r="C556" s="15" t="s">
        <v>160</v>
      </c>
      <c r="F556" s="8" t="s">
        <v>115</v>
      </c>
      <c r="G556" s="1">
        <v>1</v>
      </c>
      <c r="H556" s="1"/>
      <c r="I556" s="1">
        <f>1806-31</f>
        <v>1775</v>
      </c>
      <c r="J556" t="s">
        <v>69</v>
      </c>
      <c r="K556" t="s">
        <v>12</v>
      </c>
      <c r="N556">
        <v>1</v>
      </c>
      <c r="Q556">
        <v>5</v>
      </c>
      <c r="R556">
        <v>3</v>
      </c>
      <c r="S556">
        <v>1</v>
      </c>
      <c r="T556" s="5">
        <f t="shared" si="32"/>
        <v>166.11</v>
      </c>
      <c r="U556" t="s">
        <v>1452</v>
      </c>
      <c r="AG556" s="6">
        <v>1</v>
      </c>
      <c r="AH556" s="6">
        <v>1</v>
      </c>
      <c r="AI556" s="6">
        <v>1</v>
      </c>
      <c r="AJ556" s="6">
        <v>1</v>
      </c>
      <c r="AK556" s="6">
        <v>1</v>
      </c>
      <c r="AL556" s="6">
        <v>1</v>
      </c>
      <c r="AM556" s="6">
        <v>1</v>
      </c>
      <c r="AN556" s="6">
        <v>1</v>
      </c>
      <c r="AO556" s="6">
        <v>1</v>
      </c>
      <c r="AP556" s="6">
        <v>1</v>
      </c>
      <c r="AQ556" s="7">
        <v>1</v>
      </c>
      <c r="BC556" t="s">
        <v>162</v>
      </c>
      <c r="BD556" s="7" t="s">
        <v>163</v>
      </c>
      <c r="BE556" t="s">
        <v>125</v>
      </c>
      <c r="BF556" s="1" t="s">
        <v>29</v>
      </c>
      <c r="BG556" s="1">
        <v>10</v>
      </c>
      <c r="BH556">
        <v>1</v>
      </c>
      <c r="BK556" s="1">
        <v>1</v>
      </c>
      <c r="BQ556">
        <v>1</v>
      </c>
      <c r="CF556">
        <v>1</v>
      </c>
      <c r="CS556" s="7" t="s">
        <v>4040</v>
      </c>
    </row>
    <row r="557" spans="2:98">
      <c r="B557" t="s">
        <v>138</v>
      </c>
      <c r="C557" s="15" t="s">
        <v>139</v>
      </c>
      <c r="E557" s="8" t="s">
        <v>114</v>
      </c>
      <c r="F557" s="8" t="s">
        <v>115</v>
      </c>
      <c r="G557" s="1">
        <v>1</v>
      </c>
      <c r="H557" s="1"/>
      <c r="I557" s="1">
        <f>1802-35</f>
        <v>1767</v>
      </c>
      <c r="J557" t="s">
        <v>69</v>
      </c>
      <c r="K557" t="s">
        <v>140</v>
      </c>
      <c r="Q557">
        <v>5</v>
      </c>
      <c r="R557">
        <v>2</v>
      </c>
      <c r="T557" s="5">
        <f t="shared" si="32"/>
        <v>163.26</v>
      </c>
      <c r="U557" t="s">
        <v>141</v>
      </c>
      <c r="AG557" s="6">
        <v>1</v>
      </c>
      <c r="AH557" s="6">
        <v>1</v>
      </c>
      <c r="AI557" s="6">
        <v>1</v>
      </c>
      <c r="AJ557" s="6">
        <v>1</v>
      </c>
      <c r="AK557" s="6">
        <v>1</v>
      </c>
      <c r="AL557" s="6">
        <v>1</v>
      </c>
      <c r="AM557" s="6">
        <v>1</v>
      </c>
      <c r="AN557" s="6">
        <v>1</v>
      </c>
      <c r="AO557" s="6">
        <v>1</v>
      </c>
      <c r="AP557" s="6">
        <v>1</v>
      </c>
      <c r="AQ557" s="6">
        <v>1</v>
      </c>
      <c r="AR557" s="7">
        <v>1</v>
      </c>
      <c r="BC557" t="s">
        <v>1504</v>
      </c>
      <c r="BD557" s="7" t="s">
        <v>103</v>
      </c>
      <c r="BE557" t="s">
        <v>124</v>
      </c>
      <c r="BF557" s="1" t="s">
        <v>29</v>
      </c>
      <c r="BG557" s="1">
        <v>17</v>
      </c>
      <c r="BH557">
        <v>2</v>
      </c>
      <c r="BK557" s="1">
        <v>1</v>
      </c>
      <c r="BQ557">
        <v>1</v>
      </c>
      <c r="CL557">
        <v>1</v>
      </c>
      <c r="CS557" s="7" t="s">
        <v>1505</v>
      </c>
    </row>
    <row r="558" spans="2:98">
      <c r="B558" t="s">
        <v>2853</v>
      </c>
      <c r="C558" s="2" t="s">
        <v>2854</v>
      </c>
      <c r="D558" s="2" t="s">
        <v>187</v>
      </c>
      <c r="E558" s="8" t="s">
        <v>1735</v>
      </c>
      <c r="F558" s="8" t="s">
        <v>115</v>
      </c>
      <c r="G558" s="1">
        <v>1</v>
      </c>
      <c r="H558" s="1"/>
      <c r="I558" s="1">
        <f>1804-24</f>
        <v>1780</v>
      </c>
      <c r="J558" t="s">
        <v>10</v>
      </c>
      <c r="K558" t="s">
        <v>12</v>
      </c>
      <c r="Q558">
        <v>5</v>
      </c>
      <c r="R558">
        <v>4</v>
      </c>
      <c r="T558" s="5">
        <f t="shared" si="32"/>
        <v>168.52</v>
      </c>
      <c r="U558" t="s">
        <v>141</v>
      </c>
      <c r="AG558" s="6">
        <v>1</v>
      </c>
      <c r="AH558" s="6">
        <v>1</v>
      </c>
      <c r="AI558" s="6">
        <v>1</v>
      </c>
      <c r="AJ558" s="6">
        <v>1</v>
      </c>
      <c r="AK558" s="6">
        <v>1</v>
      </c>
      <c r="AL558" s="6">
        <v>1</v>
      </c>
      <c r="AM558" s="6">
        <v>1</v>
      </c>
      <c r="AN558" s="7">
        <v>1</v>
      </c>
      <c r="BC558" t="s">
        <v>2830</v>
      </c>
      <c r="BD558" s="7" t="s">
        <v>280</v>
      </c>
      <c r="BE558" t="s">
        <v>2005</v>
      </c>
      <c r="BF558" s="1" t="s">
        <v>29</v>
      </c>
      <c r="BG558" s="1">
        <v>7</v>
      </c>
      <c r="BH558">
        <v>1</v>
      </c>
      <c r="BK558" s="1">
        <v>1</v>
      </c>
      <c r="BQ558">
        <v>1</v>
      </c>
      <c r="CS558" s="7" t="s">
        <v>354</v>
      </c>
    </row>
    <row r="559" spans="2:98">
      <c r="B559" t="s">
        <v>2867</v>
      </c>
      <c r="C559" s="2" t="s">
        <v>2868</v>
      </c>
      <c r="D559" s="2" t="s">
        <v>2868</v>
      </c>
      <c r="E559" s="8" t="s">
        <v>1735</v>
      </c>
      <c r="F559" s="8" t="s">
        <v>115</v>
      </c>
      <c r="G559" s="1">
        <v>1</v>
      </c>
      <c r="H559" s="1"/>
      <c r="I559" s="1">
        <f>1804-21</f>
        <v>1783</v>
      </c>
      <c r="J559" t="s">
        <v>10</v>
      </c>
      <c r="K559" t="s">
        <v>12</v>
      </c>
      <c r="Q559">
        <v>5</v>
      </c>
      <c r="R559">
        <v>4</v>
      </c>
      <c r="S559">
        <v>1</v>
      </c>
      <c r="T559" s="5">
        <f t="shared" si="32"/>
        <v>168.74</v>
      </c>
      <c r="U559" t="s">
        <v>2866</v>
      </c>
      <c r="AG559" s="6">
        <v>1</v>
      </c>
      <c r="AH559" s="6">
        <v>1</v>
      </c>
      <c r="AI559" s="6">
        <v>1</v>
      </c>
      <c r="AJ559" s="6">
        <v>1</v>
      </c>
      <c r="AK559" s="6">
        <v>1</v>
      </c>
      <c r="AL559" s="6">
        <v>1</v>
      </c>
      <c r="AM559" s="6">
        <v>1</v>
      </c>
      <c r="AN559" s="7">
        <v>1</v>
      </c>
      <c r="AO559" s="7">
        <v>1</v>
      </c>
      <c r="BC559" t="s">
        <v>2883</v>
      </c>
      <c r="BD559" s="7" t="s">
        <v>280</v>
      </c>
      <c r="BE559" t="s">
        <v>2005</v>
      </c>
      <c r="BF559" s="1" t="s">
        <v>29</v>
      </c>
      <c r="BG559" s="1">
        <v>7</v>
      </c>
      <c r="BH559">
        <v>1</v>
      </c>
      <c r="BK559" s="1">
        <v>1</v>
      </c>
      <c r="BQ559">
        <v>1</v>
      </c>
      <c r="CN559">
        <v>1</v>
      </c>
      <c r="CS559" s="7" t="s">
        <v>2884</v>
      </c>
    </row>
    <row r="560" spans="2:98">
      <c r="B560" t="s">
        <v>1742</v>
      </c>
      <c r="C560" s="2" t="s">
        <v>1743</v>
      </c>
      <c r="D560" s="2" t="s">
        <v>1744</v>
      </c>
      <c r="E560" s="8" t="s">
        <v>122</v>
      </c>
      <c r="F560" t="s">
        <v>115</v>
      </c>
      <c r="G560" s="1">
        <v>1</v>
      </c>
      <c r="H560" s="1"/>
      <c r="I560" s="1">
        <f>1799-19</f>
        <v>1780</v>
      </c>
      <c r="J560" t="s">
        <v>69</v>
      </c>
      <c r="K560" t="s">
        <v>12</v>
      </c>
      <c r="Q560">
        <v>5</v>
      </c>
      <c r="R560">
        <v>1</v>
      </c>
      <c r="S560">
        <v>2</v>
      </c>
      <c r="T560" s="5">
        <f t="shared" si="32"/>
        <v>161.07</v>
      </c>
      <c r="U560" s="17" t="s">
        <v>1396</v>
      </c>
      <c r="AG560" s="6">
        <v>1</v>
      </c>
      <c r="AH560" s="7">
        <v>1</v>
      </c>
      <c r="BC560" t="s">
        <v>1694</v>
      </c>
      <c r="BD560" s="7" t="s">
        <v>26</v>
      </c>
      <c r="BE560" t="s">
        <v>125</v>
      </c>
      <c r="BF560" s="1" t="s">
        <v>29</v>
      </c>
      <c r="BG560" s="1">
        <v>3</v>
      </c>
      <c r="BH560">
        <v>1</v>
      </c>
      <c r="BK560" s="1">
        <v>1</v>
      </c>
      <c r="BQ560">
        <v>1</v>
      </c>
      <c r="CS560" s="7" t="s">
        <v>1745</v>
      </c>
    </row>
    <row r="561" spans="1:98">
      <c r="B561" t="s">
        <v>1801</v>
      </c>
      <c r="C561" s="2" t="s">
        <v>121</v>
      </c>
      <c r="D561" s="2" t="s">
        <v>121</v>
      </c>
      <c r="E561" s="8" t="s">
        <v>122</v>
      </c>
      <c r="F561" t="s">
        <v>115</v>
      </c>
      <c r="G561" s="1">
        <v>1</v>
      </c>
      <c r="H561" s="1"/>
      <c r="I561" s="1">
        <f>1799-28</f>
        <v>1771</v>
      </c>
      <c r="J561" t="s">
        <v>69</v>
      </c>
      <c r="K561" t="s">
        <v>12</v>
      </c>
      <c r="Q561">
        <v>5</v>
      </c>
      <c r="R561">
        <v>3</v>
      </c>
      <c r="T561" s="5">
        <f t="shared" si="32"/>
        <v>165.89000000000001</v>
      </c>
      <c r="U561" s="17" t="s">
        <v>1396</v>
      </c>
      <c r="AG561" s="7">
        <v>1</v>
      </c>
      <c r="BC561" t="s">
        <v>1802</v>
      </c>
      <c r="BD561" s="7" t="s">
        <v>103</v>
      </c>
      <c r="BE561" t="s">
        <v>125</v>
      </c>
      <c r="BF561" s="1" t="s">
        <v>29</v>
      </c>
      <c r="BG561" s="1">
        <v>3</v>
      </c>
      <c r="BH561">
        <v>1</v>
      </c>
      <c r="BK561" s="1">
        <v>1</v>
      </c>
      <c r="BQ561">
        <v>1</v>
      </c>
      <c r="CS561" s="7" t="s">
        <v>1754</v>
      </c>
    </row>
    <row r="562" spans="1:98">
      <c r="B562" t="s">
        <v>1789</v>
      </c>
      <c r="C562" s="15" t="s">
        <v>1790</v>
      </c>
      <c r="D562" s="2" t="s">
        <v>1744</v>
      </c>
      <c r="E562" s="8" t="s">
        <v>122</v>
      </c>
      <c r="F562" t="s">
        <v>115</v>
      </c>
      <c r="G562" s="1">
        <v>1</v>
      </c>
      <c r="H562" s="1"/>
      <c r="I562" s="1">
        <f>1799-38</f>
        <v>1761</v>
      </c>
      <c r="J562" t="s">
        <v>69</v>
      </c>
      <c r="K562" t="s">
        <v>12</v>
      </c>
      <c r="Q562">
        <v>5</v>
      </c>
      <c r="R562">
        <v>1</v>
      </c>
      <c r="S562">
        <v>1</v>
      </c>
      <c r="T562" s="5">
        <f t="shared" si="32"/>
        <v>160.85</v>
      </c>
      <c r="U562" s="17" t="s">
        <v>1396</v>
      </c>
      <c r="AG562" s="6">
        <v>1</v>
      </c>
      <c r="AH562" s="6">
        <v>1</v>
      </c>
      <c r="AI562" s="7">
        <v>1</v>
      </c>
      <c r="BC562" t="s">
        <v>324</v>
      </c>
      <c r="BD562" s="7" t="s">
        <v>109</v>
      </c>
      <c r="BE562" t="s">
        <v>125</v>
      </c>
      <c r="BF562" s="1" t="s">
        <v>29</v>
      </c>
      <c r="BG562" s="1">
        <v>4</v>
      </c>
      <c r="BH562">
        <v>1</v>
      </c>
      <c r="BK562" s="1">
        <v>1</v>
      </c>
      <c r="BQ562">
        <v>1</v>
      </c>
      <c r="CS562" s="7" t="s">
        <v>1672</v>
      </c>
    </row>
    <row r="563" spans="1:98">
      <c r="B563" t="s">
        <v>1394</v>
      </c>
      <c r="C563" s="2" t="s">
        <v>1395</v>
      </c>
      <c r="F563" t="s">
        <v>65</v>
      </c>
      <c r="G563" s="1">
        <v>1</v>
      </c>
      <c r="H563" s="1"/>
      <c r="I563" s="1">
        <f>1802-23</f>
        <v>1779</v>
      </c>
      <c r="J563" t="s">
        <v>69</v>
      </c>
      <c r="K563" t="s">
        <v>12</v>
      </c>
      <c r="Q563">
        <v>5</v>
      </c>
      <c r="R563">
        <v>1</v>
      </c>
      <c r="S563">
        <v>2</v>
      </c>
      <c r="T563" s="5">
        <f t="shared" si="32"/>
        <v>161.07</v>
      </c>
      <c r="U563" s="17" t="s">
        <v>1396</v>
      </c>
      <c r="AG563" s="6">
        <v>1</v>
      </c>
      <c r="AH563" s="6">
        <v>1</v>
      </c>
      <c r="AI563" s="6">
        <v>1</v>
      </c>
      <c r="AJ563" s="6">
        <v>1</v>
      </c>
      <c r="AK563" s="6">
        <v>1</v>
      </c>
      <c r="AL563" s="7">
        <v>1</v>
      </c>
      <c r="BC563" t="s">
        <v>1397</v>
      </c>
      <c r="BD563" s="7" t="s">
        <v>103</v>
      </c>
      <c r="BE563" t="s">
        <v>125</v>
      </c>
      <c r="BF563" s="1" t="s">
        <v>29</v>
      </c>
      <c r="BG563" s="1">
        <v>8</v>
      </c>
      <c r="BH563">
        <v>1</v>
      </c>
      <c r="BK563" s="1">
        <v>1</v>
      </c>
      <c r="BQ563">
        <v>1</v>
      </c>
      <c r="CS563" s="7" t="s">
        <v>1398</v>
      </c>
    </row>
    <row r="564" spans="1:98">
      <c r="B564" t="s">
        <v>1768</v>
      </c>
      <c r="C564" s="15" t="s">
        <v>173</v>
      </c>
      <c r="E564" s="8" t="s">
        <v>114</v>
      </c>
      <c r="F564" s="8" t="s">
        <v>115</v>
      </c>
      <c r="G564" s="1">
        <v>1</v>
      </c>
      <c r="H564" s="1"/>
      <c r="I564" s="1">
        <f>1799-18</f>
        <v>1781</v>
      </c>
      <c r="J564" t="s">
        <v>69</v>
      </c>
      <c r="K564" t="s">
        <v>197</v>
      </c>
      <c r="Q564">
        <v>5</v>
      </c>
      <c r="R564">
        <v>2</v>
      </c>
      <c r="T564" s="5">
        <f t="shared" si="32"/>
        <v>163.26</v>
      </c>
      <c r="U564" s="17" t="s">
        <v>266</v>
      </c>
      <c r="AG564" s="6">
        <v>1</v>
      </c>
      <c r="AH564" s="6">
        <v>1</v>
      </c>
      <c r="AI564" s="6">
        <v>1</v>
      </c>
      <c r="AJ564" s="6">
        <v>1</v>
      </c>
      <c r="AK564" s="6">
        <v>1</v>
      </c>
      <c r="AL564" s="6">
        <v>1</v>
      </c>
      <c r="AM564" s="6">
        <v>1</v>
      </c>
      <c r="AN564" s="6">
        <v>1</v>
      </c>
      <c r="AO564" s="6">
        <v>1</v>
      </c>
      <c r="AP564" s="6">
        <v>1</v>
      </c>
      <c r="AQ564" s="6">
        <v>1</v>
      </c>
      <c r="AR564" s="6">
        <v>1</v>
      </c>
      <c r="AS564" s="7">
        <v>1</v>
      </c>
      <c r="BC564" t="s">
        <v>1769</v>
      </c>
      <c r="BD564" s="7" t="s">
        <v>103</v>
      </c>
      <c r="BE564" t="s">
        <v>1770</v>
      </c>
      <c r="BF564" s="1" t="s">
        <v>29</v>
      </c>
      <c r="BG564" s="1">
        <v>17</v>
      </c>
      <c r="BH564">
        <v>2</v>
      </c>
      <c r="BK564" s="1">
        <v>1</v>
      </c>
      <c r="BQ564">
        <v>1</v>
      </c>
      <c r="CF564" s="6">
        <v>1</v>
      </c>
      <c r="CL564">
        <v>1</v>
      </c>
      <c r="CM564">
        <v>1</v>
      </c>
      <c r="CR564">
        <v>1</v>
      </c>
      <c r="CS564" s="7" t="s">
        <v>1771</v>
      </c>
      <c r="CT564" s="6" t="s">
        <v>1772</v>
      </c>
    </row>
    <row r="565" spans="1:98">
      <c r="B565" t="s">
        <v>1755</v>
      </c>
      <c r="C565" s="2" t="s">
        <v>243</v>
      </c>
      <c r="D565" s="2" t="s">
        <v>243</v>
      </c>
      <c r="E565" s="8" t="s">
        <v>122</v>
      </c>
      <c r="F565" t="s">
        <v>115</v>
      </c>
      <c r="G565" s="1">
        <v>1</v>
      </c>
      <c r="H565" s="1"/>
      <c r="I565" s="1">
        <f>1799-32</f>
        <v>1767</v>
      </c>
      <c r="J565" t="s">
        <v>69</v>
      </c>
      <c r="K565" t="s">
        <v>12</v>
      </c>
      <c r="Q565">
        <v>5</v>
      </c>
      <c r="R565">
        <v>2</v>
      </c>
      <c r="T565" s="5">
        <f t="shared" si="32"/>
        <v>163.26</v>
      </c>
      <c r="U565" s="17" t="s">
        <v>266</v>
      </c>
      <c r="AG565" s="6">
        <v>1</v>
      </c>
      <c r="AH565" s="6">
        <v>1</v>
      </c>
      <c r="AI565" s="7">
        <v>1</v>
      </c>
      <c r="BC565" t="s">
        <v>324</v>
      </c>
      <c r="BD565" s="7" t="s">
        <v>109</v>
      </c>
      <c r="BE565" t="s">
        <v>125</v>
      </c>
      <c r="BF565" s="1" t="s">
        <v>29</v>
      </c>
      <c r="BG565" s="1">
        <v>2</v>
      </c>
      <c r="BH565">
        <v>1</v>
      </c>
      <c r="BK565" s="1">
        <v>1</v>
      </c>
      <c r="BQ565">
        <v>1</v>
      </c>
      <c r="CS565" s="22" t="s">
        <v>1313</v>
      </c>
    </row>
    <row r="566" spans="1:98">
      <c r="B566" t="s">
        <v>1481</v>
      </c>
      <c r="C566" s="13" t="s">
        <v>1482</v>
      </c>
      <c r="D566" s="2" t="s">
        <v>243</v>
      </c>
      <c r="E566" s="8" t="s">
        <v>122</v>
      </c>
      <c r="F566" t="s">
        <v>115</v>
      </c>
      <c r="G566" s="1">
        <v>1</v>
      </c>
      <c r="H566" s="1"/>
      <c r="I566" s="1">
        <f>1800-34</f>
        <v>1766</v>
      </c>
      <c r="J566" t="s">
        <v>69</v>
      </c>
      <c r="K566" t="s">
        <v>12</v>
      </c>
      <c r="M566">
        <v>1</v>
      </c>
      <c r="Q566">
        <v>5</v>
      </c>
      <c r="R566">
        <v>2</v>
      </c>
      <c r="S566">
        <v>1</v>
      </c>
      <c r="T566" s="5">
        <f t="shared" si="32"/>
        <v>163.47999999999999</v>
      </c>
      <c r="U566" s="17" t="s">
        <v>266</v>
      </c>
      <c r="AG566" s="6">
        <v>1</v>
      </c>
      <c r="AH566" s="6">
        <v>1</v>
      </c>
      <c r="AI566" s="6">
        <v>1</v>
      </c>
      <c r="AJ566" s="6">
        <v>1</v>
      </c>
      <c r="AK566" s="6">
        <v>1</v>
      </c>
      <c r="AL566" s="6">
        <v>1</v>
      </c>
      <c r="AM566" s="6">
        <v>1</v>
      </c>
      <c r="AN566" s="7">
        <v>1</v>
      </c>
      <c r="BC566" t="s">
        <v>1472</v>
      </c>
      <c r="BD566" s="7" t="s">
        <v>109</v>
      </c>
      <c r="BE566" t="s">
        <v>62</v>
      </c>
      <c r="BF566" s="1" t="s">
        <v>29</v>
      </c>
      <c r="BG566" s="1">
        <v>9</v>
      </c>
      <c r="BH566">
        <v>2</v>
      </c>
      <c r="BI566">
        <v>1</v>
      </c>
      <c r="BK566">
        <v>1</v>
      </c>
      <c r="BQ566">
        <v>1</v>
      </c>
      <c r="CL566">
        <v>1</v>
      </c>
      <c r="CS566" s="7" t="s">
        <v>1475</v>
      </c>
    </row>
    <row r="567" spans="1:98">
      <c r="B567" t="s">
        <v>1738</v>
      </c>
      <c r="C567" s="2" t="s">
        <v>1739</v>
      </c>
      <c r="D567" s="2" t="s">
        <v>1739</v>
      </c>
      <c r="E567" s="8" t="s">
        <v>122</v>
      </c>
      <c r="F567" t="s">
        <v>115</v>
      </c>
      <c r="G567" s="1">
        <v>1</v>
      </c>
      <c r="H567" s="1"/>
      <c r="I567" s="1">
        <f>1799-24</f>
        <v>1775</v>
      </c>
      <c r="J567" t="s">
        <v>10</v>
      </c>
      <c r="K567" t="s">
        <v>12</v>
      </c>
      <c r="Q567">
        <v>5</v>
      </c>
      <c r="R567">
        <v>1</v>
      </c>
      <c r="S567">
        <v>2</v>
      </c>
      <c r="T567" s="5">
        <f t="shared" si="32"/>
        <v>161.07</v>
      </c>
      <c r="U567" s="17" t="s">
        <v>266</v>
      </c>
      <c r="AG567" s="7">
        <v>1</v>
      </c>
      <c r="BC567" t="s">
        <v>1740</v>
      </c>
      <c r="BD567" s="7" t="s">
        <v>26</v>
      </c>
      <c r="BE567" t="s">
        <v>125</v>
      </c>
      <c r="BF567" s="1" t="s">
        <v>29</v>
      </c>
      <c r="BG567" s="1">
        <v>2</v>
      </c>
      <c r="BH567">
        <v>1</v>
      </c>
      <c r="BK567" s="1">
        <v>1</v>
      </c>
      <c r="BQ567">
        <v>1</v>
      </c>
      <c r="CS567" s="7" t="s">
        <v>1741</v>
      </c>
    </row>
    <row r="568" spans="1:98">
      <c r="B568" t="s">
        <v>1803</v>
      </c>
      <c r="C568" s="15" t="s">
        <v>243</v>
      </c>
      <c r="D568" s="15" t="s">
        <v>243</v>
      </c>
      <c r="E568" s="8" t="s">
        <v>122</v>
      </c>
      <c r="F568" t="s">
        <v>115</v>
      </c>
      <c r="G568" s="1">
        <v>1</v>
      </c>
      <c r="H568" s="1"/>
      <c r="I568" s="1">
        <f>1799-32</f>
        <v>1767</v>
      </c>
      <c r="J568" t="s">
        <v>69</v>
      </c>
      <c r="K568" t="s">
        <v>12</v>
      </c>
      <c r="Q568">
        <v>5</v>
      </c>
      <c r="R568">
        <v>2</v>
      </c>
      <c r="T568" s="5">
        <f t="shared" si="32"/>
        <v>163.26</v>
      </c>
      <c r="U568" s="17" t="s">
        <v>266</v>
      </c>
      <c r="AG568" s="7">
        <v>1</v>
      </c>
      <c r="BC568" t="s">
        <v>1804</v>
      </c>
      <c r="BD568" s="7" t="s">
        <v>103</v>
      </c>
      <c r="BE568" t="s">
        <v>125</v>
      </c>
      <c r="BF568" s="1" t="s">
        <v>29</v>
      </c>
      <c r="BG568" s="1">
        <v>3</v>
      </c>
      <c r="BH568">
        <v>1</v>
      </c>
      <c r="BK568" s="1">
        <v>1</v>
      </c>
      <c r="BQ568">
        <v>1</v>
      </c>
      <c r="CS568" s="7" t="s">
        <v>1754</v>
      </c>
    </row>
    <row r="569" spans="1:98">
      <c r="B569" t="s">
        <v>265</v>
      </c>
      <c r="C569" s="15" t="s">
        <v>243</v>
      </c>
      <c r="E569" s="8" t="s">
        <v>122</v>
      </c>
      <c r="F569" t="s">
        <v>115</v>
      </c>
      <c r="G569" s="1">
        <v>1</v>
      </c>
      <c r="H569" s="1"/>
      <c r="I569" s="1">
        <f>1799-22</f>
        <v>1777</v>
      </c>
      <c r="J569" t="s">
        <v>10</v>
      </c>
      <c r="K569" t="s">
        <v>197</v>
      </c>
      <c r="Q569">
        <v>5</v>
      </c>
      <c r="R569">
        <v>1</v>
      </c>
      <c r="T569" s="5">
        <f t="shared" si="32"/>
        <v>160.63</v>
      </c>
      <c r="U569" s="17" t="s">
        <v>266</v>
      </c>
      <c r="AG569" s="6">
        <v>1</v>
      </c>
      <c r="AH569" s="6">
        <v>1</v>
      </c>
      <c r="AI569" s="6">
        <v>1</v>
      </c>
      <c r="AJ569" s="6">
        <v>1</v>
      </c>
      <c r="AK569" s="6">
        <v>1</v>
      </c>
      <c r="AL569" s="6">
        <v>1</v>
      </c>
      <c r="AM569" s="6">
        <v>1</v>
      </c>
      <c r="AN569" s="7">
        <v>1</v>
      </c>
      <c r="BC569" t="s">
        <v>198</v>
      </c>
      <c r="BD569" s="7" t="s">
        <v>109</v>
      </c>
      <c r="BE569" t="s">
        <v>125</v>
      </c>
      <c r="BF569" s="1" t="s">
        <v>29</v>
      </c>
      <c r="BG569" s="1">
        <v>9</v>
      </c>
      <c r="BH569">
        <v>1</v>
      </c>
      <c r="BK569" s="1">
        <v>1</v>
      </c>
      <c r="BQ569">
        <v>1</v>
      </c>
      <c r="CS569" s="7" t="s">
        <v>354</v>
      </c>
    </row>
    <row r="570" spans="1:98">
      <c r="B570" t="s">
        <v>1603</v>
      </c>
      <c r="C570" s="2" t="s">
        <v>1604</v>
      </c>
      <c r="D570" s="2" t="s">
        <v>1604</v>
      </c>
      <c r="E570" s="8" t="s">
        <v>122</v>
      </c>
      <c r="F570" t="s">
        <v>115</v>
      </c>
      <c r="G570" s="1">
        <v>1</v>
      </c>
      <c r="H570" s="1"/>
      <c r="I570" s="1">
        <f>1799-26</f>
        <v>1773</v>
      </c>
      <c r="J570" t="s">
        <v>69</v>
      </c>
      <c r="K570" t="s">
        <v>12</v>
      </c>
      <c r="M570">
        <v>1</v>
      </c>
      <c r="Q570">
        <v>5</v>
      </c>
      <c r="R570">
        <v>1</v>
      </c>
      <c r="T570" s="5">
        <f t="shared" si="32"/>
        <v>160.63</v>
      </c>
      <c r="U570" s="17" t="s">
        <v>1605</v>
      </c>
      <c r="AG570" s="6">
        <v>1</v>
      </c>
      <c r="AH570" s="6">
        <v>1</v>
      </c>
      <c r="AI570" s="6">
        <v>1</v>
      </c>
      <c r="AJ570" s="6">
        <v>1</v>
      </c>
      <c r="AK570" s="6">
        <v>1</v>
      </c>
      <c r="AL570" s="6">
        <v>1</v>
      </c>
      <c r="AM570" s="6">
        <v>1</v>
      </c>
      <c r="AN570" s="6">
        <v>1</v>
      </c>
      <c r="AO570" s="6">
        <v>1</v>
      </c>
      <c r="AP570" s="6">
        <v>1</v>
      </c>
      <c r="AQ570" s="6">
        <v>1</v>
      </c>
      <c r="AR570" s="7">
        <v>1</v>
      </c>
      <c r="BC570" t="s">
        <v>1606</v>
      </c>
      <c r="BD570" s="7" t="s">
        <v>103</v>
      </c>
      <c r="BE570" t="s">
        <v>62</v>
      </c>
      <c r="BF570" s="1" t="s">
        <v>29</v>
      </c>
      <c r="BG570" s="1">
        <v>13</v>
      </c>
      <c r="BH570">
        <v>2</v>
      </c>
      <c r="BI570">
        <v>1</v>
      </c>
      <c r="BK570">
        <v>1</v>
      </c>
      <c r="BQ570">
        <v>1</v>
      </c>
      <c r="CL570">
        <v>1</v>
      </c>
      <c r="CS570" s="7" t="s">
        <v>1505</v>
      </c>
    </row>
    <row r="571" spans="1:98">
      <c r="B571" t="s">
        <v>201</v>
      </c>
      <c r="C571" s="15" t="s">
        <v>176</v>
      </c>
      <c r="E571" s="8" t="s">
        <v>114</v>
      </c>
      <c r="F571" s="8" t="s">
        <v>115</v>
      </c>
      <c r="G571" s="1">
        <v>1</v>
      </c>
      <c r="H571" s="1"/>
      <c r="I571" s="1">
        <f>1802-32</f>
        <v>1770</v>
      </c>
      <c r="J571" t="s">
        <v>69</v>
      </c>
      <c r="K571" t="s">
        <v>197</v>
      </c>
      <c r="N571">
        <v>1</v>
      </c>
      <c r="Q571">
        <v>5</v>
      </c>
      <c r="R571">
        <v>4</v>
      </c>
      <c r="S571">
        <v>2</v>
      </c>
      <c r="T571" s="5">
        <f t="shared" si="32"/>
        <v>168.96</v>
      </c>
      <c r="U571" t="s">
        <v>202</v>
      </c>
      <c r="AG571" s="6">
        <v>1</v>
      </c>
      <c r="AH571" s="6">
        <v>1</v>
      </c>
      <c r="AI571" s="6">
        <v>1</v>
      </c>
      <c r="AJ571" s="6">
        <v>1</v>
      </c>
      <c r="AK571" s="6">
        <v>1</v>
      </c>
      <c r="AL571" s="6">
        <v>1</v>
      </c>
      <c r="AM571" s="6">
        <v>1</v>
      </c>
      <c r="AN571" s="7">
        <v>1</v>
      </c>
      <c r="BC571" t="s">
        <v>198</v>
      </c>
      <c r="BD571" s="7" t="s">
        <v>103</v>
      </c>
      <c r="BE571" t="s">
        <v>125</v>
      </c>
      <c r="BF571" s="1" t="s">
        <v>29</v>
      </c>
      <c r="BG571" s="1">
        <v>9</v>
      </c>
      <c r="BH571">
        <v>1</v>
      </c>
      <c r="BK571" s="1">
        <v>1</v>
      </c>
      <c r="BQ571">
        <v>1</v>
      </c>
      <c r="CS571" s="7" t="s">
        <v>199</v>
      </c>
    </row>
    <row r="572" spans="1:98">
      <c r="B572" t="s">
        <v>1569</v>
      </c>
      <c r="C572" s="13" t="s">
        <v>1570</v>
      </c>
      <c r="D572" s="2" t="s">
        <v>1350</v>
      </c>
      <c r="E572" s="8" t="s">
        <v>122</v>
      </c>
      <c r="F572" t="s">
        <v>115</v>
      </c>
      <c r="G572" s="1">
        <v>1</v>
      </c>
      <c r="H572" s="1"/>
      <c r="I572" s="1">
        <f>1803-41</f>
        <v>1762</v>
      </c>
      <c r="J572" t="s">
        <v>69</v>
      </c>
      <c r="K572" t="s">
        <v>197</v>
      </c>
      <c r="M572">
        <v>1</v>
      </c>
      <c r="Q572">
        <v>5</v>
      </c>
      <c r="T572" s="5">
        <f t="shared" si="32"/>
        <v>158</v>
      </c>
      <c r="U572" s="17" t="s">
        <v>1571</v>
      </c>
      <c r="AG572" s="6">
        <v>1</v>
      </c>
      <c r="AH572" s="6">
        <v>1</v>
      </c>
      <c r="AI572" s="6">
        <v>1</v>
      </c>
      <c r="AJ572" s="6">
        <v>1</v>
      </c>
      <c r="AK572" s="6">
        <v>1</v>
      </c>
      <c r="AL572" s="6">
        <v>1</v>
      </c>
      <c r="AM572" s="6">
        <v>1</v>
      </c>
      <c r="AN572" s="6">
        <v>1</v>
      </c>
      <c r="AO572" s="6">
        <v>1</v>
      </c>
      <c r="AP572" s="6">
        <v>1</v>
      </c>
      <c r="AQ572" s="6">
        <v>1</v>
      </c>
      <c r="AR572" s="7">
        <v>1</v>
      </c>
      <c r="BC572" t="s">
        <v>574</v>
      </c>
      <c r="BD572" s="7" t="s">
        <v>109</v>
      </c>
      <c r="BE572" t="s">
        <v>62</v>
      </c>
      <c r="BF572" s="1" t="s">
        <v>29</v>
      </c>
      <c r="BG572" s="1">
        <v>13</v>
      </c>
      <c r="BH572">
        <v>2</v>
      </c>
      <c r="BI572">
        <v>1</v>
      </c>
      <c r="BK572">
        <v>1</v>
      </c>
      <c r="BQ572">
        <v>1</v>
      </c>
      <c r="CL572">
        <v>1</v>
      </c>
      <c r="CR572" t="s">
        <v>72</v>
      </c>
      <c r="CS572" s="7" t="s">
        <v>1086</v>
      </c>
    </row>
    <row r="573" spans="1:98">
      <c r="B573" t="s">
        <v>1759</v>
      </c>
      <c r="C573" s="2" t="s">
        <v>1760</v>
      </c>
      <c r="D573" s="2" t="s">
        <v>1311</v>
      </c>
      <c r="E573" s="8" t="s">
        <v>122</v>
      </c>
      <c r="F573" t="s">
        <v>115</v>
      </c>
      <c r="G573" s="1">
        <v>1</v>
      </c>
      <c r="H573" s="1"/>
      <c r="I573" s="1">
        <f>1799-24</f>
        <v>1775</v>
      </c>
      <c r="J573" t="s">
        <v>10</v>
      </c>
      <c r="K573" t="s">
        <v>12</v>
      </c>
      <c r="Q573">
        <v>5</v>
      </c>
      <c r="R573">
        <v>2</v>
      </c>
      <c r="T573" s="5">
        <f t="shared" si="32"/>
        <v>163.26</v>
      </c>
      <c r="U573" s="17" t="s">
        <v>1761</v>
      </c>
      <c r="AG573" s="6">
        <v>1</v>
      </c>
      <c r="AH573" s="6">
        <v>1</v>
      </c>
      <c r="AI573" s="7">
        <v>1</v>
      </c>
      <c r="BC573" t="s">
        <v>1762</v>
      </c>
      <c r="BD573" s="7" t="s">
        <v>109</v>
      </c>
      <c r="BE573" t="s">
        <v>125</v>
      </c>
      <c r="BF573" s="1" t="s">
        <v>29</v>
      </c>
      <c r="BG573" s="1">
        <v>5</v>
      </c>
      <c r="BH573">
        <v>1</v>
      </c>
      <c r="BK573" s="1">
        <v>1</v>
      </c>
      <c r="BQ573">
        <v>1</v>
      </c>
      <c r="CS573" s="7" t="s">
        <v>1763</v>
      </c>
    </row>
    <row r="574" spans="1:98">
      <c r="A574" t="s">
        <v>72</v>
      </c>
      <c r="B574" t="s">
        <v>2713</v>
      </c>
      <c r="C574" s="2"/>
      <c r="D574" s="2"/>
      <c r="F574" t="s">
        <v>7</v>
      </c>
      <c r="G574" s="1"/>
      <c r="H574" s="1"/>
      <c r="I574" s="1"/>
      <c r="T574" s="5"/>
      <c r="U574" s="9" t="s">
        <v>2712</v>
      </c>
      <c r="AG574" s="9">
        <v>1</v>
      </c>
      <c r="AH574" s="6">
        <v>1</v>
      </c>
      <c r="AI574" s="7">
        <v>1</v>
      </c>
      <c r="BC574" t="s">
        <v>441</v>
      </c>
      <c r="BD574" s="7" t="s">
        <v>109</v>
      </c>
      <c r="BE574" t="s">
        <v>2005</v>
      </c>
      <c r="BF574" s="1" t="s">
        <v>29</v>
      </c>
      <c r="BG574" s="1">
        <v>2</v>
      </c>
      <c r="BH574">
        <v>1</v>
      </c>
      <c r="BK574" s="1">
        <v>1</v>
      </c>
      <c r="BQ574">
        <v>1</v>
      </c>
      <c r="CS574" s="7" t="s">
        <v>1475</v>
      </c>
    </row>
    <row r="575" spans="1:98">
      <c r="B575" t="s">
        <v>407</v>
      </c>
      <c r="C575" s="15" t="s">
        <v>408</v>
      </c>
      <c r="F575" s="8" t="s">
        <v>409</v>
      </c>
      <c r="G575" s="1"/>
      <c r="H575" s="1">
        <v>1</v>
      </c>
      <c r="I575" s="1">
        <f>1811-30</f>
        <v>1781</v>
      </c>
      <c r="J575" t="s">
        <v>69</v>
      </c>
      <c r="K575" t="s">
        <v>12</v>
      </c>
      <c r="N575" t="s">
        <v>72</v>
      </c>
      <c r="Q575">
        <v>5</v>
      </c>
      <c r="R575">
        <v>4</v>
      </c>
      <c r="T575" s="5">
        <f t="shared" si="32"/>
        <v>168.52</v>
      </c>
      <c r="U575" s="9" t="s">
        <v>406</v>
      </c>
      <c r="AG575" s="9">
        <v>1</v>
      </c>
      <c r="AH575" s="6">
        <v>1</v>
      </c>
      <c r="AI575" s="6">
        <v>1</v>
      </c>
      <c r="AJ575" s="6">
        <v>1</v>
      </c>
      <c r="AK575" s="6">
        <v>1</v>
      </c>
      <c r="AL575" s="6">
        <v>1</v>
      </c>
      <c r="AM575" s="6">
        <v>1</v>
      </c>
      <c r="AN575" s="6">
        <v>1</v>
      </c>
      <c r="AO575" s="6">
        <v>1</v>
      </c>
      <c r="AP575" s="6">
        <v>1</v>
      </c>
      <c r="AQ575" s="6">
        <v>1</v>
      </c>
      <c r="AR575" s="6">
        <v>1</v>
      </c>
      <c r="AS575" s="6">
        <v>1</v>
      </c>
      <c r="AT575" s="7">
        <v>1</v>
      </c>
      <c r="BC575" t="s">
        <v>410</v>
      </c>
      <c r="BD575" s="7" t="s">
        <v>103</v>
      </c>
      <c r="BE575" t="s">
        <v>411</v>
      </c>
      <c r="BF575" s="1" t="s">
        <v>29</v>
      </c>
      <c r="BG575" s="1">
        <v>5</v>
      </c>
      <c r="BH575">
        <v>3</v>
      </c>
      <c r="BK575" s="1"/>
      <c r="BO575" t="s">
        <v>72</v>
      </c>
      <c r="BQ575">
        <v>1</v>
      </c>
      <c r="BX575">
        <v>1</v>
      </c>
      <c r="CD575">
        <v>1</v>
      </c>
      <c r="CI575">
        <v>1</v>
      </c>
      <c r="CL575">
        <v>1</v>
      </c>
      <c r="CS575" s="7" t="s">
        <v>412</v>
      </c>
      <c r="CT575" s="9" t="s">
        <v>127</v>
      </c>
    </row>
    <row r="576" spans="1:98">
      <c r="B576" t="s">
        <v>4606</v>
      </c>
      <c r="C576" s="2" t="s">
        <v>3089</v>
      </c>
      <c r="E576" s="8" t="s">
        <v>624</v>
      </c>
      <c r="F576" s="8" t="s">
        <v>218</v>
      </c>
      <c r="G576" s="1">
        <v>1</v>
      </c>
      <c r="H576" s="1"/>
      <c r="I576" s="1">
        <f>1804-24</f>
        <v>1780</v>
      </c>
      <c r="J576" t="s">
        <v>10</v>
      </c>
      <c r="K576" t="s">
        <v>197</v>
      </c>
      <c r="Q576">
        <v>5</v>
      </c>
      <c r="R576">
        <v>5</v>
      </c>
      <c r="S576">
        <v>1</v>
      </c>
      <c r="T576" s="5">
        <f t="shared" si="32"/>
        <v>171.37</v>
      </c>
      <c r="U576" t="s">
        <v>1480</v>
      </c>
      <c r="AG576" s="6">
        <v>1</v>
      </c>
      <c r="AH576" s="6">
        <v>1</v>
      </c>
      <c r="AI576" s="6">
        <v>1</v>
      </c>
      <c r="AJ576" s="6">
        <v>1</v>
      </c>
      <c r="AK576" s="6">
        <v>1</v>
      </c>
      <c r="AL576" s="6">
        <v>1</v>
      </c>
      <c r="AM576" s="6">
        <v>1</v>
      </c>
      <c r="AN576" s="7">
        <v>1</v>
      </c>
      <c r="BC576" t="s">
        <v>4607</v>
      </c>
      <c r="BD576" s="7" t="s">
        <v>959</v>
      </c>
      <c r="BE576" s="7" t="s">
        <v>1558</v>
      </c>
      <c r="BF576" s="1" t="s">
        <v>29</v>
      </c>
      <c r="BG576" s="1">
        <v>3</v>
      </c>
      <c r="BH576">
        <v>2</v>
      </c>
      <c r="BK576" s="1" t="s">
        <v>72</v>
      </c>
      <c r="BQ576">
        <v>1</v>
      </c>
      <c r="CB576" s="7">
        <v>1</v>
      </c>
      <c r="CS576" s="7" t="s">
        <v>4608</v>
      </c>
    </row>
    <row r="577" spans="1:97">
      <c r="B577" t="s">
        <v>1479</v>
      </c>
      <c r="C577" s="15" t="s">
        <v>224</v>
      </c>
      <c r="D577" s="15" t="s">
        <v>224</v>
      </c>
      <c r="E577" s="8" t="s">
        <v>122</v>
      </c>
      <c r="F577" s="8" t="s">
        <v>115</v>
      </c>
      <c r="G577" s="1">
        <v>1</v>
      </c>
      <c r="H577" s="1"/>
      <c r="I577" s="1">
        <f>1799-28</f>
        <v>1771</v>
      </c>
      <c r="J577" t="s">
        <v>69</v>
      </c>
      <c r="K577" t="s">
        <v>197</v>
      </c>
      <c r="M577">
        <v>1</v>
      </c>
      <c r="Q577">
        <v>5</v>
      </c>
      <c r="R577">
        <v>1</v>
      </c>
      <c r="T577" s="5">
        <f t="shared" si="32"/>
        <v>160.63</v>
      </c>
      <c r="U577" s="17" t="s">
        <v>1480</v>
      </c>
      <c r="AG577" s="6">
        <v>1</v>
      </c>
      <c r="AH577" s="6">
        <v>1</v>
      </c>
      <c r="AI577" s="6">
        <v>1</v>
      </c>
      <c r="AJ577" s="6">
        <v>1</v>
      </c>
      <c r="AK577" s="6">
        <v>1</v>
      </c>
      <c r="AL577" s="6">
        <v>1</v>
      </c>
      <c r="AM577" s="6">
        <v>1</v>
      </c>
      <c r="AN577" s="7">
        <v>1</v>
      </c>
      <c r="BC577" t="s">
        <v>1472</v>
      </c>
      <c r="BD577" s="7" t="s">
        <v>109</v>
      </c>
      <c r="BE577" t="s">
        <v>62</v>
      </c>
      <c r="BF577" s="1" t="s">
        <v>29</v>
      </c>
      <c r="BG577" s="1">
        <v>10</v>
      </c>
      <c r="BH577">
        <v>2</v>
      </c>
      <c r="BI577">
        <v>1</v>
      </c>
      <c r="BK577">
        <v>1</v>
      </c>
      <c r="BQ577">
        <v>1</v>
      </c>
      <c r="CL577">
        <v>1</v>
      </c>
      <c r="CS577" s="7" t="s">
        <v>1475</v>
      </c>
    </row>
    <row r="578" spans="1:97">
      <c r="B578" t="s">
        <v>373</v>
      </c>
      <c r="C578" s="2" t="s">
        <v>374</v>
      </c>
      <c r="E578" s="8" t="s">
        <v>122</v>
      </c>
      <c r="F578" s="8" t="s">
        <v>115</v>
      </c>
      <c r="G578" s="1">
        <v>1</v>
      </c>
      <c r="H578" s="1"/>
      <c r="I578" s="1">
        <f>1802-20</f>
        <v>1782</v>
      </c>
      <c r="J578" t="s">
        <v>10</v>
      </c>
      <c r="K578" t="s">
        <v>12</v>
      </c>
      <c r="Q578">
        <v>5</v>
      </c>
      <c r="R578">
        <v>3</v>
      </c>
      <c r="T578" s="5">
        <f t="shared" si="32"/>
        <v>165.89000000000001</v>
      </c>
      <c r="U578" t="s">
        <v>375</v>
      </c>
      <c r="AG578" s="6">
        <v>1</v>
      </c>
      <c r="AH578" s="6">
        <v>1</v>
      </c>
      <c r="AI578" s="6">
        <v>1</v>
      </c>
      <c r="AJ578" s="6">
        <v>1</v>
      </c>
      <c r="AK578" s="6">
        <v>1</v>
      </c>
      <c r="AL578" s="6">
        <v>1</v>
      </c>
      <c r="AM578" s="6">
        <v>1</v>
      </c>
      <c r="AN578" s="6">
        <v>1</v>
      </c>
      <c r="AO578" s="6">
        <v>1</v>
      </c>
      <c r="AP578" s="6">
        <v>1</v>
      </c>
      <c r="AQ578" s="7">
        <v>1</v>
      </c>
      <c r="BC578" t="s">
        <v>170</v>
      </c>
      <c r="BD578" s="7" t="s">
        <v>163</v>
      </c>
      <c r="BE578" t="s">
        <v>125</v>
      </c>
      <c r="BF578" s="1" t="s">
        <v>29</v>
      </c>
      <c r="BG578" s="1">
        <v>13</v>
      </c>
      <c r="BH578">
        <v>1</v>
      </c>
      <c r="BK578" s="1">
        <v>1</v>
      </c>
      <c r="BQ578">
        <v>1</v>
      </c>
      <c r="CF578">
        <v>1</v>
      </c>
      <c r="CS578" s="7" t="s">
        <v>171</v>
      </c>
    </row>
    <row r="579" spans="1:97">
      <c r="B579" t="s">
        <v>186</v>
      </c>
      <c r="C579" s="15" t="s">
        <v>187</v>
      </c>
      <c r="D579" s="15" t="s">
        <v>187</v>
      </c>
      <c r="E579" s="8" t="s">
        <v>122</v>
      </c>
      <c r="F579" s="8" t="s">
        <v>115</v>
      </c>
      <c r="G579" s="1">
        <v>1</v>
      </c>
      <c r="H579" s="1"/>
      <c r="I579" s="1">
        <f>1799-28</f>
        <v>1771</v>
      </c>
      <c r="J579" t="s">
        <v>69</v>
      </c>
      <c r="K579" t="s">
        <v>12</v>
      </c>
      <c r="N579">
        <v>1</v>
      </c>
      <c r="Q579">
        <v>5</v>
      </c>
      <c r="R579">
        <v>2</v>
      </c>
      <c r="T579" s="5">
        <f t="shared" si="32"/>
        <v>163.26</v>
      </c>
      <c r="U579" t="s">
        <v>188</v>
      </c>
      <c r="AG579" s="6">
        <v>1</v>
      </c>
      <c r="AH579" s="6">
        <v>1</v>
      </c>
      <c r="AI579" s="6">
        <v>1</v>
      </c>
      <c r="AJ579" s="6">
        <v>1</v>
      </c>
      <c r="AK579" s="6">
        <v>1</v>
      </c>
      <c r="AL579" s="6">
        <v>1</v>
      </c>
      <c r="AM579" s="6">
        <v>1</v>
      </c>
      <c r="AN579" s="9">
        <v>1</v>
      </c>
      <c r="AO579" s="9">
        <v>1</v>
      </c>
      <c r="AP579" s="7">
        <v>1</v>
      </c>
      <c r="BC579" t="s">
        <v>189</v>
      </c>
      <c r="BD579" s="7" t="s">
        <v>103</v>
      </c>
      <c r="BE579" t="s">
        <v>125</v>
      </c>
      <c r="BF579" s="1" t="s">
        <v>29</v>
      </c>
      <c r="BG579" s="1">
        <v>14</v>
      </c>
      <c r="BH579">
        <v>1</v>
      </c>
      <c r="BK579" s="1">
        <v>1</v>
      </c>
      <c r="BQ579">
        <v>1</v>
      </c>
      <c r="CS579" s="7" t="s">
        <v>203</v>
      </c>
    </row>
    <row r="580" spans="1:97">
      <c r="B580" t="s">
        <v>223</v>
      </c>
      <c r="C580" s="15" t="s">
        <v>224</v>
      </c>
      <c r="D580" s="15" t="s">
        <v>224</v>
      </c>
      <c r="E580" s="8" t="s">
        <v>122</v>
      </c>
      <c r="F580" s="8" t="s">
        <v>115</v>
      </c>
      <c r="G580" s="1">
        <v>1</v>
      </c>
      <c r="H580" s="1"/>
      <c r="I580" s="1">
        <f>1799-26</f>
        <v>1773</v>
      </c>
      <c r="J580" t="s">
        <v>69</v>
      </c>
      <c r="K580" t="s">
        <v>12</v>
      </c>
      <c r="N580">
        <v>1</v>
      </c>
      <c r="Q580">
        <v>5</v>
      </c>
      <c r="R580">
        <v>1</v>
      </c>
      <c r="S580">
        <v>1</v>
      </c>
      <c r="T580" s="5">
        <f t="shared" si="32"/>
        <v>160.85</v>
      </c>
      <c r="U580" t="s">
        <v>225</v>
      </c>
      <c r="AG580" s="6">
        <v>1</v>
      </c>
      <c r="AH580" s="6">
        <v>1</v>
      </c>
      <c r="AI580" s="6">
        <v>1</v>
      </c>
      <c r="AJ580" s="6">
        <v>1</v>
      </c>
      <c r="AK580" s="6">
        <v>1</v>
      </c>
      <c r="AL580" s="6">
        <v>1</v>
      </c>
      <c r="AM580" s="6">
        <v>1</v>
      </c>
      <c r="AN580" s="6">
        <v>1</v>
      </c>
      <c r="AO580" s="6">
        <v>1</v>
      </c>
      <c r="AP580" s="7">
        <v>1</v>
      </c>
      <c r="BC580" t="s">
        <v>198</v>
      </c>
      <c r="BD580" s="7" t="s">
        <v>109</v>
      </c>
      <c r="BE580" t="s">
        <v>125</v>
      </c>
      <c r="BF580" s="1" t="s">
        <v>29</v>
      </c>
      <c r="BG580" s="1">
        <v>11</v>
      </c>
      <c r="BH580">
        <v>1</v>
      </c>
      <c r="BK580" s="27">
        <v>1</v>
      </c>
      <c r="BQ580">
        <v>1</v>
      </c>
      <c r="CS580" s="7" t="s">
        <v>354</v>
      </c>
    </row>
    <row r="581" spans="1:97">
      <c r="B581" t="s">
        <v>1346</v>
      </c>
      <c r="C581" s="2" t="s">
        <v>1347</v>
      </c>
      <c r="D581" s="2" t="s">
        <v>1347</v>
      </c>
      <c r="E581" s="8" t="s">
        <v>122</v>
      </c>
      <c r="F581" s="8" t="s">
        <v>115</v>
      </c>
      <c r="G581" s="1">
        <v>1</v>
      </c>
      <c r="H581" s="1"/>
      <c r="I581" s="1">
        <f>1799-20</f>
        <v>1779</v>
      </c>
      <c r="J581" t="s">
        <v>69</v>
      </c>
      <c r="K581" t="s">
        <v>12</v>
      </c>
      <c r="N581">
        <v>1</v>
      </c>
      <c r="Q581">
        <v>5</v>
      </c>
      <c r="R581">
        <v>3</v>
      </c>
      <c r="T581" s="5">
        <f t="shared" si="32"/>
        <v>165.89000000000001</v>
      </c>
      <c r="U581" s="17" t="s">
        <v>225</v>
      </c>
      <c r="AG581" s="6">
        <v>1</v>
      </c>
      <c r="AH581" s="6">
        <v>1</v>
      </c>
      <c r="AI581" s="6">
        <v>1</v>
      </c>
      <c r="AJ581" s="6">
        <v>1</v>
      </c>
      <c r="AK581" s="6">
        <v>1</v>
      </c>
      <c r="AL581" s="6">
        <v>1</v>
      </c>
      <c r="AM581" s="7">
        <v>1</v>
      </c>
      <c r="BC581" t="s">
        <v>1348</v>
      </c>
      <c r="BD581" s="7" t="s">
        <v>103</v>
      </c>
      <c r="BE581" t="s">
        <v>125</v>
      </c>
      <c r="BF581" s="1" t="s">
        <v>29</v>
      </c>
      <c r="BG581" s="1">
        <v>9</v>
      </c>
      <c r="BH581">
        <v>1</v>
      </c>
      <c r="BK581" s="27">
        <v>1</v>
      </c>
      <c r="BQ581">
        <v>1</v>
      </c>
      <c r="CS581" s="7" t="s">
        <v>1341</v>
      </c>
    </row>
    <row r="582" spans="1:97">
      <c r="B582" t="s">
        <v>3321</v>
      </c>
      <c r="C582" s="2" t="s">
        <v>3322</v>
      </c>
      <c r="D582" s="15"/>
      <c r="E582" s="8" t="s">
        <v>2991</v>
      </c>
      <c r="F582" s="8" t="s">
        <v>357</v>
      </c>
      <c r="G582" s="1">
        <v>1</v>
      </c>
      <c r="H582" s="1"/>
      <c r="I582" s="1">
        <f>1806-21</f>
        <v>1785</v>
      </c>
      <c r="J582" t="s">
        <v>10</v>
      </c>
      <c r="K582" t="s">
        <v>12</v>
      </c>
      <c r="Q582">
        <v>5</v>
      </c>
      <c r="R582">
        <v>0</v>
      </c>
      <c r="S582">
        <v>3</v>
      </c>
      <c r="T582" s="5">
        <f t="shared" si="32"/>
        <v>158.66</v>
      </c>
      <c r="U582" s="17" t="s">
        <v>3323</v>
      </c>
      <c r="AG582" s="6">
        <v>1</v>
      </c>
      <c r="AH582" s="6">
        <v>1</v>
      </c>
      <c r="AI582" s="6">
        <v>1</v>
      </c>
      <c r="AJ582" s="6">
        <v>1</v>
      </c>
      <c r="AK582" s="6">
        <v>1</v>
      </c>
      <c r="AL582" s="6">
        <v>1</v>
      </c>
      <c r="AM582" s="6">
        <v>1</v>
      </c>
      <c r="AN582" s="6">
        <v>1</v>
      </c>
      <c r="AO582" s="6">
        <v>1</v>
      </c>
      <c r="AP582" s="6">
        <v>1</v>
      </c>
      <c r="AQ582" s="6">
        <v>1</v>
      </c>
      <c r="AR582" s="6">
        <v>1</v>
      </c>
      <c r="AS582" s="7">
        <v>1</v>
      </c>
      <c r="BC582" t="s">
        <v>2443</v>
      </c>
      <c r="BD582" s="7" t="s">
        <v>103</v>
      </c>
      <c r="BE582" t="s">
        <v>2407</v>
      </c>
      <c r="BF582" s="1" t="s">
        <v>29</v>
      </c>
      <c r="BG582" s="1">
        <v>8</v>
      </c>
      <c r="BH582">
        <v>2</v>
      </c>
      <c r="BK582" s="27">
        <v>1</v>
      </c>
      <c r="BQ582">
        <v>1</v>
      </c>
      <c r="CL582">
        <v>1</v>
      </c>
      <c r="CM582">
        <v>1</v>
      </c>
      <c r="CS582" s="7" t="s">
        <v>1505</v>
      </c>
    </row>
    <row r="583" spans="1:97">
      <c r="B583" t="s">
        <v>1756</v>
      </c>
      <c r="C583" s="2" t="s">
        <v>1757</v>
      </c>
      <c r="D583" s="2" t="s">
        <v>224</v>
      </c>
      <c r="E583" s="8" t="s">
        <v>122</v>
      </c>
      <c r="F583" s="8" t="s">
        <v>115</v>
      </c>
      <c r="G583" s="1">
        <v>1</v>
      </c>
      <c r="H583" s="1"/>
      <c r="I583" s="1">
        <f>1799-30</f>
        <v>1769</v>
      </c>
      <c r="J583" t="s">
        <v>69</v>
      </c>
      <c r="K583" t="s">
        <v>12</v>
      </c>
      <c r="Q583">
        <v>5</v>
      </c>
      <c r="R583">
        <v>2</v>
      </c>
      <c r="T583" s="5">
        <f t="shared" si="32"/>
        <v>163.26</v>
      </c>
      <c r="U583" s="17" t="s">
        <v>1758</v>
      </c>
      <c r="AG583" s="6">
        <v>1</v>
      </c>
      <c r="AH583" s="6">
        <v>1</v>
      </c>
      <c r="AI583" s="7">
        <v>1</v>
      </c>
      <c r="BC583" t="s">
        <v>324</v>
      </c>
      <c r="BD583" s="7" t="s">
        <v>109</v>
      </c>
      <c r="BE583" t="s">
        <v>125</v>
      </c>
      <c r="BF583" s="1" t="s">
        <v>29</v>
      </c>
      <c r="BG583" s="1">
        <v>2</v>
      </c>
      <c r="BH583">
        <v>1</v>
      </c>
      <c r="BK583" s="27">
        <v>1</v>
      </c>
      <c r="BQ583">
        <v>1</v>
      </c>
      <c r="CS583" s="22" t="s">
        <v>1313</v>
      </c>
    </row>
    <row r="584" spans="1:97">
      <c r="B584" t="s">
        <v>1255</v>
      </c>
      <c r="C584" s="2" t="s">
        <v>121</v>
      </c>
      <c r="D584" s="2" t="s">
        <v>121</v>
      </c>
      <c r="E584" s="8" t="s">
        <v>122</v>
      </c>
      <c r="F584" s="8" t="s">
        <v>115</v>
      </c>
      <c r="G584" s="1">
        <v>1</v>
      </c>
      <c r="H584" s="1"/>
      <c r="I584" s="1">
        <f>1800-30</f>
        <v>1770</v>
      </c>
      <c r="J584" t="s">
        <v>69</v>
      </c>
      <c r="K584" t="s">
        <v>12</v>
      </c>
      <c r="N584">
        <v>1</v>
      </c>
      <c r="Q584">
        <v>5</v>
      </c>
      <c r="R584">
        <v>2</v>
      </c>
      <c r="S584">
        <v>1</v>
      </c>
      <c r="T584" s="5">
        <f t="shared" si="32"/>
        <v>163.47999999999999</v>
      </c>
      <c r="U584" t="s">
        <v>123</v>
      </c>
      <c r="AG584" s="6">
        <v>1</v>
      </c>
      <c r="AH584" s="6">
        <v>1</v>
      </c>
      <c r="AI584" s="6">
        <v>1</v>
      </c>
      <c r="AJ584" s="6">
        <v>1</v>
      </c>
      <c r="AK584" s="6">
        <v>1</v>
      </c>
      <c r="AL584" s="6">
        <v>1</v>
      </c>
      <c r="AM584" s="6">
        <v>1</v>
      </c>
      <c r="AN584" s="6">
        <v>1</v>
      </c>
      <c r="AO584" s="6">
        <v>1</v>
      </c>
      <c r="AP584" s="6">
        <v>1</v>
      </c>
      <c r="AQ584" s="6">
        <v>1</v>
      </c>
      <c r="AR584" s="6">
        <v>1</v>
      </c>
      <c r="AS584" s="6">
        <v>1</v>
      </c>
      <c r="AT584" s="6">
        <v>1</v>
      </c>
      <c r="AU584" s="6">
        <v>1</v>
      </c>
      <c r="AV584" s="6">
        <v>1</v>
      </c>
      <c r="AW584" s="6">
        <v>1</v>
      </c>
      <c r="AX584" s="7">
        <v>1</v>
      </c>
      <c r="BC584" t="s">
        <v>1256</v>
      </c>
      <c r="BD584" s="7" t="s">
        <v>959</v>
      </c>
      <c r="BE584" s="7" t="s">
        <v>2390</v>
      </c>
      <c r="BF584" s="1" t="s">
        <v>29</v>
      </c>
      <c r="BG584" s="1">
        <v>21</v>
      </c>
      <c r="BH584">
        <v>5</v>
      </c>
      <c r="BJ584">
        <v>1</v>
      </c>
      <c r="BK584" s="27">
        <v>1</v>
      </c>
      <c r="BQ584">
        <v>1</v>
      </c>
      <c r="CB584" s="7">
        <v>1</v>
      </c>
      <c r="CC584">
        <v>1</v>
      </c>
      <c r="CL584">
        <v>1</v>
      </c>
      <c r="CQ584">
        <v>1</v>
      </c>
      <c r="CS584" s="7" t="s">
        <v>1258</v>
      </c>
    </row>
    <row r="585" spans="1:97">
      <c r="B585" t="s">
        <v>2049</v>
      </c>
      <c r="C585" s="2" t="s">
        <v>2922</v>
      </c>
      <c r="D585" s="2" t="s">
        <v>2922</v>
      </c>
      <c r="E585" s="8" t="s">
        <v>696</v>
      </c>
      <c r="F585" s="8" t="s">
        <v>115</v>
      </c>
      <c r="G585" s="1">
        <v>1</v>
      </c>
      <c r="H585" s="1"/>
      <c r="I585" s="1">
        <f>1807-37</f>
        <v>1770</v>
      </c>
      <c r="J585" t="s">
        <v>69</v>
      </c>
      <c r="K585" t="s">
        <v>12</v>
      </c>
      <c r="M585">
        <v>1</v>
      </c>
      <c r="Q585">
        <v>5</v>
      </c>
      <c r="R585">
        <v>0</v>
      </c>
      <c r="S585">
        <v>1</v>
      </c>
      <c r="T585" s="5">
        <f>((Q585*316)+(R585*26.3)+(S585*2.2))/10</f>
        <v>158.22</v>
      </c>
      <c r="U585" t="s">
        <v>2876</v>
      </c>
      <c r="AG585" s="6">
        <v>1</v>
      </c>
      <c r="AH585" s="6">
        <v>1</v>
      </c>
      <c r="AI585" s="6">
        <v>1</v>
      </c>
      <c r="AJ585" s="6">
        <v>1</v>
      </c>
      <c r="AK585" s="6">
        <v>1</v>
      </c>
      <c r="AL585" s="6">
        <v>1</v>
      </c>
      <c r="AM585" s="6">
        <v>1</v>
      </c>
      <c r="AN585" s="6">
        <v>1</v>
      </c>
      <c r="AO585" s="6">
        <v>1</v>
      </c>
      <c r="AP585" s="6">
        <v>1</v>
      </c>
      <c r="AQ585" s="6">
        <v>1</v>
      </c>
      <c r="AR585" s="6">
        <v>1</v>
      </c>
      <c r="AS585" s="6">
        <v>1</v>
      </c>
      <c r="AT585" s="6">
        <v>1</v>
      </c>
      <c r="BC585">
        <v>1812</v>
      </c>
      <c r="BD585" t="s">
        <v>81</v>
      </c>
      <c r="BE585" t="s">
        <v>62</v>
      </c>
      <c r="BF585" s="1" t="s">
        <v>73</v>
      </c>
      <c r="BG585" s="1">
        <v>9</v>
      </c>
      <c r="BH585">
        <v>2</v>
      </c>
      <c r="BK585" s="27">
        <v>1</v>
      </c>
      <c r="BQ585">
        <v>1</v>
      </c>
      <c r="CL585">
        <v>1</v>
      </c>
      <c r="CM585">
        <v>1</v>
      </c>
      <c r="CS585" t="s">
        <v>2487</v>
      </c>
    </row>
    <row r="586" spans="1:97">
      <c r="B586" t="s">
        <v>2874</v>
      </c>
      <c r="C586" s="2" t="s">
        <v>2875</v>
      </c>
      <c r="D586" s="2" t="s">
        <v>2875</v>
      </c>
      <c r="E586" s="8" t="s">
        <v>696</v>
      </c>
      <c r="F586" s="8" t="s">
        <v>115</v>
      </c>
      <c r="G586" s="1">
        <v>1</v>
      </c>
      <c r="H586" s="1"/>
      <c r="I586" s="1">
        <f>1804-45</f>
        <v>1759</v>
      </c>
      <c r="J586" t="s">
        <v>69</v>
      </c>
      <c r="K586" t="s">
        <v>12</v>
      </c>
      <c r="N586">
        <v>1</v>
      </c>
      <c r="Q586">
        <v>5</v>
      </c>
      <c r="R586">
        <v>1</v>
      </c>
      <c r="S586">
        <v>1</v>
      </c>
      <c r="T586" s="5">
        <f t="shared" si="32"/>
        <v>160.85</v>
      </c>
      <c r="U586" t="s">
        <v>2876</v>
      </c>
      <c r="AG586" s="6">
        <v>1</v>
      </c>
      <c r="AH586" s="6">
        <v>1</v>
      </c>
      <c r="AI586" s="6">
        <v>1</v>
      </c>
      <c r="AJ586" s="6">
        <v>1</v>
      </c>
      <c r="AK586" s="6">
        <v>1</v>
      </c>
      <c r="AL586" s="6">
        <v>1</v>
      </c>
      <c r="AM586" s="6">
        <v>1</v>
      </c>
      <c r="AN586" s="7">
        <v>1</v>
      </c>
      <c r="BC586" t="s">
        <v>2830</v>
      </c>
      <c r="BD586" s="7" t="s">
        <v>109</v>
      </c>
      <c r="BE586" t="s">
        <v>2005</v>
      </c>
      <c r="BF586" s="1" t="s">
        <v>29</v>
      </c>
      <c r="BG586" s="1">
        <v>5</v>
      </c>
      <c r="BH586">
        <v>1</v>
      </c>
      <c r="BK586" s="27">
        <v>1</v>
      </c>
      <c r="BQ586">
        <v>1</v>
      </c>
      <c r="CS586" s="7" t="s">
        <v>354</v>
      </c>
    </row>
    <row r="587" spans="1:97">
      <c r="B587" t="s">
        <v>2932</v>
      </c>
      <c r="C587" s="13" t="s">
        <v>2933</v>
      </c>
      <c r="D587" s="15"/>
      <c r="F587" s="8" t="s">
        <v>234</v>
      </c>
      <c r="G587" s="1">
        <v>1</v>
      </c>
      <c r="H587" s="1"/>
      <c r="I587" s="1">
        <f>1799-20</f>
        <v>1779</v>
      </c>
      <c r="J587" t="s">
        <v>10</v>
      </c>
      <c r="K587" t="s">
        <v>12</v>
      </c>
      <c r="Q587">
        <v>5</v>
      </c>
      <c r="R587">
        <v>1</v>
      </c>
      <c r="S587">
        <v>2</v>
      </c>
      <c r="T587" s="5">
        <f>((Q587*316)+(R587*26.3)+(S587*2.2))/10</f>
        <v>161.07</v>
      </c>
      <c r="U587" t="s">
        <v>2934</v>
      </c>
      <c r="AG587" s="6">
        <v>1</v>
      </c>
      <c r="AH587" s="6">
        <v>1</v>
      </c>
      <c r="AI587" s="6">
        <v>1</v>
      </c>
      <c r="AJ587" s="6">
        <v>1</v>
      </c>
      <c r="AK587" s="6">
        <v>1</v>
      </c>
      <c r="AL587" s="6">
        <v>1</v>
      </c>
      <c r="AM587" s="7">
        <v>1</v>
      </c>
      <c r="BC587" s="9" t="s">
        <v>3095</v>
      </c>
      <c r="BD587" s="7" t="s">
        <v>280</v>
      </c>
      <c r="BE587" t="s">
        <v>2407</v>
      </c>
      <c r="BF587" s="1" t="s">
        <v>29</v>
      </c>
      <c r="BG587" s="1">
        <v>4</v>
      </c>
      <c r="BH587">
        <v>2</v>
      </c>
      <c r="BI587">
        <v>1</v>
      </c>
      <c r="BK587" s="27" t="s">
        <v>72</v>
      </c>
      <c r="BQ587">
        <v>1</v>
      </c>
      <c r="CL587">
        <v>1</v>
      </c>
      <c r="CS587" s="7" t="s">
        <v>3063</v>
      </c>
    </row>
    <row r="588" spans="1:97">
      <c r="B588" t="s">
        <v>1494</v>
      </c>
      <c r="C588" s="2" t="s">
        <v>1495</v>
      </c>
      <c r="D588" s="15"/>
      <c r="F588" s="8" t="s">
        <v>115</v>
      </c>
      <c r="G588" s="1">
        <v>1</v>
      </c>
      <c r="H588" s="1"/>
      <c r="I588" s="1">
        <f>1804-24</f>
        <v>1780</v>
      </c>
      <c r="J588" t="s">
        <v>10</v>
      </c>
      <c r="K588" t="s">
        <v>12</v>
      </c>
      <c r="Q588">
        <v>5</v>
      </c>
      <c r="R588">
        <v>2</v>
      </c>
      <c r="T588" s="5">
        <f t="shared" si="32"/>
        <v>163.26</v>
      </c>
      <c r="U588" t="s">
        <v>1496</v>
      </c>
      <c r="AG588" s="6">
        <v>1</v>
      </c>
      <c r="AH588" s="6">
        <v>1</v>
      </c>
      <c r="AI588" s="6">
        <v>1</v>
      </c>
      <c r="AJ588" s="6">
        <v>1</v>
      </c>
      <c r="AK588" s="6">
        <v>1</v>
      </c>
      <c r="AL588" s="6">
        <v>1</v>
      </c>
      <c r="AM588" s="6">
        <v>1</v>
      </c>
      <c r="AN588" s="6">
        <v>1</v>
      </c>
      <c r="AO588" s="7">
        <v>1</v>
      </c>
      <c r="BC588" t="s">
        <v>1497</v>
      </c>
      <c r="BD588" s="7" t="s">
        <v>26</v>
      </c>
      <c r="BE588" t="s">
        <v>62</v>
      </c>
      <c r="BF588" s="1" t="s">
        <v>29</v>
      </c>
      <c r="BG588" s="1">
        <v>7</v>
      </c>
      <c r="BH588">
        <v>2</v>
      </c>
      <c r="BI588">
        <v>1</v>
      </c>
      <c r="BK588" s="27">
        <v>1</v>
      </c>
      <c r="BQ588">
        <v>1</v>
      </c>
      <c r="CL588">
        <v>1</v>
      </c>
      <c r="CS588" s="7" t="s">
        <v>1498</v>
      </c>
    </row>
    <row r="589" spans="1:97">
      <c r="A589" t="s">
        <v>72</v>
      </c>
      <c r="B589" t="s">
        <v>2738</v>
      </c>
      <c r="C589" s="15"/>
      <c r="D589" s="15"/>
      <c r="F589" s="8" t="s">
        <v>7</v>
      </c>
      <c r="G589" s="1"/>
      <c r="H589" s="1"/>
      <c r="I589" s="1"/>
      <c r="T589" s="5"/>
      <c r="U589" t="s">
        <v>2739</v>
      </c>
      <c r="AG589" s="6">
        <v>1</v>
      </c>
      <c r="AH589" s="6">
        <v>1</v>
      </c>
      <c r="AI589" s="7">
        <v>1</v>
      </c>
      <c r="BC589" t="s">
        <v>892</v>
      </c>
      <c r="BD589" s="7" t="s">
        <v>26</v>
      </c>
      <c r="BE589" t="s">
        <v>2005</v>
      </c>
      <c r="BF589" s="1" t="s">
        <v>29</v>
      </c>
      <c r="BG589" s="1">
        <v>2</v>
      </c>
      <c r="BH589">
        <v>1</v>
      </c>
      <c r="BK589" s="27">
        <v>1</v>
      </c>
      <c r="BQ589">
        <v>1</v>
      </c>
      <c r="CS589" s="7" t="s">
        <v>2740</v>
      </c>
    </row>
    <row r="590" spans="1:97">
      <c r="B590" t="s">
        <v>3153</v>
      </c>
      <c r="C590" s="2" t="s">
        <v>2924</v>
      </c>
      <c r="D590" s="2" t="s">
        <v>2924</v>
      </c>
      <c r="E590" s="8" t="s">
        <v>599</v>
      </c>
      <c r="F590" s="8" t="s">
        <v>357</v>
      </c>
      <c r="G590" s="1">
        <v>1</v>
      </c>
      <c r="H590" s="1"/>
      <c r="I590" s="1">
        <f>1799-26</f>
        <v>1773</v>
      </c>
      <c r="J590" t="s">
        <v>10</v>
      </c>
      <c r="K590" t="s">
        <v>12</v>
      </c>
      <c r="Q590">
        <v>5</v>
      </c>
      <c r="R590">
        <v>1</v>
      </c>
      <c r="S590">
        <v>1</v>
      </c>
      <c r="T590" s="5">
        <f t="shared" si="32"/>
        <v>160.85</v>
      </c>
      <c r="U590" t="s">
        <v>2739</v>
      </c>
      <c r="AG590" s="6">
        <v>1</v>
      </c>
      <c r="BC590">
        <v>1799</v>
      </c>
      <c r="BD590" t="s">
        <v>81</v>
      </c>
      <c r="BE590" s="10" t="s">
        <v>2407</v>
      </c>
      <c r="BF590" s="1" t="s">
        <v>73</v>
      </c>
      <c r="BG590" s="1">
        <v>2</v>
      </c>
      <c r="BH590">
        <v>2</v>
      </c>
      <c r="BK590" s="27">
        <v>1</v>
      </c>
      <c r="BQ590">
        <v>1</v>
      </c>
      <c r="CL590" s="10">
        <v>1</v>
      </c>
      <c r="CS590" s="10" t="s">
        <v>2926</v>
      </c>
    </row>
    <row r="591" spans="1:97">
      <c r="A591" t="s">
        <v>72</v>
      </c>
      <c r="B591" t="s">
        <v>4493</v>
      </c>
      <c r="C591" s="15"/>
      <c r="D591" s="15"/>
      <c r="F591" t="s">
        <v>7</v>
      </c>
      <c r="G591" s="1"/>
      <c r="H591" s="1"/>
      <c r="I591" s="1"/>
      <c r="T591" s="5"/>
      <c r="U591" s="9" t="s">
        <v>4494</v>
      </c>
      <c r="AF591" s="9"/>
      <c r="AG591" s="7">
        <v>1</v>
      </c>
      <c r="BC591" s="9" t="s">
        <v>4495</v>
      </c>
      <c r="BD591" s="7" t="s">
        <v>103</v>
      </c>
      <c r="BE591" t="s">
        <v>975</v>
      </c>
      <c r="BF591" s="1" t="s">
        <v>29</v>
      </c>
      <c r="BG591" s="1">
        <v>1</v>
      </c>
      <c r="BH591">
        <v>1</v>
      </c>
      <c r="BK591" s="27"/>
      <c r="BQ591">
        <v>1</v>
      </c>
      <c r="CS591" s="7" t="s">
        <v>4496</v>
      </c>
    </row>
    <row r="592" spans="1:97">
      <c r="B592" t="s">
        <v>3166</v>
      </c>
      <c r="C592" s="2" t="s">
        <v>356</v>
      </c>
      <c r="D592" s="2" t="s">
        <v>356</v>
      </c>
      <c r="E592" s="8" t="s">
        <v>546</v>
      </c>
      <c r="F592" s="8" t="s">
        <v>357</v>
      </c>
      <c r="G592" s="1">
        <v>1</v>
      </c>
      <c r="H592" s="1"/>
      <c r="I592" s="1">
        <f>1799-20</f>
        <v>1779</v>
      </c>
      <c r="J592" t="s">
        <v>10</v>
      </c>
      <c r="K592" t="s">
        <v>12</v>
      </c>
      <c r="Q592">
        <v>5</v>
      </c>
      <c r="R592">
        <v>4</v>
      </c>
      <c r="S592">
        <v>3</v>
      </c>
      <c r="T592" s="5">
        <f t="shared" si="32"/>
        <v>169.18</v>
      </c>
      <c r="U592" t="s">
        <v>3167</v>
      </c>
      <c r="AG592" s="6">
        <v>1</v>
      </c>
      <c r="AH592" s="6">
        <v>1</v>
      </c>
      <c r="AI592" s="6">
        <v>1</v>
      </c>
      <c r="AJ592" s="7">
        <v>1</v>
      </c>
      <c r="BC592" t="s">
        <v>3168</v>
      </c>
      <c r="BD592" s="7" t="s">
        <v>103</v>
      </c>
      <c r="BE592" t="s">
        <v>2407</v>
      </c>
      <c r="BF592" s="1" t="s">
        <v>29</v>
      </c>
      <c r="BG592" s="1">
        <v>3</v>
      </c>
      <c r="BH592">
        <v>1</v>
      </c>
      <c r="BK592" s="27">
        <v>1</v>
      </c>
      <c r="BQ592">
        <v>1</v>
      </c>
      <c r="CS592" s="7" t="s">
        <v>1066</v>
      </c>
    </row>
    <row r="593" spans="1:98">
      <c r="B593" t="s">
        <v>3730</v>
      </c>
      <c r="C593" s="13" t="s">
        <v>3731</v>
      </c>
      <c r="D593" s="2"/>
      <c r="F593" s="8" t="s">
        <v>65</v>
      </c>
      <c r="G593" s="1">
        <v>1</v>
      </c>
      <c r="H593" s="1"/>
      <c r="I593" s="1">
        <f>1800-20</f>
        <v>1780</v>
      </c>
      <c r="J593" t="s">
        <v>10</v>
      </c>
      <c r="K593" t="s">
        <v>12</v>
      </c>
      <c r="Q593">
        <v>5</v>
      </c>
      <c r="T593" s="5">
        <f t="shared" si="32"/>
        <v>158</v>
      </c>
      <c r="U593" t="s">
        <v>3732</v>
      </c>
      <c r="AG593" s="6">
        <v>1</v>
      </c>
      <c r="AH593" s="6">
        <v>1</v>
      </c>
      <c r="BC593">
        <v>1800</v>
      </c>
      <c r="BD593" t="s">
        <v>81</v>
      </c>
      <c r="BE593" s="10" t="s">
        <v>2407</v>
      </c>
      <c r="BF593" s="1" t="s">
        <v>73</v>
      </c>
      <c r="BG593" s="1">
        <v>2</v>
      </c>
      <c r="BH593">
        <v>3</v>
      </c>
      <c r="BK593" s="27">
        <v>1</v>
      </c>
      <c r="BQ593">
        <v>1</v>
      </c>
      <c r="CL593" s="10">
        <v>1</v>
      </c>
      <c r="CS593" s="10" t="s">
        <v>2778</v>
      </c>
    </row>
    <row r="594" spans="1:98">
      <c r="B594" t="s">
        <v>1060</v>
      </c>
      <c r="C594" s="2" t="s">
        <v>1061</v>
      </c>
      <c r="D594" s="15"/>
      <c r="F594" s="8" t="s">
        <v>1062</v>
      </c>
      <c r="G594" s="1">
        <v>1</v>
      </c>
      <c r="H594" s="1"/>
      <c r="I594" s="1">
        <f>1801-25</f>
        <v>1776</v>
      </c>
      <c r="J594" t="s">
        <v>10</v>
      </c>
      <c r="K594" t="s">
        <v>12</v>
      </c>
      <c r="T594" s="5"/>
      <c r="U594" s="9" t="s">
        <v>1063</v>
      </c>
      <c r="AG594" s="9">
        <v>1</v>
      </c>
      <c r="AH594" s="6">
        <v>1</v>
      </c>
      <c r="AI594" s="6">
        <v>1</v>
      </c>
      <c r="AJ594" s="7">
        <v>1</v>
      </c>
      <c r="BC594" t="s">
        <v>1064</v>
      </c>
      <c r="BD594" s="7" t="s">
        <v>103</v>
      </c>
      <c r="BE594" t="s">
        <v>1065</v>
      </c>
      <c r="BF594" s="1" t="s">
        <v>29</v>
      </c>
      <c r="BG594" s="1">
        <v>2</v>
      </c>
      <c r="BH594">
        <v>2</v>
      </c>
      <c r="BK594" s="27">
        <v>1</v>
      </c>
      <c r="BQ594">
        <v>1</v>
      </c>
      <c r="BS594">
        <v>1</v>
      </c>
      <c r="CL594">
        <v>1</v>
      </c>
      <c r="CS594" s="7" t="s">
        <v>1066</v>
      </c>
    </row>
    <row r="595" spans="1:98">
      <c r="B595" t="s">
        <v>1530</v>
      </c>
      <c r="C595" s="2" t="s">
        <v>1531</v>
      </c>
      <c r="D595" s="2" t="s">
        <v>1531</v>
      </c>
      <c r="E595" s="8" t="s">
        <v>1532</v>
      </c>
      <c r="F595" s="8" t="s">
        <v>115</v>
      </c>
      <c r="G595" s="1">
        <v>1</v>
      </c>
      <c r="H595" s="1"/>
      <c r="I595" s="1">
        <f>1803-32</f>
        <v>1771</v>
      </c>
      <c r="J595" t="s">
        <v>69</v>
      </c>
      <c r="K595" t="s">
        <v>12</v>
      </c>
      <c r="N595">
        <v>1</v>
      </c>
      <c r="Q595">
        <v>5</v>
      </c>
      <c r="R595">
        <v>4</v>
      </c>
      <c r="S595">
        <v>1</v>
      </c>
      <c r="T595" s="5">
        <f>((Q595*316)+(R595*26.3)+(S595*2.2))/10</f>
        <v>168.74</v>
      </c>
      <c r="U595" t="s">
        <v>1533</v>
      </c>
      <c r="AG595" s="6">
        <v>1</v>
      </c>
      <c r="AH595" s="6">
        <v>1</v>
      </c>
      <c r="AI595" s="6">
        <v>1</v>
      </c>
      <c r="AJ595" s="6">
        <v>1</v>
      </c>
      <c r="AK595" s="6">
        <v>1</v>
      </c>
      <c r="AL595" s="6">
        <v>1</v>
      </c>
      <c r="AM595" s="6">
        <v>1</v>
      </c>
      <c r="AN595" s="7">
        <v>1</v>
      </c>
      <c r="BC595" t="s">
        <v>1501</v>
      </c>
      <c r="BD595" s="7" t="s">
        <v>109</v>
      </c>
      <c r="BE595" t="s">
        <v>1502</v>
      </c>
      <c r="BF595" s="1" t="s">
        <v>29</v>
      </c>
      <c r="BG595" s="1">
        <v>3</v>
      </c>
      <c r="BH595">
        <v>1</v>
      </c>
      <c r="BK595" s="27">
        <v>1</v>
      </c>
      <c r="BQ595">
        <v>1</v>
      </c>
      <c r="CM595">
        <v>1</v>
      </c>
      <c r="CR595" t="s">
        <v>72</v>
      </c>
      <c r="CS595" s="7" t="s">
        <v>354</v>
      </c>
    </row>
    <row r="596" spans="1:98">
      <c r="B596" t="s">
        <v>2173</v>
      </c>
      <c r="C596" s="2" t="s">
        <v>2174</v>
      </c>
      <c r="D596" s="2"/>
      <c r="F596" s="8" t="s">
        <v>595</v>
      </c>
      <c r="G596" s="1"/>
      <c r="H596" s="30">
        <v>1</v>
      </c>
      <c r="I596" s="1">
        <f>1803-39</f>
        <v>1764</v>
      </c>
      <c r="J596" t="s">
        <v>69</v>
      </c>
      <c r="K596" t="s">
        <v>12</v>
      </c>
      <c r="N596">
        <v>1</v>
      </c>
      <c r="Q596">
        <v>5</v>
      </c>
      <c r="R596">
        <v>2</v>
      </c>
      <c r="S596">
        <v>1</v>
      </c>
      <c r="T596" s="5">
        <f>((Q596*316)+(R596*26.3)+(S596*2.2))/10</f>
        <v>163.47999999999999</v>
      </c>
      <c r="U596" t="s">
        <v>2176</v>
      </c>
      <c r="AG596" s="6">
        <v>1</v>
      </c>
      <c r="AH596" s="6">
        <v>1</v>
      </c>
      <c r="AI596" s="6">
        <v>1</v>
      </c>
      <c r="AJ596" s="6">
        <v>1</v>
      </c>
      <c r="AK596" s="6">
        <v>1</v>
      </c>
      <c r="AL596" s="6">
        <v>1</v>
      </c>
      <c r="AM596" s="6">
        <v>1</v>
      </c>
      <c r="AN596" s="7">
        <v>1</v>
      </c>
      <c r="BC596" t="s">
        <v>1501</v>
      </c>
      <c r="BD596" s="7" t="s">
        <v>109</v>
      </c>
      <c r="BE596" t="s">
        <v>1502</v>
      </c>
      <c r="BF596" s="1" t="s">
        <v>29</v>
      </c>
      <c r="BG596" s="1">
        <v>3</v>
      </c>
      <c r="BH596">
        <v>1</v>
      </c>
      <c r="BK596" s="51">
        <v>1</v>
      </c>
      <c r="BQ596">
        <v>1</v>
      </c>
      <c r="CM596">
        <v>1</v>
      </c>
      <c r="CS596" s="7" t="s">
        <v>354</v>
      </c>
      <c r="CT596" s="6" t="s">
        <v>2175</v>
      </c>
    </row>
    <row r="597" spans="1:98">
      <c r="B597" t="s">
        <v>4669</v>
      </c>
      <c r="C597" s="2" t="s">
        <v>1336</v>
      </c>
      <c r="D597" s="3" t="s">
        <v>192</v>
      </c>
      <c r="E597" s="8" t="s">
        <v>837</v>
      </c>
      <c r="F597" s="8" t="s">
        <v>115</v>
      </c>
      <c r="G597" s="1">
        <v>1</v>
      </c>
      <c r="H597" s="1"/>
      <c r="I597" s="1">
        <f>1802-24</f>
        <v>1778</v>
      </c>
      <c r="J597" t="s">
        <v>69</v>
      </c>
      <c r="K597" t="s">
        <v>197</v>
      </c>
      <c r="M597">
        <v>1</v>
      </c>
      <c r="Q597">
        <v>5</v>
      </c>
      <c r="R597">
        <v>5</v>
      </c>
      <c r="S597">
        <v>1</v>
      </c>
      <c r="T597" s="5">
        <f>((Q597*316)+(R597*26.3)+(S597*2.2))/10</f>
        <v>171.37</v>
      </c>
      <c r="U597" t="s">
        <v>4670</v>
      </c>
      <c r="AG597" s="6">
        <v>1</v>
      </c>
      <c r="AH597" s="6">
        <v>1</v>
      </c>
      <c r="AI597" s="6">
        <v>1</v>
      </c>
      <c r="AJ597" s="6">
        <v>1</v>
      </c>
      <c r="AK597" s="7">
        <v>1</v>
      </c>
      <c r="BC597" s="9" t="s">
        <v>4671</v>
      </c>
      <c r="BD597" s="7" t="s">
        <v>103</v>
      </c>
      <c r="BE597" t="s">
        <v>975</v>
      </c>
      <c r="BF597" s="1" t="s">
        <v>29</v>
      </c>
      <c r="BG597" s="1">
        <v>2</v>
      </c>
      <c r="BH597">
        <v>1</v>
      </c>
      <c r="BK597" s="27" t="s">
        <v>72</v>
      </c>
      <c r="BQ597">
        <v>1</v>
      </c>
      <c r="CM597">
        <v>1</v>
      </c>
      <c r="CS597" s="7" t="s">
        <v>4672</v>
      </c>
    </row>
    <row r="598" spans="1:98">
      <c r="B598" t="s">
        <v>2440</v>
      </c>
      <c r="C598" s="2" t="s">
        <v>2441</v>
      </c>
      <c r="D598" s="2" t="s">
        <v>2441</v>
      </c>
      <c r="E598" s="8" t="s">
        <v>654</v>
      </c>
      <c r="F598" s="8" t="s">
        <v>65</v>
      </c>
      <c r="G598" s="1">
        <v>1</v>
      </c>
      <c r="H598" s="1"/>
      <c r="I598" s="1">
        <f>1803-24</f>
        <v>1779</v>
      </c>
      <c r="J598" t="s">
        <v>10</v>
      </c>
      <c r="K598" t="s">
        <v>12</v>
      </c>
      <c r="Q598">
        <v>5</v>
      </c>
      <c r="R598">
        <v>2</v>
      </c>
      <c r="S598">
        <v>3</v>
      </c>
      <c r="T598" s="5">
        <f>((Q598*316)+(R598*26.3)+(S598*2.2))/10</f>
        <v>163.92</v>
      </c>
      <c r="U598" t="s">
        <v>2442</v>
      </c>
      <c r="AG598" s="6">
        <v>1</v>
      </c>
      <c r="AH598" s="6">
        <v>1</v>
      </c>
      <c r="AI598" s="6">
        <v>1</v>
      </c>
      <c r="AJ598" s="6">
        <v>1</v>
      </c>
      <c r="AK598" s="6">
        <v>1</v>
      </c>
      <c r="AL598" s="6">
        <v>1</v>
      </c>
      <c r="AM598" s="6">
        <v>1</v>
      </c>
      <c r="AN598" s="6">
        <v>1</v>
      </c>
      <c r="AO598" s="6">
        <v>1</v>
      </c>
      <c r="AP598" s="6">
        <v>1</v>
      </c>
      <c r="AQ598" s="6">
        <v>1</v>
      </c>
      <c r="AR598" s="6">
        <v>1</v>
      </c>
      <c r="AS598" s="7">
        <v>1</v>
      </c>
      <c r="BC598" t="s">
        <v>2443</v>
      </c>
      <c r="BD598" s="7" t="s">
        <v>103</v>
      </c>
      <c r="BE598" t="s">
        <v>118</v>
      </c>
      <c r="BF598" s="1" t="s">
        <v>29</v>
      </c>
      <c r="BG598" s="1">
        <v>4</v>
      </c>
      <c r="BH598">
        <v>1</v>
      </c>
      <c r="BK598" s="27">
        <v>1</v>
      </c>
      <c r="BQ598">
        <v>1</v>
      </c>
      <c r="CS598" s="7" t="s">
        <v>1505</v>
      </c>
    </row>
    <row r="599" spans="1:98">
      <c r="B599" t="s">
        <v>138</v>
      </c>
      <c r="C599" s="15" t="s">
        <v>2215</v>
      </c>
      <c r="D599" s="15"/>
      <c r="F599" s="8" t="s">
        <v>1548</v>
      </c>
      <c r="G599" s="1"/>
      <c r="H599" s="30">
        <v>1</v>
      </c>
      <c r="I599" s="1">
        <f>1803-26</f>
        <v>1777</v>
      </c>
      <c r="J599" t="s">
        <v>10</v>
      </c>
      <c r="K599" t="s">
        <v>12</v>
      </c>
      <c r="Q599">
        <v>5</v>
      </c>
      <c r="R599">
        <v>2</v>
      </c>
      <c r="S599">
        <v>1</v>
      </c>
      <c r="T599" s="5">
        <f>((Q599*316)+(R599*26.3)+(S599*2.2))/10</f>
        <v>163.47999999999999</v>
      </c>
      <c r="U599" t="s">
        <v>2214</v>
      </c>
      <c r="AG599" s="6">
        <v>1</v>
      </c>
      <c r="AH599" s="6">
        <v>1</v>
      </c>
      <c r="AI599" s="6">
        <v>1</v>
      </c>
      <c r="AJ599" s="6">
        <v>1</v>
      </c>
      <c r="AK599" s="6">
        <v>1</v>
      </c>
      <c r="AL599" s="6">
        <v>1</v>
      </c>
      <c r="AM599" s="7">
        <v>1</v>
      </c>
      <c r="BC599" t="s">
        <v>1467</v>
      </c>
      <c r="BD599" s="7" t="s">
        <v>280</v>
      </c>
      <c r="BE599" t="s">
        <v>1502</v>
      </c>
      <c r="BF599" s="1" t="s">
        <v>29</v>
      </c>
      <c r="BG599" s="1">
        <v>3</v>
      </c>
      <c r="BH599">
        <v>1</v>
      </c>
      <c r="BK599" s="51">
        <v>1</v>
      </c>
      <c r="BQ599">
        <v>1</v>
      </c>
      <c r="CN599">
        <v>1</v>
      </c>
      <c r="CS599" s="7" t="s">
        <v>2216</v>
      </c>
      <c r="CT599" s="6" t="s">
        <v>2936</v>
      </c>
    </row>
    <row r="600" spans="1:98">
      <c r="A600" t="s">
        <v>72</v>
      </c>
      <c r="B600" t="s">
        <v>1808</v>
      </c>
      <c r="C600" s="15"/>
      <c r="D600" s="15"/>
      <c r="F600" t="s">
        <v>7</v>
      </c>
      <c r="G600" s="1"/>
      <c r="H600" s="1"/>
      <c r="I600" s="1"/>
      <c r="T600" s="5"/>
      <c r="U600" s="9" t="s">
        <v>1366</v>
      </c>
      <c r="AG600" s="9">
        <v>1</v>
      </c>
      <c r="AH600" s="6">
        <v>1</v>
      </c>
      <c r="AI600" s="6">
        <v>1</v>
      </c>
      <c r="BC600">
        <v>1801</v>
      </c>
      <c r="BD600" t="s">
        <v>81</v>
      </c>
      <c r="BE600" s="10" t="s">
        <v>70</v>
      </c>
      <c r="BF600" s="1" t="s">
        <v>73</v>
      </c>
      <c r="BG600" s="1">
        <v>2</v>
      </c>
      <c r="BH600">
        <v>1</v>
      </c>
      <c r="BK600" s="27"/>
      <c r="BZ600">
        <v>1</v>
      </c>
      <c r="CS600" t="s">
        <v>111</v>
      </c>
      <c r="CT600" s="10" t="s">
        <v>82</v>
      </c>
    </row>
    <row r="601" spans="1:98">
      <c r="A601" t="s">
        <v>72</v>
      </c>
      <c r="B601" t="s">
        <v>1805</v>
      </c>
      <c r="C601" s="15"/>
      <c r="D601" s="15"/>
      <c r="F601" t="s">
        <v>7</v>
      </c>
      <c r="G601" s="1"/>
      <c r="H601" s="1"/>
      <c r="I601" s="1"/>
      <c r="T601" s="5"/>
      <c r="U601" s="9" t="s">
        <v>1366</v>
      </c>
      <c r="AG601" s="9">
        <v>1</v>
      </c>
      <c r="AH601" s="6">
        <v>1</v>
      </c>
      <c r="AI601" s="6">
        <v>1</v>
      </c>
      <c r="BC601">
        <v>1801</v>
      </c>
      <c r="BD601" t="s">
        <v>81</v>
      </c>
      <c r="BE601" s="10" t="s">
        <v>70</v>
      </c>
      <c r="BF601" s="1" t="s">
        <v>73</v>
      </c>
      <c r="BG601" s="1">
        <v>2</v>
      </c>
      <c r="BH601">
        <v>1</v>
      </c>
      <c r="BK601" s="27"/>
      <c r="BZ601">
        <v>1</v>
      </c>
      <c r="CS601" t="s">
        <v>111</v>
      </c>
      <c r="CT601" s="10" t="s">
        <v>82</v>
      </c>
    </row>
    <row r="602" spans="1:98">
      <c r="A602" t="s">
        <v>72</v>
      </c>
      <c r="B602" t="s">
        <v>1810</v>
      </c>
      <c r="C602" s="15"/>
      <c r="D602" s="15"/>
      <c r="F602" t="s">
        <v>7</v>
      </c>
      <c r="G602" s="1"/>
      <c r="H602" s="1"/>
      <c r="I602" s="1"/>
      <c r="T602" s="5"/>
      <c r="U602" s="9" t="s">
        <v>1366</v>
      </c>
      <c r="AG602" s="9">
        <v>1</v>
      </c>
      <c r="AH602" s="6">
        <v>1</v>
      </c>
      <c r="AI602" s="6">
        <v>1</v>
      </c>
      <c r="BC602" s="31">
        <v>1801</v>
      </c>
      <c r="BD602" s="31" t="s">
        <v>81</v>
      </c>
      <c r="BE602" s="33" t="s">
        <v>70</v>
      </c>
      <c r="BF602" s="1" t="s">
        <v>73</v>
      </c>
      <c r="BG602" s="1">
        <v>2</v>
      </c>
      <c r="BH602">
        <v>1</v>
      </c>
      <c r="BK602" s="1"/>
      <c r="BZ602">
        <v>1</v>
      </c>
      <c r="CS602" t="s">
        <v>111</v>
      </c>
      <c r="CT602" s="10" t="s">
        <v>82</v>
      </c>
    </row>
    <row r="603" spans="1:98">
      <c r="A603" t="s">
        <v>72</v>
      </c>
      <c r="B603" t="s">
        <v>4386</v>
      </c>
      <c r="C603" s="15"/>
      <c r="D603" s="15"/>
      <c r="F603" t="s">
        <v>7</v>
      </c>
      <c r="G603" s="1"/>
      <c r="H603" s="1"/>
      <c r="I603" s="1"/>
      <c r="T603" s="5"/>
      <c r="U603" s="9" t="s">
        <v>1366</v>
      </c>
      <c r="AG603" s="9">
        <v>1</v>
      </c>
      <c r="AH603" s="6">
        <v>1</v>
      </c>
      <c r="BC603" s="31">
        <v>1800</v>
      </c>
      <c r="BD603" s="31" t="s">
        <v>81</v>
      </c>
      <c r="BE603" s="33" t="s">
        <v>70</v>
      </c>
      <c r="BF603" s="1" t="s">
        <v>73</v>
      </c>
      <c r="BG603" s="1">
        <v>2</v>
      </c>
      <c r="BH603">
        <v>1</v>
      </c>
      <c r="BK603" s="1"/>
      <c r="BZ603">
        <v>1</v>
      </c>
      <c r="CS603" t="s">
        <v>111</v>
      </c>
      <c r="CT603" s="10" t="s">
        <v>4385</v>
      </c>
    </row>
    <row r="604" spans="1:98">
      <c r="A604" t="s">
        <v>72</v>
      </c>
      <c r="B604" t="s">
        <v>4384</v>
      </c>
      <c r="C604" s="15"/>
      <c r="D604" s="15"/>
      <c r="F604" t="s">
        <v>7</v>
      </c>
      <c r="G604" s="1"/>
      <c r="H604" s="1"/>
      <c r="I604" s="1"/>
      <c r="T604" s="5"/>
      <c r="U604" s="9" t="s">
        <v>1366</v>
      </c>
      <c r="AG604" s="9">
        <v>1</v>
      </c>
      <c r="AH604" s="6">
        <v>1</v>
      </c>
      <c r="AI604" s="6">
        <v>1</v>
      </c>
      <c r="BC604" s="31">
        <v>1801</v>
      </c>
      <c r="BD604" s="31" t="s">
        <v>81</v>
      </c>
      <c r="BE604" s="33" t="s">
        <v>70</v>
      </c>
      <c r="BF604" s="1" t="s">
        <v>73</v>
      </c>
      <c r="BG604" s="1">
        <v>3</v>
      </c>
      <c r="BH604">
        <v>1</v>
      </c>
      <c r="BK604" s="1"/>
      <c r="BZ604">
        <v>1</v>
      </c>
      <c r="CS604" t="s">
        <v>111</v>
      </c>
      <c r="CT604" s="10" t="s">
        <v>4385</v>
      </c>
    </row>
    <row r="605" spans="1:98">
      <c r="B605" t="s">
        <v>2184</v>
      </c>
      <c r="C605" s="2" t="s">
        <v>2185</v>
      </c>
      <c r="D605" s="2" t="s">
        <v>2185</v>
      </c>
      <c r="E605" s="8" t="s">
        <v>1735</v>
      </c>
      <c r="F605" s="8" t="s">
        <v>115</v>
      </c>
      <c r="G605" s="1">
        <v>1</v>
      </c>
      <c r="H605" s="1"/>
      <c r="I605" s="1">
        <f>1803-23</f>
        <v>1780</v>
      </c>
      <c r="J605" t="s">
        <v>10</v>
      </c>
      <c r="K605" t="s">
        <v>12</v>
      </c>
      <c r="Q605">
        <v>5</v>
      </c>
      <c r="R605">
        <v>3</v>
      </c>
      <c r="T605" s="5">
        <f t="shared" ref="T605:T618" si="33">((Q605*316)+(R605*26.3)+(S605*2.2))/10</f>
        <v>165.89000000000001</v>
      </c>
      <c r="U605" t="s">
        <v>2186</v>
      </c>
      <c r="AG605" s="6">
        <v>1</v>
      </c>
      <c r="AH605" s="6">
        <v>1</v>
      </c>
      <c r="AI605" s="6">
        <v>1</v>
      </c>
      <c r="AJ605" s="6">
        <v>1</v>
      </c>
      <c r="AK605" s="6">
        <v>1</v>
      </c>
      <c r="AL605" s="6">
        <v>1</v>
      </c>
      <c r="AM605" s="6">
        <v>1</v>
      </c>
      <c r="AN605" s="7">
        <v>1</v>
      </c>
      <c r="BC605" s="31" t="s">
        <v>1501</v>
      </c>
      <c r="BD605" s="28" t="s">
        <v>109</v>
      </c>
      <c r="BE605" s="31" t="s">
        <v>1502</v>
      </c>
      <c r="BF605" s="1" t="s">
        <v>29</v>
      </c>
      <c r="BG605" s="1">
        <v>3</v>
      </c>
      <c r="BH605">
        <v>1</v>
      </c>
      <c r="BK605" s="1">
        <v>1</v>
      </c>
      <c r="BQ605">
        <v>1</v>
      </c>
      <c r="CR605" t="s">
        <v>72</v>
      </c>
      <c r="CS605" s="7" t="s">
        <v>354</v>
      </c>
    </row>
    <row r="606" spans="1:98">
      <c r="B606" t="s">
        <v>549</v>
      </c>
      <c r="C606" s="2" t="s">
        <v>3527</v>
      </c>
      <c r="D606" s="2" t="s">
        <v>3527</v>
      </c>
      <c r="E606" s="8" t="s">
        <v>1630</v>
      </c>
      <c r="F606" s="8" t="s">
        <v>65</v>
      </c>
      <c r="G606" s="1">
        <v>1</v>
      </c>
      <c r="H606" s="1"/>
      <c r="I606" s="1">
        <f>1809-30</f>
        <v>1779</v>
      </c>
      <c r="J606" t="s">
        <v>10</v>
      </c>
      <c r="K606" t="s">
        <v>12</v>
      </c>
      <c r="Q606">
        <v>5</v>
      </c>
      <c r="R606">
        <v>3</v>
      </c>
      <c r="S606">
        <v>2</v>
      </c>
      <c r="T606" s="5">
        <f>((Q606*316)+(R606*26.3)+(S606*2.2))/10</f>
        <v>166.33</v>
      </c>
      <c r="U606" t="s">
        <v>550</v>
      </c>
      <c r="AG606" s="6">
        <v>1</v>
      </c>
      <c r="AH606" s="6">
        <v>1</v>
      </c>
      <c r="AI606" s="6">
        <v>1</v>
      </c>
      <c r="AJ606" s="6">
        <v>1</v>
      </c>
      <c r="AK606" s="6">
        <v>1</v>
      </c>
      <c r="AL606" s="6">
        <v>1</v>
      </c>
      <c r="AM606" s="6">
        <v>1</v>
      </c>
      <c r="AN606" s="6">
        <v>1</v>
      </c>
      <c r="AO606" s="6">
        <v>1</v>
      </c>
      <c r="AP606" s="6">
        <v>1</v>
      </c>
      <c r="AQ606" s="6">
        <v>1</v>
      </c>
      <c r="AR606" s="6">
        <v>1</v>
      </c>
      <c r="AS606" s="7">
        <v>1</v>
      </c>
      <c r="BC606" t="s">
        <v>1218</v>
      </c>
      <c r="BD606" s="7" t="s">
        <v>103</v>
      </c>
      <c r="BE606" t="s">
        <v>3526</v>
      </c>
      <c r="BF606" s="1" t="s">
        <v>29</v>
      </c>
      <c r="BG606" s="1">
        <v>4</v>
      </c>
      <c r="BH606">
        <v>2</v>
      </c>
      <c r="BI606">
        <v>1</v>
      </c>
      <c r="BK606" s="1" t="s">
        <v>72</v>
      </c>
      <c r="BQ606">
        <v>1</v>
      </c>
      <c r="BR606">
        <v>1</v>
      </c>
      <c r="CF606">
        <v>1</v>
      </c>
      <c r="CL606">
        <v>1</v>
      </c>
      <c r="CM606">
        <v>1</v>
      </c>
      <c r="CS606" s="7" t="s">
        <v>1771</v>
      </c>
    </row>
    <row r="607" spans="1:98">
      <c r="B607" t="s">
        <v>587</v>
      </c>
      <c r="C607" s="15" t="s">
        <v>588</v>
      </c>
      <c r="D607" s="15"/>
      <c r="E607" s="8" t="s">
        <v>499</v>
      </c>
      <c r="F607" s="8" t="s">
        <v>247</v>
      </c>
      <c r="G607" s="1">
        <v>1</v>
      </c>
      <c r="H607" s="1"/>
      <c r="I607" s="1">
        <f>1804-23</f>
        <v>1781</v>
      </c>
      <c r="J607" t="s">
        <v>10</v>
      </c>
      <c r="K607" t="s">
        <v>12</v>
      </c>
      <c r="Q607">
        <v>5</v>
      </c>
      <c r="R607">
        <v>3</v>
      </c>
      <c r="T607" s="5">
        <f t="shared" si="33"/>
        <v>165.89000000000001</v>
      </c>
      <c r="U607" t="s">
        <v>589</v>
      </c>
      <c r="AG607" s="6">
        <v>1</v>
      </c>
      <c r="AH607" s="6">
        <v>1</v>
      </c>
      <c r="AI607" s="6">
        <v>1</v>
      </c>
      <c r="AJ607" s="6">
        <v>1</v>
      </c>
      <c r="AK607" s="6">
        <v>1</v>
      </c>
      <c r="AL607" s="6">
        <v>1</v>
      </c>
      <c r="BC607">
        <v>1804</v>
      </c>
      <c r="BD607" t="s">
        <v>81</v>
      </c>
      <c r="BE607" t="s">
        <v>437</v>
      </c>
      <c r="BF607" s="1" t="s">
        <v>73</v>
      </c>
      <c r="BG607" s="1">
        <v>3</v>
      </c>
      <c r="BH607">
        <v>1</v>
      </c>
      <c r="BK607" s="1"/>
      <c r="BO607">
        <v>1</v>
      </c>
      <c r="BQ607">
        <v>1</v>
      </c>
      <c r="CS607" t="s">
        <v>586</v>
      </c>
    </row>
    <row r="608" spans="1:98">
      <c r="B608" t="s">
        <v>2877</v>
      </c>
      <c r="C608" s="2" t="s">
        <v>2878</v>
      </c>
      <c r="D608" s="2" t="s">
        <v>2878</v>
      </c>
      <c r="E608" s="8" t="s">
        <v>696</v>
      </c>
      <c r="F608" s="8" t="s">
        <v>115</v>
      </c>
      <c r="G608" s="1">
        <v>1</v>
      </c>
      <c r="H608" s="1"/>
      <c r="I608" s="1">
        <f>1804-29</f>
        <v>1775</v>
      </c>
      <c r="J608" t="s">
        <v>69</v>
      </c>
      <c r="K608" t="s">
        <v>12</v>
      </c>
      <c r="N608">
        <v>1</v>
      </c>
      <c r="Q608">
        <v>5</v>
      </c>
      <c r="R608">
        <v>4</v>
      </c>
      <c r="S608">
        <v>3</v>
      </c>
      <c r="T608" s="5">
        <f t="shared" si="33"/>
        <v>169.18</v>
      </c>
      <c r="U608" t="s">
        <v>2879</v>
      </c>
      <c r="AG608" s="6">
        <v>1</v>
      </c>
      <c r="AH608" s="6">
        <v>1</v>
      </c>
      <c r="AI608" s="6">
        <v>1</v>
      </c>
      <c r="AJ608" s="6">
        <v>1</v>
      </c>
      <c r="AK608" s="6">
        <v>1</v>
      </c>
      <c r="AL608" s="6">
        <v>1</v>
      </c>
      <c r="AM608" s="7">
        <v>1</v>
      </c>
      <c r="BC608" t="s">
        <v>2880</v>
      </c>
      <c r="BD608" s="7" t="s">
        <v>305</v>
      </c>
      <c r="BE608" t="s">
        <v>2005</v>
      </c>
      <c r="BF608" s="1" t="s">
        <v>29</v>
      </c>
      <c r="BG608" s="1">
        <v>4</v>
      </c>
      <c r="BH608">
        <v>1</v>
      </c>
      <c r="BK608" s="1">
        <v>1</v>
      </c>
      <c r="BQ608">
        <v>1</v>
      </c>
      <c r="CM608">
        <v>1</v>
      </c>
      <c r="CS608" s="7" t="s">
        <v>2881</v>
      </c>
    </row>
    <row r="609" spans="1:98">
      <c r="A609" t="s">
        <v>72</v>
      </c>
      <c r="B609" t="s">
        <v>2660</v>
      </c>
      <c r="C609" s="15"/>
      <c r="D609" s="15"/>
      <c r="F609" t="s">
        <v>7</v>
      </c>
      <c r="G609" s="1"/>
      <c r="H609" s="1"/>
      <c r="I609" s="1"/>
      <c r="T609" s="5"/>
      <c r="U609" s="9" t="s">
        <v>2661</v>
      </c>
      <c r="AF609" s="19"/>
      <c r="AG609" s="7">
        <v>1</v>
      </c>
      <c r="BC609" s="9" t="s">
        <v>2662</v>
      </c>
      <c r="BD609" s="7" t="s">
        <v>103</v>
      </c>
      <c r="BE609" t="s">
        <v>124</v>
      </c>
      <c r="BF609" s="1" t="s">
        <v>73</v>
      </c>
      <c r="BG609" s="1">
        <v>1</v>
      </c>
      <c r="BH609">
        <v>1</v>
      </c>
      <c r="BK609" s="1"/>
      <c r="BQ609">
        <v>1</v>
      </c>
      <c r="CS609" s="28" t="s">
        <v>2663</v>
      </c>
    </row>
    <row r="610" spans="1:98">
      <c r="B610" t="s">
        <v>1525</v>
      </c>
      <c r="C610" s="2" t="s">
        <v>1526</v>
      </c>
      <c r="D610" s="15"/>
      <c r="F610" s="8" t="s">
        <v>115</v>
      </c>
      <c r="G610" s="1">
        <v>1</v>
      </c>
      <c r="H610" s="1"/>
      <c r="I610" s="1">
        <f>1802-21</f>
        <v>1781</v>
      </c>
      <c r="J610" t="s">
        <v>10</v>
      </c>
      <c r="K610" t="s">
        <v>12</v>
      </c>
      <c r="Q610">
        <v>5</v>
      </c>
      <c r="R610">
        <v>2</v>
      </c>
      <c r="S610">
        <v>2</v>
      </c>
      <c r="T610" s="5">
        <f t="shared" si="33"/>
        <v>163.69999999999999</v>
      </c>
      <c r="U610" t="s">
        <v>1527</v>
      </c>
      <c r="AG610" s="6">
        <v>1</v>
      </c>
      <c r="AH610" s="6">
        <v>1</v>
      </c>
      <c r="AI610" s="6">
        <v>1</v>
      </c>
      <c r="AJ610" s="6">
        <v>1</v>
      </c>
      <c r="AK610" s="7">
        <v>1</v>
      </c>
      <c r="BC610" t="s">
        <v>1528</v>
      </c>
      <c r="BD610" s="7" t="s">
        <v>103</v>
      </c>
      <c r="BE610" t="s">
        <v>1529</v>
      </c>
      <c r="BF610" s="1" t="s">
        <v>29</v>
      </c>
      <c r="BG610" s="1">
        <v>3</v>
      </c>
      <c r="BH610">
        <v>1</v>
      </c>
      <c r="BK610" s="1" t="s">
        <v>72</v>
      </c>
      <c r="BQ610">
        <v>1</v>
      </c>
      <c r="CS610" s="7" t="s">
        <v>475</v>
      </c>
    </row>
    <row r="611" spans="1:98">
      <c r="A611" t="s">
        <v>72</v>
      </c>
      <c r="B611" t="s">
        <v>2664</v>
      </c>
      <c r="C611" s="15"/>
      <c r="D611" s="15"/>
      <c r="F611" t="s">
        <v>7</v>
      </c>
      <c r="G611" s="1"/>
      <c r="H611" s="1"/>
      <c r="I611" s="1"/>
      <c r="T611" s="5"/>
      <c r="U611" s="9" t="s">
        <v>2665</v>
      </c>
      <c r="AF611" s="19"/>
      <c r="AG611" s="7">
        <v>1</v>
      </c>
      <c r="BC611" s="9" t="s">
        <v>2666</v>
      </c>
      <c r="BD611" s="7" t="s">
        <v>103</v>
      </c>
      <c r="BE611" t="s">
        <v>124</v>
      </c>
      <c r="BF611" s="1" t="s">
        <v>73</v>
      </c>
      <c r="BG611" s="1">
        <v>1</v>
      </c>
      <c r="BH611">
        <v>1</v>
      </c>
      <c r="BK611" s="1"/>
      <c r="BQ611">
        <v>1</v>
      </c>
      <c r="CS611" s="28" t="s">
        <v>2667</v>
      </c>
    </row>
    <row r="612" spans="1:98">
      <c r="A612" t="s">
        <v>72</v>
      </c>
      <c r="B612" t="s">
        <v>3007</v>
      </c>
      <c r="C612" s="15"/>
      <c r="D612" s="15"/>
      <c r="F612" t="s">
        <v>7</v>
      </c>
      <c r="G612" s="1"/>
      <c r="H612" s="1"/>
      <c r="I612" s="1"/>
      <c r="T612" s="5"/>
      <c r="U612" s="9" t="s">
        <v>2885</v>
      </c>
      <c r="AF612" s="31"/>
      <c r="AG612" s="19"/>
      <c r="AH612" s="6">
        <v>1</v>
      </c>
      <c r="AI612" s="7">
        <v>1</v>
      </c>
      <c r="BC612" t="s">
        <v>324</v>
      </c>
      <c r="BD612" s="7" t="s">
        <v>103</v>
      </c>
      <c r="BE612" t="s">
        <v>1904</v>
      </c>
      <c r="BF612" s="1" t="s">
        <v>73</v>
      </c>
      <c r="BG612" s="1">
        <v>1</v>
      </c>
      <c r="BH612">
        <v>1</v>
      </c>
      <c r="BK612" s="1">
        <v>1</v>
      </c>
      <c r="BQ612">
        <v>1</v>
      </c>
      <c r="CS612" s="28" t="s">
        <v>412</v>
      </c>
    </row>
    <row r="613" spans="1:98">
      <c r="B613" t="s">
        <v>2963</v>
      </c>
      <c r="C613" s="2" t="s">
        <v>2964</v>
      </c>
      <c r="D613" s="2" t="s">
        <v>2965</v>
      </c>
      <c r="E613" s="8" t="s">
        <v>542</v>
      </c>
      <c r="F613" s="8" t="s">
        <v>218</v>
      </c>
      <c r="G613" s="1">
        <v>1</v>
      </c>
      <c r="H613" s="1"/>
      <c r="I613" s="1">
        <f>1800-18</f>
        <v>1782</v>
      </c>
      <c r="J613" t="s">
        <v>10</v>
      </c>
      <c r="K613" t="s">
        <v>12</v>
      </c>
      <c r="Q613">
        <v>5</v>
      </c>
      <c r="R613">
        <v>2</v>
      </c>
      <c r="T613" s="5">
        <f t="shared" si="33"/>
        <v>163.26</v>
      </c>
      <c r="U613" t="s">
        <v>2962</v>
      </c>
      <c r="AF613" s="31"/>
      <c r="AG613" s="31"/>
      <c r="AH613" s="6">
        <v>1</v>
      </c>
      <c r="BC613">
        <v>1800</v>
      </c>
      <c r="BD613" t="s">
        <v>81</v>
      </c>
      <c r="BE613" s="10" t="s">
        <v>2407</v>
      </c>
      <c r="BF613" s="1" t="s">
        <v>73</v>
      </c>
      <c r="BG613" s="1">
        <v>1</v>
      </c>
      <c r="BH613">
        <v>2</v>
      </c>
      <c r="BI613">
        <v>1</v>
      </c>
      <c r="BK613" s="1">
        <v>1</v>
      </c>
      <c r="BQ613">
        <v>1</v>
      </c>
      <c r="CL613" s="10">
        <v>1</v>
      </c>
      <c r="CS613" s="49" t="s">
        <v>2966</v>
      </c>
    </row>
    <row r="614" spans="1:98">
      <c r="B614" t="s">
        <v>2968</v>
      </c>
      <c r="C614" s="2" t="s">
        <v>191</v>
      </c>
      <c r="D614" s="2" t="s">
        <v>191</v>
      </c>
      <c r="E614" s="8" t="s">
        <v>193</v>
      </c>
      <c r="F614" s="8" t="s">
        <v>65</v>
      </c>
      <c r="G614" s="1">
        <v>1</v>
      </c>
      <c r="H614" s="1"/>
      <c r="I614" s="1">
        <f>1800-23</f>
        <v>1777</v>
      </c>
      <c r="J614" t="s">
        <v>10</v>
      </c>
      <c r="K614" t="s">
        <v>12</v>
      </c>
      <c r="Q614">
        <v>5</v>
      </c>
      <c r="R614">
        <v>1</v>
      </c>
      <c r="T614" s="5">
        <f t="shared" si="33"/>
        <v>160.63</v>
      </c>
      <c r="U614" t="s">
        <v>2967</v>
      </c>
      <c r="AF614" s="31"/>
      <c r="AG614" s="31"/>
      <c r="AH614" s="6">
        <v>1</v>
      </c>
      <c r="BC614">
        <v>1800</v>
      </c>
      <c r="BD614" t="s">
        <v>81</v>
      </c>
      <c r="BE614" s="10" t="s">
        <v>2407</v>
      </c>
      <c r="BF614" s="1" t="s">
        <v>73</v>
      </c>
      <c r="BG614" s="1">
        <v>1</v>
      </c>
      <c r="BH614">
        <v>2</v>
      </c>
      <c r="BI614">
        <v>1</v>
      </c>
      <c r="BK614" s="30">
        <v>1</v>
      </c>
      <c r="BQ614">
        <v>1</v>
      </c>
      <c r="CL614" s="10">
        <v>1</v>
      </c>
      <c r="CS614" s="49" t="s">
        <v>2966</v>
      </c>
      <c r="CT614" s="6" t="s">
        <v>3177</v>
      </c>
    </row>
    <row r="615" spans="1:98">
      <c r="B615" t="s">
        <v>4717</v>
      </c>
      <c r="C615" s="2" t="s">
        <v>2489</v>
      </c>
      <c r="D615" s="2" t="s">
        <v>2489</v>
      </c>
      <c r="E615" s="8" t="s">
        <v>1630</v>
      </c>
      <c r="F615" s="8" t="s">
        <v>65</v>
      </c>
      <c r="G615" s="1">
        <v>1</v>
      </c>
      <c r="H615" s="1"/>
      <c r="I615" s="1">
        <f>1806-25</f>
        <v>1781</v>
      </c>
      <c r="J615" t="s">
        <v>69</v>
      </c>
      <c r="K615" t="s">
        <v>12</v>
      </c>
      <c r="N615">
        <v>1</v>
      </c>
      <c r="Q615">
        <v>5</v>
      </c>
      <c r="R615">
        <v>3</v>
      </c>
      <c r="S615">
        <v>2</v>
      </c>
      <c r="T615" s="5">
        <f t="shared" si="33"/>
        <v>166.33</v>
      </c>
      <c r="U615" t="s">
        <v>1524</v>
      </c>
      <c r="AF615" s="31"/>
      <c r="AG615" s="31"/>
      <c r="AH615" s="6">
        <v>1</v>
      </c>
      <c r="AI615" s="6">
        <v>1</v>
      </c>
      <c r="AJ615" s="6">
        <v>1</v>
      </c>
      <c r="AK615" s="6">
        <v>1</v>
      </c>
      <c r="AL615" s="6">
        <v>1</v>
      </c>
      <c r="AM615" s="6">
        <v>1</v>
      </c>
      <c r="AN615" s="6">
        <v>1</v>
      </c>
      <c r="BC615">
        <v>1806</v>
      </c>
      <c r="BD615" t="s">
        <v>81</v>
      </c>
      <c r="BE615" t="s">
        <v>1564</v>
      </c>
      <c r="BF615" s="1" t="s">
        <v>73</v>
      </c>
      <c r="BG615" s="1">
        <v>1</v>
      </c>
      <c r="BH615">
        <v>1</v>
      </c>
      <c r="BK615" s="1" t="s">
        <v>72</v>
      </c>
      <c r="BQ615">
        <v>1</v>
      </c>
      <c r="CS615" s="31" t="s">
        <v>4703</v>
      </c>
    </row>
    <row r="616" spans="1:98">
      <c r="B616" t="s">
        <v>590</v>
      </c>
      <c r="C616" s="15" t="s">
        <v>591</v>
      </c>
      <c r="D616" s="15"/>
      <c r="E616" s="8" t="s">
        <v>499</v>
      </c>
      <c r="F616" s="8" t="s">
        <v>247</v>
      </c>
      <c r="G616" s="1">
        <v>1</v>
      </c>
      <c r="H616" s="1"/>
      <c r="I616" s="1">
        <f>1804-22</f>
        <v>1782</v>
      </c>
      <c r="J616" t="s">
        <v>10</v>
      </c>
      <c r="K616" t="s">
        <v>12</v>
      </c>
      <c r="Q616">
        <v>5</v>
      </c>
      <c r="R616">
        <v>3</v>
      </c>
      <c r="S616">
        <v>1</v>
      </c>
      <c r="T616" s="5">
        <f t="shared" si="33"/>
        <v>166.11</v>
      </c>
      <c r="U616" t="s">
        <v>1524</v>
      </c>
      <c r="AH616" s="6">
        <v>1</v>
      </c>
      <c r="AI616" s="6">
        <v>1</v>
      </c>
      <c r="AJ616" s="6">
        <v>1</v>
      </c>
      <c r="AK616" s="6">
        <v>1</v>
      </c>
      <c r="AL616" s="6">
        <v>1</v>
      </c>
      <c r="BC616">
        <v>1804</v>
      </c>
      <c r="BD616" t="s">
        <v>81</v>
      </c>
      <c r="BE616" t="s">
        <v>437</v>
      </c>
      <c r="BF616" s="1" t="s">
        <v>73</v>
      </c>
      <c r="BG616" s="1">
        <v>3</v>
      </c>
      <c r="BH616">
        <v>1</v>
      </c>
      <c r="BK616" s="1">
        <v>1</v>
      </c>
      <c r="BQ616">
        <v>1</v>
      </c>
      <c r="CS616" t="s">
        <v>586</v>
      </c>
    </row>
    <row r="617" spans="1:98">
      <c r="B617" t="s">
        <v>2379</v>
      </c>
      <c r="C617" s="2" t="s">
        <v>1604</v>
      </c>
      <c r="D617" s="2" t="s">
        <v>1604</v>
      </c>
      <c r="E617" s="8" t="s">
        <v>122</v>
      </c>
      <c r="F617" s="8" t="s">
        <v>115</v>
      </c>
      <c r="G617" s="1">
        <v>1</v>
      </c>
      <c r="H617" s="1"/>
      <c r="I617" s="1">
        <f>1800-22</f>
        <v>1778</v>
      </c>
      <c r="J617" t="s">
        <v>10</v>
      </c>
      <c r="K617" t="s">
        <v>12</v>
      </c>
      <c r="Q617">
        <v>5</v>
      </c>
      <c r="R617">
        <v>2</v>
      </c>
      <c r="S617">
        <v>2</v>
      </c>
      <c r="T617" s="5">
        <f t="shared" si="33"/>
        <v>163.69999999999999</v>
      </c>
      <c r="U617" t="s">
        <v>2380</v>
      </c>
      <c r="AH617" s="6">
        <v>1</v>
      </c>
      <c r="AI617" s="6">
        <v>1</v>
      </c>
      <c r="AJ617" s="7">
        <v>1</v>
      </c>
      <c r="BC617" t="s">
        <v>2381</v>
      </c>
      <c r="BD617" s="7" t="s">
        <v>848</v>
      </c>
      <c r="BE617" t="s">
        <v>1770</v>
      </c>
      <c r="BF617" s="1" t="s">
        <v>29</v>
      </c>
      <c r="BG617" s="1">
        <v>2</v>
      </c>
      <c r="BH617">
        <v>1</v>
      </c>
      <c r="BK617" s="1">
        <v>1</v>
      </c>
      <c r="BN617">
        <v>1</v>
      </c>
      <c r="BQ617">
        <v>1</v>
      </c>
      <c r="CS617" s="7" t="s">
        <v>2382</v>
      </c>
    </row>
    <row r="618" spans="1:98">
      <c r="B618" t="s">
        <v>2293</v>
      </c>
      <c r="C618" s="2" t="s">
        <v>2294</v>
      </c>
      <c r="D618" s="2" t="s">
        <v>2294</v>
      </c>
      <c r="E618" s="8" t="s">
        <v>1442</v>
      </c>
      <c r="F618" s="8" t="s">
        <v>65</v>
      </c>
      <c r="G618" s="1">
        <v>1</v>
      </c>
      <c r="H618" s="1"/>
      <c r="I618" s="1">
        <f>1800-18</f>
        <v>1782</v>
      </c>
      <c r="J618" t="s">
        <v>69</v>
      </c>
      <c r="K618" t="s">
        <v>12</v>
      </c>
      <c r="Q618">
        <v>5</v>
      </c>
      <c r="R618">
        <v>5</v>
      </c>
      <c r="S618">
        <v>2</v>
      </c>
      <c r="T618" s="5">
        <f t="shared" si="33"/>
        <v>171.59</v>
      </c>
      <c r="U618" t="s">
        <v>2295</v>
      </c>
      <c r="AH618" s="7">
        <v>1</v>
      </c>
      <c r="BC618" t="s">
        <v>2296</v>
      </c>
      <c r="BD618" s="7" t="s">
        <v>103</v>
      </c>
      <c r="BE618" t="s">
        <v>1770</v>
      </c>
      <c r="BF618" s="1" t="s">
        <v>29</v>
      </c>
      <c r="BG618" s="1">
        <v>2</v>
      </c>
      <c r="BH618">
        <v>1</v>
      </c>
      <c r="BK618" s="1">
        <v>1</v>
      </c>
      <c r="BQ618">
        <v>1</v>
      </c>
      <c r="CS618" s="7" t="s">
        <v>2297</v>
      </c>
    </row>
    <row r="619" spans="1:98">
      <c r="A619" t="s">
        <v>72</v>
      </c>
      <c r="B619" t="s">
        <v>252</v>
      </c>
      <c r="C619" s="15"/>
      <c r="D619" s="15"/>
      <c r="F619" t="s">
        <v>7</v>
      </c>
      <c r="G619" s="1"/>
      <c r="H619" s="1"/>
      <c r="I619" s="1"/>
      <c r="T619" s="5"/>
      <c r="U619" t="s">
        <v>440</v>
      </c>
      <c r="AH619" s="6">
        <v>1</v>
      </c>
      <c r="AI619" s="7">
        <v>1</v>
      </c>
      <c r="BC619" t="s">
        <v>456</v>
      </c>
      <c r="BD619" s="7" t="s">
        <v>26</v>
      </c>
      <c r="BE619" t="s">
        <v>437</v>
      </c>
      <c r="BF619" s="1" t="s">
        <v>29</v>
      </c>
      <c r="BG619" s="1">
        <v>1</v>
      </c>
      <c r="BH619">
        <v>1</v>
      </c>
      <c r="BK619" s="1">
        <v>1</v>
      </c>
      <c r="BQ619">
        <v>1</v>
      </c>
      <c r="CM619">
        <v>1</v>
      </c>
      <c r="CS619" s="7" t="s">
        <v>457</v>
      </c>
    </row>
    <row r="620" spans="1:98">
      <c r="A620" t="s">
        <v>72</v>
      </c>
      <c r="B620" t="s">
        <v>4041</v>
      </c>
      <c r="C620" s="15"/>
      <c r="D620" s="15"/>
      <c r="F620" t="s">
        <v>7</v>
      </c>
      <c r="G620" s="1"/>
      <c r="H620" s="1"/>
      <c r="I620" s="1"/>
      <c r="T620" s="5"/>
      <c r="U620" t="s">
        <v>440</v>
      </c>
      <c r="AH620" s="6">
        <v>1</v>
      </c>
      <c r="AI620" s="6">
        <v>1</v>
      </c>
      <c r="AJ620" s="7">
        <v>1</v>
      </c>
      <c r="BC620" t="s">
        <v>460</v>
      </c>
      <c r="BD620" s="7" t="s">
        <v>103</v>
      </c>
      <c r="BE620" t="s">
        <v>437</v>
      </c>
      <c r="BF620" s="1" t="s">
        <v>29</v>
      </c>
      <c r="BG620" s="1">
        <v>2</v>
      </c>
      <c r="BH620">
        <v>1</v>
      </c>
      <c r="BK620" s="1">
        <v>1</v>
      </c>
      <c r="BQ620">
        <v>1</v>
      </c>
      <c r="CM620">
        <v>1</v>
      </c>
      <c r="CS620" s="7" t="s">
        <v>452</v>
      </c>
    </row>
    <row r="621" spans="1:98">
      <c r="B621" t="s">
        <v>4693</v>
      </c>
      <c r="C621" s="2" t="s">
        <v>1624</v>
      </c>
      <c r="D621" s="26" t="s">
        <v>192</v>
      </c>
      <c r="E621" s="8" t="s">
        <v>869</v>
      </c>
      <c r="F621" s="8" t="s">
        <v>65</v>
      </c>
      <c r="G621" s="1">
        <v>1</v>
      </c>
      <c r="H621" s="1"/>
      <c r="I621" s="1">
        <f>1802-23</f>
        <v>1779</v>
      </c>
      <c r="J621" t="s">
        <v>69</v>
      </c>
      <c r="K621" t="s">
        <v>197</v>
      </c>
      <c r="M621">
        <v>1</v>
      </c>
      <c r="Q621">
        <v>5</v>
      </c>
      <c r="R621">
        <v>3</v>
      </c>
      <c r="S621">
        <v>1</v>
      </c>
      <c r="T621" s="5">
        <f>((Q621*316)+(R621*26.3)+(S621*2.2))/10</f>
        <v>166.11</v>
      </c>
      <c r="U621" t="s">
        <v>440</v>
      </c>
      <c r="AH621" s="6">
        <v>1</v>
      </c>
      <c r="AI621" s="6">
        <v>1</v>
      </c>
      <c r="AJ621" s="6">
        <v>1</v>
      </c>
      <c r="AK621" s="7">
        <v>1</v>
      </c>
      <c r="BC621" t="s">
        <v>3015</v>
      </c>
      <c r="BD621" s="7" t="s">
        <v>103</v>
      </c>
      <c r="BE621" t="s">
        <v>975</v>
      </c>
      <c r="BF621" s="1" t="s">
        <v>29</v>
      </c>
      <c r="BG621" s="1">
        <v>2</v>
      </c>
      <c r="BH621">
        <v>1</v>
      </c>
      <c r="BK621" s="1" t="s">
        <v>72</v>
      </c>
      <c r="BQ621">
        <v>1</v>
      </c>
      <c r="CS621" s="7" t="s">
        <v>4694</v>
      </c>
    </row>
    <row r="622" spans="1:98">
      <c r="B622" t="s">
        <v>498</v>
      </c>
      <c r="C622" s="15" t="s">
        <v>500</v>
      </c>
      <c r="D622" s="15"/>
      <c r="E622" s="8" t="s">
        <v>499</v>
      </c>
      <c r="F622" s="8" t="s">
        <v>247</v>
      </c>
      <c r="G622" s="1">
        <v>1</v>
      </c>
      <c r="H622" s="1"/>
      <c r="I622" s="1">
        <f>1802-26</f>
        <v>1776</v>
      </c>
      <c r="J622" t="s">
        <v>69</v>
      </c>
      <c r="K622" t="s">
        <v>501</v>
      </c>
      <c r="N622">
        <v>1</v>
      </c>
      <c r="Q622">
        <v>5</v>
      </c>
      <c r="R622">
        <v>1</v>
      </c>
      <c r="S622">
        <v>2</v>
      </c>
      <c r="T622" s="5">
        <f>((Q622*316)+(R622*26.3)+(S622*2.2))/10</f>
        <v>161.07</v>
      </c>
      <c r="U622" t="s">
        <v>440</v>
      </c>
      <c r="AH622" s="6">
        <v>1</v>
      </c>
      <c r="AI622" s="6">
        <v>1</v>
      </c>
      <c r="AJ622" s="6">
        <v>1</v>
      </c>
      <c r="AK622" s="7">
        <v>1</v>
      </c>
      <c r="BC622" t="s">
        <v>502</v>
      </c>
      <c r="BD622" s="7" t="s">
        <v>103</v>
      </c>
      <c r="BE622" t="s">
        <v>437</v>
      </c>
      <c r="BF622" s="1" t="s">
        <v>29</v>
      </c>
      <c r="BG622" s="1">
        <v>2</v>
      </c>
      <c r="BH622">
        <v>1</v>
      </c>
      <c r="BK622" s="1">
        <v>1</v>
      </c>
      <c r="BQ622">
        <v>1</v>
      </c>
      <c r="CS622" s="7" t="s">
        <v>475</v>
      </c>
    </row>
    <row r="623" spans="1:98">
      <c r="A623" t="s">
        <v>72</v>
      </c>
      <c r="B623" t="s">
        <v>469</v>
      </c>
      <c r="C623" s="15"/>
      <c r="D623" s="15"/>
      <c r="F623" t="s">
        <v>7</v>
      </c>
      <c r="G623" s="1"/>
      <c r="H623" s="1"/>
      <c r="I623" s="1"/>
      <c r="T623" s="5"/>
      <c r="U623" t="s">
        <v>440</v>
      </c>
      <c r="AH623" s="7">
        <v>1</v>
      </c>
      <c r="BC623" t="s">
        <v>467</v>
      </c>
      <c r="BD623" s="7" t="s">
        <v>103</v>
      </c>
      <c r="BE623" t="s">
        <v>437</v>
      </c>
      <c r="BF623" s="1" t="s">
        <v>29</v>
      </c>
      <c r="BG623" s="1">
        <v>1</v>
      </c>
      <c r="BH623">
        <v>1</v>
      </c>
      <c r="BK623" s="1">
        <v>1</v>
      </c>
      <c r="BQ623">
        <v>1</v>
      </c>
      <c r="CS623" s="7" t="s">
        <v>468</v>
      </c>
    </row>
    <row r="624" spans="1:98">
      <c r="A624" t="s">
        <v>72</v>
      </c>
      <c r="B624" t="s">
        <v>439</v>
      </c>
      <c r="C624" s="15"/>
      <c r="D624" s="15"/>
      <c r="F624" t="s">
        <v>7</v>
      </c>
      <c r="G624" s="1"/>
      <c r="H624" s="1"/>
      <c r="I624" s="1"/>
      <c r="T624" s="5"/>
      <c r="U624" t="s">
        <v>440</v>
      </c>
      <c r="AH624" s="6">
        <v>1</v>
      </c>
      <c r="AI624" s="7">
        <v>1</v>
      </c>
      <c r="BC624" t="s">
        <v>441</v>
      </c>
      <c r="BD624" s="7" t="s">
        <v>109</v>
      </c>
      <c r="BE624" t="s">
        <v>437</v>
      </c>
      <c r="BF624" s="1" t="s">
        <v>29</v>
      </c>
      <c r="BG624" s="1">
        <v>1</v>
      </c>
      <c r="BH624">
        <v>1</v>
      </c>
      <c r="BK624" s="1">
        <v>1</v>
      </c>
      <c r="BQ624">
        <v>1</v>
      </c>
      <c r="CS624" s="7" t="s">
        <v>442</v>
      </c>
    </row>
    <row r="625" spans="1:97">
      <c r="A625" t="s">
        <v>72</v>
      </c>
      <c r="B625" t="s">
        <v>446</v>
      </c>
      <c r="C625" s="15"/>
      <c r="D625" s="15"/>
      <c r="F625" t="s">
        <v>7</v>
      </c>
      <c r="G625" s="1"/>
      <c r="H625" s="1"/>
      <c r="I625" s="1"/>
      <c r="T625" s="5"/>
      <c r="U625" t="s">
        <v>440</v>
      </c>
      <c r="AH625" s="7">
        <v>1</v>
      </c>
      <c r="BC625" t="s">
        <v>447</v>
      </c>
      <c r="BD625" s="7" t="s">
        <v>103</v>
      </c>
      <c r="BE625" t="s">
        <v>437</v>
      </c>
      <c r="BF625" s="1" t="s">
        <v>29</v>
      </c>
      <c r="BG625" s="1">
        <v>1</v>
      </c>
      <c r="BH625">
        <v>1</v>
      </c>
      <c r="BK625" s="1">
        <v>1</v>
      </c>
      <c r="BQ625">
        <v>1</v>
      </c>
      <c r="CS625" s="7" t="s">
        <v>448</v>
      </c>
    </row>
    <row r="626" spans="1:97">
      <c r="A626" t="s">
        <v>72</v>
      </c>
      <c r="B626" t="s">
        <v>473</v>
      </c>
      <c r="C626" s="15"/>
      <c r="D626" s="15"/>
      <c r="F626" t="s">
        <v>7</v>
      </c>
      <c r="G626" s="1"/>
      <c r="H626" s="1"/>
      <c r="I626" s="1"/>
      <c r="T626" s="5"/>
      <c r="U626" t="s">
        <v>440</v>
      </c>
      <c r="AH626" s="6">
        <v>1</v>
      </c>
      <c r="AI626" s="7">
        <v>1</v>
      </c>
      <c r="BC626" t="s">
        <v>474</v>
      </c>
      <c r="BD626" s="7" t="s">
        <v>103</v>
      </c>
      <c r="BE626" t="s">
        <v>437</v>
      </c>
      <c r="BF626" s="1" t="s">
        <v>29</v>
      </c>
      <c r="BG626" s="1">
        <v>1</v>
      </c>
      <c r="BH626">
        <v>1</v>
      </c>
      <c r="BK626" s="1">
        <v>1</v>
      </c>
      <c r="BQ626">
        <v>1</v>
      </c>
      <c r="CS626" s="7" t="s">
        <v>475</v>
      </c>
    </row>
    <row r="627" spans="1:97">
      <c r="A627" t="s">
        <v>72</v>
      </c>
      <c r="B627" t="s">
        <v>466</v>
      </c>
      <c r="C627" s="15"/>
      <c r="D627" s="15"/>
      <c r="F627" t="s">
        <v>7</v>
      </c>
      <c r="G627" s="1"/>
      <c r="H627" s="1"/>
      <c r="I627" s="1"/>
      <c r="T627" s="5"/>
      <c r="U627" t="s">
        <v>440</v>
      </c>
      <c r="AH627" s="7">
        <v>1</v>
      </c>
      <c r="BC627" t="s">
        <v>467</v>
      </c>
      <c r="BD627" s="7" t="s">
        <v>103</v>
      </c>
      <c r="BE627" t="s">
        <v>437</v>
      </c>
      <c r="BF627" s="1" t="s">
        <v>29</v>
      </c>
      <c r="BG627" s="1">
        <v>1</v>
      </c>
      <c r="BH627">
        <v>1</v>
      </c>
      <c r="BK627" s="1">
        <v>1</v>
      </c>
      <c r="BQ627">
        <v>1</v>
      </c>
      <c r="CS627" s="7" t="s">
        <v>468</v>
      </c>
    </row>
    <row r="628" spans="1:97">
      <c r="B628" t="s">
        <v>1489</v>
      </c>
      <c r="C628" s="15" t="s">
        <v>1490</v>
      </c>
      <c r="D628" s="15"/>
      <c r="E628" s="8" t="s">
        <v>481</v>
      </c>
      <c r="F628" s="8" t="s">
        <v>65</v>
      </c>
      <c r="G628" s="1">
        <v>1</v>
      </c>
      <c r="H628" s="1"/>
      <c r="I628" s="1">
        <f>1804-22</f>
        <v>1782</v>
      </c>
      <c r="J628" t="s">
        <v>10</v>
      </c>
      <c r="K628" t="s">
        <v>12</v>
      </c>
      <c r="Q628">
        <v>5</v>
      </c>
      <c r="R628">
        <v>3</v>
      </c>
      <c r="S628">
        <v>3</v>
      </c>
      <c r="T628" s="5">
        <f t="shared" ref="T628:T634" si="34">((Q628*316)+(R628*26.3)+(S628*2.2))/10</f>
        <v>166.55</v>
      </c>
      <c r="U628" t="s">
        <v>1491</v>
      </c>
      <c r="AH628" s="6">
        <v>1</v>
      </c>
      <c r="AI628" s="6">
        <v>1</v>
      </c>
      <c r="AJ628" s="6">
        <v>1</v>
      </c>
      <c r="AK628" s="6">
        <v>1</v>
      </c>
      <c r="AL628" s="7">
        <v>1</v>
      </c>
      <c r="BC628" t="s">
        <v>1492</v>
      </c>
      <c r="BD628" s="7" t="s">
        <v>26</v>
      </c>
      <c r="BE628" t="s">
        <v>62</v>
      </c>
      <c r="BF628" s="1" t="s">
        <v>29</v>
      </c>
      <c r="BG628" s="1">
        <v>6</v>
      </c>
      <c r="BH628">
        <v>2</v>
      </c>
      <c r="BI628">
        <v>1</v>
      </c>
      <c r="BK628" s="1">
        <v>1</v>
      </c>
      <c r="BQ628">
        <v>1</v>
      </c>
      <c r="CL628">
        <v>1</v>
      </c>
      <c r="CS628" s="7" t="s">
        <v>1493</v>
      </c>
    </row>
    <row r="629" spans="1:97">
      <c r="B629" t="s">
        <v>2386</v>
      </c>
      <c r="C629" s="2" t="s">
        <v>826</v>
      </c>
      <c r="D629" s="2" t="s">
        <v>826</v>
      </c>
      <c r="E629" s="8" t="s">
        <v>1442</v>
      </c>
      <c r="F629" s="8" t="s">
        <v>65</v>
      </c>
      <c r="G629" s="1">
        <v>1</v>
      </c>
      <c r="H629" s="1"/>
      <c r="I629" s="1">
        <f>1800-24</f>
        <v>1776</v>
      </c>
      <c r="J629" t="s">
        <v>69</v>
      </c>
      <c r="K629" t="s">
        <v>12</v>
      </c>
      <c r="Q629">
        <v>5</v>
      </c>
      <c r="R629">
        <v>3</v>
      </c>
      <c r="T629" s="5">
        <f t="shared" si="34"/>
        <v>165.89000000000001</v>
      </c>
      <c r="U629" t="s">
        <v>1491</v>
      </c>
      <c r="AH629" s="7">
        <v>1</v>
      </c>
      <c r="BC629" t="s">
        <v>2296</v>
      </c>
      <c r="BD629" s="7" t="s">
        <v>103</v>
      </c>
      <c r="BE629" t="s">
        <v>1770</v>
      </c>
      <c r="BF629" s="1" t="s">
        <v>29</v>
      </c>
      <c r="BG629" s="1">
        <v>2</v>
      </c>
      <c r="BH629">
        <v>1</v>
      </c>
      <c r="BK629" s="1">
        <v>1</v>
      </c>
      <c r="BQ629">
        <v>1</v>
      </c>
      <c r="CS629" s="7" t="s">
        <v>2297</v>
      </c>
    </row>
    <row r="630" spans="1:97">
      <c r="B630" t="s">
        <v>4626</v>
      </c>
      <c r="C630" s="2" t="s">
        <v>4627</v>
      </c>
      <c r="D630" s="2" t="s">
        <v>4628</v>
      </c>
      <c r="E630" s="8" t="s">
        <v>1084</v>
      </c>
      <c r="F630" s="8" t="s">
        <v>65</v>
      </c>
      <c r="G630" s="1">
        <v>1</v>
      </c>
      <c r="H630" s="1"/>
      <c r="I630" s="1">
        <f>1804-27</f>
        <v>1777</v>
      </c>
      <c r="J630" t="s">
        <v>69</v>
      </c>
      <c r="K630" t="s">
        <v>12</v>
      </c>
      <c r="N630">
        <v>1</v>
      </c>
      <c r="Q630">
        <v>5</v>
      </c>
      <c r="R630">
        <v>2</v>
      </c>
      <c r="S630">
        <v>2</v>
      </c>
      <c r="T630" s="5">
        <f t="shared" si="34"/>
        <v>163.69999999999999</v>
      </c>
      <c r="U630" t="s">
        <v>3979</v>
      </c>
      <c r="AH630" s="6">
        <v>1</v>
      </c>
      <c r="AI630" s="6">
        <v>1</v>
      </c>
      <c r="AJ630" s="6">
        <v>1</v>
      </c>
      <c r="AK630" s="6">
        <v>1</v>
      </c>
      <c r="AL630" s="6">
        <v>1</v>
      </c>
      <c r="AM630" s="6">
        <v>1</v>
      </c>
      <c r="AN630" s="7">
        <v>1</v>
      </c>
      <c r="BC630" t="s">
        <v>4629</v>
      </c>
      <c r="BD630" s="7" t="s">
        <v>280</v>
      </c>
      <c r="BE630" t="s">
        <v>712</v>
      </c>
      <c r="BF630" s="1" t="s">
        <v>29</v>
      </c>
      <c r="BG630" s="1">
        <v>3</v>
      </c>
      <c r="BH630">
        <v>1</v>
      </c>
      <c r="BK630" s="1" t="s">
        <v>72</v>
      </c>
      <c r="BQ630">
        <v>1</v>
      </c>
      <c r="CN630">
        <v>1</v>
      </c>
      <c r="CS630" s="7" t="s">
        <v>4630</v>
      </c>
    </row>
    <row r="631" spans="1:97">
      <c r="B631" t="s">
        <v>3977</v>
      </c>
      <c r="C631" s="2" t="s">
        <v>3978</v>
      </c>
      <c r="D631" s="26"/>
      <c r="E631" s="8" t="s">
        <v>238</v>
      </c>
      <c r="F631" s="8" t="s">
        <v>65</v>
      </c>
      <c r="G631" s="1">
        <v>1</v>
      </c>
      <c r="H631" s="1"/>
      <c r="I631" s="1">
        <f>1803-24</f>
        <v>1779</v>
      </c>
      <c r="J631" t="s">
        <v>69</v>
      </c>
      <c r="K631" t="s">
        <v>12</v>
      </c>
      <c r="M631">
        <v>1</v>
      </c>
      <c r="P631">
        <v>1</v>
      </c>
      <c r="Q631">
        <v>5</v>
      </c>
      <c r="R631">
        <v>7</v>
      </c>
      <c r="S631">
        <v>2</v>
      </c>
      <c r="T631" s="5">
        <f t="shared" si="34"/>
        <v>176.85</v>
      </c>
      <c r="U631" t="s">
        <v>3979</v>
      </c>
      <c r="AH631" s="6">
        <v>1</v>
      </c>
      <c r="AI631" s="6">
        <v>1</v>
      </c>
      <c r="AJ631" s="6">
        <v>1</v>
      </c>
      <c r="AK631" s="6">
        <v>1</v>
      </c>
      <c r="AL631" s="14">
        <v>1</v>
      </c>
      <c r="BC631" s="9" t="s">
        <v>3965</v>
      </c>
      <c r="BD631" s="14" t="s">
        <v>338</v>
      </c>
      <c r="BE631" t="s">
        <v>2635</v>
      </c>
      <c r="BF631" s="1" t="s">
        <v>339</v>
      </c>
      <c r="BG631" s="1">
        <v>1</v>
      </c>
      <c r="BH631">
        <v>1</v>
      </c>
      <c r="BK631" s="1">
        <v>1</v>
      </c>
      <c r="BQ631">
        <v>1</v>
      </c>
      <c r="CS631" s="14" t="s">
        <v>3966</v>
      </c>
    </row>
    <row r="632" spans="1:97">
      <c r="B632" t="s">
        <v>3748</v>
      </c>
      <c r="C632" s="2" t="s">
        <v>3749</v>
      </c>
      <c r="D632" s="2" t="s">
        <v>3749</v>
      </c>
      <c r="E632" s="8" t="s">
        <v>832</v>
      </c>
      <c r="F632" s="8" t="s">
        <v>65</v>
      </c>
      <c r="G632" s="1">
        <v>1</v>
      </c>
      <c r="H632" s="1"/>
      <c r="I632" s="1">
        <f>1800-22</f>
        <v>1778</v>
      </c>
      <c r="J632" t="s">
        <v>10</v>
      </c>
      <c r="K632" t="s">
        <v>12</v>
      </c>
      <c r="Q632">
        <v>5</v>
      </c>
      <c r="R632">
        <v>2</v>
      </c>
      <c r="S632">
        <v>1</v>
      </c>
      <c r="T632" s="5">
        <f t="shared" si="34"/>
        <v>163.47999999999999</v>
      </c>
      <c r="U632" t="s">
        <v>2861</v>
      </c>
      <c r="AH632" s="6">
        <v>1</v>
      </c>
      <c r="BC632">
        <v>1800</v>
      </c>
      <c r="BD632" t="s">
        <v>81</v>
      </c>
      <c r="BE632" s="10" t="s">
        <v>2407</v>
      </c>
      <c r="BF632" s="1" t="s">
        <v>73</v>
      </c>
      <c r="BG632" s="1">
        <v>1</v>
      </c>
      <c r="BH632">
        <v>1</v>
      </c>
      <c r="BI632">
        <v>1</v>
      </c>
      <c r="BK632" s="1">
        <v>1</v>
      </c>
      <c r="BQ632">
        <v>1</v>
      </c>
      <c r="CL632" s="10">
        <v>1</v>
      </c>
      <c r="CS632" s="10" t="s">
        <v>2966</v>
      </c>
    </row>
    <row r="633" spans="1:97">
      <c r="B633" t="s">
        <v>4011</v>
      </c>
      <c r="C633" s="2" t="s">
        <v>3994</v>
      </c>
      <c r="D633" s="26" t="s">
        <v>3001</v>
      </c>
      <c r="E633" s="8" t="s">
        <v>238</v>
      </c>
      <c r="F633" s="8" t="s">
        <v>65</v>
      </c>
      <c r="G633" s="1">
        <v>1</v>
      </c>
      <c r="H633" s="1"/>
      <c r="I633" s="1">
        <f>1803-23</f>
        <v>1780</v>
      </c>
      <c r="J633" t="s">
        <v>10</v>
      </c>
      <c r="K633" t="s">
        <v>12</v>
      </c>
      <c r="Q633">
        <v>5</v>
      </c>
      <c r="R633">
        <v>1</v>
      </c>
      <c r="S633">
        <v>2</v>
      </c>
      <c r="T633" s="5">
        <f t="shared" si="34"/>
        <v>161.07</v>
      </c>
      <c r="U633" t="s">
        <v>2861</v>
      </c>
      <c r="AH633" s="6">
        <v>1</v>
      </c>
      <c r="AI633" s="6">
        <v>1</v>
      </c>
      <c r="AJ633" s="6">
        <v>1</v>
      </c>
      <c r="AK633" s="6">
        <v>1</v>
      </c>
      <c r="AL633" s="6">
        <v>1</v>
      </c>
      <c r="AM633" s="7">
        <v>1</v>
      </c>
      <c r="BC633" t="s">
        <v>4012</v>
      </c>
      <c r="BD633" s="7" t="s">
        <v>280</v>
      </c>
      <c r="BE633" t="s">
        <v>2635</v>
      </c>
      <c r="BF633" s="1" t="s">
        <v>29</v>
      </c>
      <c r="BG633" s="1">
        <v>2</v>
      </c>
      <c r="BH633">
        <v>1</v>
      </c>
      <c r="BK633" s="1">
        <v>1</v>
      </c>
      <c r="BQ633">
        <v>1</v>
      </c>
      <c r="CN633">
        <v>1</v>
      </c>
      <c r="CS633" s="7" t="s">
        <v>4013</v>
      </c>
    </row>
    <row r="634" spans="1:97">
      <c r="B634" t="s">
        <v>2860</v>
      </c>
      <c r="C634" s="2" t="s">
        <v>2708</v>
      </c>
      <c r="D634" s="15"/>
      <c r="E634" s="8" t="s">
        <v>238</v>
      </c>
      <c r="F634" s="8" t="s">
        <v>65</v>
      </c>
      <c r="G634" s="1">
        <v>1</v>
      </c>
      <c r="H634" s="1"/>
      <c r="I634" s="1">
        <f>1804-29</f>
        <v>1775</v>
      </c>
      <c r="J634" t="s">
        <v>69</v>
      </c>
      <c r="K634" t="s">
        <v>197</v>
      </c>
      <c r="N634">
        <v>1</v>
      </c>
      <c r="Q634">
        <v>5</v>
      </c>
      <c r="R634">
        <v>2</v>
      </c>
      <c r="S634">
        <v>3</v>
      </c>
      <c r="T634" s="5">
        <f t="shared" si="34"/>
        <v>163.92</v>
      </c>
      <c r="U634" t="s">
        <v>2861</v>
      </c>
      <c r="AH634" s="6">
        <v>1</v>
      </c>
      <c r="AI634" s="6">
        <v>1</v>
      </c>
      <c r="AJ634" s="6">
        <v>1</v>
      </c>
      <c r="AK634" s="6">
        <v>1</v>
      </c>
      <c r="AL634" s="6">
        <v>1</v>
      </c>
      <c r="AM634" s="6">
        <v>1</v>
      </c>
      <c r="AN634" s="7">
        <v>1</v>
      </c>
      <c r="BC634" t="s">
        <v>2830</v>
      </c>
      <c r="BD634" s="7" t="s">
        <v>109</v>
      </c>
      <c r="BE634" t="s">
        <v>2005</v>
      </c>
      <c r="BF634" s="1" t="s">
        <v>29</v>
      </c>
      <c r="BG634" s="1">
        <v>6</v>
      </c>
      <c r="BH634">
        <v>1</v>
      </c>
      <c r="BK634" s="1">
        <v>1</v>
      </c>
      <c r="BQ634">
        <v>1</v>
      </c>
      <c r="CN634">
        <v>1</v>
      </c>
      <c r="CP634">
        <v>1</v>
      </c>
      <c r="CS634" s="7" t="s">
        <v>354</v>
      </c>
    </row>
    <row r="635" spans="1:97">
      <c r="A635" t="s">
        <v>72</v>
      </c>
      <c r="B635" t="s">
        <v>2645</v>
      </c>
      <c r="C635" s="2"/>
      <c r="D635" s="2"/>
      <c r="F635" t="s">
        <v>7</v>
      </c>
      <c r="G635" s="1"/>
      <c r="H635" s="1"/>
      <c r="I635" s="1"/>
      <c r="T635" s="5"/>
      <c r="U635" s="9" t="s">
        <v>2552</v>
      </c>
      <c r="AG635" s="9"/>
      <c r="AH635" s="7">
        <v>1</v>
      </c>
      <c r="BC635" t="s">
        <v>2646</v>
      </c>
      <c r="BD635" s="7" t="s">
        <v>305</v>
      </c>
      <c r="BE635" t="s">
        <v>124</v>
      </c>
      <c r="BF635" s="1" t="s">
        <v>73</v>
      </c>
      <c r="BG635" s="1">
        <v>1</v>
      </c>
      <c r="BH635">
        <v>1</v>
      </c>
      <c r="BK635" s="1"/>
      <c r="BQ635">
        <v>1</v>
      </c>
      <c r="CM635">
        <v>1</v>
      </c>
      <c r="CS635" s="7" t="s">
        <v>2647</v>
      </c>
    </row>
    <row r="636" spans="1:97">
      <c r="A636" t="s">
        <v>72</v>
      </c>
      <c r="B636" t="s">
        <v>2553</v>
      </c>
      <c r="C636" s="2"/>
      <c r="D636" s="2"/>
      <c r="F636" t="s">
        <v>7</v>
      </c>
      <c r="G636" s="1"/>
      <c r="H636" s="1"/>
      <c r="I636" s="1"/>
      <c r="T636" s="5"/>
      <c r="U636" s="9" t="s">
        <v>2552</v>
      </c>
      <c r="AH636" s="9">
        <v>1</v>
      </c>
      <c r="AI636" s="7">
        <v>1</v>
      </c>
      <c r="BC636" t="s">
        <v>441</v>
      </c>
      <c r="BD636" s="7" t="s">
        <v>109</v>
      </c>
      <c r="BE636" t="s">
        <v>124</v>
      </c>
      <c r="BF636" s="1" t="s">
        <v>73</v>
      </c>
      <c r="BG636" s="1">
        <v>1</v>
      </c>
      <c r="BH636">
        <v>1</v>
      </c>
      <c r="BK636" s="1"/>
      <c r="BQ636">
        <v>1</v>
      </c>
      <c r="CS636" s="7" t="s">
        <v>1473</v>
      </c>
    </row>
    <row r="637" spans="1:97">
      <c r="A637" t="s">
        <v>72</v>
      </c>
      <c r="B637" t="s">
        <v>2648</v>
      </c>
      <c r="C637" s="2"/>
      <c r="D637" s="2"/>
      <c r="F637" t="s">
        <v>7</v>
      </c>
      <c r="G637" s="1"/>
      <c r="H637" s="1"/>
      <c r="I637" s="1"/>
      <c r="T637" s="5"/>
      <c r="U637" s="9" t="s">
        <v>2552</v>
      </c>
      <c r="AH637" s="9">
        <v>1</v>
      </c>
      <c r="AI637" s="7">
        <v>1</v>
      </c>
      <c r="BC637" t="s">
        <v>2649</v>
      </c>
      <c r="BD637" s="7" t="s">
        <v>103</v>
      </c>
      <c r="BE637" t="s">
        <v>124</v>
      </c>
      <c r="BF637" s="1" t="s">
        <v>73</v>
      </c>
      <c r="BG637" s="1">
        <v>1</v>
      </c>
      <c r="BH637">
        <v>1</v>
      </c>
      <c r="BK637" s="1"/>
      <c r="BQ637">
        <v>1</v>
      </c>
      <c r="CS637" s="7" t="s">
        <v>2172</v>
      </c>
    </row>
    <row r="638" spans="1:97">
      <c r="A638" t="s">
        <v>72</v>
      </c>
      <c r="B638" t="s">
        <v>2650</v>
      </c>
      <c r="C638" s="2"/>
      <c r="D638" s="2"/>
      <c r="F638" t="s">
        <v>7</v>
      </c>
      <c r="G638" s="1"/>
      <c r="H638" s="1"/>
      <c r="I638" s="1"/>
      <c r="T638" s="5"/>
      <c r="U638" s="9" t="s">
        <v>2552</v>
      </c>
      <c r="AH638" s="9">
        <v>1</v>
      </c>
      <c r="AI638" s="7">
        <v>1</v>
      </c>
      <c r="BC638" t="s">
        <v>2651</v>
      </c>
      <c r="BD638" s="7" t="s">
        <v>103</v>
      </c>
      <c r="BE638" t="s">
        <v>124</v>
      </c>
      <c r="BF638" s="1" t="s">
        <v>73</v>
      </c>
      <c r="BG638" s="1">
        <v>1</v>
      </c>
      <c r="BH638">
        <v>1</v>
      </c>
      <c r="BK638" s="1"/>
      <c r="BQ638">
        <v>1</v>
      </c>
      <c r="CS638" s="7" t="s">
        <v>2172</v>
      </c>
    </row>
    <row r="639" spans="1:97">
      <c r="A639" t="s">
        <v>72</v>
      </c>
      <c r="B639" t="s">
        <v>2019</v>
      </c>
      <c r="C639" s="2"/>
      <c r="D639" s="2"/>
      <c r="F639" t="s">
        <v>7</v>
      </c>
      <c r="G639" s="1"/>
      <c r="H639" s="1"/>
      <c r="I639" s="1"/>
      <c r="T639" s="5"/>
      <c r="U639" s="9" t="s">
        <v>2552</v>
      </c>
      <c r="AH639" s="9">
        <v>1</v>
      </c>
      <c r="AI639" s="7">
        <v>1</v>
      </c>
      <c r="BC639" t="s">
        <v>2617</v>
      </c>
      <c r="BD639" s="7" t="s">
        <v>959</v>
      </c>
      <c r="BE639" s="7" t="s">
        <v>1317</v>
      </c>
      <c r="BF639" s="1" t="s">
        <v>29</v>
      </c>
      <c r="BG639" s="1">
        <v>1</v>
      </c>
      <c r="BH639">
        <v>1</v>
      </c>
      <c r="BK639" s="1"/>
      <c r="BQ639">
        <v>1</v>
      </c>
      <c r="CB639" s="7">
        <v>1</v>
      </c>
      <c r="CS639" s="7" t="s">
        <v>2618</v>
      </c>
    </row>
    <row r="640" spans="1:97">
      <c r="A640" t="s">
        <v>72</v>
      </c>
      <c r="B640" t="s">
        <v>2577</v>
      </c>
      <c r="C640" s="2"/>
      <c r="D640" s="2"/>
      <c r="F640" t="s">
        <v>7</v>
      </c>
      <c r="G640" s="1"/>
      <c r="H640" s="1"/>
      <c r="I640" s="1"/>
      <c r="T640" s="5"/>
      <c r="U640" s="9" t="s">
        <v>2552</v>
      </c>
      <c r="AH640" s="9">
        <v>1</v>
      </c>
      <c r="AI640" s="7">
        <v>1</v>
      </c>
      <c r="BC640" t="s">
        <v>441</v>
      </c>
      <c r="BD640" s="7" t="s">
        <v>109</v>
      </c>
      <c r="BE640" t="s">
        <v>124</v>
      </c>
      <c r="BF640" s="1" t="s">
        <v>73</v>
      </c>
      <c r="BG640" s="1">
        <v>1</v>
      </c>
      <c r="BH640">
        <v>1</v>
      </c>
      <c r="BK640" s="1"/>
      <c r="BQ640">
        <v>1</v>
      </c>
      <c r="CS640" s="7" t="s">
        <v>1473</v>
      </c>
    </row>
    <row r="641" spans="1:98">
      <c r="A641" t="s">
        <v>72</v>
      </c>
      <c r="B641" t="s">
        <v>2554</v>
      </c>
      <c r="C641" s="2"/>
      <c r="D641" s="2"/>
      <c r="F641" t="s">
        <v>7</v>
      </c>
      <c r="G641" s="1"/>
      <c r="H641" s="1"/>
      <c r="I641" s="1"/>
      <c r="T641" s="5"/>
      <c r="U641" s="9" t="s">
        <v>2552</v>
      </c>
      <c r="AH641" s="7">
        <v>1</v>
      </c>
      <c r="BC641" t="s">
        <v>2555</v>
      </c>
      <c r="BD641" s="7" t="s">
        <v>280</v>
      </c>
      <c r="BE641" t="s">
        <v>124</v>
      </c>
      <c r="BF641" s="1" t="s">
        <v>73</v>
      </c>
      <c r="BG641" s="1">
        <v>1</v>
      </c>
      <c r="BH641">
        <v>1</v>
      </c>
      <c r="BK641" s="1"/>
      <c r="BQ641">
        <v>1</v>
      </c>
      <c r="CN641">
        <v>1</v>
      </c>
      <c r="CS641" s="7" t="s">
        <v>2556</v>
      </c>
    </row>
    <row r="642" spans="1:98">
      <c r="A642" t="s">
        <v>72</v>
      </c>
      <c r="B642" t="s">
        <v>2557</v>
      </c>
      <c r="C642" s="2"/>
      <c r="D642" s="2"/>
      <c r="F642" t="s">
        <v>7</v>
      </c>
      <c r="G642" s="1"/>
      <c r="H642" s="1"/>
      <c r="I642" s="1"/>
      <c r="T642" s="5"/>
      <c r="U642" s="9" t="s">
        <v>2552</v>
      </c>
      <c r="AH642" s="9">
        <v>1</v>
      </c>
      <c r="AI642" s="7">
        <v>1</v>
      </c>
      <c r="BC642" t="s">
        <v>2558</v>
      </c>
      <c r="BD642" s="7" t="s">
        <v>305</v>
      </c>
      <c r="BE642" t="s">
        <v>124</v>
      </c>
      <c r="BF642" s="1" t="s">
        <v>73</v>
      </c>
      <c r="BG642" s="1">
        <v>1</v>
      </c>
      <c r="BH642">
        <v>1</v>
      </c>
      <c r="BK642" s="1"/>
      <c r="BQ642">
        <v>1</v>
      </c>
      <c r="CM642">
        <v>1</v>
      </c>
      <c r="CS642" s="7" t="s">
        <v>1842</v>
      </c>
    </row>
    <row r="643" spans="1:98">
      <c r="A643" t="s">
        <v>72</v>
      </c>
      <c r="B643" t="s">
        <v>2562</v>
      </c>
      <c r="C643" s="2"/>
      <c r="D643" s="2"/>
      <c r="F643" t="s">
        <v>7</v>
      </c>
      <c r="G643" s="1"/>
      <c r="H643" s="1"/>
      <c r="I643" s="1"/>
      <c r="T643" s="5"/>
      <c r="U643" s="9" t="s">
        <v>2552</v>
      </c>
      <c r="AH643" s="9">
        <v>1</v>
      </c>
      <c r="AI643" s="7">
        <v>1</v>
      </c>
      <c r="BC643" t="s">
        <v>2563</v>
      </c>
      <c r="BD643" s="7" t="s">
        <v>959</v>
      </c>
      <c r="BE643" s="7" t="s">
        <v>2390</v>
      </c>
      <c r="BF643" s="1" t="s">
        <v>29</v>
      </c>
      <c r="BG643" s="1">
        <v>1</v>
      </c>
      <c r="BH643">
        <v>2</v>
      </c>
      <c r="BK643" s="1"/>
      <c r="BQ643">
        <v>1</v>
      </c>
      <c r="CB643" s="7">
        <v>1</v>
      </c>
      <c r="CS643" s="7" t="s">
        <v>2564</v>
      </c>
    </row>
    <row r="644" spans="1:98">
      <c r="A644" t="s">
        <v>72</v>
      </c>
      <c r="B644" t="s">
        <v>2559</v>
      </c>
      <c r="C644" s="2"/>
      <c r="D644" s="2"/>
      <c r="F644" t="s">
        <v>7</v>
      </c>
      <c r="G644" s="1"/>
      <c r="H644" s="1"/>
      <c r="I644" s="1"/>
      <c r="T644" s="5"/>
      <c r="U644" s="9" t="s">
        <v>2552</v>
      </c>
      <c r="AG644" s="9"/>
      <c r="AH644" s="7">
        <v>1</v>
      </c>
      <c r="BC644" t="s">
        <v>2560</v>
      </c>
      <c r="BD644" s="7" t="s">
        <v>26</v>
      </c>
      <c r="BE644" t="s">
        <v>124</v>
      </c>
      <c r="BF644" s="1" t="s">
        <v>73</v>
      </c>
      <c r="BG644" s="1">
        <v>1</v>
      </c>
      <c r="BH644">
        <v>1</v>
      </c>
      <c r="BK644" s="1"/>
      <c r="BQ644">
        <v>1</v>
      </c>
      <c r="CS644" s="7" t="s">
        <v>2561</v>
      </c>
    </row>
    <row r="645" spans="1:98">
      <c r="A645" t="s">
        <v>72</v>
      </c>
      <c r="B645" t="s">
        <v>1426</v>
      </c>
      <c r="C645" s="15"/>
      <c r="D645" s="15"/>
      <c r="F645" t="s">
        <v>7</v>
      </c>
      <c r="G645" s="1"/>
      <c r="H645" s="1"/>
      <c r="I645" s="1"/>
      <c r="T645" s="5"/>
      <c r="U645" t="s">
        <v>1787</v>
      </c>
      <c r="AH645" s="6">
        <v>1</v>
      </c>
      <c r="AI645" s="14">
        <v>1</v>
      </c>
      <c r="BC645" t="s">
        <v>1788</v>
      </c>
      <c r="BD645" s="14" t="s">
        <v>338</v>
      </c>
      <c r="BE645" t="s">
        <v>125</v>
      </c>
      <c r="BF645" s="1" t="s">
        <v>29</v>
      </c>
      <c r="BG645" s="1">
        <v>2</v>
      </c>
      <c r="BH645">
        <v>1</v>
      </c>
      <c r="BK645" s="1">
        <v>1</v>
      </c>
      <c r="BQ645">
        <v>1</v>
      </c>
      <c r="CS645" s="14" t="s">
        <v>1786</v>
      </c>
    </row>
    <row r="646" spans="1:98">
      <c r="B646" t="s">
        <v>2811</v>
      </c>
      <c r="C646" s="2" t="s">
        <v>2812</v>
      </c>
      <c r="D646" s="2" t="s">
        <v>2813</v>
      </c>
      <c r="E646" s="8" t="s">
        <v>146</v>
      </c>
      <c r="F646" s="8" t="s">
        <v>65</v>
      </c>
      <c r="G646" s="1">
        <v>1</v>
      </c>
      <c r="H646" s="1"/>
      <c r="I646" s="1">
        <f>1803-24</f>
        <v>1779</v>
      </c>
      <c r="J646" t="s">
        <v>69</v>
      </c>
      <c r="K646" t="s">
        <v>12</v>
      </c>
      <c r="N646">
        <v>1</v>
      </c>
      <c r="Q646">
        <v>5</v>
      </c>
      <c r="R646">
        <v>3</v>
      </c>
      <c r="T646" s="5">
        <f>((Q646*316)+(R646*26.3)+(S646*2.2))/10</f>
        <v>165.89000000000001</v>
      </c>
      <c r="U646" t="s">
        <v>1787</v>
      </c>
      <c r="AH646" s="6">
        <v>1</v>
      </c>
      <c r="AI646" s="6">
        <v>1</v>
      </c>
      <c r="AJ646" s="6">
        <v>1</v>
      </c>
      <c r="AK646" s="7">
        <v>1</v>
      </c>
      <c r="BC646" t="s">
        <v>2814</v>
      </c>
      <c r="BD646" s="7" t="s">
        <v>280</v>
      </c>
      <c r="BE646" t="s">
        <v>2005</v>
      </c>
      <c r="BF646" s="1" t="s">
        <v>29</v>
      </c>
      <c r="BG646" s="1">
        <v>3</v>
      </c>
      <c r="BH646">
        <v>3</v>
      </c>
      <c r="BK646" s="1">
        <v>1</v>
      </c>
      <c r="BQ646">
        <v>1</v>
      </c>
      <c r="CL646">
        <v>1</v>
      </c>
      <c r="CN646">
        <v>1</v>
      </c>
      <c r="CS646" s="7" t="s">
        <v>947</v>
      </c>
    </row>
    <row r="647" spans="1:98">
      <c r="B647" t="s">
        <v>1371</v>
      </c>
      <c r="C647" s="2" t="s">
        <v>1372</v>
      </c>
      <c r="D647" s="2"/>
      <c r="F647" s="8" t="s">
        <v>65</v>
      </c>
      <c r="G647" s="1">
        <v>1</v>
      </c>
      <c r="H647" s="1"/>
      <c r="I647" s="1">
        <f>1802-26</f>
        <v>1776</v>
      </c>
      <c r="J647" t="s">
        <v>10</v>
      </c>
      <c r="K647" t="s">
        <v>12</v>
      </c>
      <c r="Q647">
        <v>5</v>
      </c>
      <c r="R647">
        <v>2</v>
      </c>
      <c r="S647">
        <v>1</v>
      </c>
      <c r="T647" s="5">
        <f>((Q647*316)+(R647*26.3)+(S647*2.2))/10</f>
        <v>163.47999999999999</v>
      </c>
      <c r="U647" t="s">
        <v>1373</v>
      </c>
      <c r="AH647" s="6">
        <v>1</v>
      </c>
      <c r="AI647" s="6">
        <v>1</v>
      </c>
      <c r="AJ647" s="6">
        <v>1</v>
      </c>
      <c r="AK647" s="6">
        <v>1</v>
      </c>
      <c r="AL647" s="7">
        <v>1</v>
      </c>
      <c r="BC647" t="s">
        <v>1374</v>
      </c>
      <c r="BD647" s="7" t="s">
        <v>280</v>
      </c>
      <c r="BE647" t="s">
        <v>125</v>
      </c>
      <c r="BF647" s="1" t="s">
        <v>29</v>
      </c>
      <c r="BG647" s="1">
        <v>7</v>
      </c>
      <c r="BH647">
        <v>1</v>
      </c>
      <c r="BK647" s="1">
        <v>1</v>
      </c>
      <c r="BQ647">
        <v>1</v>
      </c>
      <c r="CN647">
        <v>1</v>
      </c>
      <c r="CS647" s="7" t="s">
        <v>1330</v>
      </c>
    </row>
    <row r="648" spans="1:98">
      <c r="B648" t="s">
        <v>493</v>
      </c>
      <c r="C648" s="13" t="s">
        <v>494</v>
      </c>
      <c r="D648" s="15"/>
      <c r="E648" s="8" t="s">
        <v>499</v>
      </c>
      <c r="F648" s="8" t="s">
        <v>247</v>
      </c>
      <c r="G648" s="1">
        <v>1</v>
      </c>
      <c r="H648" s="1"/>
      <c r="I648" s="1">
        <f>1802-23</f>
        <v>1779</v>
      </c>
      <c r="J648" t="s">
        <v>69</v>
      </c>
      <c r="K648" t="s">
        <v>495</v>
      </c>
      <c r="M648">
        <v>1</v>
      </c>
      <c r="O648">
        <v>2</v>
      </c>
      <c r="Q648">
        <v>5</v>
      </c>
      <c r="R648">
        <v>3</v>
      </c>
      <c r="T648" s="5">
        <f>((Q648*316)+(R648*26.3)+(S648*2.2))/10</f>
        <v>165.89000000000001</v>
      </c>
      <c r="U648" t="s">
        <v>496</v>
      </c>
      <c r="AH648" s="6">
        <v>1</v>
      </c>
      <c r="AI648" s="6">
        <v>1</v>
      </c>
      <c r="AJ648" s="6">
        <v>1</v>
      </c>
      <c r="AK648" s="7">
        <v>1</v>
      </c>
      <c r="BC648" t="s">
        <v>497</v>
      </c>
      <c r="BD648" s="7" t="s">
        <v>103</v>
      </c>
      <c r="BE648" t="s">
        <v>437</v>
      </c>
      <c r="BF648" s="1" t="s">
        <v>29</v>
      </c>
      <c r="BG648" s="1">
        <v>2</v>
      </c>
      <c r="BH648">
        <v>1</v>
      </c>
      <c r="BK648" s="1">
        <v>1</v>
      </c>
      <c r="BQ648">
        <v>1</v>
      </c>
      <c r="CS648" s="7" t="s">
        <v>452</v>
      </c>
    </row>
    <row r="649" spans="1:98">
      <c r="A649" t="s">
        <v>72</v>
      </c>
      <c r="B649" t="s">
        <v>449</v>
      </c>
      <c r="C649" s="15"/>
      <c r="D649" s="15"/>
      <c r="F649" t="s">
        <v>7</v>
      </c>
      <c r="G649" s="1"/>
      <c r="H649" s="1"/>
      <c r="I649" s="1"/>
      <c r="T649" s="5"/>
      <c r="U649" t="s">
        <v>450</v>
      </c>
      <c r="AH649" s="6">
        <v>1</v>
      </c>
      <c r="AI649" s="7">
        <v>1</v>
      </c>
      <c r="BC649" t="s">
        <v>451</v>
      </c>
      <c r="BD649" s="7" t="s">
        <v>103</v>
      </c>
      <c r="BE649" t="s">
        <v>437</v>
      </c>
      <c r="BF649" s="1" t="s">
        <v>29</v>
      </c>
      <c r="BG649" s="1">
        <v>1</v>
      </c>
      <c r="BH649">
        <v>1</v>
      </c>
      <c r="BK649" s="1">
        <v>1</v>
      </c>
      <c r="BQ649">
        <v>1</v>
      </c>
      <c r="CS649" s="7" t="s">
        <v>452</v>
      </c>
    </row>
    <row r="650" spans="1:98">
      <c r="A650" t="s">
        <v>72</v>
      </c>
      <c r="B650" t="s">
        <v>470</v>
      </c>
      <c r="C650" s="15"/>
      <c r="D650" s="15"/>
      <c r="F650" t="s">
        <v>7</v>
      </c>
      <c r="G650" s="1"/>
      <c r="H650" s="1"/>
      <c r="I650" s="1"/>
      <c r="T650" s="5"/>
      <c r="U650" t="s">
        <v>450</v>
      </c>
      <c r="AH650" s="10">
        <v>1</v>
      </c>
      <c r="BC650">
        <v>1800</v>
      </c>
      <c r="BD650" t="s">
        <v>81</v>
      </c>
      <c r="BE650" s="10" t="s">
        <v>471</v>
      </c>
      <c r="BF650" s="1" t="s">
        <v>73</v>
      </c>
      <c r="BG650" s="1">
        <v>1</v>
      </c>
      <c r="BH650">
        <v>2</v>
      </c>
      <c r="BK650" s="1">
        <v>1</v>
      </c>
      <c r="BQ650">
        <v>1</v>
      </c>
      <c r="CL650" s="10">
        <v>1</v>
      </c>
      <c r="CS650" s="10" t="s">
        <v>472</v>
      </c>
    </row>
    <row r="651" spans="1:98">
      <c r="A651" t="s">
        <v>72</v>
      </c>
      <c r="B651" t="s">
        <v>443</v>
      </c>
      <c r="C651" s="15"/>
      <c r="D651" s="15"/>
      <c r="F651" t="s">
        <v>7</v>
      </c>
      <c r="G651" s="1"/>
      <c r="H651" s="1"/>
      <c r="I651" s="1"/>
      <c r="T651" s="5"/>
      <c r="U651" t="s">
        <v>444</v>
      </c>
      <c r="AH651" s="6">
        <v>1</v>
      </c>
      <c r="AI651" s="6">
        <v>1</v>
      </c>
      <c r="AJ651" s="7">
        <v>1</v>
      </c>
      <c r="BC651" t="s">
        <v>445</v>
      </c>
      <c r="BD651" s="7" t="s">
        <v>103</v>
      </c>
      <c r="BE651" t="s">
        <v>437</v>
      </c>
      <c r="BF651" s="1" t="s">
        <v>29</v>
      </c>
      <c r="BG651" s="1">
        <v>1</v>
      </c>
      <c r="BH651">
        <v>1</v>
      </c>
      <c r="BK651" s="1">
        <v>1</v>
      </c>
      <c r="BQ651">
        <v>1</v>
      </c>
      <c r="CS651" s="7" t="s">
        <v>452</v>
      </c>
    </row>
    <row r="652" spans="1:98">
      <c r="B652" t="s">
        <v>2444</v>
      </c>
      <c r="C652" s="2" t="s">
        <v>2445</v>
      </c>
      <c r="D652" s="2" t="s">
        <v>2445</v>
      </c>
      <c r="E652" s="8" t="s">
        <v>114</v>
      </c>
      <c r="F652" s="8" t="s">
        <v>115</v>
      </c>
      <c r="G652" s="1">
        <v>1</v>
      </c>
      <c r="H652" s="1"/>
      <c r="I652" s="1">
        <f>1802-30</f>
        <v>1772</v>
      </c>
      <c r="J652" t="s">
        <v>69</v>
      </c>
      <c r="K652" t="s">
        <v>12</v>
      </c>
      <c r="N652">
        <v>1</v>
      </c>
      <c r="O652">
        <v>1</v>
      </c>
      <c r="P652">
        <v>2</v>
      </c>
      <c r="Q652">
        <v>5</v>
      </c>
      <c r="R652">
        <v>2</v>
      </c>
      <c r="S652">
        <v>2</v>
      </c>
      <c r="T652" s="5">
        <f>((Q652*316)+(R652*26.3)+(S652*2.2))/10</f>
        <v>163.69999999999999</v>
      </c>
      <c r="U652" t="s">
        <v>2446</v>
      </c>
      <c r="AH652" s="6">
        <v>1</v>
      </c>
      <c r="AI652" s="6">
        <v>1</v>
      </c>
      <c r="AJ652" s="6">
        <v>1</v>
      </c>
      <c r="AK652" s="6">
        <v>1</v>
      </c>
      <c r="AL652" s="6">
        <v>1</v>
      </c>
      <c r="AM652" s="6">
        <v>1</v>
      </c>
      <c r="AN652" s="6">
        <v>1</v>
      </c>
      <c r="AO652" s="6">
        <v>1</v>
      </c>
      <c r="AP652" s="6">
        <v>1</v>
      </c>
      <c r="AQ652" s="6">
        <v>1</v>
      </c>
      <c r="AR652" s="6">
        <v>1</v>
      </c>
      <c r="AS652" s="6">
        <v>1</v>
      </c>
      <c r="AT652" s="7">
        <v>1</v>
      </c>
      <c r="BC652" t="s">
        <v>2447</v>
      </c>
      <c r="BD652" s="7" t="s">
        <v>103</v>
      </c>
      <c r="BE652" t="s">
        <v>183</v>
      </c>
      <c r="BF652" s="1" t="s">
        <v>29</v>
      </c>
      <c r="BG652" s="1">
        <v>3</v>
      </c>
      <c r="BH652">
        <v>3</v>
      </c>
      <c r="BK652" s="1">
        <v>1</v>
      </c>
      <c r="BQ652">
        <v>1</v>
      </c>
      <c r="BY652">
        <v>1</v>
      </c>
      <c r="CL652">
        <v>1</v>
      </c>
      <c r="CS652" s="7" t="s">
        <v>1747</v>
      </c>
    </row>
    <row r="653" spans="1:98">
      <c r="A653" t="s">
        <v>72</v>
      </c>
      <c r="B653" t="s">
        <v>4498</v>
      </c>
      <c r="C653" s="15"/>
      <c r="D653" s="15"/>
      <c r="F653" t="s">
        <v>7</v>
      </c>
      <c r="G653" s="1"/>
      <c r="H653" s="1"/>
      <c r="I653" s="1"/>
      <c r="T653" s="5"/>
      <c r="U653" s="9" t="s">
        <v>4497</v>
      </c>
      <c r="AG653" s="9"/>
      <c r="AH653" s="7">
        <v>1</v>
      </c>
      <c r="BC653" s="9" t="s">
        <v>4499</v>
      </c>
      <c r="BD653" s="7" t="s">
        <v>103</v>
      </c>
      <c r="BE653" t="s">
        <v>975</v>
      </c>
      <c r="BF653" s="1" t="s">
        <v>29</v>
      </c>
      <c r="BG653" s="1">
        <v>1</v>
      </c>
      <c r="BH653">
        <v>1</v>
      </c>
      <c r="BK653" s="27"/>
      <c r="BQ653">
        <v>1</v>
      </c>
      <c r="CS653" s="7" t="s">
        <v>4727</v>
      </c>
    </row>
    <row r="654" spans="1:98">
      <c r="B654" t="s">
        <v>2367</v>
      </c>
      <c r="C654" s="2" t="s">
        <v>2368</v>
      </c>
      <c r="D654" s="15"/>
      <c r="F654" s="8" t="s">
        <v>218</v>
      </c>
      <c r="G654" s="1">
        <v>1</v>
      </c>
      <c r="H654" s="1"/>
      <c r="I654" s="1">
        <f>1811-30</f>
        <v>1781</v>
      </c>
      <c r="J654" t="s">
        <v>10</v>
      </c>
      <c r="K654" t="s">
        <v>12</v>
      </c>
      <c r="T654" s="5"/>
      <c r="U654" s="9" t="s">
        <v>2366</v>
      </c>
      <c r="AH654" s="9">
        <v>1</v>
      </c>
      <c r="AI654" s="6">
        <v>1</v>
      </c>
      <c r="AJ654" s="6">
        <v>1</v>
      </c>
      <c r="AK654" s="6">
        <v>1</v>
      </c>
      <c r="AL654" s="6">
        <v>1</v>
      </c>
      <c r="AM654" s="6">
        <v>1</v>
      </c>
      <c r="AN654" s="6">
        <v>1</v>
      </c>
      <c r="AO654" s="6">
        <v>1</v>
      </c>
      <c r="AP654" s="6">
        <v>1</v>
      </c>
      <c r="AQ654" s="6">
        <v>1</v>
      </c>
      <c r="AR654" s="7">
        <v>1</v>
      </c>
      <c r="AS654" s="7">
        <v>1</v>
      </c>
      <c r="BC654" t="s">
        <v>2369</v>
      </c>
      <c r="BD654" s="7" t="s">
        <v>959</v>
      </c>
      <c r="BE654" s="7" t="s">
        <v>1558</v>
      </c>
      <c r="BF654" s="1" t="s">
        <v>29</v>
      </c>
      <c r="BG654" s="1">
        <v>1</v>
      </c>
      <c r="BH654">
        <v>2</v>
      </c>
      <c r="BK654" s="1">
        <v>1</v>
      </c>
      <c r="BQ654">
        <v>1</v>
      </c>
      <c r="CB654" s="7">
        <v>1</v>
      </c>
      <c r="CS654" s="7" t="s">
        <v>2370</v>
      </c>
    </row>
    <row r="655" spans="1:98">
      <c r="A655" t="s">
        <v>72</v>
      </c>
      <c r="B655" t="s">
        <v>487</v>
      </c>
      <c r="C655" s="15"/>
      <c r="D655" s="15"/>
      <c r="F655" t="s">
        <v>7</v>
      </c>
      <c r="G655" s="1"/>
      <c r="H655" s="1"/>
      <c r="I655" s="1"/>
      <c r="T655" s="5"/>
      <c r="U655" s="9" t="s">
        <v>488</v>
      </c>
      <c r="AH655" s="9">
        <v>1</v>
      </c>
      <c r="BC655">
        <v>1800</v>
      </c>
      <c r="BD655" t="s">
        <v>81</v>
      </c>
      <c r="BE655" s="10" t="s">
        <v>70</v>
      </c>
      <c r="BF655" s="1" t="s">
        <v>73</v>
      </c>
      <c r="BG655" s="1">
        <v>1</v>
      </c>
      <c r="BH655">
        <v>1</v>
      </c>
      <c r="BK655" s="1"/>
      <c r="BZ655">
        <v>1</v>
      </c>
      <c r="CS655" t="s">
        <v>111</v>
      </c>
      <c r="CT655" s="10" t="s">
        <v>479</v>
      </c>
    </row>
    <row r="656" spans="1:98">
      <c r="B656" t="s">
        <v>593</v>
      </c>
      <c r="C656" s="18" t="s">
        <v>594</v>
      </c>
      <c r="D656" s="15"/>
      <c r="F656" s="8" t="s">
        <v>595</v>
      </c>
      <c r="G656" s="1"/>
      <c r="H656" s="1">
        <v>1</v>
      </c>
      <c r="I656" s="1">
        <f>1804-26</f>
        <v>1778</v>
      </c>
      <c r="J656" t="s">
        <v>10</v>
      </c>
      <c r="K656" t="s">
        <v>561</v>
      </c>
      <c r="Q656">
        <v>5</v>
      </c>
      <c r="R656">
        <v>1</v>
      </c>
      <c r="S656">
        <v>3</v>
      </c>
      <c r="T656" s="5">
        <f>((Q656*316)+(R656*26.3)+(S656*2.2))/10</f>
        <v>161.29</v>
      </c>
      <c r="U656" t="s">
        <v>463</v>
      </c>
      <c r="AH656" s="6">
        <v>1</v>
      </c>
      <c r="AI656" s="6">
        <v>1</v>
      </c>
      <c r="AJ656" s="6">
        <v>1</v>
      </c>
      <c r="AK656" s="6">
        <v>1</v>
      </c>
      <c r="AL656" s="6">
        <v>1</v>
      </c>
      <c r="BC656">
        <v>1804</v>
      </c>
      <c r="BD656" t="s">
        <v>81</v>
      </c>
      <c r="BE656" t="s">
        <v>437</v>
      </c>
      <c r="BF656" s="1" t="s">
        <v>73</v>
      </c>
      <c r="BG656" s="1">
        <v>3</v>
      </c>
      <c r="BH656">
        <v>1</v>
      </c>
      <c r="BK656" s="1">
        <v>1</v>
      </c>
      <c r="BQ656">
        <v>1</v>
      </c>
      <c r="CS656" t="s">
        <v>586</v>
      </c>
    </row>
    <row r="657" spans="1:97">
      <c r="B657" t="s">
        <v>490</v>
      </c>
      <c r="C657" s="15" t="s">
        <v>491</v>
      </c>
      <c r="D657" s="15"/>
      <c r="E657" s="8" t="s">
        <v>499</v>
      </c>
      <c r="F657" s="8" t="s">
        <v>247</v>
      </c>
      <c r="G657" s="1">
        <v>1</v>
      </c>
      <c r="H657" s="1"/>
      <c r="I657" s="1">
        <f>1802-20</f>
        <v>1782</v>
      </c>
      <c r="J657" t="s">
        <v>10</v>
      </c>
      <c r="K657" t="s">
        <v>197</v>
      </c>
      <c r="Q657">
        <v>5</v>
      </c>
      <c r="R657">
        <v>4</v>
      </c>
      <c r="S657">
        <v>1</v>
      </c>
      <c r="T657" s="5">
        <f>((Q657*316)+(R657*26.3)+(S657*2.2))/10</f>
        <v>168.74</v>
      </c>
      <c r="U657" t="s">
        <v>463</v>
      </c>
      <c r="AH657" s="6">
        <v>1</v>
      </c>
      <c r="AI657" s="6">
        <v>1</v>
      </c>
      <c r="AJ657" s="6">
        <v>1</v>
      </c>
      <c r="AK657" s="7">
        <v>1</v>
      </c>
      <c r="BC657" t="s">
        <v>492</v>
      </c>
      <c r="BD657" s="7" t="s">
        <v>103</v>
      </c>
      <c r="BE657" t="s">
        <v>437</v>
      </c>
      <c r="BF657" s="1" t="s">
        <v>29</v>
      </c>
      <c r="BG657" s="1">
        <v>2</v>
      </c>
      <c r="BH657">
        <v>1</v>
      </c>
      <c r="BK657" s="1">
        <v>1</v>
      </c>
      <c r="BQ657">
        <v>1</v>
      </c>
      <c r="CS657" s="7" t="s">
        <v>452</v>
      </c>
    </row>
    <row r="658" spans="1:97">
      <c r="B658" t="s">
        <v>876</v>
      </c>
      <c r="C658" s="13" t="s">
        <v>877</v>
      </c>
      <c r="D658" s="15"/>
      <c r="F658" s="8" t="s">
        <v>4275</v>
      </c>
      <c r="G658" s="1"/>
      <c r="H658" s="1">
        <v>1</v>
      </c>
      <c r="I658" s="1">
        <f>1801-26</f>
        <v>1775</v>
      </c>
      <c r="J658" t="s">
        <v>10</v>
      </c>
      <c r="K658" t="s">
        <v>12</v>
      </c>
      <c r="T658" s="5"/>
      <c r="U658" t="s">
        <v>463</v>
      </c>
      <c r="AH658" s="6">
        <v>1</v>
      </c>
      <c r="AI658" s="7">
        <v>1</v>
      </c>
      <c r="BC658" t="s">
        <v>878</v>
      </c>
      <c r="BD658" s="7" t="s">
        <v>280</v>
      </c>
      <c r="BE658" t="s">
        <v>874</v>
      </c>
      <c r="BF658" s="1" t="s">
        <v>29</v>
      </c>
      <c r="BG658" s="1">
        <v>2</v>
      </c>
      <c r="BH658">
        <v>2</v>
      </c>
      <c r="BK658" s="1"/>
      <c r="BO658">
        <v>1</v>
      </c>
      <c r="BS658">
        <v>1</v>
      </c>
      <c r="BV658">
        <v>1</v>
      </c>
      <c r="CL658">
        <v>1</v>
      </c>
      <c r="CN658">
        <v>1</v>
      </c>
      <c r="CS658" s="7" t="s">
        <v>328</v>
      </c>
    </row>
    <row r="659" spans="1:97">
      <c r="B659" t="s">
        <v>584</v>
      </c>
      <c r="C659" s="15" t="s">
        <v>585</v>
      </c>
      <c r="D659" s="15"/>
      <c r="E659" s="8" t="s">
        <v>499</v>
      </c>
      <c r="F659" s="8" t="s">
        <v>247</v>
      </c>
      <c r="G659" s="1">
        <v>1</v>
      </c>
      <c r="H659" s="1"/>
      <c r="I659" s="1">
        <f>1804-23</f>
        <v>1781</v>
      </c>
      <c r="J659" t="s">
        <v>10</v>
      </c>
      <c r="K659" t="s">
        <v>12</v>
      </c>
      <c r="Q659">
        <v>5</v>
      </c>
      <c r="R659">
        <v>2</v>
      </c>
      <c r="S659">
        <v>2</v>
      </c>
      <c r="T659" s="5">
        <f>((Q659*316)+(R659*26.3)+(S659*2.2))/10</f>
        <v>163.69999999999999</v>
      </c>
      <c r="U659" t="s">
        <v>463</v>
      </c>
      <c r="AH659" s="6">
        <v>1</v>
      </c>
      <c r="AI659" s="6">
        <v>1</v>
      </c>
      <c r="AJ659" s="6">
        <v>1</v>
      </c>
      <c r="AK659" s="6">
        <v>1</v>
      </c>
      <c r="AL659" s="6">
        <v>1</v>
      </c>
      <c r="BC659">
        <v>1804</v>
      </c>
      <c r="BD659" t="s">
        <v>81</v>
      </c>
      <c r="BE659" t="s">
        <v>437</v>
      </c>
      <c r="BF659" s="1" t="s">
        <v>73</v>
      </c>
      <c r="BG659" s="1">
        <v>3</v>
      </c>
      <c r="BH659">
        <v>1</v>
      </c>
      <c r="BK659" s="1">
        <v>1</v>
      </c>
      <c r="BQ659">
        <v>1</v>
      </c>
      <c r="CS659" t="s">
        <v>586</v>
      </c>
    </row>
    <row r="660" spans="1:97">
      <c r="A660" t="s">
        <v>72</v>
      </c>
      <c r="B660" t="s">
        <v>462</v>
      </c>
      <c r="C660" s="15"/>
      <c r="D660" s="15"/>
      <c r="F660" t="s">
        <v>7</v>
      </c>
      <c r="G660" s="1"/>
      <c r="H660" s="1"/>
      <c r="I660" s="1"/>
      <c r="T660" s="5"/>
      <c r="U660" t="s">
        <v>463</v>
      </c>
      <c r="AH660" s="7">
        <v>1</v>
      </c>
      <c r="BC660" t="s">
        <v>464</v>
      </c>
      <c r="BD660" s="7" t="s">
        <v>103</v>
      </c>
      <c r="BE660" t="s">
        <v>437</v>
      </c>
      <c r="BF660" s="1" t="s">
        <v>29</v>
      </c>
      <c r="BG660" s="1">
        <v>1</v>
      </c>
      <c r="BH660">
        <v>1</v>
      </c>
      <c r="BK660" s="1">
        <v>1</v>
      </c>
      <c r="BQ660">
        <v>1</v>
      </c>
      <c r="CS660" s="7" t="s">
        <v>465</v>
      </c>
    </row>
    <row r="661" spans="1:97">
      <c r="B661" t="s">
        <v>4728</v>
      </c>
      <c r="C661" s="2" t="s">
        <v>4729</v>
      </c>
      <c r="D661" s="2" t="s">
        <v>4729</v>
      </c>
      <c r="E661" s="8" t="s">
        <v>710</v>
      </c>
      <c r="F661" s="8" t="s">
        <v>115</v>
      </c>
      <c r="G661" s="1">
        <v>1</v>
      </c>
      <c r="H661" s="1"/>
      <c r="I661" s="1">
        <f>1803-21</f>
        <v>1782</v>
      </c>
      <c r="J661" t="s">
        <v>10</v>
      </c>
      <c r="K661" t="s">
        <v>12</v>
      </c>
      <c r="Q661">
        <v>5</v>
      </c>
      <c r="R661">
        <v>2</v>
      </c>
      <c r="S661">
        <v>3</v>
      </c>
      <c r="T661" s="5">
        <f t="shared" ref="T661:T668" si="35">((Q661*316)+(R661*26.3)+(S661*2.2))/10</f>
        <v>163.92</v>
      </c>
      <c r="U661" t="s">
        <v>4730</v>
      </c>
      <c r="AH661" s="6">
        <v>1</v>
      </c>
      <c r="AI661" s="6">
        <v>1</v>
      </c>
      <c r="AJ661" s="6">
        <v>1</v>
      </c>
      <c r="AK661" s="6">
        <v>1</v>
      </c>
      <c r="AL661" s="6">
        <v>1</v>
      </c>
      <c r="AM661" s="6">
        <v>1</v>
      </c>
      <c r="AN661" s="7">
        <v>1</v>
      </c>
      <c r="BC661" t="s">
        <v>198</v>
      </c>
      <c r="BD661" s="7" t="s">
        <v>109</v>
      </c>
      <c r="BE661" t="s">
        <v>975</v>
      </c>
      <c r="BF661" s="1" t="s">
        <v>29</v>
      </c>
      <c r="BG661" s="1">
        <v>4</v>
      </c>
      <c r="BH661">
        <v>1</v>
      </c>
      <c r="BK661" s="1" t="s">
        <v>72</v>
      </c>
      <c r="BN661">
        <v>1</v>
      </c>
      <c r="BQ661">
        <v>1</v>
      </c>
      <c r="CS661" s="7" t="s">
        <v>354</v>
      </c>
    </row>
    <row r="662" spans="1:97">
      <c r="B662" t="s">
        <v>4421</v>
      </c>
      <c r="C662" s="2" t="s">
        <v>4422</v>
      </c>
      <c r="D662" s="15"/>
      <c r="E662" s="8" t="s">
        <v>1145</v>
      </c>
      <c r="F662" s="8" t="s">
        <v>218</v>
      </c>
      <c r="G662" s="1">
        <v>1</v>
      </c>
      <c r="H662" s="1"/>
      <c r="I662" s="1">
        <f>1805-27</f>
        <v>1778</v>
      </c>
      <c r="J662" t="s">
        <v>10</v>
      </c>
      <c r="K662" t="s">
        <v>12</v>
      </c>
      <c r="Q662">
        <v>5</v>
      </c>
      <c r="R662">
        <v>2</v>
      </c>
      <c r="S662">
        <v>3</v>
      </c>
      <c r="T662" s="5">
        <f t="shared" si="35"/>
        <v>163.92</v>
      </c>
      <c r="U662" t="s">
        <v>492</v>
      </c>
      <c r="AH662" s="6">
        <v>1</v>
      </c>
      <c r="AI662" s="6">
        <v>1</v>
      </c>
      <c r="AJ662" s="6">
        <v>1</v>
      </c>
      <c r="AK662" s="6">
        <v>1</v>
      </c>
      <c r="AL662" s="6">
        <v>1</v>
      </c>
      <c r="AM662" s="6">
        <v>1</v>
      </c>
      <c r="BC662">
        <v>1805</v>
      </c>
      <c r="BD662" t="s">
        <v>81</v>
      </c>
      <c r="BE662" t="s">
        <v>1307</v>
      </c>
      <c r="BF662" s="1" t="s">
        <v>29</v>
      </c>
      <c r="BG662" s="1">
        <v>4</v>
      </c>
      <c r="BH662">
        <v>1</v>
      </c>
      <c r="BK662" s="1" t="s">
        <v>72</v>
      </c>
      <c r="BQ662">
        <v>1</v>
      </c>
      <c r="CL662">
        <v>1</v>
      </c>
      <c r="CS662" t="s">
        <v>1308</v>
      </c>
    </row>
    <row r="663" spans="1:97">
      <c r="B663" t="s">
        <v>4580</v>
      </c>
      <c r="C663" s="2" t="s">
        <v>4581</v>
      </c>
      <c r="D663" s="2" t="s">
        <v>4582</v>
      </c>
      <c r="E663" s="8" t="s">
        <v>624</v>
      </c>
      <c r="F663" s="8" t="s">
        <v>218</v>
      </c>
      <c r="G663" s="1">
        <v>1</v>
      </c>
      <c r="H663" s="1"/>
      <c r="I663" s="1">
        <f>1804-21</f>
        <v>1783</v>
      </c>
      <c r="J663" t="s">
        <v>10</v>
      </c>
      <c r="K663" t="s">
        <v>12</v>
      </c>
      <c r="Q663">
        <v>5</v>
      </c>
      <c r="R663">
        <v>2</v>
      </c>
      <c r="S663">
        <v>1</v>
      </c>
      <c r="T663" s="5">
        <f t="shared" si="35"/>
        <v>163.47999999999999</v>
      </c>
      <c r="U663" t="s">
        <v>4583</v>
      </c>
      <c r="AH663" s="6">
        <v>1</v>
      </c>
      <c r="AI663" s="6">
        <v>1</v>
      </c>
      <c r="AJ663" s="6">
        <v>1</v>
      </c>
      <c r="AK663" s="6">
        <v>1</v>
      </c>
      <c r="AL663" s="6">
        <v>1</v>
      </c>
      <c r="AM663" s="7">
        <v>1</v>
      </c>
      <c r="BC663" t="s">
        <v>4584</v>
      </c>
      <c r="BD663" s="7" t="s">
        <v>103</v>
      </c>
      <c r="BE663" t="s">
        <v>712</v>
      </c>
      <c r="BF663" s="1" t="s">
        <v>29</v>
      </c>
      <c r="BG663" s="1">
        <v>3</v>
      </c>
      <c r="BH663">
        <v>3</v>
      </c>
      <c r="BK663" s="1" t="s">
        <v>72</v>
      </c>
      <c r="BQ663">
        <v>1</v>
      </c>
      <c r="CL663">
        <v>1</v>
      </c>
      <c r="CS663" s="7" t="s">
        <v>4573</v>
      </c>
    </row>
    <row r="664" spans="1:97">
      <c r="B664" t="s">
        <v>1319</v>
      </c>
      <c r="C664" s="15" t="s">
        <v>349</v>
      </c>
      <c r="F664" s="8" t="s">
        <v>65</v>
      </c>
      <c r="G664" s="1">
        <v>1</v>
      </c>
      <c r="H664" s="1"/>
      <c r="I664" s="1">
        <f>1802-22</f>
        <v>1780</v>
      </c>
      <c r="J664" t="s">
        <v>10</v>
      </c>
      <c r="K664" t="s">
        <v>904</v>
      </c>
      <c r="Q664">
        <v>5</v>
      </c>
      <c r="R664">
        <v>8</v>
      </c>
      <c r="T664" s="5">
        <f t="shared" si="35"/>
        <v>179.04000000000002</v>
      </c>
      <c r="U664" t="s">
        <v>1320</v>
      </c>
      <c r="AH664" s="6">
        <v>1</v>
      </c>
      <c r="AI664" s="6">
        <v>1</v>
      </c>
      <c r="AJ664" s="6">
        <v>1</v>
      </c>
      <c r="AK664" s="6">
        <v>1</v>
      </c>
      <c r="AL664" s="6">
        <v>1</v>
      </c>
      <c r="AM664" s="6">
        <v>1</v>
      </c>
      <c r="AN664" s="6">
        <v>1</v>
      </c>
      <c r="AO664" s="6">
        <v>1</v>
      </c>
      <c r="AP664" s="6">
        <v>1</v>
      </c>
      <c r="AQ664" s="7">
        <v>1</v>
      </c>
      <c r="BC664" t="s">
        <v>1321</v>
      </c>
      <c r="BD664" s="7" t="s">
        <v>163</v>
      </c>
      <c r="BE664" t="s">
        <v>975</v>
      </c>
      <c r="BF664" s="1" t="s">
        <v>29</v>
      </c>
      <c r="BG664" s="1">
        <v>10</v>
      </c>
      <c r="BH664">
        <v>2</v>
      </c>
      <c r="BK664" s="1">
        <v>1</v>
      </c>
      <c r="BQ664">
        <v>1</v>
      </c>
      <c r="CG664">
        <v>1</v>
      </c>
      <c r="CL664">
        <v>1</v>
      </c>
      <c r="CS664" s="7" t="s">
        <v>4585</v>
      </c>
    </row>
    <row r="665" spans="1:97">
      <c r="B665" t="s">
        <v>4690</v>
      </c>
      <c r="C665" s="2" t="s">
        <v>1624</v>
      </c>
      <c r="D665" s="3" t="s">
        <v>192</v>
      </c>
      <c r="E665" s="8" t="s">
        <v>869</v>
      </c>
      <c r="F665" s="8" t="s">
        <v>65</v>
      </c>
      <c r="G665" s="1">
        <v>1</v>
      </c>
      <c r="H665" s="1"/>
      <c r="I665" s="1">
        <f>1802-23</f>
        <v>1779</v>
      </c>
      <c r="J665" t="s">
        <v>69</v>
      </c>
      <c r="K665" t="s">
        <v>12</v>
      </c>
      <c r="M665">
        <v>1</v>
      </c>
      <c r="Q665">
        <v>5</v>
      </c>
      <c r="R665">
        <v>3</v>
      </c>
      <c r="T665" s="5">
        <f t="shared" si="35"/>
        <v>165.89000000000001</v>
      </c>
      <c r="U665" t="s">
        <v>1320</v>
      </c>
      <c r="AH665" s="6">
        <v>1</v>
      </c>
      <c r="AI665" s="6">
        <v>1</v>
      </c>
      <c r="AJ665" s="6">
        <v>1</v>
      </c>
      <c r="AK665" s="7">
        <v>1</v>
      </c>
      <c r="BC665" s="9" t="s">
        <v>4691</v>
      </c>
      <c r="BD665" s="7" t="s">
        <v>103</v>
      </c>
      <c r="BE665" t="s">
        <v>975</v>
      </c>
      <c r="BF665" s="1" t="s">
        <v>29</v>
      </c>
      <c r="BG665" s="1">
        <v>2</v>
      </c>
      <c r="BH665">
        <v>1</v>
      </c>
      <c r="BK665" s="1">
        <v>1</v>
      </c>
      <c r="BQ665">
        <v>1</v>
      </c>
      <c r="CS665" s="7" t="s">
        <v>4692</v>
      </c>
    </row>
    <row r="666" spans="1:97">
      <c r="B666" t="s">
        <v>2848</v>
      </c>
      <c r="C666" s="2" t="s">
        <v>2002</v>
      </c>
      <c r="D666" s="2" t="s">
        <v>2002</v>
      </c>
      <c r="E666" s="8" t="s">
        <v>238</v>
      </c>
      <c r="F666" s="8" t="s">
        <v>65</v>
      </c>
      <c r="G666" s="1">
        <v>1</v>
      </c>
      <c r="H666" s="1"/>
      <c r="I666" s="1">
        <f>1804-32</f>
        <v>1772</v>
      </c>
      <c r="J666" t="s">
        <v>69</v>
      </c>
      <c r="K666" t="s">
        <v>12</v>
      </c>
      <c r="N666">
        <v>1</v>
      </c>
      <c r="Q666">
        <v>5</v>
      </c>
      <c r="R666">
        <v>5</v>
      </c>
      <c r="S666">
        <v>3</v>
      </c>
      <c r="T666" s="5">
        <f t="shared" si="35"/>
        <v>171.81</v>
      </c>
      <c r="U666" t="s">
        <v>1320</v>
      </c>
      <c r="AH666" s="6">
        <v>1</v>
      </c>
      <c r="AI666" s="6">
        <v>1</v>
      </c>
      <c r="AJ666" s="6">
        <v>1</v>
      </c>
      <c r="AK666" s="6">
        <v>1</v>
      </c>
      <c r="AL666" s="6">
        <v>1</v>
      </c>
      <c r="AM666" s="6">
        <v>1</v>
      </c>
      <c r="AN666" s="7">
        <v>1</v>
      </c>
      <c r="BC666" t="s">
        <v>2830</v>
      </c>
      <c r="BD666" s="7" t="s">
        <v>109</v>
      </c>
      <c r="BE666" t="s">
        <v>2005</v>
      </c>
      <c r="BF666" s="1" t="s">
        <v>29</v>
      </c>
      <c r="BG666" s="1">
        <v>6</v>
      </c>
      <c r="BH666">
        <v>1</v>
      </c>
      <c r="BK666" s="1">
        <v>1</v>
      </c>
      <c r="BQ666">
        <v>1</v>
      </c>
      <c r="CS666" s="7" t="s">
        <v>354</v>
      </c>
    </row>
    <row r="667" spans="1:97">
      <c r="B667" t="s">
        <v>3989</v>
      </c>
      <c r="C667" s="13" t="s">
        <v>3991</v>
      </c>
      <c r="D667" s="13" t="s">
        <v>3992</v>
      </c>
      <c r="E667" s="8" t="s">
        <v>238</v>
      </c>
      <c r="F667" s="8" t="s">
        <v>65</v>
      </c>
      <c r="G667" s="1">
        <v>1</v>
      </c>
      <c r="H667" s="1"/>
      <c r="I667" s="1">
        <f>1803-26</f>
        <v>1777</v>
      </c>
      <c r="J667" t="s">
        <v>69</v>
      </c>
      <c r="K667" t="s">
        <v>12</v>
      </c>
      <c r="M667">
        <v>1</v>
      </c>
      <c r="Q667">
        <v>5</v>
      </c>
      <c r="R667">
        <v>5</v>
      </c>
      <c r="T667" s="5">
        <f t="shared" si="35"/>
        <v>171.15</v>
      </c>
      <c r="U667" t="s">
        <v>2978</v>
      </c>
      <c r="AH667" s="6">
        <v>1</v>
      </c>
      <c r="AI667" s="6">
        <v>1</v>
      </c>
      <c r="AJ667" s="6">
        <v>1</v>
      </c>
      <c r="AK667" s="6">
        <v>1</v>
      </c>
      <c r="AL667" s="7">
        <v>1</v>
      </c>
      <c r="BC667" t="s">
        <v>3988</v>
      </c>
      <c r="BD667" s="7" t="s">
        <v>103</v>
      </c>
      <c r="BE667" t="s">
        <v>2635</v>
      </c>
      <c r="BF667" s="1" t="s">
        <v>29</v>
      </c>
      <c r="BG667" s="1">
        <v>2</v>
      </c>
      <c r="BH667">
        <v>1</v>
      </c>
      <c r="BK667" s="1">
        <v>1</v>
      </c>
      <c r="BQ667">
        <v>1</v>
      </c>
      <c r="CS667" s="7" t="s">
        <v>1388</v>
      </c>
    </row>
    <row r="668" spans="1:97">
      <c r="B668" t="s">
        <v>1154</v>
      </c>
      <c r="C668" s="2" t="s">
        <v>1155</v>
      </c>
      <c r="D668" s="15"/>
      <c r="E668" s="8" t="s">
        <v>1074</v>
      </c>
      <c r="F668" s="8" t="s">
        <v>247</v>
      </c>
      <c r="G668" s="1">
        <v>1</v>
      </c>
      <c r="H668" s="1"/>
      <c r="I668" s="1">
        <f>1804-21</f>
        <v>1783</v>
      </c>
      <c r="J668" t="s">
        <v>10</v>
      </c>
      <c r="K668" t="s">
        <v>12</v>
      </c>
      <c r="Q668">
        <v>5</v>
      </c>
      <c r="R668">
        <v>6</v>
      </c>
      <c r="S668">
        <v>3</v>
      </c>
      <c r="T668" s="5">
        <f t="shared" si="35"/>
        <v>174.44</v>
      </c>
      <c r="U668" t="s">
        <v>1156</v>
      </c>
      <c r="AH668" s="6">
        <v>1</v>
      </c>
      <c r="AI668" s="6">
        <v>1</v>
      </c>
      <c r="AJ668" s="6">
        <v>1</v>
      </c>
      <c r="AK668" s="6">
        <v>1</v>
      </c>
      <c r="AL668" s="6">
        <v>1</v>
      </c>
      <c r="AM668" s="6">
        <v>1</v>
      </c>
      <c r="AN668" s="6">
        <v>1</v>
      </c>
      <c r="AO668" s="7">
        <v>1</v>
      </c>
      <c r="BC668" t="s">
        <v>1157</v>
      </c>
      <c r="BD668" s="7" t="s">
        <v>103</v>
      </c>
      <c r="BE668" t="s">
        <v>1065</v>
      </c>
      <c r="BF668" s="1" t="s">
        <v>29</v>
      </c>
      <c r="BG668" s="1">
        <v>6</v>
      </c>
      <c r="BH668">
        <v>1</v>
      </c>
      <c r="BK668" s="1">
        <v>1</v>
      </c>
      <c r="BQ668">
        <v>1</v>
      </c>
      <c r="CF668">
        <v>1</v>
      </c>
      <c r="CG668">
        <v>1</v>
      </c>
      <c r="CS668" s="7" t="s">
        <v>475</v>
      </c>
    </row>
    <row r="669" spans="1:97">
      <c r="A669" t="s">
        <v>72</v>
      </c>
      <c r="B669" t="s">
        <v>1708</v>
      </c>
      <c r="C669" s="2"/>
      <c r="D669" s="2"/>
      <c r="F669" t="s">
        <v>7</v>
      </c>
      <c r="G669" s="1"/>
      <c r="H669" s="1"/>
      <c r="I669" s="1"/>
      <c r="T669" s="5"/>
      <c r="U669" t="s">
        <v>1156</v>
      </c>
      <c r="AH669" s="7">
        <v>1</v>
      </c>
      <c r="BC669" t="s">
        <v>235</v>
      </c>
      <c r="BD669" s="7" t="s">
        <v>103</v>
      </c>
      <c r="BE669" t="s">
        <v>125</v>
      </c>
      <c r="BF669" s="1" t="s">
        <v>29</v>
      </c>
      <c r="BG669" s="1">
        <v>1</v>
      </c>
      <c r="BH669">
        <v>1</v>
      </c>
      <c r="BK669" s="1">
        <v>1</v>
      </c>
      <c r="BQ669">
        <v>1</v>
      </c>
      <c r="CS669" s="7" t="s">
        <v>1378</v>
      </c>
    </row>
    <row r="670" spans="1:97">
      <c r="A670" t="s">
        <v>72</v>
      </c>
      <c r="B670" t="s">
        <v>1709</v>
      </c>
      <c r="C670" s="2"/>
      <c r="D670" s="2"/>
      <c r="F670" t="s">
        <v>7</v>
      </c>
      <c r="G670" s="1"/>
      <c r="H670" s="1"/>
      <c r="I670" s="1"/>
      <c r="T670" s="5"/>
      <c r="U670" t="s">
        <v>1156</v>
      </c>
      <c r="AH670" s="7">
        <v>1</v>
      </c>
      <c r="BC670" t="s">
        <v>1710</v>
      </c>
      <c r="BD670" s="7" t="s">
        <v>103</v>
      </c>
      <c r="BE670" t="s">
        <v>125</v>
      </c>
      <c r="BF670" s="1" t="s">
        <v>29</v>
      </c>
      <c r="BG670" s="1">
        <v>1</v>
      </c>
      <c r="BH670">
        <v>1</v>
      </c>
      <c r="BK670" s="1">
        <v>1</v>
      </c>
      <c r="BQ670">
        <v>1</v>
      </c>
      <c r="CS670" s="7" t="s">
        <v>1378</v>
      </c>
    </row>
    <row r="671" spans="1:97">
      <c r="B671" t="s">
        <v>3261</v>
      </c>
      <c r="C671" s="2" t="s">
        <v>3083</v>
      </c>
      <c r="D671" s="15"/>
      <c r="E671" s="8" t="s">
        <v>832</v>
      </c>
      <c r="F671" s="8" t="s">
        <v>65</v>
      </c>
      <c r="G671" s="1">
        <v>1</v>
      </c>
      <c r="H671" s="1"/>
      <c r="I671" s="1">
        <f>1805-25</f>
        <v>1780</v>
      </c>
      <c r="J671" t="s">
        <v>10</v>
      </c>
      <c r="K671" t="s">
        <v>12</v>
      </c>
      <c r="Q671">
        <v>5</v>
      </c>
      <c r="R671">
        <v>4</v>
      </c>
      <c r="S671">
        <v>1</v>
      </c>
      <c r="T671" s="5">
        <f>((Q671*316)+(R671*26.3)+(S671*2.2))/10</f>
        <v>168.74</v>
      </c>
      <c r="U671" t="s">
        <v>1156</v>
      </c>
      <c r="AH671" s="6">
        <v>1</v>
      </c>
      <c r="AI671" s="6">
        <v>1</v>
      </c>
      <c r="AJ671" s="6">
        <v>1</v>
      </c>
      <c r="AK671" s="6">
        <v>1</v>
      </c>
      <c r="AL671" s="6">
        <v>1</v>
      </c>
      <c r="AM671" s="6">
        <v>1</v>
      </c>
      <c r="AN671" s="6">
        <v>1</v>
      </c>
      <c r="AO671" s="6">
        <v>1</v>
      </c>
      <c r="AP671" s="6">
        <v>1</v>
      </c>
      <c r="AQ671" s="6">
        <v>1</v>
      </c>
      <c r="AR671" s="7">
        <v>1</v>
      </c>
      <c r="BC671" t="s">
        <v>574</v>
      </c>
      <c r="BD671" s="7" t="s">
        <v>103</v>
      </c>
      <c r="BE671" t="s">
        <v>2407</v>
      </c>
      <c r="BF671" s="1" t="s">
        <v>29</v>
      </c>
      <c r="BG671" s="1">
        <v>6</v>
      </c>
      <c r="BH671">
        <v>1</v>
      </c>
      <c r="BK671" s="1">
        <v>1</v>
      </c>
      <c r="BQ671">
        <v>1</v>
      </c>
      <c r="CM671">
        <v>1</v>
      </c>
      <c r="CS671" s="7" t="s">
        <v>3243</v>
      </c>
    </row>
    <row r="672" spans="1:97">
      <c r="B672" t="s">
        <v>2757</v>
      </c>
      <c r="C672" s="2" t="s">
        <v>2002</v>
      </c>
      <c r="D672" s="2" t="s">
        <v>2002</v>
      </c>
      <c r="E672" s="8" t="s">
        <v>238</v>
      </c>
      <c r="F672" t="s">
        <v>65</v>
      </c>
      <c r="G672" s="1">
        <v>1</v>
      </c>
      <c r="H672" s="1"/>
      <c r="I672" s="1">
        <f>1802-24</f>
        <v>1778</v>
      </c>
      <c r="J672" t="s">
        <v>69</v>
      </c>
      <c r="K672" t="s">
        <v>197</v>
      </c>
      <c r="N672">
        <v>1</v>
      </c>
      <c r="Q672">
        <v>5</v>
      </c>
      <c r="R672">
        <v>2</v>
      </c>
      <c r="T672" s="5">
        <f>((Q672*316)+(R672*26.3)+(S672*2.2))/10</f>
        <v>163.26</v>
      </c>
      <c r="U672" t="s">
        <v>1352</v>
      </c>
      <c r="AH672" s="6">
        <v>1</v>
      </c>
      <c r="AI672" s="6">
        <v>1</v>
      </c>
      <c r="AJ672" s="6">
        <v>1</v>
      </c>
      <c r="AK672" s="7">
        <v>1</v>
      </c>
      <c r="BC672" t="s">
        <v>1416</v>
      </c>
      <c r="BD672" s="7" t="s">
        <v>103</v>
      </c>
      <c r="BE672" t="s">
        <v>2005</v>
      </c>
      <c r="BF672" s="1" t="s">
        <v>29</v>
      </c>
      <c r="BG672" s="1">
        <v>3</v>
      </c>
      <c r="BH672">
        <v>1</v>
      </c>
      <c r="BK672" s="1">
        <v>1</v>
      </c>
      <c r="BQ672">
        <v>1</v>
      </c>
      <c r="CS672" s="7" t="s">
        <v>2758</v>
      </c>
    </row>
    <row r="673" spans="1:98">
      <c r="A673" t="s">
        <v>72</v>
      </c>
      <c r="B673" t="s">
        <v>1703</v>
      </c>
      <c r="C673" s="2"/>
      <c r="D673" s="2"/>
      <c r="F673" t="s">
        <v>7</v>
      </c>
      <c r="G673" s="1"/>
      <c r="H673" s="1"/>
      <c r="I673" s="1"/>
      <c r="T673" s="5"/>
      <c r="U673" t="s">
        <v>1352</v>
      </c>
      <c r="AH673" s="7">
        <v>1</v>
      </c>
      <c r="BC673" t="s">
        <v>1702</v>
      </c>
      <c r="BD673" s="7" t="s">
        <v>103</v>
      </c>
      <c r="BE673" t="s">
        <v>125</v>
      </c>
      <c r="BF673" s="1" t="s">
        <v>29</v>
      </c>
      <c r="BG673" s="1">
        <v>1</v>
      </c>
      <c r="BH673">
        <v>1</v>
      </c>
      <c r="BK673" s="1">
        <v>1</v>
      </c>
      <c r="BQ673">
        <v>1</v>
      </c>
      <c r="CS673" s="7" t="s">
        <v>1378</v>
      </c>
    </row>
    <row r="674" spans="1:98">
      <c r="B674" t="s">
        <v>1349</v>
      </c>
      <c r="C674" s="2" t="s">
        <v>1350</v>
      </c>
      <c r="D674" s="2"/>
      <c r="F674" t="s">
        <v>115</v>
      </c>
      <c r="G674" s="1">
        <v>1</v>
      </c>
      <c r="H674" s="1"/>
      <c r="I674" s="1">
        <f>1802-22</f>
        <v>1780</v>
      </c>
      <c r="J674" t="s">
        <v>10</v>
      </c>
      <c r="K674" t="s">
        <v>1351</v>
      </c>
      <c r="Q674">
        <v>5</v>
      </c>
      <c r="R674">
        <v>2</v>
      </c>
      <c r="S674">
        <v>1</v>
      </c>
      <c r="T674" s="5">
        <f>((Q674*316)+(R674*26.3)+(S674*2.2))/10</f>
        <v>163.47999999999999</v>
      </c>
      <c r="U674" t="s">
        <v>1352</v>
      </c>
      <c r="AH674" s="6">
        <v>1</v>
      </c>
      <c r="AI674" s="6">
        <v>1</v>
      </c>
      <c r="AJ674" s="6">
        <v>1</v>
      </c>
      <c r="AK674" s="6">
        <v>1</v>
      </c>
      <c r="AL674" s="6">
        <v>1</v>
      </c>
      <c r="AM674" s="7">
        <v>1</v>
      </c>
      <c r="BC674" t="s">
        <v>1353</v>
      </c>
      <c r="BD674" s="7" t="s">
        <v>103</v>
      </c>
      <c r="BE674" t="s">
        <v>125</v>
      </c>
      <c r="BF674" s="1" t="s">
        <v>29</v>
      </c>
      <c r="BG674" s="1">
        <v>8</v>
      </c>
      <c r="BH674">
        <v>1</v>
      </c>
      <c r="BK674" s="1">
        <v>1</v>
      </c>
      <c r="BQ674">
        <v>1</v>
      </c>
      <c r="CS674" s="7" t="s">
        <v>1354</v>
      </c>
    </row>
    <row r="675" spans="1:98">
      <c r="B675" t="s">
        <v>2975</v>
      </c>
      <c r="C675" s="2" t="s">
        <v>2976</v>
      </c>
      <c r="D675" s="2" t="s">
        <v>2977</v>
      </c>
      <c r="E675" s="8" t="s">
        <v>546</v>
      </c>
      <c r="F675" s="8" t="s">
        <v>357</v>
      </c>
      <c r="G675" s="1">
        <v>1</v>
      </c>
      <c r="H675" s="1"/>
      <c r="I675" s="1">
        <f>1800-20</f>
        <v>1780</v>
      </c>
      <c r="J675" t="s">
        <v>10</v>
      </c>
      <c r="K675" t="s">
        <v>12</v>
      </c>
      <c r="Q675">
        <v>5</v>
      </c>
      <c r="R675">
        <v>0</v>
      </c>
      <c r="S675">
        <v>2</v>
      </c>
      <c r="T675" s="5">
        <f>((Q675*316)+(R675*26.3)+(S675*2.2))/10</f>
        <v>158.44</v>
      </c>
      <c r="U675" t="s">
        <v>2978</v>
      </c>
      <c r="AH675" s="6">
        <v>1</v>
      </c>
      <c r="BC675">
        <v>1800</v>
      </c>
      <c r="BD675" t="s">
        <v>81</v>
      </c>
      <c r="BE675" s="10" t="s">
        <v>2407</v>
      </c>
      <c r="BF675" s="1" t="s">
        <v>73</v>
      </c>
      <c r="BG675" s="1">
        <v>1</v>
      </c>
      <c r="BH675">
        <v>2</v>
      </c>
      <c r="BI675">
        <v>1</v>
      </c>
      <c r="BK675" s="1">
        <v>1</v>
      </c>
      <c r="BQ675">
        <v>1</v>
      </c>
      <c r="CL675" s="10">
        <v>1</v>
      </c>
      <c r="CS675" s="10" t="s">
        <v>2966</v>
      </c>
    </row>
    <row r="676" spans="1:98">
      <c r="B676" t="s">
        <v>3990</v>
      </c>
      <c r="C676" s="2" t="s">
        <v>674</v>
      </c>
      <c r="D676" s="3" t="s">
        <v>3987</v>
      </c>
      <c r="E676" s="8" t="s">
        <v>238</v>
      </c>
      <c r="F676" s="8" t="s">
        <v>65</v>
      </c>
      <c r="G676" s="1">
        <v>1</v>
      </c>
      <c r="H676" s="1"/>
      <c r="I676" s="1">
        <f>1803-25</f>
        <v>1778</v>
      </c>
      <c r="J676" t="s">
        <v>69</v>
      </c>
      <c r="K676" t="s">
        <v>197</v>
      </c>
      <c r="M676">
        <v>1</v>
      </c>
      <c r="Q676">
        <v>5</v>
      </c>
      <c r="R676">
        <v>3</v>
      </c>
      <c r="S676">
        <v>1</v>
      </c>
      <c r="T676" s="5">
        <f>((Q676*316)+(R676*26.3)+(S676*2.2))/10</f>
        <v>166.11</v>
      </c>
      <c r="U676" t="s">
        <v>2978</v>
      </c>
      <c r="AH676" s="6">
        <v>1</v>
      </c>
      <c r="AI676" s="6">
        <v>1</v>
      </c>
      <c r="AJ676" s="6">
        <v>1</v>
      </c>
      <c r="AK676" s="6">
        <v>1</v>
      </c>
      <c r="AL676" s="7">
        <v>1</v>
      </c>
      <c r="BC676" t="s">
        <v>3988</v>
      </c>
      <c r="BD676" s="7" t="s">
        <v>103</v>
      </c>
      <c r="BE676" t="s">
        <v>2635</v>
      </c>
      <c r="BF676" s="1" t="s">
        <v>29</v>
      </c>
      <c r="BG676" s="1">
        <v>2</v>
      </c>
      <c r="BH676">
        <v>1</v>
      </c>
      <c r="BK676" s="1">
        <v>1</v>
      </c>
      <c r="BQ676">
        <v>1</v>
      </c>
      <c r="CS676" s="7" t="s">
        <v>1388</v>
      </c>
    </row>
    <row r="677" spans="1:98">
      <c r="B677" t="s">
        <v>3917</v>
      </c>
      <c r="C677" s="2" t="s">
        <v>191</v>
      </c>
      <c r="D677" s="3" t="s">
        <v>3001</v>
      </c>
      <c r="E677" s="8" t="s">
        <v>193</v>
      </c>
      <c r="F677" s="8" t="s">
        <v>65</v>
      </c>
      <c r="G677" s="1">
        <v>1</v>
      </c>
      <c r="H677" s="1"/>
      <c r="I677" s="1">
        <f>1800-24</f>
        <v>1776</v>
      </c>
      <c r="J677" t="s">
        <v>10</v>
      </c>
      <c r="K677" t="s">
        <v>12</v>
      </c>
      <c r="Q677">
        <v>5</v>
      </c>
      <c r="R677">
        <v>2</v>
      </c>
      <c r="S677">
        <v>2</v>
      </c>
      <c r="T677" s="5">
        <f>((Q677*316)+(R677*26.3)+(S677*2.2))/10</f>
        <v>163.69999999999999</v>
      </c>
      <c r="U677" t="s">
        <v>3918</v>
      </c>
      <c r="AH677" s="6">
        <v>1</v>
      </c>
      <c r="AI677" s="6">
        <v>1</v>
      </c>
      <c r="AJ677" s="6">
        <v>1</v>
      </c>
      <c r="AK677" s="6">
        <v>1</v>
      </c>
      <c r="AL677" s="6">
        <v>1</v>
      </c>
      <c r="AM677" s="6">
        <v>1</v>
      </c>
      <c r="AN677" s="6">
        <v>1</v>
      </c>
      <c r="AO677" s="6">
        <v>1</v>
      </c>
      <c r="AP677" s="6">
        <v>1</v>
      </c>
      <c r="AQ677" s="6">
        <v>1</v>
      </c>
      <c r="AR677" s="6">
        <v>1</v>
      </c>
      <c r="AS677" s="6">
        <v>1</v>
      </c>
      <c r="AT677" s="6">
        <v>1</v>
      </c>
      <c r="AU677" s="6">
        <v>1</v>
      </c>
      <c r="AV677" s="6">
        <v>1</v>
      </c>
      <c r="AW677" s="6">
        <v>1</v>
      </c>
      <c r="AX677" s="6">
        <v>1</v>
      </c>
      <c r="AY677" s="7">
        <v>1</v>
      </c>
      <c r="BC677" t="s">
        <v>3919</v>
      </c>
      <c r="BD677" s="7" t="s">
        <v>103</v>
      </c>
      <c r="BE677" t="s">
        <v>62</v>
      </c>
      <c r="BF677" s="1" t="s">
        <v>29</v>
      </c>
      <c r="BG677" s="1">
        <v>16</v>
      </c>
      <c r="BH677">
        <v>3</v>
      </c>
      <c r="BK677" s="1">
        <v>1</v>
      </c>
      <c r="BP677" s="6">
        <v>1</v>
      </c>
      <c r="BQ677">
        <v>1</v>
      </c>
      <c r="CF677">
        <v>1</v>
      </c>
      <c r="CI677">
        <v>1</v>
      </c>
      <c r="CL677">
        <v>1</v>
      </c>
      <c r="CR677">
        <v>1</v>
      </c>
      <c r="CS677" s="7" t="s">
        <v>3920</v>
      </c>
      <c r="CT677" s="6" t="s">
        <v>3921</v>
      </c>
    </row>
    <row r="678" spans="1:98">
      <c r="A678" t="s">
        <v>72</v>
      </c>
      <c r="B678" t="s">
        <v>434</v>
      </c>
      <c r="C678" s="15"/>
      <c r="D678" s="15"/>
      <c r="F678" t="s">
        <v>7</v>
      </c>
      <c r="G678" s="1"/>
      <c r="H678" s="1"/>
      <c r="I678" s="1"/>
      <c r="T678" s="5"/>
      <c r="U678" t="s">
        <v>435</v>
      </c>
      <c r="AH678" s="7">
        <v>1</v>
      </c>
      <c r="BC678" t="s">
        <v>436</v>
      </c>
      <c r="BD678" s="7" t="s">
        <v>305</v>
      </c>
      <c r="BE678" t="s">
        <v>437</v>
      </c>
      <c r="BF678" s="1" t="s">
        <v>29</v>
      </c>
      <c r="BG678" s="1">
        <v>1</v>
      </c>
      <c r="BH678">
        <v>1</v>
      </c>
      <c r="BK678" s="1">
        <v>1</v>
      </c>
      <c r="BQ678">
        <v>1</v>
      </c>
      <c r="CM678">
        <v>1</v>
      </c>
      <c r="CS678" s="7" t="s">
        <v>438</v>
      </c>
    </row>
    <row r="679" spans="1:98">
      <c r="B679" t="s">
        <v>1360</v>
      </c>
      <c r="C679" s="15" t="s">
        <v>349</v>
      </c>
      <c r="F679" s="8" t="s">
        <v>65</v>
      </c>
      <c r="G679" s="1">
        <v>1</v>
      </c>
      <c r="H679" s="1"/>
      <c r="I679" s="1">
        <f>1804-28</f>
        <v>1776</v>
      </c>
      <c r="J679" t="s">
        <v>10</v>
      </c>
      <c r="K679" t="s">
        <v>197</v>
      </c>
      <c r="Q679">
        <v>5</v>
      </c>
      <c r="R679">
        <v>5</v>
      </c>
      <c r="T679" s="5">
        <f t="shared" ref="T679:T684" si="36">((Q679*316)+(R679*26.3)+(S679*2.2))/10</f>
        <v>171.15</v>
      </c>
      <c r="U679" t="s">
        <v>889</v>
      </c>
      <c r="AH679" s="6">
        <v>1</v>
      </c>
      <c r="AI679" s="6">
        <v>1</v>
      </c>
      <c r="AJ679" s="6">
        <v>1</v>
      </c>
      <c r="AK679" s="6">
        <v>1</v>
      </c>
      <c r="AL679" s="7">
        <v>1</v>
      </c>
      <c r="BC679" t="s">
        <v>1361</v>
      </c>
      <c r="BD679" s="7" t="s">
        <v>103</v>
      </c>
      <c r="BE679" t="s">
        <v>125</v>
      </c>
      <c r="BF679" s="1" t="s">
        <v>29</v>
      </c>
      <c r="BG679" s="1">
        <v>8</v>
      </c>
      <c r="BH679">
        <v>1</v>
      </c>
      <c r="BK679" s="1">
        <v>1</v>
      </c>
      <c r="BQ679">
        <v>1</v>
      </c>
      <c r="CS679" s="7" t="s">
        <v>1398</v>
      </c>
    </row>
    <row r="680" spans="1:98">
      <c r="B680" t="s">
        <v>1072</v>
      </c>
      <c r="C680" s="15" t="s">
        <v>1073</v>
      </c>
      <c r="D680" s="15"/>
      <c r="E680" s="8" t="s">
        <v>1074</v>
      </c>
      <c r="F680" s="8" t="s">
        <v>247</v>
      </c>
      <c r="G680" s="1">
        <v>1</v>
      </c>
      <c r="H680" s="1"/>
      <c r="I680" s="1">
        <f>1804-28</f>
        <v>1776</v>
      </c>
      <c r="J680" t="s">
        <v>10</v>
      </c>
      <c r="K680" t="s">
        <v>12</v>
      </c>
      <c r="Q680">
        <v>5</v>
      </c>
      <c r="R680">
        <v>1</v>
      </c>
      <c r="T680" s="5">
        <f t="shared" si="36"/>
        <v>160.63</v>
      </c>
      <c r="U680" t="s">
        <v>1075</v>
      </c>
      <c r="AH680" s="6">
        <v>1</v>
      </c>
      <c r="AI680" s="6">
        <v>1</v>
      </c>
      <c r="AJ680" s="6">
        <v>1</v>
      </c>
      <c r="AK680" s="6">
        <v>1</v>
      </c>
      <c r="AL680" s="6">
        <v>1</v>
      </c>
      <c r="AM680" s="7">
        <v>1</v>
      </c>
      <c r="BC680" t="s">
        <v>1076</v>
      </c>
      <c r="BD680" s="7" t="s">
        <v>103</v>
      </c>
      <c r="BE680" t="s">
        <v>1065</v>
      </c>
      <c r="BF680" s="1" t="s">
        <v>29</v>
      </c>
      <c r="BG680" s="1">
        <v>6</v>
      </c>
      <c r="BH680">
        <v>1</v>
      </c>
      <c r="BK680" s="1">
        <v>1</v>
      </c>
      <c r="BQ680">
        <v>1</v>
      </c>
      <c r="CS680" s="7" t="s">
        <v>897</v>
      </c>
    </row>
    <row r="681" spans="1:98">
      <c r="B681" t="s">
        <v>1080</v>
      </c>
      <c r="C681" s="2" t="s">
        <v>1081</v>
      </c>
      <c r="D681" s="15"/>
      <c r="E681" s="8" t="s">
        <v>1074</v>
      </c>
      <c r="F681" s="8" t="s">
        <v>247</v>
      </c>
      <c r="G681" s="1">
        <v>1</v>
      </c>
      <c r="H681" s="1"/>
      <c r="I681" s="1">
        <f>1803-23</f>
        <v>1780</v>
      </c>
      <c r="J681" t="s">
        <v>10</v>
      </c>
      <c r="K681" t="s">
        <v>12</v>
      </c>
      <c r="Q681">
        <v>5</v>
      </c>
      <c r="R681">
        <v>4</v>
      </c>
      <c r="S681">
        <v>1</v>
      </c>
      <c r="T681" s="5">
        <f t="shared" si="36"/>
        <v>168.74</v>
      </c>
      <c r="U681" t="s">
        <v>1079</v>
      </c>
      <c r="AH681" s="6">
        <v>1</v>
      </c>
      <c r="AI681" s="6">
        <v>1</v>
      </c>
      <c r="AJ681" s="6">
        <v>1</v>
      </c>
      <c r="AK681" s="6">
        <v>1</v>
      </c>
      <c r="AL681" s="6">
        <v>1</v>
      </c>
      <c r="AM681" s="6">
        <v>1</v>
      </c>
      <c r="AN681" s="7">
        <v>1</v>
      </c>
      <c r="BC681" t="s">
        <v>198</v>
      </c>
      <c r="BD681" s="7" t="s">
        <v>109</v>
      </c>
      <c r="BE681" t="s">
        <v>1065</v>
      </c>
      <c r="BF681" s="1" t="s">
        <v>29</v>
      </c>
      <c r="BG681" s="1">
        <v>4</v>
      </c>
      <c r="BH681">
        <v>1</v>
      </c>
      <c r="BK681" s="1">
        <v>1</v>
      </c>
      <c r="BQ681">
        <v>1</v>
      </c>
      <c r="CS681" s="7" t="s">
        <v>354</v>
      </c>
    </row>
    <row r="682" spans="1:98">
      <c r="B682" t="s">
        <v>1077</v>
      </c>
      <c r="C682" s="15" t="s">
        <v>1078</v>
      </c>
      <c r="D682" s="15"/>
      <c r="E682" s="8" t="s">
        <v>1074</v>
      </c>
      <c r="F682" s="8" t="s">
        <v>247</v>
      </c>
      <c r="G682" s="1">
        <v>1</v>
      </c>
      <c r="H682" s="1"/>
      <c r="I682" s="1">
        <f>1804-22</f>
        <v>1782</v>
      </c>
      <c r="J682" t="s">
        <v>10</v>
      </c>
      <c r="K682" t="s">
        <v>12</v>
      </c>
      <c r="Q682">
        <v>5</v>
      </c>
      <c r="R682">
        <v>2</v>
      </c>
      <c r="S682">
        <v>3</v>
      </c>
      <c r="T682" s="5">
        <f t="shared" si="36"/>
        <v>163.92</v>
      </c>
      <c r="U682" t="s">
        <v>1079</v>
      </c>
      <c r="AH682" s="6">
        <v>1</v>
      </c>
      <c r="AI682" s="6">
        <v>1</v>
      </c>
      <c r="AJ682" s="6">
        <v>1</v>
      </c>
      <c r="AK682" s="6">
        <v>1</v>
      </c>
      <c r="AL682" s="6">
        <v>1</v>
      </c>
      <c r="AM682" s="6">
        <v>1</v>
      </c>
      <c r="AN682" s="7">
        <v>1</v>
      </c>
      <c r="BC682" t="s">
        <v>198</v>
      </c>
      <c r="BD682" s="7" t="s">
        <v>109</v>
      </c>
      <c r="BE682" t="s">
        <v>1065</v>
      </c>
      <c r="BF682" s="1" t="s">
        <v>29</v>
      </c>
      <c r="BG682" s="1">
        <v>4</v>
      </c>
      <c r="BH682">
        <v>1</v>
      </c>
      <c r="BK682" s="1">
        <v>1</v>
      </c>
      <c r="BQ682">
        <v>1</v>
      </c>
      <c r="CS682" s="7" t="s">
        <v>354</v>
      </c>
    </row>
    <row r="683" spans="1:98">
      <c r="B683" t="s">
        <v>2986</v>
      </c>
      <c r="C683" s="2" t="s">
        <v>1328</v>
      </c>
      <c r="D683" s="2" t="s">
        <v>1328</v>
      </c>
      <c r="E683" s="8" t="s">
        <v>832</v>
      </c>
      <c r="F683" s="8" t="s">
        <v>65</v>
      </c>
      <c r="G683" s="1">
        <v>1</v>
      </c>
      <c r="H683" s="1"/>
      <c r="I683" s="1">
        <f>1800-20</f>
        <v>1780</v>
      </c>
      <c r="J683" t="s">
        <v>10</v>
      </c>
      <c r="K683" t="s">
        <v>12</v>
      </c>
      <c r="Q683">
        <v>5</v>
      </c>
      <c r="R683">
        <v>4</v>
      </c>
      <c r="S683">
        <v>2</v>
      </c>
      <c r="T683" s="5">
        <f t="shared" si="36"/>
        <v>168.96</v>
      </c>
      <c r="U683" t="s">
        <v>2985</v>
      </c>
      <c r="AH683" s="6">
        <v>1</v>
      </c>
      <c r="AI683" s="6">
        <v>1</v>
      </c>
      <c r="AJ683" s="6">
        <v>1</v>
      </c>
      <c r="BC683">
        <v>1802</v>
      </c>
      <c r="BD683" t="s">
        <v>81</v>
      </c>
      <c r="BE683" s="10" t="s">
        <v>2407</v>
      </c>
      <c r="BF683" s="1" t="s">
        <v>73</v>
      </c>
      <c r="BG683" s="1">
        <v>2</v>
      </c>
      <c r="BH683">
        <v>2</v>
      </c>
      <c r="BI683">
        <v>1</v>
      </c>
      <c r="BK683" s="1">
        <v>1</v>
      </c>
      <c r="BQ683">
        <v>1</v>
      </c>
      <c r="CL683" s="10">
        <v>1</v>
      </c>
      <c r="CS683" s="10" t="s">
        <v>2987</v>
      </c>
    </row>
    <row r="684" spans="1:98">
      <c r="B684" t="s">
        <v>2983</v>
      </c>
      <c r="C684" s="13" t="s">
        <v>2984</v>
      </c>
      <c r="D684" s="13" t="s">
        <v>2984</v>
      </c>
      <c r="F684" s="8" t="s">
        <v>65</v>
      </c>
      <c r="G684" s="1">
        <v>1</v>
      </c>
      <c r="H684" s="1"/>
      <c r="I684" s="1">
        <f>1800-30</f>
        <v>1770</v>
      </c>
      <c r="J684" t="s">
        <v>10</v>
      </c>
      <c r="K684" t="s">
        <v>12</v>
      </c>
      <c r="Q684">
        <v>5</v>
      </c>
      <c r="R684">
        <v>3</v>
      </c>
      <c r="S684">
        <v>2</v>
      </c>
      <c r="T684" s="5">
        <f t="shared" si="36"/>
        <v>166.33</v>
      </c>
      <c r="U684" t="s">
        <v>2985</v>
      </c>
      <c r="AH684" s="6">
        <v>1</v>
      </c>
      <c r="AI684" s="6">
        <v>1</v>
      </c>
      <c r="AJ684" s="6">
        <v>1</v>
      </c>
      <c r="BC684">
        <v>1802</v>
      </c>
      <c r="BD684" t="s">
        <v>81</v>
      </c>
      <c r="BE684" s="10" t="s">
        <v>2407</v>
      </c>
      <c r="BF684" s="1" t="s">
        <v>73</v>
      </c>
      <c r="BG684" s="1">
        <v>2</v>
      </c>
      <c r="BH684">
        <v>2</v>
      </c>
      <c r="BK684" s="1">
        <v>1</v>
      </c>
      <c r="BQ684">
        <v>1</v>
      </c>
      <c r="CL684" s="10">
        <v>1</v>
      </c>
      <c r="CS684" s="10" t="s">
        <v>2926</v>
      </c>
    </row>
    <row r="685" spans="1:98">
      <c r="A685" t="s">
        <v>72</v>
      </c>
      <c r="B685" t="s">
        <v>1715</v>
      </c>
      <c r="C685" s="15"/>
      <c r="D685" s="15"/>
      <c r="F685" t="s">
        <v>7</v>
      </c>
      <c r="G685" s="1"/>
      <c r="H685" s="1"/>
      <c r="I685" s="1"/>
      <c r="T685" s="5"/>
      <c r="U685" t="s">
        <v>1716</v>
      </c>
      <c r="AH685" s="6">
        <v>1</v>
      </c>
      <c r="AI685" s="7">
        <v>1</v>
      </c>
      <c r="BC685" t="s">
        <v>324</v>
      </c>
      <c r="BD685" s="7" t="s">
        <v>109</v>
      </c>
      <c r="BE685" t="s">
        <v>125</v>
      </c>
      <c r="BF685" s="1" t="s">
        <v>29</v>
      </c>
      <c r="BG685" s="1">
        <v>2</v>
      </c>
      <c r="BH685">
        <v>1</v>
      </c>
      <c r="BK685" s="1">
        <v>1</v>
      </c>
      <c r="BQ685">
        <v>1</v>
      </c>
      <c r="CS685" s="22" t="s">
        <v>1313</v>
      </c>
    </row>
    <row r="686" spans="1:98">
      <c r="A686" t="s">
        <v>72</v>
      </c>
      <c r="B686" t="s">
        <v>1784</v>
      </c>
      <c r="C686" s="15"/>
      <c r="D686" s="15"/>
      <c r="F686" t="s">
        <v>7</v>
      </c>
      <c r="G686" s="1"/>
      <c r="H686" s="1"/>
      <c r="I686" s="1"/>
      <c r="T686" s="5"/>
      <c r="U686" t="s">
        <v>1716</v>
      </c>
      <c r="AH686" s="6">
        <v>1</v>
      </c>
      <c r="AI686" s="14">
        <v>1</v>
      </c>
      <c r="BC686" t="s">
        <v>1785</v>
      </c>
      <c r="BD686" s="14" t="s">
        <v>338</v>
      </c>
      <c r="BE686" t="s">
        <v>125</v>
      </c>
      <c r="BF686" s="1" t="s">
        <v>29</v>
      </c>
      <c r="BG686" s="1">
        <v>2</v>
      </c>
      <c r="BH686">
        <v>1</v>
      </c>
      <c r="BK686" s="1">
        <v>1</v>
      </c>
      <c r="BQ686">
        <v>1</v>
      </c>
      <c r="CS686" s="14" t="s">
        <v>1786</v>
      </c>
    </row>
    <row r="687" spans="1:98">
      <c r="A687" t="s">
        <v>72</v>
      </c>
      <c r="B687" t="s">
        <v>1704</v>
      </c>
      <c r="C687" s="15"/>
      <c r="D687" s="15"/>
      <c r="F687" t="s">
        <v>7</v>
      </c>
      <c r="G687" s="1"/>
      <c r="H687" s="1"/>
      <c r="I687" s="1"/>
      <c r="T687" s="5"/>
      <c r="U687" t="s">
        <v>1705</v>
      </c>
      <c r="AH687" s="7">
        <v>1</v>
      </c>
      <c r="BC687" t="s">
        <v>1706</v>
      </c>
      <c r="BD687" s="7" t="s">
        <v>26</v>
      </c>
      <c r="BE687" t="s">
        <v>125</v>
      </c>
      <c r="BF687" s="1" t="s">
        <v>29</v>
      </c>
      <c r="BG687" s="1">
        <v>1</v>
      </c>
      <c r="BH687">
        <v>1</v>
      </c>
      <c r="BK687" s="1">
        <v>1</v>
      </c>
      <c r="BQ687">
        <v>1</v>
      </c>
      <c r="CS687" s="7" t="s">
        <v>1707</v>
      </c>
    </row>
    <row r="688" spans="1:98">
      <c r="A688" t="s">
        <v>72</v>
      </c>
      <c r="B688" t="s">
        <v>1717</v>
      </c>
      <c r="C688" s="15"/>
      <c r="D688" s="15"/>
      <c r="F688" t="s">
        <v>7</v>
      </c>
      <c r="G688" s="1"/>
      <c r="H688" s="1"/>
      <c r="I688" s="1"/>
      <c r="T688" s="5"/>
      <c r="U688" t="s">
        <v>1705</v>
      </c>
      <c r="AH688" s="6">
        <v>1</v>
      </c>
      <c r="AI688" s="7">
        <v>1</v>
      </c>
      <c r="BC688" t="s">
        <v>324</v>
      </c>
      <c r="BD688" s="7" t="s">
        <v>109</v>
      </c>
      <c r="BE688" t="s">
        <v>125</v>
      </c>
      <c r="BF688" s="1" t="s">
        <v>29</v>
      </c>
      <c r="BG688" s="1">
        <v>2</v>
      </c>
      <c r="BH688">
        <v>1</v>
      </c>
      <c r="BK688" s="1">
        <v>1</v>
      </c>
      <c r="BQ688">
        <v>1</v>
      </c>
      <c r="CS688" s="22" t="s">
        <v>1313</v>
      </c>
    </row>
    <row r="689" spans="1:97">
      <c r="A689" t="s">
        <v>72</v>
      </c>
      <c r="B689" t="s">
        <v>1718</v>
      </c>
      <c r="C689" s="15"/>
      <c r="D689" s="15"/>
      <c r="F689" t="s">
        <v>7</v>
      </c>
      <c r="G689" s="1"/>
      <c r="H689" s="1"/>
      <c r="I689" s="1"/>
      <c r="T689" s="5"/>
      <c r="U689" t="s">
        <v>1719</v>
      </c>
      <c r="AH689" s="6">
        <v>1</v>
      </c>
      <c r="AI689" s="7">
        <v>1</v>
      </c>
      <c r="BC689" t="s">
        <v>324</v>
      </c>
      <c r="BD689" s="7" t="s">
        <v>109</v>
      </c>
      <c r="BE689" t="s">
        <v>125</v>
      </c>
      <c r="BF689" s="1" t="s">
        <v>29</v>
      </c>
      <c r="BG689" s="1">
        <v>2</v>
      </c>
      <c r="BH689">
        <v>1</v>
      </c>
      <c r="BK689" s="1">
        <v>1</v>
      </c>
      <c r="BQ689">
        <v>1</v>
      </c>
      <c r="CS689" s="22" t="s">
        <v>1313</v>
      </c>
    </row>
    <row r="690" spans="1:97">
      <c r="A690" t="s">
        <v>72</v>
      </c>
      <c r="B690" t="s">
        <v>276</v>
      </c>
      <c r="C690" s="15"/>
      <c r="D690" s="15"/>
      <c r="F690" t="s">
        <v>7</v>
      </c>
      <c r="G690" s="1"/>
      <c r="H690" s="1"/>
      <c r="I690" s="1"/>
      <c r="T690" s="5"/>
      <c r="U690" t="s">
        <v>1720</v>
      </c>
      <c r="AH690" s="6">
        <v>1</v>
      </c>
      <c r="AI690" s="7">
        <v>1</v>
      </c>
      <c r="BC690" t="s">
        <v>324</v>
      </c>
      <c r="BD690" s="7" t="s">
        <v>109</v>
      </c>
      <c r="BE690" t="s">
        <v>125</v>
      </c>
      <c r="BF690" s="1" t="s">
        <v>29</v>
      </c>
      <c r="BG690" s="1">
        <v>2</v>
      </c>
      <c r="BH690">
        <v>1</v>
      </c>
      <c r="BK690" s="1">
        <v>1</v>
      </c>
      <c r="BQ690">
        <v>1</v>
      </c>
      <c r="CS690" s="22" t="s">
        <v>1313</v>
      </c>
    </row>
    <row r="691" spans="1:97">
      <c r="A691" t="s">
        <v>72</v>
      </c>
      <c r="B691" t="s">
        <v>1732</v>
      </c>
      <c r="C691" s="15"/>
      <c r="D691" s="15"/>
      <c r="F691" t="s">
        <v>7</v>
      </c>
      <c r="G691" s="1"/>
      <c r="H691" s="1"/>
      <c r="I691" s="1"/>
      <c r="T691" s="5"/>
      <c r="U691" t="s">
        <v>1720</v>
      </c>
      <c r="AH691" s="6">
        <v>1</v>
      </c>
      <c r="AI691" s="7">
        <v>1</v>
      </c>
      <c r="BC691" t="s">
        <v>1733</v>
      </c>
      <c r="BD691" s="7" t="s">
        <v>109</v>
      </c>
      <c r="BE691" t="s">
        <v>125</v>
      </c>
      <c r="BF691" s="1" t="s">
        <v>29</v>
      </c>
      <c r="BG691" s="1">
        <v>2</v>
      </c>
      <c r="BH691">
        <v>1</v>
      </c>
      <c r="BK691" s="1">
        <v>1</v>
      </c>
      <c r="BQ691">
        <v>1</v>
      </c>
      <c r="CS691" s="7" t="s">
        <v>1672</v>
      </c>
    </row>
    <row r="692" spans="1:97">
      <c r="A692" t="s">
        <v>72</v>
      </c>
      <c r="B692" t="s">
        <v>1721</v>
      </c>
      <c r="C692" s="15"/>
      <c r="D692" s="15"/>
      <c r="F692" t="s">
        <v>7</v>
      </c>
      <c r="G692" s="1"/>
      <c r="H692" s="1"/>
      <c r="I692" s="1"/>
      <c r="T692" s="5"/>
      <c r="U692" t="s">
        <v>1720</v>
      </c>
      <c r="AH692" s="6">
        <v>1</v>
      </c>
      <c r="AI692" s="7">
        <v>1</v>
      </c>
      <c r="BC692" t="s">
        <v>324</v>
      </c>
      <c r="BD692" s="7" t="s">
        <v>109</v>
      </c>
      <c r="BE692" t="s">
        <v>125</v>
      </c>
      <c r="BF692" s="1" t="s">
        <v>29</v>
      </c>
      <c r="BG692" s="1">
        <v>2</v>
      </c>
      <c r="BH692">
        <v>1</v>
      </c>
      <c r="BK692" s="1">
        <v>1</v>
      </c>
      <c r="BQ692">
        <v>1</v>
      </c>
      <c r="CS692" s="22" t="s">
        <v>1313</v>
      </c>
    </row>
    <row r="693" spans="1:97">
      <c r="A693" t="s">
        <v>72</v>
      </c>
      <c r="B693" t="s">
        <v>1778</v>
      </c>
      <c r="C693" s="15"/>
      <c r="D693" s="15"/>
      <c r="F693" t="s">
        <v>7</v>
      </c>
      <c r="G693" s="1"/>
      <c r="H693" s="1"/>
      <c r="I693" s="1"/>
      <c r="T693" s="5"/>
      <c r="U693" t="s">
        <v>1720</v>
      </c>
      <c r="AH693" s="6">
        <v>1</v>
      </c>
      <c r="AI693" s="14">
        <v>1</v>
      </c>
      <c r="BC693" t="s">
        <v>1779</v>
      </c>
      <c r="BD693" s="14" t="s">
        <v>338</v>
      </c>
      <c r="BE693" t="s">
        <v>125</v>
      </c>
      <c r="BF693" s="1" t="s">
        <v>29</v>
      </c>
      <c r="BG693" s="1">
        <v>2</v>
      </c>
      <c r="BH693">
        <v>1</v>
      </c>
      <c r="BK693" s="1">
        <v>1</v>
      </c>
      <c r="BQ693">
        <v>1</v>
      </c>
      <c r="CS693" s="32" t="s">
        <v>1780</v>
      </c>
    </row>
    <row r="694" spans="1:97">
      <c r="A694" t="s">
        <v>72</v>
      </c>
      <c r="B694" t="s">
        <v>1722</v>
      </c>
      <c r="C694" s="15"/>
      <c r="D694" s="15"/>
      <c r="F694" t="s">
        <v>7</v>
      </c>
      <c r="G694" s="1"/>
      <c r="H694" s="1"/>
      <c r="I694" s="1"/>
      <c r="T694" s="5"/>
      <c r="U694" t="s">
        <v>1720</v>
      </c>
      <c r="AH694" s="6">
        <v>1</v>
      </c>
      <c r="AI694" s="7">
        <v>1</v>
      </c>
      <c r="BC694" t="s">
        <v>324</v>
      </c>
      <c r="BD694" s="7" t="s">
        <v>109</v>
      </c>
      <c r="BE694" t="s">
        <v>125</v>
      </c>
      <c r="BF694" s="1" t="s">
        <v>29</v>
      </c>
      <c r="BG694" s="1">
        <v>2</v>
      </c>
      <c r="BH694">
        <v>1</v>
      </c>
      <c r="BK694" s="1">
        <v>1</v>
      </c>
      <c r="BQ694">
        <v>1</v>
      </c>
      <c r="CS694" s="22" t="s">
        <v>1313</v>
      </c>
    </row>
    <row r="695" spans="1:97">
      <c r="A695" t="s">
        <v>72</v>
      </c>
      <c r="B695" t="s">
        <v>1751</v>
      </c>
      <c r="C695" s="15"/>
      <c r="D695" s="15"/>
      <c r="F695" t="s">
        <v>7</v>
      </c>
      <c r="G695" s="1"/>
      <c r="H695" s="1"/>
      <c r="I695" s="1"/>
      <c r="T695" s="5"/>
      <c r="U695" t="s">
        <v>1723</v>
      </c>
      <c r="AH695" s="6">
        <v>1</v>
      </c>
      <c r="AI695" s="7">
        <v>1</v>
      </c>
      <c r="BC695" t="s">
        <v>324</v>
      </c>
      <c r="BD695" s="7" t="s">
        <v>109</v>
      </c>
      <c r="BE695" t="s">
        <v>125</v>
      </c>
      <c r="BF695" s="1" t="s">
        <v>29</v>
      </c>
      <c r="BG695" s="1">
        <v>2</v>
      </c>
      <c r="BH695">
        <v>1</v>
      </c>
      <c r="BK695" s="1">
        <v>1</v>
      </c>
      <c r="BQ695">
        <v>1</v>
      </c>
      <c r="CS695" s="22" t="s">
        <v>1313</v>
      </c>
    </row>
    <row r="696" spans="1:97">
      <c r="A696" t="s">
        <v>72</v>
      </c>
      <c r="B696" t="s">
        <v>1724</v>
      </c>
      <c r="C696" s="15"/>
      <c r="D696" s="15"/>
      <c r="F696" t="s">
        <v>7</v>
      </c>
      <c r="G696" s="1"/>
      <c r="H696" s="1"/>
      <c r="I696" s="1"/>
      <c r="T696" s="5"/>
      <c r="U696" t="s">
        <v>1723</v>
      </c>
      <c r="AH696" s="6">
        <v>1</v>
      </c>
      <c r="AI696" s="7">
        <v>1</v>
      </c>
      <c r="BC696" t="s">
        <v>324</v>
      </c>
      <c r="BD696" s="7" t="s">
        <v>109</v>
      </c>
      <c r="BE696" t="s">
        <v>125</v>
      </c>
      <c r="BF696" s="1" t="s">
        <v>29</v>
      </c>
      <c r="BG696" s="1">
        <v>2</v>
      </c>
      <c r="BH696">
        <v>1</v>
      </c>
      <c r="BK696" s="1">
        <v>1</v>
      </c>
      <c r="BQ696">
        <v>1</v>
      </c>
      <c r="CS696" s="22" t="s">
        <v>1313</v>
      </c>
    </row>
    <row r="697" spans="1:97">
      <c r="A697" t="s">
        <v>72</v>
      </c>
      <c r="B697" t="s">
        <v>1725</v>
      </c>
      <c r="C697" s="15"/>
      <c r="D697" s="15"/>
      <c r="F697" t="s">
        <v>7</v>
      </c>
      <c r="G697" s="1"/>
      <c r="H697" s="1"/>
      <c r="I697" s="1"/>
      <c r="T697" s="5"/>
      <c r="U697" t="s">
        <v>1723</v>
      </c>
      <c r="AH697" s="6">
        <v>1</v>
      </c>
      <c r="AI697" s="7">
        <v>1</v>
      </c>
      <c r="BC697" t="s">
        <v>324</v>
      </c>
      <c r="BD697" s="7" t="s">
        <v>109</v>
      </c>
      <c r="BE697" t="s">
        <v>125</v>
      </c>
      <c r="BF697" s="1" t="s">
        <v>29</v>
      </c>
      <c r="BG697" s="1">
        <v>2</v>
      </c>
      <c r="BH697">
        <v>1</v>
      </c>
      <c r="BK697" s="1">
        <v>1</v>
      </c>
      <c r="BQ697">
        <v>1</v>
      </c>
      <c r="CS697" s="22" t="s">
        <v>1313</v>
      </c>
    </row>
    <row r="698" spans="1:97">
      <c r="B698" t="s">
        <v>3144</v>
      </c>
      <c r="C698" s="2" t="s">
        <v>2924</v>
      </c>
      <c r="D698" s="2" t="s">
        <v>2924</v>
      </c>
      <c r="E698" s="8" t="s">
        <v>599</v>
      </c>
      <c r="F698" s="8" t="s">
        <v>357</v>
      </c>
      <c r="G698" s="1">
        <v>1</v>
      </c>
      <c r="H698" s="1"/>
      <c r="I698" s="1">
        <f>1818-42</f>
        <v>1776</v>
      </c>
      <c r="J698" t="s">
        <v>10</v>
      </c>
      <c r="K698" t="s">
        <v>12</v>
      </c>
      <c r="Q698">
        <v>5</v>
      </c>
      <c r="R698">
        <v>3</v>
      </c>
      <c r="S698">
        <v>1</v>
      </c>
      <c r="T698" s="5">
        <f>((Q698*316)+(R698*26.3)+(S698*2.2))/10</f>
        <v>166.11</v>
      </c>
      <c r="U698" t="s">
        <v>157</v>
      </c>
      <c r="AH698" s="6">
        <v>1</v>
      </c>
      <c r="AI698" s="9">
        <v>1</v>
      </c>
      <c r="AJ698" s="9"/>
      <c r="AK698" s="9"/>
      <c r="AL698" s="9"/>
      <c r="AM698" s="9"/>
      <c r="AN698" s="9"/>
      <c r="AO698" s="9"/>
      <c r="AP698" s="9"/>
      <c r="AQ698" s="9"/>
      <c r="AR698" s="9"/>
      <c r="AS698" s="9"/>
      <c r="AT698" s="9"/>
      <c r="AU698" s="9"/>
      <c r="AV698" s="9"/>
      <c r="AW698" s="9"/>
      <c r="AX698" s="9"/>
      <c r="AY698" s="6">
        <v>1</v>
      </c>
      <c r="AZ698" s="6">
        <v>1</v>
      </c>
      <c r="BA698" s="6">
        <v>1</v>
      </c>
      <c r="BB698" s="6">
        <v>1</v>
      </c>
      <c r="BC698">
        <v>1820</v>
      </c>
      <c r="BD698" t="s">
        <v>81</v>
      </c>
      <c r="BE698" t="s">
        <v>2407</v>
      </c>
      <c r="BF698" s="1" t="s">
        <v>29</v>
      </c>
      <c r="BG698" s="1">
        <v>8</v>
      </c>
      <c r="BH698">
        <v>1</v>
      </c>
      <c r="BK698" s="1">
        <v>1</v>
      </c>
      <c r="BQ698">
        <v>1</v>
      </c>
      <c r="CN698">
        <v>1</v>
      </c>
      <c r="CO698">
        <v>1</v>
      </c>
      <c r="CP698">
        <v>1</v>
      </c>
      <c r="CS698" s="31" t="s">
        <v>3705</v>
      </c>
    </row>
    <row r="699" spans="1:97">
      <c r="A699" t="s">
        <v>72</v>
      </c>
      <c r="B699" t="s">
        <v>200</v>
      </c>
      <c r="C699" s="15" t="s">
        <v>158</v>
      </c>
      <c r="D699" s="15"/>
      <c r="F699" s="8" t="s">
        <v>65</v>
      </c>
      <c r="G699" s="1">
        <v>1</v>
      </c>
      <c r="H699" s="1"/>
      <c r="I699" s="1">
        <f>1802-26</f>
        <v>1776</v>
      </c>
      <c r="J699" t="s">
        <v>69</v>
      </c>
      <c r="K699" t="s">
        <v>12</v>
      </c>
      <c r="N699">
        <v>1</v>
      </c>
      <c r="Q699">
        <v>5</v>
      </c>
      <c r="R699">
        <v>4</v>
      </c>
      <c r="S699">
        <v>3</v>
      </c>
      <c r="T699" s="5">
        <f t="shared" ref="T699:T723" si="37">((Q699*316)+(R699*26.3)+(S699*2.2))/10</f>
        <v>169.18</v>
      </c>
      <c r="U699" t="s">
        <v>157</v>
      </c>
      <c r="AH699" s="6">
        <v>1</v>
      </c>
      <c r="AI699" s="6">
        <v>1</v>
      </c>
      <c r="AJ699" s="6">
        <v>1</v>
      </c>
      <c r="AK699" s="6">
        <v>1</v>
      </c>
      <c r="AL699" s="6">
        <v>1</v>
      </c>
      <c r="AM699" s="6">
        <v>1</v>
      </c>
      <c r="AN699" s="7">
        <v>1</v>
      </c>
      <c r="BC699" t="s">
        <v>198</v>
      </c>
      <c r="BD699" s="7" t="s">
        <v>103</v>
      </c>
      <c r="BE699" t="s">
        <v>125</v>
      </c>
      <c r="BF699" s="1" t="s">
        <v>73</v>
      </c>
      <c r="BG699" s="1">
        <v>9</v>
      </c>
      <c r="BH699">
        <v>1</v>
      </c>
      <c r="BK699" s="1">
        <v>1</v>
      </c>
      <c r="BQ699">
        <v>1</v>
      </c>
      <c r="CS699" s="7" t="s">
        <v>199</v>
      </c>
    </row>
    <row r="700" spans="1:97">
      <c r="B700" t="s">
        <v>1423</v>
      </c>
      <c r="C700" s="2" t="s">
        <v>113</v>
      </c>
      <c r="D700" s="26" t="s">
        <v>192</v>
      </c>
      <c r="F700" s="8" t="s">
        <v>115</v>
      </c>
      <c r="G700" s="1">
        <v>1</v>
      </c>
      <c r="H700" s="1"/>
      <c r="I700" s="1">
        <f>1802-26</f>
        <v>1776</v>
      </c>
      <c r="J700" t="s">
        <v>69</v>
      </c>
      <c r="K700" t="s">
        <v>12</v>
      </c>
      <c r="N700">
        <v>1</v>
      </c>
      <c r="Q700">
        <v>5</v>
      </c>
      <c r="R700">
        <v>3</v>
      </c>
      <c r="S700">
        <v>3</v>
      </c>
      <c r="T700" s="5">
        <f t="shared" si="37"/>
        <v>166.55</v>
      </c>
      <c r="U700" t="s">
        <v>157</v>
      </c>
      <c r="AH700" s="6">
        <v>1</v>
      </c>
      <c r="AI700" s="6">
        <v>1</v>
      </c>
      <c r="AJ700" s="6">
        <v>1</v>
      </c>
      <c r="AK700" s="6">
        <v>1</v>
      </c>
      <c r="AL700" s="6">
        <v>1</v>
      </c>
      <c r="AM700" s="6">
        <v>1</v>
      </c>
      <c r="AN700" s="7">
        <v>1</v>
      </c>
      <c r="BC700" t="s">
        <v>198</v>
      </c>
      <c r="BD700" s="7" t="s">
        <v>109</v>
      </c>
      <c r="BE700" t="s">
        <v>125</v>
      </c>
      <c r="BF700" s="1" t="s">
        <v>29</v>
      </c>
      <c r="BG700" s="1">
        <v>10</v>
      </c>
      <c r="BH700">
        <v>1</v>
      </c>
      <c r="BK700" s="1">
        <v>1</v>
      </c>
      <c r="BQ700">
        <v>1</v>
      </c>
      <c r="CS700" s="22" t="s">
        <v>354</v>
      </c>
    </row>
    <row r="701" spans="1:97">
      <c r="B701" t="s">
        <v>1310</v>
      </c>
      <c r="C701" s="15" t="s">
        <v>1311</v>
      </c>
      <c r="D701" s="15"/>
      <c r="F701" s="8" t="s">
        <v>115</v>
      </c>
      <c r="G701" s="1">
        <v>1</v>
      </c>
      <c r="H701" s="1"/>
      <c r="I701" s="1">
        <f>1802-20</f>
        <v>1782</v>
      </c>
      <c r="J701" t="s">
        <v>10</v>
      </c>
      <c r="K701" t="s">
        <v>900</v>
      </c>
      <c r="Q701">
        <v>5</v>
      </c>
      <c r="R701">
        <v>3</v>
      </c>
      <c r="S701">
        <v>2</v>
      </c>
      <c r="T701" s="5">
        <f t="shared" si="37"/>
        <v>166.33</v>
      </c>
      <c r="U701" t="s">
        <v>1312</v>
      </c>
      <c r="AH701" s="6">
        <v>1</v>
      </c>
      <c r="AI701" s="6">
        <v>1</v>
      </c>
      <c r="AJ701" s="6">
        <v>1</v>
      </c>
      <c r="AK701" s="6">
        <v>1</v>
      </c>
      <c r="AL701" s="6">
        <v>1</v>
      </c>
      <c r="AM701" s="6">
        <v>1</v>
      </c>
      <c r="AN701" s="7">
        <v>1</v>
      </c>
      <c r="BC701" t="s">
        <v>198</v>
      </c>
      <c r="BD701" s="7" t="s">
        <v>109</v>
      </c>
      <c r="BE701" t="s">
        <v>125</v>
      </c>
      <c r="BF701" s="1" t="s">
        <v>29</v>
      </c>
      <c r="BG701" s="1">
        <v>10</v>
      </c>
      <c r="BH701">
        <v>1</v>
      </c>
      <c r="BK701" s="1">
        <v>1</v>
      </c>
      <c r="BQ701">
        <v>1</v>
      </c>
      <c r="CS701" s="22" t="s">
        <v>1313</v>
      </c>
    </row>
    <row r="702" spans="1:97">
      <c r="B702" t="s">
        <v>232</v>
      </c>
      <c r="C702" s="13" t="s">
        <v>233</v>
      </c>
      <c r="D702" s="15"/>
      <c r="F702" s="8" t="s">
        <v>234</v>
      </c>
      <c r="G702" s="1">
        <v>1</v>
      </c>
      <c r="H702" s="1"/>
      <c r="I702" s="1">
        <f>1802-20</f>
        <v>1782</v>
      </c>
      <c r="J702" t="s">
        <v>10</v>
      </c>
      <c r="K702" t="s">
        <v>197</v>
      </c>
      <c r="Q702">
        <v>5</v>
      </c>
      <c r="R702">
        <v>1</v>
      </c>
      <c r="S702">
        <v>3</v>
      </c>
      <c r="T702" s="5">
        <f t="shared" si="37"/>
        <v>161.29</v>
      </c>
      <c r="U702" t="s">
        <v>235</v>
      </c>
      <c r="AH702" s="6">
        <v>1</v>
      </c>
      <c r="AI702" s="6">
        <v>1</v>
      </c>
      <c r="AJ702" s="6">
        <v>1</v>
      </c>
      <c r="AK702" s="6">
        <v>1</v>
      </c>
      <c r="AL702" s="6">
        <v>1</v>
      </c>
      <c r="AM702" s="6">
        <v>1</v>
      </c>
      <c r="AN702" s="7">
        <v>1</v>
      </c>
      <c r="BC702" t="s">
        <v>198</v>
      </c>
      <c r="BD702" s="7" t="s">
        <v>109</v>
      </c>
      <c r="BE702" t="s">
        <v>125</v>
      </c>
      <c r="BF702" s="1" t="s">
        <v>29</v>
      </c>
      <c r="BG702" s="1">
        <v>9</v>
      </c>
      <c r="BH702">
        <v>1</v>
      </c>
      <c r="BK702" s="29" t="s">
        <v>72</v>
      </c>
      <c r="BN702">
        <v>1</v>
      </c>
      <c r="BQ702">
        <v>1</v>
      </c>
      <c r="CS702" s="7" t="s">
        <v>354</v>
      </c>
    </row>
    <row r="703" spans="1:97">
      <c r="B703" t="s">
        <v>205</v>
      </c>
      <c r="C703" s="15" t="s">
        <v>176</v>
      </c>
      <c r="D703" s="15"/>
      <c r="E703" s="8" t="s">
        <v>114</v>
      </c>
      <c r="F703" s="8" t="s">
        <v>115</v>
      </c>
      <c r="G703" s="1">
        <v>1</v>
      </c>
      <c r="H703" s="1"/>
      <c r="I703" s="1">
        <f>1802-20</f>
        <v>1782</v>
      </c>
      <c r="J703" t="s">
        <v>69</v>
      </c>
      <c r="K703" t="s">
        <v>12</v>
      </c>
      <c r="N703">
        <v>1</v>
      </c>
      <c r="Q703">
        <v>5</v>
      </c>
      <c r="R703">
        <v>5</v>
      </c>
      <c r="T703" s="5">
        <f t="shared" si="37"/>
        <v>171.15</v>
      </c>
      <c r="U703" t="s">
        <v>206</v>
      </c>
      <c r="AH703" s="6">
        <v>1</v>
      </c>
      <c r="AI703" s="6">
        <v>1</v>
      </c>
      <c r="AJ703" s="6">
        <v>1</v>
      </c>
      <c r="AK703" s="6">
        <v>1</v>
      </c>
      <c r="AL703" s="6">
        <v>1</v>
      </c>
      <c r="AM703" s="6">
        <v>1</v>
      </c>
      <c r="AN703" s="7">
        <v>1</v>
      </c>
      <c r="BC703" t="s">
        <v>198</v>
      </c>
      <c r="BD703" s="7" t="s">
        <v>103</v>
      </c>
      <c r="BE703" t="s">
        <v>125</v>
      </c>
      <c r="BF703" s="1" t="s">
        <v>29</v>
      </c>
      <c r="BG703" s="1">
        <v>9</v>
      </c>
      <c r="BH703">
        <v>1</v>
      </c>
      <c r="BK703" s="1">
        <v>1</v>
      </c>
      <c r="BN703">
        <v>1</v>
      </c>
      <c r="BQ703">
        <v>1</v>
      </c>
      <c r="CS703" s="7" t="s">
        <v>199</v>
      </c>
    </row>
    <row r="704" spans="1:97">
      <c r="B704" t="s">
        <v>1456</v>
      </c>
      <c r="C704" s="13" t="s">
        <v>1457</v>
      </c>
      <c r="D704" s="15"/>
      <c r="F704" s="8" t="s">
        <v>65</v>
      </c>
      <c r="G704" s="1">
        <v>1</v>
      </c>
      <c r="H704" s="1"/>
      <c r="I704" s="1">
        <f>1802-40</f>
        <v>1762</v>
      </c>
      <c r="J704" t="s">
        <v>69</v>
      </c>
      <c r="K704" t="s">
        <v>12</v>
      </c>
      <c r="Q704">
        <v>5</v>
      </c>
      <c r="R704">
        <v>2</v>
      </c>
      <c r="S704">
        <v>1</v>
      </c>
      <c r="T704" s="5">
        <f t="shared" si="37"/>
        <v>163.47999999999999</v>
      </c>
      <c r="U704" t="s">
        <v>1386</v>
      </c>
      <c r="AH704" s="6">
        <v>1</v>
      </c>
      <c r="AI704" s="6">
        <v>1</v>
      </c>
      <c r="AJ704" s="7">
        <v>1</v>
      </c>
      <c r="BC704" t="s">
        <v>1458</v>
      </c>
      <c r="BD704" s="7" t="s">
        <v>26</v>
      </c>
      <c r="BE704" t="s">
        <v>62</v>
      </c>
      <c r="BF704" s="1" t="s">
        <v>29</v>
      </c>
      <c r="BG704" s="1">
        <v>4</v>
      </c>
      <c r="BH704">
        <v>2</v>
      </c>
      <c r="BI704">
        <v>1</v>
      </c>
      <c r="BK704" s="1">
        <v>1</v>
      </c>
      <c r="BQ704">
        <v>1</v>
      </c>
      <c r="CL704">
        <v>1</v>
      </c>
      <c r="CS704" s="22" t="s">
        <v>1459</v>
      </c>
    </row>
    <row r="705" spans="1:98">
      <c r="B705" t="s">
        <v>1384</v>
      </c>
      <c r="C705" s="13" t="s">
        <v>1385</v>
      </c>
      <c r="D705" s="26" t="s">
        <v>192</v>
      </c>
      <c r="F705" s="8" t="s">
        <v>65</v>
      </c>
      <c r="G705" s="1">
        <v>1</v>
      </c>
      <c r="H705" s="1"/>
      <c r="I705" s="1">
        <f>1802-25</f>
        <v>1777</v>
      </c>
      <c r="J705" t="s">
        <v>69</v>
      </c>
      <c r="K705" t="s">
        <v>197</v>
      </c>
      <c r="N705">
        <v>1</v>
      </c>
      <c r="Q705">
        <v>5</v>
      </c>
      <c r="R705">
        <v>2</v>
      </c>
      <c r="T705" s="5">
        <f t="shared" si="37"/>
        <v>163.26</v>
      </c>
      <c r="U705" t="s">
        <v>1386</v>
      </c>
      <c r="AH705" s="6">
        <v>1</v>
      </c>
      <c r="AI705" s="6">
        <v>1</v>
      </c>
      <c r="AJ705" s="6">
        <v>1</v>
      </c>
      <c r="AK705" s="6">
        <v>1</v>
      </c>
      <c r="AL705" s="7">
        <v>1</v>
      </c>
      <c r="BC705" t="s">
        <v>1387</v>
      </c>
      <c r="BD705" s="7" t="s">
        <v>103</v>
      </c>
      <c r="BE705" t="s">
        <v>125</v>
      </c>
      <c r="BF705" s="1" t="s">
        <v>29</v>
      </c>
      <c r="BG705" s="1">
        <v>7</v>
      </c>
      <c r="BH705">
        <v>1</v>
      </c>
      <c r="BK705" s="1">
        <v>1</v>
      </c>
      <c r="BN705">
        <v>1</v>
      </c>
      <c r="BQ705">
        <v>1</v>
      </c>
      <c r="CS705" s="22" t="s">
        <v>1388</v>
      </c>
    </row>
    <row r="706" spans="1:98">
      <c r="B706" t="s">
        <v>2804</v>
      </c>
      <c r="C706" s="2" t="s">
        <v>2805</v>
      </c>
      <c r="D706" s="2" t="s">
        <v>2805</v>
      </c>
      <c r="E706" s="8" t="s">
        <v>696</v>
      </c>
      <c r="F706" s="8" t="s">
        <v>115</v>
      </c>
      <c r="G706" s="1">
        <v>1</v>
      </c>
      <c r="H706" s="1"/>
      <c r="I706" s="1">
        <f>1800-38</f>
        <v>1762</v>
      </c>
      <c r="J706" t="s">
        <v>69</v>
      </c>
      <c r="K706" t="s">
        <v>2517</v>
      </c>
      <c r="N706">
        <v>1</v>
      </c>
      <c r="Q706">
        <v>5</v>
      </c>
      <c r="R706">
        <v>4</v>
      </c>
      <c r="T706" s="5">
        <f t="shared" si="37"/>
        <v>168.52</v>
      </c>
      <c r="U706" t="s">
        <v>2806</v>
      </c>
      <c r="AH706" s="6">
        <v>1</v>
      </c>
      <c r="AI706" s="6">
        <v>1</v>
      </c>
      <c r="AJ706" s="6">
        <v>1</v>
      </c>
      <c r="AK706" s="7">
        <v>1</v>
      </c>
      <c r="BC706" t="s">
        <v>1948</v>
      </c>
      <c r="BD706" s="7" t="s">
        <v>103</v>
      </c>
      <c r="BE706" t="s">
        <v>2005</v>
      </c>
      <c r="BF706" s="1" t="s">
        <v>29</v>
      </c>
      <c r="BG706" s="1">
        <v>3</v>
      </c>
      <c r="BH706">
        <v>1</v>
      </c>
      <c r="BK706" s="1">
        <v>1</v>
      </c>
      <c r="BQ706">
        <v>1</v>
      </c>
      <c r="CS706" s="22" t="s">
        <v>2807</v>
      </c>
    </row>
    <row r="707" spans="1:98">
      <c r="B707" t="s">
        <v>4680</v>
      </c>
      <c r="C707" s="2" t="s">
        <v>4681</v>
      </c>
      <c r="D707" s="2" t="s">
        <v>4681</v>
      </c>
      <c r="E707" s="8" t="s">
        <v>837</v>
      </c>
      <c r="F707" s="8" t="s">
        <v>115</v>
      </c>
      <c r="G707" s="1">
        <v>1</v>
      </c>
      <c r="H707" s="1"/>
      <c r="I707" s="1">
        <f>1802-21</f>
        <v>1781</v>
      </c>
      <c r="J707" t="s">
        <v>10</v>
      </c>
      <c r="K707" t="s">
        <v>12</v>
      </c>
      <c r="Q707">
        <v>5</v>
      </c>
      <c r="R707">
        <v>2</v>
      </c>
      <c r="S707">
        <v>3</v>
      </c>
      <c r="T707" s="5">
        <f t="shared" si="37"/>
        <v>163.92</v>
      </c>
      <c r="U707" t="s">
        <v>2646</v>
      </c>
      <c r="AH707" s="6">
        <v>1</v>
      </c>
      <c r="AI707" s="6">
        <v>1</v>
      </c>
      <c r="AJ707" s="7">
        <v>1</v>
      </c>
      <c r="BC707" t="s">
        <v>4682</v>
      </c>
      <c r="BD707" s="7" t="s">
        <v>26</v>
      </c>
      <c r="BE707" t="s">
        <v>975</v>
      </c>
      <c r="BF707" s="1" t="s">
        <v>29</v>
      </c>
      <c r="BG707" s="1">
        <v>2</v>
      </c>
      <c r="BH707">
        <v>1</v>
      </c>
      <c r="BK707" s="1" t="s">
        <v>72</v>
      </c>
      <c r="BQ707">
        <v>1</v>
      </c>
      <c r="CS707" s="22" t="s">
        <v>4683</v>
      </c>
    </row>
    <row r="708" spans="1:98">
      <c r="B708" t="s">
        <v>2851</v>
      </c>
      <c r="C708" s="2" t="s">
        <v>2002</v>
      </c>
      <c r="D708" s="2" t="s">
        <v>2002</v>
      </c>
      <c r="E708" s="8" t="s">
        <v>238</v>
      </c>
      <c r="F708" s="8" t="s">
        <v>65</v>
      </c>
      <c r="G708" s="1">
        <v>1</v>
      </c>
      <c r="H708" s="1"/>
      <c r="I708" s="1">
        <f>1800-30</f>
        <v>1770</v>
      </c>
      <c r="J708" t="s">
        <v>69</v>
      </c>
      <c r="K708" t="s">
        <v>12</v>
      </c>
      <c r="N708">
        <v>1</v>
      </c>
      <c r="Q708">
        <v>5</v>
      </c>
      <c r="R708">
        <v>4</v>
      </c>
      <c r="S708">
        <v>1</v>
      </c>
      <c r="T708" s="5">
        <f t="shared" si="37"/>
        <v>168.74</v>
      </c>
      <c r="U708" t="s">
        <v>2852</v>
      </c>
      <c r="AH708" s="6">
        <v>1</v>
      </c>
      <c r="AI708" s="6">
        <v>1</v>
      </c>
      <c r="AJ708" s="6">
        <v>1</v>
      </c>
      <c r="AK708" s="6">
        <v>1</v>
      </c>
      <c r="AL708" s="6">
        <v>1</v>
      </c>
      <c r="AM708" s="6">
        <v>1</v>
      </c>
      <c r="AN708" s="7">
        <v>1</v>
      </c>
      <c r="BC708" t="s">
        <v>2830</v>
      </c>
      <c r="BD708" s="7" t="s">
        <v>109</v>
      </c>
      <c r="BE708" t="s">
        <v>2005</v>
      </c>
      <c r="BF708" s="1" t="s">
        <v>29</v>
      </c>
      <c r="BG708" s="1">
        <v>6</v>
      </c>
      <c r="BH708">
        <v>1</v>
      </c>
      <c r="BK708" s="30">
        <v>1</v>
      </c>
      <c r="BN708" s="6">
        <v>1</v>
      </c>
      <c r="BQ708">
        <v>1</v>
      </c>
      <c r="CS708" s="28" t="s">
        <v>354</v>
      </c>
    </row>
    <row r="709" spans="1:98">
      <c r="B709" t="s">
        <v>155</v>
      </c>
      <c r="C709" s="15" t="s">
        <v>158</v>
      </c>
      <c r="D709" s="15"/>
      <c r="F709" s="8" t="s">
        <v>65</v>
      </c>
      <c r="G709" s="1">
        <v>1</v>
      </c>
      <c r="H709" s="1"/>
      <c r="I709" s="1">
        <f>1802-22</f>
        <v>1780</v>
      </c>
      <c r="J709" t="s">
        <v>10</v>
      </c>
      <c r="K709" t="s">
        <v>12</v>
      </c>
      <c r="Q709">
        <v>5</v>
      </c>
      <c r="R709">
        <v>4</v>
      </c>
      <c r="S709">
        <v>3</v>
      </c>
      <c r="T709" s="5">
        <f t="shared" si="37"/>
        <v>169.18</v>
      </c>
      <c r="U709" t="s">
        <v>231</v>
      </c>
      <c r="AH709" s="6">
        <v>1</v>
      </c>
      <c r="AI709" s="6">
        <v>1</v>
      </c>
      <c r="AJ709" s="6">
        <v>1</v>
      </c>
      <c r="AK709" s="6">
        <v>1</v>
      </c>
      <c r="AL709" s="6">
        <v>1</v>
      </c>
      <c r="AM709" s="6">
        <v>1</v>
      </c>
      <c r="AN709" s="6">
        <v>1</v>
      </c>
      <c r="AO709" s="6">
        <v>1</v>
      </c>
      <c r="AP709" s="6">
        <v>1</v>
      </c>
      <c r="AQ709" s="6">
        <v>1</v>
      </c>
      <c r="AR709" s="6">
        <v>1</v>
      </c>
      <c r="AS709" s="6">
        <v>1</v>
      </c>
      <c r="AT709" s="6">
        <v>1</v>
      </c>
      <c r="AU709" s="6">
        <v>1</v>
      </c>
      <c r="AV709" s="6">
        <v>1</v>
      </c>
      <c r="AW709" s="6">
        <v>1</v>
      </c>
      <c r="AX709" s="7">
        <v>1</v>
      </c>
      <c r="BC709" t="s">
        <v>1451</v>
      </c>
      <c r="BD709" s="7" t="s">
        <v>103</v>
      </c>
      <c r="BE709" t="s">
        <v>151</v>
      </c>
      <c r="BF709" s="1" t="s">
        <v>29</v>
      </c>
      <c r="BG709" s="1">
        <v>16</v>
      </c>
      <c r="BH709">
        <v>2</v>
      </c>
      <c r="BI709">
        <v>1</v>
      </c>
      <c r="BK709" s="1">
        <v>1</v>
      </c>
      <c r="BQ709">
        <v>1</v>
      </c>
      <c r="CF709">
        <v>1</v>
      </c>
      <c r="CG709">
        <v>1</v>
      </c>
      <c r="CL709">
        <v>1</v>
      </c>
      <c r="CM709">
        <v>1</v>
      </c>
      <c r="CR709" t="s">
        <v>72</v>
      </c>
      <c r="CS709" s="7" t="s">
        <v>1000</v>
      </c>
    </row>
    <row r="710" spans="1:98">
      <c r="B710" t="s">
        <v>732</v>
      </c>
      <c r="C710" s="18" t="s">
        <v>733</v>
      </c>
      <c r="D710" s="15"/>
      <c r="F710" s="8" t="s">
        <v>65</v>
      </c>
      <c r="G710" s="1">
        <v>1</v>
      </c>
      <c r="H710" s="1"/>
      <c r="I710" s="1">
        <f>1802-34</f>
        <v>1768</v>
      </c>
      <c r="J710" t="s">
        <v>69</v>
      </c>
      <c r="K710" t="s">
        <v>12</v>
      </c>
      <c r="N710">
        <v>1</v>
      </c>
      <c r="Q710">
        <v>5</v>
      </c>
      <c r="R710">
        <v>2</v>
      </c>
      <c r="T710" s="5">
        <f t="shared" si="37"/>
        <v>163.26</v>
      </c>
      <c r="U710" t="s">
        <v>231</v>
      </c>
      <c r="AH710" s="6">
        <v>1</v>
      </c>
      <c r="AI710" s="6">
        <v>1</v>
      </c>
      <c r="AJ710" s="6">
        <v>1</v>
      </c>
      <c r="AK710" s="6">
        <v>1</v>
      </c>
      <c r="AL710" s="6">
        <v>1</v>
      </c>
      <c r="AM710" s="6">
        <v>1</v>
      </c>
      <c r="AN710" s="7">
        <v>1</v>
      </c>
      <c r="BC710" t="s">
        <v>198</v>
      </c>
      <c r="BD710" s="7" t="s">
        <v>109</v>
      </c>
      <c r="BE710" t="s">
        <v>125</v>
      </c>
      <c r="BF710" s="1" t="s">
        <v>29</v>
      </c>
      <c r="BG710" s="1">
        <v>7</v>
      </c>
      <c r="BH710">
        <v>1</v>
      </c>
      <c r="BK710" s="1">
        <v>1</v>
      </c>
      <c r="BQ710">
        <v>1</v>
      </c>
      <c r="CR710" t="s">
        <v>72</v>
      </c>
      <c r="CS710" s="22" t="s">
        <v>354</v>
      </c>
    </row>
    <row r="711" spans="1:98">
      <c r="B711" t="s">
        <v>1485</v>
      </c>
      <c r="C711" s="2" t="s">
        <v>826</v>
      </c>
      <c r="D711" s="2" t="s">
        <v>826</v>
      </c>
      <c r="E711" s="8" t="s">
        <v>654</v>
      </c>
      <c r="F711" s="8" t="s">
        <v>65</v>
      </c>
      <c r="G711" s="1">
        <v>1</v>
      </c>
      <c r="H711" s="1"/>
      <c r="I711" s="1">
        <f>1804-22</f>
        <v>1782</v>
      </c>
      <c r="J711" t="s">
        <v>10</v>
      </c>
      <c r="K711" t="s">
        <v>12</v>
      </c>
      <c r="Q711">
        <v>5</v>
      </c>
      <c r="R711">
        <v>2</v>
      </c>
      <c r="S711">
        <v>1</v>
      </c>
      <c r="T711" s="5">
        <f t="shared" si="37"/>
        <v>163.47999999999999</v>
      </c>
      <c r="U711" t="s">
        <v>231</v>
      </c>
      <c r="AH711" s="6">
        <v>1</v>
      </c>
      <c r="AI711" s="6">
        <v>1</v>
      </c>
      <c r="AJ711" s="6">
        <v>1</v>
      </c>
      <c r="AK711" s="6">
        <v>1</v>
      </c>
      <c r="AL711" s="7">
        <v>1</v>
      </c>
      <c r="BC711" t="s">
        <v>1486</v>
      </c>
      <c r="BD711" s="7" t="s">
        <v>280</v>
      </c>
      <c r="BE711" t="s">
        <v>62</v>
      </c>
      <c r="BF711" s="1" t="s">
        <v>29</v>
      </c>
      <c r="BG711" s="1">
        <v>4</v>
      </c>
      <c r="BH711">
        <v>2</v>
      </c>
      <c r="BI711">
        <v>1</v>
      </c>
      <c r="BK711" s="1">
        <v>1</v>
      </c>
      <c r="BQ711">
        <v>1</v>
      </c>
      <c r="CL711">
        <v>1</v>
      </c>
      <c r="CN711">
        <v>1</v>
      </c>
      <c r="CS711" s="22" t="s">
        <v>1487</v>
      </c>
    </row>
    <row r="712" spans="1:98">
      <c r="B712" t="s">
        <v>1752</v>
      </c>
      <c r="C712" s="2" t="s">
        <v>191</v>
      </c>
      <c r="D712" s="3" t="s">
        <v>192</v>
      </c>
      <c r="E712" s="12" t="s">
        <v>193</v>
      </c>
      <c r="F712" s="12" t="s">
        <v>65</v>
      </c>
      <c r="G712" s="1">
        <v>1</v>
      </c>
      <c r="H712" s="1"/>
      <c r="I712" s="1">
        <f>1800-18</f>
        <v>1782</v>
      </c>
      <c r="J712" t="s">
        <v>10</v>
      </c>
      <c r="K712" t="s">
        <v>140</v>
      </c>
      <c r="Q712">
        <v>5</v>
      </c>
      <c r="R712">
        <v>2</v>
      </c>
      <c r="T712" s="5">
        <f t="shared" si="37"/>
        <v>163.26</v>
      </c>
      <c r="U712" t="s">
        <v>231</v>
      </c>
      <c r="AH712" s="7">
        <v>1</v>
      </c>
      <c r="BC712" s="9" t="s">
        <v>1753</v>
      </c>
      <c r="BD712" s="7" t="s">
        <v>103</v>
      </c>
      <c r="BE712" t="s">
        <v>125</v>
      </c>
      <c r="BF712" s="1" t="s">
        <v>29</v>
      </c>
      <c r="BG712" s="1">
        <v>3</v>
      </c>
      <c r="BH712">
        <v>1</v>
      </c>
      <c r="BK712" s="1">
        <v>1</v>
      </c>
      <c r="BQ712">
        <v>1</v>
      </c>
      <c r="CS712" s="22" t="s">
        <v>1754</v>
      </c>
    </row>
    <row r="713" spans="1:98">
      <c r="B713" t="s">
        <v>2418</v>
      </c>
      <c r="C713" s="15" t="s">
        <v>1212</v>
      </c>
      <c r="D713" s="2" t="s">
        <v>1212</v>
      </c>
      <c r="E713" s="13" t="s">
        <v>740</v>
      </c>
      <c r="F713" s="13" t="s">
        <v>65</v>
      </c>
      <c r="G713" s="1">
        <v>1</v>
      </c>
      <c r="H713" s="1"/>
      <c r="I713" s="1">
        <f>1802-32</f>
        <v>1770</v>
      </c>
      <c r="J713" t="s">
        <v>69</v>
      </c>
      <c r="K713" t="s">
        <v>12</v>
      </c>
      <c r="N713">
        <v>1</v>
      </c>
      <c r="O713">
        <v>1</v>
      </c>
      <c r="P713">
        <v>1</v>
      </c>
      <c r="Q713">
        <v>5</v>
      </c>
      <c r="R713">
        <v>1</v>
      </c>
      <c r="S713">
        <v>2</v>
      </c>
      <c r="T713" s="5">
        <f t="shared" si="37"/>
        <v>161.07</v>
      </c>
      <c r="U713" t="s">
        <v>231</v>
      </c>
      <c r="AH713" s="6">
        <v>1</v>
      </c>
      <c r="AI713" s="6">
        <v>1</v>
      </c>
      <c r="AJ713" s="6">
        <v>1</v>
      </c>
      <c r="AK713" s="6">
        <v>1</v>
      </c>
      <c r="AL713" s="6">
        <v>1</v>
      </c>
      <c r="AM713" s="6">
        <v>1</v>
      </c>
      <c r="AN713" s="6">
        <v>1</v>
      </c>
      <c r="AO713" s="6">
        <v>1</v>
      </c>
      <c r="AP713" s="6">
        <v>1</v>
      </c>
      <c r="AQ713" s="6">
        <v>1</v>
      </c>
      <c r="AR713" s="6">
        <v>1</v>
      </c>
      <c r="AS713" s="6">
        <v>1</v>
      </c>
      <c r="AT713" s="6">
        <v>1</v>
      </c>
      <c r="AU713" s="6">
        <v>1</v>
      </c>
      <c r="AV713" s="6">
        <v>1</v>
      </c>
      <c r="AW713" s="6">
        <v>1</v>
      </c>
      <c r="AX713" s="6">
        <v>1</v>
      </c>
      <c r="AY713" s="7">
        <v>1</v>
      </c>
      <c r="BC713" t="s">
        <v>2419</v>
      </c>
      <c r="BD713" s="7" t="s">
        <v>103</v>
      </c>
      <c r="BE713" t="s">
        <v>183</v>
      </c>
      <c r="BF713" s="1" t="s">
        <v>29</v>
      </c>
      <c r="BG713" s="1">
        <v>3</v>
      </c>
      <c r="BH713">
        <v>5</v>
      </c>
      <c r="BI713">
        <v>1</v>
      </c>
      <c r="BK713" s="1">
        <v>1</v>
      </c>
      <c r="BQ713">
        <v>1</v>
      </c>
      <c r="BY713">
        <v>1</v>
      </c>
      <c r="CL713">
        <v>1</v>
      </c>
      <c r="CS713" s="28" t="s">
        <v>1226</v>
      </c>
    </row>
    <row r="714" spans="1:98">
      <c r="B714" t="s">
        <v>1453</v>
      </c>
      <c r="C714" s="2" t="s">
        <v>349</v>
      </c>
      <c r="D714" s="26" t="s">
        <v>192</v>
      </c>
      <c r="F714" s="8" t="s">
        <v>65</v>
      </c>
      <c r="G714" s="1">
        <v>1</v>
      </c>
      <c r="H714" s="1"/>
      <c r="I714" s="1">
        <f>1802-22</f>
        <v>1780</v>
      </c>
      <c r="J714" t="s">
        <v>10</v>
      </c>
      <c r="K714" t="s">
        <v>12</v>
      </c>
      <c r="Q714">
        <v>5</v>
      </c>
      <c r="R714">
        <v>2</v>
      </c>
      <c r="S714">
        <v>3</v>
      </c>
      <c r="T714" s="5">
        <f t="shared" si="37"/>
        <v>163.92</v>
      </c>
      <c r="U714" t="s">
        <v>1334</v>
      </c>
      <c r="AH714" s="6">
        <v>1</v>
      </c>
      <c r="AI714" s="6">
        <v>1</v>
      </c>
      <c r="AJ714" s="6">
        <v>1</v>
      </c>
      <c r="AK714" s="7">
        <v>1</v>
      </c>
      <c r="BC714" t="s">
        <v>1454</v>
      </c>
      <c r="BD714" s="7" t="s">
        <v>26</v>
      </c>
      <c r="BE714" t="s">
        <v>62</v>
      </c>
      <c r="BF714" s="1" t="s">
        <v>29</v>
      </c>
      <c r="BG714" s="1">
        <v>4</v>
      </c>
      <c r="BH714">
        <v>2</v>
      </c>
      <c r="BI714">
        <v>1</v>
      </c>
      <c r="BK714" s="1">
        <v>1</v>
      </c>
      <c r="BQ714">
        <v>1</v>
      </c>
      <c r="CL714">
        <v>1</v>
      </c>
      <c r="CS714" s="7" t="s">
        <v>1455</v>
      </c>
    </row>
    <row r="715" spans="1:98">
      <c r="B715" t="s">
        <v>1332</v>
      </c>
      <c r="C715" s="2" t="s">
        <v>1333</v>
      </c>
      <c r="D715" s="15"/>
      <c r="F715" s="8" t="s">
        <v>65</v>
      </c>
      <c r="G715" s="1">
        <v>1</v>
      </c>
      <c r="H715" s="1"/>
      <c r="I715" s="1">
        <f>1802-20</f>
        <v>1782</v>
      </c>
      <c r="J715" t="s">
        <v>10</v>
      </c>
      <c r="K715" t="s">
        <v>12</v>
      </c>
      <c r="Q715">
        <v>5</v>
      </c>
      <c r="R715">
        <v>1</v>
      </c>
      <c r="T715" s="5">
        <f t="shared" si="37"/>
        <v>160.63</v>
      </c>
      <c r="U715" t="s">
        <v>1334</v>
      </c>
      <c r="AH715" s="6">
        <v>1</v>
      </c>
      <c r="AI715" s="6">
        <v>1</v>
      </c>
      <c r="AJ715" s="6">
        <v>1</v>
      </c>
      <c r="AK715" s="6">
        <v>1</v>
      </c>
      <c r="AL715" s="6">
        <v>1</v>
      </c>
      <c r="AM715" s="7">
        <v>1</v>
      </c>
      <c r="BC715" t="s">
        <v>1329</v>
      </c>
      <c r="BD715" s="7" t="s">
        <v>103</v>
      </c>
      <c r="BE715" t="s">
        <v>125</v>
      </c>
      <c r="BF715" s="1" t="s">
        <v>29</v>
      </c>
      <c r="BG715" s="1">
        <v>11</v>
      </c>
      <c r="BH715">
        <v>1</v>
      </c>
      <c r="BK715" s="1">
        <v>1</v>
      </c>
      <c r="BQ715">
        <v>1</v>
      </c>
      <c r="CS715" s="7" t="s">
        <v>1399</v>
      </c>
    </row>
    <row r="716" spans="1:98">
      <c r="B716" t="s">
        <v>4695</v>
      </c>
      <c r="C716" s="2" t="s">
        <v>4696</v>
      </c>
      <c r="D716" s="2" t="s">
        <v>4696</v>
      </c>
      <c r="E716" s="8" t="s">
        <v>130</v>
      </c>
      <c r="F716" s="8" t="s">
        <v>65</v>
      </c>
      <c r="G716" s="1">
        <v>1</v>
      </c>
      <c r="H716" s="1"/>
      <c r="I716" s="1">
        <f>1802-28</f>
        <v>1774</v>
      </c>
      <c r="J716" t="s">
        <v>69</v>
      </c>
      <c r="K716" t="s">
        <v>12</v>
      </c>
      <c r="M716">
        <v>1</v>
      </c>
      <c r="O716">
        <v>1</v>
      </c>
      <c r="Q716">
        <v>5</v>
      </c>
      <c r="R716">
        <v>2</v>
      </c>
      <c r="S716">
        <v>2</v>
      </c>
      <c r="T716" s="5">
        <f t="shared" si="37"/>
        <v>163.69999999999999</v>
      </c>
      <c r="U716" t="s">
        <v>1334</v>
      </c>
      <c r="AH716" s="6">
        <v>1</v>
      </c>
      <c r="AI716" s="6">
        <v>1</v>
      </c>
      <c r="AJ716" s="6">
        <v>1</v>
      </c>
      <c r="AK716" s="7">
        <v>1</v>
      </c>
      <c r="BC716" t="s">
        <v>4697</v>
      </c>
      <c r="BD716" s="7" t="s">
        <v>280</v>
      </c>
      <c r="BE716" t="s">
        <v>975</v>
      </c>
      <c r="BF716" s="1" t="s">
        <v>29</v>
      </c>
      <c r="BG716" s="1">
        <v>2</v>
      </c>
      <c r="BH716">
        <v>1</v>
      </c>
      <c r="BK716" s="1">
        <v>1</v>
      </c>
      <c r="BQ716">
        <v>1</v>
      </c>
      <c r="CN716">
        <v>1</v>
      </c>
      <c r="CS716" s="7" t="s">
        <v>947</v>
      </c>
    </row>
    <row r="717" spans="1:98">
      <c r="B717" t="s">
        <v>1414</v>
      </c>
      <c r="C717" s="2" t="s">
        <v>1415</v>
      </c>
      <c r="D717" s="15"/>
      <c r="F717" s="8" t="s">
        <v>65</v>
      </c>
      <c r="G717" s="27">
        <v>1</v>
      </c>
      <c r="H717" s="1"/>
      <c r="I717" s="1">
        <f>1802-28</f>
        <v>1774</v>
      </c>
      <c r="J717" t="s">
        <v>69</v>
      </c>
      <c r="K717" t="s">
        <v>12</v>
      </c>
      <c r="Q717">
        <v>5</v>
      </c>
      <c r="R717">
        <v>4</v>
      </c>
      <c r="S717">
        <v>3</v>
      </c>
      <c r="T717" s="5">
        <f t="shared" si="37"/>
        <v>169.18</v>
      </c>
      <c r="U717" t="s">
        <v>1334</v>
      </c>
      <c r="AH717" s="6">
        <v>1</v>
      </c>
      <c r="AI717" s="6">
        <v>1</v>
      </c>
      <c r="AJ717" s="6">
        <v>1</v>
      </c>
      <c r="AK717" s="7">
        <v>1</v>
      </c>
      <c r="BC717" t="s">
        <v>1416</v>
      </c>
      <c r="BD717" s="7" t="s">
        <v>103</v>
      </c>
      <c r="BE717" t="s">
        <v>125</v>
      </c>
      <c r="BF717" s="1" t="s">
        <v>29</v>
      </c>
      <c r="BG717" s="1">
        <v>5</v>
      </c>
      <c r="BH717">
        <v>1</v>
      </c>
      <c r="BK717" s="1">
        <v>1</v>
      </c>
      <c r="BQ717">
        <v>1</v>
      </c>
      <c r="CS717" s="7" t="s">
        <v>1417</v>
      </c>
    </row>
    <row r="718" spans="1:98">
      <c r="A718" t="s">
        <v>72</v>
      </c>
      <c r="B718" t="s">
        <v>2606</v>
      </c>
      <c r="C718" s="2"/>
      <c r="D718" s="2"/>
      <c r="F718" t="s">
        <v>7</v>
      </c>
      <c r="G718" s="1"/>
      <c r="H718" s="1"/>
      <c r="I718" s="1"/>
      <c r="T718" s="5"/>
      <c r="U718" s="9" t="s">
        <v>2607</v>
      </c>
      <c r="AH718" s="9">
        <v>1</v>
      </c>
      <c r="AI718" s="7">
        <v>1</v>
      </c>
      <c r="BC718" t="s">
        <v>2608</v>
      </c>
      <c r="BD718" s="7" t="s">
        <v>280</v>
      </c>
      <c r="BE718" t="s">
        <v>124</v>
      </c>
      <c r="BF718" s="1" t="s">
        <v>29</v>
      </c>
      <c r="BG718" s="1">
        <v>1</v>
      </c>
      <c r="BH718">
        <v>1</v>
      </c>
      <c r="BK718" s="1"/>
      <c r="BQ718">
        <v>1</v>
      </c>
      <c r="CN718">
        <v>1</v>
      </c>
      <c r="CS718" s="7" t="s">
        <v>2609</v>
      </c>
    </row>
    <row r="719" spans="1:98">
      <c r="A719" t="s">
        <v>72</v>
      </c>
      <c r="B719" t="s">
        <v>2614</v>
      </c>
      <c r="C719" s="2"/>
      <c r="D719" s="2"/>
      <c r="F719" s="8" t="s">
        <v>7</v>
      </c>
      <c r="G719" s="1"/>
      <c r="H719" s="1"/>
      <c r="I719" s="1"/>
      <c r="T719" s="5"/>
      <c r="U719" s="9" t="s">
        <v>2607</v>
      </c>
      <c r="AH719" s="9">
        <v>1</v>
      </c>
      <c r="AI719" s="7">
        <v>1</v>
      </c>
      <c r="BC719" t="s">
        <v>2615</v>
      </c>
      <c r="BD719" s="7" t="s">
        <v>26</v>
      </c>
      <c r="BE719" t="s">
        <v>124</v>
      </c>
      <c r="BF719" s="1" t="s">
        <v>29</v>
      </c>
      <c r="BG719" s="1">
        <v>1</v>
      </c>
      <c r="BH719">
        <v>1</v>
      </c>
      <c r="BK719" s="1"/>
      <c r="BQ719">
        <v>1</v>
      </c>
      <c r="CS719" s="7" t="s">
        <v>2616</v>
      </c>
    </row>
    <row r="720" spans="1:98">
      <c r="B720" t="s">
        <v>2760</v>
      </c>
      <c r="C720" s="2" t="s">
        <v>1500</v>
      </c>
      <c r="D720" s="2" t="s">
        <v>1500</v>
      </c>
      <c r="E720" s="8" t="s">
        <v>238</v>
      </c>
      <c r="F720" s="8" t="s">
        <v>65</v>
      </c>
      <c r="G720" s="1">
        <v>1</v>
      </c>
      <c r="H720" s="1"/>
      <c r="I720" s="1">
        <f>1802-22</f>
        <v>1780</v>
      </c>
      <c r="J720" t="s">
        <v>69</v>
      </c>
      <c r="K720" t="s">
        <v>197</v>
      </c>
      <c r="N720">
        <v>1</v>
      </c>
      <c r="Q720">
        <v>5</v>
      </c>
      <c r="R720">
        <v>4</v>
      </c>
      <c r="T720" s="5">
        <f t="shared" si="37"/>
        <v>168.52</v>
      </c>
      <c r="U720" t="s">
        <v>2761</v>
      </c>
      <c r="AH720" s="6">
        <v>1</v>
      </c>
      <c r="AI720" s="6">
        <v>1</v>
      </c>
      <c r="AJ720" s="6">
        <v>1</v>
      </c>
      <c r="AK720" s="7">
        <v>1</v>
      </c>
      <c r="BC720" t="s">
        <v>1416</v>
      </c>
      <c r="BD720" s="7" t="s">
        <v>280</v>
      </c>
      <c r="BE720" t="s">
        <v>2005</v>
      </c>
      <c r="BF720" s="1" t="s">
        <v>29</v>
      </c>
      <c r="BG720" s="1">
        <v>3</v>
      </c>
      <c r="BH720">
        <v>1</v>
      </c>
      <c r="BK720" s="30">
        <v>1</v>
      </c>
      <c r="BN720" s="6">
        <v>1</v>
      </c>
      <c r="BQ720">
        <v>1</v>
      </c>
      <c r="CN720">
        <v>1</v>
      </c>
      <c r="CS720" s="7" t="s">
        <v>2748</v>
      </c>
      <c r="CT720" s="6" t="s">
        <v>2762</v>
      </c>
    </row>
    <row r="721" spans="1:97">
      <c r="B721" t="s">
        <v>1314</v>
      </c>
      <c r="C721" s="13" t="s">
        <v>1315</v>
      </c>
      <c r="D721" s="15"/>
      <c r="F721" s="8" t="s">
        <v>234</v>
      </c>
      <c r="G721" s="1">
        <v>1</v>
      </c>
      <c r="H721" s="1"/>
      <c r="I721" s="1">
        <f>1802-24</f>
        <v>1778</v>
      </c>
      <c r="J721" t="s">
        <v>69</v>
      </c>
      <c r="K721" t="s">
        <v>904</v>
      </c>
      <c r="N721">
        <v>1</v>
      </c>
      <c r="O721">
        <v>1</v>
      </c>
      <c r="P721">
        <v>1</v>
      </c>
      <c r="Q721">
        <v>5</v>
      </c>
      <c r="R721">
        <v>2</v>
      </c>
      <c r="T721" s="5">
        <f t="shared" si="37"/>
        <v>163.26</v>
      </c>
      <c r="U721" t="s">
        <v>1316</v>
      </c>
      <c r="AH721" s="6">
        <v>1</v>
      </c>
      <c r="AI721" s="6">
        <v>1</v>
      </c>
      <c r="AJ721" s="6">
        <v>1</v>
      </c>
      <c r="AK721" s="6">
        <v>1</v>
      </c>
      <c r="AL721" s="6">
        <v>1</v>
      </c>
      <c r="AM721" s="6">
        <v>1</v>
      </c>
      <c r="AN721" s="7">
        <v>1</v>
      </c>
      <c r="AO721" s="7">
        <v>1</v>
      </c>
      <c r="AP721" s="7">
        <v>1</v>
      </c>
      <c r="AQ721" s="7">
        <v>1</v>
      </c>
      <c r="BC721" t="s">
        <v>198</v>
      </c>
      <c r="BD721" s="7" t="s">
        <v>959</v>
      </c>
      <c r="BE721" s="7" t="s">
        <v>1317</v>
      </c>
      <c r="BF721" s="1" t="s">
        <v>29</v>
      </c>
      <c r="BG721" s="1">
        <v>12</v>
      </c>
      <c r="BH721">
        <v>2</v>
      </c>
      <c r="BI721">
        <v>1</v>
      </c>
      <c r="BJ721">
        <v>1</v>
      </c>
      <c r="BK721" s="1">
        <v>1</v>
      </c>
      <c r="BQ721">
        <v>1</v>
      </c>
      <c r="CB721" s="7">
        <v>1</v>
      </c>
      <c r="CS721" s="7" t="s">
        <v>1318</v>
      </c>
    </row>
    <row r="722" spans="1:97">
      <c r="B722" t="s">
        <v>1488</v>
      </c>
      <c r="C722" s="15" t="s">
        <v>166</v>
      </c>
      <c r="D722" s="15"/>
      <c r="F722" s="8" t="s">
        <v>65</v>
      </c>
      <c r="G722" s="1">
        <v>1</v>
      </c>
      <c r="H722" s="1"/>
      <c r="I722" s="1">
        <f>1803-53</f>
        <v>1750</v>
      </c>
      <c r="J722" t="s">
        <v>69</v>
      </c>
      <c r="K722" t="s">
        <v>12</v>
      </c>
      <c r="M722">
        <v>1</v>
      </c>
      <c r="O722">
        <v>2</v>
      </c>
      <c r="P722">
        <v>2</v>
      </c>
      <c r="Q722">
        <v>5</v>
      </c>
      <c r="R722">
        <v>4</v>
      </c>
      <c r="T722" s="5">
        <f t="shared" si="37"/>
        <v>168.52</v>
      </c>
      <c r="U722" t="s">
        <v>1316</v>
      </c>
      <c r="AH722" s="6">
        <v>1</v>
      </c>
      <c r="AI722" s="6">
        <v>1</v>
      </c>
      <c r="AJ722" s="6">
        <v>1</v>
      </c>
      <c r="AK722" s="6">
        <v>1</v>
      </c>
      <c r="AL722" s="6">
        <v>1</v>
      </c>
      <c r="AM722" s="7">
        <v>1</v>
      </c>
      <c r="BC722" t="s">
        <v>1472</v>
      </c>
      <c r="BD722" s="7" t="s">
        <v>109</v>
      </c>
      <c r="BE722" s="31" t="s">
        <v>62</v>
      </c>
      <c r="BF722" s="1" t="s">
        <v>29</v>
      </c>
      <c r="BG722" s="1">
        <v>7</v>
      </c>
      <c r="BH722">
        <v>2</v>
      </c>
      <c r="BI722" s="31">
        <v>1</v>
      </c>
      <c r="BK722">
        <v>1</v>
      </c>
      <c r="BQ722">
        <v>1</v>
      </c>
      <c r="CL722">
        <v>1</v>
      </c>
      <c r="CS722" s="7" t="s">
        <v>1473</v>
      </c>
    </row>
    <row r="723" spans="1:97">
      <c r="B723" t="s">
        <v>1851</v>
      </c>
      <c r="C723" s="13" t="s">
        <v>1852</v>
      </c>
      <c r="D723" s="15"/>
      <c r="E723" s="8" t="s">
        <v>1281</v>
      </c>
      <c r="F723" s="8" t="s">
        <v>247</v>
      </c>
      <c r="G723" s="1">
        <v>1</v>
      </c>
      <c r="H723" s="1"/>
      <c r="I723" s="1">
        <f>1804-37</f>
        <v>1767</v>
      </c>
      <c r="J723" t="s">
        <v>10</v>
      </c>
      <c r="K723" t="s">
        <v>12</v>
      </c>
      <c r="Q723">
        <v>5</v>
      </c>
      <c r="R723">
        <v>4</v>
      </c>
      <c r="T723" s="5">
        <f t="shared" si="37"/>
        <v>168.52</v>
      </c>
      <c r="U723" t="s">
        <v>1853</v>
      </c>
      <c r="AH723" s="6">
        <v>1</v>
      </c>
      <c r="AI723" s="6">
        <v>1</v>
      </c>
      <c r="AJ723" s="6">
        <v>1</v>
      </c>
      <c r="AK723" s="6">
        <v>1</v>
      </c>
      <c r="AL723" s="6">
        <v>1</v>
      </c>
      <c r="BC723">
        <v>1804</v>
      </c>
      <c r="BD723" t="s">
        <v>81</v>
      </c>
      <c r="BE723" s="31" t="s">
        <v>1854</v>
      </c>
      <c r="BF723" s="1" t="s">
        <v>29</v>
      </c>
      <c r="BG723" s="1">
        <v>3</v>
      </c>
      <c r="BH723">
        <v>1</v>
      </c>
      <c r="BI723" s="31"/>
      <c r="BK723" t="s">
        <v>72</v>
      </c>
      <c r="BQ723">
        <v>1</v>
      </c>
      <c r="CS723" t="s">
        <v>1855</v>
      </c>
    </row>
    <row r="724" spans="1:97">
      <c r="A724" t="s">
        <v>72</v>
      </c>
      <c r="B724" t="s">
        <v>1726</v>
      </c>
      <c r="C724" s="13"/>
      <c r="D724" s="15"/>
      <c r="F724" t="s">
        <v>7</v>
      </c>
      <c r="G724" s="1"/>
      <c r="H724" s="1"/>
      <c r="I724" s="1"/>
      <c r="T724" s="5"/>
      <c r="U724" t="s">
        <v>1727</v>
      </c>
      <c r="AH724" s="6">
        <v>1</v>
      </c>
      <c r="AI724" s="7">
        <v>1</v>
      </c>
      <c r="BC724" t="s">
        <v>324</v>
      </c>
      <c r="BD724" s="7" t="s">
        <v>109</v>
      </c>
      <c r="BE724" t="s">
        <v>125</v>
      </c>
      <c r="BF724" s="1" t="s">
        <v>29</v>
      </c>
      <c r="BG724" s="1">
        <v>2</v>
      </c>
      <c r="BH724">
        <v>1</v>
      </c>
      <c r="BK724" s="1">
        <v>1</v>
      </c>
      <c r="BN724">
        <v>1</v>
      </c>
      <c r="BQ724">
        <v>1</v>
      </c>
      <c r="CS724" s="7" t="s">
        <v>1313</v>
      </c>
    </row>
    <row r="725" spans="1:97">
      <c r="B725" t="s">
        <v>2193</v>
      </c>
      <c r="C725" s="2" t="s">
        <v>1996</v>
      </c>
      <c r="D725" s="2" t="s">
        <v>1996</v>
      </c>
      <c r="E725" s="8" t="s">
        <v>920</v>
      </c>
      <c r="F725" s="8" t="s">
        <v>115</v>
      </c>
      <c r="G725" s="1">
        <v>1</v>
      </c>
      <c r="H725" s="1"/>
      <c r="I725" s="1">
        <f>1803-34</f>
        <v>1769</v>
      </c>
      <c r="J725" t="s">
        <v>69</v>
      </c>
      <c r="K725" t="s">
        <v>12</v>
      </c>
      <c r="N725">
        <v>1</v>
      </c>
      <c r="Q725">
        <v>5</v>
      </c>
      <c r="R725">
        <v>1</v>
      </c>
      <c r="S725">
        <v>1</v>
      </c>
      <c r="T725" s="5">
        <f t="shared" ref="T725:T746" si="38">((Q725*316)+(R725*26.3)+(S725*2.2))/10</f>
        <v>160.85</v>
      </c>
      <c r="U725" t="s">
        <v>1727</v>
      </c>
      <c r="AH725" s="6">
        <v>1</v>
      </c>
      <c r="AI725" s="6">
        <v>1</v>
      </c>
      <c r="AJ725" s="6">
        <v>1</v>
      </c>
      <c r="AK725" s="6">
        <v>1</v>
      </c>
      <c r="AL725" s="6">
        <v>1</v>
      </c>
      <c r="AM725" s="6">
        <v>1</v>
      </c>
      <c r="AN725" s="7">
        <v>1</v>
      </c>
      <c r="BC725" t="s">
        <v>1501</v>
      </c>
      <c r="BD725" s="7" t="s">
        <v>109</v>
      </c>
      <c r="BE725" t="s">
        <v>1502</v>
      </c>
      <c r="BF725" s="1" t="s">
        <v>29</v>
      </c>
      <c r="BG725" s="1">
        <v>3</v>
      </c>
      <c r="BH725">
        <v>1</v>
      </c>
      <c r="BK725" s="1">
        <v>1</v>
      </c>
      <c r="BQ725">
        <v>1</v>
      </c>
      <c r="CS725" s="7" t="s">
        <v>354</v>
      </c>
    </row>
    <row r="726" spans="1:97">
      <c r="B726" t="s">
        <v>1888</v>
      </c>
      <c r="C726" s="2" t="s">
        <v>1641</v>
      </c>
      <c r="D726" s="2" t="s">
        <v>1641</v>
      </c>
      <c r="E726" s="8" t="s">
        <v>1532</v>
      </c>
      <c r="F726" s="8" t="s">
        <v>115</v>
      </c>
      <c r="G726" s="1">
        <v>1</v>
      </c>
      <c r="H726" s="1"/>
      <c r="I726" s="1">
        <f>1803-35</f>
        <v>1768</v>
      </c>
      <c r="J726" t="s">
        <v>69</v>
      </c>
      <c r="K726" t="s">
        <v>12</v>
      </c>
      <c r="N726">
        <v>1</v>
      </c>
      <c r="Q726">
        <v>5</v>
      </c>
      <c r="R726">
        <v>3</v>
      </c>
      <c r="T726" s="5">
        <f t="shared" si="38"/>
        <v>165.89000000000001</v>
      </c>
      <c r="U726" t="s">
        <v>1727</v>
      </c>
      <c r="AH726" s="6">
        <v>1</v>
      </c>
      <c r="AI726" s="6">
        <v>1</v>
      </c>
      <c r="AJ726" s="6">
        <v>1</v>
      </c>
      <c r="AK726" s="6">
        <v>1</v>
      </c>
      <c r="AL726" s="6">
        <v>1</v>
      </c>
      <c r="AM726" s="7">
        <v>1</v>
      </c>
      <c r="BC726" t="s">
        <v>1889</v>
      </c>
      <c r="BD726" s="7" t="s">
        <v>103</v>
      </c>
      <c r="BE726" t="s">
        <v>1502</v>
      </c>
      <c r="BF726" s="1" t="s">
        <v>29</v>
      </c>
      <c r="BG726" s="1">
        <v>4</v>
      </c>
      <c r="BH726">
        <v>1</v>
      </c>
      <c r="BJ726">
        <v>1</v>
      </c>
      <c r="BK726" s="1">
        <v>1</v>
      </c>
      <c r="BN726">
        <v>1</v>
      </c>
      <c r="BQ726">
        <v>1</v>
      </c>
      <c r="CS726" s="7" t="s">
        <v>361</v>
      </c>
    </row>
    <row r="727" spans="1:97">
      <c r="B727" t="s">
        <v>236</v>
      </c>
      <c r="C727" s="15" t="s">
        <v>237</v>
      </c>
      <c r="D727" s="15" t="s">
        <v>237</v>
      </c>
      <c r="E727" s="8" t="s">
        <v>238</v>
      </c>
      <c r="F727" s="8" t="s">
        <v>65</v>
      </c>
      <c r="G727" s="1">
        <v>1</v>
      </c>
      <c r="H727" s="1"/>
      <c r="I727" s="1">
        <f>1802-21</f>
        <v>1781</v>
      </c>
      <c r="J727" t="s">
        <v>10</v>
      </c>
      <c r="K727" t="s">
        <v>12</v>
      </c>
      <c r="Q727">
        <v>5</v>
      </c>
      <c r="R727">
        <v>5</v>
      </c>
      <c r="S727">
        <v>3</v>
      </c>
      <c r="T727" s="5">
        <f t="shared" si="38"/>
        <v>171.81</v>
      </c>
      <c r="U727" t="s">
        <v>239</v>
      </c>
      <c r="AH727" s="6">
        <v>1</v>
      </c>
      <c r="AI727" s="6">
        <v>1</v>
      </c>
      <c r="AJ727" s="6">
        <v>1</v>
      </c>
      <c r="AK727" s="6">
        <v>1</v>
      </c>
      <c r="AL727" s="6">
        <v>1</v>
      </c>
      <c r="AM727" s="6">
        <v>1</v>
      </c>
      <c r="AN727" s="7">
        <v>1</v>
      </c>
      <c r="BC727" t="s">
        <v>198</v>
      </c>
      <c r="BD727" s="7" t="s">
        <v>109</v>
      </c>
      <c r="BE727" t="s">
        <v>125</v>
      </c>
      <c r="BF727" s="1" t="s">
        <v>29</v>
      </c>
      <c r="BG727" s="1">
        <v>10</v>
      </c>
      <c r="BH727">
        <v>1</v>
      </c>
      <c r="BK727" s="1">
        <v>1</v>
      </c>
      <c r="BQ727">
        <v>1</v>
      </c>
      <c r="CS727" s="7" t="s">
        <v>354</v>
      </c>
    </row>
    <row r="728" spans="1:97">
      <c r="B728" t="s">
        <v>1952</v>
      </c>
      <c r="C728" s="2" t="s">
        <v>1953</v>
      </c>
      <c r="D728" s="2" t="s">
        <v>1953</v>
      </c>
      <c r="E728" s="8" t="s">
        <v>1442</v>
      </c>
      <c r="F728" s="8" t="s">
        <v>65</v>
      </c>
      <c r="G728" s="1">
        <v>1</v>
      </c>
      <c r="H728" s="1"/>
      <c r="I728" s="1">
        <f>1803-38</f>
        <v>1765</v>
      </c>
      <c r="J728" t="s">
        <v>69</v>
      </c>
      <c r="K728" t="s">
        <v>12</v>
      </c>
      <c r="N728">
        <v>1</v>
      </c>
      <c r="T728" s="5"/>
      <c r="U728" t="s">
        <v>239</v>
      </c>
      <c r="AH728" s="6">
        <v>1</v>
      </c>
      <c r="AI728" s="6">
        <v>1</v>
      </c>
      <c r="AJ728" s="6">
        <v>1</v>
      </c>
      <c r="AK728" s="6">
        <v>1</v>
      </c>
      <c r="AL728" s="6">
        <v>1</v>
      </c>
      <c r="AM728" s="6">
        <v>1</v>
      </c>
      <c r="AN728" s="7">
        <v>1</v>
      </c>
      <c r="BC728" s="9" t="s">
        <v>3424</v>
      </c>
      <c r="BD728" s="7" t="s">
        <v>109</v>
      </c>
      <c r="BE728" t="s">
        <v>1502</v>
      </c>
      <c r="BF728" s="1" t="s">
        <v>29</v>
      </c>
      <c r="BG728" s="1">
        <v>5</v>
      </c>
      <c r="BH728">
        <v>2</v>
      </c>
      <c r="BK728" s="1">
        <v>1</v>
      </c>
      <c r="BQ728">
        <v>1</v>
      </c>
      <c r="CL728">
        <v>1</v>
      </c>
      <c r="CN728">
        <v>1</v>
      </c>
      <c r="CS728" s="7" t="s">
        <v>947</v>
      </c>
    </row>
    <row r="729" spans="1:97">
      <c r="B729" t="s">
        <v>1651</v>
      </c>
      <c r="C729" s="2" t="s">
        <v>1305</v>
      </c>
      <c r="D729" s="2" t="s">
        <v>1305</v>
      </c>
      <c r="E729" s="8" t="s">
        <v>1306</v>
      </c>
      <c r="F729" s="8" t="s">
        <v>65</v>
      </c>
      <c r="G729" s="1">
        <v>1</v>
      </c>
      <c r="H729" s="1"/>
      <c r="I729" s="1">
        <f>1800-20</f>
        <v>1780</v>
      </c>
      <c r="J729" t="s">
        <v>10</v>
      </c>
      <c r="K729" t="s">
        <v>197</v>
      </c>
      <c r="Q729">
        <v>5</v>
      </c>
      <c r="R729">
        <v>3</v>
      </c>
      <c r="S729">
        <v>3</v>
      </c>
      <c r="T729" s="5">
        <f t="shared" si="38"/>
        <v>166.55</v>
      </c>
      <c r="U729" t="s">
        <v>239</v>
      </c>
      <c r="AH729" s="6">
        <v>1</v>
      </c>
      <c r="AI729" s="6">
        <v>1</v>
      </c>
      <c r="AJ729" s="7">
        <v>1</v>
      </c>
      <c r="BC729" t="s">
        <v>1652</v>
      </c>
      <c r="BD729" s="7" t="s">
        <v>280</v>
      </c>
      <c r="BE729" t="s">
        <v>125</v>
      </c>
      <c r="BF729" s="1" t="s">
        <v>29</v>
      </c>
      <c r="BG729" s="1">
        <v>5</v>
      </c>
      <c r="BH729">
        <v>1</v>
      </c>
      <c r="BK729">
        <v>1</v>
      </c>
      <c r="BQ729">
        <v>1</v>
      </c>
      <c r="CN729">
        <v>1</v>
      </c>
      <c r="CS729" s="7" t="s">
        <v>328</v>
      </c>
    </row>
    <row r="730" spans="1:97">
      <c r="B730" t="s">
        <v>1775</v>
      </c>
      <c r="C730" s="2" t="s">
        <v>1776</v>
      </c>
      <c r="D730" s="2" t="s">
        <v>1776</v>
      </c>
      <c r="E730" s="8" t="s">
        <v>740</v>
      </c>
      <c r="F730" s="8" t="s">
        <v>65</v>
      </c>
      <c r="G730" s="1">
        <v>1</v>
      </c>
      <c r="H730" s="1"/>
      <c r="I730" s="1">
        <f>1800-26</f>
        <v>1774</v>
      </c>
      <c r="J730" t="s">
        <v>10</v>
      </c>
      <c r="K730" t="s">
        <v>12</v>
      </c>
      <c r="Q730">
        <v>5</v>
      </c>
      <c r="R730">
        <v>7</v>
      </c>
      <c r="T730" s="5">
        <f t="shared" si="38"/>
        <v>176.41</v>
      </c>
      <c r="U730" t="s">
        <v>1774</v>
      </c>
      <c r="AH730" s="6">
        <v>1</v>
      </c>
      <c r="AI730" s="7">
        <v>1</v>
      </c>
      <c r="BC730" t="s">
        <v>1777</v>
      </c>
      <c r="BD730" s="7" t="s">
        <v>280</v>
      </c>
      <c r="BE730" t="s">
        <v>125</v>
      </c>
      <c r="BF730" s="1" t="s">
        <v>29</v>
      </c>
      <c r="BG730" s="1">
        <v>3</v>
      </c>
      <c r="BH730">
        <v>1</v>
      </c>
      <c r="BK730" s="1">
        <v>1</v>
      </c>
      <c r="BQ730">
        <v>1</v>
      </c>
      <c r="CN730">
        <v>1</v>
      </c>
      <c r="CS730" s="7" t="s">
        <v>328</v>
      </c>
    </row>
    <row r="731" spans="1:97">
      <c r="B731" t="s">
        <v>1773</v>
      </c>
      <c r="C731" s="2" t="s">
        <v>191</v>
      </c>
      <c r="D731" s="3" t="s">
        <v>192</v>
      </c>
      <c r="E731" s="12" t="s">
        <v>193</v>
      </c>
      <c r="F731" s="12" t="s">
        <v>65</v>
      </c>
      <c r="G731" s="1">
        <v>1</v>
      </c>
      <c r="H731" s="1"/>
      <c r="I731" s="1">
        <f>1800-24</f>
        <v>1776</v>
      </c>
      <c r="J731" t="s">
        <v>10</v>
      </c>
      <c r="K731" t="s">
        <v>12</v>
      </c>
      <c r="Q731">
        <v>5</v>
      </c>
      <c r="R731">
        <v>2</v>
      </c>
      <c r="S731">
        <v>1</v>
      </c>
      <c r="T731" s="5">
        <f t="shared" si="38"/>
        <v>163.47999999999999</v>
      </c>
      <c r="U731" t="s">
        <v>1774</v>
      </c>
      <c r="AH731" s="6">
        <v>1</v>
      </c>
      <c r="AI731" s="7">
        <v>1</v>
      </c>
      <c r="BC731" t="s">
        <v>324</v>
      </c>
      <c r="BD731" s="7" t="s">
        <v>109</v>
      </c>
      <c r="BE731" t="s">
        <v>125</v>
      </c>
      <c r="BF731" s="1" t="s">
        <v>29</v>
      </c>
      <c r="BG731" s="1">
        <v>3</v>
      </c>
      <c r="BH731">
        <v>1</v>
      </c>
      <c r="BK731" s="1">
        <v>1</v>
      </c>
      <c r="BQ731">
        <v>1</v>
      </c>
      <c r="CS731" s="22" t="s">
        <v>1313</v>
      </c>
    </row>
    <row r="732" spans="1:97">
      <c r="B732" t="s">
        <v>2768</v>
      </c>
      <c r="C732" s="2" t="s">
        <v>2769</v>
      </c>
      <c r="D732" s="2" t="s">
        <v>2769</v>
      </c>
      <c r="E732" s="21" t="s">
        <v>1912</v>
      </c>
      <c r="F732" s="13" t="s">
        <v>65</v>
      </c>
      <c r="G732" s="1">
        <v>1</v>
      </c>
      <c r="H732" s="1"/>
      <c r="I732" s="1">
        <f>1802-21</f>
        <v>1781</v>
      </c>
      <c r="J732" t="s">
        <v>10</v>
      </c>
      <c r="K732" t="s">
        <v>12</v>
      </c>
      <c r="Q732">
        <v>5</v>
      </c>
      <c r="R732">
        <v>3</v>
      </c>
      <c r="T732" s="5">
        <f t="shared" si="38"/>
        <v>165.89000000000001</v>
      </c>
      <c r="U732" t="s">
        <v>2770</v>
      </c>
      <c r="AH732" s="6">
        <v>1</v>
      </c>
      <c r="AI732" s="6">
        <v>1</v>
      </c>
      <c r="AJ732" s="6">
        <v>1</v>
      </c>
      <c r="AK732" s="7">
        <v>1</v>
      </c>
      <c r="BC732" t="s">
        <v>1948</v>
      </c>
      <c r="BD732" s="7" t="s">
        <v>103</v>
      </c>
      <c r="BE732" t="s">
        <v>2005</v>
      </c>
      <c r="BF732" s="1" t="s">
        <v>29</v>
      </c>
      <c r="BG732" s="1">
        <v>2</v>
      </c>
      <c r="BH732">
        <v>1</v>
      </c>
      <c r="BK732" s="1">
        <v>1</v>
      </c>
      <c r="BQ732">
        <v>1</v>
      </c>
      <c r="CL732">
        <v>1</v>
      </c>
      <c r="CS732" s="28" t="s">
        <v>2172</v>
      </c>
    </row>
    <row r="733" spans="1:97">
      <c r="B733" t="s">
        <v>4559</v>
      </c>
      <c r="C733" s="2" t="s">
        <v>4560</v>
      </c>
      <c r="D733" s="15"/>
      <c r="E733" s="21" t="s">
        <v>624</v>
      </c>
      <c r="F733" s="13" t="s">
        <v>218</v>
      </c>
      <c r="G733" s="1">
        <v>1</v>
      </c>
      <c r="H733" s="1"/>
      <c r="I733" s="1">
        <f>1804-24</f>
        <v>1780</v>
      </c>
      <c r="J733" t="s">
        <v>10</v>
      </c>
      <c r="K733" t="s">
        <v>12</v>
      </c>
      <c r="Q733">
        <v>5</v>
      </c>
      <c r="R733">
        <v>4</v>
      </c>
      <c r="T733" s="5">
        <f>((Q733*316)+(R733*26.3)+(S733*2.2))/10</f>
        <v>168.52</v>
      </c>
      <c r="U733" t="s">
        <v>1794</v>
      </c>
      <c r="AH733" s="6">
        <v>1</v>
      </c>
      <c r="AI733" s="6">
        <v>1</v>
      </c>
      <c r="AJ733" s="6">
        <v>1</v>
      </c>
      <c r="AK733" s="6">
        <v>1</v>
      </c>
      <c r="AL733" s="6">
        <v>1</v>
      </c>
      <c r="AM733" s="6">
        <v>1</v>
      </c>
      <c r="AN733" s="7">
        <v>1</v>
      </c>
      <c r="BC733" t="s">
        <v>4561</v>
      </c>
      <c r="BD733" s="7" t="s">
        <v>103</v>
      </c>
      <c r="BE733" t="s">
        <v>712</v>
      </c>
      <c r="BF733" s="1" t="s">
        <v>29</v>
      </c>
      <c r="BG733" s="1">
        <v>3</v>
      </c>
      <c r="BH733">
        <v>1</v>
      </c>
      <c r="BK733" s="1" t="s">
        <v>72</v>
      </c>
      <c r="BQ733">
        <v>1</v>
      </c>
      <c r="CG733">
        <v>1</v>
      </c>
      <c r="CM733">
        <v>1</v>
      </c>
      <c r="CR733" t="s">
        <v>72</v>
      </c>
      <c r="CS733" s="28" t="s">
        <v>4562</v>
      </c>
    </row>
    <row r="734" spans="1:97">
      <c r="B734" t="s">
        <v>1793</v>
      </c>
      <c r="C734" s="2" t="s">
        <v>191</v>
      </c>
      <c r="D734" s="3" t="s">
        <v>192</v>
      </c>
      <c r="E734" s="12" t="s">
        <v>193</v>
      </c>
      <c r="F734" s="12" t="s">
        <v>65</v>
      </c>
      <c r="G734" s="1">
        <v>1</v>
      </c>
      <c r="H734" s="1"/>
      <c r="I734" s="1">
        <f>1800-24</f>
        <v>1776</v>
      </c>
      <c r="J734" t="s">
        <v>10</v>
      </c>
      <c r="K734" t="s">
        <v>12</v>
      </c>
      <c r="Q734">
        <v>5</v>
      </c>
      <c r="R734">
        <v>2</v>
      </c>
      <c r="S734">
        <v>1</v>
      </c>
      <c r="T734" s="5">
        <f t="shared" si="38"/>
        <v>163.47999999999999</v>
      </c>
      <c r="U734" t="s">
        <v>1794</v>
      </c>
      <c r="AH734" s="10">
        <v>1</v>
      </c>
      <c r="BC734" t="s">
        <v>1795</v>
      </c>
      <c r="BD734" t="s">
        <v>81</v>
      </c>
      <c r="BE734" s="10" t="s">
        <v>125</v>
      </c>
      <c r="BF734" s="1" t="s">
        <v>29</v>
      </c>
      <c r="BG734" s="1">
        <v>2</v>
      </c>
      <c r="BH734">
        <v>2</v>
      </c>
      <c r="BK734" s="1">
        <v>1</v>
      </c>
      <c r="BQ734">
        <v>1</v>
      </c>
      <c r="BZ734">
        <v>1</v>
      </c>
      <c r="CK734" s="10">
        <v>1</v>
      </c>
      <c r="CS734" s="33" t="s">
        <v>111</v>
      </c>
    </row>
    <row r="735" spans="1:97">
      <c r="B735" t="s">
        <v>2212</v>
      </c>
      <c r="C735" s="2" t="s">
        <v>2213</v>
      </c>
      <c r="D735" s="2" t="s">
        <v>2213</v>
      </c>
      <c r="E735" s="13" t="s">
        <v>920</v>
      </c>
      <c r="F735" s="13" t="s">
        <v>115</v>
      </c>
      <c r="G735" s="1">
        <v>1</v>
      </c>
      <c r="H735" s="1"/>
      <c r="I735" s="1">
        <f>1804-22</f>
        <v>1782</v>
      </c>
      <c r="J735" t="s">
        <v>10</v>
      </c>
      <c r="K735" t="s">
        <v>12</v>
      </c>
      <c r="Q735">
        <v>5</v>
      </c>
      <c r="R735">
        <v>2</v>
      </c>
      <c r="S735">
        <v>3</v>
      </c>
      <c r="T735" s="5">
        <f t="shared" si="38"/>
        <v>163.92</v>
      </c>
      <c r="U735" t="s">
        <v>2211</v>
      </c>
      <c r="AH735" s="6">
        <v>1</v>
      </c>
      <c r="AI735" s="6">
        <v>1</v>
      </c>
      <c r="AJ735" s="6">
        <v>1</v>
      </c>
      <c r="AK735" s="6">
        <v>1</v>
      </c>
      <c r="AL735" s="6">
        <v>1</v>
      </c>
      <c r="AM735" s="6">
        <v>1</v>
      </c>
      <c r="AN735" s="7">
        <v>1</v>
      </c>
      <c r="BC735" t="s">
        <v>1501</v>
      </c>
      <c r="BD735" s="7" t="s">
        <v>103</v>
      </c>
      <c r="BE735" t="s">
        <v>1502</v>
      </c>
      <c r="BF735" s="1" t="s">
        <v>29</v>
      </c>
      <c r="BG735" s="1">
        <v>3</v>
      </c>
      <c r="BH735">
        <v>1</v>
      </c>
      <c r="BK735" s="1">
        <v>1</v>
      </c>
      <c r="BQ735">
        <v>1</v>
      </c>
      <c r="CS735" s="28" t="s">
        <v>2089</v>
      </c>
    </row>
    <row r="736" spans="1:97">
      <c r="B736" t="s">
        <v>2831</v>
      </c>
      <c r="C736" s="2" t="s">
        <v>2829</v>
      </c>
      <c r="D736" s="2" t="s">
        <v>2829</v>
      </c>
      <c r="E736" s="13" t="s">
        <v>238</v>
      </c>
      <c r="F736" s="13" t="s">
        <v>65</v>
      </c>
      <c r="G736" s="1">
        <v>1</v>
      </c>
      <c r="H736" s="1"/>
      <c r="I736" s="1">
        <f>1804-23</f>
        <v>1781</v>
      </c>
      <c r="J736" t="s">
        <v>10</v>
      </c>
      <c r="K736" t="s">
        <v>12</v>
      </c>
      <c r="Q736">
        <v>5</v>
      </c>
      <c r="R736">
        <v>3</v>
      </c>
      <c r="S736">
        <v>1</v>
      </c>
      <c r="T736" s="5">
        <f t="shared" si="38"/>
        <v>166.11</v>
      </c>
      <c r="U736" t="s">
        <v>2211</v>
      </c>
      <c r="AH736" s="6">
        <v>1</v>
      </c>
      <c r="AI736" s="6">
        <v>1</v>
      </c>
      <c r="AJ736" s="6">
        <v>1</v>
      </c>
      <c r="AK736" s="6">
        <v>1</v>
      </c>
      <c r="AL736" s="6">
        <v>1</v>
      </c>
      <c r="AM736" s="6">
        <v>1</v>
      </c>
      <c r="AN736" s="7">
        <v>1</v>
      </c>
      <c r="BC736" t="s">
        <v>2830</v>
      </c>
      <c r="BD736" s="7" t="s">
        <v>109</v>
      </c>
      <c r="BE736" t="s">
        <v>2005</v>
      </c>
      <c r="BF736" s="1" t="s">
        <v>29</v>
      </c>
      <c r="BG736" s="1">
        <v>5</v>
      </c>
      <c r="BH736">
        <v>2</v>
      </c>
      <c r="BK736" s="1">
        <v>1</v>
      </c>
      <c r="BQ736">
        <v>1</v>
      </c>
      <c r="CL736">
        <v>1</v>
      </c>
      <c r="CS736" s="28" t="s">
        <v>354</v>
      </c>
    </row>
    <row r="737" spans="1:97">
      <c r="B737" t="s">
        <v>1708</v>
      </c>
      <c r="C737" s="15" t="s">
        <v>2014</v>
      </c>
      <c r="D737" s="26"/>
      <c r="E737" s="8" t="s">
        <v>920</v>
      </c>
      <c r="F737" s="8" t="s">
        <v>115</v>
      </c>
      <c r="G737" s="1">
        <v>1</v>
      </c>
      <c r="H737" s="1"/>
      <c r="I737" s="1">
        <f>1806-28</f>
        <v>1778</v>
      </c>
      <c r="J737" t="s">
        <v>10</v>
      </c>
      <c r="K737" t="s">
        <v>12</v>
      </c>
      <c r="Q737">
        <v>5</v>
      </c>
      <c r="T737" s="5">
        <f>((Q737*316)+(R737*26.3)+(S737*2.2))/10</f>
        <v>158</v>
      </c>
      <c r="U737" t="s">
        <v>2015</v>
      </c>
      <c r="AH737" s="6">
        <v>1</v>
      </c>
      <c r="AI737" s="6">
        <v>1</v>
      </c>
      <c r="AJ737" s="6">
        <v>1</v>
      </c>
      <c r="AK737" s="6">
        <v>1</v>
      </c>
      <c r="AL737" s="6">
        <v>1</v>
      </c>
      <c r="AM737" s="6">
        <v>1</v>
      </c>
      <c r="AN737" s="7">
        <v>1</v>
      </c>
      <c r="BC737" t="s">
        <v>1501</v>
      </c>
      <c r="BD737" s="7" t="s">
        <v>109</v>
      </c>
      <c r="BE737" t="s">
        <v>1502</v>
      </c>
      <c r="BF737" s="1" t="s">
        <v>29</v>
      </c>
      <c r="BG737" s="1">
        <v>3</v>
      </c>
      <c r="BH737">
        <v>1</v>
      </c>
      <c r="BK737" s="1">
        <v>1</v>
      </c>
      <c r="BQ737">
        <v>1</v>
      </c>
      <c r="CR737" t="s">
        <v>72</v>
      </c>
      <c r="CS737" s="28" t="s">
        <v>354</v>
      </c>
    </row>
    <row r="738" spans="1:97">
      <c r="B738" t="s">
        <v>2217</v>
      </c>
      <c r="C738" s="13" t="s">
        <v>2218</v>
      </c>
      <c r="D738" s="2" t="s">
        <v>2219</v>
      </c>
      <c r="E738" s="8" t="s">
        <v>920</v>
      </c>
      <c r="F738" s="8" t="s">
        <v>115</v>
      </c>
      <c r="G738" s="1">
        <v>1</v>
      </c>
      <c r="H738" s="1"/>
      <c r="I738" s="1">
        <f>1804-23</f>
        <v>1781</v>
      </c>
      <c r="J738" t="s">
        <v>69</v>
      </c>
      <c r="K738" t="s">
        <v>12</v>
      </c>
      <c r="N738">
        <v>1</v>
      </c>
      <c r="Q738">
        <v>5</v>
      </c>
      <c r="R738">
        <v>1</v>
      </c>
      <c r="T738" s="5">
        <f>((Q738*316)+(R738*26.3)+(S738*2.2))/10</f>
        <v>160.63</v>
      </c>
      <c r="U738" t="s">
        <v>2015</v>
      </c>
      <c r="AH738" s="6">
        <v>1</v>
      </c>
      <c r="AI738" s="6">
        <v>1</v>
      </c>
      <c r="AJ738" s="6">
        <v>1</v>
      </c>
      <c r="AK738" s="6">
        <v>1</v>
      </c>
      <c r="AL738" s="6">
        <v>1</v>
      </c>
      <c r="AM738" s="6">
        <v>1</v>
      </c>
      <c r="AN738" s="7">
        <v>1</v>
      </c>
      <c r="BC738" t="s">
        <v>1501</v>
      </c>
      <c r="BD738" s="7" t="s">
        <v>109</v>
      </c>
      <c r="BE738" t="s">
        <v>1502</v>
      </c>
      <c r="BF738" s="1" t="s">
        <v>29</v>
      </c>
      <c r="BG738" s="1">
        <v>3</v>
      </c>
      <c r="BH738">
        <v>1</v>
      </c>
      <c r="BK738" s="1">
        <v>1</v>
      </c>
      <c r="BQ738">
        <v>1</v>
      </c>
      <c r="CS738" s="28" t="s">
        <v>354</v>
      </c>
    </row>
    <row r="739" spans="1:97">
      <c r="B739" t="s">
        <v>4594</v>
      </c>
      <c r="C739" s="2" t="s">
        <v>2345</v>
      </c>
      <c r="D739" s="2" t="s">
        <v>2345</v>
      </c>
      <c r="E739" s="8" t="s">
        <v>624</v>
      </c>
      <c r="F739" s="8" t="s">
        <v>218</v>
      </c>
      <c r="G739" s="1">
        <v>1</v>
      </c>
      <c r="H739" s="1"/>
      <c r="I739" s="1">
        <f>1804-22</f>
        <v>1782</v>
      </c>
      <c r="J739" t="s">
        <v>10</v>
      </c>
      <c r="K739" t="s">
        <v>12</v>
      </c>
      <c r="Q739">
        <v>5</v>
      </c>
      <c r="R739">
        <v>2</v>
      </c>
      <c r="S739">
        <v>2</v>
      </c>
      <c r="T739" s="5">
        <f>((Q739*316)+(R739*26.3)+(S739*2.2))/10</f>
        <v>163.69999999999999</v>
      </c>
      <c r="U739" t="s">
        <v>4595</v>
      </c>
      <c r="AH739" s="6">
        <v>1</v>
      </c>
      <c r="AI739" s="6">
        <v>1</v>
      </c>
      <c r="AJ739" s="6">
        <v>1</v>
      </c>
      <c r="AK739" s="6">
        <v>1</v>
      </c>
      <c r="AL739" s="6">
        <v>1</v>
      </c>
      <c r="AM739" s="6">
        <v>1</v>
      </c>
      <c r="AN739" s="7">
        <v>1</v>
      </c>
      <c r="BC739" t="s">
        <v>4596</v>
      </c>
      <c r="BD739" s="7" t="s">
        <v>959</v>
      </c>
      <c r="BE739" s="7" t="s">
        <v>1558</v>
      </c>
      <c r="BF739" s="1" t="s">
        <v>29</v>
      </c>
      <c r="BG739" s="1">
        <v>3</v>
      </c>
      <c r="BH739">
        <v>2</v>
      </c>
      <c r="BK739" s="1">
        <v>1</v>
      </c>
      <c r="BQ739">
        <v>1</v>
      </c>
      <c r="CB739" s="7">
        <v>1</v>
      </c>
      <c r="CM739">
        <v>1</v>
      </c>
      <c r="CS739" s="28" t="s">
        <v>4597</v>
      </c>
    </row>
    <row r="740" spans="1:97">
      <c r="B740" t="s">
        <v>2016</v>
      </c>
      <c r="C740" s="13" t="s">
        <v>2017</v>
      </c>
      <c r="D740" s="3" t="s">
        <v>2018</v>
      </c>
      <c r="E740" s="8" t="s">
        <v>920</v>
      </c>
      <c r="F740" s="8" t="s">
        <v>115</v>
      </c>
      <c r="G740" s="1">
        <v>1</v>
      </c>
      <c r="H740" s="1"/>
      <c r="I740" s="1">
        <f>1803-30</f>
        <v>1773</v>
      </c>
      <c r="J740" t="s">
        <v>69</v>
      </c>
      <c r="K740" t="s">
        <v>12</v>
      </c>
      <c r="N740">
        <v>1</v>
      </c>
      <c r="Q740">
        <v>5</v>
      </c>
      <c r="R740">
        <v>1</v>
      </c>
      <c r="T740" s="5">
        <f>((Q740*316)+(R740*26.3)+(S740*2.2))/10</f>
        <v>160.63</v>
      </c>
      <c r="U740" t="s">
        <v>467</v>
      </c>
      <c r="AH740" s="6">
        <v>1</v>
      </c>
      <c r="AI740" s="6">
        <v>1</v>
      </c>
      <c r="AJ740" s="6">
        <v>1</v>
      </c>
      <c r="AK740" s="6">
        <v>1</v>
      </c>
      <c r="AL740" s="6">
        <v>1</v>
      </c>
      <c r="AM740" s="6">
        <v>1</v>
      </c>
      <c r="AN740" s="7">
        <v>1</v>
      </c>
      <c r="BC740" t="s">
        <v>1501</v>
      </c>
      <c r="BD740" s="7" t="s">
        <v>109</v>
      </c>
      <c r="BE740" t="s">
        <v>1502</v>
      </c>
      <c r="BF740" s="1" t="s">
        <v>29</v>
      </c>
      <c r="BG740" s="1">
        <v>3</v>
      </c>
      <c r="BH740">
        <v>1</v>
      </c>
      <c r="BK740" s="1">
        <v>1</v>
      </c>
      <c r="BQ740">
        <v>1</v>
      </c>
      <c r="CS740" s="28" t="s">
        <v>354</v>
      </c>
    </row>
    <row r="741" spans="1:97">
      <c r="B741" t="s">
        <v>2516</v>
      </c>
      <c r="C741" s="2" t="s">
        <v>1336</v>
      </c>
      <c r="D741" s="3"/>
      <c r="E741" s="8" t="s">
        <v>837</v>
      </c>
      <c r="F741" s="8" t="s">
        <v>115</v>
      </c>
      <c r="G741" s="1">
        <v>1</v>
      </c>
      <c r="H741" s="1"/>
      <c r="I741" s="1">
        <f>1810-27</f>
        <v>1783</v>
      </c>
      <c r="J741" t="s">
        <v>10</v>
      </c>
      <c r="K741" t="s">
        <v>2517</v>
      </c>
      <c r="Q741">
        <v>5</v>
      </c>
      <c r="R741">
        <v>5</v>
      </c>
      <c r="S741">
        <v>2</v>
      </c>
      <c r="T741" s="5">
        <f>((Q741*316)+(R741*26.3)+(S741*2.2))/10</f>
        <v>171.59</v>
      </c>
      <c r="U741" t="s">
        <v>2518</v>
      </c>
      <c r="AH741" s="6">
        <v>1</v>
      </c>
      <c r="AI741" s="6">
        <v>1</v>
      </c>
      <c r="AJ741" s="6">
        <v>1</v>
      </c>
      <c r="AK741" s="6">
        <v>1</v>
      </c>
      <c r="AL741" s="6">
        <v>1</v>
      </c>
      <c r="AM741" s="6">
        <v>1</v>
      </c>
      <c r="AN741" s="6">
        <v>1</v>
      </c>
      <c r="AO741" s="6">
        <v>1</v>
      </c>
      <c r="AP741" s="6">
        <v>1</v>
      </c>
      <c r="AQ741" s="6">
        <v>1</v>
      </c>
      <c r="AR741" s="6">
        <v>1</v>
      </c>
      <c r="AS741" s="6">
        <v>1</v>
      </c>
      <c r="AT741" s="6">
        <v>1</v>
      </c>
      <c r="AU741" s="6">
        <v>1</v>
      </c>
      <c r="AV741" s="6">
        <v>1</v>
      </c>
      <c r="AW741" s="6">
        <v>1</v>
      </c>
      <c r="AX741" s="6">
        <v>1</v>
      </c>
      <c r="AY741" s="7">
        <v>1</v>
      </c>
      <c r="BC741" t="s">
        <v>2519</v>
      </c>
      <c r="BD741" s="7" t="s">
        <v>103</v>
      </c>
      <c r="BE741" t="s">
        <v>2520</v>
      </c>
      <c r="BF741" s="1" t="s">
        <v>29</v>
      </c>
      <c r="BG741" s="1">
        <v>2</v>
      </c>
      <c r="BH741">
        <v>4</v>
      </c>
      <c r="BK741" s="1" t="s">
        <v>72</v>
      </c>
      <c r="BQ741">
        <v>1</v>
      </c>
      <c r="BX741">
        <v>1</v>
      </c>
      <c r="CL741">
        <v>1</v>
      </c>
      <c r="CS741" s="28" t="s">
        <v>1518</v>
      </c>
    </row>
    <row r="742" spans="1:97">
      <c r="B742" t="s">
        <v>1418</v>
      </c>
      <c r="C742" s="2" t="s">
        <v>1422</v>
      </c>
      <c r="D742" s="26"/>
      <c r="F742" s="8" t="s">
        <v>217</v>
      </c>
      <c r="G742" s="1"/>
      <c r="H742" s="1">
        <v>1</v>
      </c>
      <c r="I742" s="1">
        <f>1800-12</f>
        <v>1788</v>
      </c>
      <c r="J742" t="s">
        <v>10</v>
      </c>
      <c r="K742" t="s">
        <v>12</v>
      </c>
      <c r="Q742">
        <v>5</v>
      </c>
      <c r="T742" s="5">
        <f t="shared" si="38"/>
        <v>158</v>
      </c>
      <c r="U742" t="s">
        <v>1419</v>
      </c>
      <c r="AH742" s="6">
        <v>1</v>
      </c>
      <c r="AI742" s="6">
        <v>1</v>
      </c>
      <c r="AJ742" s="7">
        <v>1</v>
      </c>
      <c r="BC742" t="s">
        <v>1420</v>
      </c>
      <c r="BD742" s="7" t="s">
        <v>103</v>
      </c>
      <c r="BE742" t="s">
        <v>125</v>
      </c>
      <c r="BF742" s="1" t="s">
        <v>29</v>
      </c>
      <c r="BG742" s="1">
        <v>5</v>
      </c>
      <c r="BH742">
        <v>1</v>
      </c>
      <c r="BK742" s="1"/>
      <c r="BO742">
        <v>1</v>
      </c>
      <c r="BQ742">
        <v>1</v>
      </c>
      <c r="CH742">
        <v>1</v>
      </c>
      <c r="CS742" s="28" t="s">
        <v>1421</v>
      </c>
    </row>
    <row r="743" spans="1:97">
      <c r="B743" t="s">
        <v>4659</v>
      </c>
      <c r="C743" s="2" t="s">
        <v>4604</v>
      </c>
      <c r="D743" s="2" t="s">
        <v>4604</v>
      </c>
      <c r="E743" s="8" t="s">
        <v>624</v>
      </c>
      <c r="F743" s="8" t="s">
        <v>218</v>
      </c>
      <c r="G743" s="1">
        <v>1</v>
      </c>
      <c r="H743" s="1"/>
      <c r="I743" s="1">
        <f>1804-22</f>
        <v>1782</v>
      </c>
      <c r="J743" t="s">
        <v>10</v>
      </c>
      <c r="K743" t="s">
        <v>12</v>
      </c>
      <c r="Q743">
        <v>5</v>
      </c>
      <c r="R743">
        <v>1</v>
      </c>
      <c r="S743">
        <v>2</v>
      </c>
      <c r="T743" s="5">
        <f t="shared" si="38"/>
        <v>161.07</v>
      </c>
      <c r="U743" s="38" t="s">
        <v>935</v>
      </c>
      <c r="AH743" s="6">
        <v>1</v>
      </c>
      <c r="AI743" s="6">
        <v>1</v>
      </c>
      <c r="AJ743" s="6">
        <v>1</v>
      </c>
      <c r="AK743" s="6">
        <v>1</v>
      </c>
      <c r="AL743" s="6">
        <v>1</v>
      </c>
      <c r="AM743" s="6">
        <v>1</v>
      </c>
      <c r="AN743" s="7">
        <v>1</v>
      </c>
      <c r="BC743" t="s">
        <v>4660</v>
      </c>
      <c r="BD743" s="7" t="s">
        <v>959</v>
      </c>
      <c r="BE743" s="7" t="s">
        <v>1558</v>
      </c>
      <c r="BF743" s="1" t="s">
        <v>29</v>
      </c>
      <c r="BG743" s="1">
        <v>3</v>
      </c>
      <c r="BH743">
        <v>2</v>
      </c>
      <c r="BK743" s="1" t="s">
        <v>72</v>
      </c>
      <c r="BQ743">
        <v>1</v>
      </c>
      <c r="CF743">
        <v>1</v>
      </c>
      <c r="CS743" s="28" t="s">
        <v>4661</v>
      </c>
    </row>
    <row r="744" spans="1:97">
      <c r="B744" t="s">
        <v>2309</v>
      </c>
      <c r="C744" s="2" t="s">
        <v>2310</v>
      </c>
      <c r="D744" s="2" t="s">
        <v>2310</v>
      </c>
      <c r="E744" s="8" t="s">
        <v>2300</v>
      </c>
      <c r="F744" s="8" t="s">
        <v>115</v>
      </c>
      <c r="G744" s="1">
        <v>1</v>
      </c>
      <c r="H744" s="1"/>
      <c r="I744" s="1">
        <f>1803-21</f>
        <v>1782</v>
      </c>
      <c r="J744" t="s">
        <v>10</v>
      </c>
      <c r="K744" t="s">
        <v>12</v>
      </c>
      <c r="Q744">
        <v>4</v>
      </c>
      <c r="R744">
        <v>11</v>
      </c>
      <c r="T744" s="5">
        <f t="shared" si="38"/>
        <v>155.32999999999998</v>
      </c>
      <c r="U744" t="s">
        <v>2308</v>
      </c>
      <c r="AH744" s="6">
        <v>1</v>
      </c>
      <c r="AI744" s="6">
        <v>1</v>
      </c>
      <c r="AJ744" s="7">
        <v>1</v>
      </c>
      <c r="BC744" s="9" t="s">
        <v>2311</v>
      </c>
      <c r="BD744" s="7" t="s">
        <v>280</v>
      </c>
      <c r="BE744" t="s">
        <v>118</v>
      </c>
      <c r="BF744" s="1" t="s">
        <v>29</v>
      </c>
      <c r="BG744" s="1">
        <v>2</v>
      </c>
      <c r="BH744">
        <v>1</v>
      </c>
      <c r="BK744" s="1">
        <v>1</v>
      </c>
      <c r="BQ744">
        <v>1</v>
      </c>
      <c r="CN744">
        <v>1</v>
      </c>
      <c r="CS744" s="28" t="s">
        <v>1927</v>
      </c>
    </row>
    <row r="745" spans="1:97">
      <c r="B745" t="s">
        <v>2298</v>
      </c>
      <c r="C745" s="2" t="s">
        <v>2299</v>
      </c>
      <c r="D745" s="2" t="s">
        <v>268</v>
      </c>
      <c r="E745" s="8" t="s">
        <v>2300</v>
      </c>
      <c r="F745" s="8" t="s">
        <v>115</v>
      </c>
      <c r="G745" s="1"/>
      <c r="H745" s="1">
        <v>1</v>
      </c>
      <c r="I745" s="1">
        <f>1803-23</f>
        <v>1780</v>
      </c>
      <c r="J745" t="s">
        <v>10</v>
      </c>
      <c r="K745" t="s">
        <v>12</v>
      </c>
      <c r="Q745">
        <v>5</v>
      </c>
      <c r="R745">
        <v>3</v>
      </c>
      <c r="T745" s="5">
        <f t="shared" si="38"/>
        <v>165.89000000000001</v>
      </c>
      <c r="U745" t="s">
        <v>2301</v>
      </c>
      <c r="AH745" s="6">
        <v>1</v>
      </c>
      <c r="AI745" s="6">
        <v>1</v>
      </c>
      <c r="AJ745" s="6">
        <v>1</v>
      </c>
      <c r="AK745" s="6">
        <v>1</v>
      </c>
      <c r="AL745" s="7">
        <v>1</v>
      </c>
      <c r="BC745" s="9" t="s">
        <v>2302</v>
      </c>
      <c r="BD745" s="7" t="s">
        <v>280</v>
      </c>
      <c r="BE745" t="s">
        <v>118</v>
      </c>
      <c r="BF745" s="1" t="s">
        <v>29</v>
      </c>
      <c r="BG745" s="1">
        <v>2</v>
      </c>
      <c r="BH745">
        <v>1</v>
      </c>
      <c r="BK745" s="1">
        <v>1</v>
      </c>
      <c r="BQ745">
        <v>1</v>
      </c>
      <c r="CN745">
        <v>1</v>
      </c>
      <c r="CS745" s="28" t="s">
        <v>1927</v>
      </c>
    </row>
    <row r="746" spans="1:97">
      <c r="B746" t="s">
        <v>1924</v>
      </c>
      <c r="C746" s="2" t="s">
        <v>1925</v>
      </c>
      <c r="D746" s="2" t="s">
        <v>1925</v>
      </c>
      <c r="E746" s="8" t="s">
        <v>1381</v>
      </c>
      <c r="F746" s="8" t="s">
        <v>115</v>
      </c>
      <c r="G746" s="1">
        <v>1</v>
      </c>
      <c r="H746" s="1"/>
      <c r="I746" s="1">
        <f>1803-21</f>
        <v>1782</v>
      </c>
      <c r="J746" t="s">
        <v>10</v>
      </c>
      <c r="K746" t="s">
        <v>140</v>
      </c>
      <c r="Q746">
        <v>5</v>
      </c>
      <c r="R746">
        <v>3</v>
      </c>
      <c r="S746">
        <v>1</v>
      </c>
      <c r="T746" s="5">
        <f t="shared" si="38"/>
        <v>166.11</v>
      </c>
      <c r="U746" t="s">
        <v>1923</v>
      </c>
      <c r="AH746" s="6">
        <v>1</v>
      </c>
      <c r="AI746" s="6">
        <v>1</v>
      </c>
      <c r="AJ746" s="6">
        <v>1</v>
      </c>
      <c r="AK746" s="7">
        <v>1</v>
      </c>
      <c r="BC746" t="s">
        <v>1926</v>
      </c>
      <c r="BD746" s="7" t="s">
        <v>280</v>
      </c>
      <c r="BE746" t="s">
        <v>118</v>
      </c>
      <c r="BF746" s="1" t="s">
        <v>29</v>
      </c>
      <c r="BG746" s="1">
        <v>2</v>
      </c>
      <c r="BH746">
        <v>1</v>
      </c>
      <c r="BK746" s="1">
        <v>1</v>
      </c>
      <c r="BQ746">
        <v>1</v>
      </c>
      <c r="CS746" s="28" t="s">
        <v>1927</v>
      </c>
    </row>
    <row r="747" spans="1:97">
      <c r="B747" t="s">
        <v>1796</v>
      </c>
      <c r="C747" s="15" t="s">
        <v>1797</v>
      </c>
      <c r="D747" s="15"/>
      <c r="E747" s="8" t="s">
        <v>122</v>
      </c>
      <c r="F747" s="8" t="s">
        <v>115</v>
      </c>
      <c r="G747" s="1">
        <v>1</v>
      </c>
      <c r="H747" s="1"/>
      <c r="I747" s="1">
        <f>1800-20</f>
        <v>1780</v>
      </c>
      <c r="J747" t="s">
        <v>69</v>
      </c>
      <c r="K747" t="s">
        <v>12</v>
      </c>
      <c r="Q747">
        <v>5</v>
      </c>
      <c r="R747">
        <v>2</v>
      </c>
      <c r="S747">
        <v>2</v>
      </c>
      <c r="T747" s="5">
        <f>((Q747*316)+(R747*26.3)+(S747*2.2))/10</f>
        <v>163.69999999999999</v>
      </c>
      <c r="U747" t="s">
        <v>1798</v>
      </c>
      <c r="AH747" s="7">
        <v>1</v>
      </c>
      <c r="BC747" t="s">
        <v>1799</v>
      </c>
      <c r="BD747" s="7" t="s">
        <v>103</v>
      </c>
      <c r="BE747" t="s">
        <v>125</v>
      </c>
      <c r="BF747" s="1" t="s">
        <v>29</v>
      </c>
      <c r="BG747" s="1">
        <v>2</v>
      </c>
      <c r="BH747">
        <v>1</v>
      </c>
      <c r="BK747" s="1">
        <v>1</v>
      </c>
      <c r="BN747">
        <v>1</v>
      </c>
      <c r="BQ747">
        <v>1</v>
      </c>
      <c r="CS747" s="7" t="s">
        <v>1800</v>
      </c>
    </row>
    <row r="748" spans="1:97">
      <c r="A748" t="s">
        <v>72</v>
      </c>
      <c r="B748" t="s">
        <v>4501</v>
      </c>
      <c r="C748" s="15"/>
      <c r="D748" s="15"/>
      <c r="F748" t="s">
        <v>7</v>
      </c>
      <c r="G748" s="1"/>
      <c r="H748" s="1"/>
      <c r="I748" s="1"/>
      <c r="T748" s="5"/>
      <c r="U748" s="19" t="s">
        <v>4502</v>
      </c>
      <c r="AH748" s="9">
        <v>1</v>
      </c>
      <c r="AI748" s="7">
        <v>1</v>
      </c>
      <c r="BC748" t="s">
        <v>441</v>
      </c>
      <c r="BD748" s="7" t="s">
        <v>109</v>
      </c>
      <c r="BE748" t="s">
        <v>712</v>
      </c>
      <c r="BF748" s="1" t="s">
        <v>73</v>
      </c>
      <c r="BG748" s="1">
        <v>2</v>
      </c>
      <c r="BH748">
        <v>1</v>
      </c>
      <c r="BK748" s="1"/>
      <c r="BQ748">
        <v>1</v>
      </c>
      <c r="CS748" s="7" t="s">
        <v>1086</v>
      </c>
    </row>
    <row r="749" spans="1:97">
      <c r="A749" t="s">
        <v>72</v>
      </c>
      <c r="B749" t="s">
        <v>4504</v>
      </c>
      <c r="C749" s="15"/>
      <c r="D749" s="15"/>
      <c r="F749" t="s">
        <v>7</v>
      </c>
      <c r="G749" s="1"/>
      <c r="H749" s="1"/>
      <c r="I749" s="1"/>
      <c r="T749" s="5"/>
      <c r="U749" s="19" t="s">
        <v>4502</v>
      </c>
      <c r="AH749" s="9">
        <v>1</v>
      </c>
      <c r="AI749" s="7">
        <v>1</v>
      </c>
      <c r="BC749" t="s">
        <v>441</v>
      </c>
      <c r="BD749" s="7" t="s">
        <v>109</v>
      </c>
      <c r="BE749" t="s">
        <v>712</v>
      </c>
      <c r="BF749" s="1" t="s">
        <v>73</v>
      </c>
      <c r="BG749" s="1">
        <v>2</v>
      </c>
      <c r="BH749">
        <v>1</v>
      </c>
      <c r="BK749" s="1"/>
      <c r="BQ749">
        <v>1</v>
      </c>
      <c r="CS749" s="7" t="s">
        <v>1086</v>
      </c>
    </row>
    <row r="750" spans="1:97">
      <c r="A750" t="s">
        <v>72</v>
      </c>
      <c r="B750" t="s">
        <v>4503</v>
      </c>
      <c r="C750" s="15"/>
      <c r="D750" s="15"/>
      <c r="F750" t="s">
        <v>7</v>
      </c>
      <c r="G750" s="1"/>
      <c r="H750" s="1"/>
      <c r="I750" s="1"/>
      <c r="T750" s="5"/>
      <c r="U750" s="19" t="s">
        <v>4502</v>
      </c>
      <c r="AH750" s="9">
        <v>1</v>
      </c>
      <c r="AI750" s="7">
        <v>1</v>
      </c>
      <c r="BC750" t="s">
        <v>441</v>
      </c>
      <c r="BD750" s="7" t="s">
        <v>109</v>
      </c>
      <c r="BE750" t="s">
        <v>712</v>
      </c>
      <c r="BF750" s="1" t="s">
        <v>73</v>
      </c>
      <c r="BG750" s="1">
        <v>2</v>
      </c>
      <c r="BH750">
        <v>1</v>
      </c>
      <c r="BK750" s="1"/>
      <c r="BQ750">
        <v>1</v>
      </c>
      <c r="CS750" s="7" t="s">
        <v>1086</v>
      </c>
    </row>
    <row r="751" spans="1:97">
      <c r="A751" t="s">
        <v>72</v>
      </c>
      <c r="B751" t="s">
        <v>2657</v>
      </c>
      <c r="C751" s="15"/>
      <c r="D751" s="15"/>
      <c r="F751" t="s">
        <v>7</v>
      </c>
      <c r="G751" s="1"/>
      <c r="H751" s="1"/>
      <c r="I751" s="1"/>
      <c r="T751" s="5"/>
      <c r="U751" s="9" t="s">
        <v>2656</v>
      </c>
      <c r="AG751" s="19"/>
      <c r="AH751" s="7">
        <v>1</v>
      </c>
      <c r="BC751" s="9" t="s">
        <v>2658</v>
      </c>
      <c r="BD751" s="7" t="s">
        <v>103</v>
      </c>
      <c r="BE751" t="s">
        <v>124</v>
      </c>
      <c r="BF751" s="1" t="s">
        <v>73</v>
      </c>
      <c r="BG751" s="1">
        <v>1</v>
      </c>
      <c r="BH751">
        <v>1</v>
      </c>
      <c r="BK751" s="1"/>
      <c r="BQ751">
        <v>1</v>
      </c>
      <c r="CS751" s="28" t="s">
        <v>2659</v>
      </c>
    </row>
    <row r="752" spans="1:97">
      <c r="A752" t="s">
        <v>72</v>
      </c>
      <c r="B752" t="s">
        <v>2643</v>
      </c>
      <c r="C752" s="15"/>
      <c r="D752" s="15"/>
      <c r="F752" t="s">
        <v>7</v>
      </c>
      <c r="G752" s="1"/>
      <c r="H752" s="1"/>
      <c r="I752" s="1"/>
      <c r="T752" s="5"/>
      <c r="U752" s="9" t="s">
        <v>2641</v>
      </c>
      <c r="AG752" s="19"/>
      <c r="AH752" s="7">
        <v>1</v>
      </c>
      <c r="BC752" t="s">
        <v>2642</v>
      </c>
      <c r="BD752" s="7" t="s">
        <v>26</v>
      </c>
      <c r="BE752" t="s">
        <v>124</v>
      </c>
      <c r="BF752" s="1" t="s">
        <v>73</v>
      </c>
      <c r="BG752" s="1">
        <v>1</v>
      </c>
      <c r="BH752">
        <v>1</v>
      </c>
      <c r="BK752" s="1"/>
      <c r="BQ752">
        <v>1</v>
      </c>
      <c r="CS752" s="7" t="s">
        <v>2644</v>
      </c>
    </row>
    <row r="753" spans="1:98">
      <c r="B753" t="s">
        <v>2221</v>
      </c>
      <c r="C753" s="2" t="s">
        <v>2222</v>
      </c>
      <c r="D753" s="2" t="s">
        <v>2222</v>
      </c>
      <c r="E753" s="8" t="s">
        <v>920</v>
      </c>
      <c r="F753" s="8" t="s">
        <v>115</v>
      </c>
      <c r="G753" s="1">
        <v>1</v>
      </c>
      <c r="H753" s="1"/>
      <c r="I753" s="1">
        <f>1803-21</f>
        <v>1782</v>
      </c>
      <c r="J753" t="s">
        <v>10</v>
      </c>
      <c r="K753" t="s">
        <v>12</v>
      </c>
      <c r="Q753">
        <v>5</v>
      </c>
      <c r="R753">
        <v>1</v>
      </c>
      <c r="S753">
        <v>2</v>
      </c>
      <c r="T753" s="5">
        <f>((Q753*316)+(R753*26.3)+(S753*2.2))/10</f>
        <v>161.07</v>
      </c>
      <c r="U753" t="s">
        <v>2220</v>
      </c>
      <c r="AH753" s="6">
        <v>1</v>
      </c>
      <c r="AI753" s="6">
        <v>1</v>
      </c>
      <c r="AJ753" s="6">
        <v>1</v>
      </c>
      <c r="AK753" s="6">
        <v>1</v>
      </c>
      <c r="AL753" s="6">
        <v>1</v>
      </c>
      <c r="AM753" s="7">
        <v>1</v>
      </c>
      <c r="BC753" t="s">
        <v>2223</v>
      </c>
      <c r="BD753" s="7" t="s">
        <v>103</v>
      </c>
      <c r="BE753" t="s">
        <v>1502</v>
      </c>
      <c r="BF753" s="1" t="s">
        <v>29</v>
      </c>
      <c r="BG753" s="1">
        <v>3</v>
      </c>
      <c r="BH753">
        <v>1</v>
      </c>
      <c r="BK753" s="1">
        <v>1</v>
      </c>
      <c r="BQ753">
        <v>1</v>
      </c>
      <c r="CS753" s="28" t="s">
        <v>2172</v>
      </c>
    </row>
    <row r="754" spans="1:98">
      <c r="A754" t="s">
        <v>72</v>
      </c>
      <c r="B754" t="s">
        <v>2653</v>
      </c>
      <c r="C754" s="15"/>
      <c r="D754" s="15"/>
      <c r="F754" t="s">
        <v>7</v>
      </c>
      <c r="G754" s="1"/>
      <c r="H754" s="1"/>
      <c r="I754" s="1"/>
      <c r="T754" s="5"/>
      <c r="U754" s="9" t="s">
        <v>2652</v>
      </c>
      <c r="AG754" s="19"/>
      <c r="AH754" s="7">
        <v>1</v>
      </c>
      <c r="BC754" s="9" t="s">
        <v>2654</v>
      </c>
      <c r="BD754" s="7" t="s">
        <v>103</v>
      </c>
      <c r="BE754" t="s">
        <v>124</v>
      </c>
      <c r="BF754" s="1" t="s">
        <v>73</v>
      </c>
      <c r="BG754" s="1">
        <v>1</v>
      </c>
      <c r="BH754">
        <v>1</v>
      </c>
      <c r="BK754" s="1"/>
      <c r="BQ754">
        <v>1</v>
      </c>
      <c r="CS754" s="28" t="s">
        <v>2655</v>
      </c>
    </row>
    <row r="755" spans="1:98">
      <c r="B755" t="s">
        <v>2753</v>
      </c>
      <c r="C755" s="2" t="s">
        <v>2754</v>
      </c>
      <c r="D755" s="2" t="s">
        <v>2754</v>
      </c>
      <c r="E755" s="8" t="s">
        <v>654</v>
      </c>
      <c r="F755" t="s">
        <v>65</v>
      </c>
      <c r="G755" s="1">
        <v>1</v>
      </c>
      <c r="H755" s="1"/>
      <c r="I755" s="1">
        <f>1802-21</f>
        <v>1781</v>
      </c>
      <c r="J755" t="s">
        <v>10</v>
      </c>
      <c r="K755" t="s">
        <v>12</v>
      </c>
      <c r="Q755">
        <v>5</v>
      </c>
      <c r="R755">
        <v>4</v>
      </c>
      <c r="S755">
        <v>1</v>
      </c>
      <c r="T755" s="5">
        <f>((Q755*316)+(R755*26.3)+(S755*2.2))/10</f>
        <v>168.74</v>
      </c>
      <c r="U755" s="9" t="s">
        <v>2755</v>
      </c>
      <c r="AG755" s="31"/>
      <c r="AH755" s="6">
        <v>1</v>
      </c>
      <c r="AI755" s="6">
        <v>1</v>
      </c>
      <c r="AJ755" s="7">
        <v>1</v>
      </c>
      <c r="BC755" t="s">
        <v>1420</v>
      </c>
      <c r="BD755" s="7" t="s">
        <v>280</v>
      </c>
      <c r="BE755" t="s">
        <v>2005</v>
      </c>
      <c r="BF755" s="1" t="s">
        <v>29</v>
      </c>
      <c r="BG755" s="1">
        <v>2</v>
      </c>
      <c r="BH755">
        <v>2</v>
      </c>
      <c r="BK755" s="1">
        <v>1</v>
      </c>
      <c r="BQ755">
        <v>1</v>
      </c>
      <c r="CL755">
        <v>1</v>
      </c>
      <c r="CN755">
        <v>1</v>
      </c>
      <c r="CS755" s="28" t="s">
        <v>2756</v>
      </c>
    </row>
    <row r="756" spans="1:98">
      <c r="A756" t="s">
        <v>72</v>
      </c>
      <c r="B756" t="s">
        <v>132</v>
      </c>
      <c r="C756" s="15" t="s">
        <v>133</v>
      </c>
      <c r="D756" s="15"/>
      <c r="F756" s="8" t="s">
        <v>65</v>
      </c>
      <c r="G756" s="1">
        <v>1</v>
      </c>
      <c r="H756" s="1"/>
      <c r="I756" s="1">
        <f>1804-22</f>
        <v>1782</v>
      </c>
      <c r="J756" t="s">
        <v>10</v>
      </c>
      <c r="K756" t="s">
        <v>12</v>
      </c>
      <c r="N756">
        <v>1</v>
      </c>
      <c r="Q756">
        <v>5</v>
      </c>
      <c r="R756">
        <v>2</v>
      </c>
      <c r="S756">
        <v>2</v>
      </c>
      <c r="T756" s="5">
        <f>((Q756*316)+(R756*26.3)+(S756*2.2))/10</f>
        <v>163.69999999999999</v>
      </c>
      <c r="U756" t="s">
        <v>134</v>
      </c>
      <c r="AI756" s="6">
        <v>1</v>
      </c>
      <c r="AJ756" s="6">
        <v>1</v>
      </c>
      <c r="AK756" s="6">
        <v>1</v>
      </c>
      <c r="AL756" s="6">
        <v>1</v>
      </c>
      <c r="AM756" s="6">
        <v>1</v>
      </c>
      <c r="AN756" s="6">
        <v>1</v>
      </c>
      <c r="AO756" s="6">
        <v>1</v>
      </c>
      <c r="AP756" s="6">
        <v>1</v>
      </c>
      <c r="AQ756" s="6">
        <v>1</v>
      </c>
      <c r="AR756" s="6">
        <v>1</v>
      </c>
      <c r="AS756" s="6">
        <v>1</v>
      </c>
      <c r="AT756" s="6">
        <v>1</v>
      </c>
      <c r="AU756" s="6">
        <v>1</v>
      </c>
      <c r="AV756" s="6">
        <v>1</v>
      </c>
      <c r="AW756" s="6">
        <v>1</v>
      </c>
      <c r="AX756" s="7">
        <v>1</v>
      </c>
      <c r="BC756" t="s">
        <v>1839</v>
      </c>
      <c r="BD756" s="7" t="s">
        <v>103</v>
      </c>
      <c r="BE756" t="s">
        <v>152</v>
      </c>
      <c r="BF756" s="1" t="s">
        <v>29</v>
      </c>
      <c r="BG756" s="1">
        <v>17</v>
      </c>
      <c r="BH756">
        <v>5</v>
      </c>
      <c r="BI756">
        <v>1</v>
      </c>
      <c r="BK756" s="1">
        <v>1</v>
      </c>
      <c r="BQ756">
        <v>1</v>
      </c>
      <c r="BR756">
        <v>1</v>
      </c>
      <c r="BV756">
        <v>1</v>
      </c>
      <c r="CF756">
        <v>1</v>
      </c>
      <c r="CL756">
        <v>1</v>
      </c>
      <c r="CR756" t="s">
        <v>72</v>
      </c>
      <c r="CS756" s="7" t="s">
        <v>1840</v>
      </c>
    </row>
    <row r="757" spans="1:98">
      <c r="A757" t="s">
        <v>72</v>
      </c>
      <c r="B757" t="s">
        <v>2733</v>
      </c>
      <c r="C757" s="15"/>
      <c r="D757" s="15"/>
      <c r="F757" s="8" t="s">
        <v>7</v>
      </c>
      <c r="G757" s="1"/>
      <c r="H757" s="1"/>
      <c r="I757" s="1"/>
      <c r="T757" s="5"/>
      <c r="U757" s="9" t="s">
        <v>2732</v>
      </c>
      <c r="AH757" s="19"/>
      <c r="AI757" s="7">
        <v>1</v>
      </c>
      <c r="BC757" t="s">
        <v>2734</v>
      </c>
      <c r="BD757" s="7" t="s">
        <v>26</v>
      </c>
      <c r="BE757" t="s">
        <v>2005</v>
      </c>
      <c r="BF757" s="1" t="s">
        <v>73</v>
      </c>
      <c r="BG757" s="1">
        <v>1</v>
      </c>
      <c r="BH757">
        <v>1</v>
      </c>
      <c r="BK757" s="1"/>
      <c r="BQ757">
        <v>1</v>
      </c>
      <c r="CS757" s="28" t="s">
        <v>2735</v>
      </c>
    </row>
    <row r="758" spans="1:98">
      <c r="A758" t="s">
        <v>72</v>
      </c>
      <c r="B758" t="s">
        <v>1728</v>
      </c>
      <c r="C758" s="15"/>
      <c r="D758" s="15"/>
      <c r="F758" t="s">
        <v>7</v>
      </c>
      <c r="G758" s="1"/>
      <c r="H758" s="1"/>
      <c r="I758" s="1"/>
      <c r="T758" s="5"/>
      <c r="U758" t="s">
        <v>167</v>
      </c>
      <c r="AI758" s="7">
        <v>1</v>
      </c>
      <c r="BC758" t="s">
        <v>324</v>
      </c>
      <c r="BD758" s="7" t="s">
        <v>109</v>
      </c>
      <c r="BE758" t="s">
        <v>125</v>
      </c>
      <c r="BF758" s="1" t="s">
        <v>29</v>
      </c>
      <c r="BG758" s="1">
        <v>1</v>
      </c>
      <c r="BH758">
        <v>1</v>
      </c>
      <c r="BK758" s="1">
        <v>1</v>
      </c>
      <c r="BQ758">
        <v>1</v>
      </c>
      <c r="CS758" s="7" t="s">
        <v>1313</v>
      </c>
    </row>
    <row r="759" spans="1:98">
      <c r="B759" t="s">
        <v>1781</v>
      </c>
      <c r="C759" s="15"/>
      <c r="D759" s="15"/>
      <c r="F759" t="s">
        <v>7</v>
      </c>
      <c r="G759" s="1"/>
      <c r="H759" s="1"/>
      <c r="I759" s="1"/>
      <c r="T759" s="5"/>
      <c r="U759" t="s">
        <v>167</v>
      </c>
      <c r="AI759" s="7">
        <v>1</v>
      </c>
      <c r="BC759" t="s">
        <v>1782</v>
      </c>
      <c r="BD759" s="7" t="s">
        <v>103</v>
      </c>
      <c r="BE759" t="s">
        <v>125</v>
      </c>
      <c r="BF759" s="1" t="s">
        <v>29</v>
      </c>
      <c r="BG759" s="1">
        <v>1</v>
      </c>
      <c r="BH759">
        <v>1</v>
      </c>
      <c r="BK759" s="1">
        <v>1</v>
      </c>
      <c r="BQ759">
        <v>1</v>
      </c>
      <c r="CS759" s="7" t="s">
        <v>1783</v>
      </c>
    </row>
    <row r="760" spans="1:98">
      <c r="B760" t="s">
        <v>165</v>
      </c>
      <c r="C760" s="15" t="s">
        <v>166</v>
      </c>
      <c r="D760" s="15"/>
      <c r="F760" s="8" t="s">
        <v>65</v>
      </c>
      <c r="G760" s="1">
        <v>1</v>
      </c>
      <c r="H760" s="1"/>
      <c r="I760" s="1">
        <f>1802-20</f>
        <v>1782</v>
      </c>
      <c r="J760" t="s">
        <v>69</v>
      </c>
      <c r="K760" t="s">
        <v>12</v>
      </c>
      <c r="N760">
        <v>1</v>
      </c>
      <c r="Q760">
        <v>5</v>
      </c>
      <c r="R760">
        <v>4</v>
      </c>
      <c r="S760">
        <v>2</v>
      </c>
      <c r="T760" s="5">
        <f>((Q760*316)+(R760*26.3)+(S760*2.2))/10</f>
        <v>168.96</v>
      </c>
      <c r="U760" t="s">
        <v>167</v>
      </c>
      <c r="AI760" s="6">
        <v>1</v>
      </c>
      <c r="AJ760" s="6">
        <v>1</v>
      </c>
      <c r="AK760" s="9">
        <v>1</v>
      </c>
      <c r="AL760" s="9"/>
      <c r="AM760" s="9"/>
      <c r="AN760" s="9"/>
      <c r="AO760" s="9"/>
      <c r="AP760" s="9">
        <v>1</v>
      </c>
      <c r="AQ760" s="7">
        <v>1</v>
      </c>
      <c r="BC760" t="s">
        <v>162</v>
      </c>
      <c r="BD760" s="7" t="s">
        <v>163</v>
      </c>
      <c r="BE760" t="s">
        <v>125</v>
      </c>
      <c r="BF760" s="1" t="s">
        <v>29</v>
      </c>
      <c r="BG760" s="1">
        <v>8</v>
      </c>
      <c r="BH760">
        <v>1</v>
      </c>
      <c r="BK760" s="1">
        <v>1</v>
      </c>
      <c r="BQ760">
        <v>1</v>
      </c>
      <c r="CN760">
        <v>1</v>
      </c>
      <c r="CP760">
        <v>1</v>
      </c>
      <c r="CS760" s="7" t="s">
        <v>168</v>
      </c>
      <c r="CT760" s="9" t="s">
        <v>169</v>
      </c>
    </row>
    <row r="761" spans="1:98">
      <c r="B761" t="s">
        <v>3008</v>
      </c>
      <c r="C761" s="2" t="s">
        <v>1239</v>
      </c>
      <c r="D761" s="15"/>
      <c r="F761" s="8" t="s">
        <v>65</v>
      </c>
      <c r="G761" s="1">
        <v>1</v>
      </c>
      <c r="H761" s="1"/>
      <c r="I761" s="1">
        <f>1802-26</f>
        <v>1776</v>
      </c>
      <c r="J761" t="s">
        <v>69</v>
      </c>
      <c r="K761" t="s">
        <v>197</v>
      </c>
      <c r="Q761">
        <v>5</v>
      </c>
      <c r="R761">
        <v>3</v>
      </c>
      <c r="T761" s="5">
        <f>((Q761*316)+(R761*26.3)+(S761*2.2))/10</f>
        <v>165.89000000000001</v>
      </c>
      <c r="U761" t="s">
        <v>167</v>
      </c>
      <c r="AI761" s="6">
        <v>1</v>
      </c>
      <c r="AJ761" s="6">
        <v>1</v>
      </c>
      <c r="AK761" s="6">
        <v>1</v>
      </c>
      <c r="BC761">
        <v>1803</v>
      </c>
      <c r="BD761" t="s">
        <v>81</v>
      </c>
      <c r="BE761" s="10" t="s">
        <v>1904</v>
      </c>
      <c r="BF761" s="1" t="s">
        <v>73</v>
      </c>
      <c r="BG761" s="1">
        <v>2</v>
      </c>
      <c r="BH761">
        <v>2</v>
      </c>
      <c r="BK761" s="1">
        <v>1</v>
      </c>
      <c r="BQ761">
        <v>1</v>
      </c>
      <c r="CL761" s="10">
        <v>1</v>
      </c>
      <c r="CS761" s="10" t="s">
        <v>4558</v>
      </c>
    </row>
    <row r="762" spans="1:98">
      <c r="B762" t="s">
        <v>3019</v>
      </c>
      <c r="C762" s="13" t="s">
        <v>3020</v>
      </c>
      <c r="D762" s="15"/>
      <c r="F762" s="8" t="s">
        <v>65</v>
      </c>
      <c r="G762" s="1">
        <v>1</v>
      </c>
      <c r="H762" s="1"/>
      <c r="I762" s="1">
        <f>1803-23</f>
        <v>1780</v>
      </c>
      <c r="J762" t="s">
        <v>69</v>
      </c>
      <c r="K762" t="s">
        <v>12</v>
      </c>
      <c r="M762">
        <v>1</v>
      </c>
      <c r="Q762">
        <v>5</v>
      </c>
      <c r="R762">
        <v>2</v>
      </c>
      <c r="S762">
        <v>1</v>
      </c>
      <c r="T762" s="5">
        <f>((Q762*316)+(R762*26.3)+(S762*2.2))/10</f>
        <v>163.47999999999999</v>
      </c>
      <c r="U762" t="s">
        <v>167</v>
      </c>
      <c r="AI762" s="6">
        <v>1</v>
      </c>
      <c r="AJ762" s="6">
        <v>1</v>
      </c>
      <c r="AK762" s="6">
        <v>1</v>
      </c>
      <c r="AL762" s="6">
        <v>1</v>
      </c>
      <c r="BC762">
        <v>1804</v>
      </c>
      <c r="BD762" t="s">
        <v>81</v>
      </c>
      <c r="BE762" s="10" t="s">
        <v>1904</v>
      </c>
      <c r="BF762" s="1" t="s">
        <v>73</v>
      </c>
      <c r="BG762" s="1">
        <v>3</v>
      </c>
      <c r="BH762">
        <v>2</v>
      </c>
      <c r="BK762" s="1">
        <v>1</v>
      </c>
      <c r="BQ762">
        <v>1</v>
      </c>
      <c r="CL762" s="10">
        <v>1</v>
      </c>
      <c r="CS762" s="10" t="s">
        <v>3021</v>
      </c>
    </row>
    <row r="763" spans="1:98">
      <c r="B763" t="s">
        <v>3017</v>
      </c>
      <c r="C763" s="2" t="s">
        <v>1612</v>
      </c>
      <c r="D763" s="15"/>
      <c r="F763" s="8" t="s">
        <v>65</v>
      </c>
      <c r="G763" s="1">
        <v>1</v>
      </c>
      <c r="H763" s="1"/>
      <c r="I763" s="1">
        <f>1803-23</f>
        <v>1780</v>
      </c>
      <c r="J763" t="s">
        <v>10</v>
      </c>
      <c r="K763" t="s">
        <v>197</v>
      </c>
      <c r="Q763">
        <v>5</v>
      </c>
      <c r="T763" s="5">
        <f>((Q763*316)+(R763*26.3)+(S763*2.2))/10</f>
        <v>158</v>
      </c>
      <c r="U763" t="s">
        <v>3018</v>
      </c>
      <c r="AH763" s="9"/>
      <c r="AI763" s="6">
        <v>1</v>
      </c>
      <c r="AJ763" s="6">
        <v>1</v>
      </c>
      <c r="AK763" s="6">
        <v>1</v>
      </c>
      <c r="AL763" s="6">
        <v>1</v>
      </c>
      <c r="BC763">
        <v>1804</v>
      </c>
      <c r="BD763" t="s">
        <v>81</v>
      </c>
      <c r="BE763" s="10" t="s">
        <v>1904</v>
      </c>
      <c r="BF763" s="1" t="s">
        <v>73</v>
      </c>
      <c r="BG763" s="1">
        <v>3</v>
      </c>
      <c r="BH763">
        <v>2</v>
      </c>
      <c r="BK763" s="1">
        <v>1</v>
      </c>
      <c r="BQ763">
        <v>1</v>
      </c>
      <c r="CL763" s="10">
        <v>1</v>
      </c>
      <c r="CN763">
        <v>1</v>
      </c>
      <c r="CP763">
        <v>1</v>
      </c>
      <c r="CS763" s="10" t="s">
        <v>592</v>
      </c>
    </row>
    <row r="764" spans="1:98">
      <c r="A764" t="s">
        <v>72</v>
      </c>
      <c r="B764" t="s">
        <v>4518</v>
      </c>
      <c r="C764" s="15"/>
      <c r="D764" s="15"/>
      <c r="F764" t="s">
        <v>7</v>
      </c>
      <c r="G764" s="1"/>
      <c r="H764" s="1"/>
      <c r="I764" s="1"/>
      <c r="T764" s="5"/>
      <c r="U764" s="9" t="s">
        <v>4500</v>
      </c>
      <c r="AH764" s="19"/>
      <c r="AI764" s="7">
        <v>1</v>
      </c>
      <c r="BC764" t="s">
        <v>4519</v>
      </c>
      <c r="BD764" s="7" t="s">
        <v>959</v>
      </c>
      <c r="BE764" s="7" t="s">
        <v>1558</v>
      </c>
      <c r="BF764" s="1" t="s">
        <v>29</v>
      </c>
      <c r="BG764" s="1">
        <v>1</v>
      </c>
      <c r="BH764">
        <v>2</v>
      </c>
      <c r="BK764" s="1"/>
      <c r="BQ764">
        <v>1</v>
      </c>
      <c r="CB764" s="7">
        <v>1</v>
      </c>
      <c r="CS764" s="7" t="s">
        <v>4520</v>
      </c>
    </row>
    <row r="765" spans="1:98">
      <c r="A765" t="s">
        <v>72</v>
      </c>
      <c r="B765" t="s">
        <v>4512</v>
      </c>
      <c r="C765" s="15"/>
      <c r="D765" s="15"/>
      <c r="F765" t="s">
        <v>7</v>
      </c>
      <c r="G765" s="1"/>
      <c r="H765" s="1"/>
      <c r="I765" s="1"/>
      <c r="T765" s="5"/>
      <c r="U765" s="9" t="s">
        <v>4500</v>
      </c>
      <c r="AI765" s="9">
        <v>1</v>
      </c>
      <c r="AJ765" s="6">
        <v>1</v>
      </c>
      <c r="BC765">
        <v>1802</v>
      </c>
      <c r="BD765" t="s">
        <v>81</v>
      </c>
      <c r="BE765" s="10" t="s">
        <v>712</v>
      </c>
      <c r="BF765" s="1" t="s">
        <v>73</v>
      </c>
      <c r="BG765" s="1">
        <v>1</v>
      </c>
      <c r="BH765">
        <v>2</v>
      </c>
      <c r="BK765" s="1"/>
      <c r="BQ765">
        <v>1</v>
      </c>
      <c r="CL765" s="10">
        <v>1</v>
      </c>
      <c r="CM765">
        <v>1</v>
      </c>
      <c r="CS765" s="10" t="s">
        <v>4513</v>
      </c>
    </row>
    <row r="766" spans="1:98">
      <c r="A766" t="s">
        <v>72</v>
      </c>
      <c r="B766" t="s">
        <v>4505</v>
      </c>
      <c r="C766" s="15"/>
      <c r="D766" s="15"/>
      <c r="F766" t="s">
        <v>7</v>
      </c>
      <c r="G766" s="1"/>
      <c r="H766" s="1"/>
      <c r="I766" s="1"/>
      <c r="T766" s="5"/>
      <c r="U766" s="9" t="s">
        <v>4500</v>
      </c>
      <c r="AH766" s="19"/>
      <c r="AI766" s="7">
        <v>1</v>
      </c>
      <c r="BC766" t="s">
        <v>4506</v>
      </c>
      <c r="BD766" s="7" t="s">
        <v>959</v>
      </c>
      <c r="BE766" s="7" t="s">
        <v>1558</v>
      </c>
      <c r="BF766" s="1" t="s">
        <v>29</v>
      </c>
      <c r="BG766" s="1">
        <v>1</v>
      </c>
      <c r="BH766">
        <v>2</v>
      </c>
      <c r="BK766" s="1"/>
      <c r="BQ766">
        <v>1</v>
      </c>
      <c r="CB766" s="7">
        <v>1</v>
      </c>
      <c r="CM766">
        <v>1</v>
      </c>
      <c r="CS766" s="7" t="s">
        <v>4507</v>
      </c>
    </row>
    <row r="767" spans="1:98">
      <c r="A767" t="s">
        <v>72</v>
      </c>
      <c r="B767" t="s">
        <v>3495</v>
      </c>
      <c r="C767" s="15"/>
      <c r="D767" s="15"/>
      <c r="F767" t="s">
        <v>7</v>
      </c>
      <c r="G767" s="1"/>
      <c r="H767" s="1"/>
      <c r="I767" s="1"/>
      <c r="T767" s="5"/>
      <c r="U767" s="9" t="s">
        <v>4500</v>
      </c>
      <c r="AH767" s="31"/>
      <c r="AI767" s="9">
        <v>1</v>
      </c>
      <c r="AJ767" s="6">
        <v>1</v>
      </c>
      <c r="BC767">
        <v>1802</v>
      </c>
      <c r="BD767" t="s">
        <v>81</v>
      </c>
      <c r="BE767" s="10" t="s">
        <v>712</v>
      </c>
      <c r="BF767" s="1" t="s">
        <v>73</v>
      </c>
      <c r="BG767" s="1">
        <v>1</v>
      </c>
      <c r="BH767">
        <v>2</v>
      </c>
      <c r="BK767" s="1"/>
      <c r="BQ767">
        <v>1</v>
      </c>
      <c r="CL767" s="10">
        <v>1</v>
      </c>
      <c r="CM767">
        <v>1</v>
      </c>
      <c r="CS767" s="10" t="s">
        <v>2782</v>
      </c>
    </row>
    <row r="768" spans="1:98">
      <c r="A768" t="s">
        <v>72</v>
      </c>
      <c r="B768" t="s">
        <v>4521</v>
      </c>
      <c r="C768" s="15"/>
      <c r="D768" s="15"/>
      <c r="F768" t="s">
        <v>7</v>
      </c>
      <c r="G768" s="1"/>
      <c r="H768" s="1"/>
      <c r="I768" s="1"/>
      <c r="T768" s="5"/>
      <c r="U768" s="9" t="s">
        <v>4500</v>
      </c>
      <c r="AH768" s="31"/>
      <c r="AI768" s="9">
        <v>1</v>
      </c>
      <c r="AJ768" s="6">
        <v>1</v>
      </c>
      <c r="BC768">
        <v>1802</v>
      </c>
      <c r="BD768" t="s">
        <v>81</v>
      </c>
      <c r="BE768" s="10" t="s">
        <v>712</v>
      </c>
      <c r="BF768" s="1" t="s">
        <v>73</v>
      </c>
      <c r="BG768" s="1">
        <v>1</v>
      </c>
      <c r="BH768">
        <v>2</v>
      </c>
      <c r="BK768" s="1"/>
      <c r="BQ768">
        <v>1</v>
      </c>
      <c r="CL768" s="10">
        <v>1</v>
      </c>
      <c r="CS768" s="10" t="s">
        <v>2782</v>
      </c>
    </row>
    <row r="769" spans="1:97">
      <c r="A769" t="s">
        <v>72</v>
      </c>
      <c r="B769" t="s">
        <v>4517</v>
      </c>
      <c r="C769" s="15"/>
      <c r="D769" s="15"/>
      <c r="F769" t="s">
        <v>7</v>
      </c>
      <c r="G769" s="1"/>
      <c r="H769" s="1"/>
      <c r="I769" s="1"/>
      <c r="T769" s="5"/>
      <c r="U769" s="9" t="s">
        <v>4500</v>
      </c>
      <c r="AH769" s="31"/>
      <c r="AI769" s="9">
        <v>1</v>
      </c>
      <c r="AJ769" s="6">
        <v>1</v>
      </c>
      <c r="BC769">
        <v>1802</v>
      </c>
      <c r="BD769" t="s">
        <v>81</v>
      </c>
      <c r="BE769" s="10" t="s">
        <v>712</v>
      </c>
      <c r="BF769" s="1" t="s">
        <v>73</v>
      </c>
      <c r="BG769" s="1">
        <v>1</v>
      </c>
      <c r="BH769">
        <v>2</v>
      </c>
      <c r="BK769" s="1"/>
      <c r="BQ769">
        <v>1</v>
      </c>
      <c r="CL769" s="10">
        <v>1</v>
      </c>
      <c r="CS769" s="10" t="s">
        <v>2782</v>
      </c>
    </row>
    <row r="770" spans="1:97">
      <c r="A770" t="s">
        <v>72</v>
      </c>
      <c r="B770" t="s">
        <v>4516</v>
      </c>
      <c r="C770" s="15"/>
      <c r="D770" s="15"/>
      <c r="F770" t="s">
        <v>7</v>
      </c>
      <c r="G770" s="1"/>
      <c r="H770" s="1"/>
      <c r="I770" s="1"/>
      <c r="T770" s="5"/>
      <c r="U770" s="9" t="s">
        <v>4500</v>
      </c>
      <c r="AH770" s="31"/>
      <c r="AI770" s="9">
        <v>1</v>
      </c>
      <c r="AJ770" s="6">
        <v>1</v>
      </c>
      <c r="BC770">
        <v>1802</v>
      </c>
      <c r="BD770" t="s">
        <v>81</v>
      </c>
      <c r="BE770" s="10" t="s">
        <v>712</v>
      </c>
      <c r="BF770" s="1" t="s">
        <v>73</v>
      </c>
      <c r="BG770" s="1">
        <v>1</v>
      </c>
      <c r="BH770">
        <v>2</v>
      </c>
      <c r="BK770" s="1"/>
      <c r="BQ770">
        <v>1</v>
      </c>
      <c r="CL770" s="10">
        <v>1</v>
      </c>
      <c r="CS770" s="10" t="s">
        <v>2782</v>
      </c>
    </row>
    <row r="771" spans="1:97">
      <c r="A771" t="s">
        <v>72</v>
      </c>
      <c r="B771" t="s">
        <v>4514</v>
      </c>
      <c r="C771" s="15"/>
      <c r="D771" s="15"/>
      <c r="F771" t="s">
        <v>7</v>
      </c>
      <c r="G771" s="1"/>
      <c r="H771" s="1"/>
      <c r="I771" s="1"/>
      <c r="T771" s="5"/>
      <c r="U771" s="9" t="s">
        <v>4500</v>
      </c>
      <c r="AH771" s="31"/>
      <c r="AI771" s="9">
        <v>1</v>
      </c>
      <c r="AJ771" s="7">
        <v>1</v>
      </c>
      <c r="BC771" t="s">
        <v>4515</v>
      </c>
      <c r="BD771" s="7" t="s">
        <v>103</v>
      </c>
      <c r="BE771" t="s">
        <v>712</v>
      </c>
      <c r="BF771" s="1" t="s">
        <v>29</v>
      </c>
      <c r="BG771" s="1">
        <v>1</v>
      </c>
      <c r="BH771">
        <v>1</v>
      </c>
      <c r="BK771" s="1"/>
      <c r="BQ771">
        <v>1</v>
      </c>
      <c r="CS771" s="7" t="s">
        <v>1066</v>
      </c>
    </row>
    <row r="772" spans="1:97">
      <c r="A772" t="s">
        <v>72</v>
      </c>
      <c r="B772" t="s">
        <v>4510</v>
      </c>
      <c r="C772" s="15"/>
      <c r="D772" s="15"/>
      <c r="F772" t="s">
        <v>7</v>
      </c>
      <c r="G772" s="1"/>
      <c r="H772" s="1"/>
      <c r="I772" s="1"/>
      <c r="T772" s="5"/>
      <c r="U772" s="9" t="s">
        <v>4500</v>
      </c>
      <c r="AH772" s="19"/>
      <c r="AI772" s="7">
        <v>1</v>
      </c>
      <c r="BC772" t="s">
        <v>2651</v>
      </c>
      <c r="BD772" s="7" t="s">
        <v>959</v>
      </c>
      <c r="BE772" s="7" t="s">
        <v>1558</v>
      </c>
      <c r="BF772" s="1" t="s">
        <v>29</v>
      </c>
      <c r="BG772" s="1">
        <v>1</v>
      </c>
      <c r="BH772">
        <v>2</v>
      </c>
      <c r="BK772" s="1"/>
      <c r="BQ772">
        <v>1</v>
      </c>
      <c r="CB772" s="7">
        <v>1</v>
      </c>
      <c r="CF772">
        <v>1</v>
      </c>
      <c r="CM772">
        <v>1</v>
      </c>
      <c r="CS772" s="7" t="s">
        <v>4511</v>
      </c>
    </row>
    <row r="773" spans="1:97">
      <c r="A773" t="s">
        <v>72</v>
      </c>
      <c r="B773" t="s">
        <v>4508</v>
      </c>
      <c r="C773" s="15"/>
      <c r="D773" s="15"/>
      <c r="F773" t="s">
        <v>7</v>
      </c>
      <c r="G773" s="1"/>
      <c r="H773" s="1"/>
      <c r="I773" s="1"/>
      <c r="T773" s="5"/>
      <c r="U773" s="9" t="s">
        <v>4500</v>
      </c>
      <c r="AH773" s="19"/>
      <c r="AI773" s="7">
        <v>1</v>
      </c>
      <c r="BC773" t="s">
        <v>4509</v>
      </c>
      <c r="BD773" s="7" t="s">
        <v>109</v>
      </c>
      <c r="BE773" t="s">
        <v>712</v>
      </c>
      <c r="BF773" s="1" t="s">
        <v>29</v>
      </c>
      <c r="BG773" s="1">
        <v>2</v>
      </c>
      <c r="BH773">
        <v>1</v>
      </c>
      <c r="BK773" s="1"/>
      <c r="BQ773">
        <v>1</v>
      </c>
      <c r="CS773" s="7" t="s">
        <v>1086</v>
      </c>
    </row>
    <row r="774" spans="1:97">
      <c r="A774" t="s">
        <v>72</v>
      </c>
      <c r="B774" t="s">
        <v>1729</v>
      </c>
      <c r="C774" s="15"/>
      <c r="D774" s="15"/>
      <c r="F774" t="s">
        <v>7</v>
      </c>
      <c r="G774" s="1"/>
      <c r="H774" s="1"/>
      <c r="I774" s="1"/>
      <c r="T774" s="5"/>
      <c r="U774" t="s">
        <v>1714</v>
      </c>
      <c r="AI774" s="7">
        <v>1</v>
      </c>
      <c r="BC774" t="s">
        <v>1730</v>
      </c>
      <c r="BD774" s="7" t="s">
        <v>26</v>
      </c>
      <c r="BE774" t="s">
        <v>125</v>
      </c>
      <c r="BF774" s="1" t="s">
        <v>29</v>
      </c>
      <c r="BG774" s="1">
        <v>1</v>
      </c>
      <c r="BH774">
        <v>1</v>
      </c>
      <c r="BK774" s="1">
        <v>1</v>
      </c>
      <c r="BQ774">
        <v>1</v>
      </c>
      <c r="CS774" s="7" t="s">
        <v>1731</v>
      </c>
    </row>
    <row r="775" spans="1:97">
      <c r="B775" t="s">
        <v>2899</v>
      </c>
      <c r="C775" s="2" t="s">
        <v>2775</v>
      </c>
      <c r="D775" s="2" t="s">
        <v>2775</v>
      </c>
      <c r="E775" s="8" t="s">
        <v>238</v>
      </c>
      <c r="F775" s="8" t="s">
        <v>65</v>
      </c>
      <c r="G775" s="1">
        <v>1</v>
      </c>
      <c r="H775" s="1"/>
      <c r="I775" s="1">
        <f>1807-32</f>
        <v>1775</v>
      </c>
      <c r="J775" t="s">
        <v>10</v>
      </c>
      <c r="K775" t="s">
        <v>972</v>
      </c>
      <c r="Q775">
        <v>5</v>
      </c>
      <c r="R775">
        <v>3</v>
      </c>
      <c r="T775" s="5">
        <f t="shared" ref="T775" si="39">((Q775*316)+(R775*26.3)+(S775*2.2))/10</f>
        <v>165.89000000000001</v>
      </c>
      <c r="U775" t="s">
        <v>1714</v>
      </c>
      <c r="AI775" s="6">
        <v>1</v>
      </c>
      <c r="AJ775" s="6">
        <v>1</v>
      </c>
      <c r="AK775" s="6">
        <v>1</v>
      </c>
      <c r="AL775" s="6">
        <v>1</v>
      </c>
      <c r="AM775" s="6">
        <v>1</v>
      </c>
      <c r="AN775" s="6">
        <v>1</v>
      </c>
      <c r="AO775" s="6">
        <v>1</v>
      </c>
      <c r="AP775" s="6">
        <v>1</v>
      </c>
      <c r="AQ775" s="6">
        <v>1</v>
      </c>
      <c r="AR775" s="6">
        <v>1</v>
      </c>
      <c r="AS775" s="6">
        <v>1</v>
      </c>
      <c r="BC775">
        <v>1811</v>
      </c>
      <c r="BD775" t="s">
        <v>81</v>
      </c>
      <c r="BE775" t="s">
        <v>118</v>
      </c>
      <c r="BF775" s="1" t="s">
        <v>73</v>
      </c>
      <c r="BG775" s="1">
        <v>8</v>
      </c>
      <c r="BH775">
        <v>2</v>
      </c>
      <c r="BK775" s="1">
        <v>1</v>
      </c>
      <c r="BQ775">
        <v>1</v>
      </c>
      <c r="CL775">
        <v>1</v>
      </c>
      <c r="CS775" t="s">
        <v>2900</v>
      </c>
    </row>
    <row r="776" spans="1:97">
      <c r="A776" t="s">
        <v>72</v>
      </c>
      <c r="B776" t="s">
        <v>1713</v>
      </c>
      <c r="C776" s="15"/>
      <c r="D776" s="15"/>
      <c r="F776" t="s">
        <v>7</v>
      </c>
      <c r="G776" s="1"/>
      <c r="H776" s="1"/>
      <c r="I776" s="1"/>
      <c r="T776" s="5"/>
      <c r="U776" t="s">
        <v>1714</v>
      </c>
      <c r="AI776" s="7">
        <v>1</v>
      </c>
      <c r="BC776" t="s">
        <v>324</v>
      </c>
      <c r="BD776" s="7" t="s">
        <v>109</v>
      </c>
      <c r="BE776" t="s">
        <v>125</v>
      </c>
      <c r="BF776" s="1" t="s">
        <v>29</v>
      </c>
      <c r="BG776" s="1">
        <v>1</v>
      </c>
      <c r="BH776">
        <v>1</v>
      </c>
      <c r="BK776" s="1">
        <v>1</v>
      </c>
      <c r="BQ776">
        <v>1</v>
      </c>
      <c r="CS776" s="7" t="s">
        <v>1672</v>
      </c>
    </row>
    <row r="777" spans="1:97">
      <c r="B777" t="s">
        <v>2771</v>
      </c>
      <c r="C777" s="2" t="s">
        <v>2772</v>
      </c>
      <c r="D777" s="2" t="s">
        <v>2294</v>
      </c>
      <c r="E777" s="8" t="s">
        <v>1442</v>
      </c>
      <c r="F777" s="8" t="s">
        <v>65</v>
      </c>
      <c r="G777" s="1">
        <v>1</v>
      </c>
      <c r="H777" s="1"/>
      <c r="I777" s="1">
        <f>1802-24</f>
        <v>1778</v>
      </c>
      <c r="J777" t="s">
        <v>69</v>
      </c>
      <c r="K777" t="s">
        <v>12</v>
      </c>
      <c r="N777">
        <v>1</v>
      </c>
      <c r="Q777">
        <v>5</v>
      </c>
      <c r="T777" s="5">
        <f t="shared" ref="T777:T815" si="40">((Q777*316)+(R777*26.3)+(S777*2.2))/10</f>
        <v>158</v>
      </c>
      <c r="U777" t="s">
        <v>1714</v>
      </c>
      <c r="AI777" s="6">
        <v>1</v>
      </c>
      <c r="AJ777" s="7">
        <v>1</v>
      </c>
      <c r="BC777" t="s">
        <v>2773</v>
      </c>
      <c r="BD777" s="7" t="s">
        <v>280</v>
      </c>
      <c r="BE777" t="s">
        <v>2005</v>
      </c>
      <c r="BF777" s="1" t="s">
        <v>29</v>
      </c>
      <c r="BG777" s="1">
        <v>2</v>
      </c>
      <c r="BH777">
        <v>2</v>
      </c>
      <c r="BK777" s="1">
        <v>1</v>
      </c>
      <c r="BQ777">
        <v>1</v>
      </c>
      <c r="CL777">
        <v>1</v>
      </c>
      <c r="CN777">
        <v>1</v>
      </c>
      <c r="CS777" s="7" t="s">
        <v>2748</v>
      </c>
    </row>
    <row r="778" spans="1:97">
      <c r="B778" t="s">
        <v>1426</v>
      </c>
      <c r="C778" s="2" t="s">
        <v>1427</v>
      </c>
      <c r="D778" s="15"/>
      <c r="F778" s="8" t="s">
        <v>65</v>
      </c>
      <c r="G778" s="1">
        <v>1</v>
      </c>
      <c r="H778" s="1"/>
      <c r="I778" s="1">
        <f>1802-18</f>
        <v>1784</v>
      </c>
      <c r="J778" t="s">
        <v>69</v>
      </c>
      <c r="K778" t="s">
        <v>12</v>
      </c>
      <c r="N778">
        <v>1</v>
      </c>
      <c r="Q778">
        <v>5</v>
      </c>
      <c r="R778">
        <v>2</v>
      </c>
      <c r="S778">
        <v>1</v>
      </c>
      <c r="T778" s="5">
        <f t="shared" si="40"/>
        <v>163.47999999999999</v>
      </c>
      <c r="U778" t="s">
        <v>144</v>
      </c>
      <c r="AI778" s="6">
        <v>1</v>
      </c>
      <c r="AJ778" s="7">
        <v>1</v>
      </c>
      <c r="BC778" t="s">
        <v>1428</v>
      </c>
      <c r="BD778" s="7" t="s">
        <v>280</v>
      </c>
      <c r="BE778" t="s">
        <v>125</v>
      </c>
      <c r="BF778" s="1" t="s">
        <v>29</v>
      </c>
      <c r="BG778" s="1">
        <v>3</v>
      </c>
      <c r="BH778">
        <v>1</v>
      </c>
      <c r="BK778" s="1">
        <v>1</v>
      </c>
      <c r="BQ778">
        <v>1</v>
      </c>
      <c r="CN778">
        <v>1</v>
      </c>
      <c r="CS778" s="7" t="s">
        <v>1429</v>
      </c>
    </row>
    <row r="779" spans="1:97">
      <c r="A779" t="s">
        <v>72</v>
      </c>
      <c r="B779" t="s">
        <v>143</v>
      </c>
      <c r="C779" s="15" t="s">
        <v>145</v>
      </c>
      <c r="D779" s="15"/>
      <c r="E779" s="8" t="s">
        <v>146</v>
      </c>
      <c r="F779" s="8" t="s">
        <v>65</v>
      </c>
      <c r="G779" s="1">
        <v>1</v>
      </c>
      <c r="H779" s="1"/>
      <c r="I779" s="1">
        <f>1806-23</f>
        <v>1783</v>
      </c>
      <c r="J779" t="s">
        <v>10</v>
      </c>
      <c r="K779" t="s">
        <v>12</v>
      </c>
      <c r="Q779">
        <v>5</v>
      </c>
      <c r="R779">
        <v>3</v>
      </c>
      <c r="T779" s="5">
        <f t="shared" si="40"/>
        <v>165.89000000000001</v>
      </c>
      <c r="U779" t="s">
        <v>144</v>
      </c>
      <c r="AI779" s="6">
        <v>1</v>
      </c>
      <c r="AJ779" s="6">
        <v>1</v>
      </c>
      <c r="AK779" s="6">
        <v>1</v>
      </c>
      <c r="AL779" s="6">
        <v>1</v>
      </c>
      <c r="AM779" s="6">
        <v>1</v>
      </c>
      <c r="AN779" s="6">
        <v>1</v>
      </c>
      <c r="AO779" s="6">
        <v>1</v>
      </c>
      <c r="AP779" s="6">
        <v>1</v>
      </c>
      <c r="AQ779" s="6">
        <v>1</v>
      </c>
      <c r="AR779" s="6">
        <v>1</v>
      </c>
      <c r="AS779" s="6">
        <v>1</v>
      </c>
      <c r="AT779" s="6">
        <v>1</v>
      </c>
      <c r="AU779" s="6">
        <v>1</v>
      </c>
      <c r="AV779" s="6">
        <v>1</v>
      </c>
      <c r="AW779" s="6">
        <v>1</v>
      </c>
      <c r="AX779" s="6">
        <v>1</v>
      </c>
      <c r="AY779" s="6">
        <v>1</v>
      </c>
      <c r="AZ779" s="6">
        <v>1</v>
      </c>
      <c r="BA779" s="6">
        <v>1</v>
      </c>
      <c r="BB779" s="6">
        <v>1</v>
      </c>
      <c r="BC779">
        <v>1820</v>
      </c>
      <c r="BD779" t="s">
        <v>81</v>
      </c>
      <c r="BE779" t="s">
        <v>1506</v>
      </c>
      <c r="BF779" s="1" t="s">
        <v>73</v>
      </c>
      <c r="BG779" s="1">
        <v>18</v>
      </c>
      <c r="BH779">
        <v>3</v>
      </c>
      <c r="BK779">
        <v>1</v>
      </c>
      <c r="BP779">
        <v>1</v>
      </c>
      <c r="BQ779">
        <v>1</v>
      </c>
      <c r="BV779">
        <v>1</v>
      </c>
      <c r="CF779">
        <v>1</v>
      </c>
      <c r="CL779">
        <v>1</v>
      </c>
      <c r="CR779" t="s">
        <v>72</v>
      </c>
      <c r="CS779" t="s">
        <v>1507</v>
      </c>
    </row>
    <row r="780" spans="1:97">
      <c r="B780" t="s">
        <v>1483</v>
      </c>
      <c r="C780" s="13" t="s">
        <v>1484</v>
      </c>
      <c r="D780" s="15"/>
      <c r="F780" s="8" t="s">
        <v>65</v>
      </c>
      <c r="G780" s="1">
        <v>1</v>
      </c>
      <c r="H780" s="1"/>
      <c r="I780" s="1">
        <f>1804-26</f>
        <v>1778</v>
      </c>
      <c r="J780" t="s">
        <v>10</v>
      </c>
      <c r="K780" t="s">
        <v>12</v>
      </c>
      <c r="Q780">
        <v>5</v>
      </c>
      <c r="R780">
        <v>0</v>
      </c>
      <c r="S780">
        <v>3</v>
      </c>
      <c r="T780" s="5">
        <f t="shared" si="40"/>
        <v>158.66</v>
      </c>
      <c r="U780" t="s">
        <v>144</v>
      </c>
      <c r="AI780" s="6">
        <v>1</v>
      </c>
      <c r="AJ780" s="6">
        <v>1</v>
      </c>
      <c r="AK780" s="6">
        <v>1</v>
      </c>
      <c r="AL780" s="6">
        <v>1</v>
      </c>
      <c r="AM780" s="6">
        <v>1</v>
      </c>
      <c r="AN780" s="7">
        <v>1</v>
      </c>
      <c r="BC780" t="s">
        <v>1472</v>
      </c>
      <c r="BD780" s="7" t="s">
        <v>109</v>
      </c>
      <c r="BE780" t="s">
        <v>62</v>
      </c>
      <c r="BF780" s="1" t="s">
        <v>29</v>
      </c>
      <c r="BG780" s="1">
        <v>6</v>
      </c>
      <c r="BH780">
        <v>2</v>
      </c>
      <c r="BI780">
        <v>1</v>
      </c>
      <c r="BK780">
        <v>1</v>
      </c>
      <c r="BQ780">
        <v>1</v>
      </c>
      <c r="CL780">
        <v>1</v>
      </c>
      <c r="CS780" s="7" t="s">
        <v>1473</v>
      </c>
    </row>
    <row r="781" spans="1:97">
      <c r="B781" t="s">
        <v>229</v>
      </c>
      <c r="C781" s="15" t="s">
        <v>230</v>
      </c>
      <c r="D781" s="15"/>
      <c r="F781" s="8" t="s">
        <v>65</v>
      </c>
      <c r="G781" s="1">
        <v>1</v>
      </c>
      <c r="H781" s="1"/>
      <c r="I781" s="1">
        <f>1802-26</f>
        <v>1776</v>
      </c>
      <c r="J781" t="s">
        <v>10</v>
      </c>
      <c r="K781" t="s">
        <v>12</v>
      </c>
      <c r="Q781">
        <v>5</v>
      </c>
      <c r="R781">
        <v>0</v>
      </c>
      <c r="S781">
        <v>3</v>
      </c>
      <c r="T781" s="5">
        <f t="shared" si="40"/>
        <v>158.66</v>
      </c>
      <c r="U781" t="s">
        <v>144</v>
      </c>
      <c r="AI781" s="6">
        <v>1</v>
      </c>
      <c r="AJ781" s="6">
        <v>1</v>
      </c>
      <c r="AK781" s="6">
        <v>1</v>
      </c>
      <c r="AL781" s="6">
        <v>1</v>
      </c>
      <c r="AM781" s="6">
        <v>1</v>
      </c>
      <c r="AN781" s="7">
        <v>1</v>
      </c>
      <c r="BC781" t="s">
        <v>198</v>
      </c>
      <c r="BD781" s="7" t="s">
        <v>109</v>
      </c>
      <c r="BE781" t="s">
        <v>125</v>
      </c>
      <c r="BF781" s="1" t="s">
        <v>29</v>
      </c>
      <c r="BG781" s="1">
        <v>9</v>
      </c>
      <c r="BH781">
        <v>1</v>
      </c>
      <c r="BK781" s="1">
        <v>1</v>
      </c>
      <c r="BQ781">
        <v>1</v>
      </c>
      <c r="CR781" t="s">
        <v>72</v>
      </c>
      <c r="CS781" s="7" t="s">
        <v>354</v>
      </c>
    </row>
    <row r="782" spans="1:97">
      <c r="B782" t="s">
        <v>207</v>
      </c>
      <c r="C782" s="15" t="s">
        <v>208</v>
      </c>
      <c r="D782" s="15"/>
      <c r="F782" s="8" t="s">
        <v>65</v>
      </c>
      <c r="G782" s="1">
        <v>1</v>
      </c>
      <c r="H782" s="1"/>
      <c r="I782" s="1">
        <f>1802-31</f>
        <v>1771</v>
      </c>
      <c r="J782" t="s">
        <v>69</v>
      </c>
      <c r="K782" t="s">
        <v>209</v>
      </c>
      <c r="N782">
        <v>1</v>
      </c>
      <c r="Q782">
        <v>5</v>
      </c>
      <c r="R782">
        <v>3</v>
      </c>
      <c r="S782">
        <v>2</v>
      </c>
      <c r="T782" s="5">
        <f t="shared" si="40"/>
        <v>166.33</v>
      </c>
      <c r="U782" t="s">
        <v>144</v>
      </c>
      <c r="AI782" s="6">
        <v>1</v>
      </c>
      <c r="AJ782" s="6">
        <v>1</v>
      </c>
      <c r="AK782" s="6">
        <v>1</v>
      </c>
      <c r="AL782" s="6">
        <v>1</v>
      </c>
      <c r="AM782" s="6">
        <v>1</v>
      </c>
      <c r="AN782" s="7">
        <v>1</v>
      </c>
      <c r="BC782" t="s">
        <v>198</v>
      </c>
      <c r="BD782" s="7" t="s">
        <v>109</v>
      </c>
      <c r="BE782" t="s">
        <v>125</v>
      </c>
      <c r="BF782" s="1" t="s">
        <v>29</v>
      </c>
      <c r="BG782" s="1">
        <v>8</v>
      </c>
      <c r="BH782">
        <v>1</v>
      </c>
      <c r="BK782" s="1">
        <v>1</v>
      </c>
      <c r="BQ782">
        <v>1</v>
      </c>
      <c r="CS782" s="7" t="s">
        <v>354</v>
      </c>
    </row>
    <row r="783" spans="1:97">
      <c r="B783" t="s">
        <v>4001</v>
      </c>
      <c r="C783" s="2" t="s">
        <v>237</v>
      </c>
      <c r="D783" s="26" t="s">
        <v>3001</v>
      </c>
      <c r="E783" s="8" t="s">
        <v>238</v>
      </c>
      <c r="F783" s="8" t="s">
        <v>65</v>
      </c>
      <c r="G783" s="1">
        <v>1</v>
      </c>
      <c r="H783" s="1"/>
      <c r="I783" s="1">
        <f>1803-33</f>
        <v>1770</v>
      </c>
      <c r="J783" t="s">
        <v>69</v>
      </c>
      <c r="K783" t="s">
        <v>12</v>
      </c>
      <c r="N783">
        <v>1</v>
      </c>
      <c r="Q783">
        <v>5</v>
      </c>
      <c r="R783">
        <v>3</v>
      </c>
      <c r="T783" s="5">
        <f t="shared" si="40"/>
        <v>165.89000000000001</v>
      </c>
      <c r="U783" t="s">
        <v>144</v>
      </c>
      <c r="AI783" s="6">
        <v>1</v>
      </c>
      <c r="AJ783" s="6">
        <v>1</v>
      </c>
      <c r="AK783" s="6">
        <v>1</v>
      </c>
      <c r="AL783" s="6">
        <v>1</v>
      </c>
      <c r="AM783" s="7">
        <v>1</v>
      </c>
      <c r="BC783" t="s">
        <v>1329</v>
      </c>
      <c r="BD783" s="7" t="s">
        <v>280</v>
      </c>
      <c r="BE783" t="s">
        <v>2635</v>
      </c>
      <c r="BF783" s="1" t="s">
        <v>29</v>
      </c>
      <c r="BG783" s="1">
        <v>2</v>
      </c>
      <c r="BH783">
        <v>1</v>
      </c>
      <c r="BK783" s="1">
        <v>1</v>
      </c>
      <c r="BQ783">
        <v>1</v>
      </c>
      <c r="CG783">
        <v>1</v>
      </c>
      <c r="CN783">
        <v>1</v>
      </c>
      <c r="CS783" s="7" t="s">
        <v>947</v>
      </c>
    </row>
    <row r="784" spans="1:97">
      <c r="B784" t="s">
        <v>1499</v>
      </c>
      <c r="C784" s="2" t="s">
        <v>1500</v>
      </c>
      <c r="D784" s="2" t="s">
        <v>1500</v>
      </c>
      <c r="E784" s="8" t="s">
        <v>238</v>
      </c>
      <c r="F784" s="8" t="s">
        <v>65</v>
      </c>
      <c r="G784" s="1">
        <v>1</v>
      </c>
      <c r="H784" s="1"/>
      <c r="I784" s="1">
        <f>1803-32</f>
        <v>1771</v>
      </c>
      <c r="J784" t="s">
        <v>10</v>
      </c>
      <c r="K784" t="s">
        <v>12</v>
      </c>
      <c r="Q784">
        <v>4</v>
      </c>
      <c r="R784">
        <v>10</v>
      </c>
      <c r="T784" s="5">
        <f t="shared" si="40"/>
        <v>152.69999999999999</v>
      </c>
      <c r="U784" t="s">
        <v>736</v>
      </c>
      <c r="AI784" s="6">
        <v>1</v>
      </c>
      <c r="AJ784" s="6">
        <v>1</v>
      </c>
      <c r="AK784" s="6">
        <v>1</v>
      </c>
      <c r="AL784" s="6">
        <v>1</v>
      </c>
      <c r="AM784" s="6">
        <v>1</v>
      </c>
      <c r="AN784" s="6">
        <v>1</v>
      </c>
      <c r="AO784" s="6">
        <v>1</v>
      </c>
      <c r="AP784" s="7">
        <v>1</v>
      </c>
      <c r="BC784" s="53" t="s">
        <v>3473</v>
      </c>
      <c r="BD784" s="7" t="s">
        <v>280</v>
      </c>
      <c r="BE784" t="s">
        <v>1502</v>
      </c>
      <c r="BF784" s="1" t="s">
        <v>29</v>
      </c>
      <c r="BG784" s="1">
        <v>4</v>
      </c>
      <c r="BH784">
        <v>2</v>
      </c>
      <c r="BK784" s="1">
        <v>1</v>
      </c>
      <c r="BQ784">
        <v>1</v>
      </c>
      <c r="CL784">
        <v>1</v>
      </c>
      <c r="CN784">
        <v>1</v>
      </c>
      <c r="CS784" s="7" t="s">
        <v>354</v>
      </c>
    </row>
    <row r="785" spans="2:98">
      <c r="B785" t="s">
        <v>1327</v>
      </c>
      <c r="C785" s="2" t="s">
        <v>1328</v>
      </c>
      <c r="D785" s="15"/>
      <c r="F785" s="8" t="s">
        <v>65</v>
      </c>
      <c r="G785" s="1">
        <v>1</v>
      </c>
      <c r="H785" s="1"/>
      <c r="I785" s="1">
        <f>1802-21</f>
        <v>1781</v>
      </c>
      <c r="J785" t="s">
        <v>69</v>
      </c>
      <c r="K785" t="s">
        <v>972</v>
      </c>
      <c r="N785">
        <v>1</v>
      </c>
      <c r="Q785">
        <v>5</v>
      </c>
      <c r="R785">
        <v>6</v>
      </c>
      <c r="S785">
        <v>2</v>
      </c>
      <c r="T785" s="5">
        <f t="shared" si="40"/>
        <v>174.22</v>
      </c>
      <c r="U785" t="s">
        <v>736</v>
      </c>
      <c r="AI785" s="6">
        <v>1</v>
      </c>
      <c r="AJ785" s="6">
        <v>1</v>
      </c>
      <c r="AK785" s="6">
        <v>1</v>
      </c>
      <c r="AL785" s="6">
        <v>1</v>
      </c>
      <c r="AM785" s="7">
        <v>1</v>
      </c>
      <c r="BC785" t="s">
        <v>1329</v>
      </c>
      <c r="BD785" s="7" t="s">
        <v>280</v>
      </c>
      <c r="BE785" t="s">
        <v>125</v>
      </c>
      <c r="BF785" s="1" t="s">
        <v>29</v>
      </c>
      <c r="BG785" s="1">
        <v>9</v>
      </c>
      <c r="BH785">
        <v>1</v>
      </c>
      <c r="BK785" s="1">
        <v>1</v>
      </c>
      <c r="BQ785">
        <v>1</v>
      </c>
      <c r="CN785">
        <v>1</v>
      </c>
      <c r="CP785">
        <v>1</v>
      </c>
      <c r="CS785" s="7" t="s">
        <v>1330</v>
      </c>
    </row>
    <row r="786" spans="2:98">
      <c r="B786" t="s">
        <v>3993</v>
      </c>
      <c r="C786" s="2" t="s">
        <v>3994</v>
      </c>
      <c r="D786" s="15"/>
      <c r="E786" s="8" t="s">
        <v>238</v>
      </c>
      <c r="F786" s="8" t="s">
        <v>65</v>
      </c>
      <c r="G786" s="1">
        <v>1</v>
      </c>
      <c r="H786" s="1"/>
      <c r="I786" s="1">
        <f>1803-24</f>
        <v>1779</v>
      </c>
      <c r="J786" t="s">
        <v>10</v>
      </c>
      <c r="K786" t="s">
        <v>12</v>
      </c>
      <c r="Q786">
        <v>5</v>
      </c>
      <c r="R786">
        <v>2</v>
      </c>
      <c r="S786">
        <v>3</v>
      </c>
      <c r="T786" s="5">
        <f t="shared" si="40"/>
        <v>163.92</v>
      </c>
      <c r="U786" t="s">
        <v>736</v>
      </c>
      <c r="AI786" s="6">
        <v>1</v>
      </c>
      <c r="AJ786" s="6">
        <v>1</v>
      </c>
      <c r="AK786" s="6">
        <v>1</v>
      </c>
      <c r="AL786" s="6">
        <v>1</v>
      </c>
      <c r="AM786" s="7">
        <v>1</v>
      </c>
      <c r="BC786" t="s">
        <v>1329</v>
      </c>
      <c r="BD786" s="7" t="s">
        <v>280</v>
      </c>
      <c r="BE786" t="s">
        <v>2635</v>
      </c>
      <c r="BF786" s="1" t="s">
        <v>29</v>
      </c>
      <c r="BG786" s="1">
        <v>2</v>
      </c>
      <c r="BH786">
        <v>1</v>
      </c>
      <c r="BK786" s="1">
        <v>1</v>
      </c>
      <c r="BQ786">
        <v>1</v>
      </c>
      <c r="CN786">
        <v>1</v>
      </c>
      <c r="CS786" s="7" t="s">
        <v>947</v>
      </c>
    </row>
    <row r="787" spans="2:98">
      <c r="B787" t="s">
        <v>734</v>
      </c>
      <c r="C787" s="13" t="s">
        <v>735</v>
      </c>
      <c r="D787" s="15"/>
      <c r="F787" s="8" t="s">
        <v>65</v>
      </c>
      <c r="G787" s="1">
        <v>1</v>
      </c>
      <c r="H787" s="1"/>
      <c r="I787" s="1">
        <f>1802-19</f>
        <v>1783</v>
      </c>
      <c r="J787" t="s">
        <v>10</v>
      </c>
      <c r="K787" t="s">
        <v>12</v>
      </c>
      <c r="Q787">
        <v>5</v>
      </c>
      <c r="R787">
        <v>2</v>
      </c>
      <c r="S787">
        <v>1</v>
      </c>
      <c r="T787" s="5">
        <f t="shared" si="40"/>
        <v>163.47999999999999</v>
      </c>
      <c r="U787" t="s">
        <v>736</v>
      </c>
      <c r="AI787" s="6">
        <v>1</v>
      </c>
      <c r="AJ787" s="6">
        <v>1</v>
      </c>
      <c r="AK787" s="6">
        <v>1</v>
      </c>
      <c r="AL787" s="6">
        <v>1</v>
      </c>
      <c r="AM787" s="6">
        <v>1</v>
      </c>
      <c r="AN787" s="7">
        <v>1</v>
      </c>
      <c r="BC787" t="s">
        <v>198</v>
      </c>
      <c r="BD787" s="7" t="s">
        <v>109</v>
      </c>
      <c r="BE787" t="s">
        <v>125</v>
      </c>
      <c r="BF787" s="1" t="s">
        <v>29</v>
      </c>
      <c r="BG787" s="1">
        <v>7</v>
      </c>
      <c r="BH787">
        <v>1</v>
      </c>
      <c r="BK787" s="1">
        <v>1</v>
      </c>
      <c r="BQ787">
        <v>1</v>
      </c>
      <c r="CR787" t="s">
        <v>72</v>
      </c>
      <c r="CS787" s="7" t="s">
        <v>354</v>
      </c>
    </row>
    <row r="788" spans="2:98">
      <c r="B788" t="s">
        <v>4292</v>
      </c>
      <c r="C788" s="2" t="s">
        <v>3978</v>
      </c>
      <c r="D788" s="26" t="s">
        <v>4293</v>
      </c>
      <c r="E788" s="8" t="s">
        <v>238</v>
      </c>
      <c r="F788" s="8" t="s">
        <v>65</v>
      </c>
      <c r="G788" s="1">
        <v>1</v>
      </c>
      <c r="H788" s="1"/>
      <c r="I788" s="1">
        <f>1806-24</f>
        <v>1782</v>
      </c>
      <c r="J788" t="s">
        <v>10</v>
      </c>
      <c r="K788" t="s">
        <v>12</v>
      </c>
      <c r="Q788">
        <v>5</v>
      </c>
      <c r="R788">
        <v>3</v>
      </c>
      <c r="S788">
        <v>2</v>
      </c>
      <c r="T788" s="5">
        <f>((Q788*316)+(R788*26.3)+(S788*2.2))/10</f>
        <v>166.33</v>
      </c>
      <c r="U788" t="s">
        <v>736</v>
      </c>
      <c r="AI788" s="6">
        <v>1</v>
      </c>
      <c r="AJ788" s="6">
        <v>1</v>
      </c>
      <c r="AK788" s="6">
        <v>1</v>
      </c>
      <c r="AL788" s="6">
        <v>1</v>
      </c>
      <c r="AM788" s="6">
        <v>1</v>
      </c>
      <c r="AN788" s="6">
        <v>1</v>
      </c>
      <c r="AO788" s="6">
        <v>1</v>
      </c>
      <c r="AP788" s="6">
        <v>1</v>
      </c>
      <c r="AQ788" s="6">
        <v>1</v>
      </c>
      <c r="AR788" s="6">
        <v>1</v>
      </c>
      <c r="AS788" s="6">
        <v>1</v>
      </c>
      <c r="BC788">
        <v>1811</v>
      </c>
      <c r="BD788" t="s">
        <v>81</v>
      </c>
      <c r="BE788" t="s">
        <v>2635</v>
      </c>
      <c r="BF788" s="1" t="s">
        <v>73</v>
      </c>
      <c r="BG788" s="1">
        <v>4</v>
      </c>
      <c r="BH788">
        <v>1</v>
      </c>
      <c r="BK788" s="1">
        <v>1</v>
      </c>
      <c r="BQ788">
        <v>1</v>
      </c>
      <c r="CG788">
        <v>1</v>
      </c>
      <c r="CM788">
        <v>1</v>
      </c>
      <c r="CS788" t="s">
        <v>4399</v>
      </c>
    </row>
    <row r="789" spans="2:98">
      <c r="B789" t="s">
        <v>2850</v>
      </c>
      <c r="C789" s="2" t="s">
        <v>1953</v>
      </c>
      <c r="D789" s="2" t="s">
        <v>1953</v>
      </c>
      <c r="E789" s="8" t="s">
        <v>238</v>
      </c>
      <c r="F789" s="8" t="s">
        <v>65</v>
      </c>
      <c r="G789" s="1">
        <v>1</v>
      </c>
      <c r="H789" s="1"/>
      <c r="I789" s="1">
        <f>1804-32</f>
        <v>1772</v>
      </c>
      <c r="J789" t="s">
        <v>10</v>
      </c>
      <c r="K789" t="s">
        <v>197</v>
      </c>
      <c r="Q789">
        <v>5</v>
      </c>
      <c r="R789">
        <v>1</v>
      </c>
      <c r="T789" s="5">
        <f t="shared" si="40"/>
        <v>160.63</v>
      </c>
      <c r="U789" t="s">
        <v>736</v>
      </c>
      <c r="AI789" s="6">
        <v>1</v>
      </c>
      <c r="AJ789" s="6">
        <v>1</v>
      </c>
      <c r="AK789" s="6">
        <v>1</v>
      </c>
      <c r="AL789" s="6">
        <v>1</v>
      </c>
      <c r="AM789" s="6">
        <v>1</v>
      </c>
      <c r="AN789" s="7">
        <v>1</v>
      </c>
      <c r="BC789" t="s">
        <v>2830</v>
      </c>
      <c r="BD789" s="7" t="s">
        <v>109</v>
      </c>
      <c r="BE789" t="s">
        <v>2005</v>
      </c>
      <c r="BF789" s="1" t="s">
        <v>29</v>
      </c>
      <c r="BG789" s="1">
        <v>5</v>
      </c>
      <c r="BH789">
        <v>2</v>
      </c>
      <c r="BK789" s="1">
        <v>1</v>
      </c>
      <c r="BQ789">
        <v>1</v>
      </c>
      <c r="CL789">
        <v>1</v>
      </c>
      <c r="CS789" s="7" t="s">
        <v>354</v>
      </c>
    </row>
    <row r="790" spans="2:98">
      <c r="B790" t="s">
        <v>1338</v>
      </c>
      <c r="C790" s="2" t="s">
        <v>1339</v>
      </c>
      <c r="D790" s="15"/>
      <c r="F790" s="8" t="s">
        <v>65</v>
      </c>
      <c r="G790" s="1">
        <v>1</v>
      </c>
      <c r="H790" s="1"/>
      <c r="I790" s="1">
        <f>1802-31</f>
        <v>1771</v>
      </c>
      <c r="J790" t="s">
        <v>69</v>
      </c>
      <c r="K790" t="s">
        <v>900</v>
      </c>
      <c r="N790">
        <v>1</v>
      </c>
      <c r="Q790">
        <v>5</v>
      </c>
      <c r="R790">
        <v>3</v>
      </c>
      <c r="T790" s="5">
        <f t="shared" si="40"/>
        <v>165.89000000000001</v>
      </c>
      <c r="U790" t="s">
        <v>736</v>
      </c>
      <c r="AI790" s="6">
        <v>1</v>
      </c>
      <c r="AJ790" s="6">
        <v>1</v>
      </c>
      <c r="AK790" s="6">
        <v>1</v>
      </c>
      <c r="AL790" s="6">
        <v>1</v>
      </c>
      <c r="AM790" s="7">
        <v>1</v>
      </c>
      <c r="BC790" t="s">
        <v>1340</v>
      </c>
      <c r="BD790" s="7" t="s">
        <v>103</v>
      </c>
      <c r="BE790" t="s">
        <v>125</v>
      </c>
      <c r="BF790" s="1" t="s">
        <v>29</v>
      </c>
      <c r="BG790" s="1">
        <v>9</v>
      </c>
      <c r="BH790">
        <v>1</v>
      </c>
      <c r="BK790" s="1">
        <v>1</v>
      </c>
      <c r="BQ790">
        <v>1</v>
      </c>
      <c r="CS790" s="7" t="s">
        <v>1341</v>
      </c>
    </row>
    <row r="791" spans="2:98">
      <c r="B791" t="s">
        <v>1470</v>
      </c>
      <c r="C791" s="13" t="s">
        <v>1471</v>
      </c>
      <c r="D791" s="15"/>
      <c r="F791" s="8" t="s">
        <v>65</v>
      </c>
      <c r="G791" s="1">
        <v>1</v>
      </c>
      <c r="H791" s="1"/>
      <c r="I791" s="1">
        <f>1802-50</f>
        <v>1752</v>
      </c>
      <c r="J791" t="s">
        <v>10</v>
      </c>
      <c r="K791" t="s">
        <v>12</v>
      </c>
      <c r="Q791">
        <v>5</v>
      </c>
      <c r="R791">
        <v>3</v>
      </c>
      <c r="S791">
        <v>2</v>
      </c>
      <c r="T791" s="5">
        <f t="shared" si="40"/>
        <v>166.33</v>
      </c>
      <c r="U791" t="s">
        <v>736</v>
      </c>
      <c r="AI791" s="6">
        <v>1</v>
      </c>
      <c r="AJ791" s="6">
        <v>1</v>
      </c>
      <c r="AK791" s="6">
        <v>1</v>
      </c>
      <c r="AL791" s="6">
        <v>1</v>
      </c>
      <c r="AM791" s="6">
        <v>1</v>
      </c>
      <c r="AN791" s="7">
        <v>1</v>
      </c>
      <c r="BC791" t="s">
        <v>1472</v>
      </c>
      <c r="BD791" s="7" t="s">
        <v>109</v>
      </c>
      <c r="BE791" t="s">
        <v>62</v>
      </c>
      <c r="BF791" s="1" t="s">
        <v>29</v>
      </c>
      <c r="BG791" s="1">
        <v>6</v>
      </c>
      <c r="BH791">
        <v>2</v>
      </c>
      <c r="BI791">
        <v>1</v>
      </c>
      <c r="BK791">
        <v>1</v>
      </c>
      <c r="BQ791">
        <v>1</v>
      </c>
      <c r="CL791">
        <v>1</v>
      </c>
      <c r="CS791" s="7" t="s">
        <v>1473</v>
      </c>
    </row>
    <row r="792" spans="2:98">
      <c r="B792" t="s">
        <v>1834</v>
      </c>
      <c r="C792" s="2" t="s">
        <v>1835</v>
      </c>
      <c r="D792" s="26" t="s">
        <v>1836</v>
      </c>
      <c r="E792" s="8" t="s">
        <v>481</v>
      </c>
      <c r="F792" s="8" t="s">
        <v>65</v>
      </c>
      <c r="G792" s="1">
        <v>1</v>
      </c>
      <c r="H792" s="1"/>
      <c r="I792" s="1">
        <f>1804-23</f>
        <v>1781</v>
      </c>
      <c r="J792" t="s">
        <v>10</v>
      </c>
      <c r="K792" t="s">
        <v>12</v>
      </c>
      <c r="Q792">
        <v>5</v>
      </c>
      <c r="R792">
        <v>2</v>
      </c>
      <c r="S792">
        <v>3</v>
      </c>
      <c r="T792" s="5">
        <f>((Q792*316)+(R792*26.3)+(S792*2.2))/10</f>
        <v>163.92</v>
      </c>
      <c r="U792" t="s">
        <v>1837</v>
      </c>
      <c r="AI792" s="10">
        <v>1</v>
      </c>
      <c r="BC792" t="s">
        <v>1838</v>
      </c>
      <c r="BD792" s="7" t="s">
        <v>280</v>
      </c>
      <c r="BE792" t="s">
        <v>1443</v>
      </c>
      <c r="BF792" s="1" t="s">
        <v>29</v>
      </c>
      <c r="BG792" s="1">
        <v>5</v>
      </c>
      <c r="BH792">
        <v>2</v>
      </c>
      <c r="BK792" s="1">
        <v>1</v>
      </c>
      <c r="BQ792">
        <v>1</v>
      </c>
      <c r="CL792">
        <v>1</v>
      </c>
      <c r="CN792">
        <v>1</v>
      </c>
      <c r="CS792" s="7" t="s">
        <v>947</v>
      </c>
    </row>
    <row r="793" spans="2:98">
      <c r="B793" t="s">
        <v>2200</v>
      </c>
      <c r="C793" s="2" t="s">
        <v>2201</v>
      </c>
      <c r="D793" s="2" t="s">
        <v>1128</v>
      </c>
      <c r="E793" s="8" t="s">
        <v>740</v>
      </c>
      <c r="F793" s="8" t="s">
        <v>65</v>
      </c>
      <c r="G793" s="1">
        <v>1</v>
      </c>
      <c r="H793" s="1"/>
      <c r="I793" s="1">
        <f>1803-22</f>
        <v>1781</v>
      </c>
      <c r="J793" t="s">
        <v>10</v>
      </c>
      <c r="K793" t="s">
        <v>12</v>
      </c>
      <c r="Q793">
        <v>5</v>
      </c>
      <c r="R793">
        <v>2</v>
      </c>
      <c r="S793">
        <v>1</v>
      </c>
      <c r="T793" s="5">
        <f>((Q793*316)+(R793*26.3)+(S793*2.2))/10</f>
        <v>163.47999999999999</v>
      </c>
      <c r="U793" t="s">
        <v>2202</v>
      </c>
      <c r="AI793" s="6">
        <v>1</v>
      </c>
      <c r="AJ793" s="6">
        <v>1</v>
      </c>
      <c r="AK793" s="6">
        <v>1</v>
      </c>
      <c r="AL793" s="6">
        <v>1</v>
      </c>
      <c r="AM793" s="6">
        <v>1</v>
      </c>
      <c r="AN793" s="7">
        <v>1</v>
      </c>
      <c r="BC793" t="s">
        <v>1501</v>
      </c>
      <c r="BD793" s="7" t="s">
        <v>109</v>
      </c>
      <c r="BE793" t="s">
        <v>1502</v>
      </c>
      <c r="BF793" s="1" t="s">
        <v>29</v>
      </c>
      <c r="BG793" s="1">
        <v>3</v>
      </c>
      <c r="BH793">
        <v>2</v>
      </c>
      <c r="BK793" s="1">
        <v>1</v>
      </c>
      <c r="BQ793">
        <v>1</v>
      </c>
      <c r="CL793">
        <v>1</v>
      </c>
      <c r="CS793" s="7" t="s">
        <v>354</v>
      </c>
    </row>
    <row r="794" spans="2:98">
      <c r="B794" t="s">
        <v>2209</v>
      </c>
      <c r="C794" s="2" t="s">
        <v>1223</v>
      </c>
      <c r="D794" s="2" t="s">
        <v>1223</v>
      </c>
      <c r="E794" s="8" t="s">
        <v>130</v>
      </c>
      <c r="F794" s="8" t="s">
        <v>65</v>
      </c>
      <c r="G794" s="1">
        <v>1</v>
      </c>
      <c r="H794" s="1"/>
      <c r="I794" s="1">
        <f>1803-20</f>
        <v>1783</v>
      </c>
      <c r="J794" t="s">
        <v>10</v>
      </c>
      <c r="K794" t="s">
        <v>140</v>
      </c>
      <c r="Q794">
        <v>5</v>
      </c>
      <c r="R794">
        <v>3</v>
      </c>
      <c r="S794">
        <v>1</v>
      </c>
      <c r="T794" s="5">
        <f>((Q794*316)+(R794*26.3)+(S794*2.2))/10</f>
        <v>166.11</v>
      </c>
      <c r="U794" t="s">
        <v>2210</v>
      </c>
      <c r="AI794" s="6">
        <v>1</v>
      </c>
      <c r="AJ794" s="6">
        <v>1</v>
      </c>
      <c r="AK794" s="7">
        <v>1</v>
      </c>
      <c r="BC794" t="s">
        <v>1412</v>
      </c>
      <c r="BD794" s="7" t="s">
        <v>280</v>
      </c>
      <c r="BE794" t="s">
        <v>1502</v>
      </c>
      <c r="BF794" s="1" t="s">
        <v>29</v>
      </c>
      <c r="BG794" s="1">
        <v>1</v>
      </c>
      <c r="BH794">
        <v>1</v>
      </c>
      <c r="BK794" s="1" t="s">
        <v>72</v>
      </c>
      <c r="BQ794">
        <v>1</v>
      </c>
      <c r="CN794">
        <v>1</v>
      </c>
      <c r="CS794" s="7" t="s">
        <v>947</v>
      </c>
    </row>
    <row r="795" spans="2:98">
      <c r="B795" t="s">
        <v>3914</v>
      </c>
      <c r="C795" s="2" t="s">
        <v>3915</v>
      </c>
      <c r="D795" s="15"/>
      <c r="E795" s="8" t="s">
        <v>1630</v>
      </c>
      <c r="F795" s="8" t="s">
        <v>65</v>
      </c>
      <c r="G795" s="1">
        <v>1</v>
      </c>
      <c r="H795" s="1"/>
      <c r="I795" s="1">
        <f>1804-28</f>
        <v>1776</v>
      </c>
      <c r="J795" t="s">
        <v>10</v>
      </c>
      <c r="K795" t="s">
        <v>12</v>
      </c>
      <c r="Q795">
        <v>5</v>
      </c>
      <c r="R795">
        <v>6</v>
      </c>
      <c r="S795">
        <v>1</v>
      </c>
      <c r="T795" s="5">
        <f>((Q795*316)+(R795*26.3)+(S795*2.2))/10</f>
        <v>174</v>
      </c>
      <c r="U795" t="s">
        <v>2608</v>
      </c>
      <c r="AI795" s="6">
        <v>1</v>
      </c>
      <c r="AJ795" s="6">
        <v>1</v>
      </c>
      <c r="AK795" s="6">
        <v>1</v>
      </c>
      <c r="AL795" s="6">
        <v>1</v>
      </c>
      <c r="AM795" s="14">
        <v>1</v>
      </c>
      <c r="BC795" s="53" t="s">
        <v>3916</v>
      </c>
      <c r="BD795" s="14" t="s">
        <v>338</v>
      </c>
      <c r="BE795" t="s">
        <v>1904</v>
      </c>
      <c r="BF795" s="1" t="s">
        <v>339</v>
      </c>
      <c r="BG795" s="1">
        <v>4</v>
      </c>
      <c r="BH795">
        <v>1</v>
      </c>
      <c r="BK795" s="1">
        <v>1</v>
      </c>
      <c r="BQ795">
        <v>1</v>
      </c>
      <c r="CG795">
        <v>1</v>
      </c>
      <c r="CS795" s="14" t="s">
        <v>1786</v>
      </c>
    </row>
    <row r="796" spans="2:98">
      <c r="B796" t="s">
        <v>3143</v>
      </c>
      <c r="C796" s="15" t="s">
        <v>3142</v>
      </c>
      <c r="D796" s="15"/>
      <c r="E796" s="8" t="s">
        <v>740</v>
      </c>
      <c r="F796" s="8" t="s">
        <v>65</v>
      </c>
      <c r="G796" s="1">
        <v>1</v>
      </c>
      <c r="H796" s="1"/>
      <c r="I796" s="1">
        <f>1804-22</f>
        <v>1782</v>
      </c>
      <c r="J796" t="s">
        <v>10</v>
      </c>
      <c r="K796" t="s">
        <v>12</v>
      </c>
      <c r="Q796">
        <v>5</v>
      </c>
      <c r="R796">
        <v>1</v>
      </c>
      <c r="S796">
        <v>2</v>
      </c>
      <c r="T796" s="5">
        <f>((Q796*316)+(R796*26.3)+(S796*2.2))/10</f>
        <v>161.07</v>
      </c>
      <c r="U796" t="s">
        <v>3141</v>
      </c>
      <c r="AI796" s="6">
        <v>1</v>
      </c>
      <c r="AJ796" s="6">
        <v>1</v>
      </c>
      <c r="AK796" s="6">
        <v>1</v>
      </c>
      <c r="AL796" s="6">
        <v>1</v>
      </c>
      <c r="AM796" s="6">
        <v>1</v>
      </c>
      <c r="AN796" s="7">
        <v>1</v>
      </c>
      <c r="BC796" t="s">
        <v>198</v>
      </c>
      <c r="BD796" s="7" t="s">
        <v>280</v>
      </c>
      <c r="BE796" t="s">
        <v>1904</v>
      </c>
      <c r="BF796" s="1" t="s">
        <v>29</v>
      </c>
      <c r="BG796" s="1">
        <v>4</v>
      </c>
      <c r="BH796">
        <v>1</v>
      </c>
      <c r="BK796" s="1">
        <v>1</v>
      </c>
      <c r="BQ796">
        <v>1</v>
      </c>
      <c r="CN796">
        <v>1</v>
      </c>
      <c r="CS796" s="7" t="s">
        <v>1450</v>
      </c>
    </row>
    <row r="797" spans="2:98">
      <c r="B797" t="s">
        <v>180</v>
      </c>
      <c r="C797" s="13" t="s">
        <v>181</v>
      </c>
      <c r="D797" s="15"/>
      <c r="F797" s="8" t="s">
        <v>65</v>
      </c>
      <c r="G797" s="1">
        <v>1</v>
      </c>
      <c r="H797" s="1"/>
      <c r="I797" s="1">
        <f>1802-20</f>
        <v>1782</v>
      </c>
      <c r="J797" t="s">
        <v>10</v>
      </c>
      <c r="K797" t="s">
        <v>12</v>
      </c>
      <c r="Q797">
        <v>5</v>
      </c>
      <c r="R797">
        <v>3</v>
      </c>
      <c r="S797">
        <v>3</v>
      </c>
      <c r="T797" s="5">
        <f t="shared" si="40"/>
        <v>166.55</v>
      </c>
      <c r="U797" t="s">
        <v>182</v>
      </c>
      <c r="AI797" s="6">
        <v>1</v>
      </c>
      <c r="AJ797" s="6">
        <v>1</v>
      </c>
      <c r="AK797" s="6">
        <v>1</v>
      </c>
      <c r="AL797" s="6">
        <v>1</v>
      </c>
      <c r="AM797" s="6">
        <v>1</v>
      </c>
      <c r="AN797" s="6">
        <v>1</v>
      </c>
      <c r="AO797" s="6">
        <v>1</v>
      </c>
      <c r="AP797" s="6">
        <v>1</v>
      </c>
      <c r="AQ797" s="9">
        <v>1</v>
      </c>
      <c r="AR797" s="9"/>
      <c r="AS797" s="9"/>
      <c r="AT797" s="9"/>
      <c r="AU797" s="9"/>
      <c r="AV797" s="6">
        <v>1</v>
      </c>
      <c r="AW797" s="6">
        <v>1</v>
      </c>
      <c r="AX797" s="6">
        <v>1</v>
      </c>
      <c r="AY797" s="6">
        <v>1</v>
      </c>
      <c r="AZ797" s="6">
        <v>1</v>
      </c>
      <c r="BA797" s="6">
        <v>1</v>
      </c>
      <c r="BB797" s="6">
        <v>1</v>
      </c>
      <c r="BC797">
        <v>1820</v>
      </c>
      <c r="BD797" t="s">
        <v>81</v>
      </c>
      <c r="BE797" t="s">
        <v>183</v>
      </c>
      <c r="BF797" s="1" t="s">
        <v>73</v>
      </c>
      <c r="BG797" s="1">
        <v>14</v>
      </c>
      <c r="BH797">
        <v>3</v>
      </c>
      <c r="BK797">
        <v>1</v>
      </c>
      <c r="BP797">
        <v>1</v>
      </c>
      <c r="BQ797">
        <v>1</v>
      </c>
      <c r="BY797">
        <v>1</v>
      </c>
      <c r="CL797">
        <v>1</v>
      </c>
      <c r="CM797">
        <v>1</v>
      </c>
      <c r="CR797" t="s">
        <v>72</v>
      </c>
      <c r="CS797" t="s">
        <v>184</v>
      </c>
      <c r="CT797" s="9" t="s">
        <v>185</v>
      </c>
    </row>
    <row r="798" spans="2:98">
      <c r="B798" t="s">
        <v>1460</v>
      </c>
      <c r="C798" s="2" t="s">
        <v>166</v>
      </c>
      <c r="F798" s="8" t="s">
        <v>65</v>
      </c>
      <c r="G798" s="1">
        <v>1</v>
      </c>
      <c r="H798" s="1"/>
      <c r="I798" s="1">
        <f>1804-25</f>
        <v>1779</v>
      </c>
      <c r="J798" t="s">
        <v>10</v>
      </c>
      <c r="K798" t="s">
        <v>1461</v>
      </c>
      <c r="Q798">
        <v>5</v>
      </c>
      <c r="R798">
        <v>5</v>
      </c>
      <c r="T798" s="5">
        <f t="shared" si="40"/>
        <v>171.15</v>
      </c>
      <c r="U798" t="s">
        <v>1462</v>
      </c>
      <c r="AI798" s="6">
        <v>1</v>
      </c>
      <c r="AJ798" s="6">
        <v>1</v>
      </c>
      <c r="AK798" s="6">
        <v>1</v>
      </c>
      <c r="AL798" s="6">
        <v>1</v>
      </c>
      <c r="AM798" s="6">
        <v>1</v>
      </c>
      <c r="AN798" s="7">
        <v>1</v>
      </c>
      <c r="BC798" t="s">
        <v>1472</v>
      </c>
      <c r="BD798" s="7" t="s">
        <v>109</v>
      </c>
      <c r="BE798" t="s">
        <v>62</v>
      </c>
      <c r="BF798" s="1" t="s">
        <v>29</v>
      </c>
      <c r="BG798" s="1">
        <v>4</v>
      </c>
      <c r="BH798">
        <v>2</v>
      </c>
      <c r="BK798" s="1">
        <v>1</v>
      </c>
      <c r="BQ798">
        <v>1</v>
      </c>
      <c r="CL798">
        <v>1</v>
      </c>
      <c r="CS798" s="7" t="s">
        <v>1464</v>
      </c>
    </row>
    <row r="799" spans="2:98">
      <c r="B799" t="s">
        <v>147</v>
      </c>
      <c r="C799" s="15" t="s">
        <v>148</v>
      </c>
      <c r="D799" s="15"/>
      <c r="F799" s="8" t="s">
        <v>65</v>
      </c>
      <c r="G799" s="1">
        <v>1</v>
      </c>
      <c r="H799" s="1"/>
      <c r="I799" s="1">
        <f>1802-22</f>
        <v>1780</v>
      </c>
      <c r="J799" t="s">
        <v>10</v>
      </c>
      <c r="K799" t="s">
        <v>12</v>
      </c>
      <c r="Q799">
        <v>5</v>
      </c>
      <c r="R799">
        <v>3</v>
      </c>
      <c r="S799">
        <v>2</v>
      </c>
      <c r="T799" s="5">
        <f t="shared" si="40"/>
        <v>166.33</v>
      </c>
      <c r="U799" t="s">
        <v>149</v>
      </c>
      <c r="AI799" s="6">
        <v>1</v>
      </c>
      <c r="AJ799" s="6">
        <v>1</v>
      </c>
      <c r="AK799" s="6">
        <v>1</v>
      </c>
      <c r="AL799" s="6">
        <v>1</v>
      </c>
      <c r="AM799" s="6">
        <v>1</v>
      </c>
      <c r="AN799" s="6">
        <v>1</v>
      </c>
      <c r="AO799" s="6">
        <v>1</v>
      </c>
      <c r="AP799" s="6">
        <v>1</v>
      </c>
      <c r="AQ799" s="6">
        <v>1</v>
      </c>
      <c r="AR799" s="6">
        <v>1</v>
      </c>
      <c r="AS799" s="6">
        <v>1</v>
      </c>
      <c r="AT799" s="7">
        <v>1</v>
      </c>
      <c r="BC799" t="s">
        <v>1841</v>
      </c>
      <c r="BD799" s="7" t="s">
        <v>305</v>
      </c>
      <c r="BE799" t="s">
        <v>1618</v>
      </c>
      <c r="BF799" s="1" t="s">
        <v>29</v>
      </c>
      <c r="BG799" s="1">
        <v>15</v>
      </c>
      <c r="BH799">
        <v>2</v>
      </c>
      <c r="BI799">
        <v>1</v>
      </c>
      <c r="BK799" s="1">
        <v>1</v>
      </c>
      <c r="BQ799">
        <v>1</v>
      </c>
      <c r="CF799">
        <v>1</v>
      </c>
      <c r="CL799">
        <v>1</v>
      </c>
      <c r="CM799">
        <v>1</v>
      </c>
      <c r="CS799" s="7" t="s">
        <v>1842</v>
      </c>
    </row>
    <row r="800" spans="2:98">
      <c r="B800" t="s">
        <v>1331</v>
      </c>
      <c r="C800" s="2" t="s">
        <v>208</v>
      </c>
      <c r="D800" s="15"/>
      <c r="F800" s="8" t="s">
        <v>65</v>
      </c>
      <c r="G800" s="1">
        <v>1</v>
      </c>
      <c r="H800" s="1"/>
      <c r="I800" s="1">
        <f>1805-51</f>
        <v>1754</v>
      </c>
      <c r="J800" t="s">
        <v>69</v>
      </c>
      <c r="K800" t="s">
        <v>140</v>
      </c>
      <c r="N800">
        <v>1</v>
      </c>
      <c r="Q800">
        <v>5</v>
      </c>
      <c r="R800">
        <v>4</v>
      </c>
      <c r="S800">
        <v>3</v>
      </c>
      <c r="T800" s="5">
        <f t="shared" si="40"/>
        <v>169.18</v>
      </c>
      <c r="U800" t="s">
        <v>149</v>
      </c>
      <c r="AI800" s="6">
        <v>1</v>
      </c>
      <c r="AJ800" s="6">
        <v>1</v>
      </c>
      <c r="AK800" s="6">
        <v>1</v>
      </c>
      <c r="AL800" s="6">
        <v>1</v>
      </c>
      <c r="AM800" s="7">
        <v>1</v>
      </c>
      <c r="BC800" t="s">
        <v>1329</v>
      </c>
      <c r="BD800" s="7" t="s">
        <v>103</v>
      </c>
      <c r="BE800" t="s">
        <v>125</v>
      </c>
      <c r="BF800" s="1" t="s">
        <v>29</v>
      </c>
      <c r="BG800" s="1">
        <v>9</v>
      </c>
      <c r="BH800">
        <v>3</v>
      </c>
      <c r="BK800" s="1">
        <v>1</v>
      </c>
      <c r="BQ800">
        <v>1</v>
      </c>
      <c r="CR800" t="s">
        <v>72</v>
      </c>
      <c r="CS800" s="7" t="s">
        <v>361</v>
      </c>
    </row>
    <row r="801" spans="1:98">
      <c r="B801" t="s">
        <v>2303</v>
      </c>
      <c r="C801" s="2" t="s">
        <v>2304</v>
      </c>
      <c r="D801" s="15"/>
      <c r="F801" s="8" t="s">
        <v>1548</v>
      </c>
      <c r="G801" s="1"/>
      <c r="H801" s="30">
        <v>1</v>
      </c>
      <c r="I801" s="1">
        <f>1803-20</f>
        <v>1783</v>
      </c>
      <c r="J801" t="s">
        <v>10</v>
      </c>
      <c r="K801" t="s">
        <v>12</v>
      </c>
      <c r="Q801">
        <v>5</v>
      </c>
      <c r="R801">
        <v>4</v>
      </c>
      <c r="T801" s="5">
        <f t="shared" si="40"/>
        <v>168.52</v>
      </c>
      <c r="U801" t="s">
        <v>2305</v>
      </c>
      <c r="AI801" s="6">
        <v>1</v>
      </c>
      <c r="AJ801" s="6">
        <v>1</v>
      </c>
      <c r="AK801" s="6">
        <v>1</v>
      </c>
      <c r="AL801" s="7">
        <v>1</v>
      </c>
      <c r="BC801" t="s">
        <v>2306</v>
      </c>
      <c r="BD801" s="7" t="s">
        <v>280</v>
      </c>
      <c r="BE801" t="s">
        <v>118</v>
      </c>
      <c r="BF801" s="1" t="s">
        <v>29</v>
      </c>
      <c r="BG801" s="1">
        <v>2</v>
      </c>
      <c r="BH801">
        <v>2</v>
      </c>
      <c r="BK801" s="30">
        <v>1</v>
      </c>
      <c r="BQ801">
        <v>1</v>
      </c>
      <c r="CN801">
        <v>1</v>
      </c>
      <c r="CS801" s="7" t="s">
        <v>1927</v>
      </c>
      <c r="CT801" s="6" t="s">
        <v>2307</v>
      </c>
    </row>
    <row r="802" spans="1:98">
      <c r="B802" t="s">
        <v>4490</v>
      </c>
      <c r="C802" s="13" t="s">
        <v>4491</v>
      </c>
      <c r="D802" s="13" t="s">
        <v>4491</v>
      </c>
      <c r="F802" s="8" t="s">
        <v>115</v>
      </c>
      <c r="G802" s="1">
        <v>1</v>
      </c>
      <c r="H802" s="1"/>
      <c r="I802" s="1">
        <f>1811-36</f>
        <v>1775</v>
      </c>
      <c r="J802" t="s">
        <v>10</v>
      </c>
      <c r="K802" t="s">
        <v>12</v>
      </c>
      <c r="Q802">
        <v>5</v>
      </c>
      <c r="R802">
        <v>4</v>
      </c>
      <c r="S802">
        <v>2</v>
      </c>
      <c r="T802" s="5">
        <f t="shared" si="40"/>
        <v>168.96</v>
      </c>
      <c r="U802" s="9" t="s">
        <v>4489</v>
      </c>
      <c r="AI802" s="9">
        <v>1</v>
      </c>
      <c r="AJ802" s="6">
        <v>1</v>
      </c>
      <c r="AK802" s="6">
        <v>1</v>
      </c>
      <c r="AL802" s="6">
        <v>1</v>
      </c>
      <c r="AM802" s="6">
        <v>1</v>
      </c>
      <c r="AN802" s="6">
        <v>1</v>
      </c>
      <c r="AO802" s="6">
        <v>1</v>
      </c>
      <c r="AP802" s="6">
        <v>1</v>
      </c>
      <c r="AQ802" s="6">
        <v>1</v>
      </c>
      <c r="AR802" s="6">
        <v>1</v>
      </c>
      <c r="AS802" s="6">
        <v>1</v>
      </c>
      <c r="BC802">
        <v>1811</v>
      </c>
      <c r="BD802" t="s">
        <v>81</v>
      </c>
      <c r="BE802" t="s">
        <v>151</v>
      </c>
      <c r="BF802" s="1" t="s">
        <v>73</v>
      </c>
      <c r="BG802" s="1">
        <v>1</v>
      </c>
      <c r="BH802">
        <v>1</v>
      </c>
      <c r="BK802" s="1">
        <v>1</v>
      </c>
      <c r="BP802">
        <v>1</v>
      </c>
      <c r="BQ802">
        <v>1</v>
      </c>
      <c r="CF802">
        <v>1</v>
      </c>
      <c r="CL802">
        <v>1</v>
      </c>
      <c r="CS802" t="s">
        <v>4492</v>
      </c>
    </row>
    <row r="803" spans="1:98">
      <c r="A803" t="s">
        <v>72</v>
      </c>
      <c r="B803" t="s">
        <v>2611</v>
      </c>
      <c r="C803" s="15"/>
      <c r="D803" s="15"/>
      <c r="F803" t="s">
        <v>7</v>
      </c>
      <c r="G803" s="1"/>
      <c r="H803" s="1"/>
      <c r="I803" s="1"/>
      <c r="T803" s="5"/>
      <c r="U803" s="9" t="s">
        <v>2610</v>
      </c>
      <c r="AH803" s="9"/>
      <c r="AI803" s="7">
        <v>1</v>
      </c>
      <c r="BC803" t="s">
        <v>2612</v>
      </c>
      <c r="BD803" s="7" t="s">
        <v>103</v>
      </c>
      <c r="BE803" t="s">
        <v>124</v>
      </c>
      <c r="BF803" s="1" t="s">
        <v>29</v>
      </c>
      <c r="BG803" s="1">
        <v>1</v>
      </c>
      <c r="BH803">
        <v>1</v>
      </c>
      <c r="BK803" s="1"/>
      <c r="BQ803">
        <v>1</v>
      </c>
      <c r="CM803">
        <v>1</v>
      </c>
      <c r="CS803" s="7" t="s">
        <v>2613</v>
      </c>
    </row>
    <row r="804" spans="1:98">
      <c r="A804" t="s">
        <v>72</v>
      </c>
      <c r="B804" t="s">
        <v>4552</v>
      </c>
      <c r="C804" s="15"/>
      <c r="D804" s="15"/>
      <c r="F804" t="s">
        <v>7</v>
      </c>
      <c r="G804" s="1"/>
      <c r="H804" s="1"/>
      <c r="I804" s="1"/>
      <c r="T804" s="5"/>
      <c r="U804" s="9" t="s">
        <v>4542</v>
      </c>
      <c r="AH804" s="9"/>
      <c r="AI804" s="7">
        <v>1</v>
      </c>
      <c r="BC804" t="s">
        <v>441</v>
      </c>
      <c r="BD804" s="7" t="s">
        <v>109</v>
      </c>
      <c r="BE804" t="s">
        <v>975</v>
      </c>
      <c r="BF804" s="1" t="s">
        <v>29</v>
      </c>
      <c r="BG804" s="1">
        <v>2</v>
      </c>
      <c r="BH804">
        <v>1</v>
      </c>
      <c r="BK804" s="1"/>
      <c r="BQ804">
        <v>1</v>
      </c>
      <c r="CS804" s="7" t="s">
        <v>1602</v>
      </c>
    </row>
    <row r="805" spans="1:98">
      <c r="A805" t="s">
        <v>72</v>
      </c>
      <c r="B805" t="s">
        <v>4555</v>
      </c>
      <c r="C805" s="15"/>
      <c r="D805" s="15"/>
      <c r="F805" t="s">
        <v>7</v>
      </c>
      <c r="G805" s="1"/>
      <c r="H805" s="1"/>
      <c r="I805" s="1"/>
      <c r="T805" s="5"/>
      <c r="U805" s="9" t="s">
        <v>4542</v>
      </c>
      <c r="AH805" s="9">
        <v>1</v>
      </c>
      <c r="AI805" s="7">
        <v>1</v>
      </c>
      <c r="BC805" t="s">
        <v>324</v>
      </c>
      <c r="BD805" s="7" t="s">
        <v>103</v>
      </c>
      <c r="BE805" t="s">
        <v>975</v>
      </c>
      <c r="BF805" s="1" t="s">
        <v>29</v>
      </c>
      <c r="BG805" s="1">
        <v>1</v>
      </c>
      <c r="BH805">
        <v>1</v>
      </c>
      <c r="BK805" s="1"/>
      <c r="BQ805">
        <v>1</v>
      </c>
      <c r="CS805" s="7" t="s">
        <v>2172</v>
      </c>
    </row>
    <row r="806" spans="1:98">
      <c r="A806" t="s">
        <v>72</v>
      </c>
      <c r="B806" t="s">
        <v>4543</v>
      </c>
      <c r="C806" s="15"/>
      <c r="D806" s="15"/>
      <c r="F806" t="s">
        <v>7</v>
      </c>
      <c r="G806" s="1"/>
      <c r="H806" s="1"/>
      <c r="I806" s="1"/>
      <c r="T806" s="5"/>
      <c r="U806" s="9" t="s">
        <v>4542</v>
      </c>
      <c r="AH806" s="9"/>
      <c r="AI806" s="7">
        <v>1</v>
      </c>
      <c r="BC806" t="s">
        <v>308</v>
      </c>
      <c r="BD806" s="7" t="s">
        <v>959</v>
      </c>
      <c r="BE806" s="7" t="s">
        <v>1317</v>
      </c>
      <c r="BF806" s="1" t="s">
        <v>29</v>
      </c>
      <c r="BG806" s="1">
        <v>1</v>
      </c>
      <c r="BH806">
        <v>2</v>
      </c>
      <c r="BK806" s="1"/>
      <c r="BQ806">
        <v>1</v>
      </c>
      <c r="CB806" s="7">
        <v>1</v>
      </c>
      <c r="CS806" s="7" t="s">
        <v>4544</v>
      </c>
    </row>
    <row r="807" spans="1:98">
      <c r="A807" t="s">
        <v>72</v>
      </c>
      <c r="B807" t="s">
        <v>4550</v>
      </c>
      <c r="C807" s="15"/>
      <c r="D807" s="15"/>
      <c r="F807" t="s">
        <v>7</v>
      </c>
      <c r="G807" s="1"/>
      <c r="H807" s="1"/>
      <c r="I807" s="1"/>
      <c r="T807" s="5"/>
      <c r="U807" s="9" t="s">
        <v>4542</v>
      </c>
      <c r="AH807" s="9"/>
      <c r="AI807" s="7">
        <v>1</v>
      </c>
      <c r="BC807" t="s">
        <v>441</v>
      </c>
      <c r="BD807" s="7" t="s">
        <v>109</v>
      </c>
      <c r="BE807" t="s">
        <v>975</v>
      </c>
      <c r="BF807" s="1" t="s">
        <v>29</v>
      </c>
      <c r="BG807" s="1">
        <v>1</v>
      </c>
      <c r="BH807">
        <v>1</v>
      </c>
      <c r="BK807" s="1"/>
      <c r="BQ807">
        <v>1</v>
      </c>
      <c r="CS807" s="7" t="s">
        <v>1086</v>
      </c>
    </row>
    <row r="808" spans="1:98">
      <c r="A808" t="s">
        <v>72</v>
      </c>
      <c r="B808" t="s">
        <v>4551</v>
      </c>
      <c r="C808" s="15"/>
      <c r="D808" s="15"/>
      <c r="F808" t="s">
        <v>7</v>
      </c>
      <c r="G808" s="1"/>
      <c r="H808" s="1"/>
      <c r="I808" s="1"/>
      <c r="T808" s="5"/>
      <c r="U808" s="9" t="s">
        <v>4542</v>
      </c>
      <c r="AH808" s="9"/>
      <c r="AI808" s="7">
        <v>1</v>
      </c>
      <c r="BC808" t="s">
        <v>324</v>
      </c>
      <c r="BD808" s="7" t="s">
        <v>103</v>
      </c>
      <c r="BE808" t="s">
        <v>975</v>
      </c>
      <c r="BF808" s="1" t="s">
        <v>29</v>
      </c>
      <c r="BG808" s="1">
        <v>1</v>
      </c>
      <c r="BH808">
        <v>1</v>
      </c>
      <c r="BK808" s="1"/>
      <c r="BQ808">
        <v>1</v>
      </c>
      <c r="CS808" s="7" t="s">
        <v>2172</v>
      </c>
    </row>
    <row r="809" spans="1:98">
      <c r="A809" t="s">
        <v>72</v>
      </c>
      <c r="B809" t="s">
        <v>4547</v>
      </c>
      <c r="C809" s="15"/>
      <c r="D809" s="15"/>
      <c r="F809" t="s">
        <v>7</v>
      </c>
      <c r="G809" s="1"/>
      <c r="H809" s="1"/>
      <c r="I809" s="1"/>
      <c r="T809" s="5"/>
      <c r="U809" s="9" t="s">
        <v>4542</v>
      </c>
      <c r="AI809" s="9">
        <v>1</v>
      </c>
      <c r="AJ809" s="7">
        <v>1</v>
      </c>
      <c r="BC809" t="s">
        <v>4548</v>
      </c>
      <c r="BD809" s="7" t="s">
        <v>103</v>
      </c>
      <c r="BE809" t="s">
        <v>975</v>
      </c>
      <c r="BF809" s="1" t="s">
        <v>29</v>
      </c>
      <c r="BG809" s="1">
        <v>1</v>
      </c>
      <c r="BH809">
        <v>1</v>
      </c>
      <c r="BK809" s="1"/>
      <c r="BQ809">
        <v>1</v>
      </c>
      <c r="CS809" s="7" t="s">
        <v>4549</v>
      </c>
    </row>
    <row r="810" spans="1:98">
      <c r="A810" t="s">
        <v>72</v>
      </c>
      <c r="B810" t="s">
        <v>4554</v>
      </c>
      <c r="C810" s="15"/>
      <c r="D810" s="15"/>
      <c r="F810" t="s">
        <v>7</v>
      </c>
      <c r="G810" s="1"/>
      <c r="H810" s="1"/>
      <c r="I810" s="1"/>
      <c r="T810" s="5"/>
      <c r="U810" s="9" t="s">
        <v>4553</v>
      </c>
      <c r="AH810" s="9"/>
      <c r="AI810" s="7">
        <v>1</v>
      </c>
      <c r="BC810" t="s">
        <v>308</v>
      </c>
      <c r="BD810" s="7" t="s">
        <v>103</v>
      </c>
      <c r="BE810" t="s">
        <v>975</v>
      </c>
      <c r="BF810" s="1" t="s">
        <v>29</v>
      </c>
      <c r="BG810" s="1">
        <v>1</v>
      </c>
      <c r="BH810">
        <v>1</v>
      </c>
      <c r="BK810" s="1"/>
      <c r="BQ810">
        <v>1</v>
      </c>
      <c r="CS810" s="7" t="s">
        <v>2172</v>
      </c>
    </row>
    <row r="811" spans="1:98">
      <c r="A811" t="s">
        <v>72</v>
      </c>
      <c r="B811" t="s">
        <v>4546</v>
      </c>
      <c r="C811" s="15"/>
      <c r="D811" s="15"/>
      <c r="F811" t="s">
        <v>7</v>
      </c>
      <c r="G811" s="1"/>
      <c r="H811" s="1"/>
      <c r="I811" s="1"/>
      <c r="T811" s="5"/>
      <c r="U811" s="9" t="s">
        <v>4545</v>
      </c>
      <c r="AH811" s="9"/>
      <c r="AI811" s="7">
        <v>1</v>
      </c>
      <c r="BC811" t="s">
        <v>308</v>
      </c>
      <c r="BD811" s="7" t="s">
        <v>103</v>
      </c>
      <c r="BE811" t="s">
        <v>975</v>
      </c>
      <c r="BF811" s="1" t="s">
        <v>29</v>
      </c>
      <c r="BG811" s="1">
        <v>1</v>
      </c>
      <c r="BH811">
        <v>1</v>
      </c>
      <c r="BK811" s="1"/>
      <c r="BQ811">
        <v>1</v>
      </c>
      <c r="CS811" s="7" t="s">
        <v>2172</v>
      </c>
    </row>
    <row r="812" spans="1:98">
      <c r="A812" t="s">
        <v>72</v>
      </c>
      <c r="B812" t="s">
        <v>1711</v>
      </c>
      <c r="C812" s="15"/>
      <c r="D812" s="15"/>
      <c r="F812" t="s">
        <v>7</v>
      </c>
      <c r="G812" s="1"/>
      <c r="H812" s="1"/>
      <c r="I812" s="1"/>
      <c r="Q812">
        <v>5</v>
      </c>
      <c r="R812">
        <v>1</v>
      </c>
      <c r="S812">
        <v>4</v>
      </c>
      <c r="T812" s="5">
        <f t="shared" si="40"/>
        <v>161.51</v>
      </c>
      <c r="U812" t="s">
        <v>1712</v>
      </c>
      <c r="AI812" s="7">
        <v>1</v>
      </c>
      <c r="BC812" t="s">
        <v>324</v>
      </c>
      <c r="BD812" s="7" t="s">
        <v>109</v>
      </c>
      <c r="BE812" t="s">
        <v>125</v>
      </c>
      <c r="BF812" s="1" t="s">
        <v>29</v>
      </c>
      <c r="BG812" s="1">
        <v>1</v>
      </c>
      <c r="BH812">
        <v>1</v>
      </c>
      <c r="BK812" s="1">
        <v>1</v>
      </c>
      <c r="BQ812">
        <v>1</v>
      </c>
      <c r="CS812" s="7" t="s">
        <v>1313</v>
      </c>
    </row>
    <row r="813" spans="1:98">
      <c r="B813" t="s">
        <v>4570</v>
      </c>
      <c r="C813" s="2" t="s">
        <v>1208</v>
      </c>
      <c r="D813" s="2" t="s">
        <v>1208</v>
      </c>
      <c r="E813" s="8" t="s">
        <v>2669</v>
      </c>
      <c r="F813" t="s">
        <v>247</v>
      </c>
      <c r="G813" s="1">
        <v>1</v>
      </c>
      <c r="H813" s="1"/>
      <c r="I813" s="1">
        <f>1804--20</f>
        <v>1824</v>
      </c>
      <c r="J813" t="s">
        <v>10</v>
      </c>
      <c r="K813" t="s">
        <v>12</v>
      </c>
      <c r="Q813">
        <v>5</v>
      </c>
      <c r="R813">
        <v>2</v>
      </c>
      <c r="S813">
        <v>1</v>
      </c>
      <c r="T813" s="5">
        <f t="shared" si="40"/>
        <v>163.47999999999999</v>
      </c>
      <c r="U813" t="s">
        <v>4571</v>
      </c>
      <c r="AI813" s="6">
        <v>1</v>
      </c>
      <c r="AJ813" s="6">
        <v>1</v>
      </c>
      <c r="AK813" s="6">
        <v>1</v>
      </c>
      <c r="AL813" s="7">
        <v>1</v>
      </c>
      <c r="BC813" t="s">
        <v>4572</v>
      </c>
      <c r="BD813" s="7" t="s">
        <v>103</v>
      </c>
      <c r="BE813" t="s">
        <v>712</v>
      </c>
      <c r="BF813" s="1" t="s">
        <v>29</v>
      </c>
      <c r="BG813" s="1">
        <v>3</v>
      </c>
      <c r="BH813">
        <v>1</v>
      </c>
      <c r="BK813" s="30">
        <v>1</v>
      </c>
      <c r="BQ813">
        <v>1</v>
      </c>
      <c r="CS813" s="7" t="s">
        <v>4573</v>
      </c>
      <c r="CT813" s="6" t="s">
        <v>3177</v>
      </c>
    </row>
    <row r="814" spans="1:98">
      <c r="A814" t="s">
        <v>72</v>
      </c>
      <c r="B814" t="s">
        <v>4435</v>
      </c>
      <c r="C814" s="15"/>
      <c r="D814" s="15"/>
      <c r="F814" t="s">
        <v>7</v>
      </c>
      <c r="G814" s="1"/>
      <c r="H814" s="1"/>
      <c r="I814" s="1"/>
      <c r="T814" s="5"/>
      <c r="U814" s="9" t="s">
        <v>4434</v>
      </c>
      <c r="AH814" s="19"/>
      <c r="AI814" s="7">
        <v>1</v>
      </c>
      <c r="BC814" t="s">
        <v>4437</v>
      </c>
      <c r="BD814" s="7" t="s">
        <v>959</v>
      </c>
      <c r="BE814" s="7" t="s">
        <v>1558</v>
      </c>
      <c r="BF814" s="1" t="s">
        <v>29</v>
      </c>
      <c r="BG814" s="1">
        <v>1</v>
      </c>
      <c r="BH814">
        <v>3</v>
      </c>
      <c r="BK814" s="1"/>
      <c r="BQ814">
        <v>1</v>
      </c>
      <c r="CB814" s="7">
        <v>1</v>
      </c>
      <c r="CL814">
        <v>1</v>
      </c>
      <c r="CS814" s="7" t="s">
        <v>4436</v>
      </c>
    </row>
    <row r="815" spans="1:98">
      <c r="A815" t="s">
        <v>72</v>
      </c>
      <c r="B815" t="s">
        <v>2500</v>
      </c>
      <c r="C815" s="2" t="s">
        <v>2501</v>
      </c>
      <c r="D815" s="15"/>
      <c r="E815" s="8" t="s">
        <v>2502</v>
      </c>
      <c r="F815" s="8" t="s">
        <v>595</v>
      </c>
      <c r="G815" s="1"/>
      <c r="H815" s="1">
        <v>1</v>
      </c>
      <c r="I815" s="1">
        <f>1819-35</f>
        <v>1784</v>
      </c>
      <c r="J815" t="s">
        <v>10</v>
      </c>
      <c r="K815" t="s">
        <v>12</v>
      </c>
      <c r="Q815">
        <v>5</v>
      </c>
      <c r="R815">
        <v>2</v>
      </c>
      <c r="S815">
        <v>2</v>
      </c>
      <c r="T815" s="5">
        <f t="shared" si="40"/>
        <v>163.69999999999999</v>
      </c>
      <c r="U815" t="s">
        <v>2503</v>
      </c>
      <c r="AI815" s="6">
        <v>1</v>
      </c>
      <c r="AJ815" s="6">
        <v>1</v>
      </c>
      <c r="AK815" s="6">
        <v>1</v>
      </c>
      <c r="AL815" s="6">
        <v>1</v>
      </c>
      <c r="AM815" s="6">
        <v>1</v>
      </c>
      <c r="AN815" s="6">
        <v>1</v>
      </c>
      <c r="AO815" s="6">
        <v>1</v>
      </c>
      <c r="AP815" s="6">
        <v>1</v>
      </c>
      <c r="AQ815" s="6">
        <v>1</v>
      </c>
      <c r="AR815" s="6">
        <v>1</v>
      </c>
      <c r="AS815" s="6">
        <v>1</v>
      </c>
      <c r="AT815" s="6">
        <v>1</v>
      </c>
      <c r="AU815" s="6">
        <v>1</v>
      </c>
      <c r="AV815" s="6">
        <v>1</v>
      </c>
      <c r="AW815" s="6">
        <v>1</v>
      </c>
      <c r="AX815" s="6">
        <v>1</v>
      </c>
      <c r="AY815" s="6">
        <v>1</v>
      </c>
      <c r="AZ815" s="6">
        <v>1</v>
      </c>
      <c r="BA815" s="6">
        <v>1</v>
      </c>
      <c r="BB815" s="6">
        <v>1</v>
      </c>
      <c r="BC815">
        <v>1820</v>
      </c>
      <c r="BD815" t="s">
        <v>81</v>
      </c>
      <c r="BE815" t="s">
        <v>62</v>
      </c>
      <c r="BF815" s="1" t="s">
        <v>73</v>
      </c>
      <c r="BG815" s="1">
        <v>5</v>
      </c>
      <c r="BH815">
        <v>2</v>
      </c>
      <c r="BK815" s="1"/>
      <c r="BO815">
        <v>1</v>
      </c>
      <c r="BP815">
        <v>1</v>
      </c>
      <c r="BQ815">
        <v>1</v>
      </c>
      <c r="CF815">
        <v>1</v>
      </c>
      <c r="CQ815">
        <v>1</v>
      </c>
      <c r="CR815" t="s">
        <v>72</v>
      </c>
      <c r="CS815" t="s">
        <v>2504</v>
      </c>
    </row>
    <row r="816" spans="1:98">
      <c r="B816" t="s">
        <v>1856</v>
      </c>
      <c r="C816" s="2" t="s">
        <v>1857</v>
      </c>
      <c r="D816" s="15"/>
      <c r="E816" s="8" t="s">
        <v>1858</v>
      </c>
      <c r="F816" s="8" t="s">
        <v>247</v>
      </c>
      <c r="G816" s="1">
        <v>1</v>
      </c>
      <c r="H816" s="1"/>
      <c r="I816" s="1">
        <f>1804-22</f>
        <v>1782</v>
      </c>
      <c r="J816" t="s">
        <v>10</v>
      </c>
      <c r="K816" t="s">
        <v>1859</v>
      </c>
      <c r="Q816">
        <v>5</v>
      </c>
      <c r="R816">
        <v>4</v>
      </c>
      <c r="S816">
        <v>1</v>
      </c>
      <c r="T816" s="5">
        <f>((Q816*316)+(R816*26.3)+(S816*2.2))/10</f>
        <v>168.74</v>
      </c>
      <c r="U816" t="s">
        <v>1860</v>
      </c>
      <c r="AI816" s="6">
        <v>1</v>
      </c>
      <c r="AJ816" s="6">
        <v>1</v>
      </c>
      <c r="AK816" s="6">
        <v>1</v>
      </c>
      <c r="AL816" s="6">
        <v>1</v>
      </c>
      <c r="BC816">
        <v>1804</v>
      </c>
      <c r="BD816" t="s">
        <v>81</v>
      </c>
      <c r="BE816" t="s">
        <v>1854</v>
      </c>
      <c r="BF816" s="1" t="s">
        <v>73</v>
      </c>
      <c r="BG816" s="1">
        <v>3</v>
      </c>
      <c r="BH816">
        <v>1</v>
      </c>
      <c r="BK816" s="1"/>
      <c r="BO816">
        <v>1</v>
      </c>
      <c r="BQ816">
        <v>1</v>
      </c>
      <c r="CS816" t="s">
        <v>1861</v>
      </c>
    </row>
    <row r="817" spans="1:98">
      <c r="B817" t="s">
        <v>1541</v>
      </c>
      <c r="C817" s="2" t="s">
        <v>1542</v>
      </c>
      <c r="D817" s="15"/>
      <c r="F817" s="8" t="s">
        <v>1543</v>
      </c>
      <c r="G817" s="1"/>
      <c r="H817" s="1">
        <v>1</v>
      </c>
      <c r="I817" s="1">
        <f>1802-19</f>
        <v>1783</v>
      </c>
      <c r="J817" t="s">
        <v>10</v>
      </c>
      <c r="K817" t="s">
        <v>12</v>
      </c>
      <c r="Q817">
        <v>5</v>
      </c>
      <c r="R817">
        <v>4</v>
      </c>
      <c r="T817" s="5">
        <f>((Q817*316)+(R817*26.3)+(S817*2.2))/10</f>
        <v>168.52</v>
      </c>
      <c r="U817" t="s">
        <v>1544</v>
      </c>
      <c r="AJ817" s="6">
        <v>1</v>
      </c>
      <c r="AK817" s="6">
        <v>1</v>
      </c>
      <c r="AL817" s="7">
        <v>1</v>
      </c>
      <c r="BC817" t="s">
        <v>1545</v>
      </c>
      <c r="BD817" s="7" t="s">
        <v>280</v>
      </c>
      <c r="BE817" t="s">
        <v>1529</v>
      </c>
      <c r="BF817" s="1" t="s">
        <v>29</v>
      </c>
      <c r="BG817" s="1">
        <v>3</v>
      </c>
      <c r="BH817">
        <v>1</v>
      </c>
      <c r="BK817" s="1"/>
      <c r="BO817">
        <v>1</v>
      </c>
      <c r="BQ817">
        <v>1</v>
      </c>
      <c r="CN817">
        <v>1</v>
      </c>
      <c r="CR817">
        <v>1</v>
      </c>
      <c r="CS817" s="7" t="s">
        <v>1243</v>
      </c>
    </row>
    <row r="818" spans="1:98">
      <c r="B818" t="s">
        <v>1068</v>
      </c>
      <c r="C818" s="2" t="s">
        <v>1069</v>
      </c>
      <c r="D818" s="15"/>
      <c r="E818" s="8" t="s">
        <v>1117</v>
      </c>
      <c r="F818" s="8" t="s">
        <v>247</v>
      </c>
      <c r="G818" s="1">
        <v>1</v>
      </c>
      <c r="H818" s="1"/>
      <c r="I818" s="1">
        <f>1802-18</f>
        <v>1784</v>
      </c>
      <c r="J818" t="s">
        <v>10</v>
      </c>
      <c r="K818" t="s">
        <v>116</v>
      </c>
      <c r="Q818">
        <v>5</v>
      </c>
      <c r="R818">
        <v>4</v>
      </c>
      <c r="T818" s="5">
        <f>((Q818*316)+(R818*26.3)+(S818*2.2))/10</f>
        <v>168.52</v>
      </c>
      <c r="U818" t="s">
        <v>359</v>
      </c>
      <c r="AJ818" s="6">
        <v>1</v>
      </c>
      <c r="AK818" s="6">
        <v>1</v>
      </c>
      <c r="AL818" s="6">
        <v>1</v>
      </c>
      <c r="AM818" s="7">
        <v>1</v>
      </c>
      <c r="BC818" t="s">
        <v>1070</v>
      </c>
      <c r="BD818" s="7" t="s">
        <v>26</v>
      </c>
      <c r="BE818" t="s">
        <v>1065</v>
      </c>
      <c r="BF818" s="1" t="s">
        <v>29</v>
      </c>
      <c r="BG818" s="1">
        <v>5</v>
      </c>
      <c r="BH818">
        <v>1</v>
      </c>
      <c r="BK818" s="1"/>
      <c r="BO818">
        <v>1</v>
      </c>
      <c r="BQ818">
        <v>1</v>
      </c>
      <c r="CS818" s="7" t="s">
        <v>1071</v>
      </c>
    </row>
    <row r="819" spans="1:98">
      <c r="B819" t="s">
        <v>355</v>
      </c>
      <c r="C819" s="15" t="s">
        <v>356</v>
      </c>
      <c r="D819" s="15"/>
      <c r="F819" s="8" t="s">
        <v>357</v>
      </c>
      <c r="G819" s="1">
        <v>1</v>
      </c>
      <c r="H819" s="1"/>
      <c r="I819" s="1">
        <f>1804-20</f>
        <v>1784</v>
      </c>
      <c r="J819" t="s">
        <v>10</v>
      </c>
      <c r="K819" t="s">
        <v>358</v>
      </c>
      <c r="Q819">
        <v>5</v>
      </c>
      <c r="R819">
        <v>6</v>
      </c>
      <c r="T819" s="5">
        <f>((Q819*316)+(R819*26.3)+(S819*2.2))/10</f>
        <v>173.78</v>
      </c>
      <c r="U819" t="s">
        <v>359</v>
      </c>
      <c r="AJ819" s="6">
        <v>1</v>
      </c>
      <c r="AK819" s="6">
        <v>1</v>
      </c>
      <c r="AL819" s="6">
        <v>1</v>
      </c>
      <c r="AM819" s="7">
        <v>1</v>
      </c>
      <c r="BC819" t="s">
        <v>362</v>
      </c>
      <c r="BD819" s="7" t="s">
        <v>103</v>
      </c>
      <c r="BE819" t="s">
        <v>360</v>
      </c>
      <c r="BF819" s="1" t="s">
        <v>29</v>
      </c>
      <c r="BG819" s="1">
        <v>7</v>
      </c>
      <c r="BH819">
        <v>2</v>
      </c>
      <c r="BK819" s="1">
        <v>1</v>
      </c>
      <c r="BQ819">
        <v>1</v>
      </c>
      <c r="BX819">
        <v>1</v>
      </c>
      <c r="CL819">
        <v>1</v>
      </c>
      <c r="CS819" s="7" t="s">
        <v>361</v>
      </c>
    </row>
    <row r="820" spans="1:98">
      <c r="B820" t="s">
        <v>2007</v>
      </c>
      <c r="C820" s="2" t="s">
        <v>2002</v>
      </c>
      <c r="D820" s="15"/>
      <c r="E820" s="8" t="s">
        <v>238</v>
      </c>
      <c r="F820" s="8" t="s">
        <v>65</v>
      </c>
      <c r="G820" s="1"/>
      <c r="H820" s="1"/>
      <c r="I820" s="1">
        <f>1803-22</f>
        <v>1781</v>
      </c>
      <c r="J820" t="s">
        <v>10</v>
      </c>
      <c r="K820" t="s">
        <v>12</v>
      </c>
      <c r="Q820">
        <v>5</v>
      </c>
      <c r="R820">
        <v>2</v>
      </c>
      <c r="T820" s="5">
        <f>((Q820*316)+(R820*26.3)+(S820*2.2))/10</f>
        <v>163.26</v>
      </c>
      <c r="U820" t="s">
        <v>2006</v>
      </c>
      <c r="AJ820" s="6">
        <v>1</v>
      </c>
      <c r="AK820" s="7">
        <v>1</v>
      </c>
      <c r="BC820" t="s">
        <v>2008</v>
      </c>
      <c r="BD820" s="7" t="s">
        <v>280</v>
      </c>
      <c r="BE820" t="s">
        <v>1502</v>
      </c>
      <c r="BF820" s="1" t="s">
        <v>29</v>
      </c>
      <c r="BG820" s="1">
        <v>2</v>
      </c>
      <c r="BH820">
        <v>2</v>
      </c>
      <c r="BK820" s="1">
        <v>1</v>
      </c>
      <c r="BQ820">
        <v>1</v>
      </c>
      <c r="CN820">
        <v>1</v>
      </c>
      <c r="CS820" s="7" t="s">
        <v>917</v>
      </c>
    </row>
    <row r="821" spans="1:98">
      <c r="A821" t="s">
        <v>72</v>
      </c>
      <c r="B821" t="s">
        <v>2598</v>
      </c>
      <c r="C821" s="15"/>
      <c r="D821" s="15"/>
      <c r="F821" t="s">
        <v>7</v>
      </c>
      <c r="G821" s="1"/>
      <c r="H821" s="1"/>
      <c r="I821" s="1"/>
      <c r="T821" s="5"/>
      <c r="U821" s="9" t="s">
        <v>2601</v>
      </c>
      <c r="AI821" s="9"/>
      <c r="AJ821" s="7">
        <v>1</v>
      </c>
      <c r="BC821" t="s">
        <v>2599</v>
      </c>
      <c r="BD821" s="7" t="s">
        <v>280</v>
      </c>
      <c r="BE821" t="s">
        <v>118</v>
      </c>
      <c r="BF821" s="1" t="s">
        <v>29</v>
      </c>
      <c r="BG821" s="1">
        <v>1</v>
      </c>
      <c r="BH821">
        <v>1</v>
      </c>
      <c r="BK821" s="1"/>
      <c r="BQ821">
        <v>1</v>
      </c>
      <c r="CN821">
        <v>1</v>
      </c>
      <c r="CS821" s="7" t="s">
        <v>947</v>
      </c>
    </row>
    <row r="822" spans="1:98">
      <c r="B822" t="s">
        <v>3013</v>
      </c>
      <c r="C822" s="2" t="s">
        <v>504</v>
      </c>
      <c r="D822" s="15"/>
      <c r="F822" s="8" t="s">
        <v>505</v>
      </c>
      <c r="G822" s="1">
        <v>1</v>
      </c>
      <c r="H822" s="1"/>
      <c r="I822" s="1">
        <f>1802-23</f>
        <v>1779</v>
      </c>
      <c r="J822" t="s">
        <v>10</v>
      </c>
      <c r="K822" t="s">
        <v>12</v>
      </c>
      <c r="Q822">
        <v>5</v>
      </c>
      <c r="R822">
        <v>6</v>
      </c>
      <c r="T822" s="5">
        <f t="shared" ref="T822" si="41">((Q822*316)+(R822*26.3)+(S822*2.2))/10</f>
        <v>173.78</v>
      </c>
      <c r="U822" t="s">
        <v>3014</v>
      </c>
      <c r="AJ822" s="6">
        <v>1</v>
      </c>
      <c r="AK822" s="7">
        <v>1</v>
      </c>
      <c r="BC822" t="s">
        <v>3015</v>
      </c>
      <c r="BD822" s="7" t="s">
        <v>103</v>
      </c>
      <c r="BE822" t="s">
        <v>1904</v>
      </c>
      <c r="BF822" s="1" t="s">
        <v>29</v>
      </c>
      <c r="BG822" s="1">
        <v>5</v>
      </c>
      <c r="BH822">
        <v>1</v>
      </c>
      <c r="BK822" s="1"/>
      <c r="BO822">
        <v>1</v>
      </c>
      <c r="BQ822">
        <v>1</v>
      </c>
      <c r="CE822">
        <v>1</v>
      </c>
      <c r="CR822">
        <v>1</v>
      </c>
      <c r="CS822" s="7" t="s">
        <v>3016</v>
      </c>
    </row>
    <row r="823" spans="1:98">
      <c r="A823" t="s">
        <v>72</v>
      </c>
      <c r="B823" t="s">
        <v>2594</v>
      </c>
      <c r="C823" s="2"/>
      <c r="D823" s="15"/>
      <c r="F823" t="s">
        <v>7</v>
      </c>
      <c r="G823" s="1"/>
      <c r="H823" s="1"/>
      <c r="I823" s="1"/>
      <c r="T823" s="5"/>
      <c r="U823" s="9" t="s">
        <v>2595</v>
      </c>
      <c r="AI823" s="9"/>
      <c r="AJ823" s="7">
        <v>1</v>
      </c>
      <c r="BC823" t="s">
        <v>2596</v>
      </c>
      <c r="BD823" s="7" t="s">
        <v>280</v>
      </c>
      <c r="BE823" t="s">
        <v>118</v>
      </c>
      <c r="BF823" s="1" t="s">
        <v>29</v>
      </c>
      <c r="BG823" s="1">
        <v>1</v>
      </c>
      <c r="BH823">
        <v>1</v>
      </c>
      <c r="BK823" s="1"/>
      <c r="BQ823">
        <v>1</v>
      </c>
      <c r="CG823">
        <v>1</v>
      </c>
      <c r="CN823">
        <v>1</v>
      </c>
      <c r="CS823" s="7" t="s">
        <v>2597</v>
      </c>
    </row>
    <row r="824" spans="1:98">
      <c r="A824" t="s">
        <v>72</v>
      </c>
      <c r="B824" t="s">
        <v>2602</v>
      </c>
      <c r="C824" s="2"/>
      <c r="D824" s="15"/>
      <c r="F824" t="s">
        <v>7</v>
      </c>
      <c r="G824" s="1"/>
      <c r="H824" s="1"/>
      <c r="I824" s="1"/>
      <c r="T824" s="5"/>
      <c r="U824" s="9" t="s">
        <v>2595</v>
      </c>
      <c r="AI824" s="9"/>
      <c r="AJ824" s="7">
        <v>1</v>
      </c>
      <c r="BC824" t="s">
        <v>1369</v>
      </c>
      <c r="BD824" s="7" t="s">
        <v>280</v>
      </c>
      <c r="BE824" t="s">
        <v>118</v>
      </c>
      <c r="BF824" s="1" t="s">
        <v>29</v>
      </c>
      <c r="BG824" s="1">
        <v>1</v>
      </c>
      <c r="BH824">
        <v>1</v>
      </c>
      <c r="BK824" s="1"/>
      <c r="BQ824">
        <v>1</v>
      </c>
      <c r="CS824" s="7" t="s">
        <v>2605</v>
      </c>
    </row>
    <row r="825" spans="1:98">
      <c r="A825" t="s">
        <v>72</v>
      </c>
      <c r="B825" t="s">
        <v>2603</v>
      </c>
      <c r="C825" s="2"/>
      <c r="D825" s="15"/>
      <c r="F825" t="s">
        <v>7</v>
      </c>
      <c r="G825" s="1"/>
      <c r="H825" s="1"/>
      <c r="I825" s="1"/>
      <c r="T825" s="5"/>
      <c r="U825" s="9" t="s">
        <v>2595</v>
      </c>
      <c r="AI825" s="9"/>
      <c r="AJ825" s="7">
        <v>1</v>
      </c>
      <c r="BC825" t="s">
        <v>2604</v>
      </c>
      <c r="BD825" s="7" t="s">
        <v>280</v>
      </c>
      <c r="BE825" t="s">
        <v>118</v>
      </c>
      <c r="BF825" s="1" t="s">
        <v>29</v>
      </c>
      <c r="BG825" s="1">
        <v>1</v>
      </c>
      <c r="BH825">
        <v>1</v>
      </c>
      <c r="BK825" s="1"/>
      <c r="BQ825">
        <v>1</v>
      </c>
      <c r="CS825" s="7" t="s">
        <v>2597</v>
      </c>
    </row>
    <row r="826" spans="1:98">
      <c r="A826" t="s">
        <v>72</v>
      </c>
      <c r="B826" t="s">
        <v>2600</v>
      </c>
      <c r="C826" s="2"/>
      <c r="D826" s="15"/>
      <c r="F826" t="s">
        <v>7</v>
      </c>
      <c r="G826" s="1"/>
      <c r="H826" s="1"/>
      <c r="I826" s="1"/>
      <c r="T826" s="5"/>
      <c r="U826" s="9" t="s">
        <v>2595</v>
      </c>
      <c r="AJ826" s="9">
        <v>1</v>
      </c>
      <c r="AK826" s="7">
        <v>1</v>
      </c>
      <c r="BC826" t="s">
        <v>1948</v>
      </c>
      <c r="BD826" s="7" t="s">
        <v>103</v>
      </c>
      <c r="BE826" t="s">
        <v>118</v>
      </c>
      <c r="BF826" s="1" t="s">
        <v>29</v>
      </c>
      <c r="BG826" s="1">
        <v>1</v>
      </c>
      <c r="BH826">
        <v>1</v>
      </c>
      <c r="BK826" s="1"/>
      <c r="BQ826">
        <v>1</v>
      </c>
      <c r="CS826" s="7" t="s">
        <v>1125</v>
      </c>
    </row>
    <row r="827" spans="1:98">
      <c r="A827" t="s">
        <v>72</v>
      </c>
      <c r="B827" t="s">
        <v>2230</v>
      </c>
      <c r="C827" s="2"/>
      <c r="D827" s="15"/>
      <c r="F827" t="s">
        <v>7</v>
      </c>
      <c r="G827" s="1"/>
      <c r="H827" s="1"/>
      <c r="I827" s="1"/>
      <c r="T827" s="5"/>
      <c r="U827" s="9" t="s">
        <v>1946</v>
      </c>
      <c r="AJ827" s="9">
        <v>1</v>
      </c>
      <c r="AK827" s="7">
        <v>1</v>
      </c>
      <c r="BC827" t="s">
        <v>1412</v>
      </c>
      <c r="BD827" s="7" t="s">
        <v>280</v>
      </c>
      <c r="BE827" t="s">
        <v>1502</v>
      </c>
      <c r="BF827" s="1" t="s">
        <v>29</v>
      </c>
      <c r="BG827" s="1">
        <v>1</v>
      </c>
      <c r="BH827">
        <v>1</v>
      </c>
      <c r="BK827" s="1"/>
      <c r="CN827">
        <v>1</v>
      </c>
      <c r="CS827" s="7" t="s">
        <v>947</v>
      </c>
      <c r="CT827" s="9" t="s">
        <v>382</v>
      </c>
    </row>
    <row r="828" spans="1:98">
      <c r="A828" t="s">
        <v>72</v>
      </c>
      <c r="B828" t="s">
        <v>2236</v>
      </c>
      <c r="C828" s="2"/>
      <c r="D828" s="15"/>
      <c r="F828" t="s">
        <v>7</v>
      </c>
      <c r="G828" s="1"/>
      <c r="H828" s="1"/>
      <c r="I828" s="1"/>
      <c r="T828" s="5"/>
      <c r="U828" s="9" t="s">
        <v>1946</v>
      </c>
      <c r="AJ828" s="9">
        <v>1</v>
      </c>
      <c r="AK828" s="7">
        <v>1</v>
      </c>
      <c r="BC828" t="s">
        <v>1412</v>
      </c>
      <c r="BD828" s="7" t="s">
        <v>280</v>
      </c>
      <c r="BE828" t="s">
        <v>1502</v>
      </c>
      <c r="BF828" s="1" t="s">
        <v>29</v>
      </c>
      <c r="BG828" s="1">
        <v>1</v>
      </c>
      <c r="BH828">
        <v>1</v>
      </c>
      <c r="BK828" s="1"/>
      <c r="CN828">
        <v>1</v>
      </c>
      <c r="CS828" s="7" t="s">
        <v>947</v>
      </c>
      <c r="CT828" s="9" t="s">
        <v>382</v>
      </c>
    </row>
    <row r="829" spans="1:98">
      <c r="A829" t="s">
        <v>72</v>
      </c>
      <c r="B829" t="s">
        <v>2231</v>
      </c>
      <c r="C829" s="2"/>
      <c r="D829" s="15"/>
      <c r="F829" t="s">
        <v>7</v>
      </c>
      <c r="G829" s="1"/>
      <c r="H829" s="1"/>
      <c r="I829" s="1"/>
      <c r="T829" s="5"/>
      <c r="U829" s="9" t="s">
        <v>1946</v>
      </c>
      <c r="AJ829" s="9">
        <v>1</v>
      </c>
      <c r="AK829" s="7">
        <v>1</v>
      </c>
      <c r="BC829" t="s">
        <v>2232</v>
      </c>
      <c r="BD829" s="7" t="s">
        <v>103</v>
      </c>
      <c r="BE829" t="s">
        <v>1502</v>
      </c>
      <c r="BF829" s="1" t="s">
        <v>29</v>
      </c>
      <c r="BG829" s="1">
        <v>1</v>
      </c>
      <c r="BH829">
        <v>1</v>
      </c>
      <c r="BK829" s="1"/>
      <c r="CS829" s="7" t="s">
        <v>203</v>
      </c>
      <c r="CT829" s="9" t="s">
        <v>382</v>
      </c>
    </row>
    <row r="830" spans="1:98">
      <c r="A830" t="s">
        <v>72</v>
      </c>
      <c r="B830" t="s">
        <v>1947</v>
      </c>
      <c r="C830" s="15"/>
      <c r="D830" s="15"/>
      <c r="F830" t="s">
        <v>7</v>
      </c>
      <c r="G830" s="1"/>
      <c r="H830" s="1"/>
      <c r="I830" s="1"/>
      <c r="T830" s="5"/>
      <c r="U830" s="9" t="s">
        <v>1946</v>
      </c>
      <c r="AJ830" s="9">
        <v>1</v>
      </c>
      <c r="AK830" s="7">
        <v>1</v>
      </c>
      <c r="BC830" t="s">
        <v>1948</v>
      </c>
      <c r="BD830" s="7" t="s">
        <v>103</v>
      </c>
      <c r="BE830" t="s">
        <v>1502</v>
      </c>
      <c r="BF830" s="1" t="s">
        <v>29</v>
      </c>
      <c r="BG830" s="1">
        <v>2</v>
      </c>
      <c r="BH830">
        <v>1</v>
      </c>
      <c r="BK830" s="1">
        <v>1</v>
      </c>
      <c r="BQ830">
        <v>1</v>
      </c>
      <c r="CS830" s="7" t="s">
        <v>1949</v>
      </c>
      <c r="CT830" s="9" t="s">
        <v>382</v>
      </c>
    </row>
    <row r="831" spans="1:98">
      <c r="A831" t="s">
        <v>72</v>
      </c>
      <c r="B831" t="s">
        <v>2237</v>
      </c>
      <c r="C831" s="15"/>
      <c r="D831" s="15"/>
      <c r="F831" t="s">
        <v>7</v>
      </c>
      <c r="G831" s="1"/>
      <c r="H831" s="1"/>
      <c r="I831" s="1"/>
      <c r="T831" s="5"/>
      <c r="U831" s="9" t="s">
        <v>1946</v>
      </c>
      <c r="AJ831" s="9">
        <v>1</v>
      </c>
      <c r="AK831" s="7">
        <v>1</v>
      </c>
      <c r="BC831" t="s">
        <v>1412</v>
      </c>
      <c r="BD831" s="7" t="s">
        <v>280</v>
      </c>
      <c r="BE831" t="s">
        <v>1502</v>
      </c>
      <c r="BF831" s="1" t="s">
        <v>29</v>
      </c>
      <c r="BG831" s="1">
        <v>1</v>
      </c>
      <c r="BH831">
        <v>1</v>
      </c>
      <c r="BK831" s="1"/>
      <c r="CN831">
        <v>1</v>
      </c>
      <c r="CS831" s="7" t="s">
        <v>947</v>
      </c>
      <c r="CT831" s="9" t="s">
        <v>382</v>
      </c>
    </row>
    <row r="832" spans="1:98">
      <c r="A832" t="s">
        <v>72</v>
      </c>
      <c r="B832" t="s">
        <v>2234</v>
      </c>
      <c r="C832" s="15"/>
      <c r="D832" s="15"/>
      <c r="F832" t="s">
        <v>7</v>
      </c>
      <c r="G832" s="1"/>
      <c r="H832" s="1"/>
      <c r="I832" s="1"/>
      <c r="T832" s="5"/>
      <c r="U832" s="9" t="s">
        <v>2233</v>
      </c>
      <c r="AJ832" s="9">
        <v>1</v>
      </c>
      <c r="AK832" s="7">
        <v>1</v>
      </c>
      <c r="BC832" t="s">
        <v>2232</v>
      </c>
      <c r="BD832" s="7" t="s">
        <v>103</v>
      </c>
      <c r="BE832" t="s">
        <v>1502</v>
      </c>
      <c r="BF832" s="1" t="s">
        <v>29</v>
      </c>
      <c r="BG832" s="1">
        <v>1</v>
      </c>
      <c r="BH832">
        <v>1</v>
      </c>
      <c r="BK832" s="1"/>
      <c r="CS832" s="7" t="s">
        <v>203</v>
      </c>
      <c r="CT832" s="9" t="s">
        <v>382</v>
      </c>
    </row>
    <row r="833" spans="1:98">
      <c r="A833" t="s">
        <v>72</v>
      </c>
      <c r="B833" t="s">
        <v>2235</v>
      </c>
      <c r="C833" s="15"/>
      <c r="D833" s="15"/>
      <c r="F833" t="s">
        <v>7</v>
      </c>
      <c r="G833" s="1"/>
      <c r="H833" s="1"/>
      <c r="I833" s="1"/>
      <c r="T833" s="5"/>
      <c r="U833" s="9" t="s">
        <v>2233</v>
      </c>
      <c r="AJ833" s="9">
        <v>1</v>
      </c>
      <c r="AK833" s="7">
        <v>1</v>
      </c>
      <c r="BC833" t="s">
        <v>1412</v>
      </c>
      <c r="BD833" s="7" t="s">
        <v>280</v>
      </c>
      <c r="BE833" t="s">
        <v>1502</v>
      </c>
      <c r="BF833" s="1" t="s">
        <v>29</v>
      </c>
      <c r="BG833" s="1">
        <v>1</v>
      </c>
      <c r="BH833">
        <v>1</v>
      </c>
      <c r="BK833" s="1"/>
      <c r="CN833">
        <v>1</v>
      </c>
      <c r="CS833" s="7" t="s">
        <v>947</v>
      </c>
      <c r="CT833" s="9" t="s">
        <v>382</v>
      </c>
    </row>
    <row r="834" spans="1:98">
      <c r="A834" t="s">
        <v>72</v>
      </c>
      <c r="B834" t="s">
        <v>2225</v>
      </c>
      <c r="C834" s="15"/>
      <c r="D834" s="15"/>
      <c r="F834" t="s">
        <v>7</v>
      </c>
      <c r="G834" s="1"/>
      <c r="H834" s="1"/>
      <c r="I834" s="1"/>
      <c r="T834" s="5"/>
      <c r="U834" s="9" t="s">
        <v>2224</v>
      </c>
      <c r="AJ834" s="9">
        <v>1</v>
      </c>
      <c r="AK834" s="7">
        <v>1</v>
      </c>
      <c r="BC834" t="s">
        <v>1412</v>
      </c>
      <c r="BD834" s="7" t="s">
        <v>280</v>
      </c>
      <c r="BE834" t="s">
        <v>1502</v>
      </c>
      <c r="BF834" s="1" t="s">
        <v>29</v>
      </c>
      <c r="BG834" s="1">
        <v>1</v>
      </c>
      <c r="BH834">
        <v>1</v>
      </c>
      <c r="BK834" s="1"/>
      <c r="CN834">
        <v>1</v>
      </c>
      <c r="CS834" s="7" t="s">
        <v>947</v>
      </c>
      <c r="CT834" s="9" t="s">
        <v>382</v>
      </c>
    </row>
    <row r="835" spans="1:98">
      <c r="A835" t="s">
        <v>72</v>
      </c>
      <c r="B835" t="s">
        <v>2226</v>
      </c>
      <c r="C835" s="15"/>
      <c r="D835" s="15"/>
      <c r="F835" t="s">
        <v>7</v>
      </c>
      <c r="G835" s="1"/>
      <c r="H835" s="1"/>
      <c r="I835" s="1"/>
      <c r="T835" s="5"/>
      <c r="U835" s="9" t="s">
        <v>2227</v>
      </c>
      <c r="AJ835" s="9">
        <v>1</v>
      </c>
      <c r="AK835" s="7">
        <v>1</v>
      </c>
      <c r="BC835" t="s">
        <v>2228</v>
      </c>
      <c r="BD835" s="7" t="s">
        <v>103</v>
      </c>
      <c r="BE835" t="s">
        <v>1502</v>
      </c>
      <c r="BF835" s="1" t="s">
        <v>29</v>
      </c>
      <c r="BG835" s="1">
        <v>1</v>
      </c>
      <c r="BH835">
        <v>1</v>
      </c>
      <c r="BK835" s="1"/>
      <c r="CS835" s="7" t="s">
        <v>412</v>
      </c>
      <c r="CT835" s="9" t="s">
        <v>382</v>
      </c>
    </row>
    <row r="836" spans="1:98">
      <c r="A836" t="s">
        <v>72</v>
      </c>
      <c r="B836" t="s">
        <v>2229</v>
      </c>
      <c r="C836" s="15"/>
      <c r="D836" s="15"/>
      <c r="F836" t="s">
        <v>7</v>
      </c>
      <c r="G836" s="1"/>
      <c r="H836" s="1"/>
      <c r="I836" s="1"/>
      <c r="T836" s="5"/>
      <c r="U836" s="9" t="s">
        <v>2227</v>
      </c>
      <c r="AJ836" s="9">
        <v>1</v>
      </c>
      <c r="AK836" s="7">
        <v>1</v>
      </c>
      <c r="BC836" t="s">
        <v>1412</v>
      </c>
      <c r="BD836" s="7" t="s">
        <v>280</v>
      </c>
      <c r="BE836" t="s">
        <v>1502</v>
      </c>
      <c r="BF836" s="1" t="s">
        <v>29</v>
      </c>
      <c r="BG836" s="1">
        <v>1</v>
      </c>
      <c r="BH836">
        <v>1</v>
      </c>
      <c r="BK836" s="1"/>
      <c r="CN836">
        <v>1</v>
      </c>
      <c r="CS836" s="7" t="s">
        <v>947</v>
      </c>
      <c r="CT836" s="9" t="s">
        <v>382</v>
      </c>
    </row>
    <row r="837" spans="1:98">
      <c r="B837" t="s">
        <v>1586</v>
      </c>
      <c r="C837" s="2" t="s">
        <v>1584</v>
      </c>
      <c r="D837" s="15"/>
      <c r="F837" s="8" t="s">
        <v>1585</v>
      </c>
      <c r="G837" s="1"/>
      <c r="H837" s="1">
        <v>1</v>
      </c>
      <c r="I837" s="1">
        <f>1806-29</f>
        <v>1777</v>
      </c>
      <c r="J837" t="s">
        <v>10</v>
      </c>
      <c r="K837" t="s">
        <v>12</v>
      </c>
      <c r="Q837">
        <v>5</v>
      </c>
      <c r="R837">
        <v>3</v>
      </c>
      <c r="S837">
        <v>1</v>
      </c>
      <c r="T837" s="5">
        <f>((Q837*316)+(R837*26.3)+(S837*2.2))/10</f>
        <v>166.11</v>
      </c>
      <c r="U837" t="s">
        <v>1583</v>
      </c>
      <c r="AK837" s="6">
        <v>1</v>
      </c>
      <c r="AL837" s="6">
        <v>1</v>
      </c>
      <c r="AM837" s="6">
        <v>1</v>
      </c>
      <c r="AN837" s="6">
        <v>1</v>
      </c>
      <c r="AO837" s="6">
        <v>1</v>
      </c>
      <c r="AP837" s="6">
        <v>1</v>
      </c>
      <c r="AQ837" s="6">
        <v>1</v>
      </c>
      <c r="AR837" s="7">
        <v>1</v>
      </c>
      <c r="BC837" t="s">
        <v>574</v>
      </c>
      <c r="BD837" s="7" t="s">
        <v>109</v>
      </c>
      <c r="BE837" t="s">
        <v>62</v>
      </c>
      <c r="BF837" s="1" t="s">
        <v>29</v>
      </c>
      <c r="BG837" s="1">
        <v>6</v>
      </c>
      <c r="BH837">
        <v>1</v>
      </c>
      <c r="BK837" s="1"/>
      <c r="BN837">
        <v>1</v>
      </c>
      <c r="BO837">
        <v>1</v>
      </c>
      <c r="BQ837">
        <v>1</v>
      </c>
      <c r="CS837" s="7" t="s">
        <v>1086</v>
      </c>
    </row>
    <row r="838" spans="1:98">
      <c r="B838" t="s">
        <v>1113</v>
      </c>
      <c r="C838" s="2" t="s">
        <v>2832</v>
      </c>
      <c r="D838" s="2" t="s">
        <v>2805</v>
      </c>
      <c r="E838" s="8" t="s">
        <v>696</v>
      </c>
      <c r="F838" s="8" t="s">
        <v>115</v>
      </c>
      <c r="G838" s="1">
        <v>1</v>
      </c>
      <c r="H838" s="1"/>
      <c r="I838" s="1">
        <f>1804-20</f>
        <v>1784</v>
      </c>
      <c r="J838" t="s">
        <v>10</v>
      </c>
      <c r="K838" t="s">
        <v>12</v>
      </c>
      <c r="Q838">
        <v>5</v>
      </c>
      <c r="R838">
        <v>3</v>
      </c>
      <c r="S838">
        <v>1</v>
      </c>
      <c r="T838" s="5">
        <f>((Q838*316)+(R838*26.3)+(S838*2.2))/10</f>
        <v>166.11</v>
      </c>
      <c r="U838" s="9" t="s">
        <v>2833</v>
      </c>
      <c r="AK838" s="6">
        <v>1</v>
      </c>
      <c r="AL838" s="6">
        <v>1</v>
      </c>
      <c r="AM838" s="6">
        <v>1</v>
      </c>
      <c r="AN838" s="7">
        <v>1</v>
      </c>
      <c r="BC838" t="s">
        <v>2834</v>
      </c>
      <c r="BD838" s="7" t="s">
        <v>103</v>
      </c>
      <c r="BE838" t="s">
        <v>2005</v>
      </c>
      <c r="BF838" s="1" t="s">
        <v>29</v>
      </c>
      <c r="BG838" s="1">
        <v>3</v>
      </c>
      <c r="BH838">
        <v>1</v>
      </c>
      <c r="BK838" s="30">
        <v>1</v>
      </c>
      <c r="BN838" s="6">
        <v>1</v>
      </c>
      <c r="BQ838">
        <v>1</v>
      </c>
      <c r="CS838" s="7" t="s">
        <v>2835</v>
      </c>
      <c r="CT838" s="6" t="s">
        <v>2762</v>
      </c>
    </row>
    <row r="839" spans="1:98">
      <c r="B839" t="s">
        <v>2353</v>
      </c>
      <c r="C839" s="13" t="s">
        <v>2354</v>
      </c>
      <c r="D839" s="15"/>
      <c r="F839" s="8" t="s">
        <v>2355</v>
      </c>
      <c r="G839" s="1"/>
      <c r="H839" s="1">
        <v>1</v>
      </c>
      <c r="I839" s="1">
        <f>1811-32</f>
        <v>1779</v>
      </c>
      <c r="J839" t="s">
        <v>10</v>
      </c>
      <c r="K839" t="s">
        <v>2356</v>
      </c>
      <c r="T839" s="5"/>
      <c r="U839" s="9" t="s">
        <v>2352</v>
      </c>
      <c r="AK839" s="9">
        <v>1</v>
      </c>
      <c r="AL839" s="6">
        <v>1</v>
      </c>
      <c r="AM839" s="6">
        <v>1</v>
      </c>
      <c r="AN839" s="6">
        <v>1</v>
      </c>
      <c r="AO839" s="6">
        <v>1</v>
      </c>
      <c r="AP839" s="6">
        <v>1</v>
      </c>
      <c r="AQ839" s="6">
        <v>1</v>
      </c>
      <c r="AR839" s="7">
        <v>1</v>
      </c>
      <c r="AS839" s="7">
        <v>1</v>
      </c>
      <c r="BC839" t="s">
        <v>2357</v>
      </c>
      <c r="BD839" s="7" t="s">
        <v>959</v>
      </c>
      <c r="BE839" s="7" t="s">
        <v>1558</v>
      </c>
      <c r="BF839" s="1" t="s">
        <v>29</v>
      </c>
      <c r="BG839" s="1">
        <v>1</v>
      </c>
      <c r="BH839">
        <v>2</v>
      </c>
      <c r="BJ839">
        <v>1</v>
      </c>
      <c r="BK839" s="1"/>
      <c r="BO839" t="s">
        <v>72</v>
      </c>
      <c r="BQ839">
        <v>1</v>
      </c>
      <c r="CB839" s="7">
        <v>1</v>
      </c>
      <c r="CF839">
        <v>1</v>
      </c>
      <c r="CS839" s="7" t="s">
        <v>2358</v>
      </c>
    </row>
    <row r="840" spans="1:98">
      <c r="B840" t="s">
        <v>3788</v>
      </c>
      <c r="C840" s="2" t="s">
        <v>3789</v>
      </c>
      <c r="D840" s="2" t="s">
        <v>3789</v>
      </c>
      <c r="E840" s="8" t="s">
        <v>1288</v>
      </c>
      <c r="F840" s="8" t="s">
        <v>218</v>
      </c>
      <c r="G840" s="1">
        <v>1</v>
      </c>
      <c r="H840" s="1"/>
      <c r="I840" s="1">
        <f>1804-20</f>
        <v>1784</v>
      </c>
      <c r="J840" t="s">
        <v>10</v>
      </c>
      <c r="K840" t="s">
        <v>12</v>
      </c>
      <c r="Q840">
        <v>5</v>
      </c>
      <c r="R840">
        <v>4</v>
      </c>
      <c r="T840" s="5">
        <f t="shared" ref="T840:T848" si="42">((Q840*316)+(R840*26.3)+(S840*2.2))/10</f>
        <v>168.52</v>
      </c>
      <c r="U840" t="s">
        <v>3776</v>
      </c>
      <c r="AL840" s="7">
        <v>1</v>
      </c>
      <c r="AM840" s="7">
        <v>1</v>
      </c>
      <c r="BC840" t="s">
        <v>2189</v>
      </c>
      <c r="BD840" s="7" t="s">
        <v>103</v>
      </c>
      <c r="BE840" t="s">
        <v>1291</v>
      </c>
      <c r="BF840" s="1" t="s">
        <v>29</v>
      </c>
      <c r="BG840" s="1">
        <v>4</v>
      </c>
      <c r="BH840">
        <v>1</v>
      </c>
      <c r="BK840" s="1">
        <v>1</v>
      </c>
      <c r="BW840">
        <v>1</v>
      </c>
      <c r="CS840" s="7" t="s">
        <v>1341</v>
      </c>
    </row>
    <row r="841" spans="1:98">
      <c r="B841" t="s">
        <v>1182</v>
      </c>
      <c r="C841" s="15" t="s">
        <v>729</v>
      </c>
      <c r="D841" s="15"/>
      <c r="F841" s="8" t="s">
        <v>218</v>
      </c>
      <c r="G841" s="1">
        <v>1</v>
      </c>
      <c r="H841" s="1"/>
      <c r="I841" s="1">
        <f>1804-20</f>
        <v>1784</v>
      </c>
      <c r="J841" t="s">
        <v>10</v>
      </c>
      <c r="K841" t="s">
        <v>3775</v>
      </c>
      <c r="Q841">
        <v>5</v>
      </c>
      <c r="R841">
        <v>4</v>
      </c>
      <c r="S841">
        <v>1</v>
      </c>
      <c r="T841" s="5">
        <f t="shared" si="42"/>
        <v>168.74</v>
      </c>
      <c r="U841" t="s">
        <v>3776</v>
      </c>
      <c r="AL841" s="6">
        <v>1</v>
      </c>
      <c r="AM841" s="6">
        <v>1</v>
      </c>
      <c r="AN841" s="6">
        <v>1</v>
      </c>
      <c r="AO841" s="6">
        <v>1</v>
      </c>
      <c r="AP841" s="6">
        <v>1</v>
      </c>
      <c r="AQ841" s="6">
        <v>1</v>
      </c>
      <c r="BC841">
        <v>1809</v>
      </c>
      <c r="BD841" t="s">
        <v>81</v>
      </c>
      <c r="BE841" s="10" t="s">
        <v>1184</v>
      </c>
      <c r="BF841" s="1" t="s">
        <v>73</v>
      </c>
      <c r="BG841" s="1">
        <v>2</v>
      </c>
      <c r="BH841">
        <v>2</v>
      </c>
      <c r="BI841">
        <v>1</v>
      </c>
      <c r="BK841" s="1">
        <v>1</v>
      </c>
      <c r="BW841">
        <v>1</v>
      </c>
      <c r="CL841" s="10">
        <v>1</v>
      </c>
      <c r="CS841" s="10" t="s">
        <v>1185</v>
      </c>
    </row>
    <row r="842" spans="1:98">
      <c r="B842" t="s">
        <v>3777</v>
      </c>
      <c r="C842" s="2" t="s">
        <v>3778</v>
      </c>
      <c r="D842" s="2" t="s">
        <v>3778</v>
      </c>
      <c r="E842" s="8" t="s">
        <v>1288</v>
      </c>
      <c r="F842" s="8" t="s">
        <v>218</v>
      </c>
      <c r="G842" s="1">
        <v>1</v>
      </c>
      <c r="H842" s="1"/>
      <c r="I842" s="1">
        <f>1804-23</f>
        <v>1781</v>
      </c>
      <c r="J842" t="s">
        <v>10</v>
      </c>
      <c r="K842" t="s">
        <v>12</v>
      </c>
      <c r="Q842">
        <v>5</v>
      </c>
      <c r="R842">
        <v>4</v>
      </c>
      <c r="S842">
        <v>3</v>
      </c>
      <c r="T842" s="5">
        <f>((Q842*316)+(R842*26.3)+(S842*2.2))/10</f>
        <v>169.18</v>
      </c>
      <c r="U842" t="s">
        <v>3779</v>
      </c>
      <c r="AL842" s="7">
        <v>1</v>
      </c>
      <c r="BC842" t="s">
        <v>3780</v>
      </c>
      <c r="BD842" s="7" t="s">
        <v>103</v>
      </c>
      <c r="BE842" t="s">
        <v>1291</v>
      </c>
      <c r="BF842" s="1" t="s">
        <v>29</v>
      </c>
      <c r="BG842" s="1">
        <v>3</v>
      </c>
      <c r="BH842">
        <v>1</v>
      </c>
      <c r="BK842" s="1">
        <v>1</v>
      </c>
      <c r="BW842">
        <v>1</v>
      </c>
      <c r="CS842" s="7" t="s">
        <v>3786</v>
      </c>
    </row>
    <row r="843" spans="1:98">
      <c r="B843" t="s">
        <v>3781</v>
      </c>
      <c r="C843" s="2" t="s">
        <v>3782</v>
      </c>
      <c r="D843" s="2" t="s">
        <v>3784</v>
      </c>
      <c r="E843" s="8" t="s">
        <v>3783</v>
      </c>
      <c r="F843" s="8" t="s">
        <v>218</v>
      </c>
      <c r="G843" s="1">
        <v>1</v>
      </c>
      <c r="H843" s="1"/>
      <c r="I843" s="1">
        <f>1804-28</f>
        <v>1776</v>
      </c>
      <c r="J843" t="s">
        <v>10</v>
      </c>
      <c r="K843" t="s">
        <v>12</v>
      </c>
      <c r="Q843">
        <v>5</v>
      </c>
      <c r="R843">
        <v>3</v>
      </c>
      <c r="S843">
        <v>2</v>
      </c>
      <c r="T843" s="5">
        <f t="shared" si="42"/>
        <v>166.33</v>
      </c>
      <c r="U843" t="s">
        <v>3779</v>
      </c>
      <c r="AL843" s="7">
        <v>1</v>
      </c>
      <c r="BC843" t="s">
        <v>3785</v>
      </c>
      <c r="BD843" s="7" t="s">
        <v>103</v>
      </c>
      <c r="BE843" t="s">
        <v>1291</v>
      </c>
      <c r="BF843" s="1" t="s">
        <v>29</v>
      </c>
      <c r="BG843" s="1">
        <v>3</v>
      </c>
      <c r="BH843">
        <v>1</v>
      </c>
      <c r="BK843" s="1">
        <v>1</v>
      </c>
      <c r="BW843">
        <v>1</v>
      </c>
      <c r="CS843" s="7" t="s">
        <v>3787</v>
      </c>
    </row>
    <row r="844" spans="1:98">
      <c r="B844" t="s">
        <v>3790</v>
      </c>
      <c r="C844" s="2" t="s">
        <v>1286</v>
      </c>
      <c r="D844" s="2" t="s">
        <v>1286</v>
      </c>
      <c r="E844" s="8" t="s">
        <v>1288</v>
      </c>
      <c r="F844" s="8" t="s">
        <v>218</v>
      </c>
      <c r="G844" s="1">
        <v>1</v>
      </c>
      <c r="H844" s="1"/>
      <c r="I844" s="1">
        <f>1803-23</f>
        <v>1780</v>
      </c>
      <c r="J844" t="s">
        <v>10</v>
      </c>
      <c r="K844" t="s">
        <v>12</v>
      </c>
      <c r="Q844">
        <v>5</v>
      </c>
      <c r="R844">
        <v>3</v>
      </c>
      <c r="S844">
        <v>1</v>
      </c>
      <c r="T844" s="5">
        <f t="shared" si="42"/>
        <v>166.11</v>
      </c>
      <c r="U844" t="s">
        <v>1289</v>
      </c>
      <c r="AL844" s="7">
        <v>1</v>
      </c>
      <c r="AM844" s="7">
        <v>1</v>
      </c>
      <c r="AN844" s="7">
        <v>1</v>
      </c>
      <c r="BC844" t="s">
        <v>3791</v>
      </c>
      <c r="BD844" s="7" t="s">
        <v>103</v>
      </c>
      <c r="BE844" t="s">
        <v>1291</v>
      </c>
      <c r="BF844" s="1" t="s">
        <v>29</v>
      </c>
      <c r="BG844" s="1">
        <v>4</v>
      </c>
      <c r="BH844">
        <v>1</v>
      </c>
      <c r="BK844" s="1">
        <v>1</v>
      </c>
      <c r="BW844">
        <v>1</v>
      </c>
      <c r="CS844" s="7" t="s">
        <v>3792</v>
      </c>
    </row>
    <row r="845" spans="1:98">
      <c r="B845" t="s">
        <v>1285</v>
      </c>
      <c r="C845" s="2" t="s">
        <v>1286</v>
      </c>
      <c r="D845" s="2" t="s">
        <v>1287</v>
      </c>
      <c r="E845" s="8" t="s">
        <v>1288</v>
      </c>
      <c r="F845" s="8" t="s">
        <v>218</v>
      </c>
      <c r="G845" s="1">
        <v>1</v>
      </c>
      <c r="H845" s="1"/>
      <c r="I845" s="1">
        <f>1811-29</f>
        <v>1782</v>
      </c>
      <c r="J845" t="s">
        <v>10</v>
      </c>
      <c r="K845" t="s">
        <v>12</v>
      </c>
      <c r="Q845">
        <v>5</v>
      </c>
      <c r="R845">
        <v>3</v>
      </c>
      <c r="S845">
        <v>2</v>
      </c>
      <c r="T845" s="5">
        <f t="shared" si="42"/>
        <v>166.33</v>
      </c>
      <c r="U845" t="s">
        <v>1289</v>
      </c>
      <c r="AL845" s="6">
        <v>1</v>
      </c>
      <c r="AM845" s="6">
        <v>1</v>
      </c>
      <c r="AN845" s="6">
        <v>1</v>
      </c>
      <c r="AO845" s="6">
        <v>1</v>
      </c>
      <c r="AP845" s="6">
        <v>1</v>
      </c>
      <c r="AQ845" s="6">
        <v>1</v>
      </c>
      <c r="AR845" s="6">
        <v>1</v>
      </c>
      <c r="AS845" s="6">
        <v>1</v>
      </c>
      <c r="AT845" s="7">
        <v>1</v>
      </c>
      <c r="BC845" t="s">
        <v>1290</v>
      </c>
      <c r="BD845" s="7" t="s">
        <v>959</v>
      </c>
      <c r="BE845" s="7" t="s">
        <v>2334</v>
      </c>
      <c r="BF845" s="1" t="s">
        <v>29</v>
      </c>
      <c r="BG845" s="1">
        <v>2</v>
      </c>
      <c r="BH845">
        <v>2</v>
      </c>
      <c r="BK845" s="1">
        <v>1</v>
      </c>
      <c r="BW845">
        <v>1</v>
      </c>
      <c r="CB845" s="7">
        <v>1</v>
      </c>
      <c r="CS845" s="7" t="s">
        <v>2312</v>
      </c>
    </row>
    <row r="846" spans="1:98">
      <c r="B846" t="s">
        <v>2323</v>
      </c>
      <c r="C846" s="2" t="s">
        <v>2325</v>
      </c>
      <c r="D846" s="2" t="s">
        <v>2324</v>
      </c>
      <c r="E846" s="8" t="s">
        <v>1555</v>
      </c>
      <c r="F846" s="8" t="s">
        <v>218</v>
      </c>
      <c r="G846" s="1">
        <v>1</v>
      </c>
      <c r="H846" s="1"/>
      <c r="I846" s="1">
        <f>1806-22</f>
        <v>1784</v>
      </c>
      <c r="J846" t="s">
        <v>10</v>
      </c>
      <c r="K846" t="s">
        <v>12</v>
      </c>
      <c r="Q846">
        <v>5</v>
      </c>
      <c r="R846">
        <v>4</v>
      </c>
      <c r="T846" s="5">
        <f t="shared" si="42"/>
        <v>168.52</v>
      </c>
      <c r="U846" t="s">
        <v>1289</v>
      </c>
      <c r="AL846" s="6">
        <v>1</v>
      </c>
      <c r="AM846" s="6">
        <v>1</v>
      </c>
      <c r="AN846" s="6">
        <v>1</v>
      </c>
      <c r="AO846" s="6">
        <v>1</v>
      </c>
      <c r="AP846" s="7">
        <v>1</v>
      </c>
      <c r="BC846" t="s">
        <v>2326</v>
      </c>
      <c r="BD846" s="7" t="s">
        <v>959</v>
      </c>
      <c r="BE846" s="7" t="s">
        <v>1558</v>
      </c>
      <c r="BF846" s="1" t="s">
        <v>29</v>
      </c>
      <c r="BG846" s="1">
        <v>3</v>
      </c>
      <c r="BH846">
        <v>2</v>
      </c>
      <c r="BI846">
        <v>1</v>
      </c>
      <c r="BJ846">
        <v>1</v>
      </c>
      <c r="BK846" s="1">
        <v>1</v>
      </c>
      <c r="BQ846">
        <v>1</v>
      </c>
      <c r="CB846" s="7">
        <v>1</v>
      </c>
      <c r="CM846">
        <v>1</v>
      </c>
      <c r="CS846" s="7" t="s">
        <v>2327</v>
      </c>
    </row>
    <row r="847" spans="1:98">
      <c r="B847" t="s">
        <v>3742</v>
      </c>
      <c r="C847" s="2" t="s">
        <v>3741</v>
      </c>
      <c r="D847" s="2" t="s">
        <v>3740</v>
      </c>
      <c r="E847" s="8" t="s">
        <v>571</v>
      </c>
      <c r="F847" s="8" t="s">
        <v>218</v>
      </c>
      <c r="G847" s="1">
        <v>1</v>
      </c>
      <c r="H847" s="1"/>
      <c r="I847" s="1">
        <f>1804-18</f>
        <v>1786</v>
      </c>
      <c r="J847" t="s">
        <v>10</v>
      </c>
      <c r="K847" t="s">
        <v>12</v>
      </c>
      <c r="Q847">
        <v>5</v>
      </c>
      <c r="R847">
        <v>3</v>
      </c>
      <c r="T847" s="5">
        <f t="shared" si="42"/>
        <v>165.89000000000001</v>
      </c>
      <c r="U847" t="s">
        <v>3739</v>
      </c>
      <c r="AL847" s="6">
        <v>1</v>
      </c>
      <c r="BC847">
        <v>1804</v>
      </c>
      <c r="BD847" t="s">
        <v>81</v>
      </c>
      <c r="BE847" t="s">
        <v>3743</v>
      </c>
      <c r="BF847" s="1" t="s">
        <v>73</v>
      </c>
      <c r="BG847" s="1">
        <v>1</v>
      </c>
      <c r="BH847">
        <v>1</v>
      </c>
      <c r="BK847" s="1">
        <v>1</v>
      </c>
      <c r="BW847">
        <v>1</v>
      </c>
      <c r="CS847" t="s">
        <v>3744</v>
      </c>
    </row>
    <row r="848" spans="1:98">
      <c r="B848" t="s">
        <v>4698</v>
      </c>
      <c r="C848" s="2" t="s">
        <v>3630</v>
      </c>
      <c r="D848" s="2" t="s">
        <v>3630</v>
      </c>
      <c r="E848" s="8" t="s">
        <v>565</v>
      </c>
      <c r="F848" s="8" t="s">
        <v>357</v>
      </c>
      <c r="G848" s="1">
        <v>1</v>
      </c>
      <c r="H848" s="1"/>
      <c r="I848" s="1">
        <f>1806-20</f>
        <v>1786</v>
      </c>
      <c r="J848" t="s">
        <v>10</v>
      </c>
      <c r="K848" t="s">
        <v>116</v>
      </c>
      <c r="Q848">
        <v>5</v>
      </c>
      <c r="R848">
        <v>5</v>
      </c>
      <c r="S848">
        <v>3</v>
      </c>
      <c r="T848" s="5">
        <f t="shared" si="42"/>
        <v>171.81</v>
      </c>
      <c r="U848" t="s">
        <v>4699</v>
      </c>
      <c r="AL848" s="6">
        <v>1</v>
      </c>
      <c r="AM848" s="6">
        <v>1</v>
      </c>
      <c r="AN848" s="6">
        <v>1</v>
      </c>
      <c r="BC848">
        <v>1806</v>
      </c>
      <c r="BD848" t="s">
        <v>81</v>
      </c>
      <c r="BE848" t="s">
        <v>1564</v>
      </c>
      <c r="BF848" s="1" t="s">
        <v>73</v>
      </c>
      <c r="BG848" s="1">
        <v>2</v>
      </c>
      <c r="BH848">
        <v>1</v>
      </c>
      <c r="BK848" s="1"/>
      <c r="BO848">
        <v>1</v>
      </c>
      <c r="BQ848">
        <v>1</v>
      </c>
      <c r="CG848">
        <v>1</v>
      </c>
      <c r="CM848">
        <v>1</v>
      </c>
      <c r="CS848" t="s">
        <v>4700</v>
      </c>
    </row>
    <row r="849" spans="2:98">
      <c r="B849" t="s">
        <v>1375</v>
      </c>
      <c r="C849" s="2" t="s">
        <v>224</v>
      </c>
      <c r="D849" s="15"/>
      <c r="F849" s="8" t="s">
        <v>115</v>
      </c>
      <c r="G849" s="1">
        <v>1</v>
      </c>
      <c r="H849" s="1"/>
      <c r="I849" s="1"/>
      <c r="T849" s="5"/>
      <c r="U849" s="9" t="s">
        <v>1376</v>
      </c>
      <c r="AL849" s="9">
        <v>1</v>
      </c>
      <c r="BC849" t="s">
        <v>1377</v>
      </c>
      <c r="BD849" s="7" t="s">
        <v>103</v>
      </c>
      <c r="BE849" t="s">
        <v>125</v>
      </c>
      <c r="BF849" s="1" t="s">
        <v>29</v>
      </c>
      <c r="BG849" s="1">
        <v>1</v>
      </c>
      <c r="BH849">
        <v>1</v>
      </c>
      <c r="BK849" s="29" t="s">
        <v>72</v>
      </c>
      <c r="BQ849">
        <v>1</v>
      </c>
      <c r="CS849" s="7" t="s">
        <v>1378</v>
      </c>
      <c r="CT849" s="9" t="s">
        <v>1379</v>
      </c>
    </row>
    <row r="850" spans="2:98">
      <c r="B850" t="s">
        <v>1380</v>
      </c>
      <c r="C850" s="2" t="s">
        <v>224</v>
      </c>
      <c r="D850" s="2" t="s">
        <v>224</v>
      </c>
      <c r="E850" s="8" t="s">
        <v>1381</v>
      </c>
      <c r="F850" s="8" t="s">
        <v>115</v>
      </c>
      <c r="G850" s="1">
        <v>1</v>
      </c>
      <c r="H850" s="1"/>
      <c r="I850" s="1">
        <f>1804-21</f>
        <v>1783</v>
      </c>
      <c r="J850" t="s">
        <v>10</v>
      </c>
      <c r="K850" t="s">
        <v>12</v>
      </c>
      <c r="Q850">
        <v>5</v>
      </c>
      <c r="R850">
        <v>3</v>
      </c>
      <c r="T850" s="5">
        <f t="shared" ref="T850:T860" si="43">((Q850*316)+(R850*26.3)+(S850*2.2))/10</f>
        <v>165.89000000000001</v>
      </c>
      <c r="U850" t="s">
        <v>1382</v>
      </c>
      <c r="AL850" s="7">
        <v>1</v>
      </c>
      <c r="BC850" t="s">
        <v>1383</v>
      </c>
      <c r="BD850" s="7" t="s">
        <v>103</v>
      </c>
      <c r="BE850" t="s">
        <v>125</v>
      </c>
      <c r="BF850" s="1" t="s">
        <v>29</v>
      </c>
      <c r="BG850" s="1">
        <v>1</v>
      </c>
      <c r="BH850">
        <v>1</v>
      </c>
      <c r="BK850" s="1"/>
      <c r="BO850">
        <v>1</v>
      </c>
      <c r="BQ850">
        <v>1</v>
      </c>
      <c r="CS850" s="7" t="s">
        <v>1378</v>
      </c>
    </row>
    <row r="851" spans="2:98">
      <c r="B851" t="s">
        <v>4335</v>
      </c>
      <c r="C851" s="2" t="s">
        <v>4336</v>
      </c>
      <c r="D851" s="2" t="s">
        <v>4336</v>
      </c>
      <c r="E851" s="8" t="s">
        <v>627</v>
      </c>
      <c r="F851" s="8" t="s">
        <v>357</v>
      </c>
      <c r="G851" s="1">
        <v>1</v>
      </c>
      <c r="H851" s="1"/>
      <c r="I851" s="1">
        <f>1811-25</f>
        <v>1786</v>
      </c>
      <c r="J851" t="s">
        <v>10</v>
      </c>
      <c r="K851" t="s">
        <v>12</v>
      </c>
      <c r="Q851">
        <v>5</v>
      </c>
      <c r="R851">
        <v>4</v>
      </c>
      <c r="S851">
        <v>3</v>
      </c>
      <c r="T851" s="5">
        <f t="shared" si="43"/>
        <v>169.18</v>
      </c>
      <c r="U851" t="s">
        <v>4337</v>
      </c>
      <c r="AL851" s="6">
        <v>1</v>
      </c>
      <c r="AM851" s="6">
        <v>1</v>
      </c>
      <c r="AN851" s="6">
        <v>1</v>
      </c>
      <c r="AO851" s="6">
        <v>1</v>
      </c>
      <c r="AP851" s="6">
        <v>1</v>
      </c>
      <c r="AQ851" s="6">
        <v>1</v>
      </c>
      <c r="AR851" s="6">
        <v>1</v>
      </c>
      <c r="AS851" s="6">
        <v>1</v>
      </c>
      <c r="BC851">
        <v>1811</v>
      </c>
      <c r="BD851" t="s">
        <v>81</v>
      </c>
      <c r="BE851" t="s">
        <v>4328</v>
      </c>
      <c r="BF851" s="1" t="s">
        <v>29</v>
      </c>
      <c r="BG851" s="1">
        <v>1</v>
      </c>
      <c r="BH851">
        <v>1</v>
      </c>
      <c r="BK851" s="1" t="s">
        <v>72</v>
      </c>
      <c r="BQ851">
        <v>1</v>
      </c>
      <c r="CS851" t="s">
        <v>4329</v>
      </c>
    </row>
    <row r="852" spans="2:98">
      <c r="B852" t="s">
        <v>3262</v>
      </c>
      <c r="C852" s="2" t="s">
        <v>3263</v>
      </c>
      <c r="D852" s="15"/>
      <c r="F852" s="8" t="s">
        <v>3264</v>
      </c>
      <c r="G852" s="1"/>
      <c r="H852" s="1">
        <v>1</v>
      </c>
      <c r="I852" s="1">
        <f>1805-19</f>
        <v>1786</v>
      </c>
      <c r="J852" t="s">
        <v>69</v>
      </c>
      <c r="K852" t="s">
        <v>12</v>
      </c>
      <c r="L852">
        <v>1</v>
      </c>
      <c r="Q852">
        <v>5</v>
      </c>
      <c r="R852">
        <v>3</v>
      </c>
      <c r="S852">
        <v>1</v>
      </c>
      <c r="T852" s="5">
        <f t="shared" si="43"/>
        <v>166.11</v>
      </c>
      <c r="U852" t="s">
        <v>3265</v>
      </c>
      <c r="AL852" s="6">
        <v>1</v>
      </c>
      <c r="AM852" s="6">
        <v>1</v>
      </c>
      <c r="AN852" s="6">
        <v>1</v>
      </c>
      <c r="AO852" s="6">
        <v>1</v>
      </c>
      <c r="AP852" s="6">
        <v>1</v>
      </c>
      <c r="AQ852" s="6">
        <v>1</v>
      </c>
      <c r="AR852" s="7">
        <v>1</v>
      </c>
      <c r="BC852" t="s">
        <v>2729</v>
      </c>
      <c r="BD852" s="7" t="s">
        <v>103</v>
      </c>
      <c r="BE852" t="s">
        <v>2407</v>
      </c>
      <c r="BF852" s="1" t="s">
        <v>29</v>
      </c>
      <c r="BG852" s="1">
        <v>5</v>
      </c>
      <c r="BH852">
        <v>1</v>
      </c>
      <c r="BK852" s="1"/>
      <c r="BO852">
        <v>1</v>
      </c>
      <c r="BQ852">
        <v>1</v>
      </c>
      <c r="CM852">
        <v>1</v>
      </c>
      <c r="CR852">
        <v>1</v>
      </c>
      <c r="CS852" s="7" t="s">
        <v>412</v>
      </c>
    </row>
    <row r="853" spans="2:98">
      <c r="B853" t="s">
        <v>4461</v>
      </c>
      <c r="C853" s="2" t="s">
        <v>191</v>
      </c>
      <c r="D853" s="26" t="s">
        <v>192</v>
      </c>
      <c r="E853" s="8" t="s">
        <v>193</v>
      </c>
      <c r="F853" s="8" t="s">
        <v>65</v>
      </c>
      <c r="G853" s="1">
        <v>1</v>
      </c>
      <c r="H853" s="1"/>
      <c r="I853" s="1">
        <f>1811-31</f>
        <v>1780</v>
      </c>
      <c r="J853" t="s">
        <v>69</v>
      </c>
      <c r="K853" t="s">
        <v>12</v>
      </c>
      <c r="Q853">
        <v>5</v>
      </c>
      <c r="T853" s="5">
        <f t="shared" si="43"/>
        <v>158</v>
      </c>
      <c r="U853" t="s">
        <v>4462</v>
      </c>
      <c r="AM853" s="6">
        <v>1</v>
      </c>
      <c r="AN853" s="6">
        <v>1</v>
      </c>
      <c r="AO853" s="6">
        <v>1</v>
      </c>
      <c r="AP853" s="6">
        <v>1</v>
      </c>
      <c r="AQ853" s="6">
        <v>1</v>
      </c>
      <c r="AR853" s="6">
        <v>1</v>
      </c>
      <c r="AS853" s="6">
        <v>1</v>
      </c>
      <c r="BC853">
        <v>1811</v>
      </c>
      <c r="BD853" t="s">
        <v>81</v>
      </c>
      <c r="BE853" t="s">
        <v>151</v>
      </c>
      <c r="BF853" s="1" t="s">
        <v>73</v>
      </c>
      <c r="BG853" s="1">
        <v>1</v>
      </c>
      <c r="BH853">
        <v>2</v>
      </c>
      <c r="BK853" s="1">
        <v>1</v>
      </c>
      <c r="BQ853">
        <v>1</v>
      </c>
      <c r="CL853">
        <v>1</v>
      </c>
      <c r="CS853" t="s">
        <v>4198</v>
      </c>
    </row>
    <row r="854" spans="2:98">
      <c r="B854" t="s">
        <v>4471</v>
      </c>
      <c r="C854" s="2" t="s">
        <v>815</v>
      </c>
      <c r="D854" s="26" t="s">
        <v>1536</v>
      </c>
      <c r="E854" s="8" t="s">
        <v>130</v>
      </c>
      <c r="F854" s="8" t="s">
        <v>65</v>
      </c>
      <c r="G854" s="1">
        <v>1</v>
      </c>
      <c r="H854" s="1"/>
      <c r="I854" s="1">
        <f>1811-23</f>
        <v>1788</v>
      </c>
      <c r="J854" t="s">
        <v>10</v>
      </c>
      <c r="K854" t="s">
        <v>12</v>
      </c>
      <c r="Q854">
        <v>5</v>
      </c>
      <c r="R854">
        <v>4</v>
      </c>
      <c r="S854">
        <v>1</v>
      </c>
      <c r="T854" s="5">
        <f t="shared" si="43"/>
        <v>168.74</v>
      </c>
      <c r="U854" t="s">
        <v>4472</v>
      </c>
      <c r="AM854" s="6">
        <v>1</v>
      </c>
      <c r="AN854" s="6">
        <v>1</v>
      </c>
      <c r="AO854" s="6">
        <v>1</v>
      </c>
      <c r="AP854" s="6">
        <v>1</v>
      </c>
      <c r="AQ854" s="6">
        <v>1</v>
      </c>
      <c r="AR854" s="6">
        <v>1</v>
      </c>
      <c r="AS854" s="6">
        <v>1</v>
      </c>
      <c r="BC854">
        <v>1811</v>
      </c>
      <c r="BD854" t="s">
        <v>81</v>
      </c>
      <c r="BE854" t="s">
        <v>151</v>
      </c>
      <c r="BF854" s="1" t="s">
        <v>73</v>
      </c>
      <c r="BG854" s="1">
        <v>1</v>
      </c>
      <c r="BH854">
        <v>1</v>
      </c>
      <c r="BK854" s="1">
        <v>1</v>
      </c>
      <c r="BQ854">
        <v>1</v>
      </c>
      <c r="CS854" t="s">
        <v>4198</v>
      </c>
    </row>
    <row r="855" spans="2:98">
      <c r="B855" t="s">
        <v>4394</v>
      </c>
      <c r="C855" s="2" t="s">
        <v>2385</v>
      </c>
      <c r="D855" s="26" t="s">
        <v>3001</v>
      </c>
      <c r="E855" s="8" t="s">
        <v>696</v>
      </c>
      <c r="F855" s="8" t="s">
        <v>115</v>
      </c>
      <c r="G855" s="1">
        <v>1</v>
      </c>
      <c r="H855" s="1"/>
      <c r="I855" s="1">
        <f>1811-27</f>
        <v>1784</v>
      </c>
      <c r="J855" t="s">
        <v>10</v>
      </c>
      <c r="K855" t="s">
        <v>12</v>
      </c>
      <c r="Q855">
        <v>5</v>
      </c>
      <c r="R855">
        <v>4</v>
      </c>
      <c r="T855" s="5">
        <f t="shared" si="43"/>
        <v>168.52</v>
      </c>
      <c r="U855" t="s">
        <v>4395</v>
      </c>
      <c r="AM855" s="6">
        <v>1</v>
      </c>
      <c r="AN855" s="6">
        <v>1</v>
      </c>
      <c r="AO855" s="6">
        <v>1</v>
      </c>
      <c r="AP855" s="6">
        <v>1</v>
      </c>
      <c r="AQ855" s="6">
        <v>1</v>
      </c>
      <c r="AR855" s="6">
        <v>1</v>
      </c>
      <c r="AS855" s="6">
        <v>1</v>
      </c>
      <c r="AT855" s="6">
        <v>1</v>
      </c>
      <c r="AU855" s="6">
        <v>1</v>
      </c>
      <c r="AV855" s="6">
        <v>1</v>
      </c>
      <c r="AW855" s="6">
        <v>1</v>
      </c>
      <c r="AX855" s="6">
        <v>1</v>
      </c>
      <c r="AY855" s="6">
        <v>1</v>
      </c>
      <c r="AZ855" s="6">
        <v>1</v>
      </c>
      <c r="BA855" s="6">
        <v>1</v>
      </c>
      <c r="BB855" s="7">
        <v>1</v>
      </c>
      <c r="BC855" t="s">
        <v>4396</v>
      </c>
      <c r="BD855" s="7" t="s">
        <v>109</v>
      </c>
      <c r="BE855" t="s">
        <v>2635</v>
      </c>
      <c r="BF855" s="1" t="s">
        <v>29</v>
      </c>
      <c r="BG855" s="1">
        <v>5</v>
      </c>
      <c r="BH855">
        <v>3</v>
      </c>
      <c r="BK855" s="1">
        <v>1</v>
      </c>
      <c r="BQ855">
        <v>1</v>
      </c>
      <c r="CL855">
        <v>1</v>
      </c>
      <c r="CS855" s="7" t="s">
        <v>1602</v>
      </c>
    </row>
    <row r="856" spans="2:98">
      <c r="B856" t="s">
        <v>4368</v>
      </c>
      <c r="C856" s="2" t="s">
        <v>4369</v>
      </c>
      <c r="D856" s="2" t="s">
        <v>4369</v>
      </c>
      <c r="E856" s="8" t="s">
        <v>1912</v>
      </c>
      <c r="F856" s="8" t="s">
        <v>65</v>
      </c>
      <c r="G856" s="1">
        <v>1</v>
      </c>
      <c r="H856" s="1"/>
      <c r="I856" s="1">
        <f>1811-26</f>
        <v>1785</v>
      </c>
      <c r="J856" t="s">
        <v>10</v>
      </c>
      <c r="K856" t="s">
        <v>12</v>
      </c>
      <c r="Q856">
        <v>5</v>
      </c>
      <c r="R856">
        <v>6</v>
      </c>
      <c r="S856">
        <v>2</v>
      </c>
      <c r="T856" s="5">
        <f t="shared" si="43"/>
        <v>174.22</v>
      </c>
      <c r="U856" t="s">
        <v>4367</v>
      </c>
      <c r="AM856" s="6">
        <v>1</v>
      </c>
      <c r="AN856" s="6">
        <v>1</v>
      </c>
      <c r="AO856" s="6">
        <v>1</v>
      </c>
      <c r="AP856" s="6">
        <v>1</v>
      </c>
      <c r="AQ856" s="6">
        <v>1</v>
      </c>
      <c r="AR856" s="6">
        <v>1</v>
      </c>
      <c r="AS856" s="6">
        <v>1</v>
      </c>
      <c r="BC856">
        <v>1811</v>
      </c>
      <c r="BD856" t="s">
        <v>81</v>
      </c>
      <c r="BE856" t="s">
        <v>4328</v>
      </c>
      <c r="BF856" s="1" t="s">
        <v>73</v>
      </c>
      <c r="BG856" s="1">
        <v>1</v>
      </c>
      <c r="BH856">
        <v>1</v>
      </c>
      <c r="BK856" s="1" t="s">
        <v>72</v>
      </c>
      <c r="BQ856">
        <v>1</v>
      </c>
      <c r="CF856">
        <v>1</v>
      </c>
      <c r="CS856" t="s">
        <v>4366</v>
      </c>
    </row>
    <row r="857" spans="2:98">
      <c r="B857" t="s">
        <v>4708</v>
      </c>
      <c r="C857" s="2" t="s">
        <v>349</v>
      </c>
      <c r="D857" s="26" t="s">
        <v>4709</v>
      </c>
      <c r="E857" s="8" t="s">
        <v>2121</v>
      </c>
      <c r="F857" s="8" t="s">
        <v>65</v>
      </c>
      <c r="G857" s="1">
        <v>1</v>
      </c>
      <c r="H857" s="1"/>
      <c r="I857" s="1">
        <f>1805-20</f>
        <v>1785</v>
      </c>
      <c r="J857" t="s">
        <v>10</v>
      </c>
      <c r="K857" t="s">
        <v>12</v>
      </c>
      <c r="Q857">
        <v>5</v>
      </c>
      <c r="R857">
        <v>3</v>
      </c>
      <c r="S857">
        <v>1</v>
      </c>
      <c r="T857" s="5">
        <f t="shared" si="43"/>
        <v>166.11</v>
      </c>
      <c r="U857" t="s">
        <v>4584</v>
      </c>
      <c r="AM857" s="6">
        <v>1</v>
      </c>
      <c r="AN857" s="6">
        <v>1</v>
      </c>
      <c r="BC857">
        <v>1806</v>
      </c>
      <c r="BD857" t="s">
        <v>81</v>
      </c>
      <c r="BE857" t="s">
        <v>1564</v>
      </c>
      <c r="BF857" s="1" t="s">
        <v>73</v>
      </c>
      <c r="BG857" s="1">
        <v>2</v>
      </c>
      <c r="BH857">
        <v>1</v>
      </c>
      <c r="BK857" s="1">
        <v>1</v>
      </c>
      <c r="BQ857">
        <v>1</v>
      </c>
      <c r="CS857" t="s">
        <v>4703</v>
      </c>
    </row>
    <row r="858" spans="2:98">
      <c r="B858" t="s">
        <v>2152</v>
      </c>
      <c r="C858" s="2" t="s">
        <v>2094</v>
      </c>
      <c r="D858" s="2" t="s">
        <v>2094</v>
      </c>
      <c r="E858" s="8" t="s">
        <v>920</v>
      </c>
      <c r="F858" s="8" t="s">
        <v>115</v>
      </c>
      <c r="G858" s="1">
        <v>1</v>
      </c>
      <c r="H858" s="1"/>
      <c r="I858" s="1">
        <f>1805-28</f>
        <v>1777</v>
      </c>
      <c r="J858" t="s">
        <v>10</v>
      </c>
      <c r="K858" t="s">
        <v>12</v>
      </c>
      <c r="Q858">
        <v>5</v>
      </c>
      <c r="R858">
        <v>4</v>
      </c>
      <c r="S858">
        <v>2</v>
      </c>
      <c r="T858" s="5">
        <f t="shared" si="43"/>
        <v>168.96</v>
      </c>
      <c r="U858" t="s">
        <v>2151</v>
      </c>
      <c r="AM858" s="6">
        <v>1</v>
      </c>
      <c r="AN858" s="7">
        <v>1</v>
      </c>
      <c r="BC858" t="s">
        <v>1501</v>
      </c>
      <c r="BD858" s="7" t="s">
        <v>103</v>
      </c>
      <c r="BE858" t="s">
        <v>1502</v>
      </c>
      <c r="BF858" s="1" t="s">
        <v>29</v>
      </c>
      <c r="BG858" s="1">
        <v>3</v>
      </c>
      <c r="BH858">
        <v>1</v>
      </c>
      <c r="BK858" s="1">
        <v>1</v>
      </c>
      <c r="BQ858">
        <v>1</v>
      </c>
      <c r="CS858" s="7" t="s">
        <v>2089</v>
      </c>
    </row>
    <row r="859" spans="2:98">
      <c r="B859" t="s">
        <v>4707</v>
      </c>
      <c r="C859" s="2" t="s">
        <v>145</v>
      </c>
      <c r="D859" s="2" t="s">
        <v>145</v>
      </c>
      <c r="E859" s="8" t="s">
        <v>146</v>
      </c>
      <c r="F859" s="8" t="s">
        <v>65</v>
      </c>
      <c r="G859" s="1">
        <v>1</v>
      </c>
      <c r="H859" s="1"/>
      <c r="I859" s="1">
        <f>1806-18</f>
        <v>1788</v>
      </c>
      <c r="J859" t="s">
        <v>10</v>
      </c>
      <c r="K859" t="s">
        <v>12</v>
      </c>
      <c r="Q859">
        <v>5</v>
      </c>
      <c r="R859">
        <v>2</v>
      </c>
      <c r="S859">
        <v>2</v>
      </c>
      <c r="T859" s="5">
        <f t="shared" si="43"/>
        <v>163.69999999999999</v>
      </c>
      <c r="U859" t="s">
        <v>2151</v>
      </c>
      <c r="AM859" s="6">
        <v>1</v>
      </c>
      <c r="AN859" s="6">
        <v>1</v>
      </c>
      <c r="BC859">
        <v>1806</v>
      </c>
      <c r="BD859" t="s">
        <v>81</v>
      </c>
      <c r="BE859" t="s">
        <v>1564</v>
      </c>
      <c r="BF859" s="1" t="s">
        <v>73</v>
      </c>
      <c r="BG859" s="1">
        <v>2</v>
      </c>
      <c r="BH859">
        <v>1</v>
      </c>
      <c r="BK859" s="1">
        <v>1</v>
      </c>
      <c r="BQ859">
        <v>1</v>
      </c>
      <c r="CM859">
        <v>1</v>
      </c>
      <c r="CS859" t="s">
        <v>4703</v>
      </c>
    </row>
    <row r="860" spans="2:98">
      <c r="B860" t="s">
        <v>2436</v>
      </c>
      <c r="C860" s="13" t="s">
        <v>2437</v>
      </c>
      <c r="D860" s="15"/>
      <c r="E860" s="8" t="s">
        <v>1735</v>
      </c>
      <c r="F860" s="8" t="s">
        <v>115</v>
      </c>
      <c r="G860" s="1">
        <v>1</v>
      </c>
      <c r="H860" s="1"/>
      <c r="I860" s="1">
        <f>1811-27</f>
        <v>1784</v>
      </c>
      <c r="J860" t="s">
        <v>10</v>
      </c>
      <c r="K860" t="s">
        <v>12</v>
      </c>
      <c r="Q860">
        <v>5</v>
      </c>
      <c r="R860">
        <v>3</v>
      </c>
      <c r="S860">
        <v>1</v>
      </c>
      <c r="T860" s="5">
        <f t="shared" si="43"/>
        <v>166.11</v>
      </c>
      <c r="U860" t="s">
        <v>2198</v>
      </c>
      <c r="AM860" s="6">
        <v>1</v>
      </c>
      <c r="AN860" s="6">
        <v>1</v>
      </c>
      <c r="AO860" s="6">
        <v>1</v>
      </c>
      <c r="AP860" s="6">
        <v>1</v>
      </c>
      <c r="AQ860" s="6">
        <v>1</v>
      </c>
      <c r="AR860" s="6">
        <v>1</v>
      </c>
      <c r="AS860" s="6">
        <v>1</v>
      </c>
      <c r="AT860" s="6">
        <v>1</v>
      </c>
      <c r="AU860" s="6">
        <v>1</v>
      </c>
      <c r="AV860" s="6">
        <v>1</v>
      </c>
      <c r="AW860" s="6">
        <v>1</v>
      </c>
      <c r="AX860" s="6">
        <v>1</v>
      </c>
      <c r="AY860" s="7">
        <v>1</v>
      </c>
      <c r="BC860" t="s">
        <v>2438</v>
      </c>
      <c r="BD860" s="7" t="s">
        <v>959</v>
      </c>
      <c r="BE860" s="7" t="s">
        <v>2390</v>
      </c>
      <c r="BF860" s="1" t="s">
        <v>29</v>
      </c>
      <c r="BG860" s="1">
        <v>2</v>
      </c>
      <c r="BH860">
        <v>3</v>
      </c>
      <c r="BK860" s="1">
        <v>1</v>
      </c>
      <c r="BQ860">
        <v>1</v>
      </c>
      <c r="CB860" s="7">
        <v>1</v>
      </c>
      <c r="CL860">
        <v>1</v>
      </c>
      <c r="CS860" s="7" t="s">
        <v>2439</v>
      </c>
    </row>
    <row r="861" spans="2:98">
      <c r="B861" t="s">
        <v>1600</v>
      </c>
      <c r="C861" s="2" t="s">
        <v>1601</v>
      </c>
      <c r="D861" s="15"/>
      <c r="F861" s="8" t="s">
        <v>4274</v>
      </c>
      <c r="G861" s="1"/>
      <c r="H861" s="1">
        <v>1</v>
      </c>
      <c r="I861" s="1">
        <f>1806-24</f>
        <v>1782</v>
      </c>
      <c r="J861" t="s">
        <v>10</v>
      </c>
      <c r="K861" t="s">
        <v>12</v>
      </c>
      <c r="Q861">
        <v>5</v>
      </c>
      <c r="R861">
        <v>6</v>
      </c>
      <c r="S861">
        <v>2</v>
      </c>
      <c r="T861" s="5">
        <f t="shared" ref="T861:T904" si="44">((Q861*316)+(R861*26.3)+(S861*2.2))/10</f>
        <v>174.22</v>
      </c>
      <c r="U861" t="s">
        <v>1599</v>
      </c>
      <c r="AM861" s="6">
        <v>1</v>
      </c>
      <c r="AN861" s="6">
        <v>1</v>
      </c>
      <c r="AO861" s="6">
        <v>1</v>
      </c>
      <c r="AP861" s="6">
        <v>1</v>
      </c>
      <c r="AQ861" s="6">
        <v>1</v>
      </c>
      <c r="AR861" s="7">
        <v>1</v>
      </c>
      <c r="BC861" t="s">
        <v>574</v>
      </c>
      <c r="BD861" s="7" t="s">
        <v>109</v>
      </c>
      <c r="BE861" t="s">
        <v>62</v>
      </c>
      <c r="BF861" s="1" t="s">
        <v>29</v>
      </c>
      <c r="BG861" s="1">
        <v>4</v>
      </c>
      <c r="BH861">
        <v>1</v>
      </c>
      <c r="BK861" s="1"/>
      <c r="BO861">
        <v>1</v>
      </c>
      <c r="BQ861">
        <v>1</v>
      </c>
      <c r="CS861" s="7" t="s">
        <v>1602</v>
      </c>
    </row>
    <row r="862" spans="2:98">
      <c r="B862" t="s">
        <v>3064</v>
      </c>
      <c r="C862" s="2" t="s">
        <v>1911</v>
      </c>
      <c r="D862" s="2" t="s">
        <v>1911</v>
      </c>
      <c r="E862" s="8" t="s">
        <v>1912</v>
      </c>
      <c r="F862" s="8" t="s">
        <v>65</v>
      </c>
      <c r="G862" s="1">
        <v>1</v>
      </c>
      <c r="H862" s="1"/>
      <c r="I862" s="1">
        <f>1805-24</f>
        <v>1781</v>
      </c>
      <c r="J862" t="s">
        <v>10</v>
      </c>
      <c r="K862" t="s">
        <v>197</v>
      </c>
      <c r="Q862">
        <v>5</v>
      </c>
      <c r="R862">
        <v>5</v>
      </c>
      <c r="T862" s="5">
        <f t="shared" si="44"/>
        <v>171.15</v>
      </c>
      <c r="U862" s="38" t="s">
        <v>3258</v>
      </c>
      <c r="AM862" s="7">
        <v>1</v>
      </c>
      <c r="BC862" t="s">
        <v>3065</v>
      </c>
      <c r="BD862" s="7" t="s">
        <v>103</v>
      </c>
      <c r="BE862" t="s">
        <v>2407</v>
      </c>
      <c r="BF862" s="1" t="s">
        <v>29</v>
      </c>
      <c r="BG862" s="1">
        <v>2</v>
      </c>
      <c r="BH862">
        <v>1</v>
      </c>
      <c r="BK862" s="1">
        <v>1</v>
      </c>
      <c r="BQ862">
        <v>1</v>
      </c>
      <c r="CS862" s="7" t="s">
        <v>3066</v>
      </c>
    </row>
    <row r="863" spans="2:98">
      <c r="B863" t="s">
        <v>3276</v>
      </c>
      <c r="C863" s="2" t="s">
        <v>1911</v>
      </c>
      <c r="D863" s="2" t="s">
        <v>1911</v>
      </c>
      <c r="E863" s="8" t="s">
        <v>1912</v>
      </c>
      <c r="F863" s="8" t="s">
        <v>65</v>
      </c>
      <c r="G863" s="1">
        <v>1</v>
      </c>
      <c r="H863" s="1"/>
      <c r="I863" s="1">
        <f>1806-23</f>
        <v>1783</v>
      </c>
      <c r="J863" t="s">
        <v>10</v>
      </c>
      <c r="K863" t="s">
        <v>197</v>
      </c>
      <c r="Q863">
        <v>5</v>
      </c>
      <c r="R863">
        <v>3</v>
      </c>
      <c r="T863" s="5">
        <f>((Q863*316)+(R863*26.3)+(S863*2.2))/10</f>
        <v>165.89000000000001</v>
      </c>
      <c r="U863" s="38" t="s">
        <v>3258</v>
      </c>
      <c r="AM863" s="6">
        <v>1</v>
      </c>
      <c r="AN863" s="6">
        <v>1</v>
      </c>
      <c r="AO863" s="6">
        <v>1</v>
      </c>
      <c r="AP863" s="6">
        <v>1</v>
      </c>
      <c r="AQ863" s="6">
        <v>1</v>
      </c>
      <c r="AR863" s="6">
        <v>1</v>
      </c>
      <c r="AS863" s="7">
        <v>1</v>
      </c>
      <c r="BC863" t="s">
        <v>3330</v>
      </c>
      <c r="BD863" s="7" t="s">
        <v>959</v>
      </c>
      <c r="BE863" s="7" t="s">
        <v>2390</v>
      </c>
      <c r="BF863" s="1" t="s">
        <v>29</v>
      </c>
      <c r="BG863" s="1">
        <v>7</v>
      </c>
      <c r="BH863">
        <v>2</v>
      </c>
      <c r="BI863">
        <v>1</v>
      </c>
      <c r="BJ863">
        <v>1</v>
      </c>
      <c r="BK863" s="1">
        <v>1</v>
      </c>
      <c r="BQ863">
        <v>1</v>
      </c>
      <c r="CB863" s="7">
        <v>1</v>
      </c>
      <c r="CM863">
        <v>1</v>
      </c>
      <c r="CR863">
        <v>1</v>
      </c>
      <c r="CS863" s="7" t="s">
        <v>3331</v>
      </c>
    </row>
    <row r="864" spans="2:98">
      <c r="B864" t="s">
        <v>2118</v>
      </c>
      <c r="C864" s="2" t="s">
        <v>2119</v>
      </c>
      <c r="D864" s="26" t="s">
        <v>2120</v>
      </c>
      <c r="E864" s="8" t="s">
        <v>2121</v>
      </c>
      <c r="F864" s="8" t="s">
        <v>65</v>
      </c>
      <c r="G864" s="1">
        <v>1</v>
      </c>
      <c r="H864" s="1"/>
      <c r="I864" s="1">
        <f>1805-26</f>
        <v>1779</v>
      </c>
      <c r="J864" t="s">
        <v>10</v>
      </c>
      <c r="K864" t="s">
        <v>12</v>
      </c>
      <c r="Q864">
        <v>5</v>
      </c>
      <c r="R864">
        <v>3</v>
      </c>
      <c r="S864">
        <v>2</v>
      </c>
      <c r="T864" s="5">
        <f t="shared" si="44"/>
        <v>166.33</v>
      </c>
      <c r="U864" t="s">
        <v>2122</v>
      </c>
      <c r="AM864" s="6">
        <v>1</v>
      </c>
      <c r="AN864" s="7">
        <v>1</v>
      </c>
      <c r="BC864" t="s">
        <v>198</v>
      </c>
      <c r="BD864" s="7" t="s">
        <v>109</v>
      </c>
      <c r="BE864" t="s">
        <v>1564</v>
      </c>
      <c r="BF864" s="1" t="s">
        <v>29</v>
      </c>
      <c r="BG864" s="1">
        <v>2</v>
      </c>
      <c r="BH864">
        <v>1</v>
      </c>
      <c r="BK864" s="1">
        <v>1</v>
      </c>
      <c r="BQ864">
        <v>1</v>
      </c>
      <c r="CS864" s="7" t="s">
        <v>2123</v>
      </c>
    </row>
    <row r="865" spans="1:97">
      <c r="B865" t="s">
        <v>2329</v>
      </c>
      <c r="C865" s="2" t="s">
        <v>2330</v>
      </c>
      <c r="D865" s="2" t="s">
        <v>2331</v>
      </c>
      <c r="E865" s="8" t="s">
        <v>559</v>
      </c>
      <c r="F865" s="8" t="s">
        <v>218</v>
      </c>
      <c r="G865" s="1">
        <v>1</v>
      </c>
      <c r="H865" s="1"/>
      <c r="I865" s="1">
        <f>1808-23</f>
        <v>1785</v>
      </c>
      <c r="J865" t="s">
        <v>10</v>
      </c>
      <c r="K865" t="s">
        <v>12</v>
      </c>
      <c r="Q865">
        <v>5</v>
      </c>
      <c r="R865">
        <v>3</v>
      </c>
      <c r="S865">
        <v>1</v>
      </c>
      <c r="T865" s="5">
        <f t="shared" si="44"/>
        <v>166.11</v>
      </c>
      <c r="U865" t="s">
        <v>2328</v>
      </c>
      <c r="AM865" s="6">
        <v>1</v>
      </c>
      <c r="AN865" s="6">
        <v>1</v>
      </c>
      <c r="AO865" s="6">
        <v>1</v>
      </c>
      <c r="AP865" s="7">
        <v>1</v>
      </c>
      <c r="BC865" t="s">
        <v>2332</v>
      </c>
      <c r="BD865" s="7" t="s">
        <v>959</v>
      </c>
      <c r="BE865" s="7" t="s">
        <v>1558</v>
      </c>
      <c r="BF865" s="1" t="s">
        <v>29</v>
      </c>
      <c r="BG865" s="1">
        <v>3</v>
      </c>
      <c r="BH865">
        <v>2</v>
      </c>
      <c r="BI865">
        <v>1</v>
      </c>
      <c r="BJ865">
        <v>1</v>
      </c>
      <c r="BK865" s="1">
        <v>1</v>
      </c>
      <c r="BQ865">
        <v>1</v>
      </c>
      <c r="CB865" s="7">
        <v>1</v>
      </c>
      <c r="CS865" s="7" t="s">
        <v>2333</v>
      </c>
    </row>
    <row r="866" spans="1:97">
      <c r="B866" t="s">
        <v>4611</v>
      </c>
      <c r="C866" s="2" t="s">
        <v>4612</v>
      </c>
      <c r="D866" s="2" t="s">
        <v>4604</v>
      </c>
      <c r="E866" s="8" t="s">
        <v>624</v>
      </c>
      <c r="F866" s="8" t="s">
        <v>218</v>
      </c>
      <c r="G866" s="1">
        <v>1</v>
      </c>
      <c r="H866" s="1"/>
      <c r="I866" s="1">
        <f>1806-19</f>
        <v>1787</v>
      </c>
      <c r="J866" t="s">
        <v>10</v>
      </c>
      <c r="K866" t="s">
        <v>12</v>
      </c>
      <c r="Q866">
        <v>5</v>
      </c>
      <c r="R866">
        <v>4</v>
      </c>
      <c r="S866">
        <v>1</v>
      </c>
      <c r="T866" s="5">
        <f t="shared" si="44"/>
        <v>168.74</v>
      </c>
      <c r="U866" t="s">
        <v>4613</v>
      </c>
      <c r="AM866" s="6">
        <v>1</v>
      </c>
      <c r="AN866" s="6">
        <v>1</v>
      </c>
      <c r="BC866">
        <v>1806</v>
      </c>
      <c r="BD866" t="s">
        <v>81</v>
      </c>
      <c r="BE866" t="s">
        <v>712</v>
      </c>
      <c r="BF866" s="1" t="s">
        <v>73</v>
      </c>
      <c r="BG866" s="1">
        <v>1</v>
      </c>
      <c r="BH866">
        <v>1</v>
      </c>
      <c r="BK866" s="1">
        <v>1</v>
      </c>
      <c r="BQ866">
        <v>1</v>
      </c>
      <c r="CM866">
        <v>1</v>
      </c>
      <c r="CS866" t="s">
        <v>713</v>
      </c>
    </row>
    <row r="867" spans="1:97">
      <c r="B867" t="s">
        <v>3459</v>
      </c>
      <c r="C867" s="2" t="s">
        <v>3460</v>
      </c>
      <c r="D867" s="2" t="s">
        <v>3460</v>
      </c>
      <c r="E867" s="8" t="s">
        <v>920</v>
      </c>
      <c r="F867" s="8" t="s">
        <v>115</v>
      </c>
      <c r="G867" s="1">
        <v>1</v>
      </c>
      <c r="H867" s="1"/>
      <c r="I867" s="1">
        <f>1806-31</f>
        <v>1775</v>
      </c>
      <c r="J867" t="s">
        <v>69</v>
      </c>
      <c r="K867" t="s">
        <v>12</v>
      </c>
      <c r="N867">
        <v>1</v>
      </c>
      <c r="Q867">
        <v>5</v>
      </c>
      <c r="R867">
        <v>5</v>
      </c>
      <c r="T867" s="5">
        <f t="shared" si="44"/>
        <v>171.15</v>
      </c>
      <c r="U867" t="s">
        <v>3461</v>
      </c>
      <c r="AM867" s="6">
        <v>1</v>
      </c>
      <c r="AN867" s="6">
        <v>1</v>
      </c>
      <c r="AO867" s="6">
        <v>1</v>
      </c>
      <c r="AP867" s="7">
        <v>1</v>
      </c>
      <c r="BC867" s="53" t="s">
        <v>3473</v>
      </c>
      <c r="BD867" s="7" t="s">
        <v>280</v>
      </c>
      <c r="BE867" t="s">
        <v>1502</v>
      </c>
      <c r="BF867" s="1" t="s">
        <v>29</v>
      </c>
      <c r="BG867" s="1">
        <v>3</v>
      </c>
      <c r="BH867">
        <v>1</v>
      </c>
      <c r="BK867" s="1">
        <v>1</v>
      </c>
      <c r="BQ867">
        <v>1</v>
      </c>
      <c r="CN867">
        <v>1</v>
      </c>
      <c r="CS867" s="7" t="s">
        <v>947</v>
      </c>
    </row>
    <row r="868" spans="1:97">
      <c r="B868" t="s">
        <v>3259</v>
      </c>
      <c r="C868" s="2" t="s">
        <v>2970</v>
      </c>
      <c r="D868" s="15"/>
      <c r="E868" s="8" t="s">
        <v>599</v>
      </c>
      <c r="F868" s="8" t="s">
        <v>357</v>
      </c>
      <c r="G868" s="1">
        <v>1</v>
      </c>
      <c r="H868" s="1"/>
      <c r="I868" s="1">
        <f>1805-18</f>
        <v>1787</v>
      </c>
      <c r="J868" t="s">
        <v>10</v>
      </c>
      <c r="K868" t="s">
        <v>2356</v>
      </c>
      <c r="Q868">
        <v>5</v>
      </c>
      <c r="R868">
        <v>3</v>
      </c>
      <c r="T868" s="5">
        <f>((Q868*316)+(R868*26.3)+(S868*2.2))/10</f>
        <v>165.89000000000001</v>
      </c>
      <c r="U868" t="s">
        <v>3260</v>
      </c>
      <c r="AM868" s="6">
        <v>1</v>
      </c>
      <c r="AN868" s="6">
        <v>1</v>
      </c>
      <c r="AO868" s="6">
        <v>1</v>
      </c>
      <c r="AP868" s="6">
        <v>1</v>
      </c>
      <c r="AQ868" s="6">
        <v>1</v>
      </c>
      <c r="AR868" s="7">
        <v>1</v>
      </c>
      <c r="BC868" t="s">
        <v>1011</v>
      </c>
      <c r="BD868" s="7" t="s">
        <v>103</v>
      </c>
      <c r="BE868" t="s">
        <v>2407</v>
      </c>
      <c r="BF868" s="1" t="s">
        <v>29</v>
      </c>
      <c r="BG868" s="1">
        <v>5</v>
      </c>
      <c r="BH868">
        <v>1</v>
      </c>
      <c r="BJ868">
        <v>1</v>
      </c>
      <c r="BK868" s="1">
        <v>1</v>
      </c>
      <c r="BQ868">
        <v>1</v>
      </c>
      <c r="CF868">
        <v>1</v>
      </c>
      <c r="CM868">
        <v>1</v>
      </c>
      <c r="CS868" s="7" t="s">
        <v>1945</v>
      </c>
    </row>
    <row r="869" spans="1:97">
      <c r="B869" t="s">
        <v>3087</v>
      </c>
      <c r="C869" s="2" t="s">
        <v>356</v>
      </c>
      <c r="D869" s="2" t="s">
        <v>356</v>
      </c>
      <c r="E869" s="8" t="s">
        <v>546</v>
      </c>
      <c r="F869" s="8" t="s">
        <v>357</v>
      </c>
      <c r="G869" s="1">
        <v>1</v>
      </c>
      <c r="H869" s="1"/>
      <c r="I869" s="1">
        <f>1805-19</f>
        <v>1786</v>
      </c>
      <c r="J869" t="s">
        <v>10</v>
      </c>
      <c r="K869" t="s">
        <v>12</v>
      </c>
      <c r="Q869">
        <v>5</v>
      </c>
      <c r="R869">
        <v>5</v>
      </c>
      <c r="S869">
        <v>1</v>
      </c>
      <c r="T869" s="5">
        <f t="shared" si="44"/>
        <v>171.37</v>
      </c>
      <c r="U869" t="s">
        <v>366</v>
      </c>
      <c r="AM869" s="6">
        <v>1</v>
      </c>
      <c r="AN869" s="7">
        <v>1</v>
      </c>
      <c r="BC869" t="s">
        <v>3068</v>
      </c>
      <c r="BD869" s="7" t="s">
        <v>109</v>
      </c>
      <c r="BE869" t="s">
        <v>2407</v>
      </c>
      <c r="BF869" s="1" t="s">
        <v>29</v>
      </c>
      <c r="BG869" s="1">
        <v>3</v>
      </c>
      <c r="BH869">
        <v>1</v>
      </c>
      <c r="BK869" s="1">
        <v>1</v>
      </c>
      <c r="BQ869">
        <v>1</v>
      </c>
      <c r="CS869" s="7" t="s">
        <v>1763</v>
      </c>
    </row>
    <row r="870" spans="1:97">
      <c r="B870" t="s">
        <v>363</v>
      </c>
      <c r="C870" s="15" t="s">
        <v>364</v>
      </c>
      <c r="D870" s="15"/>
      <c r="F870" s="8" t="s">
        <v>247</v>
      </c>
      <c r="G870" s="1">
        <v>1</v>
      </c>
      <c r="H870" s="1"/>
      <c r="I870" s="1">
        <f>1805-19</f>
        <v>1786</v>
      </c>
      <c r="J870" t="s">
        <v>10</v>
      </c>
      <c r="K870" t="s">
        <v>365</v>
      </c>
      <c r="Q870">
        <v>5</v>
      </c>
      <c r="R870">
        <v>4</v>
      </c>
      <c r="T870" s="5">
        <f>((Q870*316)+(R870*26.3)+(S870*2.2))/10</f>
        <v>168.52</v>
      </c>
      <c r="U870" t="s">
        <v>366</v>
      </c>
      <c r="AM870" s="6">
        <v>1</v>
      </c>
      <c r="AN870" s="7">
        <v>1</v>
      </c>
      <c r="BC870" t="s">
        <v>367</v>
      </c>
      <c r="BD870" s="7" t="s">
        <v>26</v>
      </c>
      <c r="BE870" t="s">
        <v>360</v>
      </c>
      <c r="BF870" s="1" t="s">
        <v>29</v>
      </c>
      <c r="BG870" s="1">
        <v>3</v>
      </c>
      <c r="BH870">
        <v>1</v>
      </c>
      <c r="BK870" s="1"/>
      <c r="BN870">
        <v>1</v>
      </c>
      <c r="BO870">
        <v>1</v>
      </c>
      <c r="BX870">
        <v>1</v>
      </c>
      <c r="CS870" s="7" t="s">
        <v>368</v>
      </c>
    </row>
    <row r="871" spans="1:97">
      <c r="B871" t="s">
        <v>4715</v>
      </c>
      <c r="C871" s="2" t="s">
        <v>4714</v>
      </c>
      <c r="D871" s="2" t="s">
        <v>4714</v>
      </c>
      <c r="E871" s="8" t="s">
        <v>654</v>
      </c>
      <c r="F871" s="8" t="s">
        <v>65</v>
      </c>
      <c r="G871" s="1">
        <v>1</v>
      </c>
      <c r="H871" s="1"/>
      <c r="I871" s="1">
        <f>1806-18</f>
        <v>1788</v>
      </c>
      <c r="J871" t="s">
        <v>10</v>
      </c>
      <c r="K871" t="s">
        <v>4713</v>
      </c>
      <c r="Q871">
        <v>5</v>
      </c>
      <c r="R871">
        <v>0</v>
      </c>
      <c r="S871">
        <v>3</v>
      </c>
      <c r="T871" s="5">
        <f>((Q871*316)+(R871*26.3)+(S871*2.2))/10</f>
        <v>158.66</v>
      </c>
      <c r="U871" s="9" t="s">
        <v>4712</v>
      </c>
      <c r="AM871" s="9">
        <v>1</v>
      </c>
      <c r="AN871" s="6">
        <v>1</v>
      </c>
      <c r="BC871">
        <v>1806</v>
      </c>
      <c r="BD871" t="s">
        <v>81</v>
      </c>
      <c r="BE871" t="s">
        <v>1564</v>
      </c>
      <c r="BF871" s="1" t="s">
        <v>73</v>
      </c>
      <c r="BG871" s="1">
        <v>2</v>
      </c>
      <c r="BH871">
        <v>3</v>
      </c>
      <c r="BK871" s="1" t="s">
        <v>72</v>
      </c>
      <c r="BQ871">
        <v>1</v>
      </c>
      <c r="BZ871">
        <v>1</v>
      </c>
      <c r="CL871">
        <v>1</v>
      </c>
      <c r="CS871" t="s">
        <v>4703</v>
      </c>
    </row>
    <row r="872" spans="1:97">
      <c r="B872" t="s">
        <v>3579</v>
      </c>
      <c r="C872" s="2" t="s">
        <v>3580</v>
      </c>
      <c r="D872" s="26" t="s">
        <v>192</v>
      </c>
      <c r="E872" s="8" t="s">
        <v>555</v>
      </c>
      <c r="F872" s="8" t="s">
        <v>218</v>
      </c>
      <c r="G872" s="1">
        <v>1</v>
      </c>
      <c r="H872" s="1"/>
      <c r="I872" s="1">
        <f>1805-20</f>
        <v>1785</v>
      </c>
      <c r="J872" t="s">
        <v>10</v>
      </c>
      <c r="K872" t="s">
        <v>12</v>
      </c>
      <c r="Q872">
        <v>5</v>
      </c>
      <c r="R872">
        <v>1</v>
      </c>
      <c r="S872">
        <v>2</v>
      </c>
      <c r="T872" s="5">
        <f>((Q872*316)+(R872*26.3)+(S872*2.2))/10</f>
        <v>161.07</v>
      </c>
      <c r="U872" t="s">
        <v>3581</v>
      </c>
      <c r="AM872" s="6">
        <v>1</v>
      </c>
      <c r="AN872" s="6">
        <v>1</v>
      </c>
      <c r="BC872">
        <v>1806</v>
      </c>
      <c r="BD872" t="s">
        <v>81</v>
      </c>
      <c r="BE872" s="10" t="s">
        <v>3526</v>
      </c>
      <c r="BF872" s="1" t="s">
        <v>73</v>
      </c>
      <c r="BG872" s="1">
        <v>2</v>
      </c>
      <c r="BH872">
        <v>2</v>
      </c>
      <c r="BK872" s="1">
        <v>1</v>
      </c>
      <c r="BQ872">
        <v>1</v>
      </c>
      <c r="CL872" s="10">
        <v>1</v>
      </c>
      <c r="CS872" s="10" t="s">
        <v>3582</v>
      </c>
    </row>
    <row r="873" spans="1:97">
      <c r="B873" t="s">
        <v>2243</v>
      </c>
      <c r="C873" s="2" t="s">
        <v>2244</v>
      </c>
      <c r="D873" s="2" t="s">
        <v>2245</v>
      </c>
      <c r="F873" s="8" t="s">
        <v>218</v>
      </c>
      <c r="G873" s="1">
        <v>1</v>
      </c>
      <c r="H873" s="1"/>
      <c r="I873" s="1">
        <f>1806-20</f>
        <v>1786</v>
      </c>
      <c r="J873" t="s">
        <v>10</v>
      </c>
      <c r="K873" t="s">
        <v>12</v>
      </c>
      <c r="Q873">
        <v>5</v>
      </c>
      <c r="R873">
        <v>4</v>
      </c>
      <c r="T873" s="5">
        <f>((Q873*316)+(R873*26.3)+(S873*2.2))/10</f>
        <v>168.52</v>
      </c>
      <c r="U873" t="s">
        <v>2246</v>
      </c>
      <c r="AM873" s="6">
        <v>1</v>
      </c>
      <c r="AN873" s="6">
        <v>1</v>
      </c>
      <c r="AO873" s="6">
        <v>1</v>
      </c>
      <c r="AP873" s="7">
        <v>1</v>
      </c>
      <c r="BC873" t="s">
        <v>529</v>
      </c>
      <c r="BD873" s="7" t="s">
        <v>959</v>
      </c>
      <c r="BE873" s="7" t="s">
        <v>1558</v>
      </c>
      <c r="BF873" s="1" t="s">
        <v>29</v>
      </c>
      <c r="BG873" s="1">
        <v>3</v>
      </c>
      <c r="BH873">
        <v>2</v>
      </c>
      <c r="BI873">
        <v>1</v>
      </c>
      <c r="BJ873">
        <v>1</v>
      </c>
      <c r="BK873" s="1">
        <v>1</v>
      </c>
      <c r="BQ873">
        <v>1</v>
      </c>
      <c r="CB873" s="7">
        <v>1</v>
      </c>
      <c r="CS873" s="7" t="s">
        <v>2247</v>
      </c>
    </row>
    <row r="874" spans="1:97">
      <c r="B874" t="s">
        <v>4655</v>
      </c>
      <c r="C874" s="2" t="s">
        <v>1295</v>
      </c>
      <c r="D874" s="2" t="s">
        <v>1295</v>
      </c>
      <c r="E874" s="8" t="s">
        <v>624</v>
      </c>
      <c r="F874" s="8" t="s">
        <v>218</v>
      </c>
      <c r="G874" s="1">
        <v>1</v>
      </c>
      <c r="H874" s="1"/>
      <c r="I874" s="1">
        <f>1806-18</f>
        <v>1788</v>
      </c>
      <c r="J874" t="s">
        <v>10</v>
      </c>
      <c r="K874" t="s">
        <v>12</v>
      </c>
      <c r="Q874">
        <v>5</v>
      </c>
      <c r="R874">
        <v>5</v>
      </c>
      <c r="S874">
        <v>3</v>
      </c>
      <c r="T874" s="5">
        <f>((Q874*316)+(R874*26.3)+(S874*2.2))/10</f>
        <v>171.81</v>
      </c>
      <c r="U874" t="s">
        <v>1596</v>
      </c>
      <c r="AM874" s="6">
        <v>1</v>
      </c>
      <c r="AN874" s="6">
        <v>1</v>
      </c>
      <c r="BC874">
        <v>1806</v>
      </c>
      <c r="BD874" t="s">
        <v>81</v>
      </c>
      <c r="BE874" t="s">
        <v>712</v>
      </c>
      <c r="BF874" s="1" t="s">
        <v>73</v>
      </c>
      <c r="BG874" s="1">
        <v>1</v>
      </c>
      <c r="BH874">
        <v>1</v>
      </c>
      <c r="BK874" s="1" t="s">
        <v>72</v>
      </c>
      <c r="BQ874">
        <v>1</v>
      </c>
      <c r="CS874" t="s">
        <v>713</v>
      </c>
    </row>
    <row r="875" spans="1:97">
      <c r="B875" t="s">
        <v>1597</v>
      </c>
      <c r="C875" s="2" t="s">
        <v>1594</v>
      </c>
      <c r="D875" s="15"/>
      <c r="F875" s="8" t="s">
        <v>1595</v>
      </c>
      <c r="G875" s="1"/>
      <c r="H875" s="1">
        <v>1</v>
      </c>
      <c r="I875" s="1">
        <f>1806-24</f>
        <v>1782</v>
      </c>
      <c r="J875" t="s">
        <v>10</v>
      </c>
      <c r="K875" t="s">
        <v>12</v>
      </c>
      <c r="Q875">
        <v>5</v>
      </c>
      <c r="R875">
        <v>3</v>
      </c>
      <c r="S875">
        <v>2</v>
      </c>
      <c r="T875" s="5">
        <f t="shared" si="44"/>
        <v>166.33</v>
      </c>
      <c r="U875" t="s">
        <v>1596</v>
      </c>
      <c r="AM875" s="6">
        <v>1</v>
      </c>
      <c r="AN875" s="6">
        <v>1</v>
      </c>
      <c r="AO875" s="6">
        <v>1</v>
      </c>
      <c r="AP875" s="6">
        <v>1</v>
      </c>
      <c r="AQ875" s="6">
        <v>1</v>
      </c>
      <c r="AR875" s="6">
        <v>1</v>
      </c>
      <c r="AS875" s="7">
        <v>1</v>
      </c>
      <c r="BC875" t="s">
        <v>1598</v>
      </c>
      <c r="BD875" s="7" t="s">
        <v>103</v>
      </c>
      <c r="BE875" t="s">
        <v>62</v>
      </c>
      <c r="BF875" s="1" t="s">
        <v>29</v>
      </c>
      <c r="BG875" s="1">
        <v>4</v>
      </c>
      <c r="BH875">
        <v>1</v>
      </c>
      <c r="BK875" s="1"/>
      <c r="BO875">
        <v>1</v>
      </c>
      <c r="BQ875">
        <v>1</v>
      </c>
      <c r="CF875">
        <v>1</v>
      </c>
      <c r="CS875" s="7" t="s">
        <v>412</v>
      </c>
    </row>
    <row r="876" spans="1:97">
      <c r="A876" t="s">
        <v>72</v>
      </c>
      <c r="B876" t="s">
        <v>4664</v>
      </c>
      <c r="C876" s="15"/>
      <c r="D876" s="15"/>
      <c r="F876" t="s">
        <v>7</v>
      </c>
      <c r="G876" s="1"/>
      <c r="H876" s="1"/>
      <c r="I876" s="1"/>
      <c r="T876" s="5"/>
      <c r="U876" t="s">
        <v>2153</v>
      </c>
      <c r="AM876" s="6">
        <v>1</v>
      </c>
      <c r="AN876" s="7">
        <v>1</v>
      </c>
      <c r="BC876" t="s">
        <v>4665</v>
      </c>
      <c r="BD876" s="7" t="s">
        <v>26</v>
      </c>
      <c r="BE876" t="s">
        <v>712</v>
      </c>
      <c r="BF876" s="1" t="s">
        <v>73</v>
      </c>
      <c r="BG876" s="1">
        <v>1</v>
      </c>
      <c r="BH876">
        <v>1</v>
      </c>
      <c r="BK876" s="1">
        <v>1</v>
      </c>
      <c r="BQ876">
        <v>1</v>
      </c>
      <c r="CS876" s="7" t="s">
        <v>4666</v>
      </c>
    </row>
    <row r="877" spans="1:97">
      <c r="B877" t="s">
        <v>2156</v>
      </c>
      <c r="C877" s="2" t="s">
        <v>1996</v>
      </c>
      <c r="D877" s="2" t="s">
        <v>1996</v>
      </c>
      <c r="E877" s="8" t="s">
        <v>920</v>
      </c>
      <c r="F877" s="8" t="s">
        <v>115</v>
      </c>
      <c r="G877" s="1">
        <v>1</v>
      </c>
      <c r="H877" s="1"/>
      <c r="I877" s="1">
        <f>1805-20</f>
        <v>1785</v>
      </c>
      <c r="J877" t="s">
        <v>10</v>
      </c>
      <c r="K877" t="s">
        <v>12</v>
      </c>
      <c r="Q877">
        <v>5</v>
      </c>
      <c r="R877">
        <v>3</v>
      </c>
      <c r="T877" s="5">
        <f t="shared" si="44"/>
        <v>165.89000000000001</v>
      </c>
      <c r="U877" t="s">
        <v>2153</v>
      </c>
      <c r="AM877" s="6">
        <v>1</v>
      </c>
      <c r="AN877" s="7">
        <v>1</v>
      </c>
      <c r="BC877" t="s">
        <v>1501</v>
      </c>
      <c r="BD877" s="7" t="s">
        <v>103</v>
      </c>
      <c r="BE877" t="s">
        <v>1502</v>
      </c>
      <c r="BF877" s="1" t="s">
        <v>29</v>
      </c>
      <c r="BG877" s="1">
        <v>3</v>
      </c>
      <c r="BH877">
        <v>1</v>
      </c>
      <c r="BK877" s="1">
        <v>1</v>
      </c>
      <c r="BQ877">
        <v>1</v>
      </c>
      <c r="CS877" s="7" t="s">
        <v>2089</v>
      </c>
    </row>
    <row r="878" spans="1:97">
      <c r="B878" t="s">
        <v>2154</v>
      </c>
      <c r="C878" s="2" t="s">
        <v>3414</v>
      </c>
      <c r="D878" s="2" t="s">
        <v>3414</v>
      </c>
      <c r="E878" s="8" t="s">
        <v>920</v>
      </c>
      <c r="F878" s="8" t="s">
        <v>115</v>
      </c>
      <c r="G878" s="1">
        <v>1</v>
      </c>
      <c r="H878" s="1"/>
      <c r="I878" s="1">
        <f>1805-26</f>
        <v>1779</v>
      </c>
      <c r="J878" t="s">
        <v>69</v>
      </c>
      <c r="K878" t="s">
        <v>12</v>
      </c>
      <c r="Q878">
        <v>5</v>
      </c>
      <c r="R878">
        <v>2</v>
      </c>
      <c r="S878">
        <v>3</v>
      </c>
      <c r="T878" s="5">
        <f t="shared" si="44"/>
        <v>163.92</v>
      </c>
      <c r="U878" t="s">
        <v>2153</v>
      </c>
      <c r="AM878" s="6">
        <v>1</v>
      </c>
      <c r="AN878" s="7">
        <v>1</v>
      </c>
      <c r="BC878" t="s">
        <v>1501</v>
      </c>
      <c r="BD878" s="7" t="s">
        <v>103</v>
      </c>
      <c r="BE878" t="s">
        <v>1502</v>
      </c>
      <c r="BF878" s="1" t="s">
        <v>29</v>
      </c>
      <c r="BG878" s="1">
        <v>3</v>
      </c>
      <c r="BH878">
        <v>1</v>
      </c>
      <c r="BK878" s="1">
        <v>1</v>
      </c>
      <c r="BQ878">
        <v>1</v>
      </c>
      <c r="CS878" s="7" t="s">
        <v>2089</v>
      </c>
    </row>
    <row r="879" spans="1:97">
      <c r="B879" t="s">
        <v>3417</v>
      </c>
      <c r="C879" s="2" t="s">
        <v>2068</v>
      </c>
      <c r="D879" s="2" t="s">
        <v>2068</v>
      </c>
      <c r="E879" s="8" t="s">
        <v>920</v>
      </c>
      <c r="F879" s="8" t="s">
        <v>115</v>
      </c>
      <c r="G879" s="1">
        <v>1</v>
      </c>
      <c r="H879" s="1"/>
      <c r="I879" s="1">
        <f>1808-21</f>
        <v>1787</v>
      </c>
      <c r="J879" t="s">
        <v>69</v>
      </c>
      <c r="K879" t="s">
        <v>12</v>
      </c>
      <c r="N879">
        <v>1</v>
      </c>
      <c r="Q879">
        <v>5</v>
      </c>
      <c r="R879">
        <v>3</v>
      </c>
      <c r="S879">
        <v>1</v>
      </c>
      <c r="T879" s="5">
        <f t="shared" si="44"/>
        <v>166.11</v>
      </c>
      <c r="U879" t="s">
        <v>3139</v>
      </c>
      <c r="AM879" s="6">
        <v>1</v>
      </c>
      <c r="AN879" s="6">
        <v>1</v>
      </c>
      <c r="AO879" s="6">
        <v>1</v>
      </c>
      <c r="AP879" s="6">
        <v>1</v>
      </c>
      <c r="BC879">
        <v>1808</v>
      </c>
      <c r="BD879" t="s">
        <v>81</v>
      </c>
      <c r="BE879" s="10" t="s">
        <v>1502</v>
      </c>
      <c r="BF879" s="1" t="s">
        <v>29</v>
      </c>
      <c r="BG879" s="1">
        <v>4</v>
      </c>
      <c r="BH879">
        <v>2</v>
      </c>
      <c r="BK879" s="1">
        <v>1</v>
      </c>
      <c r="BQ879">
        <v>1</v>
      </c>
      <c r="BX879">
        <v>1</v>
      </c>
      <c r="CL879" s="10">
        <v>1</v>
      </c>
      <c r="CS879" t="s">
        <v>3416</v>
      </c>
    </row>
    <row r="880" spans="1:97">
      <c r="B880" t="s">
        <v>2053</v>
      </c>
      <c r="C880" s="2" t="s">
        <v>919</v>
      </c>
      <c r="D880" s="2" t="s">
        <v>2054</v>
      </c>
      <c r="E880" s="8" t="s">
        <v>920</v>
      </c>
      <c r="F880" s="8" t="s">
        <v>115</v>
      </c>
      <c r="G880" s="1">
        <v>1</v>
      </c>
      <c r="H880" s="1"/>
      <c r="I880" s="1">
        <f>1805-24</f>
        <v>1781</v>
      </c>
      <c r="J880" t="s">
        <v>69</v>
      </c>
      <c r="K880" t="s">
        <v>197</v>
      </c>
      <c r="Q880">
        <v>5</v>
      </c>
      <c r="R880">
        <v>3</v>
      </c>
      <c r="S880">
        <v>1</v>
      </c>
      <c r="T880" s="5">
        <f t="shared" si="44"/>
        <v>166.11</v>
      </c>
      <c r="U880" t="s">
        <v>2055</v>
      </c>
      <c r="AM880" s="6">
        <v>1</v>
      </c>
      <c r="AN880" s="7">
        <v>1</v>
      </c>
      <c r="BC880" t="s">
        <v>2056</v>
      </c>
      <c r="BD880" s="7" t="s">
        <v>280</v>
      </c>
      <c r="BE880" t="s">
        <v>1502</v>
      </c>
      <c r="BF880" s="1" t="s">
        <v>29</v>
      </c>
      <c r="BG880" s="1">
        <v>2</v>
      </c>
      <c r="BH880">
        <v>1</v>
      </c>
      <c r="BK880" s="1">
        <v>1</v>
      </c>
      <c r="BQ880">
        <v>1</v>
      </c>
      <c r="CN880">
        <v>1</v>
      </c>
      <c r="CS880" s="7" t="s">
        <v>2071</v>
      </c>
    </row>
    <row r="881" spans="2:97">
      <c r="B881" t="s">
        <v>3434</v>
      </c>
      <c r="C881" s="2" t="s">
        <v>2426</v>
      </c>
      <c r="D881" s="15"/>
      <c r="E881" s="8" t="s">
        <v>832</v>
      </c>
      <c r="F881" s="8" t="s">
        <v>65</v>
      </c>
      <c r="G881" s="1">
        <v>1</v>
      </c>
      <c r="H881" s="1"/>
      <c r="I881" s="1">
        <f>1810-29</f>
        <v>1781</v>
      </c>
      <c r="J881" t="s">
        <v>10</v>
      </c>
      <c r="K881" t="s">
        <v>12</v>
      </c>
      <c r="Q881">
        <v>5</v>
      </c>
      <c r="R881">
        <v>4</v>
      </c>
      <c r="S881">
        <v>2</v>
      </c>
      <c r="T881" s="5">
        <f t="shared" si="44"/>
        <v>168.96</v>
      </c>
      <c r="U881" t="s">
        <v>2060</v>
      </c>
      <c r="AM881" s="6">
        <v>1</v>
      </c>
      <c r="AN881" s="6">
        <v>1</v>
      </c>
      <c r="AO881" s="6">
        <v>1</v>
      </c>
      <c r="AP881" s="6">
        <v>1</v>
      </c>
      <c r="AQ881" s="6">
        <v>1</v>
      </c>
      <c r="AR881" s="6">
        <v>1</v>
      </c>
      <c r="BC881">
        <v>1810</v>
      </c>
      <c r="BD881" t="s">
        <v>81</v>
      </c>
      <c r="BE881" s="10" t="s">
        <v>3430</v>
      </c>
      <c r="BF881" s="1" t="s">
        <v>73</v>
      </c>
      <c r="BG881" s="1">
        <v>1</v>
      </c>
      <c r="BH881">
        <v>2</v>
      </c>
      <c r="BK881" s="1">
        <v>1</v>
      </c>
      <c r="BQ881">
        <v>1</v>
      </c>
      <c r="BX881">
        <v>1</v>
      </c>
      <c r="CF881">
        <v>1</v>
      </c>
      <c r="CL881" s="10">
        <v>1</v>
      </c>
      <c r="CS881" s="10" t="s">
        <v>3012</v>
      </c>
    </row>
    <row r="882" spans="2:97">
      <c r="B882" t="s">
        <v>2065</v>
      </c>
      <c r="C882" s="15" t="s">
        <v>2066</v>
      </c>
      <c r="D882" s="2" t="s">
        <v>2066</v>
      </c>
      <c r="E882" s="8" t="s">
        <v>920</v>
      </c>
      <c r="F882" s="8" t="s">
        <v>115</v>
      </c>
      <c r="G882" s="1">
        <v>1</v>
      </c>
      <c r="H882" s="1"/>
      <c r="I882" s="1">
        <f>1805-24</f>
        <v>1781</v>
      </c>
      <c r="J882" t="s">
        <v>69</v>
      </c>
      <c r="K882" t="s">
        <v>12</v>
      </c>
      <c r="Q882">
        <v>5</v>
      </c>
      <c r="R882">
        <v>5</v>
      </c>
      <c r="T882" s="5">
        <f t="shared" si="44"/>
        <v>171.15</v>
      </c>
      <c r="U882" t="s">
        <v>2060</v>
      </c>
      <c r="AM882" s="6">
        <v>1</v>
      </c>
      <c r="AN882" s="7">
        <v>1</v>
      </c>
      <c r="BC882" t="s">
        <v>1501</v>
      </c>
      <c r="BD882" s="7" t="s">
        <v>109</v>
      </c>
      <c r="BE882" t="s">
        <v>1502</v>
      </c>
      <c r="BF882" s="1" t="s">
        <v>29</v>
      </c>
      <c r="BG882" s="1">
        <v>2</v>
      </c>
      <c r="BH882">
        <v>1</v>
      </c>
      <c r="BK882" s="1">
        <v>1</v>
      </c>
      <c r="BQ882">
        <v>1</v>
      </c>
      <c r="CS882" s="7" t="s">
        <v>1602</v>
      </c>
    </row>
    <row r="883" spans="2:97">
      <c r="B883" t="s">
        <v>2057</v>
      </c>
      <c r="C883" s="2" t="s">
        <v>2058</v>
      </c>
      <c r="D883" s="2" t="s">
        <v>2059</v>
      </c>
      <c r="E883" s="8" t="s">
        <v>920</v>
      </c>
      <c r="F883" s="8" t="s">
        <v>115</v>
      </c>
      <c r="G883" s="1">
        <v>1</v>
      </c>
      <c r="H883" s="1"/>
      <c r="I883" s="1">
        <f>1806-20</f>
        <v>1786</v>
      </c>
      <c r="J883" t="s">
        <v>10</v>
      </c>
      <c r="K883" t="s">
        <v>12</v>
      </c>
      <c r="Q883">
        <v>5</v>
      </c>
      <c r="R883">
        <v>3</v>
      </c>
      <c r="S883">
        <v>1</v>
      </c>
      <c r="T883" s="5">
        <f t="shared" si="44"/>
        <v>166.11</v>
      </c>
      <c r="U883" t="s">
        <v>2060</v>
      </c>
      <c r="AM883" s="6">
        <v>1</v>
      </c>
      <c r="AN883" s="7">
        <v>1</v>
      </c>
      <c r="BC883" t="s">
        <v>1501</v>
      </c>
      <c r="BD883" s="7" t="s">
        <v>109</v>
      </c>
      <c r="BE883" t="s">
        <v>1502</v>
      </c>
      <c r="BF883" s="1" t="s">
        <v>29</v>
      </c>
      <c r="BG883" s="1">
        <v>2</v>
      </c>
      <c r="BH883">
        <v>1</v>
      </c>
      <c r="BK883" s="1">
        <v>1</v>
      </c>
      <c r="BQ883">
        <v>1</v>
      </c>
      <c r="CS883" s="7" t="s">
        <v>1602</v>
      </c>
    </row>
    <row r="884" spans="2:97">
      <c r="B884" t="s">
        <v>3126</v>
      </c>
      <c r="C884" s="2" t="s">
        <v>1911</v>
      </c>
      <c r="D884" s="2" t="s">
        <v>1911</v>
      </c>
      <c r="E884" s="8" t="s">
        <v>1912</v>
      </c>
      <c r="F884" s="8" t="s">
        <v>65</v>
      </c>
      <c r="G884" s="1">
        <v>1</v>
      </c>
      <c r="H884" s="1"/>
      <c r="I884" s="1">
        <f>1805-21</f>
        <v>1784</v>
      </c>
      <c r="J884" t="s">
        <v>10</v>
      </c>
      <c r="K884" t="s">
        <v>197</v>
      </c>
      <c r="Q884">
        <v>5</v>
      </c>
      <c r="R884">
        <v>4</v>
      </c>
      <c r="T884" s="5">
        <f t="shared" si="44"/>
        <v>168.52</v>
      </c>
      <c r="U884" t="s">
        <v>2060</v>
      </c>
      <c r="AM884" s="6">
        <v>1</v>
      </c>
      <c r="AN884" s="7">
        <v>1</v>
      </c>
      <c r="BC884" t="s">
        <v>1100</v>
      </c>
      <c r="BD884" s="7" t="s">
        <v>103</v>
      </c>
      <c r="BE884" t="s">
        <v>2407</v>
      </c>
      <c r="BF884" s="1" t="s">
        <v>29</v>
      </c>
      <c r="BG884" s="1">
        <v>3</v>
      </c>
      <c r="BH884">
        <v>1</v>
      </c>
      <c r="BI884">
        <v>1</v>
      </c>
      <c r="BJ884">
        <v>1</v>
      </c>
      <c r="BK884" s="1">
        <v>1</v>
      </c>
      <c r="BQ884">
        <v>1</v>
      </c>
      <c r="CS884" s="7" t="s">
        <v>1096</v>
      </c>
    </row>
    <row r="885" spans="2:97">
      <c r="B885" t="s">
        <v>684</v>
      </c>
      <c r="C885" s="15" t="s">
        <v>356</v>
      </c>
      <c r="D885" s="15" t="s">
        <v>356</v>
      </c>
      <c r="E885" s="8" t="s">
        <v>546</v>
      </c>
      <c r="F885" s="8" t="s">
        <v>357</v>
      </c>
      <c r="G885" s="1">
        <v>1</v>
      </c>
      <c r="H885" s="1"/>
      <c r="I885" s="1">
        <f>1805-18</f>
        <v>1787</v>
      </c>
      <c r="J885" t="s">
        <v>10</v>
      </c>
      <c r="K885" t="s">
        <v>12</v>
      </c>
      <c r="Q885">
        <v>5</v>
      </c>
      <c r="R885">
        <v>1</v>
      </c>
      <c r="S885">
        <v>3</v>
      </c>
      <c r="T885" s="5">
        <f>((Q885*316)+(R885*26.3)+(S885*2.2))/10</f>
        <v>161.29</v>
      </c>
      <c r="U885" t="s">
        <v>3250</v>
      </c>
      <c r="AM885" s="6">
        <v>1</v>
      </c>
      <c r="AN885" s="6">
        <v>1</v>
      </c>
      <c r="AO885" s="6">
        <v>1</v>
      </c>
      <c r="AP885" s="6">
        <v>1</v>
      </c>
      <c r="AQ885" s="6">
        <v>1</v>
      </c>
      <c r="AR885" s="7">
        <v>1</v>
      </c>
      <c r="BC885" t="s">
        <v>3251</v>
      </c>
      <c r="BD885" s="7" t="s">
        <v>109</v>
      </c>
      <c r="BE885" t="s">
        <v>2407</v>
      </c>
      <c r="BF885" s="1" t="s">
        <v>29</v>
      </c>
      <c r="BG885" s="1">
        <v>7</v>
      </c>
      <c r="BH885">
        <v>2</v>
      </c>
      <c r="BK885" s="1">
        <v>1</v>
      </c>
      <c r="BQ885">
        <v>1</v>
      </c>
      <c r="BR885">
        <v>1</v>
      </c>
      <c r="CL885">
        <v>1</v>
      </c>
      <c r="CN885">
        <v>1</v>
      </c>
      <c r="CP885">
        <v>1</v>
      </c>
      <c r="CS885" s="7" t="s">
        <v>1602</v>
      </c>
    </row>
    <row r="886" spans="2:97">
      <c r="B886" t="s">
        <v>3332</v>
      </c>
      <c r="C886" s="2" t="s">
        <v>3215</v>
      </c>
      <c r="D886" s="15"/>
      <c r="E886" s="8" t="s">
        <v>1912</v>
      </c>
      <c r="F886" s="8" t="s">
        <v>65</v>
      </c>
      <c r="G886" s="1">
        <v>1</v>
      </c>
      <c r="H886" s="1"/>
      <c r="I886" s="1">
        <f>1805-21</f>
        <v>1784</v>
      </c>
      <c r="J886" t="s">
        <v>69</v>
      </c>
      <c r="K886" t="s">
        <v>3333</v>
      </c>
      <c r="N886">
        <v>1</v>
      </c>
      <c r="Q886">
        <v>5</v>
      </c>
      <c r="R886">
        <v>2</v>
      </c>
      <c r="S886">
        <v>3</v>
      </c>
      <c r="T886" s="5">
        <f>((Q886*316)+(R886*26.3)+(S886*2.2))/10</f>
        <v>163.92</v>
      </c>
      <c r="U886" t="s">
        <v>3250</v>
      </c>
      <c r="AM886" s="6">
        <v>1</v>
      </c>
      <c r="AN886" s="6">
        <v>1</v>
      </c>
      <c r="AO886" s="6">
        <v>1</v>
      </c>
      <c r="AP886" s="6">
        <v>1</v>
      </c>
      <c r="AQ886" s="6">
        <v>1</v>
      </c>
      <c r="AR886" s="6">
        <v>1</v>
      </c>
      <c r="AS886" s="6">
        <v>1</v>
      </c>
      <c r="AT886" s="7">
        <v>1</v>
      </c>
      <c r="BC886" s="9" t="s">
        <v>3334</v>
      </c>
      <c r="BD886" s="7" t="s">
        <v>280</v>
      </c>
      <c r="BE886" t="s">
        <v>2407</v>
      </c>
      <c r="BF886" s="1" t="s">
        <v>29</v>
      </c>
      <c r="BG886" s="1">
        <v>9</v>
      </c>
      <c r="BH886">
        <v>1</v>
      </c>
      <c r="BK886" s="1">
        <v>1</v>
      </c>
      <c r="BQ886">
        <v>1</v>
      </c>
      <c r="CM886">
        <v>1</v>
      </c>
      <c r="CN886">
        <v>1</v>
      </c>
      <c r="CS886" s="7" t="s">
        <v>3335</v>
      </c>
    </row>
    <row r="887" spans="2:97">
      <c r="B887" t="s">
        <v>4710</v>
      </c>
      <c r="C887" s="2" t="s">
        <v>2294</v>
      </c>
      <c r="D887" s="2" t="s">
        <v>2294</v>
      </c>
      <c r="E887" s="8" t="s">
        <v>1442</v>
      </c>
      <c r="F887" s="8" t="s">
        <v>65</v>
      </c>
      <c r="G887" s="1">
        <v>1</v>
      </c>
      <c r="H887" s="1"/>
      <c r="I887" s="1">
        <f>1806-19</f>
        <v>1787</v>
      </c>
      <c r="J887" t="s">
        <v>10</v>
      </c>
      <c r="K887" t="s">
        <v>12</v>
      </c>
      <c r="Q887">
        <v>5</v>
      </c>
      <c r="R887">
        <v>2</v>
      </c>
      <c r="S887">
        <v>3</v>
      </c>
      <c r="T887" s="5">
        <f>((Q887*316)+(R887*26.3)+(S887*2.2))/10</f>
        <v>163.92</v>
      </c>
      <c r="U887" t="s">
        <v>3250</v>
      </c>
      <c r="AM887" s="6">
        <v>1</v>
      </c>
      <c r="AN887" s="6">
        <v>1</v>
      </c>
      <c r="BC887">
        <v>1806</v>
      </c>
      <c r="BD887" t="s">
        <v>81</v>
      </c>
      <c r="BE887" t="s">
        <v>1564</v>
      </c>
      <c r="BF887" s="1" t="s">
        <v>73</v>
      </c>
      <c r="BG887" s="1">
        <v>2</v>
      </c>
      <c r="BH887">
        <v>1</v>
      </c>
      <c r="BK887" s="1">
        <v>1</v>
      </c>
      <c r="BQ887">
        <v>1</v>
      </c>
      <c r="CS887" t="s">
        <v>4703</v>
      </c>
    </row>
    <row r="888" spans="2:97">
      <c r="B888" t="s">
        <v>3121</v>
      </c>
      <c r="C888" s="2" t="s">
        <v>1984</v>
      </c>
      <c r="D888" s="2" t="s">
        <v>1984</v>
      </c>
      <c r="E888" s="8" t="s">
        <v>1912</v>
      </c>
      <c r="F888" s="8" t="s">
        <v>65</v>
      </c>
      <c r="G888" s="1">
        <v>1</v>
      </c>
      <c r="H888" s="1"/>
      <c r="I888" s="1">
        <f>1805-24</f>
        <v>1781</v>
      </c>
      <c r="J888" t="s">
        <v>10</v>
      </c>
      <c r="K888" t="s">
        <v>12</v>
      </c>
      <c r="Q888">
        <v>5</v>
      </c>
      <c r="R888">
        <v>3</v>
      </c>
      <c r="T888" s="5">
        <f t="shared" si="44"/>
        <v>165.89000000000001</v>
      </c>
      <c r="U888" t="s">
        <v>1070</v>
      </c>
      <c r="AM888" s="6">
        <v>1</v>
      </c>
      <c r="AN888" s="7">
        <v>1</v>
      </c>
      <c r="BC888" t="s">
        <v>3122</v>
      </c>
      <c r="BD888" s="7" t="s">
        <v>26</v>
      </c>
      <c r="BE888" t="s">
        <v>2407</v>
      </c>
      <c r="BF888" s="1" t="s">
        <v>29</v>
      </c>
      <c r="BG888" s="1">
        <v>2</v>
      </c>
      <c r="BH888">
        <v>1</v>
      </c>
      <c r="BK888" s="1">
        <v>1</v>
      </c>
      <c r="BQ888">
        <v>1</v>
      </c>
      <c r="CS888" s="7" t="s">
        <v>3123</v>
      </c>
    </row>
    <row r="889" spans="2:97">
      <c r="B889" t="s">
        <v>1520</v>
      </c>
      <c r="C889" s="2" t="s">
        <v>1336</v>
      </c>
      <c r="D889" s="2" t="s">
        <v>1336</v>
      </c>
      <c r="E889" s="8" t="s">
        <v>837</v>
      </c>
      <c r="F889" s="8" t="s">
        <v>115</v>
      </c>
      <c r="G889" s="1">
        <v>1</v>
      </c>
      <c r="H889" s="1"/>
      <c r="I889" s="1">
        <f>1811-20</f>
        <v>1791</v>
      </c>
      <c r="J889" t="s">
        <v>10</v>
      </c>
      <c r="K889" t="s">
        <v>12</v>
      </c>
      <c r="Q889">
        <v>5</v>
      </c>
      <c r="R889">
        <v>8</v>
      </c>
      <c r="S889">
        <v>3</v>
      </c>
      <c r="T889" s="5">
        <f t="shared" si="44"/>
        <v>179.7</v>
      </c>
      <c r="U889" t="s">
        <v>1521</v>
      </c>
      <c r="AM889" s="6">
        <v>1</v>
      </c>
      <c r="AN889" s="6">
        <v>1</v>
      </c>
      <c r="AO889" s="6">
        <v>1</v>
      </c>
      <c r="AP889" s="6">
        <v>1</v>
      </c>
      <c r="AQ889" s="6">
        <v>1</v>
      </c>
      <c r="AR889" s="6">
        <v>1</v>
      </c>
      <c r="AS889" s="6">
        <v>1</v>
      </c>
      <c r="AT889" s="6">
        <v>1</v>
      </c>
      <c r="AU889" s="6">
        <v>1</v>
      </c>
      <c r="AV889" s="6">
        <v>1</v>
      </c>
      <c r="AW889" s="6">
        <v>1</v>
      </c>
      <c r="AX889" s="6">
        <v>1</v>
      </c>
      <c r="AY889" s="7">
        <v>1</v>
      </c>
      <c r="BC889" t="s">
        <v>1517</v>
      </c>
      <c r="BD889" s="7" t="s">
        <v>103</v>
      </c>
      <c r="BE889" t="s">
        <v>118</v>
      </c>
      <c r="BF889" s="1" t="s">
        <v>29</v>
      </c>
      <c r="BG889" s="1">
        <v>2</v>
      </c>
      <c r="BH889">
        <v>2</v>
      </c>
      <c r="BK889" s="1">
        <v>1</v>
      </c>
      <c r="BQ889">
        <v>1</v>
      </c>
      <c r="CL889">
        <v>1</v>
      </c>
      <c r="CS889" s="7" t="s">
        <v>1086</v>
      </c>
    </row>
    <row r="890" spans="2:97">
      <c r="B890" t="s">
        <v>1986</v>
      </c>
      <c r="C890" s="2" t="s">
        <v>1441</v>
      </c>
      <c r="D890" s="2" t="s">
        <v>1441</v>
      </c>
      <c r="E890" s="8" t="s">
        <v>1442</v>
      </c>
      <c r="F890" s="8" t="s">
        <v>65</v>
      </c>
      <c r="G890" s="1">
        <v>1</v>
      </c>
      <c r="H890" s="1"/>
      <c r="I890" s="1">
        <f>1805-18</f>
        <v>1787</v>
      </c>
      <c r="J890" t="s">
        <v>10</v>
      </c>
      <c r="K890" t="s">
        <v>12</v>
      </c>
      <c r="Q890">
        <v>5</v>
      </c>
      <c r="R890">
        <v>2</v>
      </c>
      <c r="S890">
        <v>2</v>
      </c>
      <c r="T890" s="5">
        <f t="shared" si="44"/>
        <v>163.69999999999999</v>
      </c>
      <c r="U890" t="s">
        <v>1521</v>
      </c>
      <c r="AM890" s="7">
        <v>1</v>
      </c>
      <c r="BC890" t="s">
        <v>1987</v>
      </c>
      <c r="BD890" s="7" t="s">
        <v>163</v>
      </c>
      <c r="BE890" t="s">
        <v>1564</v>
      </c>
      <c r="BF890" s="1" t="s">
        <v>29</v>
      </c>
      <c r="BG890" s="1">
        <v>2</v>
      </c>
      <c r="BH890">
        <v>1</v>
      </c>
      <c r="BK890" s="1">
        <v>1</v>
      </c>
      <c r="BQ890">
        <v>1</v>
      </c>
      <c r="CS890" s="7" t="s">
        <v>1988</v>
      </c>
    </row>
    <row r="891" spans="2:97">
      <c r="B891" t="s">
        <v>1989</v>
      </c>
      <c r="C891" s="2" t="s">
        <v>1990</v>
      </c>
      <c r="D891" s="2" t="s">
        <v>1990</v>
      </c>
      <c r="E891" s="8" t="s">
        <v>654</v>
      </c>
      <c r="F891" s="8" t="s">
        <v>65</v>
      </c>
      <c r="G891" s="1">
        <v>1</v>
      </c>
      <c r="H891" s="1"/>
      <c r="I891" s="1">
        <f>1805-28</f>
        <v>1777</v>
      </c>
      <c r="J891" t="s">
        <v>69</v>
      </c>
      <c r="K891" t="s">
        <v>12</v>
      </c>
      <c r="Q891">
        <v>5</v>
      </c>
      <c r="R891">
        <v>5</v>
      </c>
      <c r="T891" s="5">
        <f t="shared" si="44"/>
        <v>171.15</v>
      </c>
      <c r="U891" t="s">
        <v>1521</v>
      </c>
      <c r="AM891" s="6">
        <v>1</v>
      </c>
      <c r="AN891" s="7">
        <v>1</v>
      </c>
      <c r="BC891" t="s">
        <v>198</v>
      </c>
      <c r="BD891" s="7" t="s">
        <v>109</v>
      </c>
      <c r="BE891" t="s">
        <v>1564</v>
      </c>
      <c r="BF891" s="1" t="s">
        <v>29</v>
      </c>
      <c r="BG891" s="1">
        <v>2</v>
      </c>
      <c r="BH891">
        <v>1</v>
      </c>
      <c r="BK891" s="1">
        <v>1</v>
      </c>
      <c r="BQ891">
        <v>1</v>
      </c>
      <c r="CS891" s="7" t="s">
        <v>1991</v>
      </c>
    </row>
    <row r="892" spans="2:97">
      <c r="B892" t="s">
        <v>4621</v>
      </c>
      <c r="C892" s="2" t="s">
        <v>3429</v>
      </c>
      <c r="D892" s="2" t="s">
        <v>3429</v>
      </c>
      <c r="E892" s="8" t="s">
        <v>1306</v>
      </c>
      <c r="F892" s="8" t="s">
        <v>65</v>
      </c>
      <c r="G892" s="1">
        <v>1</v>
      </c>
      <c r="H892" s="1"/>
      <c r="I892" s="1">
        <f>1806-31</f>
        <v>1775</v>
      </c>
      <c r="J892" t="s">
        <v>69</v>
      </c>
      <c r="K892" t="s">
        <v>12</v>
      </c>
      <c r="N892">
        <v>1</v>
      </c>
      <c r="Q892">
        <v>5</v>
      </c>
      <c r="R892">
        <v>6</v>
      </c>
      <c r="S892">
        <v>2</v>
      </c>
      <c r="T892" s="5">
        <f t="shared" si="44"/>
        <v>174.22</v>
      </c>
      <c r="U892" t="s">
        <v>1521</v>
      </c>
      <c r="AM892" s="6">
        <v>1</v>
      </c>
      <c r="AN892" s="6">
        <v>1</v>
      </c>
      <c r="BC892">
        <v>1806</v>
      </c>
      <c r="BD892" t="s">
        <v>81</v>
      </c>
      <c r="BE892" t="s">
        <v>712</v>
      </c>
      <c r="BF892" s="1" t="s">
        <v>73</v>
      </c>
      <c r="BG892" s="1">
        <v>1</v>
      </c>
      <c r="BH892">
        <v>1</v>
      </c>
      <c r="BK892" s="1">
        <v>1</v>
      </c>
      <c r="BQ892">
        <v>1</v>
      </c>
      <c r="CS892" t="s">
        <v>713</v>
      </c>
    </row>
    <row r="893" spans="2:97">
      <c r="B893" t="s">
        <v>4652</v>
      </c>
      <c r="C893" s="2" t="s">
        <v>4653</v>
      </c>
      <c r="D893" s="2" t="s">
        <v>4654</v>
      </c>
      <c r="E893" s="8" t="s">
        <v>1306</v>
      </c>
      <c r="F893" s="8" t="s">
        <v>65</v>
      </c>
      <c r="G893" s="1">
        <v>1</v>
      </c>
      <c r="H893" s="1"/>
      <c r="I893" s="1">
        <f>1806-19</f>
        <v>1787</v>
      </c>
      <c r="J893" t="s">
        <v>10</v>
      </c>
      <c r="K893" t="s">
        <v>12</v>
      </c>
      <c r="Q893">
        <v>5</v>
      </c>
      <c r="R893">
        <v>2</v>
      </c>
      <c r="S893">
        <v>2</v>
      </c>
      <c r="T893" s="5">
        <f t="shared" si="44"/>
        <v>163.69999999999999</v>
      </c>
      <c r="U893" t="s">
        <v>362</v>
      </c>
      <c r="AM893" s="6">
        <v>1</v>
      </c>
      <c r="AN893" s="6">
        <v>1</v>
      </c>
      <c r="BC893">
        <v>1806</v>
      </c>
      <c r="BD893" t="s">
        <v>81</v>
      </c>
      <c r="BE893" t="s">
        <v>712</v>
      </c>
      <c r="BF893" s="1" t="s">
        <v>73</v>
      </c>
      <c r="BG893" s="1">
        <v>1</v>
      </c>
      <c r="BH893">
        <v>1</v>
      </c>
      <c r="BK893" s="1">
        <v>1</v>
      </c>
      <c r="BQ893">
        <v>1</v>
      </c>
      <c r="CS893" t="s">
        <v>713</v>
      </c>
    </row>
    <row r="894" spans="2:97">
      <c r="B894" t="s">
        <v>4343</v>
      </c>
      <c r="C894" s="2" t="s">
        <v>4344</v>
      </c>
      <c r="D894" s="2" t="s">
        <v>4344</v>
      </c>
      <c r="E894" s="8" t="s">
        <v>1912</v>
      </c>
      <c r="F894" s="8" t="s">
        <v>65</v>
      </c>
      <c r="G894" s="1">
        <v>1</v>
      </c>
      <c r="H894" s="1"/>
      <c r="I894" s="1">
        <f>1811-27</f>
        <v>1784</v>
      </c>
      <c r="J894" t="s">
        <v>69</v>
      </c>
      <c r="K894" t="s">
        <v>12</v>
      </c>
      <c r="N894">
        <v>1</v>
      </c>
      <c r="Q894">
        <v>5</v>
      </c>
      <c r="R894">
        <v>4</v>
      </c>
      <c r="T894" s="5">
        <f t="shared" si="44"/>
        <v>168.52</v>
      </c>
      <c r="U894" t="s">
        <v>3296</v>
      </c>
      <c r="AM894" s="6">
        <v>1</v>
      </c>
      <c r="AN894" s="6">
        <v>1</v>
      </c>
      <c r="AO894" s="6">
        <v>1</v>
      </c>
      <c r="AP894" s="6">
        <v>1</v>
      </c>
      <c r="AQ894" s="6">
        <v>1</v>
      </c>
      <c r="AR894" s="6">
        <v>1</v>
      </c>
      <c r="AS894" s="6">
        <v>1</v>
      </c>
      <c r="BC894">
        <v>1811</v>
      </c>
      <c r="BD894" t="s">
        <v>81</v>
      </c>
      <c r="BE894" t="s">
        <v>4328</v>
      </c>
      <c r="BF894" s="1" t="s">
        <v>73</v>
      </c>
      <c r="BG894" s="1">
        <v>1</v>
      </c>
      <c r="BH894">
        <v>1</v>
      </c>
      <c r="BK894" s="1" t="s">
        <v>72</v>
      </c>
      <c r="BQ894">
        <v>1</v>
      </c>
      <c r="CF894">
        <v>1</v>
      </c>
      <c r="CS894" t="s">
        <v>4345</v>
      </c>
    </row>
    <row r="895" spans="2:97">
      <c r="B895" t="s">
        <v>3294</v>
      </c>
      <c r="C895" s="2" t="s">
        <v>3295</v>
      </c>
      <c r="D895" s="2" t="s">
        <v>1984</v>
      </c>
      <c r="E895" s="8" t="s">
        <v>1912</v>
      </c>
      <c r="F895" s="8" t="s">
        <v>65</v>
      </c>
      <c r="G895" s="1">
        <v>1</v>
      </c>
      <c r="H895" s="1"/>
      <c r="I895" s="1">
        <f>1805-25</f>
        <v>1780</v>
      </c>
      <c r="J895" t="s">
        <v>69</v>
      </c>
      <c r="K895" t="s">
        <v>12</v>
      </c>
      <c r="N895">
        <v>1</v>
      </c>
      <c r="Q895">
        <v>5</v>
      </c>
      <c r="R895">
        <v>4</v>
      </c>
      <c r="S895">
        <v>3</v>
      </c>
      <c r="T895" s="5">
        <f>((Q895*316)+(R895*26.3)+(S895*2.2))/10</f>
        <v>169.18</v>
      </c>
      <c r="U895" t="s">
        <v>3296</v>
      </c>
      <c r="AM895" s="6">
        <v>1</v>
      </c>
      <c r="AN895" s="6">
        <v>1</v>
      </c>
      <c r="AO895" s="6">
        <v>1</v>
      </c>
      <c r="AP895" s="6">
        <v>1</v>
      </c>
      <c r="AQ895" s="7">
        <v>1</v>
      </c>
      <c r="BC895" t="s">
        <v>1975</v>
      </c>
      <c r="BD895" s="7" t="s">
        <v>305</v>
      </c>
      <c r="BE895" t="s">
        <v>2407</v>
      </c>
      <c r="BF895" s="1" t="s">
        <v>29</v>
      </c>
      <c r="BG895" s="1">
        <v>4</v>
      </c>
      <c r="BH895">
        <v>1</v>
      </c>
      <c r="BK895" s="1">
        <v>1</v>
      </c>
      <c r="BQ895">
        <v>1</v>
      </c>
      <c r="CM895">
        <v>1</v>
      </c>
      <c r="CS895" s="7" t="s">
        <v>3297</v>
      </c>
    </row>
    <row r="896" spans="2:97">
      <c r="B896" t="s">
        <v>3109</v>
      </c>
      <c r="C896" s="2" t="s">
        <v>1911</v>
      </c>
      <c r="D896" s="2" t="s">
        <v>1911</v>
      </c>
      <c r="E896" s="8" t="s">
        <v>1912</v>
      </c>
      <c r="F896" s="8" t="s">
        <v>65</v>
      </c>
      <c r="G896" s="1">
        <v>1</v>
      </c>
      <c r="H896" s="1"/>
      <c r="I896" s="1">
        <f>1805-20</f>
        <v>1785</v>
      </c>
      <c r="J896" t="s">
        <v>69</v>
      </c>
      <c r="K896" t="s">
        <v>12</v>
      </c>
      <c r="Q896">
        <v>5</v>
      </c>
      <c r="R896">
        <v>4</v>
      </c>
      <c r="S896">
        <v>1</v>
      </c>
      <c r="T896" s="5">
        <f t="shared" si="44"/>
        <v>168.74</v>
      </c>
      <c r="U896" t="s">
        <v>3108</v>
      </c>
      <c r="AM896" s="6">
        <v>1</v>
      </c>
      <c r="AN896" s="7">
        <v>1</v>
      </c>
      <c r="BC896" t="s">
        <v>3068</v>
      </c>
      <c r="BD896" s="7" t="s">
        <v>109</v>
      </c>
      <c r="BE896" t="s">
        <v>2407</v>
      </c>
      <c r="BF896" s="1" t="s">
        <v>29</v>
      </c>
      <c r="BG896" s="1">
        <v>3</v>
      </c>
      <c r="BH896">
        <v>1</v>
      </c>
      <c r="BK896" s="1">
        <v>1</v>
      </c>
      <c r="BQ896">
        <v>1</v>
      </c>
      <c r="CS896" s="7" t="s">
        <v>1086</v>
      </c>
    </row>
    <row r="897" spans="1:98">
      <c r="A897" t="s">
        <v>72</v>
      </c>
      <c r="B897" t="s">
        <v>3413</v>
      </c>
      <c r="C897" s="2" t="s">
        <v>3414</v>
      </c>
      <c r="D897" s="2" t="s">
        <v>2054</v>
      </c>
      <c r="E897" s="8" t="s">
        <v>920</v>
      </c>
      <c r="F897" s="8" t="s">
        <v>115</v>
      </c>
      <c r="G897" s="1">
        <v>1</v>
      </c>
      <c r="H897" s="1"/>
      <c r="I897" s="1">
        <f>1805-19</f>
        <v>1786</v>
      </c>
      <c r="J897" t="s">
        <v>10</v>
      </c>
      <c r="K897" t="s">
        <v>12</v>
      </c>
      <c r="Q897">
        <v>5</v>
      </c>
      <c r="R897">
        <v>2</v>
      </c>
      <c r="S897">
        <v>2</v>
      </c>
      <c r="T897" s="5">
        <f t="shared" si="44"/>
        <v>163.69999999999999</v>
      </c>
      <c r="U897" t="s">
        <v>3415</v>
      </c>
      <c r="AM897" s="6">
        <v>1</v>
      </c>
      <c r="AN897" s="6">
        <v>1</v>
      </c>
      <c r="AO897" s="6">
        <v>1</v>
      </c>
      <c r="AP897" s="6">
        <v>1</v>
      </c>
      <c r="BC897">
        <v>1808</v>
      </c>
      <c r="BD897" t="s">
        <v>81</v>
      </c>
      <c r="BE897" s="10" t="s">
        <v>1502</v>
      </c>
      <c r="BF897" s="1" t="s">
        <v>73</v>
      </c>
      <c r="BG897" s="1">
        <v>4</v>
      </c>
      <c r="BH897">
        <v>2</v>
      </c>
      <c r="BK897" s="1">
        <v>1</v>
      </c>
      <c r="BQ897">
        <v>1</v>
      </c>
      <c r="BX897">
        <v>1</v>
      </c>
      <c r="CL897" s="10">
        <v>1</v>
      </c>
      <c r="CR897" t="s">
        <v>72</v>
      </c>
      <c r="CS897" t="s">
        <v>3416</v>
      </c>
    </row>
    <row r="898" spans="1:98">
      <c r="B898" t="s">
        <v>4364</v>
      </c>
      <c r="C898" s="8" t="s">
        <v>4365</v>
      </c>
      <c r="D898" s="8" t="s">
        <v>4365</v>
      </c>
      <c r="E898" s="8" t="s">
        <v>1912</v>
      </c>
      <c r="F898" s="8" t="s">
        <v>65</v>
      </c>
      <c r="G898" s="1">
        <v>1</v>
      </c>
      <c r="H898" s="1"/>
      <c r="I898" s="1">
        <f>1805-25</f>
        <v>1780</v>
      </c>
      <c r="J898" t="s">
        <v>10</v>
      </c>
      <c r="K898" t="s">
        <v>12</v>
      </c>
      <c r="Q898">
        <v>5</v>
      </c>
      <c r="R898">
        <v>4</v>
      </c>
      <c r="T898" s="5">
        <f t="shared" si="44"/>
        <v>168.52</v>
      </c>
      <c r="U898" t="s">
        <v>3415</v>
      </c>
      <c r="AM898" s="6">
        <v>1</v>
      </c>
      <c r="AN898" s="6">
        <v>1</v>
      </c>
      <c r="AO898" s="6">
        <v>1</v>
      </c>
      <c r="AP898" s="6">
        <v>1</v>
      </c>
      <c r="AQ898" s="6">
        <v>1</v>
      </c>
      <c r="AR898" s="6">
        <v>1</v>
      </c>
      <c r="AS898" s="6">
        <v>1</v>
      </c>
      <c r="BC898">
        <v>1811</v>
      </c>
      <c r="BD898" t="s">
        <v>81</v>
      </c>
      <c r="BE898" t="s">
        <v>4328</v>
      </c>
      <c r="BF898" s="1" t="s">
        <v>73</v>
      </c>
      <c r="BG898" s="1">
        <v>1</v>
      </c>
      <c r="BH898">
        <v>1</v>
      </c>
      <c r="BK898" s="1" t="s">
        <v>72</v>
      </c>
      <c r="BQ898">
        <v>1</v>
      </c>
      <c r="CF898">
        <v>1</v>
      </c>
      <c r="CS898" t="s">
        <v>4366</v>
      </c>
    </row>
    <row r="899" spans="1:98">
      <c r="B899" t="s">
        <v>4614</v>
      </c>
      <c r="C899" s="2" t="s">
        <v>3273</v>
      </c>
      <c r="D899" s="2" t="s">
        <v>3274</v>
      </c>
      <c r="E899" s="8" t="s">
        <v>1306</v>
      </c>
      <c r="F899" s="8" t="s">
        <v>65</v>
      </c>
      <c r="G899" s="1">
        <v>1</v>
      </c>
      <c r="H899" s="1"/>
      <c r="I899" s="1">
        <f>1806-20</f>
        <v>1786</v>
      </c>
      <c r="J899" t="s">
        <v>10</v>
      </c>
      <c r="K899" t="s">
        <v>12</v>
      </c>
      <c r="Q899">
        <v>5</v>
      </c>
      <c r="R899">
        <v>4</v>
      </c>
      <c r="T899" s="5">
        <f t="shared" si="44"/>
        <v>168.52</v>
      </c>
      <c r="U899" t="s">
        <v>4615</v>
      </c>
      <c r="AM899" s="6">
        <v>1</v>
      </c>
      <c r="AN899" s="6">
        <v>1</v>
      </c>
      <c r="BC899">
        <v>1806</v>
      </c>
      <c r="BD899" t="s">
        <v>81</v>
      </c>
      <c r="BE899" t="s">
        <v>712</v>
      </c>
      <c r="BF899" s="1" t="s">
        <v>73</v>
      </c>
      <c r="BG899" s="1">
        <v>1</v>
      </c>
      <c r="BH899">
        <v>1</v>
      </c>
      <c r="BK899" s="1" t="s">
        <v>72</v>
      </c>
      <c r="BQ899">
        <v>1</v>
      </c>
      <c r="CS899" t="s">
        <v>713</v>
      </c>
    </row>
    <row r="900" spans="1:98">
      <c r="B900" t="s">
        <v>2411</v>
      </c>
      <c r="C900" s="2" t="s">
        <v>2412</v>
      </c>
      <c r="D900" s="15"/>
      <c r="F900" s="8" t="s">
        <v>65</v>
      </c>
      <c r="G900" s="1">
        <v>1</v>
      </c>
      <c r="H900" s="1"/>
      <c r="I900" s="1">
        <f>1811-39</f>
        <v>1772</v>
      </c>
      <c r="J900" t="s">
        <v>10</v>
      </c>
      <c r="K900" t="s">
        <v>12</v>
      </c>
      <c r="Q900">
        <v>5</v>
      </c>
      <c r="R900">
        <v>4</v>
      </c>
      <c r="S900">
        <v>2</v>
      </c>
      <c r="T900" s="5">
        <f t="shared" si="44"/>
        <v>168.96</v>
      </c>
      <c r="U900" t="s">
        <v>2413</v>
      </c>
      <c r="AM900" s="6">
        <v>1</v>
      </c>
      <c r="AN900" s="6">
        <v>1</v>
      </c>
      <c r="AO900" s="6">
        <v>1</v>
      </c>
      <c r="AP900" s="6">
        <v>1</v>
      </c>
      <c r="AQ900" s="6">
        <v>1</v>
      </c>
      <c r="AR900" s="6">
        <v>1</v>
      </c>
      <c r="AS900" s="6">
        <v>1</v>
      </c>
      <c r="AT900" s="6">
        <v>1</v>
      </c>
      <c r="AU900" s="6">
        <v>1</v>
      </c>
      <c r="AV900" s="6">
        <v>1</v>
      </c>
      <c r="AW900" s="6">
        <v>1</v>
      </c>
      <c r="AX900" s="7">
        <v>1</v>
      </c>
      <c r="BC900" t="s">
        <v>2415</v>
      </c>
      <c r="BD900" s="7" t="s">
        <v>103</v>
      </c>
      <c r="BE900" t="s">
        <v>2414</v>
      </c>
      <c r="BF900" s="1" t="s">
        <v>29</v>
      </c>
      <c r="BG900" s="1">
        <v>1</v>
      </c>
      <c r="BH900">
        <v>3</v>
      </c>
      <c r="BK900" s="1">
        <v>1</v>
      </c>
      <c r="BQ900">
        <v>1</v>
      </c>
      <c r="BY900">
        <v>1</v>
      </c>
      <c r="CL900">
        <v>1</v>
      </c>
      <c r="CS900" s="7" t="s">
        <v>2416</v>
      </c>
    </row>
    <row r="901" spans="1:98">
      <c r="B901" t="s">
        <v>3098</v>
      </c>
      <c r="C901" s="2" t="s">
        <v>1911</v>
      </c>
      <c r="D901" s="2" t="s">
        <v>1911</v>
      </c>
      <c r="E901" s="8" t="s">
        <v>1912</v>
      </c>
      <c r="F901" s="8" t="s">
        <v>65</v>
      </c>
      <c r="G901" s="1">
        <v>1</v>
      </c>
      <c r="H901" s="1"/>
      <c r="I901" s="1">
        <f>1805-29</f>
        <v>1776</v>
      </c>
      <c r="J901" t="s">
        <v>69</v>
      </c>
      <c r="K901" t="s">
        <v>12</v>
      </c>
      <c r="Q901">
        <v>5</v>
      </c>
      <c r="R901">
        <v>5</v>
      </c>
      <c r="S901">
        <v>2</v>
      </c>
      <c r="T901" s="5">
        <f t="shared" si="44"/>
        <v>171.59</v>
      </c>
      <c r="U901" t="s">
        <v>2413</v>
      </c>
      <c r="AM901" s="6">
        <v>1</v>
      </c>
      <c r="AN901" s="7">
        <v>1</v>
      </c>
      <c r="BC901" t="s">
        <v>3068</v>
      </c>
      <c r="BD901" s="7" t="s">
        <v>109</v>
      </c>
      <c r="BE901" t="s">
        <v>2407</v>
      </c>
      <c r="BF901" s="1" t="s">
        <v>29</v>
      </c>
      <c r="BG901" s="1">
        <v>3</v>
      </c>
      <c r="BH901">
        <v>1</v>
      </c>
      <c r="BK901" s="1">
        <v>1</v>
      </c>
      <c r="BQ901">
        <v>1</v>
      </c>
      <c r="CS901" s="7" t="s">
        <v>1086</v>
      </c>
    </row>
    <row r="902" spans="1:98">
      <c r="B902" t="s">
        <v>4360</v>
      </c>
      <c r="C902" s="2" t="s">
        <v>3569</v>
      </c>
      <c r="D902" s="2" t="s">
        <v>3569</v>
      </c>
      <c r="E902" s="8" t="s">
        <v>627</v>
      </c>
      <c r="F902" s="8" t="s">
        <v>357</v>
      </c>
      <c r="G902" s="1">
        <v>1</v>
      </c>
      <c r="H902" s="1"/>
      <c r="I902" s="1">
        <f>1811-21</f>
        <v>1790</v>
      </c>
      <c r="J902" t="s">
        <v>10</v>
      </c>
      <c r="K902" t="s">
        <v>12</v>
      </c>
      <c r="Q902">
        <v>5</v>
      </c>
      <c r="R902">
        <v>1</v>
      </c>
      <c r="S902">
        <v>3</v>
      </c>
      <c r="T902" s="5">
        <f t="shared" si="44"/>
        <v>161.29</v>
      </c>
      <c r="U902" t="s">
        <v>4361</v>
      </c>
      <c r="AM902" s="6">
        <v>1</v>
      </c>
      <c r="AN902" s="6">
        <v>1</v>
      </c>
      <c r="AO902" s="6">
        <v>1</v>
      </c>
      <c r="AP902" s="6">
        <v>1</v>
      </c>
      <c r="AQ902" s="6">
        <v>1</v>
      </c>
      <c r="AR902" s="6">
        <v>1</v>
      </c>
      <c r="AS902" s="6">
        <v>1</v>
      </c>
      <c r="BC902">
        <v>1811</v>
      </c>
      <c r="BD902" t="s">
        <v>81</v>
      </c>
      <c r="BE902" t="s">
        <v>4328</v>
      </c>
      <c r="BF902" s="1" t="s">
        <v>73</v>
      </c>
      <c r="BG902" s="1">
        <v>1</v>
      </c>
      <c r="BH902">
        <v>2</v>
      </c>
      <c r="BK902" s="1" t="s">
        <v>72</v>
      </c>
      <c r="BQ902">
        <v>1</v>
      </c>
      <c r="CL902">
        <v>1</v>
      </c>
      <c r="CS902" t="s">
        <v>4329</v>
      </c>
    </row>
    <row r="903" spans="1:98">
      <c r="B903" t="s">
        <v>4353</v>
      </c>
      <c r="C903" s="2" t="s">
        <v>4354</v>
      </c>
      <c r="D903" s="2" t="s">
        <v>4354</v>
      </c>
      <c r="E903" s="8" t="s">
        <v>627</v>
      </c>
      <c r="F903" s="8" t="s">
        <v>357</v>
      </c>
      <c r="G903" s="1">
        <v>1</v>
      </c>
      <c r="H903" s="1"/>
      <c r="I903" s="1">
        <f>1811-22</f>
        <v>1789</v>
      </c>
      <c r="J903" t="s">
        <v>10</v>
      </c>
      <c r="K903" t="s">
        <v>12</v>
      </c>
      <c r="Q903">
        <v>5</v>
      </c>
      <c r="R903">
        <v>2</v>
      </c>
      <c r="T903" s="5">
        <f t="shared" si="44"/>
        <v>163.26</v>
      </c>
      <c r="U903" t="s">
        <v>1348</v>
      </c>
      <c r="AM903" s="6">
        <v>1</v>
      </c>
      <c r="AN903" s="6">
        <v>1</v>
      </c>
      <c r="AO903" s="6">
        <v>1</v>
      </c>
      <c r="AP903" s="6">
        <v>1</v>
      </c>
      <c r="AQ903" s="6">
        <v>1</v>
      </c>
      <c r="AR903" s="6">
        <v>1</v>
      </c>
      <c r="AS903" s="6">
        <v>1</v>
      </c>
      <c r="BC903">
        <v>1811</v>
      </c>
      <c r="BD903" t="s">
        <v>81</v>
      </c>
      <c r="BE903" t="s">
        <v>4328</v>
      </c>
      <c r="BF903" s="1" t="s">
        <v>73</v>
      </c>
      <c r="BG903" s="1">
        <v>1</v>
      </c>
      <c r="BH903">
        <v>1</v>
      </c>
      <c r="BK903" s="1" t="s">
        <v>72</v>
      </c>
      <c r="BQ903">
        <v>1</v>
      </c>
      <c r="CS903" t="s">
        <v>4329</v>
      </c>
    </row>
    <row r="904" spans="1:98">
      <c r="B904" t="s">
        <v>2238</v>
      </c>
      <c r="C904" s="2" t="s">
        <v>2239</v>
      </c>
      <c r="D904" s="2" t="s">
        <v>4575</v>
      </c>
      <c r="E904" s="8" t="s">
        <v>624</v>
      </c>
      <c r="F904" s="8" t="s">
        <v>218</v>
      </c>
      <c r="G904" s="1">
        <v>1</v>
      </c>
      <c r="H904" s="1"/>
      <c r="I904" s="1">
        <f>1811-30</f>
        <v>1781</v>
      </c>
      <c r="J904" t="s">
        <v>10</v>
      </c>
      <c r="K904" t="s">
        <v>2240</v>
      </c>
      <c r="Q904">
        <v>5</v>
      </c>
      <c r="R904">
        <v>3</v>
      </c>
      <c r="T904" s="5">
        <f t="shared" si="44"/>
        <v>165.89000000000001</v>
      </c>
      <c r="U904" t="s">
        <v>2241</v>
      </c>
      <c r="AM904" s="6">
        <v>1</v>
      </c>
      <c r="AN904" s="6">
        <v>1</v>
      </c>
      <c r="AO904" s="6">
        <v>1</v>
      </c>
      <c r="AP904" s="6">
        <v>1</v>
      </c>
      <c r="AQ904" s="6">
        <v>1</v>
      </c>
      <c r="AR904" s="6">
        <v>1</v>
      </c>
      <c r="AS904" s="6">
        <v>1</v>
      </c>
      <c r="AT904" s="6">
        <v>1</v>
      </c>
      <c r="AU904" s="6">
        <v>1</v>
      </c>
      <c r="AV904" s="6">
        <v>1</v>
      </c>
      <c r="AW904" s="6">
        <v>1</v>
      </c>
      <c r="AX904" s="6">
        <v>1</v>
      </c>
      <c r="AY904" s="7">
        <v>1</v>
      </c>
      <c r="BC904" t="s">
        <v>2419</v>
      </c>
      <c r="BD904" s="7" t="s">
        <v>103</v>
      </c>
      <c r="BE904" t="s">
        <v>2242</v>
      </c>
      <c r="BF904" s="1" t="s">
        <v>29</v>
      </c>
      <c r="BG904" s="1">
        <v>2</v>
      </c>
      <c r="BH904">
        <v>4</v>
      </c>
      <c r="BK904" s="1" t="s">
        <v>72</v>
      </c>
      <c r="BQ904">
        <v>1</v>
      </c>
      <c r="BY904">
        <v>1</v>
      </c>
      <c r="CC904">
        <v>1</v>
      </c>
      <c r="CL904">
        <v>1</v>
      </c>
      <c r="CS904" s="7" t="s">
        <v>1226</v>
      </c>
    </row>
    <row r="905" spans="1:98">
      <c r="B905" t="s">
        <v>215</v>
      </c>
      <c r="C905" s="15" t="s">
        <v>216</v>
      </c>
      <c r="D905" s="13" t="s">
        <v>217</v>
      </c>
      <c r="F905" s="8" t="s">
        <v>218</v>
      </c>
      <c r="G905" s="1">
        <v>1</v>
      </c>
      <c r="H905" s="1"/>
      <c r="I905" s="1">
        <f>1805-20</f>
        <v>1785</v>
      </c>
      <c r="J905" t="s">
        <v>10</v>
      </c>
      <c r="K905" t="s">
        <v>12</v>
      </c>
      <c r="T905" s="5"/>
      <c r="U905" s="9" t="s">
        <v>219</v>
      </c>
      <c r="AM905" s="9">
        <v>1</v>
      </c>
      <c r="AN905" s="6">
        <v>1</v>
      </c>
      <c r="BC905">
        <v>1806</v>
      </c>
      <c r="BD905" t="s">
        <v>81</v>
      </c>
      <c r="BE905" s="10" t="s">
        <v>70</v>
      </c>
      <c r="BF905" s="1" t="s">
        <v>73</v>
      </c>
      <c r="BG905" s="1">
        <v>2</v>
      </c>
      <c r="BH905">
        <v>1</v>
      </c>
      <c r="BK905" s="1">
        <v>1</v>
      </c>
      <c r="BZ905">
        <v>1</v>
      </c>
      <c r="CS905" t="s">
        <v>111</v>
      </c>
      <c r="CT905" s="10" t="s">
        <v>221</v>
      </c>
    </row>
    <row r="906" spans="1:98">
      <c r="B906" t="s">
        <v>3522</v>
      </c>
      <c r="C906" s="15" t="s">
        <v>553</v>
      </c>
      <c r="D906" s="15" t="s">
        <v>554</v>
      </c>
      <c r="E906" s="8" t="s">
        <v>555</v>
      </c>
      <c r="F906" s="8" t="s">
        <v>218</v>
      </c>
      <c r="G906" s="1">
        <v>1</v>
      </c>
      <c r="H906" s="1"/>
      <c r="I906" s="1">
        <f>1809-24</f>
        <v>1785</v>
      </c>
      <c r="J906" t="s">
        <v>10</v>
      </c>
      <c r="K906" t="s">
        <v>116</v>
      </c>
      <c r="Q906">
        <v>5</v>
      </c>
      <c r="R906">
        <v>2</v>
      </c>
      <c r="S906">
        <v>3</v>
      </c>
      <c r="T906" s="5">
        <f>((Q906*316)+(R906*26.3)+(S906*2.2))/10</f>
        <v>163.92</v>
      </c>
      <c r="U906" t="s">
        <v>3521</v>
      </c>
      <c r="AM906" s="6">
        <v>1</v>
      </c>
      <c r="AN906" s="6">
        <v>1</v>
      </c>
      <c r="AO906" s="7">
        <v>1</v>
      </c>
      <c r="AQ906" s="7">
        <v>1</v>
      </c>
      <c r="BC906" t="s">
        <v>556</v>
      </c>
      <c r="BD906" s="7" t="s">
        <v>163</v>
      </c>
      <c r="BE906" t="s">
        <v>433</v>
      </c>
      <c r="BF906" s="1" t="s">
        <v>29</v>
      </c>
      <c r="BG906" s="1">
        <v>7</v>
      </c>
      <c r="BH906">
        <v>3</v>
      </c>
      <c r="BJ906">
        <v>1</v>
      </c>
      <c r="BK906" s="1">
        <v>1</v>
      </c>
      <c r="BO906">
        <v>1</v>
      </c>
      <c r="BP906">
        <v>1</v>
      </c>
      <c r="BQ906">
        <v>1</v>
      </c>
      <c r="BR906">
        <v>1</v>
      </c>
      <c r="CB906">
        <v>1</v>
      </c>
      <c r="CF906">
        <v>1</v>
      </c>
      <c r="CM906">
        <v>1</v>
      </c>
      <c r="CS906" s="7" t="s">
        <v>557</v>
      </c>
    </row>
    <row r="907" spans="1:98">
      <c r="B907" t="s">
        <v>3601</v>
      </c>
      <c r="C907" s="8" t="s">
        <v>3602</v>
      </c>
      <c r="D907" s="8" t="s">
        <v>3603</v>
      </c>
      <c r="E907" s="8" t="s">
        <v>1630</v>
      </c>
      <c r="F907" s="8" t="s">
        <v>65</v>
      </c>
      <c r="G907" s="1">
        <v>1</v>
      </c>
      <c r="H907" s="1"/>
      <c r="I907" s="1">
        <f>1812-24</f>
        <v>1788</v>
      </c>
      <c r="J907" t="s">
        <v>10</v>
      </c>
      <c r="K907" t="s">
        <v>12</v>
      </c>
      <c r="Q907">
        <v>5</v>
      </c>
      <c r="R907">
        <v>4</v>
      </c>
      <c r="T907" s="5">
        <f>((Q907*316)+(R907*26.3)+(S907*2.2))/10</f>
        <v>168.52</v>
      </c>
      <c r="U907" t="s">
        <v>3110</v>
      </c>
      <c r="AM907" s="6">
        <v>1</v>
      </c>
      <c r="AN907" s="6">
        <v>1</v>
      </c>
      <c r="AO907" s="6">
        <v>1</v>
      </c>
      <c r="AP907" s="6">
        <v>1</v>
      </c>
      <c r="AQ907" s="6">
        <v>1</v>
      </c>
      <c r="AR907" s="6">
        <v>1</v>
      </c>
      <c r="AS907" s="6">
        <v>1</v>
      </c>
      <c r="AT907" s="6">
        <v>1</v>
      </c>
      <c r="AU907" s="7">
        <v>1</v>
      </c>
      <c r="BC907" t="s">
        <v>3604</v>
      </c>
      <c r="BD907" s="7" t="s">
        <v>103</v>
      </c>
      <c r="BE907" t="s">
        <v>2407</v>
      </c>
      <c r="BF907" s="1" t="s">
        <v>29</v>
      </c>
      <c r="BG907" s="1">
        <v>5</v>
      </c>
      <c r="BH907">
        <v>2</v>
      </c>
      <c r="BK907" s="1" t="s">
        <v>72</v>
      </c>
      <c r="BQ907">
        <v>1</v>
      </c>
      <c r="CL907">
        <v>1</v>
      </c>
      <c r="CS907" s="7" t="s">
        <v>1945</v>
      </c>
    </row>
    <row r="908" spans="1:98">
      <c r="B908" t="s">
        <v>3111</v>
      </c>
      <c r="C908" s="2" t="s">
        <v>1911</v>
      </c>
      <c r="D908" s="2" t="s">
        <v>1911</v>
      </c>
      <c r="E908" s="8" t="s">
        <v>1912</v>
      </c>
      <c r="F908" s="8" t="s">
        <v>65</v>
      </c>
      <c r="G908" s="1">
        <v>1</v>
      </c>
      <c r="H908" s="1"/>
      <c r="I908" s="1">
        <f>1805-26</f>
        <v>1779</v>
      </c>
      <c r="J908" t="s">
        <v>10</v>
      </c>
      <c r="K908" t="s">
        <v>12</v>
      </c>
      <c r="Q908">
        <v>5</v>
      </c>
      <c r="R908">
        <v>1</v>
      </c>
      <c r="S908">
        <v>2</v>
      </c>
      <c r="T908" s="5">
        <f t="shared" ref="T908:T967" si="45">((Q908*316)+(R908*26.3)+(S908*2.2))/10</f>
        <v>161.07</v>
      </c>
      <c r="U908" t="s">
        <v>3110</v>
      </c>
      <c r="AM908" s="6">
        <v>1</v>
      </c>
      <c r="AN908" s="7">
        <v>1</v>
      </c>
      <c r="BC908" t="s">
        <v>2830</v>
      </c>
      <c r="BD908" s="7" t="s">
        <v>103</v>
      </c>
      <c r="BE908" t="s">
        <v>2407</v>
      </c>
      <c r="BF908" s="1" t="s">
        <v>29</v>
      </c>
      <c r="BG908" s="1">
        <v>4</v>
      </c>
      <c r="BH908">
        <v>1</v>
      </c>
      <c r="BJ908">
        <v>1</v>
      </c>
      <c r="BK908" s="1">
        <v>1</v>
      </c>
      <c r="BQ908">
        <v>1</v>
      </c>
      <c r="CS908" s="7" t="s">
        <v>3114</v>
      </c>
    </row>
    <row r="909" spans="1:98">
      <c r="B909" t="s">
        <v>4290</v>
      </c>
      <c r="C909" s="2" t="s">
        <v>3819</v>
      </c>
      <c r="D909" s="26" t="s">
        <v>2634</v>
      </c>
      <c r="E909" s="8" t="s">
        <v>710</v>
      </c>
      <c r="F909" s="8" t="s">
        <v>115</v>
      </c>
      <c r="G909" s="1">
        <v>1</v>
      </c>
      <c r="H909" s="1"/>
      <c r="I909" s="1">
        <f>1806-25</f>
        <v>1781</v>
      </c>
      <c r="J909" t="s">
        <v>10</v>
      </c>
      <c r="K909" t="s">
        <v>12</v>
      </c>
      <c r="Q909">
        <v>5</v>
      </c>
      <c r="R909">
        <v>3</v>
      </c>
      <c r="S909">
        <v>2</v>
      </c>
      <c r="T909" s="5">
        <f t="shared" si="45"/>
        <v>166.33</v>
      </c>
      <c r="U909" t="s">
        <v>3110</v>
      </c>
      <c r="AM909" s="6">
        <v>1</v>
      </c>
      <c r="AN909" s="6">
        <v>1</v>
      </c>
      <c r="BC909">
        <v>1806</v>
      </c>
      <c r="BD909" t="s">
        <v>81</v>
      </c>
      <c r="BE909" t="s">
        <v>2635</v>
      </c>
      <c r="BF909" s="1" t="s">
        <v>73</v>
      </c>
      <c r="BG909" s="1">
        <v>1</v>
      </c>
      <c r="BH909">
        <v>1</v>
      </c>
      <c r="BK909" s="1">
        <v>1</v>
      </c>
      <c r="BQ909">
        <v>1</v>
      </c>
      <c r="CS909" t="s">
        <v>2636</v>
      </c>
    </row>
    <row r="910" spans="1:98">
      <c r="B910" t="s">
        <v>680</v>
      </c>
      <c r="C910" s="15" t="s">
        <v>681</v>
      </c>
      <c r="D910" s="15" t="s">
        <v>681</v>
      </c>
      <c r="E910" s="8" t="s">
        <v>271</v>
      </c>
      <c r="F910" s="8" t="s">
        <v>115</v>
      </c>
      <c r="G910" s="1">
        <v>1</v>
      </c>
      <c r="H910" s="1"/>
      <c r="I910" s="1">
        <f>1809-26</f>
        <v>1783</v>
      </c>
      <c r="J910" t="s">
        <v>69</v>
      </c>
      <c r="K910" t="s">
        <v>12</v>
      </c>
      <c r="Q910">
        <v>5</v>
      </c>
      <c r="R910">
        <v>2</v>
      </c>
      <c r="T910" s="5">
        <f t="shared" si="45"/>
        <v>163.26</v>
      </c>
      <c r="U910" t="s">
        <v>682</v>
      </c>
      <c r="AM910" s="6">
        <v>1</v>
      </c>
      <c r="AN910" s="6">
        <v>1</v>
      </c>
      <c r="AO910" s="6">
        <v>1</v>
      </c>
      <c r="AP910" s="6">
        <v>1</v>
      </c>
      <c r="AQ910" s="6">
        <v>1</v>
      </c>
      <c r="AR910" s="7">
        <v>1</v>
      </c>
      <c r="BC910" t="s">
        <v>566</v>
      </c>
      <c r="BD910" s="7" t="s">
        <v>280</v>
      </c>
      <c r="BE910" t="s">
        <v>124</v>
      </c>
      <c r="BF910" s="1" t="s">
        <v>29</v>
      </c>
      <c r="BG910" s="1">
        <v>2</v>
      </c>
      <c r="BH910">
        <v>2</v>
      </c>
      <c r="BK910" s="1">
        <v>1</v>
      </c>
      <c r="BQ910">
        <v>1</v>
      </c>
      <c r="BR910">
        <v>1</v>
      </c>
      <c r="CF910">
        <v>1</v>
      </c>
      <c r="CL910">
        <v>1</v>
      </c>
      <c r="CN910">
        <v>1</v>
      </c>
      <c r="CS910" s="7" t="s">
        <v>683</v>
      </c>
    </row>
    <row r="911" spans="1:98">
      <c r="B911" t="s">
        <v>3101</v>
      </c>
      <c r="C911" s="2" t="s">
        <v>1984</v>
      </c>
      <c r="D911" s="2" t="s">
        <v>1984</v>
      </c>
      <c r="E911" s="8" t="s">
        <v>1912</v>
      </c>
      <c r="F911" s="8" t="s">
        <v>65</v>
      </c>
      <c r="G911" s="1">
        <v>1</v>
      </c>
      <c r="H911" s="1"/>
      <c r="I911" s="1">
        <f>1805-19</f>
        <v>1786</v>
      </c>
      <c r="J911" t="s">
        <v>10</v>
      </c>
      <c r="K911" t="s">
        <v>12</v>
      </c>
      <c r="Q911">
        <v>5</v>
      </c>
      <c r="R911">
        <v>2</v>
      </c>
      <c r="S911">
        <v>2</v>
      </c>
      <c r="T911" s="5">
        <f t="shared" si="45"/>
        <v>163.69999999999999</v>
      </c>
      <c r="U911" t="s">
        <v>682</v>
      </c>
      <c r="AM911" s="6">
        <v>1</v>
      </c>
      <c r="AN911" s="7">
        <v>1</v>
      </c>
      <c r="BC911" t="s">
        <v>3102</v>
      </c>
      <c r="BD911" s="7" t="s">
        <v>103</v>
      </c>
      <c r="BE911" t="s">
        <v>2407</v>
      </c>
      <c r="BF911" s="1" t="s">
        <v>29</v>
      </c>
      <c r="BG911" s="1">
        <v>3</v>
      </c>
      <c r="BH911">
        <v>1</v>
      </c>
      <c r="BI911">
        <v>1</v>
      </c>
      <c r="BJ911">
        <v>1</v>
      </c>
      <c r="BK911" s="1">
        <v>1</v>
      </c>
      <c r="BQ911">
        <v>1</v>
      </c>
      <c r="CS911" s="7" t="s">
        <v>1378</v>
      </c>
    </row>
    <row r="912" spans="1:98">
      <c r="B912" t="s">
        <v>3484</v>
      </c>
      <c r="C912" s="2" t="s">
        <v>3485</v>
      </c>
      <c r="D912" s="15"/>
      <c r="E912" s="8" t="s">
        <v>920</v>
      </c>
      <c r="F912" s="8" t="s">
        <v>115</v>
      </c>
      <c r="G912" s="1">
        <v>1</v>
      </c>
      <c r="H912" s="1"/>
      <c r="I912" s="1">
        <f>1806-20</f>
        <v>1786</v>
      </c>
      <c r="J912" t="s">
        <v>10</v>
      </c>
      <c r="K912" t="s">
        <v>12</v>
      </c>
      <c r="Q912">
        <v>5</v>
      </c>
      <c r="R912">
        <v>3</v>
      </c>
      <c r="S912">
        <v>1</v>
      </c>
      <c r="T912" s="5">
        <f t="shared" si="45"/>
        <v>166.11</v>
      </c>
      <c r="U912" t="s">
        <v>682</v>
      </c>
      <c r="AM912" s="6">
        <v>1</v>
      </c>
      <c r="AN912" s="6">
        <v>1</v>
      </c>
      <c r="AO912" s="6">
        <v>1</v>
      </c>
      <c r="AP912" s="7">
        <v>1</v>
      </c>
      <c r="BC912" s="9" t="s">
        <v>3473</v>
      </c>
      <c r="BD912" s="7" t="s">
        <v>280</v>
      </c>
      <c r="BE912" t="s">
        <v>1502</v>
      </c>
      <c r="BF912" s="1" t="s">
        <v>29</v>
      </c>
      <c r="BG912" s="1">
        <v>3</v>
      </c>
      <c r="BH912">
        <v>1</v>
      </c>
      <c r="BK912" s="1">
        <v>1</v>
      </c>
      <c r="BQ912">
        <v>1</v>
      </c>
      <c r="CN912">
        <v>1</v>
      </c>
      <c r="CS912" s="7" t="s">
        <v>947</v>
      </c>
    </row>
    <row r="913" spans="2:97">
      <c r="B913" t="s">
        <v>3112</v>
      </c>
      <c r="C913" s="2" t="s">
        <v>1911</v>
      </c>
      <c r="D913" s="2" t="s">
        <v>1911</v>
      </c>
      <c r="E913" s="8" t="s">
        <v>1912</v>
      </c>
      <c r="F913" s="8" t="s">
        <v>65</v>
      </c>
      <c r="G913" s="1">
        <v>1</v>
      </c>
      <c r="H913" s="1"/>
      <c r="I913" s="1">
        <f>1806-40</f>
        <v>1766</v>
      </c>
      <c r="J913" t="s">
        <v>69</v>
      </c>
      <c r="K913" t="s">
        <v>140</v>
      </c>
      <c r="O913">
        <v>3</v>
      </c>
      <c r="Q913">
        <v>5</v>
      </c>
      <c r="R913">
        <v>3</v>
      </c>
      <c r="T913" s="5">
        <f t="shared" si="45"/>
        <v>165.89000000000001</v>
      </c>
      <c r="U913" t="s">
        <v>2166</v>
      </c>
      <c r="AM913" s="6">
        <v>1</v>
      </c>
      <c r="AN913" s="7">
        <v>1</v>
      </c>
      <c r="BC913" t="s">
        <v>3113</v>
      </c>
      <c r="BD913" s="7" t="s">
        <v>103</v>
      </c>
      <c r="BE913" t="s">
        <v>2407</v>
      </c>
      <c r="BF913" s="1" t="s">
        <v>29</v>
      </c>
      <c r="BG913" s="1">
        <v>4</v>
      </c>
      <c r="BH913">
        <v>1</v>
      </c>
      <c r="BJ913">
        <v>1</v>
      </c>
      <c r="BK913" s="1">
        <v>1</v>
      </c>
      <c r="BQ913">
        <v>1</v>
      </c>
      <c r="CS913" s="7" t="s">
        <v>3114</v>
      </c>
    </row>
    <row r="914" spans="2:97">
      <c r="B914" t="s">
        <v>3125</v>
      </c>
      <c r="C914" s="2" t="s">
        <v>3124</v>
      </c>
      <c r="D914" s="2" t="s">
        <v>3124</v>
      </c>
      <c r="E914" s="8" t="s">
        <v>1912</v>
      </c>
      <c r="F914" s="8" t="s">
        <v>65</v>
      </c>
      <c r="G914" s="1">
        <v>1</v>
      </c>
      <c r="H914" s="1"/>
      <c r="I914" s="1">
        <f>1805-19</f>
        <v>1786</v>
      </c>
      <c r="J914" t="s">
        <v>10</v>
      </c>
      <c r="K914" t="s">
        <v>12</v>
      </c>
      <c r="Q914">
        <v>5</v>
      </c>
      <c r="R914">
        <v>2</v>
      </c>
      <c r="S914">
        <v>2</v>
      </c>
      <c r="T914" s="5">
        <f t="shared" si="45"/>
        <v>163.69999999999999</v>
      </c>
      <c r="U914" t="s">
        <v>2166</v>
      </c>
      <c r="AM914" s="7">
        <v>1</v>
      </c>
      <c r="BC914" t="s">
        <v>2092</v>
      </c>
      <c r="BD914" s="7" t="s">
        <v>163</v>
      </c>
      <c r="BE914" t="s">
        <v>2407</v>
      </c>
      <c r="BF914" s="1" t="s">
        <v>29</v>
      </c>
      <c r="BG914" s="1">
        <v>2</v>
      </c>
      <c r="BH914">
        <v>1</v>
      </c>
      <c r="BK914" s="1">
        <v>1</v>
      </c>
      <c r="BQ914">
        <v>1</v>
      </c>
      <c r="CS914" s="7" t="s">
        <v>3578</v>
      </c>
    </row>
    <row r="915" spans="2:97">
      <c r="B915" t="s">
        <v>3577</v>
      </c>
      <c r="C915" s="2" t="s">
        <v>818</v>
      </c>
      <c r="D915" s="2" t="s">
        <v>818</v>
      </c>
      <c r="E915" s="8" t="s">
        <v>2586</v>
      </c>
      <c r="F915" s="8" t="s">
        <v>65</v>
      </c>
      <c r="G915" s="1">
        <v>1</v>
      </c>
      <c r="H915" s="1"/>
      <c r="I915" s="1">
        <f>1805-18</f>
        <v>1787</v>
      </c>
      <c r="J915" t="s">
        <v>10</v>
      </c>
      <c r="K915" t="s">
        <v>972</v>
      </c>
      <c r="Q915">
        <v>5</v>
      </c>
      <c r="R915">
        <v>1</v>
      </c>
      <c r="S915">
        <v>3</v>
      </c>
      <c r="T915" s="5">
        <f>((Q915*316)+(R915*26.3)+(S915*2.2))/10</f>
        <v>161.29</v>
      </c>
      <c r="U915" t="s">
        <v>2166</v>
      </c>
      <c r="AM915" s="6">
        <v>1</v>
      </c>
      <c r="AN915" s="6">
        <v>1</v>
      </c>
      <c r="BC915">
        <v>1806</v>
      </c>
      <c r="BD915" t="s">
        <v>81</v>
      </c>
      <c r="BE915" s="10" t="s">
        <v>3526</v>
      </c>
      <c r="BF915" s="1" t="s">
        <v>73</v>
      </c>
      <c r="BG915" s="1">
        <v>2</v>
      </c>
      <c r="BH915">
        <v>3</v>
      </c>
      <c r="BI915">
        <v>1</v>
      </c>
      <c r="BK915" s="1">
        <v>1</v>
      </c>
      <c r="BQ915">
        <v>1</v>
      </c>
      <c r="CL915" s="10">
        <v>1</v>
      </c>
      <c r="CS915" s="10" t="s">
        <v>3576</v>
      </c>
    </row>
    <row r="916" spans="2:97">
      <c r="B916" t="s">
        <v>3486</v>
      </c>
      <c r="C916" s="2" t="s">
        <v>919</v>
      </c>
      <c r="D916" s="2" t="s">
        <v>2054</v>
      </c>
      <c r="E916" s="8" t="s">
        <v>920</v>
      </c>
      <c r="F916" s="8" t="s">
        <v>115</v>
      </c>
      <c r="G916" s="1">
        <v>1</v>
      </c>
      <c r="H916" s="1"/>
      <c r="I916" s="1">
        <f>1806-21</f>
        <v>1785</v>
      </c>
      <c r="J916" t="s">
        <v>10</v>
      </c>
      <c r="K916" t="s">
        <v>12</v>
      </c>
      <c r="Q916">
        <v>5</v>
      </c>
      <c r="R916">
        <v>5</v>
      </c>
      <c r="S916">
        <v>1</v>
      </c>
      <c r="T916" s="5">
        <f t="shared" si="45"/>
        <v>171.37</v>
      </c>
      <c r="U916" t="s">
        <v>2166</v>
      </c>
      <c r="AM916" s="6">
        <v>1</v>
      </c>
      <c r="AN916" s="6">
        <v>1</v>
      </c>
      <c r="AO916" s="6">
        <v>1</v>
      </c>
      <c r="AP916" s="7">
        <v>1</v>
      </c>
      <c r="BC916" s="9" t="s">
        <v>3473</v>
      </c>
      <c r="BD916" s="7" t="s">
        <v>280</v>
      </c>
      <c r="BE916" t="s">
        <v>1502</v>
      </c>
      <c r="BF916" s="1" t="s">
        <v>29</v>
      </c>
      <c r="BG916" s="1">
        <v>3</v>
      </c>
      <c r="BH916">
        <v>1</v>
      </c>
      <c r="BK916" s="1">
        <v>1</v>
      </c>
      <c r="BQ916">
        <v>1</v>
      </c>
      <c r="CN916">
        <v>1</v>
      </c>
      <c r="CS916" s="7" t="s">
        <v>947</v>
      </c>
    </row>
    <row r="917" spans="2:97">
      <c r="B917" t="s">
        <v>4718</v>
      </c>
      <c r="C917" s="2" t="s">
        <v>4719</v>
      </c>
      <c r="D917" s="2" t="s">
        <v>4719</v>
      </c>
      <c r="E917" s="8" t="s">
        <v>193</v>
      </c>
      <c r="F917" s="8" t="s">
        <v>65</v>
      </c>
      <c r="G917" s="1">
        <v>1</v>
      </c>
      <c r="H917" s="1"/>
      <c r="I917" s="1">
        <f>1806-20</f>
        <v>1786</v>
      </c>
      <c r="J917" t="s">
        <v>10</v>
      </c>
      <c r="K917" t="s">
        <v>12</v>
      </c>
      <c r="Q917">
        <v>5</v>
      </c>
      <c r="R917">
        <v>1</v>
      </c>
      <c r="S917">
        <v>2</v>
      </c>
      <c r="T917" s="5">
        <f>((Q917*316)+(R917*26.3)+(S917*2.2))/10</f>
        <v>161.07</v>
      </c>
      <c r="U917" t="s">
        <v>2166</v>
      </c>
      <c r="AM917" s="6">
        <v>1</v>
      </c>
      <c r="AN917" s="6">
        <v>1</v>
      </c>
      <c r="BC917">
        <v>1806</v>
      </c>
      <c r="BD917" t="s">
        <v>81</v>
      </c>
      <c r="BE917" t="s">
        <v>1564</v>
      </c>
      <c r="BF917" s="1" t="s">
        <v>73</v>
      </c>
      <c r="BG917" s="1">
        <v>2</v>
      </c>
      <c r="BH917">
        <v>1</v>
      </c>
      <c r="BK917" s="1">
        <v>1</v>
      </c>
      <c r="BQ917">
        <v>1</v>
      </c>
      <c r="CS917" t="s">
        <v>4703</v>
      </c>
    </row>
    <row r="918" spans="2:97">
      <c r="B918" t="s">
        <v>2165</v>
      </c>
      <c r="C918" s="2" t="s">
        <v>2068</v>
      </c>
      <c r="D918" s="2" t="s">
        <v>2068</v>
      </c>
      <c r="E918" s="8" t="s">
        <v>920</v>
      </c>
      <c r="F918" s="8" t="s">
        <v>115</v>
      </c>
      <c r="G918" s="1">
        <v>1</v>
      </c>
      <c r="H918" s="1"/>
      <c r="I918" s="1">
        <f>1805-19</f>
        <v>1786</v>
      </c>
      <c r="J918" t="s">
        <v>10</v>
      </c>
      <c r="K918" t="s">
        <v>12</v>
      </c>
      <c r="Q918">
        <v>5</v>
      </c>
      <c r="R918">
        <v>2</v>
      </c>
      <c r="S918">
        <v>2</v>
      </c>
      <c r="T918" s="5">
        <f t="shared" si="45"/>
        <v>163.69999999999999</v>
      </c>
      <c r="U918" t="s">
        <v>2166</v>
      </c>
      <c r="AM918" s="6">
        <v>1</v>
      </c>
      <c r="AN918" s="7">
        <v>1</v>
      </c>
      <c r="BC918" t="s">
        <v>1501</v>
      </c>
      <c r="BD918" s="7" t="s">
        <v>109</v>
      </c>
      <c r="BE918" t="s">
        <v>1502</v>
      </c>
      <c r="BF918" s="1" t="s">
        <v>29</v>
      </c>
      <c r="BG918" s="1">
        <v>2</v>
      </c>
      <c r="BH918">
        <v>1</v>
      </c>
      <c r="BK918" s="1">
        <v>1</v>
      </c>
      <c r="BQ918">
        <v>1</v>
      </c>
      <c r="CR918" t="s">
        <v>72</v>
      </c>
      <c r="CS918" s="7" t="s">
        <v>1602</v>
      </c>
    </row>
    <row r="919" spans="2:97">
      <c r="B919" t="s">
        <v>4716</v>
      </c>
      <c r="C919" s="2" t="s">
        <v>191</v>
      </c>
      <c r="D919" s="2" t="s">
        <v>191</v>
      </c>
      <c r="E919" s="8" t="s">
        <v>193</v>
      </c>
      <c r="F919" s="8" t="s">
        <v>65</v>
      </c>
      <c r="G919" s="1">
        <v>1</v>
      </c>
      <c r="H919" s="1"/>
      <c r="I919" s="1">
        <f>1806-26</f>
        <v>1780</v>
      </c>
      <c r="J919" t="s">
        <v>10</v>
      </c>
      <c r="K919" t="s">
        <v>12</v>
      </c>
      <c r="Q919">
        <v>5</v>
      </c>
      <c r="T919" s="5">
        <f>((Q919*316)+(R919*26.3)+(S919*2.2))/10</f>
        <v>158</v>
      </c>
      <c r="U919" t="s">
        <v>2166</v>
      </c>
      <c r="AM919" s="6">
        <v>1</v>
      </c>
      <c r="AN919" s="6">
        <v>1</v>
      </c>
      <c r="BC919">
        <v>1806</v>
      </c>
      <c r="BD919" t="s">
        <v>81</v>
      </c>
      <c r="BE919" t="s">
        <v>1564</v>
      </c>
      <c r="BF919" s="1" t="s">
        <v>73</v>
      </c>
      <c r="BG919" s="1">
        <v>2</v>
      </c>
      <c r="BH919">
        <v>1</v>
      </c>
      <c r="BK919" s="1">
        <v>1</v>
      </c>
      <c r="BQ919">
        <v>1</v>
      </c>
      <c r="CS919" t="s">
        <v>4703</v>
      </c>
    </row>
    <row r="920" spans="2:97">
      <c r="B920" t="s">
        <v>3488</v>
      </c>
      <c r="C920" s="2" t="s">
        <v>3489</v>
      </c>
      <c r="D920" s="2"/>
      <c r="E920" s="8" t="s">
        <v>920</v>
      </c>
      <c r="F920" s="8" t="s">
        <v>115</v>
      </c>
      <c r="G920" s="1">
        <v>1</v>
      </c>
      <c r="H920" s="1"/>
      <c r="I920" s="1">
        <f>1806-22</f>
        <v>1784</v>
      </c>
      <c r="J920" t="s">
        <v>10</v>
      </c>
      <c r="K920" t="s">
        <v>12</v>
      </c>
      <c r="Q920">
        <v>5</v>
      </c>
      <c r="R920">
        <v>1</v>
      </c>
      <c r="S920">
        <v>2</v>
      </c>
      <c r="T920" s="5">
        <f t="shared" si="45"/>
        <v>161.07</v>
      </c>
      <c r="U920" t="s">
        <v>2117</v>
      </c>
      <c r="AM920" s="6">
        <v>1</v>
      </c>
      <c r="AN920" s="6">
        <v>1</v>
      </c>
      <c r="AO920" s="6">
        <v>1</v>
      </c>
      <c r="AP920" s="7">
        <v>1</v>
      </c>
      <c r="BC920" s="9" t="s">
        <v>3473</v>
      </c>
      <c r="BD920" s="7" t="s">
        <v>280</v>
      </c>
      <c r="BE920" t="s">
        <v>1502</v>
      </c>
      <c r="BF920" s="1" t="s">
        <v>29</v>
      </c>
      <c r="BG920" s="1">
        <v>3</v>
      </c>
      <c r="BH920">
        <v>1</v>
      </c>
      <c r="BK920" s="1">
        <v>1</v>
      </c>
      <c r="BQ920">
        <v>1</v>
      </c>
      <c r="CN920">
        <v>1</v>
      </c>
      <c r="CS920" s="7" t="s">
        <v>947</v>
      </c>
    </row>
    <row r="921" spans="2:97">
      <c r="B921" t="s">
        <v>2115</v>
      </c>
      <c r="C921" s="2" t="s">
        <v>2116</v>
      </c>
      <c r="D921" s="2" t="s">
        <v>1441</v>
      </c>
      <c r="E921" s="8" t="s">
        <v>1442</v>
      </c>
      <c r="F921" s="8" t="s">
        <v>65</v>
      </c>
      <c r="G921" s="1">
        <v>1</v>
      </c>
      <c r="H921" s="1"/>
      <c r="I921" s="1">
        <f>1805-18</f>
        <v>1787</v>
      </c>
      <c r="J921" t="s">
        <v>10</v>
      </c>
      <c r="K921" t="s">
        <v>12</v>
      </c>
      <c r="Q921">
        <v>5</v>
      </c>
      <c r="R921">
        <v>1</v>
      </c>
      <c r="S921">
        <v>1</v>
      </c>
      <c r="T921" s="5">
        <f>((Q921*316)+(R921*26.3)+(S921*2.2))/10</f>
        <v>160.85</v>
      </c>
      <c r="U921" t="s">
        <v>2117</v>
      </c>
      <c r="AM921" s="6">
        <v>1</v>
      </c>
      <c r="AN921" s="7">
        <v>1</v>
      </c>
      <c r="BC921" t="s">
        <v>198</v>
      </c>
      <c r="BD921" s="7" t="s">
        <v>109</v>
      </c>
      <c r="BE921" t="s">
        <v>1564</v>
      </c>
      <c r="BF921" s="1" t="s">
        <v>29</v>
      </c>
      <c r="BG921" s="1">
        <v>2</v>
      </c>
      <c r="BH921">
        <v>1</v>
      </c>
      <c r="BK921" s="1">
        <v>1</v>
      </c>
      <c r="BQ921">
        <v>1</v>
      </c>
      <c r="CS921" s="7" t="s">
        <v>1086</v>
      </c>
    </row>
    <row r="922" spans="2:97">
      <c r="B922" t="s">
        <v>1560</v>
      </c>
      <c r="C922" s="15" t="s">
        <v>1561</v>
      </c>
      <c r="D922" s="2" t="s">
        <v>1561</v>
      </c>
      <c r="E922" s="8" t="s">
        <v>1442</v>
      </c>
      <c r="F922" s="8" t="s">
        <v>65</v>
      </c>
      <c r="G922" s="1">
        <v>1</v>
      </c>
      <c r="H922" s="1"/>
      <c r="I922" s="1">
        <f>1806-40</f>
        <v>1766</v>
      </c>
      <c r="J922" t="s">
        <v>69</v>
      </c>
      <c r="K922" t="s">
        <v>197</v>
      </c>
      <c r="N922">
        <v>1</v>
      </c>
      <c r="Q922">
        <v>5</v>
      </c>
      <c r="R922">
        <v>4</v>
      </c>
      <c r="S922">
        <v>3</v>
      </c>
      <c r="T922" s="5">
        <f t="shared" si="45"/>
        <v>169.18</v>
      </c>
      <c r="U922" t="s">
        <v>1562</v>
      </c>
      <c r="AM922" s="6">
        <v>1</v>
      </c>
      <c r="AN922" s="7">
        <v>1</v>
      </c>
      <c r="BC922" t="s">
        <v>1563</v>
      </c>
      <c r="BD922" s="7" t="s">
        <v>103</v>
      </c>
      <c r="BE922" t="s">
        <v>1564</v>
      </c>
      <c r="BF922" s="1" t="s">
        <v>29</v>
      </c>
      <c r="BG922" s="1">
        <v>3</v>
      </c>
      <c r="BH922">
        <v>1</v>
      </c>
      <c r="BJ922">
        <v>1</v>
      </c>
      <c r="BK922" s="1">
        <v>1</v>
      </c>
      <c r="BQ922">
        <v>1</v>
      </c>
      <c r="CS922" s="7" t="s">
        <v>1565</v>
      </c>
    </row>
    <row r="923" spans="2:97">
      <c r="B923" t="s">
        <v>4706</v>
      </c>
      <c r="C923" s="2" t="s">
        <v>1561</v>
      </c>
      <c r="D923" s="2" t="s">
        <v>1561</v>
      </c>
      <c r="E923" s="8" t="s">
        <v>1442</v>
      </c>
      <c r="F923" s="8" t="s">
        <v>65</v>
      </c>
      <c r="G923" s="1">
        <v>1</v>
      </c>
      <c r="H923" s="1"/>
      <c r="I923" s="1">
        <f>1806-33</f>
        <v>1773</v>
      </c>
      <c r="J923" t="s">
        <v>69</v>
      </c>
      <c r="K923" t="s">
        <v>900</v>
      </c>
      <c r="N923">
        <v>1</v>
      </c>
      <c r="Q923">
        <v>5</v>
      </c>
      <c r="R923">
        <v>3</v>
      </c>
      <c r="S923">
        <v>2</v>
      </c>
      <c r="T923" s="5">
        <f t="shared" si="45"/>
        <v>166.33</v>
      </c>
      <c r="U923" t="s">
        <v>1562</v>
      </c>
      <c r="AM923" s="6">
        <v>1</v>
      </c>
      <c r="AN923" s="6">
        <v>1</v>
      </c>
      <c r="BC923">
        <v>1806</v>
      </c>
      <c r="BD923" t="s">
        <v>81</v>
      </c>
      <c r="BE923" t="s">
        <v>1564</v>
      </c>
      <c r="BF923" s="1" t="s">
        <v>73</v>
      </c>
      <c r="BG923" s="1">
        <v>2</v>
      </c>
      <c r="BH923">
        <v>1</v>
      </c>
      <c r="BK923" s="1">
        <v>1</v>
      </c>
      <c r="BQ923">
        <v>1</v>
      </c>
      <c r="CS923" t="s">
        <v>4703</v>
      </c>
    </row>
    <row r="924" spans="2:97">
      <c r="B924" t="s">
        <v>1936</v>
      </c>
      <c r="C924" s="2" t="s">
        <v>1339</v>
      </c>
      <c r="D924" s="2" t="s">
        <v>1339</v>
      </c>
      <c r="E924" s="8" t="s">
        <v>146</v>
      </c>
      <c r="F924" s="8" t="s">
        <v>65</v>
      </c>
      <c r="G924" s="1">
        <v>1</v>
      </c>
      <c r="H924" s="1"/>
      <c r="I924" s="1">
        <f>1805-24</f>
        <v>1781</v>
      </c>
      <c r="J924" t="s">
        <v>10</v>
      </c>
      <c r="K924" t="s">
        <v>12</v>
      </c>
      <c r="Q924">
        <v>5</v>
      </c>
      <c r="R924">
        <v>6</v>
      </c>
      <c r="T924" s="5">
        <f t="shared" si="45"/>
        <v>173.78</v>
      </c>
      <c r="U924" t="s">
        <v>1937</v>
      </c>
      <c r="AM924" s="6">
        <v>1</v>
      </c>
      <c r="AN924" s="7">
        <v>1</v>
      </c>
      <c r="BC924" t="s">
        <v>1938</v>
      </c>
      <c r="BD924" s="7" t="s">
        <v>280</v>
      </c>
      <c r="BE924" t="s">
        <v>1564</v>
      </c>
      <c r="BF924" s="1" t="s">
        <v>29</v>
      </c>
      <c r="BG924" s="1">
        <v>2</v>
      </c>
      <c r="BH924">
        <v>1</v>
      </c>
      <c r="BK924" s="1">
        <v>1</v>
      </c>
      <c r="BQ924">
        <v>1</v>
      </c>
      <c r="CN924">
        <v>1</v>
      </c>
      <c r="CS924" s="7" t="s">
        <v>947</v>
      </c>
    </row>
    <row r="925" spans="2:97">
      <c r="B925" t="s">
        <v>2113</v>
      </c>
      <c r="C925" s="15" t="s">
        <v>1561</v>
      </c>
      <c r="D925" s="2" t="s">
        <v>1561</v>
      </c>
      <c r="E925" s="8" t="s">
        <v>1442</v>
      </c>
      <c r="F925" s="8" t="s">
        <v>65</v>
      </c>
      <c r="G925" s="1">
        <v>1</v>
      </c>
      <c r="H925" s="1"/>
      <c r="I925" s="1">
        <f>1806-40</f>
        <v>1766</v>
      </c>
      <c r="J925" t="s">
        <v>69</v>
      </c>
      <c r="K925" t="s">
        <v>197</v>
      </c>
      <c r="Q925">
        <v>5</v>
      </c>
      <c r="R925">
        <v>6</v>
      </c>
      <c r="T925" s="5">
        <f t="shared" si="45"/>
        <v>173.78</v>
      </c>
      <c r="U925" t="s">
        <v>1937</v>
      </c>
      <c r="AM925" s="6">
        <v>1</v>
      </c>
      <c r="AN925" s="7">
        <v>1</v>
      </c>
      <c r="BC925" t="s">
        <v>2114</v>
      </c>
      <c r="BD925" s="7" t="s">
        <v>103</v>
      </c>
      <c r="BE925" t="s">
        <v>1564</v>
      </c>
      <c r="BF925" s="1" t="s">
        <v>29</v>
      </c>
      <c r="BG925" s="1">
        <v>3</v>
      </c>
      <c r="BH925">
        <v>1</v>
      </c>
      <c r="BK925" s="1">
        <v>1</v>
      </c>
      <c r="BQ925">
        <v>1</v>
      </c>
      <c r="CS925" s="7" t="s">
        <v>2103</v>
      </c>
    </row>
    <row r="926" spans="2:97">
      <c r="B926" t="s">
        <v>2112</v>
      </c>
      <c r="C926" s="15" t="s">
        <v>1561</v>
      </c>
      <c r="D926" s="2" t="s">
        <v>1561</v>
      </c>
      <c r="E926" s="8" t="s">
        <v>1442</v>
      </c>
      <c r="F926" s="8" t="s">
        <v>65</v>
      </c>
      <c r="G926" s="1">
        <v>1</v>
      </c>
      <c r="H926" s="1"/>
      <c r="I926" s="1">
        <f>1805-20</f>
        <v>1785</v>
      </c>
      <c r="J926" t="s">
        <v>10</v>
      </c>
      <c r="K926" t="s">
        <v>12</v>
      </c>
      <c r="Q926">
        <v>5</v>
      </c>
      <c r="R926">
        <v>2</v>
      </c>
      <c r="S926">
        <v>2</v>
      </c>
      <c r="T926" s="5">
        <f t="shared" si="45"/>
        <v>163.69999999999999</v>
      </c>
      <c r="U926" t="s">
        <v>1937</v>
      </c>
      <c r="AM926" s="6">
        <v>1</v>
      </c>
      <c r="AN926" s="7">
        <v>1</v>
      </c>
      <c r="BC926" t="s">
        <v>198</v>
      </c>
      <c r="BD926" s="7" t="s">
        <v>109</v>
      </c>
      <c r="BE926" t="s">
        <v>1564</v>
      </c>
      <c r="BF926" s="1" t="s">
        <v>29</v>
      </c>
      <c r="BG926" s="1">
        <v>2</v>
      </c>
      <c r="BH926">
        <v>1</v>
      </c>
      <c r="BK926" s="1">
        <v>1</v>
      </c>
      <c r="BQ926">
        <v>1</v>
      </c>
      <c r="CS926" s="7" t="s">
        <v>1991</v>
      </c>
    </row>
    <row r="927" spans="2:97">
      <c r="B927" t="s">
        <v>1939</v>
      </c>
      <c r="C927" s="15" t="s">
        <v>1940</v>
      </c>
      <c r="D927" s="26" t="s">
        <v>1941</v>
      </c>
      <c r="E927" s="8" t="s">
        <v>1942</v>
      </c>
      <c r="F927" s="8" t="s">
        <v>65</v>
      </c>
      <c r="G927" s="1">
        <v>1</v>
      </c>
      <c r="H927" s="1"/>
      <c r="I927" s="1">
        <f>1809-22</f>
        <v>1787</v>
      </c>
      <c r="J927" t="s">
        <v>10</v>
      </c>
      <c r="K927" t="s">
        <v>12</v>
      </c>
      <c r="Q927">
        <v>5</v>
      </c>
      <c r="R927">
        <v>4</v>
      </c>
      <c r="T927" s="5">
        <f t="shared" si="45"/>
        <v>168.52</v>
      </c>
      <c r="U927" t="s">
        <v>1943</v>
      </c>
      <c r="AM927" s="6">
        <v>1</v>
      </c>
      <c r="AN927" s="6">
        <v>1</v>
      </c>
      <c r="AO927" s="6">
        <v>1</v>
      </c>
      <c r="AP927" s="6">
        <v>1</v>
      </c>
      <c r="AQ927" s="7">
        <v>1</v>
      </c>
      <c r="BC927" t="s">
        <v>1944</v>
      </c>
      <c r="BD927" s="7" t="s">
        <v>103</v>
      </c>
      <c r="BE927" t="s">
        <v>1904</v>
      </c>
      <c r="BF927" s="1" t="s">
        <v>29</v>
      </c>
      <c r="BG927" s="1">
        <v>3</v>
      </c>
      <c r="BH927">
        <v>1</v>
      </c>
      <c r="BK927" s="1">
        <v>1</v>
      </c>
      <c r="BQ927">
        <v>1</v>
      </c>
      <c r="CS927" s="7" t="s">
        <v>1945</v>
      </c>
    </row>
    <row r="928" spans="2:97">
      <c r="B928" t="s">
        <v>3480</v>
      </c>
      <c r="C928" s="2" t="s">
        <v>3481</v>
      </c>
      <c r="D928" s="2" t="s">
        <v>3481</v>
      </c>
      <c r="E928" s="8" t="s">
        <v>920</v>
      </c>
      <c r="F928" s="8" t="s">
        <v>115</v>
      </c>
      <c r="G928" s="1">
        <v>1</v>
      </c>
      <c r="H928" s="1"/>
      <c r="I928" s="1">
        <f>1806-32</f>
        <v>1774</v>
      </c>
      <c r="J928" t="s">
        <v>69</v>
      </c>
      <c r="K928" t="s">
        <v>12</v>
      </c>
      <c r="N928">
        <v>1</v>
      </c>
      <c r="Q928">
        <v>5</v>
      </c>
      <c r="R928">
        <v>4</v>
      </c>
      <c r="T928" s="5">
        <f t="shared" si="45"/>
        <v>168.52</v>
      </c>
      <c r="U928" t="s">
        <v>1943</v>
      </c>
      <c r="AM928" s="6">
        <v>1</v>
      </c>
      <c r="AN928" s="6">
        <v>1</v>
      </c>
      <c r="AO928" s="6">
        <v>1</v>
      </c>
      <c r="AP928" s="7">
        <v>1</v>
      </c>
      <c r="BC928" s="9" t="s">
        <v>3473</v>
      </c>
      <c r="BD928" s="7" t="s">
        <v>280</v>
      </c>
      <c r="BE928" t="s">
        <v>1502</v>
      </c>
      <c r="BF928" s="1" t="s">
        <v>29</v>
      </c>
      <c r="BG928" s="1">
        <v>3</v>
      </c>
      <c r="BH928">
        <v>1</v>
      </c>
      <c r="BK928" s="1">
        <v>1</v>
      </c>
      <c r="BQ928">
        <v>1</v>
      </c>
      <c r="CN928">
        <v>1</v>
      </c>
      <c r="CS928" s="7" t="s">
        <v>947</v>
      </c>
    </row>
    <row r="929" spans="2:98">
      <c r="B929" t="s">
        <v>4711</v>
      </c>
      <c r="C929" s="2" t="s">
        <v>145</v>
      </c>
      <c r="D929" s="2" t="s">
        <v>145</v>
      </c>
      <c r="E929" s="8" t="s">
        <v>146</v>
      </c>
      <c r="F929" s="8" t="s">
        <v>65</v>
      </c>
      <c r="G929" s="1">
        <v>1</v>
      </c>
      <c r="H929" s="1"/>
      <c r="I929" s="1">
        <f>1806-27</f>
        <v>1779</v>
      </c>
      <c r="J929" t="s">
        <v>69</v>
      </c>
      <c r="K929" t="s">
        <v>12</v>
      </c>
      <c r="Q929">
        <v>5</v>
      </c>
      <c r="R929">
        <v>3</v>
      </c>
      <c r="S929">
        <v>2</v>
      </c>
      <c r="T929" s="5">
        <f t="shared" si="45"/>
        <v>166.33</v>
      </c>
      <c r="U929" t="s">
        <v>1943</v>
      </c>
      <c r="AM929" s="6">
        <v>1</v>
      </c>
      <c r="AN929" s="6">
        <v>1</v>
      </c>
      <c r="BC929">
        <v>1806</v>
      </c>
      <c r="BD929" t="s">
        <v>81</v>
      </c>
      <c r="BE929" t="s">
        <v>1564</v>
      </c>
      <c r="BF929" s="1" t="s">
        <v>73</v>
      </c>
      <c r="BG929" s="1">
        <v>2</v>
      </c>
      <c r="BH929">
        <v>1</v>
      </c>
      <c r="BK929" s="1">
        <v>1</v>
      </c>
      <c r="BQ929">
        <v>1</v>
      </c>
      <c r="CS929" t="s">
        <v>4703</v>
      </c>
    </row>
    <row r="930" spans="2:98">
      <c r="B930" t="s">
        <v>3653</v>
      </c>
      <c r="C930" s="2" t="s">
        <v>2924</v>
      </c>
      <c r="D930" s="2" t="s">
        <v>2924</v>
      </c>
      <c r="E930" s="8" t="s">
        <v>599</v>
      </c>
      <c r="F930" s="8" t="s">
        <v>357</v>
      </c>
      <c r="G930" s="1">
        <v>1</v>
      </c>
      <c r="H930" s="1"/>
      <c r="I930" s="1">
        <f>1805-20</f>
        <v>1785</v>
      </c>
      <c r="J930" t="s">
        <v>10</v>
      </c>
      <c r="K930" t="s">
        <v>12</v>
      </c>
      <c r="Q930">
        <v>5</v>
      </c>
      <c r="R930">
        <v>2</v>
      </c>
      <c r="S930">
        <v>3</v>
      </c>
      <c r="T930" s="5">
        <f>((Q930*316)+(R930*26.3)+(S930*2.2))/10</f>
        <v>163.92</v>
      </c>
      <c r="U930" t="s">
        <v>1943</v>
      </c>
      <c r="AM930" s="6">
        <v>1</v>
      </c>
      <c r="AN930" s="6">
        <v>1</v>
      </c>
      <c r="AO930" s="6">
        <v>1</v>
      </c>
      <c r="AP930" s="6">
        <v>1</v>
      </c>
      <c r="AQ930" s="6">
        <v>1</v>
      </c>
      <c r="AR930" s="6">
        <v>1</v>
      </c>
      <c r="AS930" s="6">
        <v>1</v>
      </c>
      <c r="AT930" s="6">
        <v>1</v>
      </c>
      <c r="AU930" s="6">
        <v>1</v>
      </c>
      <c r="AV930" s="6">
        <v>1</v>
      </c>
      <c r="AW930" s="6">
        <v>1</v>
      </c>
      <c r="AX930" s="7">
        <v>1</v>
      </c>
      <c r="BC930" t="s">
        <v>3654</v>
      </c>
      <c r="BD930" s="7" t="s">
        <v>103</v>
      </c>
      <c r="BE930" t="s">
        <v>2407</v>
      </c>
      <c r="BF930" s="1" t="s">
        <v>29</v>
      </c>
      <c r="BG930" s="1">
        <v>13</v>
      </c>
      <c r="BH930">
        <v>1</v>
      </c>
      <c r="BK930" s="1">
        <v>1</v>
      </c>
      <c r="BQ930">
        <v>1</v>
      </c>
      <c r="CF930" s="6">
        <v>1</v>
      </c>
      <c r="CN930">
        <v>1</v>
      </c>
      <c r="CP930">
        <v>1</v>
      </c>
      <c r="CS930" s="7" t="s">
        <v>412</v>
      </c>
      <c r="CT930" s="6" t="s">
        <v>3655</v>
      </c>
    </row>
    <row r="931" spans="2:98">
      <c r="B931" t="s">
        <v>2067</v>
      </c>
      <c r="C931" s="2" t="s">
        <v>2068</v>
      </c>
      <c r="D931" s="2" t="s">
        <v>2068</v>
      </c>
      <c r="E931" s="8" t="s">
        <v>920</v>
      </c>
      <c r="F931" s="8" t="s">
        <v>115</v>
      </c>
      <c r="G931" s="1">
        <v>1</v>
      </c>
      <c r="H931" s="1"/>
      <c r="I931" s="1">
        <f>1805-26</f>
        <v>1779</v>
      </c>
      <c r="J931" t="s">
        <v>69</v>
      </c>
      <c r="K931" t="s">
        <v>12</v>
      </c>
      <c r="Q931">
        <v>5</v>
      </c>
      <c r="R931">
        <v>3</v>
      </c>
      <c r="S931">
        <v>1</v>
      </c>
      <c r="T931" s="5">
        <f t="shared" si="45"/>
        <v>166.11</v>
      </c>
      <c r="U931" t="s">
        <v>2069</v>
      </c>
      <c r="AM931" s="6">
        <v>1</v>
      </c>
      <c r="AN931" s="7">
        <v>1</v>
      </c>
      <c r="BC931" t="s">
        <v>2070</v>
      </c>
      <c r="BD931" s="7" t="s">
        <v>280</v>
      </c>
      <c r="BE931" t="s">
        <v>1502</v>
      </c>
      <c r="BF931" s="1" t="s">
        <v>29</v>
      </c>
      <c r="BG931" s="1">
        <v>2</v>
      </c>
      <c r="BH931">
        <v>1</v>
      </c>
      <c r="BK931" s="1">
        <v>1</v>
      </c>
      <c r="BQ931">
        <v>1</v>
      </c>
      <c r="CN931">
        <v>1</v>
      </c>
      <c r="CS931" s="7" t="s">
        <v>2071</v>
      </c>
    </row>
    <row r="932" spans="2:98">
      <c r="B932" t="s">
        <v>2160</v>
      </c>
      <c r="C932" s="2" t="s">
        <v>2161</v>
      </c>
      <c r="D932" s="2" t="s">
        <v>2162</v>
      </c>
      <c r="E932" s="8" t="s">
        <v>920</v>
      </c>
      <c r="F932" s="8" t="s">
        <v>115</v>
      </c>
      <c r="G932" s="1">
        <v>1</v>
      </c>
      <c r="H932" s="1"/>
      <c r="I932" s="1">
        <f>1805-22</f>
        <v>1783</v>
      </c>
      <c r="J932" t="s">
        <v>10</v>
      </c>
      <c r="K932" t="s">
        <v>12</v>
      </c>
      <c r="Q932">
        <v>5</v>
      </c>
      <c r="R932">
        <v>2</v>
      </c>
      <c r="S932">
        <v>2</v>
      </c>
      <c r="T932" s="5">
        <f t="shared" si="45"/>
        <v>163.69999999999999</v>
      </c>
      <c r="U932" t="s">
        <v>2159</v>
      </c>
      <c r="AM932" s="6">
        <v>1</v>
      </c>
      <c r="AN932" s="7">
        <v>1</v>
      </c>
      <c r="BC932" t="s">
        <v>1501</v>
      </c>
      <c r="BD932" s="7" t="s">
        <v>109</v>
      </c>
      <c r="BE932" t="s">
        <v>1502</v>
      </c>
      <c r="BF932" s="1" t="s">
        <v>29</v>
      </c>
      <c r="BG932" s="1">
        <v>2</v>
      </c>
      <c r="BH932">
        <v>1</v>
      </c>
      <c r="BK932" s="1">
        <v>1</v>
      </c>
      <c r="BQ932">
        <v>1</v>
      </c>
      <c r="CR932" t="s">
        <v>72</v>
      </c>
      <c r="CS932" s="7" t="s">
        <v>1602</v>
      </c>
    </row>
    <row r="933" spans="2:98">
      <c r="B933" t="s">
        <v>2042</v>
      </c>
      <c r="C933" s="2" t="s">
        <v>1996</v>
      </c>
      <c r="D933" s="2" t="s">
        <v>1996</v>
      </c>
      <c r="E933" s="8" t="s">
        <v>920</v>
      </c>
      <c r="F933" s="8" t="s">
        <v>115</v>
      </c>
      <c r="G933" s="1">
        <v>1</v>
      </c>
      <c r="H933" s="1"/>
      <c r="I933" s="1">
        <f>1806-21</f>
        <v>1785</v>
      </c>
      <c r="J933" t="s">
        <v>10</v>
      </c>
      <c r="K933" t="s">
        <v>12</v>
      </c>
      <c r="Q933">
        <v>5</v>
      </c>
      <c r="R933">
        <v>1</v>
      </c>
      <c r="T933" s="5">
        <f t="shared" si="45"/>
        <v>160.63</v>
      </c>
      <c r="U933" t="s">
        <v>2043</v>
      </c>
      <c r="AM933" s="6">
        <v>1</v>
      </c>
      <c r="AN933" s="7">
        <v>1</v>
      </c>
      <c r="BC933" t="s">
        <v>1501</v>
      </c>
      <c r="BD933" s="7" t="s">
        <v>109</v>
      </c>
      <c r="BE933" t="s">
        <v>1502</v>
      </c>
      <c r="BF933" s="1" t="s">
        <v>29</v>
      </c>
      <c r="BG933" s="1">
        <v>1</v>
      </c>
      <c r="BH933">
        <v>1</v>
      </c>
      <c r="BK933" s="1">
        <v>1</v>
      </c>
      <c r="BQ933">
        <v>1</v>
      </c>
      <c r="CR933" t="s">
        <v>72</v>
      </c>
      <c r="CS933" s="7" t="s">
        <v>1602</v>
      </c>
    </row>
    <row r="934" spans="2:98">
      <c r="B934" t="s">
        <v>2072</v>
      </c>
      <c r="C934" s="2" t="s">
        <v>2068</v>
      </c>
      <c r="D934" s="2" t="s">
        <v>2068</v>
      </c>
      <c r="E934" s="8" t="s">
        <v>920</v>
      </c>
      <c r="F934" s="8" t="s">
        <v>115</v>
      </c>
      <c r="G934" s="1">
        <v>1</v>
      </c>
      <c r="H934" s="1"/>
      <c r="I934" s="1">
        <f>1806-26</f>
        <v>1780</v>
      </c>
      <c r="J934" t="s">
        <v>69</v>
      </c>
      <c r="K934" t="s">
        <v>12</v>
      </c>
      <c r="Q934">
        <v>5</v>
      </c>
      <c r="R934">
        <v>3</v>
      </c>
      <c r="T934" s="5">
        <f t="shared" si="45"/>
        <v>165.89000000000001</v>
      </c>
      <c r="U934" t="s">
        <v>2043</v>
      </c>
      <c r="AM934" s="6">
        <v>1</v>
      </c>
      <c r="AN934" s="7">
        <v>1</v>
      </c>
      <c r="BC934" t="s">
        <v>1501</v>
      </c>
      <c r="BD934" s="7" t="s">
        <v>109</v>
      </c>
      <c r="BE934" t="s">
        <v>1502</v>
      </c>
      <c r="BF934" s="1" t="s">
        <v>29</v>
      </c>
      <c r="BG934" s="1">
        <v>2</v>
      </c>
      <c r="BH934">
        <v>1</v>
      </c>
      <c r="BK934" s="1">
        <v>1</v>
      </c>
      <c r="BQ934">
        <v>1</v>
      </c>
      <c r="CS934" s="7" t="s">
        <v>1602</v>
      </c>
    </row>
    <row r="935" spans="2:98">
      <c r="B935" t="s">
        <v>3487</v>
      </c>
      <c r="C935" s="2" t="s">
        <v>919</v>
      </c>
      <c r="D935" s="2" t="s">
        <v>2054</v>
      </c>
      <c r="E935" s="8" t="s">
        <v>920</v>
      </c>
      <c r="F935" s="8" t="s">
        <v>115</v>
      </c>
      <c r="G935" s="1">
        <v>1</v>
      </c>
      <c r="H935" s="1"/>
      <c r="I935" s="1">
        <f>1806-25</f>
        <v>1781</v>
      </c>
      <c r="J935" t="s">
        <v>69</v>
      </c>
      <c r="K935" t="s">
        <v>12</v>
      </c>
      <c r="N935">
        <v>1</v>
      </c>
      <c r="Q935">
        <v>5</v>
      </c>
      <c r="R935">
        <v>1</v>
      </c>
      <c r="T935" s="5">
        <f t="shared" si="45"/>
        <v>160.63</v>
      </c>
      <c r="U935" t="s">
        <v>2074</v>
      </c>
      <c r="AM935" s="6">
        <v>1</v>
      </c>
      <c r="AN935" s="6">
        <v>1</v>
      </c>
      <c r="AO935" s="6">
        <v>1</v>
      </c>
      <c r="AP935" s="7">
        <v>1</v>
      </c>
      <c r="BC935" s="9" t="s">
        <v>3473</v>
      </c>
      <c r="BD935" s="7" t="s">
        <v>280</v>
      </c>
      <c r="BE935" t="s">
        <v>1502</v>
      </c>
      <c r="BF935" s="1" t="s">
        <v>29</v>
      </c>
      <c r="BG935" s="1">
        <v>3</v>
      </c>
      <c r="BH935">
        <v>1</v>
      </c>
      <c r="BK935" s="1">
        <v>1</v>
      </c>
      <c r="BQ935">
        <v>1</v>
      </c>
      <c r="CN935">
        <v>1</v>
      </c>
      <c r="CS935" s="7" t="s">
        <v>947</v>
      </c>
    </row>
    <row r="936" spans="2:98">
      <c r="B936" t="s">
        <v>2073</v>
      </c>
      <c r="C936" s="2" t="s">
        <v>919</v>
      </c>
      <c r="D936" s="2" t="s">
        <v>2054</v>
      </c>
      <c r="E936" s="8" t="s">
        <v>920</v>
      </c>
      <c r="F936" s="8" t="s">
        <v>115</v>
      </c>
      <c r="G936" s="1">
        <v>1</v>
      </c>
      <c r="H936" s="1"/>
      <c r="I936" s="1">
        <f>1805-22</f>
        <v>1783</v>
      </c>
      <c r="J936" t="s">
        <v>69</v>
      </c>
      <c r="K936" t="s">
        <v>12</v>
      </c>
      <c r="Q936">
        <v>5</v>
      </c>
      <c r="R936">
        <v>4</v>
      </c>
      <c r="T936" s="5">
        <f t="shared" si="45"/>
        <v>168.52</v>
      </c>
      <c r="U936" t="s">
        <v>2074</v>
      </c>
      <c r="AM936" s="6">
        <v>1</v>
      </c>
      <c r="AN936" s="7">
        <v>1</v>
      </c>
      <c r="BC936" t="s">
        <v>2056</v>
      </c>
      <c r="BD936" s="7" t="s">
        <v>280</v>
      </c>
      <c r="BE936" t="s">
        <v>1502</v>
      </c>
      <c r="BF936" s="1" t="s">
        <v>29</v>
      </c>
      <c r="BG936" s="1">
        <v>2</v>
      </c>
      <c r="BH936">
        <v>1</v>
      </c>
      <c r="BK936" s="1">
        <v>1</v>
      </c>
      <c r="BQ936">
        <v>1</v>
      </c>
      <c r="CN936">
        <v>1</v>
      </c>
      <c r="CS936" s="7" t="s">
        <v>2071</v>
      </c>
    </row>
    <row r="937" spans="2:98">
      <c r="B937" t="s">
        <v>4350</v>
      </c>
      <c r="C937" s="2" t="s">
        <v>4307</v>
      </c>
      <c r="D937" s="2" t="s">
        <v>4307</v>
      </c>
      <c r="E937" s="8" t="s">
        <v>1912</v>
      </c>
      <c r="F937" s="8" t="s">
        <v>65</v>
      </c>
      <c r="G937" s="1">
        <v>1</v>
      </c>
      <c r="H937" s="1"/>
      <c r="I937" s="1">
        <f>1811-24</f>
        <v>1787</v>
      </c>
      <c r="J937" t="s">
        <v>10</v>
      </c>
      <c r="K937" t="s">
        <v>12</v>
      </c>
      <c r="Q937">
        <v>5</v>
      </c>
      <c r="R937">
        <v>4</v>
      </c>
      <c r="T937" s="5">
        <f t="shared" si="45"/>
        <v>168.52</v>
      </c>
      <c r="U937" t="s">
        <v>2074</v>
      </c>
      <c r="AM937" s="6">
        <v>1</v>
      </c>
      <c r="AN937" s="6">
        <v>1</v>
      </c>
      <c r="AO937" s="6">
        <v>1</v>
      </c>
      <c r="AP937" s="6">
        <v>1</v>
      </c>
      <c r="AQ937" s="6">
        <v>1</v>
      </c>
      <c r="AR937" s="6">
        <v>1</v>
      </c>
      <c r="AS937" s="6">
        <v>1</v>
      </c>
      <c r="BC937">
        <v>1811</v>
      </c>
      <c r="BD937" t="s">
        <v>81</v>
      </c>
      <c r="BE937" t="s">
        <v>4328</v>
      </c>
      <c r="BF937" s="1" t="s">
        <v>73</v>
      </c>
      <c r="BG937" s="1">
        <v>1</v>
      </c>
      <c r="BH937">
        <v>1</v>
      </c>
      <c r="BK937" s="1" t="s">
        <v>72</v>
      </c>
      <c r="BQ937">
        <v>1</v>
      </c>
      <c r="CS937" t="s">
        <v>4329</v>
      </c>
    </row>
    <row r="938" spans="2:98">
      <c r="B938" t="s">
        <v>2147</v>
      </c>
      <c r="C938" s="2" t="s">
        <v>919</v>
      </c>
      <c r="D938" s="2" t="s">
        <v>2054</v>
      </c>
      <c r="E938" s="8" t="s">
        <v>920</v>
      </c>
      <c r="F938" s="8" t="s">
        <v>115</v>
      </c>
      <c r="G938" s="1">
        <v>1</v>
      </c>
      <c r="H938" s="1"/>
      <c r="I938" s="1">
        <f>1805-24</f>
        <v>1781</v>
      </c>
      <c r="J938" t="s">
        <v>10</v>
      </c>
      <c r="K938" t="s">
        <v>12</v>
      </c>
      <c r="Q938">
        <v>5</v>
      </c>
      <c r="R938">
        <v>1</v>
      </c>
      <c r="S938">
        <v>3</v>
      </c>
      <c r="T938" s="5">
        <f t="shared" si="45"/>
        <v>161.29</v>
      </c>
      <c r="U938" t="s">
        <v>2074</v>
      </c>
      <c r="AM938" s="6">
        <v>1</v>
      </c>
      <c r="AN938" s="7">
        <v>1</v>
      </c>
      <c r="BC938" t="s">
        <v>2056</v>
      </c>
      <c r="BD938" s="7" t="s">
        <v>280</v>
      </c>
      <c r="BE938" t="s">
        <v>1502</v>
      </c>
      <c r="BF938" s="1" t="s">
        <v>29</v>
      </c>
      <c r="BG938" s="1">
        <v>2</v>
      </c>
      <c r="BH938">
        <v>1</v>
      </c>
      <c r="BK938" s="1">
        <v>1</v>
      </c>
      <c r="BQ938">
        <v>1</v>
      </c>
      <c r="CN938">
        <v>1</v>
      </c>
      <c r="CS938" s="7" t="s">
        <v>2071</v>
      </c>
    </row>
    <row r="939" spans="2:98">
      <c r="B939" t="s">
        <v>2157</v>
      </c>
      <c r="C939" s="2" t="s">
        <v>1996</v>
      </c>
      <c r="D939" s="2" t="s">
        <v>1996</v>
      </c>
      <c r="E939" s="8" t="s">
        <v>920</v>
      </c>
      <c r="F939" s="8" t="s">
        <v>115</v>
      </c>
      <c r="G939" s="1">
        <v>1</v>
      </c>
      <c r="H939" s="1"/>
      <c r="I939" s="1">
        <f>1805-22</f>
        <v>1783</v>
      </c>
      <c r="J939" t="s">
        <v>69</v>
      </c>
      <c r="K939" t="s">
        <v>12</v>
      </c>
      <c r="Q939">
        <v>5</v>
      </c>
      <c r="R939">
        <v>3</v>
      </c>
      <c r="T939" s="5">
        <f t="shared" si="45"/>
        <v>165.89000000000001</v>
      </c>
      <c r="U939" t="s">
        <v>2074</v>
      </c>
      <c r="AM939" s="6">
        <v>1</v>
      </c>
      <c r="AN939" s="7">
        <v>1</v>
      </c>
      <c r="BC939" t="s">
        <v>1501</v>
      </c>
      <c r="BD939" s="7" t="s">
        <v>103</v>
      </c>
      <c r="BE939" t="s">
        <v>1502</v>
      </c>
      <c r="BF939" s="1" t="s">
        <v>29</v>
      </c>
      <c r="BG939" s="1">
        <v>3</v>
      </c>
      <c r="BH939">
        <v>1</v>
      </c>
      <c r="BK939" s="1">
        <v>1</v>
      </c>
      <c r="BQ939">
        <v>1</v>
      </c>
      <c r="CS939" s="7" t="s">
        <v>2089</v>
      </c>
    </row>
    <row r="940" spans="2:98">
      <c r="B940" t="s">
        <v>2078</v>
      </c>
      <c r="C940" s="2" t="s">
        <v>2068</v>
      </c>
      <c r="D940" s="2" t="s">
        <v>2068</v>
      </c>
      <c r="E940" s="8" t="s">
        <v>920</v>
      </c>
      <c r="F940" s="8" t="s">
        <v>115</v>
      </c>
      <c r="G940" s="1">
        <v>1</v>
      </c>
      <c r="H940" s="1"/>
      <c r="I940" s="1">
        <f>1805-20</f>
        <v>1785</v>
      </c>
      <c r="J940" t="s">
        <v>10</v>
      </c>
      <c r="K940" t="s">
        <v>197</v>
      </c>
      <c r="Q940">
        <v>5</v>
      </c>
      <c r="R940">
        <v>1</v>
      </c>
      <c r="S940">
        <v>1</v>
      </c>
      <c r="T940" s="5">
        <f t="shared" si="45"/>
        <v>160.85</v>
      </c>
      <c r="U940" t="s">
        <v>2077</v>
      </c>
      <c r="AM940" s="6">
        <v>1</v>
      </c>
      <c r="AN940" s="7">
        <v>1</v>
      </c>
      <c r="BC940" t="s">
        <v>1501</v>
      </c>
      <c r="BD940" s="7" t="s">
        <v>109</v>
      </c>
      <c r="BE940" t="s">
        <v>1502</v>
      </c>
      <c r="BF940" s="1" t="s">
        <v>29</v>
      </c>
      <c r="BG940" s="1">
        <v>2</v>
      </c>
      <c r="BH940">
        <v>1</v>
      </c>
      <c r="BK940" s="1">
        <v>1</v>
      </c>
      <c r="BQ940">
        <v>1</v>
      </c>
      <c r="CS940" s="7" t="s">
        <v>1602</v>
      </c>
    </row>
    <row r="941" spans="2:98">
      <c r="B941" t="s">
        <v>2075</v>
      </c>
      <c r="C941" s="2" t="s">
        <v>2076</v>
      </c>
      <c r="D941" s="2" t="s">
        <v>2076</v>
      </c>
      <c r="E941" s="8" t="s">
        <v>920</v>
      </c>
      <c r="F941" s="8" t="s">
        <v>115</v>
      </c>
      <c r="G941" s="1">
        <v>1</v>
      </c>
      <c r="H941" s="1"/>
      <c r="I941" s="1">
        <f>1805-28</f>
        <v>1777</v>
      </c>
      <c r="J941" t="s">
        <v>69</v>
      </c>
      <c r="K941" t="s">
        <v>12</v>
      </c>
      <c r="Q941">
        <v>5</v>
      </c>
      <c r="R941">
        <v>3</v>
      </c>
      <c r="T941" s="5">
        <f t="shared" si="45"/>
        <v>165.89000000000001</v>
      </c>
      <c r="U941" t="s">
        <v>2077</v>
      </c>
      <c r="AM941" s="6">
        <v>1</v>
      </c>
      <c r="AN941" s="7">
        <v>1</v>
      </c>
      <c r="BC941" t="s">
        <v>1501</v>
      </c>
      <c r="BD941" s="7" t="s">
        <v>109</v>
      </c>
      <c r="BE941" t="s">
        <v>1502</v>
      </c>
      <c r="BF941" s="1" t="s">
        <v>29</v>
      </c>
      <c r="BG941" s="1">
        <v>2</v>
      </c>
      <c r="BH941">
        <v>1</v>
      </c>
      <c r="BK941" s="1">
        <v>1</v>
      </c>
      <c r="BQ941">
        <v>1</v>
      </c>
      <c r="CS941" s="7" t="s">
        <v>1086</v>
      </c>
    </row>
    <row r="942" spans="2:98">
      <c r="B942" t="s">
        <v>1141</v>
      </c>
      <c r="C942" s="2" t="s">
        <v>1142</v>
      </c>
      <c r="D942" s="15"/>
      <c r="E942" s="8" t="s">
        <v>1074</v>
      </c>
      <c r="F942" s="8" t="s">
        <v>247</v>
      </c>
      <c r="G942" s="1">
        <v>1</v>
      </c>
      <c r="H942" s="1"/>
      <c r="I942" s="1">
        <f>1805-23</f>
        <v>1782</v>
      </c>
      <c r="J942" t="s">
        <v>10</v>
      </c>
      <c r="K942" t="s">
        <v>12</v>
      </c>
      <c r="Q942">
        <v>5</v>
      </c>
      <c r="R942">
        <v>6</v>
      </c>
      <c r="T942" s="5">
        <f t="shared" si="45"/>
        <v>173.78</v>
      </c>
      <c r="U942" t="s">
        <v>1140</v>
      </c>
      <c r="AM942" s="6">
        <v>1</v>
      </c>
      <c r="AN942" s="7">
        <v>1</v>
      </c>
      <c r="BC942" t="s">
        <v>1100</v>
      </c>
      <c r="BD942" s="7" t="s">
        <v>103</v>
      </c>
      <c r="BE942" t="s">
        <v>1065</v>
      </c>
      <c r="BF942" s="1" t="s">
        <v>29</v>
      </c>
      <c r="BG942" s="1">
        <v>3</v>
      </c>
      <c r="BH942">
        <v>1</v>
      </c>
      <c r="BK942" s="1">
        <v>1</v>
      </c>
      <c r="BQ942">
        <v>1</v>
      </c>
      <c r="CS942" s="7" t="s">
        <v>1125</v>
      </c>
    </row>
    <row r="943" spans="2:98">
      <c r="B943" t="s">
        <v>1231</v>
      </c>
      <c r="C943" s="2" t="s">
        <v>1232</v>
      </c>
      <c r="D943" s="15"/>
      <c r="E943" s="8" t="s">
        <v>1074</v>
      </c>
      <c r="F943" s="8" t="s">
        <v>247</v>
      </c>
      <c r="G943" s="1">
        <v>1</v>
      </c>
      <c r="H943" s="1"/>
      <c r="I943" s="1">
        <f>1805-24</f>
        <v>1781</v>
      </c>
      <c r="J943" t="s">
        <v>10</v>
      </c>
      <c r="K943" t="s">
        <v>12</v>
      </c>
      <c r="Q943">
        <v>5</v>
      </c>
      <c r="R943">
        <v>3</v>
      </c>
      <c r="T943" s="5">
        <f t="shared" si="45"/>
        <v>165.89000000000001</v>
      </c>
      <c r="U943" t="s">
        <v>1140</v>
      </c>
      <c r="AM943" s="6">
        <v>1</v>
      </c>
      <c r="AN943" s="6">
        <v>1</v>
      </c>
      <c r="AO943" s="7">
        <v>1</v>
      </c>
      <c r="BC943" t="s">
        <v>1187</v>
      </c>
      <c r="BD943" s="7" t="s">
        <v>103</v>
      </c>
      <c r="BE943" t="s">
        <v>1065</v>
      </c>
      <c r="BF943" s="1" t="s">
        <v>29</v>
      </c>
      <c r="BG943" s="1">
        <v>3</v>
      </c>
      <c r="BH943">
        <v>1</v>
      </c>
      <c r="BK943" s="1">
        <v>1</v>
      </c>
      <c r="BQ943">
        <v>1</v>
      </c>
      <c r="CS943" s="7" t="s">
        <v>203</v>
      </c>
    </row>
    <row r="944" spans="2:98">
      <c r="B944" t="s">
        <v>1138</v>
      </c>
      <c r="C944" s="2" t="s">
        <v>1139</v>
      </c>
      <c r="D944" s="15"/>
      <c r="E944" s="8" t="s">
        <v>1074</v>
      </c>
      <c r="F944" s="8" t="s">
        <v>247</v>
      </c>
      <c r="G944" s="1">
        <v>1</v>
      </c>
      <c r="H944" s="1"/>
      <c r="I944" s="1">
        <f>1805-26</f>
        <v>1779</v>
      </c>
      <c r="J944" t="s">
        <v>10</v>
      </c>
      <c r="K944" t="s">
        <v>12</v>
      </c>
      <c r="Q944">
        <v>5</v>
      </c>
      <c r="R944">
        <v>4</v>
      </c>
      <c r="S944">
        <v>3</v>
      </c>
      <c r="T944" s="5">
        <f t="shared" si="45"/>
        <v>169.18</v>
      </c>
      <c r="U944" t="s">
        <v>1140</v>
      </c>
      <c r="AM944" s="6">
        <v>1</v>
      </c>
      <c r="AN944" s="7">
        <v>1</v>
      </c>
      <c r="BC944" t="s">
        <v>1100</v>
      </c>
      <c r="BD944" s="7" t="s">
        <v>103</v>
      </c>
      <c r="BE944" t="s">
        <v>1065</v>
      </c>
      <c r="BF944" s="1" t="s">
        <v>29</v>
      </c>
      <c r="BG944" s="1">
        <v>3</v>
      </c>
      <c r="BH944">
        <v>1</v>
      </c>
      <c r="BK944" s="1">
        <v>1</v>
      </c>
      <c r="BQ944">
        <v>1</v>
      </c>
      <c r="CS944" s="7" t="s">
        <v>897</v>
      </c>
    </row>
    <row r="945" spans="2:97">
      <c r="B945" t="s">
        <v>1158</v>
      </c>
      <c r="C945" s="2" t="s">
        <v>1159</v>
      </c>
      <c r="D945" s="15"/>
      <c r="E945" s="8" t="s">
        <v>1074</v>
      </c>
      <c r="F945" s="8" t="s">
        <v>247</v>
      </c>
      <c r="G945" s="1">
        <v>1</v>
      </c>
      <c r="H945" s="1"/>
      <c r="I945" s="1">
        <f>1805-24</f>
        <v>1781</v>
      </c>
      <c r="J945" t="s">
        <v>10</v>
      </c>
      <c r="K945" t="s">
        <v>12</v>
      </c>
      <c r="Q945">
        <v>5</v>
      </c>
      <c r="R945">
        <v>7</v>
      </c>
      <c r="S945">
        <v>3</v>
      </c>
      <c r="T945" s="5">
        <f t="shared" si="45"/>
        <v>177.07</v>
      </c>
      <c r="U945" t="s">
        <v>1140</v>
      </c>
      <c r="AM945" s="6">
        <v>1</v>
      </c>
      <c r="AN945" s="6">
        <v>1</v>
      </c>
      <c r="AO945" s="7">
        <v>1</v>
      </c>
      <c r="BC945" t="s">
        <v>1160</v>
      </c>
      <c r="BD945" s="7" t="s">
        <v>103</v>
      </c>
      <c r="BE945" t="s">
        <v>1065</v>
      </c>
      <c r="BF945" s="1" t="s">
        <v>29</v>
      </c>
      <c r="BG945" s="1">
        <v>3</v>
      </c>
      <c r="BH945">
        <v>1</v>
      </c>
      <c r="BK945" s="1">
        <v>1</v>
      </c>
      <c r="BQ945">
        <v>1</v>
      </c>
      <c r="CS945" s="7" t="s">
        <v>203</v>
      </c>
    </row>
    <row r="946" spans="2:97">
      <c r="B946" t="s">
        <v>1247</v>
      </c>
      <c r="C946" s="2" t="s">
        <v>1248</v>
      </c>
      <c r="D946" s="15"/>
      <c r="F946" s="8" t="s">
        <v>65</v>
      </c>
      <c r="G946" s="1">
        <v>1</v>
      </c>
      <c r="H946" s="1"/>
      <c r="I946" s="1">
        <f>1805-18</f>
        <v>1787</v>
      </c>
      <c r="J946" t="s">
        <v>10</v>
      </c>
      <c r="K946" t="s">
        <v>12</v>
      </c>
      <c r="Q946">
        <v>5</v>
      </c>
      <c r="R946">
        <v>3</v>
      </c>
      <c r="S946">
        <v>2</v>
      </c>
      <c r="T946" s="5">
        <f t="shared" si="45"/>
        <v>166.33</v>
      </c>
      <c r="U946" t="s">
        <v>1133</v>
      </c>
      <c r="AM946" s="6">
        <v>1</v>
      </c>
      <c r="AN946" s="6">
        <v>1</v>
      </c>
      <c r="AO946" s="6">
        <v>1</v>
      </c>
      <c r="AP946" s="7">
        <v>1</v>
      </c>
      <c r="BC946" t="s">
        <v>1249</v>
      </c>
      <c r="BD946" s="7" t="s">
        <v>103</v>
      </c>
      <c r="BE946" t="s">
        <v>1065</v>
      </c>
      <c r="BF946" s="1" t="s">
        <v>29</v>
      </c>
      <c r="BG946" s="1">
        <v>3</v>
      </c>
      <c r="BH946">
        <v>1</v>
      </c>
      <c r="BK946" s="1">
        <v>1</v>
      </c>
      <c r="BQ946">
        <v>1</v>
      </c>
      <c r="CS946" s="7" t="s">
        <v>475</v>
      </c>
    </row>
    <row r="947" spans="2:97">
      <c r="B947" t="s">
        <v>1244</v>
      </c>
      <c r="C947" s="2" t="s">
        <v>1245</v>
      </c>
      <c r="D947" s="15"/>
      <c r="F947" s="8" t="s">
        <v>65</v>
      </c>
      <c r="G947" s="1">
        <v>1</v>
      </c>
      <c r="H947" s="1"/>
      <c r="I947" s="1">
        <f>1805-18</f>
        <v>1787</v>
      </c>
      <c r="J947" t="s">
        <v>10</v>
      </c>
      <c r="K947" t="s">
        <v>12</v>
      </c>
      <c r="Q947">
        <v>5</v>
      </c>
      <c r="R947">
        <v>2</v>
      </c>
      <c r="T947" s="5">
        <f t="shared" si="45"/>
        <v>163.26</v>
      </c>
      <c r="U947" t="s">
        <v>1133</v>
      </c>
      <c r="AM947" s="6">
        <v>1</v>
      </c>
      <c r="AN947" s="6">
        <v>1</v>
      </c>
      <c r="AO947" s="6">
        <v>1</v>
      </c>
      <c r="AP947" s="7">
        <v>1</v>
      </c>
      <c r="BC947" t="s">
        <v>1246</v>
      </c>
      <c r="BD947" s="7" t="s">
        <v>103</v>
      </c>
      <c r="BE947" t="s">
        <v>1065</v>
      </c>
      <c r="BF947" s="1" t="s">
        <v>29</v>
      </c>
      <c r="BG947" s="1">
        <v>3</v>
      </c>
      <c r="BH947">
        <v>1</v>
      </c>
      <c r="BK947" s="1">
        <v>1</v>
      </c>
      <c r="BQ947">
        <v>1</v>
      </c>
      <c r="CS947" s="7" t="s">
        <v>203</v>
      </c>
    </row>
    <row r="948" spans="2:97">
      <c r="B948" t="s">
        <v>1238</v>
      </c>
      <c r="C948" s="2" t="s">
        <v>1239</v>
      </c>
      <c r="D948" s="15"/>
      <c r="E948" s="8" t="s">
        <v>869</v>
      </c>
      <c r="F948" s="8" t="s">
        <v>65</v>
      </c>
      <c r="G948" s="1">
        <v>1</v>
      </c>
      <c r="H948" s="1"/>
      <c r="I948" s="1">
        <f>1805-18</f>
        <v>1787</v>
      </c>
      <c r="J948" t="s">
        <v>10</v>
      </c>
      <c r="K948" t="s">
        <v>12</v>
      </c>
      <c r="Q948">
        <v>5</v>
      </c>
      <c r="R948">
        <v>4</v>
      </c>
      <c r="S948">
        <v>2</v>
      </c>
      <c r="T948" s="5">
        <f t="shared" si="45"/>
        <v>168.96</v>
      </c>
      <c r="U948" t="s">
        <v>1133</v>
      </c>
      <c r="AM948" s="6">
        <v>1</v>
      </c>
      <c r="AN948" s="6">
        <v>1</v>
      </c>
      <c r="AO948" s="6">
        <v>1</v>
      </c>
      <c r="AP948" s="7">
        <v>1</v>
      </c>
      <c r="BC948" t="s">
        <v>1240</v>
      </c>
      <c r="BD948" s="7" t="s">
        <v>103</v>
      </c>
      <c r="BE948" t="s">
        <v>1065</v>
      </c>
      <c r="BF948" s="1" t="s">
        <v>29</v>
      </c>
      <c r="BG948" s="1">
        <v>3</v>
      </c>
      <c r="BH948">
        <v>1</v>
      </c>
      <c r="BK948" s="1">
        <v>1</v>
      </c>
      <c r="BQ948">
        <v>1</v>
      </c>
      <c r="CS948" s="7" t="s">
        <v>203</v>
      </c>
    </row>
    <row r="949" spans="2:97">
      <c r="B949" t="s">
        <v>1191</v>
      </c>
      <c r="C949" s="2" t="s">
        <v>1192</v>
      </c>
      <c r="D949" s="15"/>
      <c r="E949" s="8" t="s">
        <v>1074</v>
      </c>
      <c r="F949" s="8" t="s">
        <v>247</v>
      </c>
      <c r="G949" s="1">
        <v>1</v>
      </c>
      <c r="H949" s="1"/>
      <c r="I949" s="1">
        <f>1805-18</f>
        <v>1787</v>
      </c>
      <c r="J949" t="s">
        <v>10</v>
      </c>
      <c r="K949" t="s">
        <v>12</v>
      </c>
      <c r="Q949">
        <v>5</v>
      </c>
      <c r="R949">
        <v>3</v>
      </c>
      <c r="S949">
        <v>3</v>
      </c>
      <c r="T949" s="5">
        <f t="shared" si="45"/>
        <v>166.55</v>
      </c>
      <c r="U949" t="s">
        <v>1133</v>
      </c>
      <c r="AM949" s="6">
        <v>1</v>
      </c>
      <c r="AN949" s="6">
        <v>1</v>
      </c>
      <c r="AO949" s="7">
        <v>1</v>
      </c>
      <c r="BC949" t="s">
        <v>1164</v>
      </c>
      <c r="BD949" s="7" t="s">
        <v>103</v>
      </c>
      <c r="BE949" t="s">
        <v>1065</v>
      </c>
      <c r="BF949" s="1" t="s">
        <v>29</v>
      </c>
      <c r="BG949" s="1">
        <v>3</v>
      </c>
      <c r="BH949">
        <v>1</v>
      </c>
      <c r="BK949" s="1">
        <v>1</v>
      </c>
      <c r="BQ949">
        <v>1</v>
      </c>
      <c r="CS949" s="7" t="s">
        <v>203</v>
      </c>
    </row>
    <row r="950" spans="2:97">
      <c r="B950" t="s">
        <v>2584</v>
      </c>
      <c r="C950" s="12" t="s">
        <v>2585</v>
      </c>
      <c r="D950" s="15"/>
      <c r="E950" s="8" t="s">
        <v>2586</v>
      </c>
      <c r="F950" s="8" t="s">
        <v>65</v>
      </c>
      <c r="G950" s="1">
        <v>1</v>
      </c>
      <c r="H950" s="1"/>
      <c r="I950" s="1">
        <f>1805-26</f>
        <v>1779</v>
      </c>
      <c r="J950" t="s">
        <v>10</v>
      </c>
      <c r="K950" t="s">
        <v>12</v>
      </c>
      <c r="Q950">
        <v>5</v>
      </c>
      <c r="R950">
        <v>5</v>
      </c>
      <c r="T950" s="5">
        <f t="shared" si="45"/>
        <v>171.15</v>
      </c>
      <c r="U950" t="s">
        <v>1133</v>
      </c>
      <c r="AM950" s="6">
        <v>1</v>
      </c>
      <c r="AN950" s="6">
        <v>1</v>
      </c>
      <c r="AO950" s="6">
        <v>1</v>
      </c>
      <c r="AP950" s="6">
        <v>1</v>
      </c>
      <c r="AQ950" s="7">
        <v>1</v>
      </c>
      <c r="BC950" t="s">
        <v>2587</v>
      </c>
      <c r="BD950" s="7" t="s">
        <v>109</v>
      </c>
      <c r="BE950" t="s">
        <v>1065</v>
      </c>
      <c r="BF950" s="1" t="s">
        <v>29</v>
      </c>
      <c r="BG950" s="1">
        <v>5</v>
      </c>
      <c r="BH950">
        <v>1</v>
      </c>
      <c r="BK950" s="1">
        <v>1</v>
      </c>
      <c r="BQ950">
        <v>1</v>
      </c>
      <c r="CS950" s="7" t="s">
        <v>354</v>
      </c>
    </row>
    <row r="951" spans="2:97">
      <c r="B951" t="s">
        <v>1250</v>
      </c>
      <c r="C951" s="2" t="s">
        <v>1251</v>
      </c>
      <c r="D951" s="15"/>
      <c r="E951" s="8" t="s">
        <v>1074</v>
      </c>
      <c r="F951" s="8" t="s">
        <v>247</v>
      </c>
      <c r="G951" s="1">
        <v>1</v>
      </c>
      <c r="H951" s="1"/>
      <c r="I951" s="1">
        <f>1805-18</f>
        <v>1787</v>
      </c>
      <c r="J951" t="s">
        <v>10</v>
      </c>
      <c r="K951" t="s">
        <v>12</v>
      </c>
      <c r="Q951">
        <v>5</v>
      </c>
      <c r="R951">
        <v>4</v>
      </c>
      <c r="S951">
        <v>3</v>
      </c>
      <c r="T951" s="5">
        <f t="shared" si="45"/>
        <v>169.18</v>
      </c>
      <c r="U951" t="s">
        <v>1133</v>
      </c>
      <c r="AM951" s="6">
        <v>1</v>
      </c>
      <c r="AN951" s="6">
        <v>1</v>
      </c>
      <c r="AO951" s="6">
        <v>1</v>
      </c>
      <c r="AP951" s="7">
        <v>1</v>
      </c>
      <c r="BC951" t="s">
        <v>1249</v>
      </c>
      <c r="BD951" s="7" t="s">
        <v>103</v>
      </c>
      <c r="BE951" t="s">
        <v>1065</v>
      </c>
      <c r="BF951" s="1" t="s">
        <v>29</v>
      </c>
      <c r="BG951" s="1">
        <v>3</v>
      </c>
      <c r="BH951">
        <v>1</v>
      </c>
      <c r="BK951" s="1">
        <v>1</v>
      </c>
      <c r="BQ951">
        <v>1</v>
      </c>
      <c r="CS951" s="7" t="s">
        <v>475</v>
      </c>
    </row>
    <row r="952" spans="2:97">
      <c r="B952" t="s">
        <v>1136</v>
      </c>
      <c r="C952" s="2" t="s">
        <v>1137</v>
      </c>
      <c r="D952" s="15"/>
      <c r="E952" s="8" t="s">
        <v>1074</v>
      </c>
      <c r="F952" s="8" t="s">
        <v>247</v>
      </c>
      <c r="G952" s="1">
        <v>1</v>
      </c>
      <c r="H952" s="1"/>
      <c r="I952" s="1">
        <f>1805-26</f>
        <v>1779</v>
      </c>
      <c r="J952" t="s">
        <v>10</v>
      </c>
      <c r="K952" t="s">
        <v>12</v>
      </c>
      <c r="Q952">
        <v>5</v>
      </c>
      <c r="R952">
        <v>5</v>
      </c>
      <c r="T952" s="5">
        <f t="shared" si="45"/>
        <v>171.15</v>
      </c>
      <c r="U952" t="s">
        <v>1133</v>
      </c>
      <c r="AM952" s="6">
        <v>1</v>
      </c>
      <c r="AN952" s="7">
        <v>1</v>
      </c>
      <c r="BC952" t="s">
        <v>1100</v>
      </c>
      <c r="BD952" s="7" t="s">
        <v>103</v>
      </c>
      <c r="BE952" t="s">
        <v>1065</v>
      </c>
      <c r="BF952" s="1" t="s">
        <v>29</v>
      </c>
      <c r="BG952" s="1">
        <v>2</v>
      </c>
      <c r="BH952">
        <v>1</v>
      </c>
      <c r="BK952" s="1">
        <v>1</v>
      </c>
      <c r="BQ952">
        <v>1</v>
      </c>
      <c r="CS952" s="7" t="s">
        <v>203</v>
      </c>
    </row>
    <row r="953" spans="2:97">
      <c r="B953" t="s">
        <v>1172</v>
      </c>
      <c r="C953" s="2" t="s">
        <v>1173</v>
      </c>
      <c r="D953" s="15"/>
      <c r="E953" s="8" t="s">
        <v>1074</v>
      </c>
      <c r="F953" s="8" t="s">
        <v>247</v>
      </c>
      <c r="G953" s="1">
        <v>1</v>
      </c>
      <c r="H953" s="1"/>
      <c r="I953" s="1">
        <f>1805-20</f>
        <v>1785</v>
      </c>
      <c r="J953" t="s">
        <v>10</v>
      </c>
      <c r="K953" t="s">
        <v>12</v>
      </c>
      <c r="Q953">
        <v>5</v>
      </c>
      <c r="R953">
        <v>6</v>
      </c>
      <c r="S953">
        <v>3</v>
      </c>
      <c r="T953" s="5">
        <f t="shared" si="45"/>
        <v>174.44</v>
      </c>
      <c r="U953" t="s">
        <v>1133</v>
      </c>
      <c r="AM953" s="6">
        <v>1</v>
      </c>
      <c r="AN953" s="6">
        <v>1</v>
      </c>
      <c r="AO953" s="7">
        <v>1</v>
      </c>
      <c r="BC953" t="s">
        <v>1174</v>
      </c>
      <c r="BD953" s="7" t="s">
        <v>103</v>
      </c>
      <c r="BE953" t="s">
        <v>1065</v>
      </c>
      <c r="BF953" s="1" t="s">
        <v>29</v>
      </c>
      <c r="BG953" s="1">
        <v>3</v>
      </c>
      <c r="BH953">
        <v>1</v>
      </c>
      <c r="BK953" s="1">
        <v>1</v>
      </c>
      <c r="BQ953">
        <v>1</v>
      </c>
      <c r="CS953" s="7" t="s">
        <v>203</v>
      </c>
    </row>
    <row r="954" spans="2:97">
      <c r="B954" t="s">
        <v>1134</v>
      </c>
      <c r="C954" s="2" t="s">
        <v>1135</v>
      </c>
      <c r="D954" s="15"/>
      <c r="E954" s="8" t="s">
        <v>1074</v>
      </c>
      <c r="F954" s="8" t="s">
        <v>247</v>
      </c>
      <c r="G954" s="1">
        <v>1</v>
      </c>
      <c r="H954" s="1"/>
      <c r="I954" s="1">
        <f>1805-20</f>
        <v>1785</v>
      </c>
      <c r="J954" t="s">
        <v>69</v>
      </c>
      <c r="K954" t="s">
        <v>12</v>
      </c>
      <c r="Q954">
        <v>5</v>
      </c>
      <c r="R954">
        <v>2</v>
      </c>
      <c r="S954">
        <v>3</v>
      </c>
      <c r="T954" s="5">
        <f t="shared" si="45"/>
        <v>163.92</v>
      </c>
      <c r="U954" t="s">
        <v>1133</v>
      </c>
      <c r="AM954" s="6">
        <v>1</v>
      </c>
      <c r="AN954" s="7">
        <v>1</v>
      </c>
      <c r="BC954" t="s">
        <v>1100</v>
      </c>
      <c r="BD954" s="7" t="s">
        <v>103</v>
      </c>
      <c r="BE954" t="s">
        <v>1065</v>
      </c>
      <c r="BF954" s="1" t="s">
        <v>29</v>
      </c>
      <c r="BG954" s="1">
        <v>2</v>
      </c>
      <c r="BH954">
        <v>1</v>
      </c>
      <c r="BK954" s="1">
        <v>1</v>
      </c>
      <c r="BQ954">
        <v>1</v>
      </c>
      <c r="CS954" s="7" t="s">
        <v>203</v>
      </c>
    </row>
    <row r="955" spans="2:97">
      <c r="B955" t="s">
        <v>1233</v>
      </c>
      <c r="C955" s="12" t="s">
        <v>1176</v>
      </c>
      <c r="D955" s="15"/>
      <c r="E955" s="8" t="s">
        <v>1175</v>
      </c>
      <c r="F955" s="8" t="s">
        <v>234</v>
      </c>
      <c r="G955" s="1">
        <v>1</v>
      </c>
      <c r="H955" s="1"/>
      <c r="I955" s="1">
        <f>1805-23</f>
        <v>1782</v>
      </c>
      <c r="J955" t="s">
        <v>10</v>
      </c>
      <c r="K955" t="s">
        <v>12</v>
      </c>
      <c r="Q955">
        <v>5</v>
      </c>
      <c r="R955">
        <v>4</v>
      </c>
      <c r="T955" s="5">
        <f t="shared" si="45"/>
        <v>168.52</v>
      </c>
      <c r="U955" t="s">
        <v>1085</v>
      </c>
      <c r="AM955" s="6">
        <v>1</v>
      </c>
      <c r="AN955" s="6">
        <v>1</v>
      </c>
      <c r="AO955" s="7">
        <v>1</v>
      </c>
      <c r="BC955" t="s">
        <v>1177</v>
      </c>
      <c r="BD955" s="7" t="s">
        <v>103</v>
      </c>
      <c r="BE955" t="s">
        <v>1065</v>
      </c>
      <c r="BF955" s="1" t="s">
        <v>29</v>
      </c>
      <c r="BG955" s="1">
        <v>4</v>
      </c>
      <c r="BH955">
        <v>1</v>
      </c>
      <c r="BK955" s="1">
        <v>1</v>
      </c>
      <c r="BQ955">
        <v>1</v>
      </c>
      <c r="CS955" s="7" t="s">
        <v>203</v>
      </c>
    </row>
    <row r="956" spans="2:97">
      <c r="B956" t="s">
        <v>1234</v>
      </c>
      <c r="C956" s="2" t="s">
        <v>1235</v>
      </c>
      <c r="D956" s="15"/>
      <c r="E956" s="8" t="s">
        <v>1074</v>
      </c>
      <c r="F956" s="8" t="s">
        <v>247</v>
      </c>
      <c r="G956" s="1">
        <v>1</v>
      </c>
      <c r="H956" s="1"/>
      <c r="I956" s="1">
        <f>1805-22</f>
        <v>1783</v>
      </c>
      <c r="J956" t="s">
        <v>10</v>
      </c>
      <c r="K956" t="s">
        <v>12</v>
      </c>
      <c r="Q956">
        <v>5</v>
      </c>
      <c r="R956">
        <v>4</v>
      </c>
      <c r="S956">
        <v>2</v>
      </c>
      <c r="T956" s="5">
        <f t="shared" si="45"/>
        <v>168.96</v>
      </c>
      <c r="U956" t="s">
        <v>1085</v>
      </c>
      <c r="AM956" s="6">
        <v>1</v>
      </c>
      <c r="AN956" s="6">
        <v>1</v>
      </c>
      <c r="AO956" s="7">
        <v>1</v>
      </c>
      <c r="BC956" t="s">
        <v>1236</v>
      </c>
      <c r="BD956" s="7" t="s">
        <v>103</v>
      </c>
      <c r="BE956" t="s">
        <v>1065</v>
      </c>
      <c r="BF956" s="1" t="s">
        <v>29</v>
      </c>
      <c r="BG956" s="1">
        <v>3</v>
      </c>
      <c r="BH956">
        <v>1</v>
      </c>
      <c r="BK956" s="1">
        <v>1</v>
      </c>
      <c r="BQ956">
        <v>1</v>
      </c>
      <c r="CS956" s="7" t="s">
        <v>203</v>
      </c>
    </row>
    <row r="957" spans="2:97">
      <c r="B957" t="s">
        <v>1082</v>
      </c>
      <c r="C957" s="2" t="s">
        <v>1083</v>
      </c>
      <c r="D957" s="15"/>
      <c r="E957" s="8" t="s">
        <v>1084</v>
      </c>
      <c r="F957" s="8" t="s">
        <v>65</v>
      </c>
      <c r="G957" s="1">
        <v>1</v>
      </c>
      <c r="H957" s="1"/>
      <c r="I957" s="1">
        <f>1805-24</f>
        <v>1781</v>
      </c>
      <c r="J957" t="s">
        <v>69</v>
      </c>
      <c r="K957" t="s">
        <v>12</v>
      </c>
      <c r="Q957">
        <v>5</v>
      </c>
      <c r="R957">
        <v>2</v>
      </c>
      <c r="S957">
        <v>1</v>
      </c>
      <c r="T957" s="5">
        <f t="shared" si="45"/>
        <v>163.47999999999999</v>
      </c>
      <c r="U957" t="s">
        <v>1085</v>
      </c>
      <c r="AM957" s="6">
        <v>1</v>
      </c>
      <c r="AN957" s="7">
        <v>1</v>
      </c>
      <c r="BC957" t="s">
        <v>198</v>
      </c>
      <c r="BD957" s="7" t="s">
        <v>109</v>
      </c>
      <c r="BE957" t="s">
        <v>1065</v>
      </c>
      <c r="BF957" s="1" t="s">
        <v>29</v>
      </c>
      <c r="BG957" s="1">
        <v>3</v>
      </c>
      <c r="BH957">
        <v>1</v>
      </c>
      <c r="BK957" s="1">
        <v>1</v>
      </c>
      <c r="BQ957">
        <v>1</v>
      </c>
      <c r="CS957" s="7" t="s">
        <v>1086</v>
      </c>
    </row>
    <row r="958" spans="2:97">
      <c r="B958" t="s">
        <v>1169</v>
      </c>
      <c r="C958" s="2" t="s">
        <v>1170</v>
      </c>
      <c r="D958" s="15"/>
      <c r="E958" s="8" t="s">
        <v>1074</v>
      </c>
      <c r="F958" s="8" t="s">
        <v>247</v>
      </c>
      <c r="G958" s="1">
        <v>1</v>
      </c>
      <c r="H958" s="1"/>
      <c r="I958" s="1">
        <f>1805-22</f>
        <v>1783</v>
      </c>
      <c r="J958" t="s">
        <v>10</v>
      </c>
      <c r="K958" t="s">
        <v>12</v>
      </c>
      <c r="Q958">
        <v>5</v>
      </c>
      <c r="R958">
        <v>6</v>
      </c>
      <c r="S958">
        <v>2</v>
      </c>
      <c r="T958" s="5">
        <f t="shared" si="45"/>
        <v>174.22</v>
      </c>
      <c r="U958" t="s">
        <v>1168</v>
      </c>
      <c r="AM958" s="6">
        <v>1</v>
      </c>
      <c r="AN958" s="6">
        <v>1</v>
      </c>
      <c r="AO958" s="7">
        <v>1</v>
      </c>
      <c r="BC958" t="s">
        <v>1171</v>
      </c>
      <c r="BD958" s="7" t="s">
        <v>103</v>
      </c>
      <c r="BE958" t="s">
        <v>1065</v>
      </c>
      <c r="BF958" s="1" t="s">
        <v>29</v>
      </c>
      <c r="BG958" s="1">
        <v>3</v>
      </c>
      <c r="BH958">
        <v>1</v>
      </c>
      <c r="BK958" s="1">
        <v>1</v>
      </c>
      <c r="BQ958">
        <v>1</v>
      </c>
      <c r="CS958" s="7" t="s">
        <v>203</v>
      </c>
    </row>
    <row r="959" spans="2:97">
      <c r="B959" t="s">
        <v>690</v>
      </c>
      <c r="C959" s="2" t="s">
        <v>3545</v>
      </c>
      <c r="D959" s="2" t="s">
        <v>3545</v>
      </c>
      <c r="E959" s="8" t="s">
        <v>271</v>
      </c>
      <c r="F959" s="8" t="s">
        <v>115</v>
      </c>
      <c r="G959" s="1">
        <v>1</v>
      </c>
      <c r="H959" s="1"/>
      <c r="I959" s="1">
        <f>1809-28</f>
        <v>1781</v>
      </c>
      <c r="J959" t="s">
        <v>69</v>
      </c>
      <c r="K959" t="s">
        <v>12</v>
      </c>
      <c r="Q959">
        <v>5</v>
      </c>
      <c r="R959">
        <v>3</v>
      </c>
      <c r="T959" s="5">
        <f t="shared" si="45"/>
        <v>165.89000000000001</v>
      </c>
      <c r="U959" t="s">
        <v>692</v>
      </c>
      <c r="AM959" s="6">
        <v>1</v>
      </c>
      <c r="AN959" s="6">
        <v>1</v>
      </c>
      <c r="AO959" s="6">
        <v>1</v>
      </c>
      <c r="AP959" s="6">
        <v>1</v>
      </c>
      <c r="AQ959" s="7">
        <v>1</v>
      </c>
      <c r="BC959" t="s">
        <v>693</v>
      </c>
      <c r="BD959" s="7" t="s">
        <v>280</v>
      </c>
      <c r="BE959" t="s">
        <v>672</v>
      </c>
      <c r="BF959" s="1" t="s">
        <v>29</v>
      </c>
      <c r="BG959" s="1">
        <v>1</v>
      </c>
      <c r="BH959">
        <v>2</v>
      </c>
      <c r="BK959" s="1">
        <v>1</v>
      </c>
      <c r="BQ959">
        <v>1</v>
      </c>
      <c r="BR959">
        <v>1</v>
      </c>
      <c r="CL959">
        <v>1</v>
      </c>
      <c r="CN959">
        <v>1</v>
      </c>
      <c r="CP959">
        <v>1</v>
      </c>
      <c r="CS959" s="7" t="s">
        <v>328</v>
      </c>
    </row>
    <row r="960" spans="2:97">
      <c r="B960" t="s">
        <v>1222</v>
      </c>
      <c r="C960" s="2" t="s">
        <v>1223</v>
      </c>
      <c r="D960" s="2" t="s">
        <v>1223</v>
      </c>
      <c r="E960" s="8" t="s">
        <v>130</v>
      </c>
      <c r="F960" s="8" t="s">
        <v>65</v>
      </c>
      <c r="G960" s="1">
        <v>1</v>
      </c>
      <c r="H960" s="1"/>
      <c r="I960" s="1">
        <f>1805-22</f>
        <v>1783</v>
      </c>
      <c r="J960" t="s">
        <v>69</v>
      </c>
      <c r="K960" t="s">
        <v>197</v>
      </c>
      <c r="N960">
        <v>1</v>
      </c>
      <c r="Q960">
        <v>5</v>
      </c>
      <c r="R960">
        <v>3</v>
      </c>
      <c r="S960">
        <v>1</v>
      </c>
      <c r="T960" s="5">
        <f t="shared" si="45"/>
        <v>166.11</v>
      </c>
      <c r="U960" t="s">
        <v>692</v>
      </c>
      <c r="AM960" s="6">
        <v>1</v>
      </c>
      <c r="AN960" s="6">
        <v>1</v>
      </c>
      <c r="AO960" s="6">
        <v>1</v>
      </c>
      <c r="AP960" s="6">
        <v>1</v>
      </c>
      <c r="AQ960" s="6">
        <v>1</v>
      </c>
      <c r="AR960" s="6">
        <v>1</v>
      </c>
      <c r="AS960" s="6">
        <v>1</v>
      </c>
      <c r="AT960" s="6">
        <v>1</v>
      </c>
      <c r="AU960" s="6">
        <v>1</v>
      </c>
      <c r="AV960" s="6">
        <v>1</v>
      </c>
      <c r="AW960" s="6">
        <v>1</v>
      </c>
      <c r="AX960" s="6">
        <v>1</v>
      </c>
      <c r="AY960" s="6">
        <v>1</v>
      </c>
      <c r="AZ960" s="7">
        <v>1</v>
      </c>
      <c r="BC960" t="s">
        <v>1224</v>
      </c>
      <c r="BD960" s="7" t="s">
        <v>103</v>
      </c>
      <c r="BE960" t="s">
        <v>151</v>
      </c>
      <c r="BF960" s="1" t="s">
        <v>29</v>
      </c>
      <c r="BG960" s="1">
        <v>16</v>
      </c>
      <c r="BH960">
        <v>3</v>
      </c>
      <c r="BK960" s="1">
        <v>1</v>
      </c>
      <c r="BQ960">
        <v>1</v>
      </c>
      <c r="CC960">
        <v>1</v>
      </c>
      <c r="CL960">
        <v>1</v>
      </c>
      <c r="CS960" s="7" t="s">
        <v>1226</v>
      </c>
    </row>
    <row r="961" spans="2:98">
      <c r="B961" t="s">
        <v>1206</v>
      </c>
      <c r="C961" s="2" t="s">
        <v>1207</v>
      </c>
      <c r="D961" s="18"/>
      <c r="F961" s="8" t="s">
        <v>234</v>
      </c>
      <c r="G961" s="1">
        <v>1</v>
      </c>
      <c r="H961" s="1"/>
      <c r="I961" s="1">
        <f>1805-22</f>
        <v>1783</v>
      </c>
      <c r="J961" t="s">
        <v>69</v>
      </c>
      <c r="K961" t="s">
        <v>12</v>
      </c>
      <c r="Q961">
        <v>5</v>
      </c>
      <c r="R961">
        <v>3</v>
      </c>
      <c r="T961" s="5">
        <f t="shared" si="45"/>
        <v>165.89000000000001</v>
      </c>
      <c r="U961" t="s">
        <v>1090</v>
      </c>
      <c r="AM961" s="6">
        <v>1</v>
      </c>
      <c r="AN961" s="6">
        <v>1</v>
      </c>
      <c r="AO961" s="7">
        <v>1</v>
      </c>
      <c r="BC961" t="s">
        <v>1187</v>
      </c>
      <c r="BD961" s="7" t="s">
        <v>103</v>
      </c>
      <c r="BE961" t="s">
        <v>1065</v>
      </c>
      <c r="BF961" s="1" t="s">
        <v>29</v>
      </c>
      <c r="BG961" s="1">
        <v>3</v>
      </c>
      <c r="BH961">
        <v>1</v>
      </c>
      <c r="BK961" s="1">
        <v>1</v>
      </c>
      <c r="BQ961">
        <v>1</v>
      </c>
      <c r="CS961" s="7" t="s">
        <v>203</v>
      </c>
    </row>
    <row r="962" spans="2:98">
      <c r="B962" t="s">
        <v>1195</v>
      </c>
      <c r="C962" s="2" t="s">
        <v>1196</v>
      </c>
      <c r="D962" s="18"/>
      <c r="E962" s="8" t="s">
        <v>1094</v>
      </c>
      <c r="F962" s="8" t="s">
        <v>247</v>
      </c>
      <c r="G962" s="1">
        <v>1</v>
      </c>
      <c r="H962" s="1"/>
      <c r="I962" s="1">
        <f>1805-20</f>
        <v>1785</v>
      </c>
      <c r="J962" t="s">
        <v>10</v>
      </c>
      <c r="K962" t="s">
        <v>12</v>
      </c>
      <c r="Q962">
        <v>5</v>
      </c>
      <c r="R962">
        <v>3</v>
      </c>
      <c r="T962" s="5">
        <f t="shared" si="45"/>
        <v>165.89000000000001</v>
      </c>
      <c r="U962" t="s">
        <v>1090</v>
      </c>
      <c r="AM962" s="6">
        <v>1</v>
      </c>
      <c r="AN962" s="6">
        <v>1</v>
      </c>
      <c r="AO962" s="7">
        <v>1</v>
      </c>
      <c r="BC962" t="s">
        <v>1197</v>
      </c>
      <c r="BD962" s="7" t="s">
        <v>103</v>
      </c>
      <c r="BE962" t="s">
        <v>1065</v>
      </c>
      <c r="BF962" s="1" t="s">
        <v>29</v>
      </c>
      <c r="BG962" s="1">
        <v>3</v>
      </c>
      <c r="BH962">
        <v>1</v>
      </c>
      <c r="BK962" s="1">
        <v>1</v>
      </c>
      <c r="BQ962">
        <v>1</v>
      </c>
      <c r="CS962" s="7" t="s">
        <v>475</v>
      </c>
    </row>
    <row r="963" spans="2:98">
      <c r="B963" t="s">
        <v>1089</v>
      </c>
      <c r="C963" s="2" t="s">
        <v>1087</v>
      </c>
      <c r="D963" s="18"/>
      <c r="E963" s="8" t="s">
        <v>1088</v>
      </c>
      <c r="F963" s="8" t="s">
        <v>247</v>
      </c>
      <c r="G963" s="1">
        <v>1</v>
      </c>
      <c r="H963" s="1"/>
      <c r="I963" s="1">
        <f>1805-19</f>
        <v>1786</v>
      </c>
      <c r="J963" t="s">
        <v>10</v>
      </c>
      <c r="K963" t="s">
        <v>12</v>
      </c>
      <c r="Q963">
        <v>5</v>
      </c>
      <c r="R963">
        <v>5</v>
      </c>
      <c r="T963" s="5">
        <f t="shared" si="45"/>
        <v>171.15</v>
      </c>
      <c r="U963" t="s">
        <v>1090</v>
      </c>
      <c r="AM963" s="6">
        <v>1</v>
      </c>
      <c r="AN963" s="7">
        <v>1</v>
      </c>
      <c r="BC963" t="s">
        <v>1091</v>
      </c>
      <c r="BD963" s="7" t="s">
        <v>103</v>
      </c>
      <c r="BE963" t="s">
        <v>1065</v>
      </c>
      <c r="BF963" s="1" t="s">
        <v>29</v>
      </c>
      <c r="BG963" s="1">
        <v>3</v>
      </c>
      <c r="BH963">
        <v>1</v>
      </c>
      <c r="BK963" s="1">
        <v>1</v>
      </c>
      <c r="BQ963">
        <v>1</v>
      </c>
      <c r="CS963" s="7" t="s">
        <v>475</v>
      </c>
    </row>
    <row r="964" spans="2:98">
      <c r="B964" t="s">
        <v>1186</v>
      </c>
      <c r="C964" s="2" t="s">
        <v>818</v>
      </c>
      <c r="D964" s="18"/>
      <c r="F964" s="8" t="s">
        <v>65</v>
      </c>
      <c r="G964" s="1">
        <v>1</v>
      </c>
      <c r="H964" s="1"/>
      <c r="I964" s="1">
        <f>1805-22</f>
        <v>1783</v>
      </c>
      <c r="J964" t="s">
        <v>69</v>
      </c>
      <c r="K964" t="s">
        <v>12</v>
      </c>
      <c r="Q964">
        <v>5</v>
      </c>
      <c r="R964">
        <v>4</v>
      </c>
      <c r="S964">
        <v>3</v>
      </c>
      <c r="T964" s="5">
        <f t="shared" si="45"/>
        <v>169.18</v>
      </c>
      <c r="U964" t="s">
        <v>1090</v>
      </c>
      <c r="AM964" s="6">
        <v>1</v>
      </c>
      <c r="AN964" s="6">
        <v>1</v>
      </c>
      <c r="AO964" s="7">
        <v>1</v>
      </c>
      <c r="BC964" t="s">
        <v>1187</v>
      </c>
      <c r="BD964" s="7" t="s">
        <v>103</v>
      </c>
      <c r="BE964" t="s">
        <v>1065</v>
      </c>
      <c r="BF964" s="1" t="s">
        <v>29</v>
      </c>
      <c r="BG964" s="1">
        <v>3</v>
      </c>
      <c r="BH964">
        <v>1</v>
      </c>
      <c r="BK964" s="1">
        <v>1</v>
      </c>
      <c r="BQ964">
        <v>1</v>
      </c>
      <c r="CS964" s="7" t="s">
        <v>203</v>
      </c>
    </row>
    <row r="965" spans="2:98">
      <c r="B965" t="s">
        <v>1092</v>
      </c>
      <c r="C965" s="2" t="s">
        <v>1093</v>
      </c>
      <c r="D965" s="18"/>
      <c r="E965" s="8" t="s">
        <v>1094</v>
      </c>
      <c r="F965" s="8" t="s">
        <v>247</v>
      </c>
      <c r="G965" s="1">
        <v>1</v>
      </c>
      <c r="H965" s="1"/>
      <c r="I965" s="1">
        <f>1805-18</f>
        <v>1787</v>
      </c>
      <c r="J965" t="s">
        <v>10</v>
      </c>
      <c r="K965" t="s">
        <v>12</v>
      </c>
      <c r="Q965">
        <v>5</v>
      </c>
      <c r="R965">
        <v>3</v>
      </c>
      <c r="S965">
        <v>2</v>
      </c>
      <c r="T965" s="5">
        <f t="shared" si="45"/>
        <v>166.33</v>
      </c>
      <c r="U965" t="s">
        <v>1090</v>
      </c>
      <c r="AM965" s="7">
        <v>1</v>
      </c>
      <c r="BC965" t="s">
        <v>1095</v>
      </c>
      <c r="BD965" s="7" t="s">
        <v>103</v>
      </c>
      <c r="BE965" t="s">
        <v>1065</v>
      </c>
      <c r="BF965" s="1" t="s">
        <v>29</v>
      </c>
      <c r="BG965" s="1">
        <v>2</v>
      </c>
      <c r="BH965">
        <v>1</v>
      </c>
      <c r="BK965" s="1">
        <v>1</v>
      </c>
      <c r="BQ965">
        <v>1</v>
      </c>
      <c r="CS965" s="7" t="s">
        <v>1096</v>
      </c>
    </row>
    <row r="966" spans="2:98">
      <c r="B966" t="s">
        <v>3478</v>
      </c>
      <c r="C966" s="2" t="s">
        <v>2094</v>
      </c>
      <c r="D966" s="2" t="s">
        <v>2094</v>
      </c>
      <c r="E966" s="8" t="s">
        <v>920</v>
      </c>
      <c r="F966" s="8" t="s">
        <v>115</v>
      </c>
      <c r="G966" s="1">
        <v>1</v>
      </c>
      <c r="H966" s="1"/>
      <c r="I966" s="1">
        <f>1806-19</f>
        <v>1787</v>
      </c>
      <c r="J966" t="s">
        <v>10</v>
      </c>
      <c r="K966" t="s">
        <v>12</v>
      </c>
      <c r="Q966">
        <v>5</v>
      </c>
      <c r="R966">
        <v>1</v>
      </c>
      <c r="T966" s="5">
        <f t="shared" si="45"/>
        <v>160.63</v>
      </c>
      <c r="U966" t="s">
        <v>3479</v>
      </c>
      <c r="AM966" s="6">
        <v>1</v>
      </c>
      <c r="AN966" s="6">
        <v>1</v>
      </c>
      <c r="AO966" s="6">
        <v>1</v>
      </c>
      <c r="AP966" s="7">
        <v>1</v>
      </c>
      <c r="BC966" s="9" t="s">
        <v>3473</v>
      </c>
      <c r="BD966" s="7" t="s">
        <v>280</v>
      </c>
      <c r="BE966" t="s">
        <v>1502</v>
      </c>
      <c r="BF966" s="1" t="s">
        <v>29</v>
      </c>
      <c r="BG966" s="1">
        <v>3</v>
      </c>
      <c r="BH966">
        <v>1</v>
      </c>
      <c r="BK966" s="1">
        <v>1</v>
      </c>
      <c r="BQ966">
        <v>1</v>
      </c>
      <c r="CN966">
        <v>1</v>
      </c>
      <c r="CS966" s="7" t="s">
        <v>947</v>
      </c>
    </row>
    <row r="967" spans="2:98">
      <c r="B967" t="s">
        <v>1522</v>
      </c>
      <c r="C967" s="15" t="s">
        <v>1523</v>
      </c>
      <c r="D967" s="18"/>
      <c r="E967" s="8" t="s">
        <v>920</v>
      </c>
      <c r="F967" s="8" t="s">
        <v>115</v>
      </c>
      <c r="G967" s="1">
        <v>1</v>
      </c>
      <c r="H967" s="1"/>
      <c r="I967" s="1">
        <f>1806-25</f>
        <v>1781</v>
      </c>
      <c r="J967" t="s">
        <v>69</v>
      </c>
      <c r="K967" t="s">
        <v>12</v>
      </c>
      <c r="Q967">
        <v>5</v>
      </c>
      <c r="R967">
        <v>2</v>
      </c>
      <c r="T967" s="5">
        <f t="shared" si="45"/>
        <v>163.26</v>
      </c>
      <c r="U967" t="s">
        <v>1181</v>
      </c>
      <c r="AM967" s="6">
        <v>1</v>
      </c>
      <c r="AN967" s="7">
        <v>1</v>
      </c>
      <c r="BC967" t="s">
        <v>198</v>
      </c>
      <c r="BD967" s="7" t="s">
        <v>109</v>
      </c>
      <c r="BE967" t="s">
        <v>1502</v>
      </c>
      <c r="BF967" s="1" t="s">
        <v>29</v>
      </c>
      <c r="BG967" s="1">
        <v>2</v>
      </c>
      <c r="BH967">
        <v>1</v>
      </c>
      <c r="BK967" s="1">
        <v>1</v>
      </c>
      <c r="BQ967">
        <v>1</v>
      </c>
      <c r="CS967" s="7" t="s">
        <v>893</v>
      </c>
    </row>
    <row r="968" spans="2:98">
      <c r="B968" t="s">
        <v>1229</v>
      </c>
      <c r="C968" s="2" t="s">
        <v>1230</v>
      </c>
      <c r="D968" s="18"/>
      <c r="E968" s="8" t="s">
        <v>1074</v>
      </c>
      <c r="F968" s="8" t="s">
        <v>247</v>
      </c>
      <c r="G968" s="1">
        <v>1</v>
      </c>
      <c r="H968" s="1"/>
      <c r="I968" s="1">
        <f>1805-24</f>
        <v>1781</v>
      </c>
      <c r="J968" t="s">
        <v>10</v>
      </c>
      <c r="K968" t="s">
        <v>12</v>
      </c>
      <c r="Q968">
        <v>5</v>
      </c>
      <c r="R968">
        <v>4</v>
      </c>
      <c r="S968">
        <v>2</v>
      </c>
      <c r="T968" s="5">
        <f>((Q968*316)+(R968*26.3)+(S968*2.2))/10</f>
        <v>168.96</v>
      </c>
      <c r="U968" t="s">
        <v>1181</v>
      </c>
      <c r="AM968" s="6">
        <v>1</v>
      </c>
      <c r="AN968" s="6">
        <v>1</v>
      </c>
      <c r="AO968" s="7">
        <v>1</v>
      </c>
      <c r="BC968" t="s">
        <v>1187</v>
      </c>
      <c r="BD968" s="7" t="s">
        <v>103</v>
      </c>
      <c r="BE968" t="s">
        <v>1065</v>
      </c>
      <c r="BF968" s="1" t="s">
        <v>29</v>
      </c>
      <c r="BG968" s="1">
        <v>2</v>
      </c>
      <c r="BH968">
        <v>1</v>
      </c>
      <c r="BK968" s="1">
        <v>1</v>
      </c>
      <c r="BQ968">
        <v>1</v>
      </c>
      <c r="CS968" s="7" t="s">
        <v>203</v>
      </c>
    </row>
    <row r="969" spans="2:98">
      <c r="B969" t="s">
        <v>1178</v>
      </c>
      <c r="C969" s="2" t="s">
        <v>1179</v>
      </c>
      <c r="D969" s="18"/>
      <c r="E969" s="8" t="s">
        <v>1180</v>
      </c>
      <c r="F969" s="8" t="s">
        <v>247</v>
      </c>
      <c r="G969" s="1">
        <v>1</v>
      </c>
      <c r="H969" s="1"/>
      <c r="I969" s="1">
        <f>1805-24</f>
        <v>1781</v>
      </c>
      <c r="J969" t="s">
        <v>10</v>
      </c>
      <c r="K969" t="s">
        <v>12</v>
      </c>
      <c r="Q969">
        <v>5</v>
      </c>
      <c r="R969">
        <v>5</v>
      </c>
      <c r="S969">
        <v>2</v>
      </c>
      <c r="T969" s="5">
        <f>((Q969*316)+(R969*26.3)+(S969*2.2))/10</f>
        <v>171.59</v>
      </c>
      <c r="U969" t="s">
        <v>1181</v>
      </c>
      <c r="AM969" s="6">
        <v>1</v>
      </c>
      <c r="AN969" s="6">
        <v>1</v>
      </c>
      <c r="AO969" s="7">
        <v>1</v>
      </c>
      <c r="BC969" t="s">
        <v>131</v>
      </c>
      <c r="BD969" s="7" t="s">
        <v>103</v>
      </c>
      <c r="BE969" t="s">
        <v>1065</v>
      </c>
      <c r="BF969" s="1" t="s">
        <v>29</v>
      </c>
      <c r="BG969" s="1">
        <v>3</v>
      </c>
      <c r="BH969">
        <v>1</v>
      </c>
      <c r="BK969" s="1">
        <v>1</v>
      </c>
      <c r="BQ969">
        <v>1</v>
      </c>
      <c r="CS969" s="7" t="s">
        <v>475</v>
      </c>
    </row>
    <row r="970" spans="2:98">
      <c r="B970" t="s">
        <v>2149</v>
      </c>
      <c r="C970" s="2" t="s">
        <v>919</v>
      </c>
      <c r="D970" s="2" t="s">
        <v>2054</v>
      </c>
      <c r="E970" s="8" t="s">
        <v>920</v>
      </c>
      <c r="F970" s="8" t="s">
        <v>115</v>
      </c>
      <c r="G970" s="1">
        <v>1</v>
      </c>
      <c r="H970" s="1"/>
      <c r="I970" s="1">
        <f>1805-28</f>
        <v>1777</v>
      </c>
      <c r="J970" t="s">
        <v>69</v>
      </c>
      <c r="K970" t="s">
        <v>12</v>
      </c>
      <c r="Q970">
        <v>5</v>
      </c>
      <c r="R970">
        <v>1</v>
      </c>
      <c r="T970" s="5">
        <f>((Q970*316)+(R970*26.3)+(S970*2.2))/10</f>
        <v>160.63</v>
      </c>
      <c r="U970" t="s">
        <v>2148</v>
      </c>
      <c r="AM970" s="6">
        <v>1</v>
      </c>
      <c r="AN970" s="7">
        <v>1</v>
      </c>
      <c r="BC970" t="s">
        <v>2150</v>
      </c>
      <c r="BD970" s="7" t="s">
        <v>26</v>
      </c>
      <c r="BE970" t="s">
        <v>1502</v>
      </c>
      <c r="BF970" s="1" t="s">
        <v>29</v>
      </c>
      <c r="BG970" s="1">
        <v>2</v>
      </c>
      <c r="BH970">
        <v>1</v>
      </c>
      <c r="BK970" s="1">
        <v>1</v>
      </c>
      <c r="BQ970">
        <v>1</v>
      </c>
      <c r="CS970" s="7" t="s">
        <v>2095</v>
      </c>
    </row>
    <row r="971" spans="2:98">
      <c r="B971" t="s">
        <v>258</v>
      </c>
      <c r="C971" s="15"/>
      <c r="D971" s="13"/>
      <c r="F971" t="s">
        <v>7</v>
      </c>
      <c r="G971" s="1">
        <v>1</v>
      </c>
      <c r="H971" s="1"/>
      <c r="I971" s="1"/>
      <c r="T971" s="5"/>
      <c r="U971" s="9" t="s">
        <v>257</v>
      </c>
      <c r="AM971" s="9">
        <v>1</v>
      </c>
      <c r="AN971" s="6">
        <v>1</v>
      </c>
      <c r="AO971" s="6">
        <v>1</v>
      </c>
      <c r="AP971" s="6">
        <v>1</v>
      </c>
      <c r="AQ971" s="6">
        <v>1</v>
      </c>
      <c r="AR971" s="6">
        <v>1</v>
      </c>
      <c r="AS971" s="6">
        <v>1</v>
      </c>
      <c r="AT971" s="6">
        <v>1</v>
      </c>
      <c r="AU971" s="7">
        <v>1</v>
      </c>
      <c r="BC971" s="16" t="s">
        <v>259</v>
      </c>
      <c r="BD971" s="7" t="s">
        <v>260</v>
      </c>
      <c r="BE971" t="s">
        <v>261</v>
      </c>
      <c r="BF971" s="1" t="s">
        <v>73</v>
      </c>
      <c r="BG971" s="1">
        <v>3</v>
      </c>
      <c r="BH971">
        <v>2</v>
      </c>
      <c r="BK971" s="1"/>
      <c r="BW971">
        <v>1</v>
      </c>
      <c r="CE971">
        <v>1</v>
      </c>
      <c r="CL971">
        <v>1</v>
      </c>
      <c r="CM971">
        <v>1</v>
      </c>
      <c r="CS971" s="16" t="s">
        <v>262</v>
      </c>
      <c r="CT971" s="9" t="s">
        <v>263</v>
      </c>
    </row>
    <row r="972" spans="2:98">
      <c r="B972" t="s">
        <v>3120</v>
      </c>
      <c r="C972" s="2" t="s">
        <v>3118</v>
      </c>
      <c r="D972" s="2" t="s">
        <v>3119</v>
      </c>
      <c r="E972" s="8" t="s">
        <v>546</v>
      </c>
      <c r="F972" s="8" t="s">
        <v>357</v>
      </c>
      <c r="G972" s="1">
        <v>1</v>
      </c>
      <c r="H972" s="1"/>
      <c r="I972" s="1">
        <f>1805-27</f>
        <v>1778</v>
      </c>
      <c r="J972" t="s">
        <v>10</v>
      </c>
      <c r="K972" t="s">
        <v>12</v>
      </c>
      <c r="Q972">
        <v>5</v>
      </c>
      <c r="R972">
        <v>3</v>
      </c>
      <c r="S972">
        <v>1</v>
      </c>
      <c r="T972" s="5">
        <f t="shared" ref="T972:T995" si="46">((Q972*316)+(R972*26.3)+(S972*2.2))/10</f>
        <v>166.11</v>
      </c>
      <c r="U972" t="s">
        <v>3117</v>
      </c>
      <c r="AM972" s="6">
        <v>1</v>
      </c>
      <c r="AN972" s="7">
        <v>1</v>
      </c>
      <c r="BC972" t="s">
        <v>3116</v>
      </c>
      <c r="BD972" s="7" t="s">
        <v>280</v>
      </c>
      <c r="BE972" t="s">
        <v>2407</v>
      </c>
      <c r="BF972" s="1" t="s">
        <v>29</v>
      </c>
      <c r="BG972" s="1">
        <v>4</v>
      </c>
      <c r="BH972">
        <v>1</v>
      </c>
      <c r="BK972" s="1">
        <v>1</v>
      </c>
      <c r="BQ972">
        <v>1</v>
      </c>
      <c r="CM972">
        <v>1</v>
      </c>
      <c r="CS972" s="7" t="s">
        <v>3115</v>
      </c>
    </row>
    <row r="973" spans="2:98">
      <c r="B973" t="s">
        <v>3127</v>
      </c>
      <c r="C973" s="13" t="s">
        <v>3128</v>
      </c>
      <c r="D973" s="15"/>
      <c r="F973" s="8" t="s">
        <v>65</v>
      </c>
      <c r="G973" s="1">
        <v>1</v>
      </c>
      <c r="H973" s="1"/>
      <c r="I973" s="1">
        <f>1806-24</f>
        <v>1782</v>
      </c>
      <c r="J973" t="s">
        <v>10</v>
      </c>
      <c r="K973" t="s">
        <v>140</v>
      </c>
      <c r="T973" s="5"/>
      <c r="U973" s="9" t="s">
        <v>3129</v>
      </c>
      <c r="AM973" s="9">
        <v>1</v>
      </c>
      <c r="AN973" s="6">
        <v>1</v>
      </c>
      <c r="BC973">
        <v>1806</v>
      </c>
      <c r="BD973" t="s">
        <v>81</v>
      </c>
      <c r="BE973" t="s">
        <v>118</v>
      </c>
      <c r="BF973" s="1" t="s">
        <v>29</v>
      </c>
      <c r="BG973" s="1">
        <v>1</v>
      </c>
      <c r="BH973">
        <v>1</v>
      </c>
      <c r="BK973" s="1"/>
      <c r="BQ973">
        <v>1</v>
      </c>
      <c r="CS973" t="s">
        <v>2900</v>
      </c>
    </row>
    <row r="974" spans="2:98">
      <c r="B974" t="s">
        <v>1890</v>
      </c>
      <c r="C974" s="15" t="s">
        <v>1891</v>
      </c>
      <c r="D974" s="13"/>
      <c r="F974" s="8" t="s">
        <v>1548</v>
      </c>
      <c r="G974" s="1"/>
      <c r="H974" s="1">
        <v>1</v>
      </c>
      <c r="I974" s="1">
        <f>1805-28</f>
        <v>1777</v>
      </c>
      <c r="J974" t="s">
        <v>10</v>
      </c>
      <c r="K974" t="s">
        <v>12</v>
      </c>
      <c r="Q974">
        <v>5</v>
      </c>
      <c r="R974">
        <v>1</v>
      </c>
      <c r="S974">
        <v>2</v>
      </c>
      <c r="T974" s="5">
        <f t="shared" si="46"/>
        <v>161.07</v>
      </c>
      <c r="U974" t="s">
        <v>1892</v>
      </c>
      <c r="AM974" s="6">
        <v>1</v>
      </c>
      <c r="AN974" s="7">
        <v>1</v>
      </c>
      <c r="BC974" t="s">
        <v>1893</v>
      </c>
      <c r="BD974" s="7" t="s">
        <v>280</v>
      </c>
      <c r="BE974" t="s">
        <v>1564</v>
      </c>
      <c r="BF974" s="1" t="s">
        <v>29</v>
      </c>
      <c r="BG974" s="1">
        <v>2</v>
      </c>
      <c r="BH974">
        <v>1</v>
      </c>
      <c r="BK974" s="1">
        <v>1</v>
      </c>
      <c r="BQ974">
        <v>1</v>
      </c>
      <c r="CM974">
        <v>1</v>
      </c>
      <c r="CN974">
        <v>1</v>
      </c>
      <c r="CS974" s="7" t="s">
        <v>1894</v>
      </c>
    </row>
    <row r="975" spans="2:98">
      <c r="B975" t="s">
        <v>3099</v>
      </c>
      <c r="C975" s="2" t="s">
        <v>564</v>
      </c>
      <c r="D975" s="13"/>
      <c r="E975" s="8" t="s">
        <v>565</v>
      </c>
      <c r="F975" s="8" t="s">
        <v>357</v>
      </c>
      <c r="G975" s="1">
        <v>1</v>
      </c>
      <c r="H975" s="1"/>
      <c r="I975" s="1">
        <f>1805-22</f>
        <v>1783</v>
      </c>
      <c r="J975" t="s">
        <v>10</v>
      </c>
      <c r="K975" t="s">
        <v>2356</v>
      </c>
      <c r="T975" s="5"/>
      <c r="U975" t="s">
        <v>3100</v>
      </c>
      <c r="AM975" s="6">
        <v>1</v>
      </c>
      <c r="AN975" s="7">
        <v>1</v>
      </c>
      <c r="BC975" t="s">
        <v>3897</v>
      </c>
      <c r="BD975" s="7" t="s">
        <v>103</v>
      </c>
      <c r="BE975" t="s">
        <v>2407</v>
      </c>
      <c r="BF975" s="1" t="s">
        <v>29</v>
      </c>
      <c r="BG975" s="1">
        <v>2</v>
      </c>
      <c r="BH975">
        <v>1</v>
      </c>
      <c r="BJ975">
        <v>1</v>
      </c>
      <c r="BK975" s="1">
        <v>1</v>
      </c>
      <c r="BQ975">
        <v>1</v>
      </c>
      <c r="CS975" s="7" t="s">
        <v>1763</v>
      </c>
    </row>
    <row r="976" spans="2:98">
      <c r="B976" t="s">
        <v>4632</v>
      </c>
      <c r="C976" s="2" t="s">
        <v>4633</v>
      </c>
      <c r="D976" s="2" t="s">
        <v>4634</v>
      </c>
      <c r="E976" s="8" t="s">
        <v>2639</v>
      </c>
      <c r="F976" s="8" t="s">
        <v>218</v>
      </c>
      <c r="G976" s="1">
        <v>1</v>
      </c>
      <c r="H976" s="1"/>
      <c r="I976" s="1">
        <f>1806-21</f>
        <v>1785</v>
      </c>
      <c r="J976" t="s">
        <v>10</v>
      </c>
      <c r="K976" t="s">
        <v>12</v>
      </c>
      <c r="Q976">
        <v>5</v>
      </c>
      <c r="R976">
        <v>4</v>
      </c>
      <c r="T976" s="5">
        <f t="shared" si="46"/>
        <v>168.52</v>
      </c>
      <c r="U976" t="s">
        <v>4635</v>
      </c>
      <c r="AM976" s="6">
        <v>1</v>
      </c>
      <c r="AN976" s="6">
        <v>1</v>
      </c>
      <c r="BC976">
        <v>1806</v>
      </c>
      <c r="BD976" t="s">
        <v>81</v>
      </c>
      <c r="BE976" t="s">
        <v>712</v>
      </c>
      <c r="BF976" s="1" t="s">
        <v>73</v>
      </c>
      <c r="BG976" s="1">
        <v>1</v>
      </c>
      <c r="BH976">
        <v>1</v>
      </c>
      <c r="BK976" s="1">
        <v>1</v>
      </c>
      <c r="BQ976">
        <v>1</v>
      </c>
      <c r="CS976" t="s">
        <v>713</v>
      </c>
    </row>
    <row r="977" spans="2:97">
      <c r="B977" t="s">
        <v>4320</v>
      </c>
      <c r="C977" s="13" t="s">
        <v>4321</v>
      </c>
      <c r="D977" s="13" t="s">
        <v>4321</v>
      </c>
      <c r="E977" s="8" t="s">
        <v>146</v>
      </c>
      <c r="F977" s="8" t="s">
        <v>65</v>
      </c>
      <c r="G977" s="1">
        <v>1</v>
      </c>
      <c r="H977" s="1"/>
      <c r="I977" s="1">
        <f>1811-28</f>
        <v>1783</v>
      </c>
      <c r="J977" t="s">
        <v>10</v>
      </c>
      <c r="K977" t="s">
        <v>12</v>
      </c>
      <c r="Q977">
        <v>5</v>
      </c>
      <c r="R977">
        <v>2</v>
      </c>
      <c r="T977" s="5">
        <f t="shared" si="46"/>
        <v>163.26</v>
      </c>
      <c r="U977" t="s">
        <v>4322</v>
      </c>
      <c r="AM977" s="6">
        <v>1</v>
      </c>
      <c r="AN977" s="6">
        <v>1</v>
      </c>
      <c r="AO977" s="6">
        <v>1</v>
      </c>
      <c r="AP977" s="6">
        <v>1</v>
      </c>
      <c r="AQ977" s="6">
        <v>1</v>
      </c>
      <c r="AR977" s="6">
        <v>1</v>
      </c>
      <c r="AS977" s="6">
        <v>1</v>
      </c>
      <c r="BC977">
        <v>1811</v>
      </c>
      <c r="BD977" t="s">
        <v>81</v>
      </c>
      <c r="BE977" t="s">
        <v>4311</v>
      </c>
      <c r="BF977" s="1" t="s">
        <v>73</v>
      </c>
      <c r="BG977" s="1">
        <v>1</v>
      </c>
      <c r="BH977">
        <v>1</v>
      </c>
      <c r="BK977" s="1">
        <v>1</v>
      </c>
      <c r="BQ977">
        <v>1</v>
      </c>
      <c r="CS977" t="s">
        <v>4312</v>
      </c>
    </row>
    <row r="978" spans="2:97">
      <c r="B978" t="s">
        <v>867</v>
      </c>
      <c r="C978" s="13" t="s">
        <v>868</v>
      </c>
      <c r="D978" s="13"/>
      <c r="E978" s="8" t="s">
        <v>869</v>
      </c>
      <c r="F978" s="8" t="s">
        <v>65</v>
      </c>
      <c r="G978" s="1">
        <v>1</v>
      </c>
      <c r="H978" s="1"/>
      <c r="I978" s="1">
        <f>1806-19</f>
        <v>1787</v>
      </c>
      <c r="J978" t="s">
        <v>10</v>
      </c>
      <c r="K978" t="s">
        <v>12</v>
      </c>
      <c r="Q978">
        <v>5</v>
      </c>
      <c r="R978">
        <v>3</v>
      </c>
      <c r="S978">
        <v>2</v>
      </c>
      <c r="T978" s="5">
        <f t="shared" si="46"/>
        <v>166.33</v>
      </c>
      <c r="U978" t="s">
        <v>671</v>
      </c>
      <c r="AM978" s="6">
        <v>1</v>
      </c>
      <c r="AN978" s="6">
        <v>1</v>
      </c>
      <c r="AO978" s="6">
        <v>1</v>
      </c>
      <c r="BC978">
        <v>1807</v>
      </c>
      <c r="BD978" t="s">
        <v>81</v>
      </c>
      <c r="BE978" s="10" t="s">
        <v>865</v>
      </c>
      <c r="BF978" s="1" t="s">
        <v>73</v>
      </c>
      <c r="BG978" s="1">
        <v>2</v>
      </c>
      <c r="BH978">
        <v>1</v>
      </c>
      <c r="BJ978">
        <v>1</v>
      </c>
      <c r="BK978" s="1">
        <v>1</v>
      </c>
      <c r="BQ978">
        <v>1</v>
      </c>
      <c r="BV978" s="10">
        <v>1</v>
      </c>
      <c r="CI978">
        <v>1</v>
      </c>
      <c r="CL978" s="10">
        <v>1</v>
      </c>
      <c r="CS978" s="10" t="s">
        <v>870</v>
      </c>
    </row>
    <row r="979" spans="2:97">
      <c r="B979" t="s">
        <v>1995</v>
      </c>
      <c r="C979" s="2" t="s">
        <v>1996</v>
      </c>
      <c r="D979" s="26" t="s">
        <v>1997</v>
      </c>
      <c r="E979" s="8" t="s">
        <v>920</v>
      </c>
      <c r="F979" s="8" t="s">
        <v>115</v>
      </c>
      <c r="G979" s="1">
        <v>1</v>
      </c>
      <c r="H979" s="1"/>
      <c r="I979" s="1">
        <f>1806-22</f>
        <v>1784</v>
      </c>
      <c r="J979" t="s">
        <v>1998</v>
      </c>
      <c r="K979" t="s">
        <v>12</v>
      </c>
      <c r="Q979">
        <v>5</v>
      </c>
      <c r="R979">
        <v>4</v>
      </c>
      <c r="T979" s="5">
        <f t="shared" si="46"/>
        <v>168.52</v>
      </c>
      <c r="U979" t="s">
        <v>671</v>
      </c>
      <c r="AM979" s="6">
        <v>1</v>
      </c>
      <c r="AN979" s="6">
        <v>1</v>
      </c>
      <c r="AO979" s="6">
        <v>1</v>
      </c>
      <c r="AP979" s="6">
        <v>1</v>
      </c>
      <c r="AQ979" s="6">
        <v>1</v>
      </c>
      <c r="AR979" s="6">
        <v>1</v>
      </c>
      <c r="AS979" s="6">
        <v>1</v>
      </c>
      <c r="AT979" s="6">
        <v>1</v>
      </c>
      <c r="AU979" s="6">
        <v>1</v>
      </c>
      <c r="AV979" s="6">
        <v>1</v>
      </c>
      <c r="AW979" s="6">
        <v>1</v>
      </c>
      <c r="AX979" s="6">
        <v>1</v>
      </c>
      <c r="AY979" s="7">
        <v>1</v>
      </c>
      <c r="BC979" t="s">
        <v>1999</v>
      </c>
      <c r="BD979" s="7" t="s">
        <v>103</v>
      </c>
      <c r="BE979" t="s">
        <v>2000</v>
      </c>
      <c r="BF979" s="1" t="s">
        <v>29</v>
      </c>
      <c r="BG979" s="1">
        <v>6</v>
      </c>
      <c r="BH979">
        <v>3</v>
      </c>
      <c r="BK979" s="1">
        <v>1</v>
      </c>
      <c r="BQ979">
        <v>1</v>
      </c>
      <c r="BY979">
        <v>1</v>
      </c>
      <c r="CC979">
        <v>1</v>
      </c>
      <c r="CL979">
        <v>1</v>
      </c>
      <c r="CS979" s="7" t="s">
        <v>1518</v>
      </c>
    </row>
    <row r="980" spans="2:97">
      <c r="B980" t="s">
        <v>2100</v>
      </c>
      <c r="C980" s="2" t="s">
        <v>2101</v>
      </c>
      <c r="D980" s="26" t="s">
        <v>192</v>
      </c>
      <c r="E980" s="8" t="s">
        <v>1735</v>
      </c>
      <c r="F980" s="8" t="s">
        <v>115</v>
      </c>
      <c r="G980" s="1">
        <v>1</v>
      </c>
      <c r="H980" s="1"/>
      <c r="I980" s="1">
        <f>1805-18</f>
        <v>1787</v>
      </c>
      <c r="J980" t="s">
        <v>10</v>
      </c>
      <c r="K980" t="s">
        <v>12</v>
      </c>
      <c r="Q980">
        <v>4</v>
      </c>
      <c r="R980">
        <v>11</v>
      </c>
      <c r="T980" s="5">
        <f t="shared" si="46"/>
        <v>155.32999999999998</v>
      </c>
      <c r="U980" t="s">
        <v>671</v>
      </c>
      <c r="AM980" s="6">
        <v>1</v>
      </c>
      <c r="AN980" s="7">
        <v>1</v>
      </c>
      <c r="BC980" t="s">
        <v>2102</v>
      </c>
      <c r="BD980" s="7" t="s">
        <v>103</v>
      </c>
      <c r="BE980" t="s">
        <v>1564</v>
      </c>
      <c r="BF980" s="1" t="s">
        <v>29</v>
      </c>
      <c r="BG980" s="1">
        <v>2</v>
      </c>
      <c r="BH980">
        <v>1</v>
      </c>
      <c r="BJ980">
        <v>1</v>
      </c>
      <c r="BK980" s="1">
        <v>1</v>
      </c>
      <c r="BQ980">
        <v>1</v>
      </c>
      <c r="CS980" s="7" t="s">
        <v>2103</v>
      </c>
    </row>
    <row r="981" spans="2:97">
      <c r="B981" t="s">
        <v>2104</v>
      </c>
      <c r="C981" s="2" t="s">
        <v>2101</v>
      </c>
      <c r="D981" s="26" t="s">
        <v>192</v>
      </c>
      <c r="E981" s="8" t="s">
        <v>1735</v>
      </c>
      <c r="F981" s="8" t="s">
        <v>115</v>
      </c>
      <c r="G981" s="1">
        <v>1</v>
      </c>
      <c r="H981" s="1"/>
      <c r="I981" s="1">
        <f>1805-18</f>
        <v>1787</v>
      </c>
      <c r="J981" t="s">
        <v>10</v>
      </c>
      <c r="K981" t="s">
        <v>12</v>
      </c>
      <c r="Q981">
        <v>5</v>
      </c>
      <c r="T981" s="5">
        <f t="shared" si="46"/>
        <v>158</v>
      </c>
      <c r="U981" t="s">
        <v>671</v>
      </c>
      <c r="AM981" s="6">
        <v>1</v>
      </c>
      <c r="AN981" s="7">
        <v>1</v>
      </c>
      <c r="BC981" t="s">
        <v>2102</v>
      </c>
      <c r="BD981" s="7" t="s">
        <v>103</v>
      </c>
      <c r="BE981" t="s">
        <v>1564</v>
      </c>
      <c r="BF981" s="1" t="s">
        <v>29</v>
      </c>
      <c r="BG981" s="1">
        <v>2</v>
      </c>
      <c r="BH981">
        <v>1</v>
      </c>
      <c r="BJ981">
        <v>1</v>
      </c>
      <c r="BK981" s="1">
        <v>1</v>
      </c>
      <c r="BQ981">
        <v>1</v>
      </c>
      <c r="CS981" s="7" t="s">
        <v>2103</v>
      </c>
    </row>
    <row r="982" spans="2:97">
      <c r="B982" t="s">
        <v>669</v>
      </c>
      <c r="C982" s="15" t="s">
        <v>670</v>
      </c>
      <c r="D982" s="15" t="s">
        <v>670</v>
      </c>
      <c r="E982" s="8" t="s">
        <v>271</v>
      </c>
      <c r="F982" s="8" t="s">
        <v>115</v>
      </c>
      <c r="G982" s="1">
        <v>1</v>
      </c>
      <c r="H982" s="1"/>
      <c r="I982" s="1">
        <f>1809-24</f>
        <v>1785</v>
      </c>
      <c r="J982" t="s">
        <v>10</v>
      </c>
      <c r="K982" t="s">
        <v>12</v>
      </c>
      <c r="Q982">
        <v>5</v>
      </c>
      <c r="R982">
        <v>1</v>
      </c>
      <c r="T982" s="5">
        <f t="shared" si="46"/>
        <v>160.63</v>
      </c>
      <c r="U982" t="s">
        <v>671</v>
      </c>
      <c r="AM982" s="6">
        <v>1</v>
      </c>
      <c r="AN982" s="6">
        <v>1</v>
      </c>
      <c r="AO982" s="6">
        <v>1</v>
      </c>
      <c r="AP982" s="6">
        <v>1</v>
      </c>
      <c r="AQ982" s="6">
        <v>1</v>
      </c>
      <c r="AR982" s="7">
        <v>1</v>
      </c>
      <c r="BC982" t="s">
        <v>574</v>
      </c>
      <c r="BD982" s="7" t="s">
        <v>103</v>
      </c>
      <c r="BE982" t="s">
        <v>124</v>
      </c>
      <c r="BF982" s="1" t="s">
        <v>29</v>
      </c>
      <c r="BG982" s="1">
        <v>2</v>
      </c>
      <c r="BH982">
        <v>2</v>
      </c>
      <c r="BK982" s="1">
        <v>1</v>
      </c>
      <c r="BQ982">
        <v>1</v>
      </c>
      <c r="BR982">
        <v>1</v>
      </c>
      <c r="CF982">
        <v>1</v>
      </c>
      <c r="CL982">
        <v>1</v>
      </c>
      <c r="CS982" s="7" t="s">
        <v>361</v>
      </c>
    </row>
    <row r="983" spans="2:97">
      <c r="B983" t="s">
        <v>2135</v>
      </c>
      <c r="C983" s="2" t="s">
        <v>1996</v>
      </c>
      <c r="D983" s="2" t="s">
        <v>1996</v>
      </c>
      <c r="E983" s="8" t="s">
        <v>920</v>
      </c>
      <c r="F983" s="8" t="s">
        <v>115</v>
      </c>
      <c r="G983" s="1">
        <v>1</v>
      </c>
      <c r="H983" s="1"/>
      <c r="I983" s="1">
        <f>1805-22</f>
        <v>1783</v>
      </c>
      <c r="J983" t="s">
        <v>69</v>
      </c>
      <c r="K983" t="s">
        <v>12</v>
      </c>
      <c r="Q983">
        <v>5</v>
      </c>
      <c r="R983">
        <v>1</v>
      </c>
      <c r="T983" s="5">
        <f t="shared" si="46"/>
        <v>160.63</v>
      </c>
      <c r="U983" t="s">
        <v>671</v>
      </c>
      <c r="AM983" s="6">
        <v>1</v>
      </c>
      <c r="AN983" s="7">
        <v>1</v>
      </c>
      <c r="BC983" t="s">
        <v>2070</v>
      </c>
      <c r="BD983" s="7" t="s">
        <v>280</v>
      </c>
      <c r="BE983" t="s">
        <v>1502</v>
      </c>
      <c r="BF983" s="1" t="s">
        <v>29</v>
      </c>
      <c r="BG983" s="1">
        <v>2</v>
      </c>
      <c r="BH983">
        <v>1</v>
      </c>
      <c r="BK983" s="1">
        <v>1</v>
      </c>
      <c r="BQ983">
        <v>1</v>
      </c>
      <c r="CN983">
        <v>1</v>
      </c>
      <c r="CS983" s="7" t="s">
        <v>2071</v>
      </c>
    </row>
    <row r="984" spans="2:97">
      <c r="B984" t="s">
        <v>4704</v>
      </c>
      <c r="C984" s="2" t="s">
        <v>2107</v>
      </c>
      <c r="D984" s="36" t="s">
        <v>192</v>
      </c>
      <c r="E984" s="8" t="s">
        <v>1735</v>
      </c>
      <c r="F984" s="8" t="s">
        <v>115</v>
      </c>
      <c r="G984" s="1">
        <v>1</v>
      </c>
      <c r="H984" s="1"/>
      <c r="I984" s="1">
        <f>1806-19</f>
        <v>1787</v>
      </c>
      <c r="J984" t="s">
        <v>10</v>
      </c>
      <c r="K984" t="s">
        <v>12</v>
      </c>
      <c r="Q984">
        <v>5</v>
      </c>
      <c r="T984" s="5">
        <f t="shared" si="46"/>
        <v>158</v>
      </c>
      <c r="U984" t="s">
        <v>2105</v>
      </c>
      <c r="AM984" s="6">
        <v>1</v>
      </c>
      <c r="AN984" s="6">
        <v>1</v>
      </c>
      <c r="BC984">
        <v>1806</v>
      </c>
      <c r="BD984" t="s">
        <v>81</v>
      </c>
      <c r="BE984" t="s">
        <v>1564</v>
      </c>
      <c r="BF984" s="1" t="s">
        <v>73</v>
      </c>
      <c r="BG984" s="1">
        <v>2</v>
      </c>
      <c r="BH984">
        <v>1</v>
      </c>
      <c r="BK984" s="1">
        <v>1</v>
      </c>
      <c r="BQ984">
        <v>1</v>
      </c>
      <c r="CS984" t="s">
        <v>4703</v>
      </c>
    </row>
    <row r="985" spans="2:97">
      <c r="B985" t="s">
        <v>2106</v>
      </c>
      <c r="C985" s="2" t="s">
        <v>2107</v>
      </c>
      <c r="D985" s="36" t="s">
        <v>192</v>
      </c>
      <c r="E985" s="21" t="s">
        <v>1735</v>
      </c>
      <c r="F985" s="8" t="s">
        <v>115</v>
      </c>
      <c r="G985" s="1">
        <v>1</v>
      </c>
      <c r="H985" s="1"/>
      <c r="I985" s="1">
        <f>1805-18</f>
        <v>1787</v>
      </c>
      <c r="J985" t="s">
        <v>10</v>
      </c>
      <c r="K985" t="s">
        <v>12</v>
      </c>
      <c r="Q985">
        <v>5</v>
      </c>
      <c r="R985">
        <v>1</v>
      </c>
      <c r="T985" s="5">
        <f t="shared" si="46"/>
        <v>160.63</v>
      </c>
      <c r="U985" t="s">
        <v>2105</v>
      </c>
      <c r="AM985" s="6">
        <v>1</v>
      </c>
      <c r="AN985" s="7">
        <v>1</v>
      </c>
      <c r="BC985" t="s">
        <v>2102</v>
      </c>
      <c r="BD985" s="7" t="s">
        <v>103</v>
      </c>
      <c r="BE985" t="s">
        <v>1564</v>
      </c>
      <c r="BF985" s="1" t="s">
        <v>29</v>
      </c>
      <c r="BG985" s="1">
        <v>2</v>
      </c>
      <c r="BH985">
        <v>1</v>
      </c>
      <c r="BJ985">
        <v>1</v>
      </c>
      <c r="BK985" s="1">
        <v>1</v>
      </c>
      <c r="BQ985">
        <v>1</v>
      </c>
      <c r="CS985" s="7" t="s">
        <v>2103</v>
      </c>
    </row>
    <row r="986" spans="2:97">
      <c r="B986" t="s">
        <v>1834</v>
      </c>
      <c r="C986" s="2" t="s">
        <v>2124</v>
      </c>
      <c r="D986" s="2" t="s">
        <v>2124</v>
      </c>
      <c r="E986" s="21" t="s">
        <v>1735</v>
      </c>
      <c r="F986" s="8" t="s">
        <v>115</v>
      </c>
      <c r="G986" s="1">
        <v>1</v>
      </c>
      <c r="H986" s="1"/>
      <c r="I986" s="1">
        <f>1806-44</f>
        <v>1762</v>
      </c>
      <c r="J986" t="s">
        <v>10</v>
      </c>
      <c r="K986" t="s">
        <v>12</v>
      </c>
      <c r="Q986">
        <v>5</v>
      </c>
      <c r="R986">
        <v>0</v>
      </c>
      <c r="S986">
        <v>1</v>
      </c>
      <c r="T986" s="5">
        <f t="shared" si="46"/>
        <v>158.22</v>
      </c>
      <c r="U986" t="s">
        <v>2105</v>
      </c>
      <c r="AM986" s="6">
        <v>1</v>
      </c>
      <c r="AN986" s="7">
        <v>1</v>
      </c>
      <c r="BC986" t="s">
        <v>2110</v>
      </c>
      <c r="BD986" s="7" t="s">
        <v>103</v>
      </c>
      <c r="BE986" t="s">
        <v>1564</v>
      </c>
      <c r="BF986" s="1" t="s">
        <v>29</v>
      </c>
      <c r="BG986" s="1">
        <v>2</v>
      </c>
      <c r="BH986">
        <v>1</v>
      </c>
      <c r="BJ986">
        <v>1</v>
      </c>
      <c r="BK986" s="1">
        <v>1</v>
      </c>
      <c r="BQ986">
        <v>1</v>
      </c>
      <c r="CS986" s="7" t="s">
        <v>1565</v>
      </c>
    </row>
    <row r="987" spans="2:97">
      <c r="B987" t="s">
        <v>2090</v>
      </c>
      <c r="C987" s="2" t="s">
        <v>286</v>
      </c>
      <c r="D987" s="2" t="s">
        <v>286</v>
      </c>
      <c r="E987" s="8" t="s">
        <v>920</v>
      </c>
      <c r="F987" s="8" t="s">
        <v>115</v>
      </c>
      <c r="G987" s="1">
        <v>1</v>
      </c>
      <c r="H987" s="1"/>
      <c r="I987" s="1">
        <f>1805-24</f>
        <v>1781</v>
      </c>
      <c r="J987" t="s">
        <v>10</v>
      </c>
      <c r="K987" t="s">
        <v>12</v>
      </c>
      <c r="Q987">
        <v>5</v>
      </c>
      <c r="T987" s="5">
        <f t="shared" si="46"/>
        <v>158</v>
      </c>
      <c r="U987" t="s">
        <v>2091</v>
      </c>
      <c r="AM987" s="6">
        <v>1</v>
      </c>
      <c r="AN987" s="7">
        <v>1</v>
      </c>
      <c r="BC987" t="s">
        <v>2070</v>
      </c>
      <c r="BD987" s="7" t="s">
        <v>280</v>
      </c>
      <c r="BE987" t="s">
        <v>1502</v>
      </c>
      <c r="BF987" s="1" t="s">
        <v>29</v>
      </c>
      <c r="BG987" s="1">
        <v>2</v>
      </c>
      <c r="BH987">
        <v>1</v>
      </c>
      <c r="BK987" s="1">
        <v>1</v>
      </c>
      <c r="BQ987">
        <v>1</v>
      </c>
      <c r="CN987">
        <v>1</v>
      </c>
      <c r="CS987" s="7" t="s">
        <v>2071</v>
      </c>
    </row>
    <row r="988" spans="2:97">
      <c r="B988" t="s">
        <v>4705</v>
      </c>
      <c r="C988" s="2" t="s">
        <v>2109</v>
      </c>
      <c r="D988" s="2" t="s">
        <v>2109</v>
      </c>
      <c r="E988" s="8" t="s">
        <v>1735</v>
      </c>
      <c r="F988" s="8" t="s">
        <v>115</v>
      </c>
      <c r="G988" s="1">
        <v>1</v>
      </c>
      <c r="H988" s="1"/>
      <c r="I988" s="1">
        <f>1806-30</f>
        <v>1776</v>
      </c>
      <c r="J988" t="s">
        <v>10</v>
      </c>
      <c r="K988" t="s">
        <v>12</v>
      </c>
      <c r="Q988">
        <v>5</v>
      </c>
      <c r="R988">
        <v>3</v>
      </c>
      <c r="T988" s="5">
        <f t="shared" si="46"/>
        <v>165.89000000000001</v>
      </c>
      <c r="U988" t="s">
        <v>2091</v>
      </c>
      <c r="AM988" s="6">
        <v>1</v>
      </c>
      <c r="AN988" s="6">
        <v>1</v>
      </c>
      <c r="BC988">
        <v>1806</v>
      </c>
      <c r="BD988" t="s">
        <v>81</v>
      </c>
      <c r="BE988" t="s">
        <v>1564</v>
      </c>
      <c r="BF988" s="1" t="s">
        <v>73</v>
      </c>
      <c r="BG988" s="1">
        <v>1</v>
      </c>
      <c r="BH988">
        <v>1</v>
      </c>
      <c r="BK988" s="1">
        <v>1</v>
      </c>
      <c r="BQ988">
        <v>1</v>
      </c>
      <c r="CS988" t="s">
        <v>4703</v>
      </c>
    </row>
    <row r="989" spans="2:97">
      <c r="B989" t="s">
        <v>2158</v>
      </c>
      <c r="C989" s="2" t="s">
        <v>1336</v>
      </c>
      <c r="D989" s="2" t="s">
        <v>1336</v>
      </c>
      <c r="E989" s="8" t="s">
        <v>837</v>
      </c>
      <c r="F989" s="8" t="s">
        <v>115</v>
      </c>
      <c r="G989" s="1">
        <v>1</v>
      </c>
      <c r="H989" s="1"/>
      <c r="I989" s="1">
        <f>1805-32</f>
        <v>1773</v>
      </c>
      <c r="J989" t="s">
        <v>69</v>
      </c>
      <c r="K989" t="s">
        <v>12</v>
      </c>
      <c r="Q989">
        <v>5</v>
      </c>
      <c r="R989">
        <v>1</v>
      </c>
      <c r="T989" s="5">
        <f t="shared" si="46"/>
        <v>160.63</v>
      </c>
      <c r="U989" t="s">
        <v>2091</v>
      </c>
      <c r="AM989" s="6">
        <v>1</v>
      </c>
      <c r="AN989" s="7">
        <v>1</v>
      </c>
      <c r="BC989" t="s">
        <v>1501</v>
      </c>
      <c r="BD989" s="7" t="s">
        <v>109</v>
      </c>
      <c r="BE989" t="s">
        <v>1502</v>
      </c>
      <c r="BF989" s="1" t="s">
        <v>29</v>
      </c>
      <c r="BG989" s="1">
        <v>2</v>
      </c>
      <c r="BH989">
        <v>1</v>
      </c>
      <c r="BK989" s="1">
        <v>1</v>
      </c>
      <c r="BQ989">
        <v>1</v>
      </c>
      <c r="CR989" t="s">
        <v>72</v>
      </c>
      <c r="CS989" s="7" t="s">
        <v>1086</v>
      </c>
    </row>
    <row r="990" spans="2:97">
      <c r="B990" t="s">
        <v>2146</v>
      </c>
      <c r="C990" s="2" t="s">
        <v>243</v>
      </c>
      <c r="D990" s="2" t="s">
        <v>243</v>
      </c>
      <c r="E990" s="8" t="s">
        <v>1735</v>
      </c>
      <c r="F990" s="8" t="s">
        <v>115</v>
      </c>
      <c r="G990" s="1">
        <v>1</v>
      </c>
      <c r="H990" s="1"/>
      <c r="I990" s="1">
        <f>1805-28</f>
        <v>1777</v>
      </c>
      <c r="J990" t="s">
        <v>10</v>
      </c>
      <c r="K990" t="s">
        <v>12</v>
      </c>
      <c r="Q990">
        <v>5</v>
      </c>
      <c r="R990">
        <v>2</v>
      </c>
      <c r="T990" s="5">
        <f t="shared" si="46"/>
        <v>163.26</v>
      </c>
      <c r="U990" t="s">
        <v>2091</v>
      </c>
      <c r="AM990" s="6">
        <v>1</v>
      </c>
      <c r="AN990" s="7">
        <v>1</v>
      </c>
      <c r="BC990" t="s">
        <v>1501</v>
      </c>
      <c r="BD990" s="7" t="s">
        <v>109</v>
      </c>
      <c r="BE990" t="s">
        <v>1502</v>
      </c>
      <c r="BF990" s="1" t="s">
        <v>29</v>
      </c>
      <c r="BG990" s="1">
        <v>2</v>
      </c>
      <c r="BH990">
        <v>1</v>
      </c>
      <c r="BK990" s="1">
        <v>1</v>
      </c>
      <c r="BQ990">
        <v>1</v>
      </c>
      <c r="CS990" s="7" t="s">
        <v>1086</v>
      </c>
    </row>
    <row r="991" spans="2:97">
      <c r="B991" t="s">
        <v>3067</v>
      </c>
      <c r="C991" s="2" t="s">
        <v>1984</v>
      </c>
      <c r="D991" s="2" t="s">
        <v>1984</v>
      </c>
      <c r="E991" s="8" t="s">
        <v>1912</v>
      </c>
      <c r="F991" s="8" t="s">
        <v>65</v>
      </c>
      <c r="G991" s="1">
        <v>1</v>
      </c>
      <c r="H991" s="1"/>
      <c r="I991" s="1">
        <f>1805-19</f>
        <v>1786</v>
      </c>
      <c r="J991" t="s">
        <v>69</v>
      </c>
      <c r="K991" t="s">
        <v>12</v>
      </c>
      <c r="Q991">
        <v>5</v>
      </c>
      <c r="T991" s="5">
        <f t="shared" si="46"/>
        <v>158</v>
      </c>
      <c r="U991" t="s">
        <v>2091</v>
      </c>
      <c r="AM991" s="6">
        <v>1</v>
      </c>
      <c r="AN991" s="7">
        <v>1</v>
      </c>
      <c r="BC991" t="s">
        <v>3068</v>
      </c>
      <c r="BD991" s="7" t="s">
        <v>109</v>
      </c>
      <c r="BE991" t="s">
        <v>2407</v>
      </c>
      <c r="BF991" s="1" t="s">
        <v>29</v>
      </c>
      <c r="BG991" s="1">
        <v>2</v>
      </c>
      <c r="BH991">
        <v>1</v>
      </c>
      <c r="BJ991">
        <v>1</v>
      </c>
      <c r="BK991" s="1">
        <v>1</v>
      </c>
      <c r="BQ991">
        <v>1</v>
      </c>
      <c r="CS991" s="7" t="s">
        <v>354</v>
      </c>
    </row>
    <row r="992" spans="2:97">
      <c r="B992" t="s">
        <v>2144</v>
      </c>
      <c r="C992" s="2" t="s">
        <v>2145</v>
      </c>
      <c r="D992" s="2" t="s">
        <v>2145</v>
      </c>
      <c r="E992" s="8" t="s">
        <v>1735</v>
      </c>
      <c r="F992" s="8" t="s">
        <v>115</v>
      </c>
      <c r="G992" s="1">
        <v>1</v>
      </c>
      <c r="H992" s="1"/>
      <c r="I992" s="1">
        <f>1805-20</f>
        <v>1785</v>
      </c>
      <c r="J992" t="s">
        <v>10</v>
      </c>
      <c r="K992" t="s">
        <v>12</v>
      </c>
      <c r="Q992">
        <v>5</v>
      </c>
      <c r="R992">
        <v>2</v>
      </c>
      <c r="T992" s="5">
        <f t="shared" si="46"/>
        <v>163.26</v>
      </c>
      <c r="U992" t="s">
        <v>2091</v>
      </c>
      <c r="AM992" s="6">
        <v>1</v>
      </c>
      <c r="AN992" s="7">
        <v>1</v>
      </c>
      <c r="BC992" t="s">
        <v>1501</v>
      </c>
      <c r="BD992" s="7" t="s">
        <v>109</v>
      </c>
      <c r="BE992" t="s">
        <v>1502</v>
      </c>
      <c r="BF992" s="1" t="s">
        <v>29</v>
      </c>
      <c r="BG992" s="1">
        <v>2</v>
      </c>
      <c r="BH992">
        <v>1</v>
      </c>
      <c r="BK992" s="1">
        <v>1</v>
      </c>
      <c r="BQ992">
        <v>1</v>
      </c>
      <c r="CS992" s="7" t="s">
        <v>1086</v>
      </c>
    </row>
    <row r="993" spans="2:97">
      <c r="B993" t="s">
        <v>2462</v>
      </c>
      <c r="C993" s="2" t="s">
        <v>1578</v>
      </c>
      <c r="D993" s="15"/>
      <c r="F993" s="8" t="s">
        <v>115</v>
      </c>
      <c r="G993" s="1">
        <v>1</v>
      </c>
      <c r="H993" s="1"/>
      <c r="I993" s="1">
        <f>1811-38</f>
        <v>1773</v>
      </c>
      <c r="J993" t="s">
        <v>69</v>
      </c>
      <c r="K993" t="s">
        <v>12</v>
      </c>
      <c r="N993">
        <v>1</v>
      </c>
      <c r="O993">
        <v>1</v>
      </c>
      <c r="P993">
        <v>1</v>
      </c>
      <c r="Q993">
        <v>5</v>
      </c>
      <c r="R993">
        <v>2</v>
      </c>
      <c r="S993">
        <v>1</v>
      </c>
      <c r="T993" s="5">
        <f t="shared" si="46"/>
        <v>163.47999999999999</v>
      </c>
      <c r="U993" t="s">
        <v>2091</v>
      </c>
      <c r="AM993" s="6">
        <v>1</v>
      </c>
      <c r="AN993" s="6">
        <v>1</v>
      </c>
      <c r="AO993" s="6">
        <v>1</v>
      </c>
      <c r="AP993" s="6">
        <v>1</v>
      </c>
      <c r="AQ993" s="6">
        <v>1</v>
      </c>
      <c r="AR993" s="6">
        <v>1</v>
      </c>
      <c r="AS993" s="6">
        <v>1</v>
      </c>
      <c r="AT993" s="6">
        <v>1</v>
      </c>
      <c r="AU993" s="6">
        <v>1</v>
      </c>
      <c r="AV993" s="6">
        <v>1</v>
      </c>
      <c r="AW993" s="6">
        <v>1</v>
      </c>
      <c r="AX993" s="7">
        <v>1</v>
      </c>
      <c r="BC993" t="s">
        <v>2463</v>
      </c>
      <c r="BD993" s="7" t="s">
        <v>103</v>
      </c>
      <c r="BE993" t="s">
        <v>2242</v>
      </c>
      <c r="BF993" s="1" t="s">
        <v>29</v>
      </c>
      <c r="BG993" s="1">
        <v>1</v>
      </c>
      <c r="BH993">
        <v>3</v>
      </c>
      <c r="BK993" s="1">
        <v>1</v>
      </c>
      <c r="BQ993">
        <v>1</v>
      </c>
      <c r="BY993">
        <v>1</v>
      </c>
      <c r="CL993">
        <v>1</v>
      </c>
      <c r="CS993" s="7" t="s">
        <v>1226</v>
      </c>
    </row>
    <row r="994" spans="2:97">
      <c r="B994" t="s">
        <v>3242</v>
      </c>
      <c r="C994" s="2" t="s">
        <v>1333</v>
      </c>
      <c r="D994" s="2" t="s">
        <v>1333</v>
      </c>
      <c r="E994" s="8" t="s">
        <v>1912</v>
      </c>
      <c r="F994" s="8" t="s">
        <v>65</v>
      </c>
      <c r="G994" s="1">
        <v>1</v>
      </c>
      <c r="H994" s="1"/>
      <c r="I994" s="1">
        <f>1805-21</f>
        <v>1784</v>
      </c>
      <c r="J994" t="s">
        <v>10</v>
      </c>
      <c r="K994" t="s">
        <v>12</v>
      </c>
      <c r="Q994">
        <v>5</v>
      </c>
      <c r="R994">
        <v>0</v>
      </c>
      <c r="S994">
        <v>2</v>
      </c>
      <c r="T994" s="5">
        <f t="shared" si="46"/>
        <v>158.44</v>
      </c>
      <c r="U994" t="s">
        <v>1567</v>
      </c>
      <c r="AM994" s="6">
        <v>1</v>
      </c>
      <c r="AN994" s="6">
        <v>1</v>
      </c>
      <c r="AO994" s="6">
        <v>1</v>
      </c>
      <c r="AP994" s="6">
        <v>1</v>
      </c>
      <c r="AQ994" s="6">
        <v>1</v>
      </c>
      <c r="AR994" s="6">
        <v>1</v>
      </c>
      <c r="AS994" s="7">
        <v>1</v>
      </c>
      <c r="BC994" t="s">
        <v>1769</v>
      </c>
      <c r="BD994" s="7" t="s">
        <v>103</v>
      </c>
      <c r="BE994" t="s">
        <v>2407</v>
      </c>
      <c r="BF994" s="1" t="s">
        <v>29</v>
      </c>
      <c r="BG994" s="1">
        <v>7</v>
      </c>
      <c r="BH994">
        <v>1</v>
      </c>
      <c r="BK994" s="1">
        <v>1</v>
      </c>
      <c r="BQ994">
        <v>1</v>
      </c>
      <c r="CM994">
        <v>1</v>
      </c>
      <c r="CS994" s="7" t="s">
        <v>3243</v>
      </c>
    </row>
    <row r="995" spans="2:97">
      <c r="B995" t="s">
        <v>3103</v>
      </c>
      <c r="C995" s="2" t="s">
        <v>1911</v>
      </c>
      <c r="D995" s="2" t="s">
        <v>1911</v>
      </c>
      <c r="E995" s="8" t="s">
        <v>1912</v>
      </c>
      <c r="F995" s="8" t="s">
        <v>65</v>
      </c>
      <c r="G995" s="1">
        <v>1</v>
      </c>
      <c r="H995" s="1"/>
      <c r="I995" s="1">
        <f>1805-16</f>
        <v>1789</v>
      </c>
      <c r="J995" t="s">
        <v>10</v>
      </c>
      <c r="K995" t="s">
        <v>12</v>
      </c>
      <c r="Q995">
        <v>5</v>
      </c>
      <c r="R995">
        <v>1</v>
      </c>
      <c r="T995" s="5">
        <f t="shared" si="46"/>
        <v>160.63</v>
      </c>
      <c r="U995" t="s">
        <v>1567</v>
      </c>
      <c r="AM995" s="6">
        <v>1</v>
      </c>
      <c r="AN995" s="7">
        <v>1</v>
      </c>
      <c r="BC995" t="s">
        <v>3102</v>
      </c>
      <c r="BD995" s="7" t="s">
        <v>103</v>
      </c>
      <c r="BE995" t="s">
        <v>2407</v>
      </c>
      <c r="BF995" s="1" t="s">
        <v>29</v>
      </c>
      <c r="BG995" s="1">
        <v>2</v>
      </c>
      <c r="BH995">
        <v>1</v>
      </c>
      <c r="BI995">
        <v>1</v>
      </c>
      <c r="BJ995">
        <v>1</v>
      </c>
      <c r="BK995" s="1">
        <v>1</v>
      </c>
      <c r="BQ995">
        <v>1</v>
      </c>
      <c r="CS995" s="7" t="s">
        <v>2752</v>
      </c>
    </row>
    <row r="996" spans="2:97">
      <c r="B996" t="s">
        <v>2108</v>
      </c>
      <c r="C996" s="2" t="s">
        <v>2109</v>
      </c>
      <c r="D996" s="2" t="s">
        <v>2109</v>
      </c>
      <c r="E996" s="21" t="s">
        <v>1735</v>
      </c>
      <c r="F996" s="8" t="s">
        <v>115</v>
      </c>
      <c r="G996" s="1">
        <v>1</v>
      </c>
      <c r="H996" s="1"/>
      <c r="I996" s="1">
        <f>1805-34</f>
        <v>1771</v>
      </c>
      <c r="J996" t="s">
        <v>69</v>
      </c>
      <c r="K996" t="s">
        <v>12</v>
      </c>
      <c r="Q996">
        <v>5</v>
      </c>
      <c r="R996">
        <v>1</v>
      </c>
      <c r="T996" s="5">
        <f>((Q996*316)+(R996*26.3)+(S996*2.2))/10</f>
        <v>160.63</v>
      </c>
      <c r="U996" t="s">
        <v>1567</v>
      </c>
      <c r="AM996" s="6">
        <v>1</v>
      </c>
      <c r="AN996" s="7">
        <v>1</v>
      </c>
      <c r="BC996" t="s">
        <v>2110</v>
      </c>
      <c r="BD996" s="7" t="s">
        <v>103</v>
      </c>
      <c r="BE996" t="s">
        <v>1564</v>
      </c>
      <c r="BF996" s="1" t="s">
        <v>29</v>
      </c>
      <c r="BG996" s="1">
        <v>2</v>
      </c>
      <c r="BH996">
        <v>1</v>
      </c>
      <c r="BK996" s="1">
        <v>1</v>
      </c>
      <c r="BQ996">
        <v>1</v>
      </c>
      <c r="CS996" s="7" t="s">
        <v>2103</v>
      </c>
    </row>
    <row r="997" spans="2:97">
      <c r="B997" t="s">
        <v>1566</v>
      </c>
      <c r="C997" s="2" t="s">
        <v>191</v>
      </c>
      <c r="D997" s="2" t="s">
        <v>191</v>
      </c>
      <c r="E997" s="8" t="s">
        <v>193</v>
      </c>
      <c r="F997" s="8" t="s">
        <v>65</v>
      </c>
      <c r="G997" s="1">
        <v>1</v>
      </c>
      <c r="H997" s="1"/>
      <c r="I997" s="1">
        <f>1806-22</f>
        <v>1784</v>
      </c>
      <c r="J997" t="s">
        <v>10</v>
      </c>
      <c r="K997" t="s">
        <v>12</v>
      </c>
      <c r="T997" s="5"/>
      <c r="U997" t="s">
        <v>1567</v>
      </c>
      <c r="AM997" s="6">
        <v>1</v>
      </c>
      <c r="AN997" s="6">
        <v>1</v>
      </c>
      <c r="AO997" s="6">
        <v>1</v>
      </c>
      <c r="AP997" s="7">
        <v>1</v>
      </c>
      <c r="BC997" t="s">
        <v>1568</v>
      </c>
      <c r="BD997" s="7" t="s">
        <v>280</v>
      </c>
      <c r="BE997" t="s">
        <v>118</v>
      </c>
      <c r="BF997" s="1" t="s">
        <v>29</v>
      </c>
      <c r="BG997" s="1">
        <v>1</v>
      </c>
      <c r="BH997">
        <v>1</v>
      </c>
      <c r="BJ997">
        <v>1</v>
      </c>
      <c r="BK997" s="1">
        <v>1</v>
      </c>
      <c r="BQ997">
        <v>1</v>
      </c>
      <c r="CN997">
        <v>1</v>
      </c>
      <c r="CS997" s="7" t="s">
        <v>947</v>
      </c>
    </row>
    <row r="998" spans="2:97">
      <c r="B998" t="s">
        <v>3217</v>
      </c>
      <c r="C998" s="2" t="s">
        <v>3218</v>
      </c>
      <c r="D998" s="2" t="s">
        <v>1911</v>
      </c>
      <c r="E998" s="8" t="s">
        <v>1912</v>
      </c>
      <c r="F998" s="8" t="s">
        <v>65</v>
      </c>
      <c r="G998" s="1">
        <v>1</v>
      </c>
      <c r="H998" s="1"/>
      <c r="I998" s="1">
        <f>1807-31</f>
        <v>1776</v>
      </c>
      <c r="J998" t="s">
        <v>10</v>
      </c>
      <c r="K998" t="s">
        <v>12</v>
      </c>
      <c r="Q998">
        <v>5</v>
      </c>
      <c r="R998">
        <v>1</v>
      </c>
      <c r="T998" s="5">
        <f t="shared" ref="T998:T1028" si="47">((Q998*316)+(R998*26.3)+(S998*2.2))/10</f>
        <v>160.63</v>
      </c>
      <c r="U998" t="s">
        <v>1567</v>
      </c>
      <c r="AM998" s="6">
        <v>1</v>
      </c>
      <c r="AN998" s="6">
        <v>1</v>
      </c>
      <c r="AO998" s="7">
        <v>1</v>
      </c>
      <c r="BC998" t="s">
        <v>3216</v>
      </c>
      <c r="BD998" s="7" t="s">
        <v>103</v>
      </c>
      <c r="BE998" t="s">
        <v>2407</v>
      </c>
      <c r="BF998" s="1" t="s">
        <v>29</v>
      </c>
      <c r="BG998" s="1">
        <v>4</v>
      </c>
      <c r="BH998">
        <v>1</v>
      </c>
      <c r="BJ998">
        <v>1</v>
      </c>
      <c r="BK998" s="1">
        <v>1</v>
      </c>
      <c r="BQ998">
        <v>1</v>
      </c>
      <c r="CS998" s="7" t="s">
        <v>1754</v>
      </c>
    </row>
    <row r="999" spans="2:97">
      <c r="B999" t="s">
        <v>2111</v>
      </c>
      <c r="C999" s="2" t="s">
        <v>2109</v>
      </c>
      <c r="D999" s="2" t="s">
        <v>2109</v>
      </c>
      <c r="E999" s="21" t="s">
        <v>1735</v>
      </c>
      <c r="F999" s="8" t="s">
        <v>115</v>
      </c>
      <c r="G999" s="1">
        <v>1</v>
      </c>
      <c r="H999" s="1"/>
      <c r="I999" s="1">
        <f>1805-20</f>
        <v>1785</v>
      </c>
      <c r="J999" t="s">
        <v>10</v>
      </c>
      <c r="K999" t="s">
        <v>12</v>
      </c>
      <c r="Q999">
        <v>5</v>
      </c>
      <c r="R999">
        <v>0</v>
      </c>
      <c r="S999">
        <v>2</v>
      </c>
      <c r="T999" s="5">
        <f t="shared" si="47"/>
        <v>158.44</v>
      </c>
      <c r="U999" t="s">
        <v>1567</v>
      </c>
      <c r="AM999" s="6">
        <v>1</v>
      </c>
      <c r="AN999" s="7">
        <v>1</v>
      </c>
      <c r="BC999" t="s">
        <v>1472</v>
      </c>
      <c r="BD999" s="7" t="s">
        <v>103</v>
      </c>
      <c r="BE999" t="s">
        <v>1564</v>
      </c>
      <c r="BF999" s="1" t="s">
        <v>29</v>
      </c>
      <c r="BG999" s="1">
        <v>2</v>
      </c>
      <c r="BH999">
        <v>1</v>
      </c>
      <c r="BK999" s="1">
        <v>1</v>
      </c>
      <c r="BQ999">
        <v>1</v>
      </c>
      <c r="CS999" s="7" t="s">
        <v>2103</v>
      </c>
    </row>
    <row r="1000" spans="2:97">
      <c r="B1000" t="s">
        <v>2321</v>
      </c>
      <c r="C1000" s="2" t="s">
        <v>1624</v>
      </c>
      <c r="D1000" s="2" t="s">
        <v>1624</v>
      </c>
      <c r="E1000" s="21" t="s">
        <v>869</v>
      </c>
      <c r="F1000" s="8" t="s">
        <v>65</v>
      </c>
      <c r="G1000" s="1">
        <v>1</v>
      </c>
      <c r="H1000" s="1"/>
      <c r="I1000" s="1">
        <f>1806-27</f>
        <v>1779</v>
      </c>
      <c r="J1000" t="s">
        <v>10</v>
      </c>
      <c r="K1000" t="s">
        <v>12</v>
      </c>
      <c r="Q1000">
        <v>5</v>
      </c>
      <c r="R1000">
        <v>2</v>
      </c>
      <c r="S1000">
        <v>1</v>
      </c>
      <c r="T1000" s="5">
        <f>((Q1000*316)+(R1000*26.3)+(S1000*2.2))/10</f>
        <v>163.47999999999999</v>
      </c>
      <c r="U1000" t="s">
        <v>1567</v>
      </c>
      <c r="AM1000" s="6">
        <v>1</v>
      </c>
      <c r="AN1000" s="6">
        <v>1</v>
      </c>
      <c r="AO1000" s="7">
        <v>1</v>
      </c>
      <c r="BC1000" t="s">
        <v>1160</v>
      </c>
      <c r="BD1000" s="7" t="s">
        <v>103</v>
      </c>
      <c r="BE1000" t="s">
        <v>2315</v>
      </c>
      <c r="BF1000" s="1" t="s">
        <v>29</v>
      </c>
      <c r="BG1000" s="1">
        <v>3</v>
      </c>
      <c r="BH1000">
        <v>1</v>
      </c>
      <c r="BI1000">
        <v>1</v>
      </c>
      <c r="BJ1000">
        <v>1</v>
      </c>
      <c r="BK1000" s="1">
        <v>1</v>
      </c>
      <c r="BQ1000">
        <v>1</v>
      </c>
      <c r="CS1000" s="7" t="s">
        <v>2322</v>
      </c>
    </row>
    <row r="1001" spans="2:97">
      <c r="B1001" t="s">
        <v>3107</v>
      </c>
      <c r="C1001" s="2" t="s">
        <v>1333</v>
      </c>
      <c r="D1001" s="2" t="s">
        <v>1333</v>
      </c>
      <c r="E1001" s="21" t="s">
        <v>1912</v>
      </c>
      <c r="F1001" s="8" t="s">
        <v>65</v>
      </c>
      <c r="G1001" s="1">
        <v>1</v>
      </c>
      <c r="H1001" s="1"/>
      <c r="I1001" s="1">
        <f>1805-18</f>
        <v>1787</v>
      </c>
      <c r="J1001" t="s">
        <v>10</v>
      </c>
      <c r="K1001" t="s">
        <v>12</v>
      </c>
      <c r="Q1001">
        <v>5</v>
      </c>
      <c r="R1001">
        <v>1</v>
      </c>
      <c r="T1001" s="5">
        <f t="shared" si="47"/>
        <v>160.63</v>
      </c>
      <c r="U1001" t="s">
        <v>1567</v>
      </c>
      <c r="AM1001" s="6">
        <v>1</v>
      </c>
      <c r="AN1001" s="7">
        <v>1</v>
      </c>
      <c r="BC1001" t="s">
        <v>3068</v>
      </c>
      <c r="BD1001" s="7" t="s">
        <v>109</v>
      </c>
      <c r="BE1001" t="s">
        <v>2407</v>
      </c>
      <c r="BF1001" s="1" t="s">
        <v>29</v>
      </c>
      <c r="BG1001" s="1">
        <v>3</v>
      </c>
      <c r="BH1001">
        <v>1</v>
      </c>
      <c r="BK1001" s="1">
        <v>1</v>
      </c>
      <c r="BQ1001">
        <v>1</v>
      </c>
      <c r="CS1001" s="7" t="s">
        <v>1602</v>
      </c>
    </row>
    <row r="1002" spans="2:97">
      <c r="B1002" t="s">
        <v>3104</v>
      </c>
      <c r="C1002" s="2" t="s">
        <v>1333</v>
      </c>
      <c r="D1002" s="2" t="s">
        <v>1333</v>
      </c>
      <c r="E1002" s="21" t="s">
        <v>1912</v>
      </c>
      <c r="F1002" s="8" t="s">
        <v>65</v>
      </c>
      <c r="G1002" s="1">
        <v>1</v>
      </c>
      <c r="H1002" s="1"/>
      <c r="I1002" s="1">
        <f>1805-28</f>
        <v>1777</v>
      </c>
      <c r="J1002" t="s">
        <v>69</v>
      </c>
      <c r="K1002" t="s">
        <v>12</v>
      </c>
      <c r="Q1002">
        <v>5</v>
      </c>
      <c r="R1002">
        <v>1</v>
      </c>
      <c r="S1002">
        <v>2</v>
      </c>
      <c r="T1002" s="5">
        <f t="shared" si="47"/>
        <v>161.07</v>
      </c>
      <c r="U1002" t="s">
        <v>1567</v>
      </c>
      <c r="AM1002" s="6">
        <v>1</v>
      </c>
      <c r="AN1002" s="7">
        <v>1</v>
      </c>
      <c r="BC1002" t="s">
        <v>3105</v>
      </c>
      <c r="BD1002" s="7" t="s">
        <v>26</v>
      </c>
      <c r="BE1002" t="s">
        <v>2407</v>
      </c>
      <c r="BF1002" s="1" t="s">
        <v>29</v>
      </c>
      <c r="BG1002" s="1">
        <v>2</v>
      </c>
      <c r="BH1002">
        <v>1</v>
      </c>
      <c r="BK1002" s="1">
        <v>1</v>
      </c>
      <c r="BQ1002">
        <v>1</v>
      </c>
      <c r="CS1002" s="7" t="s">
        <v>3106</v>
      </c>
    </row>
    <row r="1003" spans="2:97">
      <c r="B1003" t="s">
        <v>3237</v>
      </c>
      <c r="C1003" s="2" t="s">
        <v>3218</v>
      </c>
      <c r="D1003" s="2" t="s">
        <v>1911</v>
      </c>
      <c r="E1003" s="21" t="s">
        <v>1912</v>
      </c>
      <c r="F1003" s="8" t="s">
        <v>65</v>
      </c>
      <c r="G1003" s="1">
        <v>1</v>
      </c>
      <c r="H1003" s="1"/>
      <c r="I1003" s="1">
        <f>1808-32</f>
        <v>1776</v>
      </c>
      <c r="J1003" t="s">
        <v>69</v>
      </c>
      <c r="K1003" t="s">
        <v>12</v>
      </c>
      <c r="N1003">
        <v>1</v>
      </c>
      <c r="Q1003">
        <v>5</v>
      </c>
      <c r="R1003">
        <v>1</v>
      </c>
      <c r="T1003" s="5">
        <f t="shared" si="47"/>
        <v>160.63</v>
      </c>
      <c r="U1003" t="s">
        <v>1567</v>
      </c>
      <c r="AM1003" s="6">
        <v>1</v>
      </c>
      <c r="AN1003" s="6">
        <v>1</v>
      </c>
      <c r="AO1003" s="6">
        <v>1</v>
      </c>
      <c r="AP1003" s="6">
        <v>1</v>
      </c>
      <c r="BC1003">
        <v>1808</v>
      </c>
      <c r="BD1003" t="s">
        <v>81</v>
      </c>
      <c r="BE1003" s="10" t="s">
        <v>2407</v>
      </c>
      <c r="BF1003" s="1" t="s">
        <v>29</v>
      </c>
      <c r="BG1003" s="1">
        <v>5</v>
      </c>
      <c r="BH1003">
        <v>2</v>
      </c>
      <c r="BI1003">
        <v>1</v>
      </c>
      <c r="BK1003" s="1">
        <v>1</v>
      </c>
      <c r="BQ1003">
        <v>1</v>
      </c>
      <c r="BY1003">
        <v>1</v>
      </c>
      <c r="CL1003" s="10">
        <v>1</v>
      </c>
      <c r="CS1003" s="10" t="s">
        <v>3238</v>
      </c>
    </row>
    <row r="1004" spans="2:97">
      <c r="B1004" t="s">
        <v>3339</v>
      </c>
      <c r="C1004" s="2" t="s">
        <v>3218</v>
      </c>
      <c r="D1004" s="2" t="s">
        <v>1911</v>
      </c>
      <c r="E1004" s="21" t="s">
        <v>1912</v>
      </c>
      <c r="F1004" s="8" t="s">
        <v>65</v>
      </c>
      <c r="G1004" s="1">
        <v>1</v>
      </c>
      <c r="H1004" s="1"/>
      <c r="I1004" s="1">
        <f>1805-18</f>
        <v>1787</v>
      </c>
      <c r="J1004" t="s">
        <v>69</v>
      </c>
      <c r="K1004" t="s">
        <v>12</v>
      </c>
      <c r="N1004">
        <v>1</v>
      </c>
      <c r="Q1004">
        <v>5</v>
      </c>
      <c r="R1004">
        <v>1</v>
      </c>
      <c r="T1004" s="5">
        <f t="shared" si="47"/>
        <v>160.63</v>
      </c>
      <c r="U1004" t="s">
        <v>1567</v>
      </c>
      <c r="AM1004" s="6">
        <v>1</v>
      </c>
      <c r="AN1004" s="6">
        <v>1</v>
      </c>
      <c r="AO1004" s="6">
        <v>1</v>
      </c>
      <c r="AP1004" s="6">
        <v>1</v>
      </c>
      <c r="AQ1004" s="6">
        <v>1</v>
      </c>
      <c r="AR1004" s="6">
        <v>1</v>
      </c>
      <c r="AS1004" s="6">
        <v>1</v>
      </c>
      <c r="AT1004" s="9">
        <v>1</v>
      </c>
      <c r="AU1004" s="9"/>
      <c r="AV1004" s="9"/>
      <c r="AW1004" s="9"/>
      <c r="AX1004" s="9"/>
      <c r="AY1004" s="9"/>
      <c r="AZ1004" s="6">
        <v>1</v>
      </c>
      <c r="BA1004" s="7">
        <v>1</v>
      </c>
      <c r="BC1004" t="s">
        <v>3692</v>
      </c>
      <c r="BD1004" s="7" t="s">
        <v>103</v>
      </c>
      <c r="BE1004" t="s">
        <v>2407</v>
      </c>
      <c r="BF1004" s="1" t="s">
        <v>29</v>
      </c>
      <c r="BG1004" s="1">
        <v>7</v>
      </c>
      <c r="BH1004">
        <v>1</v>
      </c>
      <c r="BK1004" s="1">
        <v>1</v>
      </c>
      <c r="BQ1004">
        <v>1</v>
      </c>
      <c r="CN1004">
        <v>1</v>
      </c>
      <c r="CO1004">
        <v>1</v>
      </c>
      <c r="CS1004" s="7" t="s">
        <v>1378</v>
      </c>
    </row>
    <row r="1005" spans="2:97">
      <c r="B1005" t="s">
        <v>3520</v>
      </c>
      <c r="C1005" s="2" t="s">
        <v>139</v>
      </c>
      <c r="D1005" s="2" t="s">
        <v>139</v>
      </c>
      <c r="E1005" s="21" t="s">
        <v>837</v>
      </c>
      <c r="F1005" s="8" t="s">
        <v>115</v>
      </c>
      <c r="G1005" s="1">
        <v>1</v>
      </c>
      <c r="H1005" s="1"/>
      <c r="I1005" s="1">
        <f>1811-24</f>
        <v>1787</v>
      </c>
      <c r="J1005" t="s">
        <v>10</v>
      </c>
      <c r="K1005" t="s">
        <v>12</v>
      </c>
      <c r="Q1005">
        <v>5</v>
      </c>
      <c r="R1005">
        <v>3</v>
      </c>
      <c r="T1005" s="5">
        <f t="shared" si="47"/>
        <v>165.89000000000001</v>
      </c>
      <c r="U1005" t="s">
        <v>1567</v>
      </c>
      <c r="AM1005" s="6">
        <v>1</v>
      </c>
      <c r="AN1005" s="6">
        <v>1</v>
      </c>
      <c r="AO1005" s="6">
        <v>1</v>
      </c>
      <c r="AP1005" s="6">
        <v>1</v>
      </c>
      <c r="AQ1005" s="6">
        <v>1</v>
      </c>
      <c r="AR1005" s="6">
        <v>1</v>
      </c>
      <c r="AS1005" s="6">
        <v>1</v>
      </c>
      <c r="AT1005" s="6">
        <v>1</v>
      </c>
      <c r="AU1005" s="6">
        <v>1</v>
      </c>
      <c r="AV1005" s="6">
        <v>1</v>
      </c>
      <c r="AW1005" s="6">
        <v>1</v>
      </c>
      <c r="AX1005" s="6">
        <v>1</v>
      </c>
      <c r="AY1005" s="6">
        <v>1</v>
      </c>
      <c r="AZ1005" s="6">
        <v>1</v>
      </c>
      <c r="BA1005" s="6">
        <v>1</v>
      </c>
      <c r="BB1005" s="6">
        <v>1</v>
      </c>
      <c r="BC1005">
        <v>1820</v>
      </c>
      <c r="BD1005" t="s">
        <v>81</v>
      </c>
      <c r="BE1005" t="s">
        <v>2000</v>
      </c>
      <c r="BF1005" s="1" t="s">
        <v>73</v>
      </c>
      <c r="BG1005" s="1">
        <v>7</v>
      </c>
      <c r="BH1005">
        <v>4</v>
      </c>
      <c r="BK1005" s="1">
        <v>1</v>
      </c>
      <c r="BQ1005">
        <v>1</v>
      </c>
      <c r="BY1005">
        <v>1</v>
      </c>
      <c r="CC1005">
        <v>1</v>
      </c>
      <c r="CL1005">
        <v>1</v>
      </c>
      <c r="CR1005" t="s">
        <v>72</v>
      </c>
      <c r="CS1005" t="s">
        <v>3519</v>
      </c>
    </row>
    <row r="1006" spans="2:97">
      <c r="B1006" t="s">
        <v>3279</v>
      </c>
      <c r="C1006" s="2" t="s">
        <v>1911</v>
      </c>
      <c r="D1006" s="2" t="s">
        <v>1911</v>
      </c>
      <c r="E1006" s="8" t="s">
        <v>1912</v>
      </c>
      <c r="F1006" s="8" t="s">
        <v>65</v>
      </c>
      <c r="G1006" s="1">
        <v>1</v>
      </c>
      <c r="H1006" s="1"/>
      <c r="I1006" s="1">
        <f>1805-20</f>
        <v>1785</v>
      </c>
      <c r="J1006" t="s">
        <v>10</v>
      </c>
      <c r="K1006" t="s">
        <v>12</v>
      </c>
      <c r="Q1006">
        <v>5</v>
      </c>
      <c r="T1006" s="5">
        <f t="shared" si="47"/>
        <v>158</v>
      </c>
      <c r="U1006" t="s">
        <v>2092</v>
      </c>
      <c r="AM1006" s="6">
        <v>1</v>
      </c>
      <c r="AN1006" s="6">
        <v>1</v>
      </c>
      <c r="AO1006" s="6">
        <v>1</v>
      </c>
      <c r="AP1006" s="6">
        <v>1</v>
      </c>
      <c r="AQ1006" s="7">
        <v>1</v>
      </c>
      <c r="BC1006" t="s">
        <v>3277</v>
      </c>
      <c r="BD1006" s="7" t="s">
        <v>305</v>
      </c>
      <c r="BE1006" t="s">
        <v>2407</v>
      </c>
      <c r="BF1006" s="1" t="s">
        <v>29</v>
      </c>
      <c r="BG1006" s="1">
        <v>3</v>
      </c>
      <c r="BH1006">
        <v>1</v>
      </c>
      <c r="BK1006" s="1">
        <v>1</v>
      </c>
      <c r="BQ1006">
        <v>1</v>
      </c>
      <c r="CM1006">
        <v>1</v>
      </c>
      <c r="CS1006" s="7" t="s">
        <v>3278</v>
      </c>
    </row>
    <row r="1007" spans="2:97">
      <c r="B1007" t="s">
        <v>2093</v>
      </c>
      <c r="C1007" s="2" t="s">
        <v>2094</v>
      </c>
      <c r="D1007" s="2" t="s">
        <v>2094</v>
      </c>
      <c r="E1007" s="8" t="s">
        <v>920</v>
      </c>
      <c r="F1007" s="8" t="s">
        <v>115</v>
      </c>
      <c r="G1007" s="1">
        <v>1</v>
      </c>
      <c r="H1007" s="1"/>
      <c r="I1007" s="1">
        <f>1805-23</f>
        <v>1782</v>
      </c>
      <c r="J1007" t="s">
        <v>10</v>
      </c>
      <c r="K1007" t="s">
        <v>12</v>
      </c>
      <c r="Q1007">
        <v>5</v>
      </c>
      <c r="R1007">
        <v>2</v>
      </c>
      <c r="S1007">
        <v>1</v>
      </c>
      <c r="T1007" s="5">
        <f t="shared" si="47"/>
        <v>163.47999999999999</v>
      </c>
      <c r="U1007" t="s">
        <v>2092</v>
      </c>
      <c r="AM1007" s="6">
        <v>1</v>
      </c>
      <c r="AN1007" s="7">
        <v>1</v>
      </c>
      <c r="BC1007" t="s">
        <v>2070</v>
      </c>
      <c r="BD1007" s="7" t="s">
        <v>26</v>
      </c>
      <c r="BE1007" t="s">
        <v>1502</v>
      </c>
      <c r="BF1007" s="1" t="s">
        <v>29</v>
      </c>
      <c r="BG1007" s="1">
        <v>2</v>
      </c>
      <c r="BH1007">
        <v>1</v>
      </c>
      <c r="BK1007" s="1">
        <v>1</v>
      </c>
      <c r="BQ1007">
        <v>1</v>
      </c>
      <c r="CS1007" s="7" t="s">
        <v>2095</v>
      </c>
    </row>
    <row r="1008" spans="2:97">
      <c r="B1008" t="s">
        <v>3482</v>
      </c>
      <c r="C1008" s="2" t="s">
        <v>2094</v>
      </c>
      <c r="D1008" s="2" t="s">
        <v>2094</v>
      </c>
      <c r="E1008" s="8" t="s">
        <v>920</v>
      </c>
      <c r="F1008" s="8" t="s">
        <v>115</v>
      </c>
      <c r="G1008" s="1">
        <v>1</v>
      </c>
      <c r="H1008" s="1"/>
      <c r="I1008" s="1">
        <f>1806-19</f>
        <v>1787</v>
      </c>
      <c r="J1008" t="s">
        <v>10</v>
      </c>
      <c r="K1008" t="s">
        <v>12</v>
      </c>
      <c r="Q1008">
        <v>5</v>
      </c>
      <c r="T1008" s="5">
        <f t="shared" si="47"/>
        <v>158</v>
      </c>
      <c r="U1008" t="s">
        <v>2092</v>
      </c>
      <c r="AM1008" s="6">
        <v>1</v>
      </c>
      <c r="AN1008" s="6">
        <v>1</v>
      </c>
      <c r="AO1008" s="6">
        <v>1</v>
      </c>
      <c r="AP1008" s="7">
        <v>1</v>
      </c>
      <c r="BC1008" s="9" t="s">
        <v>3473</v>
      </c>
      <c r="BD1008" s="7" t="s">
        <v>280</v>
      </c>
      <c r="BE1008" t="s">
        <v>1502</v>
      </c>
      <c r="BF1008" s="1" t="s">
        <v>29</v>
      </c>
      <c r="BG1008" s="1">
        <v>3</v>
      </c>
      <c r="BH1008">
        <v>1</v>
      </c>
      <c r="BK1008" s="1">
        <v>1</v>
      </c>
      <c r="BQ1008">
        <v>1</v>
      </c>
      <c r="CN1008">
        <v>1</v>
      </c>
      <c r="CS1008" s="7" t="s">
        <v>947</v>
      </c>
    </row>
    <row r="1009" spans="2:98">
      <c r="B1009" t="s">
        <v>4302</v>
      </c>
      <c r="C1009" s="2" t="s">
        <v>2178</v>
      </c>
      <c r="D1009" s="15"/>
      <c r="E1009" s="8" t="s">
        <v>696</v>
      </c>
      <c r="F1009" s="8" t="s">
        <v>115</v>
      </c>
      <c r="G1009" s="1">
        <v>1</v>
      </c>
      <c r="H1009" s="1"/>
      <c r="I1009" s="1">
        <f>1811-26</f>
        <v>1785</v>
      </c>
      <c r="J1009" t="s">
        <v>10</v>
      </c>
      <c r="K1009" t="s">
        <v>12</v>
      </c>
      <c r="Q1009">
        <v>5</v>
      </c>
      <c r="R1009">
        <v>0</v>
      </c>
      <c r="S1009">
        <v>2</v>
      </c>
      <c r="T1009" s="5">
        <f t="shared" si="47"/>
        <v>158.44</v>
      </c>
      <c r="U1009" t="s">
        <v>2092</v>
      </c>
      <c r="AM1009" s="6">
        <v>1</v>
      </c>
      <c r="AN1009" s="6">
        <v>1</v>
      </c>
      <c r="AO1009" s="6">
        <v>1</v>
      </c>
      <c r="AP1009" s="6">
        <v>1</v>
      </c>
      <c r="AQ1009" s="6">
        <v>1</v>
      </c>
      <c r="AR1009" s="6">
        <v>1</v>
      </c>
      <c r="AS1009" s="6">
        <v>1</v>
      </c>
      <c r="BC1009">
        <v>1811</v>
      </c>
      <c r="BD1009" t="s">
        <v>81</v>
      </c>
      <c r="BE1009" t="s">
        <v>2635</v>
      </c>
      <c r="BF1009" s="1" t="s">
        <v>73</v>
      </c>
      <c r="BG1009" s="1">
        <v>4</v>
      </c>
      <c r="BH1009">
        <v>3</v>
      </c>
      <c r="BK1009" s="1">
        <v>1</v>
      </c>
      <c r="BN1009">
        <v>1</v>
      </c>
      <c r="BP1009">
        <v>1</v>
      </c>
      <c r="BQ1009">
        <v>1</v>
      </c>
      <c r="CL1009">
        <v>1</v>
      </c>
      <c r="CS1009" t="s">
        <v>2636</v>
      </c>
    </row>
    <row r="1010" spans="2:98">
      <c r="B1010" t="s">
        <v>3462</v>
      </c>
      <c r="C1010" s="2" t="s">
        <v>2068</v>
      </c>
      <c r="D1010" s="2" t="s">
        <v>2068</v>
      </c>
      <c r="E1010" s="8" t="s">
        <v>920</v>
      </c>
      <c r="F1010" s="8" t="s">
        <v>115</v>
      </c>
      <c r="G1010" s="1">
        <v>1</v>
      </c>
      <c r="H1010" s="1"/>
      <c r="I1010" s="1">
        <f>1805-19</f>
        <v>1786</v>
      </c>
      <c r="J1010" t="s">
        <v>10</v>
      </c>
      <c r="K1010" t="s">
        <v>12</v>
      </c>
      <c r="Q1010">
        <v>5</v>
      </c>
      <c r="R1010">
        <v>1</v>
      </c>
      <c r="T1010" s="5">
        <f>((Q1010*316)+(R1010*26.3)+(S1010*2.2))/10</f>
        <v>160.63</v>
      </c>
      <c r="U1010" t="s">
        <v>2092</v>
      </c>
      <c r="AM1010" s="6">
        <v>1</v>
      </c>
      <c r="AN1010" s="6">
        <v>1</v>
      </c>
      <c r="AO1010" s="7">
        <v>1</v>
      </c>
      <c r="BC1010" t="s">
        <v>3463</v>
      </c>
      <c r="BD1010" s="7" t="s">
        <v>103</v>
      </c>
      <c r="BE1010" t="s">
        <v>1502</v>
      </c>
      <c r="BF1010" s="1" t="s">
        <v>29</v>
      </c>
      <c r="BG1010" s="1">
        <v>3</v>
      </c>
      <c r="BH1010">
        <v>1</v>
      </c>
      <c r="BK1010" s="1">
        <v>1</v>
      </c>
      <c r="BQ1010">
        <v>1</v>
      </c>
      <c r="CS1010" s="7" t="s">
        <v>1421</v>
      </c>
    </row>
    <row r="1011" spans="2:98">
      <c r="B1011" t="s">
        <v>4362</v>
      </c>
      <c r="C1011" s="13" t="s">
        <v>4363</v>
      </c>
      <c r="D1011" s="13" t="s">
        <v>4363</v>
      </c>
      <c r="E1011" s="8" t="s">
        <v>146</v>
      </c>
      <c r="F1011" s="8" t="s">
        <v>65</v>
      </c>
      <c r="G1011" s="1">
        <v>1</v>
      </c>
      <c r="H1011" s="1"/>
      <c r="I1011" s="1">
        <f>1811-27</f>
        <v>1784</v>
      </c>
      <c r="J1011" t="s">
        <v>10</v>
      </c>
      <c r="K1011" t="s">
        <v>12</v>
      </c>
      <c r="Q1011">
        <v>5</v>
      </c>
      <c r="R1011">
        <v>1</v>
      </c>
      <c r="S1011">
        <v>2</v>
      </c>
      <c r="T1011" s="5">
        <f>((Q1011*316)+(R1011*26.3)+(S1011*2.2))/10</f>
        <v>161.07</v>
      </c>
      <c r="U1011" t="s">
        <v>2092</v>
      </c>
      <c r="AM1011" s="6">
        <v>1</v>
      </c>
      <c r="AN1011" s="6">
        <v>1</v>
      </c>
      <c r="AO1011" s="6">
        <v>1</v>
      </c>
      <c r="AP1011" s="6">
        <v>1</v>
      </c>
      <c r="AQ1011" s="6">
        <v>1</v>
      </c>
      <c r="AR1011" s="6">
        <v>1</v>
      </c>
      <c r="AS1011" s="6">
        <v>1</v>
      </c>
      <c r="BC1011">
        <v>1811</v>
      </c>
      <c r="BD1011" t="s">
        <v>81</v>
      </c>
      <c r="BE1011" t="s">
        <v>4328</v>
      </c>
      <c r="BF1011" s="1" t="s">
        <v>73</v>
      </c>
      <c r="BG1011" s="1">
        <v>1</v>
      </c>
      <c r="BH1011">
        <v>1</v>
      </c>
      <c r="BK1011" s="1" t="s">
        <v>72</v>
      </c>
      <c r="BQ1011">
        <v>1</v>
      </c>
      <c r="CS1011" t="s">
        <v>4329</v>
      </c>
    </row>
    <row r="1012" spans="2:98">
      <c r="B1012" t="s">
        <v>4701</v>
      </c>
      <c r="C1012" s="2" t="s">
        <v>4702</v>
      </c>
      <c r="D1012" s="2" t="s">
        <v>4702</v>
      </c>
      <c r="E1012" s="8" t="s">
        <v>1735</v>
      </c>
      <c r="F1012" s="8" t="s">
        <v>115</v>
      </c>
      <c r="G1012" s="1">
        <v>1</v>
      </c>
      <c r="H1012" s="1"/>
      <c r="I1012" s="1">
        <f>1806-19</f>
        <v>1787</v>
      </c>
      <c r="J1012" t="s">
        <v>10</v>
      </c>
      <c r="K1012" t="s">
        <v>12</v>
      </c>
      <c r="Q1012">
        <v>5</v>
      </c>
      <c r="T1012" s="5">
        <f t="shared" si="47"/>
        <v>158</v>
      </c>
      <c r="U1012" t="s">
        <v>2092</v>
      </c>
      <c r="AM1012" s="6">
        <v>1</v>
      </c>
      <c r="AN1012" s="6">
        <v>1</v>
      </c>
      <c r="BC1012">
        <v>1806</v>
      </c>
      <c r="BD1012" t="s">
        <v>81</v>
      </c>
      <c r="BE1012" t="s">
        <v>1564</v>
      </c>
      <c r="BF1012" s="1" t="s">
        <v>73</v>
      </c>
      <c r="BG1012" s="1">
        <v>2</v>
      </c>
      <c r="BH1012">
        <v>1</v>
      </c>
      <c r="BK1012" s="1">
        <v>1</v>
      </c>
      <c r="BQ1012">
        <v>1</v>
      </c>
      <c r="CS1012" t="s">
        <v>4703</v>
      </c>
    </row>
    <row r="1013" spans="2:98">
      <c r="B1013" t="s">
        <v>4291</v>
      </c>
      <c r="C1013" s="2" t="s">
        <v>1929</v>
      </c>
      <c r="D1013" s="36" t="s">
        <v>192</v>
      </c>
      <c r="E1013" s="8" t="s">
        <v>710</v>
      </c>
      <c r="F1013" s="8" t="s">
        <v>115</v>
      </c>
      <c r="G1013" s="1">
        <v>1</v>
      </c>
      <c r="H1013" s="1"/>
      <c r="I1013" s="1">
        <f>1806-20</f>
        <v>1786</v>
      </c>
      <c r="J1013" t="s">
        <v>10</v>
      </c>
      <c r="K1013" t="s">
        <v>12</v>
      </c>
      <c r="Q1013">
        <v>5</v>
      </c>
      <c r="R1013">
        <v>3</v>
      </c>
      <c r="T1013" s="5">
        <f>((Q1013*316)+(R1013*26.3)+(S1013*2.2))/10</f>
        <v>165.89000000000001</v>
      </c>
      <c r="U1013" t="s">
        <v>2092</v>
      </c>
      <c r="AM1013" s="6">
        <v>1</v>
      </c>
      <c r="AN1013" s="6">
        <v>1</v>
      </c>
      <c r="BC1013">
        <v>1806</v>
      </c>
      <c r="BD1013" t="s">
        <v>81</v>
      </c>
      <c r="BE1013" t="s">
        <v>2635</v>
      </c>
      <c r="BF1013" s="1" t="s">
        <v>73</v>
      </c>
      <c r="BG1013" s="1">
        <v>1</v>
      </c>
      <c r="BH1013">
        <v>1</v>
      </c>
      <c r="BK1013" s="1">
        <v>1</v>
      </c>
      <c r="BQ1013">
        <v>1</v>
      </c>
      <c r="CS1013" t="s">
        <v>2636</v>
      </c>
    </row>
    <row r="1014" spans="2:98">
      <c r="B1014" t="s">
        <v>4332</v>
      </c>
      <c r="C1014" s="2" t="s">
        <v>1973</v>
      </c>
      <c r="D1014" s="2" t="s">
        <v>1973</v>
      </c>
      <c r="E1014" s="8" t="s">
        <v>627</v>
      </c>
      <c r="F1014" s="8" t="s">
        <v>357</v>
      </c>
      <c r="G1014" s="1">
        <v>1</v>
      </c>
      <c r="H1014" s="1"/>
      <c r="I1014" s="1">
        <f>1811-24</f>
        <v>1787</v>
      </c>
      <c r="J1014" t="s">
        <v>10</v>
      </c>
      <c r="K1014" t="s">
        <v>12</v>
      </c>
      <c r="Q1014">
        <v>5</v>
      </c>
      <c r="R1014">
        <v>3</v>
      </c>
      <c r="S1014">
        <v>1</v>
      </c>
      <c r="T1014" s="5">
        <f>((Q1014*316)+(R1014*26.3)+(S1014*2.2))/10</f>
        <v>166.11</v>
      </c>
      <c r="U1014" t="s">
        <v>2092</v>
      </c>
      <c r="AM1014" s="6">
        <v>1</v>
      </c>
      <c r="AN1014" s="6">
        <v>1</v>
      </c>
      <c r="AO1014" s="6">
        <v>1</v>
      </c>
      <c r="AP1014" s="6">
        <v>1</v>
      </c>
      <c r="AQ1014" s="6">
        <v>1</v>
      </c>
      <c r="AR1014" s="6">
        <v>1</v>
      </c>
      <c r="AS1014" s="6">
        <v>1</v>
      </c>
      <c r="BC1014">
        <v>1811</v>
      </c>
      <c r="BD1014" s="7" t="s">
        <v>81</v>
      </c>
      <c r="BE1014" t="s">
        <v>4328</v>
      </c>
      <c r="BF1014" s="1" t="s">
        <v>73</v>
      </c>
      <c r="BG1014" s="1">
        <v>1</v>
      </c>
      <c r="BH1014">
        <v>1</v>
      </c>
      <c r="BK1014" s="1" t="s">
        <v>72</v>
      </c>
      <c r="BQ1014">
        <v>1</v>
      </c>
      <c r="CM1014">
        <v>1</v>
      </c>
      <c r="CS1014" t="s">
        <v>4329</v>
      </c>
    </row>
    <row r="1015" spans="2:98">
      <c r="B1015" t="s">
        <v>3435</v>
      </c>
      <c r="C1015" s="2" t="s">
        <v>3436</v>
      </c>
      <c r="D1015" s="2" t="s">
        <v>3436</v>
      </c>
      <c r="E1015" s="8" t="s">
        <v>740</v>
      </c>
      <c r="F1015" s="8" t="s">
        <v>65</v>
      </c>
      <c r="G1015" s="1">
        <v>1</v>
      </c>
      <c r="H1015" s="1"/>
      <c r="I1015" s="1">
        <f>1810-22</f>
        <v>1788</v>
      </c>
      <c r="J1015" t="s">
        <v>10</v>
      </c>
      <c r="K1015" t="s">
        <v>12</v>
      </c>
      <c r="Q1015">
        <v>5</v>
      </c>
      <c r="R1015">
        <v>2</v>
      </c>
      <c r="S1015">
        <v>2</v>
      </c>
      <c r="T1015" s="5">
        <f t="shared" si="47"/>
        <v>163.69999999999999</v>
      </c>
      <c r="U1015" t="s">
        <v>1163</v>
      </c>
      <c r="AM1015" s="6">
        <v>1</v>
      </c>
      <c r="AN1015" s="6">
        <v>1</v>
      </c>
      <c r="AO1015" s="6">
        <v>1</v>
      </c>
      <c r="AP1015" s="6">
        <v>1</v>
      </c>
      <c r="AQ1015" s="6">
        <v>1</v>
      </c>
      <c r="AR1015" s="6">
        <v>1</v>
      </c>
      <c r="BC1015">
        <v>1810</v>
      </c>
      <c r="BD1015" t="s">
        <v>81</v>
      </c>
      <c r="BE1015" s="10" t="s">
        <v>3430</v>
      </c>
      <c r="BF1015" s="1" t="s">
        <v>73</v>
      </c>
      <c r="BG1015" s="1">
        <v>1</v>
      </c>
      <c r="BH1015">
        <v>2</v>
      </c>
      <c r="BK1015" s="1">
        <v>1</v>
      </c>
      <c r="BQ1015">
        <v>1</v>
      </c>
      <c r="BX1015">
        <v>1</v>
      </c>
      <c r="CL1015" s="10">
        <v>1</v>
      </c>
      <c r="CS1015" s="10" t="s">
        <v>3437</v>
      </c>
    </row>
    <row r="1016" spans="2:98">
      <c r="B1016" t="s">
        <v>2125</v>
      </c>
      <c r="C1016" s="2" t="s">
        <v>2126</v>
      </c>
      <c r="D1016" s="2"/>
      <c r="F1016" s="8" t="s">
        <v>2127</v>
      </c>
      <c r="G1016" s="1"/>
      <c r="H1016" s="1">
        <v>1</v>
      </c>
      <c r="I1016" s="1">
        <f>1805-25</f>
        <v>1780</v>
      </c>
      <c r="J1016" t="s">
        <v>10</v>
      </c>
      <c r="K1016" t="s">
        <v>12</v>
      </c>
      <c r="Q1016">
        <v>5</v>
      </c>
      <c r="R1016">
        <v>2</v>
      </c>
      <c r="T1016" s="5">
        <f t="shared" si="47"/>
        <v>163.26</v>
      </c>
      <c r="U1016" t="s">
        <v>1163</v>
      </c>
      <c r="AM1016" s="7">
        <v>1</v>
      </c>
      <c r="BC1016" t="s">
        <v>2128</v>
      </c>
      <c r="BD1016" s="7" t="s">
        <v>280</v>
      </c>
      <c r="BE1016" t="s">
        <v>1564</v>
      </c>
      <c r="BF1016" s="1" t="s">
        <v>29</v>
      </c>
      <c r="BG1016" s="1">
        <v>2</v>
      </c>
      <c r="BH1016">
        <v>1</v>
      </c>
      <c r="BK1016" s="1">
        <v>1</v>
      </c>
      <c r="BQ1016">
        <v>1</v>
      </c>
      <c r="CN1016">
        <v>1</v>
      </c>
      <c r="CS1016" s="7" t="s">
        <v>2129</v>
      </c>
    </row>
    <row r="1017" spans="2:98">
      <c r="B1017" t="s">
        <v>1161</v>
      </c>
      <c r="C1017" s="13" t="s">
        <v>1162</v>
      </c>
      <c r="D1017" s="15"/>
      <c r="F1017" s="8" t="s">
        <v>234</v>
      </c>
      <c r="G1017" s="1">
        <v>1</v>
      </c>
      <c r="H1017" s="1"/>
      <c r="I1017" s="1">
        <f>1805-20</f>
        <v>1785</v>
      </c>
      <c r="J1017" t="s">
        <v>10</v>
      </c>
      <c r="K1017" t="s">
        <v>12</v>
      </c>
      <c r="Q1017">
        <v>5</v>
      </c>
      <c r="R1017">
        <v>5</v>
      </c>
      <c r="T1017" s="5">
        <f t="shared" si="47"/>
        <v>171.15</v>
      </c>
      <c r="U1017" t="s">
        <v>1163</v>
      </c>
      <c r="AM1017" s="6">
        <v>1</v>
      </c>
      <c r="AN1017" s="6">
        <v>1</v>
      </c>
      <c r="AO1017" s="7">
        <v>1</v>
      </c>
      <c r="BC1017" t="s">
        <v>1164</v>
      </c>
      <c r="BD1017" s="7" t="s">
        <v>103</v>
      </c>
      <c r="BE1017" t="s">
        <v>1065</v>
      </c>
      <c r="BF1017" s="1" t="s">
        <v>29</v>
      </c>
      <c r="BG1017" s="1">
        <v>3</v>
      </c>
      <c r="BH1017">
        <v>1</v>
      </c>
      <c r="BK1017" s="1">
        <v>1</v>
      </c>
      <c r="BQ1017">
        <v>1</v>
      </c>
      <c r="CS1017" s="7" t="s">
        <v>203</v>
      </c>
    </row>
    <row r="1018" spans="2:98">
      <c r="B1018" t="s">
        <v>1122</v>
      </c>
      <c r="C1018" s="13" t="s">
        <v>1124</v>
      </c>
      <c r="D1018" s="15"/>
      <c r="E1018" s="8" t="s">
        <v>1094</v>
      </c>
      <c r="F1018" s="8" t="s">
        <v>247</v>
      </c>
      <c r="G1018" s="1">
        <v>1</v>
      </c>
      <c r="H1018" s="1"/>
      <c r="I1018" s="1">
        <f>1805-18</f>
        <v>1787</v>
      </c>
      <c r="J1018" t="s">
        <v>10</v>
      </c>
      <c r="K1018" t="s">
        <v>12</v>
      </c>
      <c r="Q1018">
        <v>5</v>
      </c>
      <c r="R1018">
        <v>1</v>
      </c>
      <c r="S1018">
        <v>2</v>
      </c>
      <c r="T1018" s="5">
        <f t="shared" si="47"/>
        <v>161.07</v>
      </c>
      <c r="U1018" t="s">
        <v>1120</v>
      </c>
      <c r="AM1018" s="6">
        <v>1</v>
      </c>
      <c r="AN1018" s="7">
        <v>1</v>
      </c>
      <c r="BC1018" t="s">
        <v>1100</v>
      </c>
      <c r="BD1018" s="7" t="s">
        <v>103</v>
      </c>
      <c r="BE1018" t="s">
        <v>1065</v>
      </c>
      <c r="BF1018" s="1" t="s">
        <v>29</v>
      </c>
      <c r="BG1018" s="1">
        <v>2</v>
      </c>
      <c r="BH1018">
        <v>1</v>
      </c>
      <c r="BK1018" s="1">
        <v>1</v>
      </c>
      <c r="BQ1018">
        <v>1</v>
      </c>
      <c r="CS1018" s="7" t="s">
        <v>1125</v>
      </c>
    </row>
    <row r="1019" spans="2:98">
      <c r="B1019" t="s">
        <v>4631</v>
      </c>
      <c r="C1019" s="2" t="s">
        <v>3429</v>
      </c>
      <c r="D1019" s="2" t="s">
        <v>3429</v>
      </c>
      <c r="E1019" s="8" t="s">
        <v>1306</v>
      </c>
      <c r="F1019" s="8" t="s">
        <v>65</v>
      </c>
      <c r="G1019" s="1">
        <v>1</v>
      </c>
      <c r="H1019" s="1"/>
      <c r="I1019" s="1">
        <f>1808-27</f>
        <v>1781</v>
      </c>
      <c r="J1019" t="s">
        <v>69</v>
      </c>
      <c r="K1019" t="s">
        <v>197</v>
      </c>
      <c r="N1019">
        <v>1</v>
      </c>
      <c r="Q1019">
        <v>5</v>
      </c>
      <c r="R1019">
        <v>2</v>
      </c>
      <c r="S1019">
        <v>2</v>
      </c>
      <c r="T1019" s="5">
        <f>((Q1019*316)+(R1019*26.3)+(S1019*2.2))/10</f>
        <v>163.69999999999999</v>
      </c>
      <c r="U1019" t="s">
        <v>1120</v>
      </c>
      <c r="AM1019" s="6">
        <v>1</v>
      </c>
      <c r="AN1019" s="6">
        <v>1</v>
      </c>
      <c r="AO1019" s="6">
        <v>1</v>
      </c>
      <c r="AP1019" s="6">
        <v>1</v>
      </c>
      <c r="BC1019">
        <v>1808</v>
      </c>
      <c r="BD1019" t="s">
        <v>81</v>
      </c>
      <c r="BE1019" s="10" t="s">
        <v>3430</v>
      </c>
      <c r="BF1019" s="1" t="s">
        <v>73</v>
      </c>
      <c r="BG1019" s="1">
        <v>2</v>
      </c>
      <c r="BH1019">
        <v>2</v>
      </c>
      <c r="BI1019">
        <v>1</v>
      </c>
      <c r="BK1019" s="1">
        <v>1</v>
      </c>
      <c r="BQ1019">
        <v>1</v>
      </c>
      <c r="BX1019">
        <v>1</v>
      </c>
      <c r="CL1019" s="10">
        <v>1</v>
      </c>
      <c r="CS1019" s="10" t="s">
        <v>3583</v>
      </c>
    </row>
    <row r="1020" spans="2:98">
      <c r="B1020" t="s">
        <v>1220</v>
      </c>
      <c r="C1020" s="13" t="s">
        <v>1219</v>
      </c>
      <c r="D1020" s="15"/>
      <c r="F1020" s="8" t="s">
        <v>234</v>
      </c>
      <c r="G1020" s="1">
        <v>1</v>
      </c>
      <c r="H1020" s="1"/>
      <c r="I1020" s="1">
        <f>1805-18</f>
        <v>1787</v>
      </c>
      <c r="J1020" t="s">
        <v>10</v>
      </c>
      <c r="K1020" t="s">
        <v>12</v>
      </c>
      <c r="Q1020">
        <v>5</v>
      </c>
      <c r="R1020">
        <v>4</v>
      </c>
      <c r="T1020" s="5">
        <f t="shared" si="47"/>
        <v>168.52</v>
      </c>
      <c r="U1020" t="s">
        <v>1120</v>
      </c>
      <c r="AM1020" s="6">
        <v>1</v>
      </c>
      <c r="AN1020" s="6">
        <v>1</v>
      </c>
      <c r="AO1020" s="7">
        <v>1</v>
      </c>
      <c r="BC1020" t="s">
        <v>1221</v>
      </c>
      <c r="BD1020" s="7" t="s">
        <v>103</v>
      </c>
      <c r="BE1020" t="s">
        <v>1065</v>
      </c>
      <c r="BF1020" s="1" t="s">
        <v>29</v>
      </c>
      <c r="BG1020" s="1">
        <v>3</v>
      </c>
      <c r="BH1020">
        <v>1</v>
      </c>
      <c r="BK1020" s="1">
        <v>1</v>
      </c>
      <c r="BQ1020">
        <v>1</v>
      </c>
      <c r="CS1020" s="7" t="s">
        <v>475</v>
      </c>
    </row>
    <row r="1021" spans="2:98">
      <c r="B1021" t="s">
        <v>3549</v>
      </c>
      <c r="C1021" s="2" t="s">
        <v>3550</v>
      </c>
      <c r="D1021" s="2" t="s">
        <v>3550</v>
      </c>
      <c r="E1021" s="8" t="s">
        <v>2586</v>
      </c>
      <c r="F1021" s="8" t="s">
        <v>65</v>
      </c>
      <c r="G1021" s="1">
        <v>1</v>
      </c>
      <c r="H1021" s="1"/>
      <c r="I1021" s="1">
        <f>1805-27</f>
        <v>1778</v>
      </c>
      <c r="J1021" t="s">
        <v>10</v>
      </c>
      <c r="K1021" t="s">
        <v>12</v>
      </c>
      <c r="Q1021">
        <v>5</v>
      </c>
      <c r="R1021">
        <v>2</v>
      </c>
      <c r="T1021" s="5">
        <f t="shared" si="47"/>
        <v>163.26</v>
      </c>
      <c r="U1021" t="s">
        <v>1120</v>
      </c>
      <c r="AM1021" s="6">
        <v>1</v>
      </c>
      <c r="AN1021" s="7">
        <v>1</v>
      </c>
      <c r="BC1021" t="s">
        <v>3551</v>
      </c>
      <c r="BD1021" s="7" t="s">
        <v>26</v>
      </c>
      <c r="BE1021" t="s">
        <v>3526</v>
      </c>
      <c r="BF1021" s="1" t="s">
        <v>29</v>
      </c>
      <c r="BG1021" s="1">
        <v>1</v>
      </c>
      <c r="BH1021">
        <v>1</v>
      </c>
      <c r="BK1021" s="1">
        <v>1</v>
      </c>
      <c r="BQ1021">
        <v>1</v>
      </c>
      <c r="CS1021" s="7" t="s">
        <v>368</v>
      </c>
    </row>
    <row r="1022" spans="2:98">
      <c r="B1022" t="s">
        <v>4397</v>
      </c>
      <c r="C1022" s="2" t="s">
        <v>4398</v>
      </c>
      <c r="D1022" s="15"/>
      <c r="E1022" s="8" t="s">
        <v>710</v>
      </c>
      <c r="F1022" s="8" t="s">
        <v>115</v>
      </c>
      <c r="G1022" s="1">
        <v>1</v>
      </c>
      <c r="H1022" s="1"/>
      <c r="I1022" s="1">
        <f>1819-34</f>
        <v>1785</v>
      </c>
      <c r="J1022" t="s">
        <v>10</v>
      </c>
      <c r="K1022" t="s">
        <v>12</v>
      </c>
      <c r="Q1022">
        <v>5</v>
      </c>
      <c r="R1022">
        <v>5</v>
      </c>
      <c r="T1022" s="5">
        <f t="shared" si="47"/>
        <v>171.15</v>
      </c>
      <c r="U1022" t="s">
        <v>1130</v>
      </c>
      <c r="AM1022" s="6">
        <v>1</v>
      </c>
      <c r="AN1022" s="6">
        <v>1</v>
      </c>
      <c r="AO1022" s="6">
        <v>1</v>
      </c>
      <c r="AP1022" s="6">
        <v>1</v>
      </c>
      <c r="AQ1022" s="6">
        <v>1</v>
      </c>
      <c r="AR1022" s="6">
        <v>1</v>
      </c>
      <c r="AS1022" s="6">
        <v>1</v>
      </c>
      <c r="AT1022" s="6">
        <v>1</v>
      </c>
      <c r="AU1022" s="6">
        <v>1</v>
      </c>
      <c r="AV1022" s="6">
        <v>1</v>
      </c>
      <c r="AW1022" s="6">
        <v>1</v>
      </c>
      <c r="AX1022" s="6">
        <v>1</v>
      </c>
      <c r="AY1022" s="6">
        <v>1</v>
      </c>
      <c r="AZ1022" s="6">
        <v>1</v>
      </c>
      <c r="BA1022" s="6">
        <v>1</v>
      </c>
      <c r="BB1022" s="6">
        <v>1</v>
      </c>
      <c r="BC1022">
        <v>1820</v>
      </c>
      <c r="BD1022" t="s">
        <v>81</v>
      </c>
      <c r="BE1022" t="s">
        <v>2635</v>
      </c>
      <c r="BF1022" s="1" t="s">
        <v>73</v>
      </c>
      <c r="BG1022" s="1">
        <v>6</v>
      </c>
      <c r="BH1022">
        <v>1</v>
      </c>
      <c r="BK1022" s="1">
        <v>1</v>
      </c>
      <c r="BN1022" s="6">
        <v>1</v>
      </c>
      <c r="BP1022" s="6">
        <v>1</v>
      </c>
      <c r="BQ1022">
        <v>1</v>
      </c>
      <c r="CQ1022">
        <v>1</v>
      </c>
      <c r="CS1022" t="s">
        <v>4399</v>
      </c>
      <c r="CT1022" s="6" t="s">
        <v>4400</v>
      </c>
    </row>
    <row r="1023" spans="2:98">
      <c r="B1023" t="s">
        <v>3266</v>
      </c>
      <c r="C1023" s="2" t="s">
        <v>3215</v>
      </c>
      <c r="D1023" s="2" t="s">
        <v>3215</v>
      </c>
      <c r="E1023" s="8" t="s">
        <v>1912</v>
      </c>
      <c r="F1023" s="8" t="s">
        <v>65</v>
      </c>
      <c r="G1023" s="1">
        <v>1</v>
      </c>
      <c r="H1023" s="1"/>
      <c r="I1023" s="1">
        <f>1806-20</f>
        <v>1786</v>
      </c>
      <c r="J1023" t="s">
        <v>69</v>
      </c>
      <c r="K1023" t="s">
        <v>12</v>
      </c>
      <c r="N1023">
        <v>1</v>
      </c>
      <c r="Q1023">
        <v>5</v>
      </c>
      <c r="T1023" s="5">
        <f t="shared" si="47"/>
        <v>158</v>
      </c>
      <c r="U1023" t="s">
        <v>1130</v>
      </c>
      <c r="AM1023" s="6">
        <v>1</v>
      </c>
      <c r="AN1023" s="6">
        <v>1</v>
      </c>
      <c r="AO1023" s="6">
        <v>1</v>
      </c>
      <c r="AP1023" s="6">
        <v>1</v>
      </c>
      <c r="AQ1023" s="6">
        <v>1</v>
      </c>
      <c r="AR1023" s="7">
        <v>1</v>
      </c>
      <c r="BC1023" t="s">
        <v>3267</v>
      </c>
      <c r="BD1023" s="7" t="s">
        <v>103</v>
      </c>
      <c r="BE1023" t="s">
        <v>2407</v>
      </c>
      <c r="BF1023" s="1" t="s">
        <v>29</v>
      </c>
      <c r="BG1023" s="1">
        <v>6</v>
      </c>
      <c r="BH1023">
        <v>1</v>
      </c>
      <c r="BI1023">
        <v>1</v>
      </c>
      <c r="BJ1023">
        <v>1</v>
      </c>
      <c r="BK1023" s="1">
        <v>1</v>
      </c>
      <c r="BQ1023">
        <v>1</v>
      </c>
      <c r="CM1023">
        <v>1</v>
      </c>
      <c r="CS1023" s="7" t="s">
        <v>1945</v>
      </c>
    </row>
    <row r="1024" spans="2:98">
      <c r="B1024" t="s">
        <v>4622</v>
      </c>
      <c r="C1024" s="2" t="s">
        <v>976</v>
      </c>
      <c r="D1024" s="2" t="s">
        <v>976</v>
      </c>
      <c r="E1024" s="8" t="s">
        <v>1306</v>
      </c>
      <c r="F1024" s="8" t="s">
        <v>65</v>
      </c>
      <c r="G1024" s="1">
        <v>1</v>
      </c>
      <c r="H1024" s="1"/>
      <c r="I1024" s="1">
        <f>1806-25</f>
        <v>1781</v>
      </c>
      <c r="J1024" t="s">
        <v>10</v>
      </c>
      <c r="K1024" t="s">
        <v>12</v>
      </c>
      <c r="Q1024">
        <v>5</v>
      </c>
      <c r="R1024">
        <v>4</v>
      </c>
      <c r="S1024">
        <v>2</v>
      </c>
      <c r="T1024" s="5">
        <f t="shared" si="47"/>
        <v>168.96</v>
      </c>
      <c r="U1024" t="s">
        <v>1130</v>
      </c>
      <c r="AM1024" s="6">
        <v>1</v>
      </c>
      <c r="AN1024" s="6">
        <v>1</v>
      </c>
      <c r="BC1024">
        <v>1806</v>
      </c>
      <c r="BD1024" t="s">
        <v>81</v>
      </c>
      <c r="BE1024" t="s">
        <v>712</v>
      </c>
      <c r="BF1024" s="1" t="s">
        <v>73</v>
      </c>
      <c r="BG1024" s="1">
        <v>1</v>
      </c>
      <c r="BH1024">
        <v>1</v>
      </c>
      <c r="BK1024" s="1">
        <v>1</v>
      </c>
      <c r="BQ1024">
        <v>1</v>
      </c>
      <c r="CS1024" t="s">
        <v>713</v>
      </c>
    </row>
    <row r="1025" spans="2:97">
      <c r="B1025" t="s">
        <v>3214</v>
      </c>
      <c r="C1025" s="2" t="s">
        <v>3215</v>
      </c>
      <c r="D1025" s="15"/>
      <c r="E1025" s="8" t="s">
        <v>1912</v>
      </c>
      <c r="F1025" s="8" t="s">
        <v>65</v>
      </c>
      <c r="G1025" s="1">
        <v>1</v>
      </c>
      <c r="H1025" s="1"/>
      <c r="I1025" s="1">
        <f>1806-19</f>
        <v>1787</v>
      </c>
      <c r="J1025" t="s">
        <v>10</v>
      </c>
      <c r="K1025" t="s">
        <v>12</v>
      </c>
      <c r="Q1025">
        <v>5</v>
      </c>
      <c r="R1025">
        <v>1</v>
      </c>
      <c r="T1025" s="5">
        <f t="shared" si="47"/>
        <v>160.63</v>
      </c>
      <c r="U1025" t="s">
        <v>1130</v>
      </c>
      <c r="AM1025" s="6">
        <v>1</v>
      </c>
      <c r="AN1025" s="6">
        <v>1</v>
      </c>
      <c r="AO1025" s="7">
        <v>1</v>
      </c>
      <c r="BC1025" t="s">
        <v>3216</v>
      </c>
      <c r="BD1025" s="7" t="s">
        <v>103</v>
      </c>
      <c r="BE1025" t="s">
        <v>2407</v>
      </c>
      <c r="BF1025" s="1" t="s">
        <v>29</v>
      </c>
      <c r="BG1025" s="1">
        <v>3</v>
      </c>
      <c r="BH1025">
        <v>1</v>
      </c>
      <c r="BJ1025">
        <v>1</v>
      </c>
      <c r="BK1025" s="1">
        <v>1</v>
      </c>
      <c r="BQ1025">
        <v>1</v>
      </c>
      <c r="CS1025" s="7" t="s">
        <v>1754</v>
      </c>
    </row>
    <row r="1026" spans="2:97">
      <c r="B1026" t="s">
        <v>1188</v>
      </c>
      <c r="C1026" s="13" t="s">
        <v>1189</v>
      </c>
      <c r="D1026" s="15"/>
      <c r="F1026" s="8" t="s">
        <v>234</v>
      </c>
      <c r="G1026" s="1">
        <v>1</v>
      </c>
      <c r="H1026" s="1"/>
      <c r="I1026" s="1">
        <f>1805-19</f>
        <v>1786</v>
      </c>
      <c r="J1026" t="s">
        <v>10</v>
      </c>
      <c r="K1026" t="s">
        <v>12</v>
      </c>
      <c r="Q1026">
        <v>5</v>
      </c>
      <c r="R1026">
        <v>4</v>
      </c>
      <c r="T1026" s="5">
        <f t="shared" si="47"/>
        <v>168.52</v>
      </c>
      <c r="U1026" t="s">
        <v>1130</v>
      </c>
      <c r="AM1026" s="6">
        <v>1</v>
      </c>
      <c r="AN1026" s="6">
        <v>1</v>
      </c>
      <c r="AO1026" s="7">
        <v>1</v>
      </c>
      <c r="BC1026" t="s">
        <v>1187</v>
      </c>
      <c r="BD1026" s="7" t="s">
        <v>103</v>
      </c>
      <c r="BE1026" t="s">
        <v>1065</v>
      </c>
      <c r="BF1026" s="1" t="s">
        <v>29</v>
      </c>
      <c r="BG1026" s="1">
        <v>3</v>
      </c>
      <c r="BH1026">
        <v>1</v>
      </c>
      <c r="BK1026" s="1">
        <v>1</v>
      </c>
      <c r="BQ1026">
        <v>1</v>
      </c>
      <c r="CS1026" s="7" t="s">
        <v>1125</v>
      </c>
    </row>
    <row r="1027" spans="2:97">
      <c r="B1027" t="s">
        <v>4298</v>
      </c>
      <c r="C1027" s="2" t="s">
        <v>4299</v>
      </c>
      <c r="D1027" s="15"/>
      <c r="E1027" s="8" t="s">
        <v>1735</v>
      </c>
      <c r="F1027" s="8" t="s">
        <v>115</v>
      </c>
      <c r="G1027" s="1">
        <v>1</v>
      </c>
      <c r="H1027" s="1"/>
      <c r="I1027" s="1">
        <f>1811-32</f>
        <v>1779</v>
      </c>
      <c r="J1027" t="s">
        <v>10</v>
      </c>
      <c r="K1027" t="s">
        <v>12</v>
      </c>
      <c r="Q1027">
        <v>5</v>
      </c>
      <c r="R1027">
        <v>0</v>
      </c>
      <c r="S1027">
        <v>3</v>
      </c>
      <c r="T1027" s="5">
        <f t="shared" si="47"/>
        <v>158.66</v>
      </c>
      <c r="U1027" t="s">
        <v>1130</v>
      </c>
      <c r="AM1027" s="6">
        <v>1</v>
      </c>
      <c r="AN1027" s="6">
        <v>1</v>
      </c>
      <c r="AO1027" s="6">
        <v>1</v>
      </c>
      <c r="AP1027" s="6">
        <v>1</v>
      </c>
      <c r="AQ1027" s="6">
        <v>1</v>
      </c>
      <c r="AR1027" s="6">
        <v>1</v>
      </c>
      <c r="AS1027" s="6">
        <v>1</v>
      </c>
      <c r="BC1027">
        <v>1811</v>
      </c>
      <c r="BD1027" t="s">
        <v>81</v>
      </c>
      <c r="BE1027" t="s">
        <v>2635</v>
      </c>
      <c r="BF1027" s="1" t="s">
        <v>73</v>
      </c>
      <c r="BG1027" s="1">
        <v>6</v>
      </c>
      <c r="BH1027">
        <v>1</v>
      </c>
      <c r="BK1027" s="1">
        <v>1</v>
      </c>
      <c r="BQ1027">
        <v>1</v>
      </c>
      <c r="CS1027" t="s">
        <v>2636</v>
      </c>
    </row>
    <row r="1028" spans="2:97">
      <c r="B1028" t="s">
        <v>4020</v>
      </c>
      <c r="C1028" s="13" t="s">
        <v>2097</v>
      </c>
      <c r="D1028" s="15"/>
      <c r="E1028" s="8" t="s">
        <v>920</v>
      </c>
      <c r="F1028" s="8" t="s">
        <v>115</v>
      </c>
      <c r="G1028" s="1">
        <v>1</v>
      </c>
      <c r="H1028" s="1"/>
      <c r="I1028" s="1">
        <f>1805-20</f>
        <v>1785</v>
      </c>
      <c r="J1028" t="s">
        <v>10</v>
      </c>
      <c r="K1028" t="s">
        <v>12</v>
      </c>
      <c r="Q1028">
        <v>5</v>
      </c>
      <c r="R1028">
        <v>0</v>
      </c>
      <c r="S1028">
        <v>1</v>
      </c>
      <c r="T1028" s="5">
        <f t="shared" si="47"/>
        <v>158.22</v>
      </c>
      <c r="U1028" t="s">
        <v>1130</v>
      </c>
      <c r="AM1028" s="6">
        <v>1</v>
      </c>
      <c r="AN1028" s="7">
        <v>1</v>
      </c>
      <c r="BC1028" t="s">
        <v>2098</v>
      </c>
      <c r="BD1028" s="7" t="s">
        <v>280</v>
      </c>
      <c r="BE1028" t="s">
        <v>1502</v>
      </c>
      <c r="BF1028" s="1" t="s">
        <v>29</v>
      </c>
      <c r="BG1028" s="1">
        <v>2</v>
      </c>
      <c r="BH1028">
        <v>1</v>
      </c>
      <c r="BK1028" s="1">
        <v>1</v>
      </c>
      <c r="BQ1028">
        <v>1</v>
      </c>
      <c r="CN1028">
        <v>1</v>
      </c>
      <c r="CS1028" s="7" t="s">
        <v>2099</v>
      </c>
    </row>
    <row r="1029" spans="2:97">
      <c r="B1029" t="s">
        <v>1126</v>
      </c>
      <c r="C1029" s="2" t="s">
        <v>1127</v>
      </c>
      <c r="D1029" s="15"/>
      <c r="E1029" s="8" t="s">
        <v>1094</v>
      </c>
      <c r="F1029" s="8" t="s">
        <v>247</v>
      </c>
      <c r="G1029" s="1">
        <v>1</v>
      </c>
      <c r="H1029" s="1"/>
      <c r="I1029" s="1">
        <f t="shared" ref="I1029:I1040" si="48">1805-20</f>
        <v>1785</v>
      </c>
      <c r="J1029" t="s">
        <v>10</v>
      </c>
      <c r="K1029" t="s">
        <v>12</v>
      </c>
      <c r="Q1029">
        <v>5</v>
      </c>
      <c r="R1029">
        <v>1</v>
      </c>
      <c r="S1029">
        <v>3</v>
      </c>
      <c r="T1029" s="5">
        <f>((Q1029*316)+(R1029*26.3)+(S1029*2.2))/10</f>
        <v>161.29</v>
      </c>
      <c r="U1029" t="s">
        <v>1130</v>
      </c>
      <c r="AM1029" s="6">
        <v>1</v>
      </c>
      <c r="AN1029" s="7">
        <v>1</v>
      </c>
      <c r="BC1029" t="s">
        <v>1131</v>
      </c>
      <c r="BD1029" s="7" t="s">
        <v>26</v>
      </c>
      <c r="BE1029" t="s">
        <v>1065</v>
      </c>
      <c r="BF1029" s="1" t="s">
        <v>29</v>
      </c>
      <c r="BG1029" s="1">
        <v>2</v>
      </c>
      <c r="BH1029">
        <v>1</v>
      </c>
      <c r="BK1029" s="1">
        <v>1</v>
      </c>
      <c r="BQ1029">
        <v>1</v>
      </c>
      <c r="CS1029" s="7" t="s">
        <v>1129</v>
      </c>
    </row>
    <row r="1030" spans="2:97">
      <c r="B1030" t="s">
        <v>1193</v>
      </c>
      <c r="C1030" s="2" t="s">
        <v>1194</v>
      </c>
      <c r="D1030" s="15"/>
      <c r="E1030" s="8" t="s">
        <v>1094</v>
      </c>
      <c r="F1030" s="8" t="s">
        <v>247</v>
      </c>
      <c r="G1030" s="1">
        <v>1</v>
      </c>
      <c r="H1030" s="1"/>
      <c r="I1030" s="1">
        <f t="shared" si="48"/>
        <v>1785</v>
      </c>
      <c r="J1030" t="s">
        <v>10</v>
      </c>
      <c r="K1030" t="s">
        <v>12</v>
      </c>
      <c r="Q1030">
        <v>5</v>
      </c>
      <c r="R1030">
        <v>2</v>
      </c>
      <c r="S1030">
        <v>1</v>
      </c>
      <c r="T1030" s="5">
        <f>((Q1030*316)+(R1030*26.3)+(S1030*2.2))/10</f>
        <v>163.47999999999999</v>
      </c>
      <c r="U1030" t="s">
        <v>1121</v>
      </c>
      <c r="AM1030" s="6">
        <v>1</v>
      </c>
      <c r="AN1030" s="7">
        <v>1</v>
      </c>
      <c r="BC1030" t="s">
        <v>1100</v>
      </c>
      <c r="BD1030" s="7" t="s">
        <v>103</v>
      </c>
      <c r="BE1030" t="s">
        <v>1065</v>
      </c>
      <c r="BF1030" s="1" t="s">
        <v>29</v>
      </c>
      <c r="BG1030" s="1">
        <v>3</v>
      </c>
      <c r="BH1030">
        <v>1</v>
      </c>
      <c r="BK1030" s="1">
        <v>1</v>
      </c>
      <c r="BQ1030">
        <v>1</v>
      </c>
      <c r="CS1030" s="7" t="s">
        <v>203</v>
      </c>
    </row>
    <row r="1031" spans="2:97">
      <c r="B1031" t="s">
        <v>1123</v>
      </c>
      <c r="C1031" s="15" t="s">
        <v>1128</v>
      </c>
      <c r="D1031" s="15"/>
      <c r="F1031" s="8" t="s">
        <v>65</v>
      </c>
      <c r="G1031" s="1">
        <v>1</v>
      </c>
      <c r="H1031" s="1"/>
      <c r="I1031" s="1">
        <f t="shared" si="48"/>
        <v>1785</v>
      </c>
      <c r="J1031" t="s">
        <v>10</v>
      </c>
      <c r="K1031" t="s">
        <v>12</v>
      </c>
      <c r="Q1031">
        <v>5</v>
      </c>
      <c r="R1031">
        <v>2</v>
      </c>
      <c r="S1031">
        <v>1</v>
      </c>
      <c r="T1031" s="5">
        <f>((Q1031*316)+(R1031*26.3)+(S1031*2.2))/10</f>
        <v>163.47999999999999</v>
      </c>
      <c r="U1031" t="s">
        <v>1121</v>
      </c>
      <c r="AM1031" s="6">
        <v>1</v>
      </c>
      <c r="AN1031" s="7">
        <v>1</v>
      </c>
      <c r="BC1031" t="s">
        <v>1100</v>
      </c>
      <c r="BD1031" s="7" t="s">
        <v>103</v>
      </c>
      <c r="BE1031" t="s">
        <v>1065</v>
      </c>
      <c r="BF1031" s="1" t="s">
        <v>29</v>
      </c>
      <c r="BG1031" s="1">
        <v>2</v>
      </c>
      <c r="BH1031">
        <v>1</v>
      </c>
      <c r="BK1031" s="1">
        <v>1</v>
      </c>
      <c r="BQ1031">
        <v>1</v>
      </c>
      <c r="CS1031" s="7" t="s">
        <v>475</v>
      </c>
    </row>
    <row r="1032" spans="2:97">
      <c r="B1032" t="s">
        <v>1227</v>
      </c>
      <c r="C1032" s="2" t="s">
        <v>1228</v>
      </c>
      <c r="D1032" s="15"/>
      <c r="E1032" s="8" t="s">
        <v>1094</v>
      </c>
      <c r="F1032" s="8" t="s">
        <v>247</v>
      </c>
      <c r="G1032" s="1">
        <v>1</v>
      </c>
      <c r="H1032" s="1"/>
      <c r="I1032" s="1">
        <f>1805-20</f>
        <v>1785</v>
      </c>
      <c r="J1032" t="s">
        <v>10</v>
      </c>
      <c r="K1032" t="s">
        <v>12</v>
      </c>
      <c r="Q1032">
        <v>5</v>
      </c>
      <c r="R1032">
        <v>2</v>
      </c>
      <c r="S1032">
        <v>1</v>
      </c>
      <c r="T1032" s="5">
        <f>((Q1032*316)+(R1032*26.3)+(S1032*2.2))/10</f>
        <v>163.47999999999999</v>
      </c>
      <c r="U1032" t="s">
        <v>1121</v>
      </c>
      <c r="AM1032" s="6">
        <v>1</v>
      </c>
      <c r="AN1032" s="6">
        <v>1</v>
      </c>
      <c r="AO1032" s="7">
        <v>1</v>
      </c>
      <c r="BC1032" t="s">
        <v>1187</v>
      </c>
      <c r="BD1032" s="7" t="s">
        <v>103</v>
      </c>
      <c r="BE1032" t="s">
        <v>1065</v>
      </c>
      <c r="BF1032" s="1" t="s">
        <v>29</v>
      </c>
      <c r="BG1032" s="1">
        <v>3</v>
      </c>
      <c r="BH1032">
        <v>1</v>
      </c>
      <c r="BK1032" s="1">
        <v>1</v>
      </c>
      <c r="BQ1032">
        <v>1</v>
      </c>
      <c r="CS1032" s="7" t="s">
        <v>203</v>
      </c>
    </row>
    <row r="1033" spans="2:97">
      <c r="B1033" t="s">
        <v>1132</v>
      </c>
      <c r="C1033" s="2" t="s">
        <v>1190</v>
      </c>
      <c r="D1033" s="15"/>
      <c r="E1033" s="8" t="s">
        <v>1117</v>
      </c>
      <c r="F1033" s="8" t="s">
        <v>247</v>
      </c>
      <c r="G1033" s="1">
        <v>1</v>
      </c>
      <c r="H1033" s="1"/>
      <c r="I1033" s="1">
        <f t="shared" si="48"/>
        <v>1785</v>
      </c>
      <c r="J1033" t="s">
        <v>10</v>
      </c>
      <c r="K1033" t="s">
        <v>12</v>
      </c>
      <c r="Q1033">
        <v>5</v>
      </c>
      <c r="R1033">
        <v>1</v>
      </c>
      <c r="S1033">
        <v>3</v>
      </c>
      <c r="T1033" s="5">
        <f>((Q1033*316)+(R1033*26.3)+(S1033*2.2))/10</f>
        <v>161.29</v>
      </c>
      <c r="U1033" t="s">
        <v>1121</v>
      </c>
      <c r="AM1033" s="6">
        <v>1</v>
      </c>
      <c r="AN1033" s="7">
        <v>1</v>
      </c>
      <c r="BC1033" t="s">
        <v>1100</v>
      </c>
      <c r="BD1033" s="7" t="s">
        <v>103</v>
      </c>
      <c r="BE1033" t="s">
        <v>1065</v>
      </c>
      <c r="BF1033" s="1" t="s">
        <v>29</v>
      </c>
      <c r="BG1033" s="1">
        <v>2</v>
      </c>
      <c r="BH1033">
        <v>1</v>
      </c>
      <c r="BK1033" s="1">
        <v>1</v>
      </c>
      <c r="BQ1033">
        <v>1</v>
      </c>
      <c r="CS1033" s="7" t="s">
        <v>475</v>
      </c>
    </row>
    <row r="1034" spans="2:97">
      <c r="B1034" t="s">
        <v>2167</v>
      </c>
      <c r="C1034" s="2" t="s">
        <v>2168</v>
      </c>
      <c r="D1034" s="2" t="s">
        <v>2169</v>
      </c>
      <c r="E1034" s="8" t="s">
        <v>920</v>
      </c>
      <c r="F1034" s="8" t="s">
        <v>115</v>
      </c>
      <c r="G1034" s="1">
        <v>1</v>
      </c>
      <c r="H1034" s="1"/>
      <c r="I1034" s="1">
        <f>1805-18</f>
        <v>1787</v>
      </c>
      <c r="J1034" t="s">
        <v>10</v>
      </c>
      <c r="K1034" t="s">
        <v>12</v>
      </c>
      <c r="Q1034">
        <v>5</v>
      </c>
      <c r="T1034" s="5"/>
      <c r="U1034" t="s">
        <v>1121</v>
      </c>
      <c r="AM1034" s="6">
        <v>1</v>
      </c>
      <c r="AN1034" s="7">
        <v>1</v>
      </c>
      <c r="BC1034" t="s">
        <v>1501</v>
      </c>
      <c r="BD1034" s="7" t="s">
        <v>109</v>
      </c>
      <c r="BE1034" t="s">
        <v>1502</v>
      </c>
      <c r="BF1034" s="1" t="s">
        <v>29</v>
      </c>
      <c r="BG1034" s="1">
        <v>2</v>
      </c>
      <c r="BH1034">
        <v>1</v>
      </c>
      <c r="BK1034" s="1">
        <v>1</v>
      </c>
      <c r="BQ1034">
        <v>1</v>
      </c>
      <c r="CS1034" s="7" t="s">
        <v>1602</v>
      </c>
    </row>
    <row r="1035" spans="2:97">
      <c r="B1035" t="s">
        <v>1205</v>
      </c>
      <c r="C1035" s="2" t="s">
        <v>1127</v>
      </c>
      <c r="D1035" s="15"/>
      <c r="F1035" s="8" t="s">
        <v>247</v>
      </c>
      <c r="G1035" s="1">
        <v>1</v>
      </c>
      <c r="H1035" s="1"/>
      <c r="I1035" s="1">
        <f t="shared" si="48"/>
        <v>1785</v>
      </c>
      <c r="J1035" t="s">
        <v>69</v>
      </c>
      <c r="K1035" t="s">
        <v>12</v>
      </c>
      <c r="Q1035">
        <v>5</v>
      </c>
      <c r="R1035">
        <v>1</v>
      </c>
      <c r="S1035">
        <v>3</v>
      </c>
      <c r="T1035" s="5">
        <f>((Q1035*316)+(R1035*26.3)+(S1035*2.2))/10</f>
        <v>161.29</v>
      </c>
      <c r="U1035" t="s">
        <v>1121</v>
      </c>
      <c r="AM1035" s="6">
        <v>1</v>
      </c>
      <c r="AN1035" s="6">
        <v>1</v>
      </c>
      <c r="AO1035" s="7">
        <v>1</v>
      </c>
      <c r="BC1035" t="s">
        <v>1164</v>
      </c>
      <c r="BD1035" s="7" t="s">
        <v>103</v>
      </c>
      <c r="BE1035" t="s">
        <v>1065</v>
      </c>
      <c r="BF1035" s="1" t="s">
        <v>29</v>
      </c>
      <c r="BG1035" s="1">
        <v>3</v>
      </c>
      <c r="BH1035">
        <v>1</v>
      </c>
      <c r="BK1035" s="1">
        <v>1</v>
      </c>
      <c r="BQ1035">
        <v>1</v>
      </c>
      <c r="CS1035" s="7" t="s">
        <v>203</v>
      </c>
    </row>
    <row r="1036" spans="2:97">
      <c r="B1036" t="s">
        <v>1216</v>
      </c>
      <c r="C1036" s="2" t="s">
        <v>1128</v>
      </c>
      <c r="D1036" s="25"/>
      <c r="E1036" s="21"/>
      <c r="F1036" s="21" t="s">
        <v>65</v>
      </c>
      <c r="G1036" s="23">
        <v>1</v>
      </c>
      <c r="H1036" s="1"/>
      <c r="I1036" s="1">
        <f>1805-20</f>
        <v>1785</v>
      </c>
      <c r="J1036" t="s">
        <v>10</v>
      </c>
      <c r="K1036" t="s">
        <v>12</v>
      </c>
      <c r="Q1036">
        <v>5</v>
      </c>
      <c r="R1036">
        <v>3</v>
      </c>
      <c r="S1036">
        <v>1</v>
      </c>
      <c r="T1036" s="5">
        <f t="shared" ref="T1036:T1057" si="49">((Q1036*316)+(R1036*26.3)+(S1036*2.2))/10</f>
        <v>166.11</v>
      </c>
      <c r="U1036" t="s">
        <v>1217</v>
      </c>
      <c r="AM1036" s="6">
        <v>1</v>
      </c>
      <c r="AN1036" s="6">
        <v>1</v>
      </c>
      <c r="AO1036" s="6">
        <v>1</v>
      </c>
      <c r="AP1036" s="6">
        <v>1</v>
      </c>
      <c r="AQ1036" s="6">
        <v>1</v>
      </c>
      <c r="AR1036" s="6">
        <v>1</v>
      </c>
      <c r="AS1036" s="7">
        <v>1</v>
      </c>
      <c r="BC1036" t="s">
        <v>1218</v>
      </c>
      <c r="BD1036" s="7" t="s">
        <v>103</v>
      </c>
      <c r="BE1036" t="s">
        <v>151</v>
      </c>
      <c r="BF1036" s="1" t="s">
        <v>29</v>
      </c>
      <c r="BG1036" s="1">
        <v>9</v>
      </c>
      <c r="BH1036">
        <v>2</v>
      </c>
      <c r="BK1036" s="1">
        <v>1</v>
      </c>
      <c r="BQ1036">
        <v>1</v>
      </c>
      <c r="CL1036">
        <v>1</v>
      </c>
      <c r="CN1036">
        <v>1</v>
      </c>
      <c r="CP1036">
        <v>1</v>
      </c>
      <c r="CS1036" s="7" t="s">
        <v>361</v>
      </c>
    </row>
    <row r="1037" spans="2:97">
      <c r="B1037" t="s">
        <v>4481</v>
      </c>
      <c r="C1037" s="2" t="s">
        <v>4482</v>
      </c>
      <c r="D1037" s="25"/>
      <c r="E1037" s="21" t="s">
        <v>130</v>
      </c>
      <c r="F1037" s="21" t="s">
        <v>65</v>
      </c>
      <c r="G1037" s="23">
        <v>1</v>
      </c>
      <c r="H1037" s="1"/>
      <c r="I1037" s="1">
        <f>1811-26</f>
        <v>1785</v>
      </c>
      <c r="J1037" t="s">
        <v>10</v>
      </c>
      <c r="K1037" t="s">
        <v>12</v>
      </c>
      <c r="Q1037">
        <v>5</v>
      </c>
      <c r="R1037">
        <v>3</v>
      </c>
      <c r="T1037" s="5">
        <f t="shared" si="49"/>
        <v>165.89000000000001</v>
      </c>
      <c r="U1037" t="s">
        <v>1987</v>
      </c>
      <c r="AM1037" s="6">
        <v>1</v>
      </c>
      <c r="AN1037" s="6">
        <v>1</v>
      </c>
      <c r="AO1037" s="6">
        <v>1</v>
      </c>
      <c r="AP1037" s="6">
        <v>1</v>
      </c>
      <c r="AQ1037" s="6">
        <v>1</v>
      </c>
      <c r="AR1037" s="6">
        <v>1</v>
      </c>
      <c r="AS1037" s="6">
        <v>1</v>
      </c>
      <c r="BC1037">
        <v>1811</v>
      </c>
      <c r="BD1037" t="s">
        <v>81</v>
      </c>
      <c r="BE1037" t="s">
        <v>151</v>
      </c>
      <c r="BF1037" s="1" t="s">
        <v>73</v>
      </c>
      <c r="BG1037" s="1">
        <v>2</v>
      </c>
      <c r="BH1037">
        <v>1</v>
      </c>
      <c r="BK1037" s="1">
        <v>1</v>
      </c>
      <c r="BQ1037">
        <v>1</v>
      </c>
      <c r="CS1037" t="s">
        <v>4198</v>
      </c>
    </row>
    <row r="1038" spans="2:97">
      <c r="B1038" t="s">
        <v>2009</v>
      </c>
      <c r="C1038" s="2" t="s">
        <v>2010</v>
      </c>
      <c r="D1038" s="25"/>
      <c r="E1038" s="21" t="s">
        <v>920</v>
      </c>
      <c r="F1038" s="21" t="s">
        <v>115</v>
      </c>
      <c r="G1038" s="23">
        <v>1</v>
      </c>
      <c r="H1038" s="1"/>
      <c r="I1038" s="1">
        <f>1811-33</f>
        <v>1778</v>
      </c>
      <c r="J1038" t="s">
        <v>69</v>
      </c>
      <c r="K1038" t="s">
        <v>12</v>
      </c>
      <c r="N1038">
        <v>1</v>
      </c>
      <c r="Q1038">
        <v>5</v>
      </c>
      <c r="R1038">
        <v>2</v>
      </c>
      <c r="T1038" s="5">
        <f t="shared" si="49"/>
        <v>163.26</v>
      </c>
      <c r="U1038" t="s">
        <v>1987</v>
      </c>
      <c r="AM1038" s="6">
        <v>1</v>
      </c>
      <c r="AN1038" s="6">
        <v>1</v>
      </c>
      <c r="AO1038" s="6">
        <v>1</v>
      </c>
      <c r="AP1038" s="6">
        <v>1</v>
      </c>
      <c r="AQ1038" s="6">
        <v>1</v>
      </c>
      <c r="AR1038" s="6">
        <v>1</v>
      </c>
      <c r="AS1038" s="6">
        <v>1</v>
      </c>
      <c r="AT1038" s="7">
        <v>1</v>
      </c>
      <c r="BC1038" t="s">
        <v>2011</v>
      </c>
      <c r="BD1038" s="7" t="s">
        <v>26</v>
      </c>
      <c r="BE1038" t="s">
        <v>2012</v>
      </c>
      <c r="BF1038" s="1" t="s">
        <v>29</v>
      </c>
      <c r="BG1038" s="1">
        <v>3</v>
      </c>
      <c r="BH1038">
        <v>3</v>
      </c>
      <c r="BK1038" s="1">
        <v>1</v>
      </c>
      <c r="BQ1038">
        <v>1</v>
      </c>
      <c r="BY1038">
        <v>1</v>
      </c>
      <c r="CS1038" s="7" t="s">
        <v>2013</v>
      </c>
    </row>
    <row r="1039" spans="2:97">
      <c r="B1039" t="s">
        <v>3474</v>
      </c>
      <c r="C1039" s="2" t="s">
        <v>3475</v>
      </c>
      <c r="D1039" s="2" t="s">
        <v>3475</v>
      </c>
      <c r="E1039" s="21" t="s">
        <v>920</v>
      </c>
      <c r="F1039" s="21" t="s">
        <v>115</v>
      </c>
      <c r="G1039" s="23">
        <v>1</v>
      </c>
      <c r="H1039" s="1"/>
      <c r="I1039" s="1">
        <f>1806-22</f>
        <v>1784</v>
      </c>
      <c r="J1039" t="s">
        <v>69</v>
      </c>
      <c r="K1039" t="s">
        <v>12</v>
      </c>
      <c r="N1039">
        <v>1</v>
      </c>
      <c r="Q1039">
        <v>5</v>
      </c>
      <c r="R1039">
        <v>2</v>
      </c>
      <c r="T1039" s="5">
        <f t="shared" si="49"/>
        <v>163.26</v>
      </c>
      <c r="U1039" t="s">
        <v>3476</v>
      </c>
      <c r="AM1039" s="6">
        <v>1</v>
      </c>
      <c r="AN1039" s="6">
        <v>1</v>
      </c>
      <c r="AO1039" s="7">
        <v>1</v>
      </c>
      <c r="BC1039" s="9" t="s">
        <v>3477</v>
      </c>
      <c r="BD1039" s="7" t="s">
        <v>103</v>
      </c>
      <c r="BE1039" t="s">
        <v>1502</v>
      </c>
      <c r="BF1039" s="1" t="s">
        <v>29</v>
      </c>
      <c r="BG1039" s="1">
        <v>3</v>
      </c>
      <c r="BH1039">
        <v>1</v>
      </c>
      <c r="BK1039" s="1">
        <v>1</v>
      </c>
      <c r="BQ1039">
        <v>1</v>
      </c>
      <c r="CS1039" s="7" t="s">
        <v>1421</v>
      </c>
    </row>
    <row r="1040" spans="2:97">
      <c r="B1040" t="s">
        <v>1211</v>
      </c>
      <c r="C1040" s="2" t="s">
        <v>1212</v>
      </c>
      <c r="D1040" s="15"/>
      <c r="F1040" s="8" t="s">
        <v>65</v>
      </c>
      <c r="G1040" s="1">
        <v>1</v>
      </c>
      <c r="H1040" s="1"/>
      <c r="I1040" s="1">
        <f t="shared" si="48"/>
        <v>1785</v>
      </c>
      <c r="J1040" t="s">
        <v>10</v>
      </c>
      <c r="K1040" t="s">
        <v>12</v>
      </c>
      <c r="Q1040">
        <v>5</v>
      </c>
      <c r="R1040">
        <v>2</v>
      </c>
      <c r="S1040">
        <v>2</v>
      </c>
      <c r="T1040" s="5">
        <f t="shared" si="49"/>
        <v>163.69999999999999</v>
      </c>
      <c r="U1040" t="s">
        <v>1213</v>
      </c>
      <c r="AM1040" s="6">
        <v>1</v>
      </c>
      <c r="AN1040" s="6">
        <v>1</v>
      </c>
      <c r="AO1040" s="6">
        <v>1</v>
      </c>
      <c r="AP1040" s="6">
        <v>1</v>
      </c>
      <c r="AQ1040" s="7">
        <v>1</v>
      </c>
      <c r="BC1040" t="s">
        <v>1214</v>
      </c>
      <c r="BD1040" s="7" t="s">
        <v>26</v>
      </c>
      <c r="BE1040" t="s">
        <v>151</v>
      </c>
      <c r="BF1040" s="1" t="s">
        <v>29</v>
      </c>
      <c r="BG1040" s="1">
        <v>9</v>
      </c>
      <c r="BH1040">
        <v>2</v>
      </c>
      <c r="BK1040" s="1">
        <v>1</v>
      </c>
      <c r="BQ1040">
        <v>1</v>
      </c>
      <c r="CL1040">
        <v>1</v>
      </c>
      <c r="CS1040" s="7" t="s">
        <v>1215</v>
      </c>
    </row>
    <row r="1041" spans="2:98">
      <c r="B1041" t="s">
        <v>1241</v>
      </c>
      <c r="C1041" s="2" t="s">
        <v>1212</v>
      </c>
      <c r="D1041" s="15"/>
      <c r="F1041" s="8" t="s">
        <v>65</v>
      </c>
      <c r="G1041" s="1">
        <v>1</v>
      </c>
      <c r="H1041" s="1"/>
      <c r="I1041" s="1">
        <f>1805-23</f>
        <v>1782</v>
      </c>
      <c r="J1041" t="s">
        <v>10</v>
      </c>
      <c r="K1041" t="s">
        <v>12</v>
      </c>
      <c r="Q1041">
        <v>5</v>
      </c>
      <c r="R1041">
        <v>2</v>
      </c>
      <c r="T1041" s="5">
        <f t="shared" si="49"/>
        <v>163.26</v>
      </c>
      <c r="U1041" t="s">
        <v>1213</v>
      </c>
      <c r="AM1041" s="6">
        <v>1</v>
      </c>
      <c r="AN1041" s="6">
        <v>1</v>
      </c>
      <c r="AO1041" s="7">
        <v>1</v>
      </c>
      <c r="BC1041" t="s">
        <v>1242</v>
      </c>
      <c r="BD1041" s="7" t="s">
        <v>280</v>
      </c>
      <c r="BE1041" t="s">
        <v>1065</v>
      </c>
      <c r="BF1041" s="1" t="s">
        <v>29</v>
      </c>
      <c r="BG1041" s="1">
        <v>3</v>
      </c>
      <c r="BH1041">
        <v>1</v>
      </c>
      <c r="BK1041" s="1">
        <v>1</v>
      </c>
      <c r="BQ1041">
        <v>1</v>
      </c>
      <c r="CN1041">
        <v>1</v>
      </c>
      <c r="CS1041" s="7" t="s">
        <v>1243</v>
      </c>
    </row>
    <row r="1042" spans="2:98">
      <c r="B1042" t="s">
        <v>4175</v>
      </c>
      <c r="C1042" s="2" t="s">
        <v>1137</v>
      </c>
      <c r="D1042" s="15"/>
      <c r="E1042" s="8" t="s">
        <v>1074</v>
      </c>
      <c r="F1042" s="8" t="s">
        <v>247</v>
      </c>
      <c r="G1042" s="1">
        <v>1</v>
      </c>
      <c r="H1042" s="1"/>
      <c r="I1042" s="1">
        <f>1805-20</f>
        <v>1785</v>
      </c>
      <c r="J1042" t="s">
        <v>10</v>
      </c>
      <c r="K1042" t="s">
        <v>12</v>
      </c>
      <c r="Q1042">
        <v>5</v>
      </c>
      <c r="R1042">
        <v>2</v>
      </c>
      <c r="S1042">
        <v>2</v>
      </c>
      <c r="T1042" s="5">
        <f t="shared" si="49"/>
        <v>163.69999999999999</v>
      </c>
      <c r="U1042" t="s">
        <v>1213</v>
      </c>
      <c r="AM1042" s="6">
        <v>1</v>
      </c>
      <c r="AN1042" s="6">
        <v>1</v>
      </c>
      <c r="AO1042" s="6">
        <v>1</v>
      </c>
      <c r="AP1042" s="6">
        <v>1</v>
      </c>
      <c r="AQ1042" s="6">
        <v>1</v>
      </c>
      <c r="AR1042" s="7">
        <v>1</v>
      </c>
      <c r="BC1042" t="s">
        <v>2364</v>
      </c>
      <c r="BD1042" s="7" t="s">
        <v>109</v>
      </c>
      <c r="BE1042" t="s">
        <v>1065</v>
      </c>
      <c r="BF1042" s="1" t="s">
        <v>29</v>
      </c>
      <c r="BG1042" s="1">
        <v>6</v>
      </c>
      <c r="BH1042">
        <v>1</v>
      </c>
      <c r="BK1042" s="1">
        <v>1</v>
      </c>
      <c r="BQ1042">
        <v>1</v>
      </c>
      <c r="CH1042">
        <v>1</v>
      </c>
      <c r="CS1042" s="7" t="s">
        <v>1593</v>
      </c>
    </row>
    <row r="1043" spans="2:98">
      <c r="B1043" t="s">
        <v>1252</v>
      </c>
      <c r="C1043" s="2" t="s">
        <v>1253</v>
      </c>
      <c r="D1043" s="15"/>
      <c r="E1043" s="8" t="s">
        <v>1074</v>
      </c>
      <c r="F1043" s="8" t="s">
        <v>247</v>
      </c>
      <c r="G1043" s="1">
        <v>1</v>
      </c>
      <c r="H1043" s="1"/>
      <c r="I1043" s="1">
        <f>1805-18</f>
        <v>1787</v>
      </c>
      <c r="J1043" t="s">
        <v>10</v>
      </c>
      <c r="K1043" t="s">
        <v>12</v>
      </c>
      <c r="Q1043">
        <v>5</v>
      </c>
      <c r="R1043">
        <v>1</v>
      </c>
      <c r="S1043">
        <v>2</v>
      </c>
      <c r="T1043" s="5">
        <f t="shared" si="49"/>
        <v>161.07</v>
      </c>
      <c r="U1043" t="s">
        <v>1213</v>
      </c>
      <c r="AM1043" s="6">
        <v>1</v>
      </c>
      <c r="AN1043" s="6">
        <v>1</v>
      </c>
      <c r="AO1043" s="7">
        <v>1</v>
      </c>
      <c r="BC1043" t="s">
        <v>1254</v>
      </c>
      <c r="BD1043" s="7" t="s">
        <v>103</v>
      </c>
      <c r="BE1043" t="s">
        <v>1065</v>
      </c>
      <c r="BF1043" s="1" t="s">
        <v>29</v>
      </c>
      <c r="BG1043" s="1">
        <v>3</v>
      </c>
      <c r="BH1043">
        <v>1</v>
      </c>
      <c r="BK1043" s="1">
        <v>1</v>
      </c>
      <c r="BQ1043">
        <v>1</v>
      </c>
      <c r="CS1043" s="7" t="s">
        <v>203</v>
      </c>
    </row>
    <row r="1044" spans="2:98">
      <c r="B1044" t="s">
        <v>2387</v>
      </c>
      <c r="C1044" s="13" t="s">
        <v>2388</v>
      </c>
      <c r="D1044" s="15"/>
      <c r="E1044" s="8" t="s">
        <v>832</v>
      </c>
      <c r="F1044" s="8" t="s">
        <v>65</v>
      </c>
      <c r="G1044" s="1">
        <v>1</v>
      </c>
      <c r="H1044" s="1"/>
      <c r="I1044" s="1">
        <f>1811-32</f>
        <v>1779</v>
      </c>
      <c r="J1044" t="s">
        <v>10</v>
      </c>
      <c r="K1044" t="s">
        <v>12</v>
      </c>
      <c r="Q1044">
        <v>5</v>
      </c>
      <c r="R1044">
        <v>4</v>
      </c>
      <c r="S1044">
        <v>2</v>
      </c>
      <c r="T1044" s="5">
        <f t="shared" si="49"/>
        <v>168.96</v>
      </c>
      <c r="U1044" t="s">
        <v>1213</v>
      </c>
      <c r="AM1044" s="6">
        <v>1</v>
      </c>
      <c r="AN1044" s="6">
        <v>1</v>
      </c>
      <c r="AO1044" s="6">
        <v>1</v>
      </c>
      <c r="AP1044" s="6">
        <v>1</v>
      </c>
      <c r="AQ1044" s="6">
        <v>1</v>
      </c>
      <c r="AR1044" s="6">
        <v>1</v>
      </c>
      <c r="AS1044" s="7">
        <v>1</v>
      </c>
      <c r="BC1044" t="s">
        <v>2389</v>
      </c>
      <c r="BD1044" s="7" t="s">
        <v>959</v>
      </c>
      <c r="BE1044" s="7" t="s">
        <v>2390</v>
      </c>
      <c r="BF1044" s="1" t="s">
        <v>29</v>
      </c>
      <c r="BG1044" s="1">
        <v>2</v>
      </c>
      <c r="BH1044">
        <v>4</v>
      </c>
      <c r="BK1044" s="1">
        <v>1</v>
      </c>
      <c r="BQ1044">
        <v>1</v>
      </c>
      <c r="BY1044">
        <v>1</v>
      </c>
      <c r="CB1044" s="7">
        <v>1</v>
      </c>
      <c r="CL1044">
        <v>1</v>
      </c>
      <c r="CS1044" s="7" t="s">
        <v>4599</v>
      </c>
    </row>
    <row r="1045" spans="2:98">
      <c r="B1045" t="s">
        <v>3574</v>
      </c>
      <c r="C1045" s="2" t="s">
        <v>1435</v>
      </c>
      <c r="D1045" s="2" t="s">
        <v>1435</v>
      </c>
      <c r="E1045" s="8" t="s">
        <v>2586</v>
      </c>
      <c r="F1045" s="8" t="s">
        <v>65</v>
      </c>
      <c r="G1045" s="1">
        <v>1</v>
      </c>
      <c r="H1045" s="1"/>
      <c r="I1045" s="1">
        <f>1805-22</f>
        <v>1783</v>
      </c>
      <c r="J1045" t="s">
        <v>10</v>
      </c>
      <c r="K1045" t="s">
        <v>3575</v>
      </c>
      <c r="Q1045">
        <v>5</v>
      </c>
      <c r="T1045" s="5">
        <f t="shared" si="49"/>
        <v>158</v>
      </c>
      <c r="U1045" t="s">
        <v>1095</v>
      </c>
      <c r="AM1045" s="6">
        <v>1</v>
      </c>
      <c r="AN1045" s="6">
        <v>1</v>
      </c>
      <c r="BC1045">
        <v>1806</v>
      </c>
      <c r="BD1045" t="s">
        <v>81</v>
      </c>
      <c r="BE1045" s="10" t="s">
        <v>3526</v>
      </c>
      <c r="BF1045" s="1" t="s">
        <v>73</v>
      </c>
      <c r="BG1045" s="1">
        <v>2</v>
      </c>
      <c r="BH1045">
        <v>2</v>
      </c>
      <c r="BI1045">
        <v>1</v>
      </c>
      <c r="BK1045" s="1">
        <v>1</v>
      </c>
      <c r="BQ1045">
        <v>1</v>
      </c>
      <c r="CL1045" s="10">
        <v>1</v>
      </c>
      <c r="CS1045" s="10" t="s">
        <v>3576</v>
      </c>
    </row>
    <row r="1046" spans="2:98">
      <c r="B1046" t="s">
        <v>3483</v>
      </c>
      <c r="C1046" s="2" t="s">
        <v>919</v>
      </c>
      <c r="D1046" s="2" t="s">
        <v>919</v>
      </c>
      <c r="E1046" s="8" t="s">
        <v>920</v>
      </c>
      <c r="F1046" s="8" t="s">
        <v>115</v>
      </c>
      <c r="G1046" s="1">
        <v>1</v>
      </c>
      <c r="H1046" s="1"/>
      <c r="I1046" s="1">
        <f>1806-19</f>
        <v>1787</v>
      </c>
      <c r="J1046" t="s">
        <v>10</v>
      </c>
      <c r="K1046" t="s">
        <v>12</v>
      </c>
      <c r="Q1046">
        <v>5</v>
      </c>
      <c r="R1046">
        <v>1</v>
      </c>
      <c r="T1046" s="5">
        <f t="shared" si="49"/>
        <v>160.63</v>
      </c>
      <c r="U1046" t="s">
        <v>2079</v>
      </c>
      <c r="AM1046" s="6">
        <v>1</v>
      </c>
      <c r="AN1046" s="6">
        <v>1</v>
      </c>
      <c r="AO1046" s="6">
        <v>1</v>
      </c>
      <c r="AP1046" s="7">
        <v>1</v>
      </c>
      <c r="BC1046" s="9" t="s">
        <v>3473</v>
      </c>
      <c r="BD1046" s="7" t="s">
        <v>280</v>
      </c>
      <c r="BE1046" t="s">
        <v>1502</v>
      </c>
      <c r="BF1046" s="1" t="s">
        <v>29</v>
      </c>
      <c r="BG1046" s="1">
        <v>3</v>
      </c>
      <c r="BH1046">
        <v>1</v>
      </c>
      <c r="BK1046" s="1">
        <v>1</v>
      </c>
      <c r="BQ1046">
        <v>1</v>
      </c>
      <c r="CN1046">
        <v>1</v>
      </c>
      <c r="CS1046" s="7" t="s">
        <v>947</v>
      </c>
    </row>
    <row r="1047" spans="2:98">
      <c r="B1047" t="s">
        <v>2080</v>
      </c>
      <c r="C1047" s="2" t="s">
        <v>919</v>
      </c>
      <c r="D1047" s="2" t="s">
        <v>919</v>
      </c>
      <c r="E1047" s="8" t="s">
        <v>920</v>
      </c>
      <c r="F1047" s="8" t="s">
        <v>115</v>
      </c>
      <c r="G1047" s="1">
        <v>1</v>
      </c>
      <c r="H1047" s="1"/>
      <c r="I1047" s="1">
        <f>1805-18</f>
        <v>1787</v>
      </c>
      <c r="J1047" t="s">
        <v>10</v>
      </c>
      <c r="K1047" t="s">
        <v>12</v>
      </c>
      <c r="Q1047">
        <v>5</v>
      </c>
      <c r="T1047" s="5">
        <f t="shared" si="49"/>
        <v>158</v>
      </c>
      <c r="U1047" t="s">
        <v>2079</v>
      </c>
      <c r="AM1047" s="6">
        <v>1</v>
      </c>
      <c r="AN1047" s="7">
        <v>1</v>
      </c>
      <c r="BC1047" t="s">
        <v>2081</v>
      </c>
      <c r="BD1047" s="7" t="s">
        <v>26</v>
      </c>
      <c r="BE1047" t="s">
        <v>1502</v>
      </c>
      <c r="BF1047" s="1" t="s">
        <v>29</v>
      </c>
      <c r="BG1047" s="1">
        <v>2</v>
      </c>
      <c r="BH1047">
        <v>1</v>
      </c>
      <c r="BK1047" s="1">
        <v>1</v>
      </c>
      <c r="BQ1047">
        <v>1</v>
      </c>
      <c r="CS1047" s="7" t="s">
        <v>2082</v>
      </c>
    </row>
    <row r="1048" spans="2:98">
      <c r="B1048" t="s">
        <v>2084</v>
      </c>
      <c r="C1048" s="2" t="s">
        <v>670</v>
      </c>
      <c r="D1048" s="2" t="s">
        <v>670</v>
      </c>
      <c r="E1048" s="8" t="s">
        <v>920</v>
      </c>
      <c r="F1048" s="8" t="s">
        <v>115</v>
      </c>
      <c r="G1048" s="1">
        <v>1</v>
      </c>
      <c r="H1048" s="1"/>
      <c r="I1048" s="1">
        <f>1805-20</f>
        <v>1785</v>
      </c>
      <c r="J1048" t="s">
        <v>10</v>
      </c>
      <c r="K1048" t="s">
        <v>12</v>
      </c>
      <c r="Q1048">
        <v>5</v>
      </c>
      <c r="T1048" s="5">
        <f t="shared" si="49"/>
        <v>158</v>
      </c>
      <c r="U1048" t="s">
        <v>2085</v>
      </c>
      <c r="AM1048" s="6">
        <v>1</v>
      </c>
      <c r="AN1048" s="7">
        <v>1</v>
      </c>
      <c r="BC1048" t="s">
        <v>1501</v>
      </c>
      <c r="BD1048" s="7" t="s">
        <v>109</v>
      </c>
      <c r="BE1048" t="s">
        <v>1502</v>
      </c>
      <c r="BF1048" s="1" t="s">
        <v>29</v>
      </c>
      <c r="BG1048" s="1">
        <v>2</v>
      </c>
      <c r="BH1048">
        <v>1</v>
      </c>
      <c r="BK1048" s="1">
        <v>1</v>
      </c>
      <c r="BQ1048">
        <v>1</v>
      </c>
      <c r="CS1048" s="7" t="s">
        <v>1602</v>
      </c>
    </row>
    <row r="1049" spans="2:98">
      <c r="B1049" t="s">
        <v>2375</v>
      </c>
      <c r="C1049" s="13" t="s">
        <v>2376</v>
      </c>
      <c r="D1049" s="13" t="s">
        <v>2376</v>
      </c>
      <c r="E1049" s="8" t="s">
        <v>1735</v>
      </c>
      <c r="F1049" s="8" t="s">
        <v>115</v>
      </c>
      <c r="G1049" s="1">
        <v>1</v>
      </c>
      <c r="H1049" s="1"/>
      <c r="I1049" s="1">
        <f>1811-24</f>
        <v>1787</v>
      </c>
      <c r="J1049" t="s">
        <v>10</v>
      </c>
      <c r="K1049" t="s">
        <v>12</v>
      </c>
      <c r="Q1049">
        <v>5</v>
      </c>
      <c r="T1049" s="5">
        <f t="shared" si="49"/>
        <v>158</v>
      </c>
      <c r="U1049" t="s">
        <v>2377</v>
      </c>
      <c r="AM1049" s="6">
        <v>1</v>
      </c>
      <c r="AN1049" s="6">
        <v>1</v>
      </c>
      <c r="AO1049" s="6">
        <v>1</v>
      </c>
      <c r="AP1049" s="6">
        <v>1</v>
      </c>
      <c r="AQ1049" s="6">
        <v>1</v>
      </c>
      <c r="AR1049" s="6">
        <v>1</v>
      </c>
      <c r="AS1049" s="6">
        <v>1</v>
      </c>
      <c r="AT1049" s="6">
        <v>1</v>
      </c>
      <c r="AU1049" s="6">
        <v>1</v>
      </c>
      <c r="AV1049" s="6">
        <v>1</v>
      </c>
      <c r="AW1049" s="6">
        <v>1</v>
      </c>
      <c r="AX1049" s="6">
        <v>1</v>
      </c>
      <c r="AY1049" s="7">
        <v>1</v>
      </c>
      <c r="BC1049" t="s">
        <v>1517</v>
      </c>
      <c r="BD1049" s="7" t="s">
        <v>103</v>
      </c>
      <c r="BE1049" t="s">
        <v>118</v>
      </c>
      <c r="BF1049" s="1" t="s">
        <v>29</v>
      </c>
      <c r="BG1049" s="1">
        <v>2</v>
      </c>
      <c r="BH1049">
        <v>2</v>
      </c>
      <c r="BK1049" s="1">
        <v>1</v>
      </c>
      <c r="BQ1049">
        <v>1</v>
      </c>
      <c r="CL1049">
        <v>1</v>
      </c>
      <c r="CS1049" s="7" t="s">
        <v>1518</v>
      </c>
    </row>
    <row r="1050" spans="2:98">
      <c r="B1050" t="s">
        <v>2668</v>
      </c>
      <c r="C1050" s="2" t="s">
        <v>1208</v>
      </c>
      <c r="D1050" s="13"/>
      <c r="E1050" s="8" t="s">
        <v>2669</v>
      </c>
      <c r="F1050" s="8" t="s">
        <v>247</v>
      </c>
      <c r="G1050" s="1">
        <v>1</v>
      </c>
      <c r="H1050" s="1"/>
      <c r="I1050" s="1">
        <f>1808-20</f>
        <v>1788</v>
      </c>
      <c r="J1050" t="s">
        <v>10</v>
      </c>
      <c r="K1050" t="s">
        <v>12</v>
      </c>
      <c r="Q1050">
        <v>5</v>
      </c>
      <c r="R1050">
        <v>3</v>
      </c>
      <c r="S1050">
        <v>2</v>
      </c>
      <c r="T1050" s="5">
        <f t="shared" si="49"/>
        <v>166.33</v>
      </c>
      <c r="U1050" t="s">
        <v>2670</v>
      </c>
      <c r="AM1050" s="6">
        <v>1</v>
      </c>
      <c r="AN1050" s="6">
        <v>1</v>
      </c>
      <c r="AO1050" s="6">
        <v>1</v>
      </c>
      <c r="AP1050" s="6">
        <v>1</v>
      </c>
      <c r="AQ1050" s="7">
        <v>1</v>
      </c>
      <c r="BC1050" t="s">
        <v>2671</v>
      </c>
      <c r="BD1050" s="7" t="s">
        <v>305</v>
      </c>
      <c r="BE1050" t="s">
        <v>1065</v>
      </c>
      <c r="BF1050" s="1" t="s">
        <v>29</v>
      </c>
      <c r="BG1050" s="1">
        <v>4</v>
      </c>
      <c r="BH1050">
        <v>1</v>
      </c>
      <c r="BK1050" s="1">
        <v>1</v>
      </c>
      <c r="BQ1050">
        <v>1</v>
      </c>
      <c r="CM1050">
        <v>1</v>
      </c>
      <c r="CS1050" s="7" t="s">
        <v>4093</v>
      </c>
    </row>
    <row r="1051" spans="2:98">
      <c r="B1051" t="s">
        <v>2420</v>
      </c>
      <c r="C1051" s="13" t="s">
        <v>2421</v>
      </c>
      <c r="D1051" s="13" t="s">
        <v>2421</v>
      </c>
      <c r="E1051" s="8" t="s">
        <v>869</v>
      </c>
      <c r="F1051" s="8" t="s">
        <v>65</v>
      </c>
      <c r="G1051" s="1">
        <v>1</v>
      </c>
      <c r="H1051" s="1"/>
      <c r="I1051" s="1">
        <f>1817-32</f>
        <v>1785</v>
      </c>
      <c r="J1051" t="s">
        <v>10</v>
      </c>
      <c r="K1051" t="s">
        <v>2422</v>
      </c>
      <c r="Q1051">
        <v>5</v>
      </c>
      <c r="R1051">
        <v>4</v>
      </c>
      <c r="T1051" s="5">
        <f t="shared" si="49"/>
        <v>168.52</v>
      </c>
      <c r="U1051" t="s">
        <v>2423</v>
      </c>
      <c r="AM1051" s="6">
        <v>1</v>
      </c>
      <c r="AN1051" s="6">
        <v>1</v>
      </c>
      <c r="AO1051" s="6">
        <v>1</v>
      </c>
      <c r="AP1051" s="6">
        <v>1</v>
      </c>
      <c r="AQ1051" s="6">
        <v>1</v>
      </c>
      <c r="AR1051" s="6">
        <v>1</v>
      </c>
      <c r="AS1051" s="6">
        <v>1</v>
      </c>
      <c r="AT1051" s="6">
        <v>1</v>
      </c>
      <c r="AU1051" s="6">
        <v>1</v>
      </c>
      <c r="AV1051" s="6">
        <v>1</v>
      </c>
      <c r="AW1051" s="6">
        <v>1</v>
      </c>
      <c r="AX1051" s="6">
        <v>1</v>
      </c>
      <c r="AY1051" s="6">
        <v>1</v>
      </c>
      <c r="AZ1051" s="7">
        <v>1</v>
      </c>
      <c r="BC1051" t="s">
        <v>2424</v>
      </c>
      <c r="BD1051" s="7" t="s">
        <v>103</v>
      </c>
      <c r="BE1051" t="s">
        <v>2012</v>
      </c>
      <c r="BF1051" s="1" t="s">
        <v>29</v>
      </c>
      <c r="BG1051" s="1">
        <v>3</v>
      </c>
      <c r="BH1051">
        <v>4</v>
      </c>
      <c r="BK1051" s="1">
        <v>1</v>
      </c>
      <c r="BQ1051">
        <v>1</v>
      </c>
      <c r="BX1051">
        <v>1</v>
      </c>
      <c r="BY1051">
        <v>1</v>
      </c>
      <c r="CL1051">
        <v>1</v>
      </c>
      <c r="CS1051" s="7" t="s">
        <v>1226</v>
      </c>
    </row>
    <row r="1052" spans="2:98">
      <c r="B1052" t="s">
        <v>2087</v>
      </c>
      <c r="C1052" s="2" t="s">
        <v>2088</v>
      </c>
      <c r="D1052" s="2" t="s">
        <v>2088</v>
      </c>
      <c r="E1052" s="8" t="s">
        <v>920</v>
      </c>
      <c r="F1052" s="8" t="s">
        <v>115</v>
      </c>
      <c r="G1052" s="1">
        <v>1</v>
      </c>
      <c r="H1052" s="1"/>
      <c r="I1052" s="1">
        <f>1805-19</f>
        <v>1786</v>
      </c>
      <c r="J1052" t="s">
        <v>10</v>
      </c>
      <c r="K1052" t="s">
        <v>12</v>
      </c>
      <c r="Q1052">
        <v>5</v>
      </c>
      <c r="R1052">
        <v>4</v>
      </c>
      <c r="T1052" s="5">
        <f t="shared" si="49"/>
        <v>168.52</v>
      </c>
      <c r="U1052" t="s">
        <v>2086</v>
      </c>
      <c r="AM1052" s="6">
        <v>1</v>
      </c>
      <c r="AN1052" s="7">
        <v>1</v>
      </c>
      <c r="BC1052" t="s">
        <v>1501</v>
      </c>
      <c r="BD1052" s="7" t="s">
        <v>103</v>
      </c>
      <c r="BE1052" t="s">
        <v>1502</v>
      </c>
      <c r="BF1052" s="1" t="s">
        <v>29</v>
      </c>
      <c r="BG1052" s="1">
        <v>3</v>
      </c>
      <c r="BH1052">
        <v>1</v>
      </c>
      <c r="BK1052" s="1">
        <v>1</v>
      </c>
      <c r="BQ1052">
        <v>1</v>
      </c>
      <c r="CS1052" s="7" t="s">
        <v>2089</v>
      </c>
    </row>
    <row r="1053" spans="2:98">
      <c r="B1053" t="s">
        <v>2384</v>
      </c>
      <c r="C1053" s="2" t="s">
        <v>2385</v>
      </c>
      <c r="D1053" s="15"/>
      <c r="E1053" s="8" t="s">
        <v>696</v>
      </c>
      <c r="F1053" s="8" t="s">
        <v>115</v>
      </c>
      <c r="G1053" s="1">
        <v>1</v>
      </c>
      <c r="H1053" s="1"/>
      <c r="I1053" s="1">
        <f>1811-24</f>
        <v>1787</v>
      </c>
      <c r="J1053" t="s">
        <v>10</v>
      </c>
      <c r="K1053" t="s">
        <v>12</v>
      </c>
      <c r="Q1053">
        <v>5</v>
      </c>
      <c r="R1053">
        <v>5</v>
      </c>
      <c r="S1053">
        <v>1</v>
      </c>
      <c r="T1053" s="5">
        <f t="shared" si="49"/>
        <v>171.37</v>
      </c>
      <c r="U1053" s="9" t="s">
        <v>2383</v>
      </c>
      <c r="AN1053" s="6">
        <v>1</v>
      </c>
      <c r="AO1053" s="6">
        <v>1</v>
      </c>
      <c r="AP1053" s="6">
        <v>1</v>
      </c>
      <c r="AQ1053" s="6">
        <v>1</v>
      </c>
      <c r="AR1053" s="6">
        <v>1</v>
      </c>
      <c r="AS1053" s="6">
        <v>1</v>
      </c>
      <c r="AT1053" s="6">
        <v>1</v>
      </c>
      <c r="AU1053" s="6">
        <v>1</v>
      </c>
      <c r="AV1053" s="6">
        <v>1</v>
      </c>
      <c r="AW1053" s="6">
        <v>1</v>
      </c>
      <c r="AX1053" s="6">
        <v>1</v>
      </c>
      <c r="AY1053" s="7">
        <v>1</v>
      </c>
      <c r="BC1053" t="s">
        <v>1517</v>
      </c>
      <c r="BD1053" s="7" t="s">
        <v>103</v>
      </c>
      <c r="BE1053" t="s">
        <v>118</v>
      </c>
      <c r="BF1053" s="1" t="s">
        <v>29</v>
      </c>
      <c r="BG1053" s="1">
        <v>2</v>
      </c>
      <c r="BH1053">
        <v>3</v>
      </c>
      <c r="BK1053" s="1">
        <v>1</v>
      </c>
      <c r="BQ1053">
        <v>1</v>
      </c>
      <c r="BX1053">
        <v>1</v>
      </c>
      <c r="CL1053">
        <v>1</v>
      </c>
      <c r="CS1053" s="7" t="s">
        <v>1518</v>
      </c>
    </row>
    <row r="1054" spans="2:98">
      <c r="B1054" t="s">
        <v>2132</v>
      </c>
      <c r="C1054" s="2" t="s">
        <v>160</v>
      </c>
      <c r="D1054" s="3" t="s">
        <v>2133</v>
      </c>
      <c r="E1054" s="8" t="s">
        <v>837</v>
      </c>
      <c r="F1054" s="8" t="s">
        <v>115</v>
      </c>
      <c r="G1054" s="1">
        <v>1</v>
      </c>
      <c r="H1054" s="1"/>
      <c r="I1054" s="1">
        <f>1806-24</f>
        <v>1782</v>
      </c>
      <c r="J1054" t="s">
        <v>69</v>
      </c>
      <c r="K1054" t="s">
        <v>12</v>
      </c>
      <c r="T1054" s="5"/>
      <c r="U1054" s="9" t="s">
        <v>2130</v>
      </c>
      <c r="AN1054" s="7">
        <v>1</v>
      </c>
      <c r="BC1054" t="s">
        <v>2134</v>
      </c>
      <c r="BD1054" s="7" t="s">
        <v>103</v>
      </c>
      <c r="BE1054" t="s">
        <v>1564</v>
      </c>
      <c r="BF1054" s="1" t="s">
        <v>29</v>
      </c>
      <c r="BG1054" s="1">
        <v>3</v>
      </c>
      <c r="BH1054">
        <v>1</v>
      </c>
      <c r="BK1054" s="1">
        <v>1</v>
      </c>
      <c r="BQ1054">
        <v>1</v>
      </c>
      <c r="CM1054">
        <v>1</v>
      </c>
      <c r="CS1054" s="7" t="s">
        <v>1565</v>
      </c>
      <c r="CT1054" s="9" t="s">
        <v>2131</v>
      </c>
    </row>
    <row r="1055" spans="2:98">
      <c r="B1055" t="s">
        <v>2083</v>
      </c>
      <c r="C1055" s="13" t="s">
        <v>2047</v>
      </c>
      <c r="D1055" s="13" t="s">
        <v>2047</v>
      </c>
      <c r="E1055" s="8" t="s">
        <v>1735</v>
      </c>
      <c r="F1055" s="8" t="s">
        <v>115</v>
      </c>
      <c r="G1055" s="1">
        <v>1</v>
      </c>
      <c r="H1055" s="1"/>
      <c r="I1055" s="1">
        <f>1811-36</f>
        <v>1775</v>
      </c>
      <c r="J1055" t="s">
        <v>69</v>
      </c>
      <c r="K1055" t="s">
        <v>12</v>
      </c>
      <c r="N1055">
        <v>1</v>
      </c>
      <c r="Q1055">
        <v>5</v>
      </c>
      <c r="R1055">
        <v>6</v>
      </c>
      <c r="T1055" s="5">
        <f t="shared" si="49"/>
        <v>173.78</v>
      </c>
      <c r="U1055" t="s">
        <v>2048</v>
      </c>
      <c r="AN1055" s="6">
        <v>1</v>
      </c>
      <c r="AO1055" s="6">
        <v>1</v>
      </c>
      <c r="AP1055" s="6">
        <v>1</v>
      </c>
      <c r="AQ1055" s="6">
        <v>1</v>
      </c>
      <c r="AR1055" s="6">
        <v>1</v>
      </c>
      <c r="AS1055" s="6">
        <v>1</v>
      </c>
      <c r="AT1055" s="6">
        <v>1</v>
      </c>
      <c r="AU1055" s="6">
        <v>1</v>
      </c>
      <c r="AV1055" s="6">
        <v>1</v>
      </c>
      <c r="AW1055" s="6">
        <v>1</v>
      </c>
      <c r="AX1055" s="6">
        <v>1</v>
      </c>
      <c r="AY1055" s="7">
        <v>1</v>
      </c>
      <c r="BC1055" t="s">
        <v>1517</v>
      </c>
      <c r="BD1055" s="7" t="s">
        <v>103</v>
      </c>
      <c r="BE1055" t="s">
        <v>118</v>
      </c>
      <c r="BF1055" s="1" t="s">
        <v>29</v>
      </c>
      <c r="BG1055" s="1">
        <v>2</v>
      </c>
      <c r="BH1055">
        <v>3</v>
      </c>
      <c r="BK1055" s="1">
        <v>1</v>
      </c>
      <c r="BQ1055">
        <v>1</v>
      </c>
      <c r="CL1055">
        <v>1</v>
      </c>
      <c r="CS1055" s="7" t="s">
        <v>1518</v>
      </c>
    </row>
    <row r="1056" spans="2:98">
      <c r="B1056" t="s">
        <v>4720</v>
      </c>
      <c r="C1056" s="2" t="s">
        <v>422</v>
      </c>
      <c r="D1056" s="2" t="s">
        <v>422</v>
      </c>
      <c r="F1056" s="8" t="s">
        <v>416</v>
      </c>
      <c r="G1056" s="1">
        <v>1</v>
      </c>
      <c r="H1056" s="1"/>
      <c r="I1056" s="1">
        <f>1806-27</f>
        <v>1779</v>
      </c>
      <c r="J1056" t="s">
        <v>10</v>
      </c>
      <c r="K1056" t="s">
        <v>12</v>
      </c>
      <c r="Q1056">
        <v>5</v>
      </c>
      <c r="R1056">
        <v>1</v>
      </c>
      <c r="T1056" s="5">
        <f t="shared" si="49"/>
        <v>160.63</v>
      </c>
      <c r="U1056" t="s">
        <v>4721</v>
      </c>
      <c r="AN1056" s="6">
        <v>1</v>
      </c>
      <c r="BC1056">
        <v>1806</v>
      </c>
      <c r="BD1056" t="s">
        <v>81</v>
      </c>
      <c r="BE1056" t="s">
        <v>1564</v>
      </c>
      <c r="BF1056" s="1" t="s">
        <v>73</v>
      </c>
      <c r="BG1056" s="1">
        <v>2</v>
      </c>
      <c r="BH1056">
        <v>1</v>
      </c>
      <c r="BK1056" s="1">
        <v>1</v>
      </c>
      <c r="BQ1056">
        <v>1</v>
      </c>
      <c r="CS1056" t="s">
        <v>4703</v>
      </c>
    </row>
    <row r="1057" spans="2:98">
      <c r="B1057" t="s">
        <v>3235</v>
      </c>
      <c r="C1057" s="2" t="s">
        <v>1911</v>
      </c>
      <c r="D1057" s="2" t="s">
        <v>1911</v>
      </c>
      <c r="E1057" s="8" t="s">
        <v>1912</v>
      </c>
      <c r="F1057" s="8" t="s">
        <v>65</v>
      </c>
      <c r="G1057" s="1">
        <v>1</v>
      </c>
      <c r="H1057" s="1"/>
      <c r="I1057" s="1">
        <f>1806-19</f>
        <v>1787</v>
      </c>
      <c r="J1057" t="s">
        <v>10</v>
      </c>
      <c r="K1057" t="s">
        <v>12</v>
      </c>
      <c r="Q1057">
        <v>5</v>
      </c>
      <c r="R1057">
        <v>0</v>
      </c>
      <c r="S1057">
        <v>3</v>
      </c>
      <c r="T1057" s="5">
        <f t="shared" si="49"/>
        <v>158.66</v>
      </c>
      <c r="U1057" t="s">
        <v>3236</v>
      </c>
      <c r="AN1057" s="6">
        <v>1</v>
      </c>
      <c r="AO1057" s="6">
        <v>1</v>
      </c>
      <c r="AP1057" s="6">
        <v>1</v>
      </c>
      <c r="AQ1057" s="6">
        <v>1</v>
      </c>
      <c r="AR1057" s="6">
        <v>1</v>
      </c>
      <c r="AS1057" s="6">
        <v>1</v>
      </c>
      <c r="AT1057" s="6">
        <v>1</v>
      </c>
      <c r="AU1057" s="6">
        <v>1</v>
      </c>
      <c r="AV1057" s="7">
        <v>1</v>
      </c>
      <c r="BC1057" t="s">
        <v>3607</v>
      </c>
      <c r="BD1057" s="7" t="s">
        <v>959</v>
      </c>
      <c r="BE1057" s="7" t="s">
        <v>2390</v>
      </c>
      <c r="BF1057" s="1" t="s">
        <v>29</v>
      </c>
      <c r="BG1057" s="1">
        <v>10</v>
      </c>
      <c r="BH1057">
        <v>3</v>
      </c>
      <c r="BI1057">
        <v>1</v>
      </c>
      <c r="BJ1057">
        <v>1</v>
      </c>
      <c r="BK1057" s="30">
        <v>1</v>
      </c>
      <c r="BN1057" s="6">
        <v>1</v>
      </c>
      <c r="BQ1057">
        <v>1</v>
      </c>
      <c r="BY1057">
        <v>1</v>
      </c>
      <c r="CB1057" s="7">
        <v>1</v>
      </c>
      <c r="CL1057">
        <v>1</v>
      </c>
      <c r="CM1057">
        <v>1</v>
      </c>
      <c r="CN1057">
        <v>1</v>
      </c>
      <c r="CP1057">
        <v>1</v>
      </c>
      <c r="CR1057" s="9"/>
      <c r="CS1057" s="7" t="s">
        <v>4598</v>
      </c>
      <c r="CT1057" s="6" t="s">
        <v>2762</v>
      </c>
    </row>
    <row r="1058" spans="2:98">
      <c r="B1058" t="s">
        <v>1209</v>
      </c>
      <c r="C1058" s="2" t="s">
        <v>1208</v>
      </c>
      <c r="D1058" s="15"/>
      <c r="F1058" s="8" t="s">
        <v>247</v>
      </c>
      <c r="G1058" s="1">
        <v>1</v>
      </c>
      <c r="H1058" s="1"/>
      <c r="I1058" s="1">
        <f>1806-20</f>
        <v>1786</v>
      </c>
      <c r="J1058" t="s">
        <v>10</v>
      </c>
      <c r="K1058" t="s">
        <v>12</v>
      </c>
      <c r="Q1058">
        <v>5</v>
      </c>
      <c r="R1058">
        <v>3</v>
      </c>
      <c r="S1058">
        <v>2</v>
      </c>
      <c r="T1058" s="5">
        <f>((Q1058*316)+(R1058*26.3)+(S1058*2.2))/10</f>
        <v>166.33</v>
      </c>
      <c r="U1058" s="24" t="s">
        <v>1210</v>
      </c>
      <c r="AN1058" s="6">
        <v>1</v>
      </c>
      <c r="AO1058" s="7">
        <v>1</v>
      </c>
      <c r="BC1058" t="s">
        <v>1187</v>
      </c>
      <c r="BD1058" s="7" t="s">
        <v>103</v>
      </c>
      <c r="BE1058" t="s">
        <v>1065</v>
      </c>
      <c r="BF1058" s="1" t="s">
        <v>29</v>
      </c>
      <c r="BG1058" s="1">
        <v>3</v>
      </c>
      <c r="BH1058">
        <v>1</v>
      </c>
      <c r="BK1058" s="1">
        <v>1</v>
      </c>
      <c r="BQ1058">
        <v>1</v>
      </c>
      <c r="CS1058" s="7" t="s">
        <v>203</v>
      </c>
    </row>
    <row r="1059" spans="2:98">
      <c r="B1059" t="s">
        <v>1101</v>
      </c>
      <c r="C1059" s="2" t="s">
        <v>1102</v>
      </c>
      <c r="D1059" s="15"/>
      <c r="E1059" s="8" t="s">
        <v>1094</v>
      </c>
      <c r="F1059" s="8" t="s">
        <v>247</v>
      </c>
      <c r="G1059" s="1">
        <v>1</v>
      </c>
      <c r="H1059" s="1"/>
      <c r="I1059" s="1">
        <f>1806-19</f>
        <v>1787</v>
      </c>
      <c r="J1059" t="s">
        <v>10</v>
      </c>
      <c r="K1059" t="s">
        <v>12</v>
      </c>
      <c r="Q1059">
        <v>5</v>
      </c>
      <c r="R1059">
        <v>4</v>
      </c>
      <c r="S1059">
        <v>3</v>
      </c>
      <c r="T1059" s="5">
        <f>((Q1059*316)+(R1059*26.3)+(S1059*2.2))/10</f>
        <v>169.18</v>
      </c>
      <c r="U1059" t="s">
        <v>1097</v>
      </c>
      <c r="AN1059" s="6">
        <v>1</v>
      </c>
      <c r="AO1059" s="7">
        <v>1</v>
      </c>
      <c r="BC1059" t="s">
        <v>1103</v>
      </c>
      <c r="BD1059" s="7" t="s">
        <v>103</v>
      </c>
      <c r="BE1059" t="s">
        <v>1065</v>
      </c>
      <c r="BF1059" s="1" t="s">
        <v>29</v>
      </c>
      <c r="BG1059" s="1">
        <v>2</v>
      </c>
      <c r="BH1059">
        <v>1</v>
      </c>
      <c r="BK1059" s="1">
        <v>1</v>
      </c>
      <c r="BQ1059">
        <v>1</v>
      </c>
      <c r="CS1059" s="7" t="s">
        <v>475</v>
      </c>
    </row>
    <row r="1060" spans="2:98">
      <c r="B1060" t="s">
        <v>1098</v>
      </c>
      <c r="C1060" s="2" t="s">
        <v>1099</v>
      </c>
      <c r="D1060" s="15"/>
      <c r="E1060" s="8" t="s">
        <v>1094</v>
      </c>
      <c r="F1060" s="8" t="s">
        <v>247</v>
      </c>
      <c r="G1060" s="1">
        <v>1</v>
      </c>
      <c r="H1060" s="1"/>
      <c r="I1060" s="1">
        <f>1806-18</f>
        <v>1788</v>
      </c>
      <c r="J1060" t="s">
        <v>10</v>
      </c>
      <c r="K1060" t="s">
        <v>12</v>
      </c>
      <c r="Q1060">
        <v>5</v>
      </c>
      <c r="R1060">
        <v>2</v>
      </c>
      <c r="S1060">
        <v>2</v>
      </c>
      <c r="T1060" s="5">
        <f t="shared" ref="T1060:T1068" si="50">((Q1060*316)+(R1060*26.3)+(S1060*2.2))/10</f>
        <v>163.69999999999999</v>
      </c>
      <c r="U1060" t="s">
        <v>1097</v>
      </c>
      <c r="AN1060" s="7">
        <v>1</v>
      </c>
      <c r="BC1060" t="s">
        <v>1100</v>
      </c>
      <c r="BD1060" s="7" t="s">
        <v>103</v>
      </c>
      <c r="BE1060" t="s">
        <v>1065</v>
      </c>
      <c r="BF1060" s="1" t="s">
        <v>29</v>
      </c>
      <c r="BG1060" s="1">
        <v>2</v>
      </c>
      <c r="BH1060">
        <v>1</v>
      </c>
      <c r="BK1060" s="1">
        <v>1</v>
      </c>
      <c r="BQ1060">
        <v>1</v>
      </c>
      <c r="CS1060" s="7" t="s">
        <v>475</v>
      </c>
    </row>
    <row r="1061" spans="2:98">
      <c r="B1061" t="s">
        <v>1237</v>
      </c>
      <c r="C1061" s="2" t="s">
        <v>1087</v>
      </c>
      <c r="D1061" s="15"/>
      <c r="E1061" s="8" t="s">
        <v>1088</v>
      </c>
      <c r="F1061" s="8" t="s">
        <v>247</v>
      </c>
      <c r="G1061" s="1">
        <v>1</v>
      </c>
      <c r="H1061" s="1"/>
      <c r="I1061" s="1">
        <f>1806-26</f>
        <v>1780</v>
      </c>
      <c r="J1061" t="s">
        <v>10</v>
      </c>
      <c r="K1061" t="s">
        <v>12</v>
      </c>
      <c r="Q1061">
        <v>5</v>
      </c>
      <c r="R1061">
        <v>3</v>
      </c>
      <c r="T1061" s="5">
        <f t="shared" si="50"/>
        <v>165.89000000000001</v>
      </c>
      <c r="U1061" t="s">
        <v>1165</v>
      </c>
      <c r="AN1061" s="6">
        <v>1</v>
      </c>
      <c r="AO1061" s="7">
        <v>1</v>
      </c>
      <c r="BC1061" t="s">
        <v>1236</v>
      </c>
      <c r="BD1061" s="7" t="s">
        <v>103</v>
      </c>
      <c r="BE1061" t="s">
        <v>1065</v>
      </c>
      <c r="BF1061" s="1" t="s">
        <v>29</v>
      </c>
      <c r="BG1061" s="1">
        <v>3</v>
      </c>
      <c r="BH1061">
        <v>1</v>
      </c>
      <c r="BK1061" s="1">
        <v>1</v>
      </c>
      <c r="BQ1061">
        <v>1</v>
      </c>
      <c r="CS1061" s="7" t="s">
        <v>203</v>
      </c>
    </row>
    <row r="1062" spans="2:98">
      <c r="B1062" t="s">
        <v>1167</v>
      </c>
      <c r="C1062" s="2" t="s">
        <v>1166</v>
      </c>
      <c r="D1062" s="15"/>
      <c r="E1062" s="8" t="s">
        <v>1094</v>
      </c>
      <c r="F1062" s="8" t="s">
        <v>247</v>
      </c>
      <c r="G1062" s="1">
        <v>1</v>
      </c>
      <c r="H1062" s="1"/>
      <c r="I1062" s="1">
        <f>1806-28</f>
        <v>1778</v>
      </c>
      <c r="J1062" t="s">
        <v>69</v>
      </c>
      <c r="K1062" t="s">
        <v>12</v>
      </c>
      <c r="Q1062">
        <v>5</v>
      </c>
      <c r="R1062">
        <v>6</v>
      </c>
      <c r="S1062">
        <v>3</v>
      </c>
      <c r="T1062" s="5">
        <f t="shared" si="50"/>
        <v>174.44</v>
      </c>
      <c r="U1062" t="s">
        <v>1165</v>
      </c>
      <c r="AN1062" s="6">
        <v>1</v>
      </c>
      <c r="AO1062" s="7">
        <v>1</v>
      </c>
      <c r="BC1062" t="s">
        <v>1100</v>
      </c>
      <c r="BD1062" s="7" t="s">
        <v>103</v>
      </c>
      <c r="BE1062" t="s">
        <v>1065</v>
      </c>
      <c r="BF1062" s="1" t="s">
        <v>29</v>
      </c>
      <c r="BG1062" s="1">
        <v>3</v>
      </c>
      <c r="BH1062">
        <v>1</v>
      </c>
      <c r="BK1062" s="1">
        <v>1</v>
      </c>
      <c r="BQ1062">
        <v>1</v>
      </c>
      <c r="CS1062" s="7" t="s">
        <v>475</v>
      </c>
    </row>
    <row r="1063" spans="2:98">
      <c r="B1063" t="s">
        <v>128</v>
      </c>
      <c r="C1063" s="2" t="s">
        <v>129</v>
      </c>
      <c r="E1063" s="8" t="s">
        <v>130</v>
      </c>
      <c r="F1063" s="8" t="s">
        <v>65</v>
      </c>
      <c r="G1063" s="1">
        <v>1</v>
      </c>
      <c r="H1063" s="1"/>
      <c r="I1063" s="1">
        <f>1810-20</f>
        <v>1790</v>
      </c>
      <c r="J1063" t="s">
        <v>10</v>
      </c>
      <c r="K1063" t="s">
        <v>12</v>
      </c>
      <c r="Q1063">
        <v>5</v>
      </c>
      <c r="R1063">
        <v>4</v>
      </c>
      <c r="S1063">
        <v>3</v>
      </c>
      <c r="T1063" s="5">
        <f t="shared" si="50"/>
        <v>169.18</v>
      </c>
      <c r="U1063" t="s">
        <v>131</v>
      </c>
      <c r="AO1063" s="6">
        <v>1</v>
      </c>
      <c r="AP1063" s="6">
        <v>1</v>
      </c>
      <c r="AQ1063" s="6">
        <v>1</v>
      </c>
      <c r="AR1063" s="6">
        <v>1</v>
      </c>
      <c r="AS1063" s="6">
        <v>1</v>
      </c>
      <c r="AT1063" s="6">
        <v>1</v>
      </c>
      <c r="AU1063" s="7">
        <v>1</v>
      </c>
      <c r="BC1063" t="s">
        <v>1449</v>
      </c>
      <c r="BD1063" s="7" t="s">
        <v>280</v>
      </c>
      <c r="BE1063" t="s">
        <v>151</v>
      </c>
      <c r="BF1063" s="1" t="s">
        <v>29</v>
      </c>
      <c r="BG1063" s="1">
        <v>8</v>
      </c>
      <c r="BH1063">
        <v>2</v>
      </c>
      <c r="BI1063">
        <v>1</v>
      </c>
      <c r="BK1063" s="1">
        <v>1</v>
      </c>
      <c r="BQ1063">
        <v>1</v>
      </c>
      <c r="CL1063">
        <v>1</v>
      </c>
      <c r="CM1063">
        <v>1</v>
      </c>
      <c r="CN1063">
        <v>1</v>
      </c>
      <c r="CS1063" s="7" t="s">
        <v>1450</v>
      </c>
    </row>
    <row r="1064" spans="2:98">
      <c r="B1064" t="s">
        <v>1640</v>
      </c>
      <c r="C1064" s="15" t="s">
        <v>1641</v>
      </c>
      <c r="F1064" s="8" t="s">
        <v>115</v>
      </c>
      <c r="G1064" s="1">
        <v>1</v>
      </c>
      <c r="H1064" s="1"/>
      <c r="I1064" s="1">
        <f>1811-24</f>
        <v>1787</v>
      </c>
      <c r="J1064" t="s">
        <v>10</v>
      </c>
      <c r="K1064" t="s">
        <v>12</v>
      </c>
      <c r="Q1064">
        <v>5</v>
      </c>
      <c r="R1064">
        <v>2</v>
      </c>
      <c r="S1064">
        <v>2</v>
      </c>
      <c r="T1064" s="5">
        <f t="shared" si="50"/>
        <v>163.69999999999999</v>
      </c>
      <c r="U1064" t="s">
        <v>131</v>
      </c>
      <c r="AO1064" s="6">
        <v>1</v>
      </c>
      <c r="AP1064" s="6">
        <v>1</v>
      </c>
      <c r="AQ1064" s="6">
        <v>1</v>
      </c>
      <c r="AR1064" s="6">
        <v>1</v>
      </c>
      <c r="AS1064" s="6">
        <v>1</v>
      </c>
      <c r="AT1064" s="6">
        <v>1</v>
      </c>
      <c r="AU1064" s="6">
        <v>1</v>
      </c>
      <c r="AV1064" s="6">
        <v>1</v>
      </c>
      <c r="AW1064" s="6">
        <v>1</v>
      </c>
      <c r="AX1064" s="6">
        <v>1</v>
      </c>
      <c r="AY1064" s="7">
        <v>1</v>
      </c>
      <c r="BC1064" t="s">
        <v>1642</v>
      </c>
      <c r="BD1064" s="7" t="s">
        <v>103</v>
      </c>
      <c r="BE1064" t="s">
        <v>62</v>
      </c>
      <c r="BF1064" s="1" t="s">
        <v>29</v>
      </c>
      <c r="BG1064" s="1">
        <v>5</v>
      </c>
      <c r="BH1064">
        <v>1</v>
      </c>
      <c r="BK1064" s="1">
        <v>1</v>
      </c>
      <c r="BQ1064">
        <v>1</v>
      </c>
      <c r="CI1064">
        <v>1</v>
      </c>
      <c r="CS1064" s="7" t="s">
        <v>361</v>
      </c>
    </row>
    <row r="1065" spans="2:98">
      <c r="B1065" t="s">
        <v>2915</v>
      </c>
      <c r="C1065" s="2" t="s">
        <v>2916</v>
      </c>
      <c r="D1065" s="2" t="s">
        <v>2916</v>
      </c>
      <c r="E1065" s="8" t="s">
        <v>1306</v>
      </c>
      <c r="F1065" s="8" t="s">
        <v>65</v>
      </c>
      <c r="G1065" s="1">
        <v>1</v>
      </c>
      <c r="H1065" s="1"/>
      <c r="I1065" s="1">
        <f>1811-23</f>
        <v>1788</v>
      </c>
      <c r="J1065" t="s">
        <v>10</v>
      </c>
      <c r="K1065" t="s">
        <v>12</v>
      </c>
      <c r="Q1065">
        <v>5</v>
      </c>
      <c r="R1065">
        <v>2</v>
      </c>
      <c r="S1065">
        <v>3</v>
      </c>
      <c r="T1065" s="5">
        <f t="shared" si="50"/>
        <v>163.92</v>
      </c>
      <c r="U1065" t="s">
        <v>861</v>
      </c>
      <c r="AO1065" s="6">
        <v>1</v>
      </c>
      <c r="AP1065" s="6">
        <v>1</v>
      </c>
      <c r="AQ1065" s="6">
        <v>1</v>
      </c>
      <c r="AR1065" s="6">
        <v>1</v>
      </c>
      <c r="AS1065" s="6">
        <v>1</v>
      </c>
      <c r="AT1065" s="6">
        <v>1</v>
      </c>
      <c r="BC1065">
        <v>1812</v>
      </c>
      <c r="BD1065" t="s">
        <v>81</v>
      </c>
      <c r="BE1065" t="s">
        <v>62</v>
      </c>
      <c r="BF1065" s="1" t="s">
        <v>73</v>
      </c>
      <c r="BG1065" s="1">
        <v>4</v>
      </c>
      <c r="BH1065">
        <v>1</v>
      </c>
      <c r="BK1065" s="1">
        <v>1</v>
      </c>
      <c r="BQ1065">
        <v>1</v>
      </c>
      <c r="CS1065" t="s">
        <v>2487</v>
      </c>
    </row>
    <row r="1066" spans="2:98">
      <c r="B1066" t="s">
        <v>1621</v>
      </c>
      <c r="C1066" s="2" t="s">
        <v>1083</v>
      </c>
      <c r="D1066" s="3" t="s">
        <v>192</v>
      </c>
      <c r="E1066" s="8" t="s">
        <v>1084</v>
      </c>
      <c r="F1066" s="8" t="s">
        <v>65</v>
      </c>
      <c r="G1066" s="1">
        <v>1</v>
      </c>
      <c r="H1066" s="1"/>
      <c r="I1066" s="1">
        <f>1811-27</f>
        <v>1784</v>
      </c>
      <c r="J1066" t="s">
        <v>10</v>
      </c>
      <c r="K1066" t="s">
        <v>12</v>
      </c>
      <c r="Q1066">
        <v>5</v>
      </c>
      <c r="R1066">
        <v>4</v>
      </c>
      <c r="T1066" s="5">
        <f t="shared" si="50"/>
        <v>168.52</v>
      </c>
      <c r="U1066" t="s">
        <v>861</v>
      </c>
      <c r="AO1066" s="6">
        <v>1</v>
      </c>
      <c r="AP1066" s="6">
        <v>1</v>
      </c>
      <c r="AQ1066" s="6">
        <v>1</v>
      </c>
      <c r="AR1066" s="6">
        <v>1</v>
      </c>
      <c r="AS1066" s="6">
        <v>1</v>
      </c>
      <c r="AT1066" s="6">
        <v>1</v>
      </c>
      <c r="BC1066">
        <v>1812</v>
      </c>
      <c r="BD1066" t="s">
        <v>81</v>
      </c>
      <c r="BE1066" s="10" t="s">
        <v>62</v>
      </c>
      <c r="BF1066" s="1" t="s">
        <v>73</v>
      </c>
      <c r="BG1066" s="1">
        <v>3</v>
      </c>
      <c r="BH1066">
        <v>2</v>
      </c>
      <c r="BK1066" s="1">
        <v>1</v>
      </c>
      <c r="BQ1066">
        <v>1</v>
      </c>
      <c r="CL1066" s="10">
        <v>1</v>
      </c>
      <c r="CS1066" s="10" t="s">
        <v>150</v>
      </c>
    </row>
    <row r="1067" spans="2:98">
      <c r="B1067" t="s">
        <v>858</v>
      </c>
      <c r="C1067" s="13" t="s">
        <v>859</v>
      </c>
      <c r="D1067" s="2" t="s">
        <v>860</v>
      </c>
      <c r="E1067" s="8" t="s">
        <v>837</v>
      </c>
      <c r="F1067" s="8" t="s">
        <v>115</v>
      </c>
      <c r="G1067" s="1">
        <v>1</v>
      </c>
      <c r="H1067" s="1"/>
      <c r="I1067" s="1">
        <f>1807-20</f>
        <v>1787</v>
      </c>
      <c r="J1067" t="s">
        <v>10</v>
      </c>
      <c r="K1067" t="s">
        <v>12</v>
      </c>
      <c r="T1067" s="5"/>
      <c r="U1067" t="s">
        <v>861</v>
      </c>
      <c r="AO1067" s="7">
        <v>1</v>
      </c>
      <c r="BC1067" t="s">
        <v>864</v>
      </c>
      <c r="BD1067" s="7" t="s">
        <v>103</v>
      </c>
      <c r="BE1067" t="s">
        <v>865</v>
      </c>
      <c r="BF1067" s="1" t="s">
        <v>29</v>
      </c>
      <c r="BG1067" s="1">
        <v>1</v>
      </c>
      <c r="BH1067">
        <v>1</v>
      </c>
      <c r="BJ1067">
        <v>1</v>
      </c>
      <c r="BK1067" s="1">
        <v>1</v>
      </c>
      <c r="BQ1067">
        <v>1</v>
      </c>
      <c r="CS1067" s="7" t="s">
        <v>866</v>
      </c>
    </row>
    <row r="1068" spans="2:98">
      <c r="B1068" t="s">
        <v>3492</v>
      </c>
      <c r="C1068" s="2" t="s">
        <v>2924</v>
      </c>
      <c r="D1068" s="15"/>
      <c r="F1068" s="8" t="s">
        <v>357</v>
      </c>
      <c r="G1068" s="1">
        <v>1</v>
      </c>
      <c r="H1068" s="1"/>
      <c r="I1068" s="1">
        <f>1811-24</f>
        <v>1787</v>
      </c>
      <c r="J1068" t="s">
        <v>69</v>
      </c>
      <c r="K1068" t="s">
        <v>12</v>
      </c>
      <c r="N1068">
        <v>1</v>
      </c>
      <c r="Q1068">
        <v>5</v>
      </c>
      <c r="R1068">
        <v>2</v>
      </c>
      <c r="S1068">
        <v>2</v>
      </c>
      <c r="T1068" s="5">
        <f t="shared" si="50"/>
        <v>163.69999999999999</v>
      </c>
      <c r="U1068" t="s">
        <v>3493</v>
      </c>
      <c r="AO1068" s="6">
        <v>1</v>
      </c>
      <c r="AP1068" s="6">
        <v>1</v>
      </c>
      <c r="AQ1068" s="6">
        <v>1</v>
      </c>
      <c r="AR1068" s="6">
        <v>1</v>
      </c>
      <c r="AS1068" s="6">
        <v>1</v>
      </c>
      <c r="AT1068" s="6">
        <v>1</v>
      </c>
      <c r="AU1068" s="7">
        <v>1</v>
      </c>
      <c r="BC1068" t="s">
        <v>3494</v>
      </c>
      <c r="BD1068" s="7" t="s">
        <v>103</v>
      </c>
      <c r="BE1068" t="s">
        <v>2407</v>
      </c>
      <c r="BF1068" s="1" t="s">
        <v>29</v>
      </c>
      <c r="BG1068" s="1">
        <v>8</v>
      </c>
      <c r="BH1068">
        <v>1</v>
      </c>
      <c r="BJ1068">
        <v>1</v>
      </c>
      <c r="BK1068" s="1">
        <v>1</v>
      </c>
      <c r="BQ1068">
        <v>1</v>
      </c>
      <c r="CS1068" s="7" t="s">
        <v>2172</v>
      </c>
    </row>
    <row r="1069" spans="2:98">
      <c r="B1069" t="s">
        <v>863</v>
      </c>
      <c r="C1069" s="13" t="s">
        <v>862</v>
      </c>
      <c r="E1069" s="8" t="s">
        <v>837</v>
      </c>
      <c r="F1069" s="8" t="s">
        <v>115</v>
      </c>
      <c r="G1069" s="1">
        <v>1</v>
      </c>
      <c r="H1069" s="1"/>
      <c r="I1069" s="1">
        <f>1807-20</f>
        <v>1787</v>
      </c>
      <c r="J1069" t="s">
        <v>10</v>
      </c>
      <c r="K1069" t="s">
        <v>12</v>
      </c>
      <c r="T1069" s="5"/>
      <c r="U1069" t="s">
        <v>1847</v>
      </c>
      <c r="AO1069" s="7">
        <v>1</v>
      </c>
      <c r="BC1069" t="s">
        <v>864</v>
      </c>
      <c r="BD1069" s="7" t="s">
        <v>103</v>
      </c>
      <c r="BE1069" t="s">
        <v>865</v>
      </c>
      <c r="BF1069" s="1" t="s">
        <v>29</v>
      </c>
      <c r="BG1069" s="1">
        <v>1</v>
      </c>
      <c r="BH1069">
        <v>1</v>
      </c>
      <c r="BJ1069">
        <v>1</v>
      </c>
      <c r="BK1069" s="1">
        <v>1</v>
      </c>
      <c r="BQ1069">
        <v>1</v>
      </c>
      <c r="CS1069" s="7" t="s">
        <v>866</v>
      </c>
    </row>
    <row r="1070" spans="2:98">
      <c r="B1070" t="s">
        <v>4488</v>
      </c>
      <c r="C1070" s="2" t="s">
        <v>4482</v>
      </c>
      <c r="E1070" s="8" t="s">
        <v>130</v>
      </c>
      <c r="F1070" s="8" t="s">
        <v>65</v>
      </c>
      <c r="G1070" s="1">
        <v>1</v>
      </c>
      <c r="H1070" s="1"/>
      <c r="I1070" s="1">
        <f>1811-24</f>
        <v>1787</v>
      </c>
      <c r="J1070" t="s">
        <v>10</v>
      </c>
      <c r="K1070" t="s">
        <v>12</v>
      </c>
      <c r="Q1070">
        <v>5</v>
      </c>
      <c r="R1070">
        <v>6</v>
      </c>
      <c r="T1070" s="5">
        <f t="shared" ref="T1070:T1071" si="51">((Q1070*316)+(R1070*26.3)+(S1070*2.2))/10</f>
        <v>173.78</v>
      </c>
      <c r="U1070" t="s">
        <v>1847</v>
      </c>
      <c r="AO1070" s="6">
        <v>1</v>
      </c>
      <c r="AP1070" s="6">
        <v>1</v>
      </c>
      <c r="AQ1070" s="6">
        <v>1</v>
      </c>
      <c r="AR1070" s="6">
        <v>1</v>
      </c>
      <c r="AS1070" s="6">
        <v>1</v>
      </c>
      <c r="BC1070">
        <v>1811</v>
      </c>
      <c r="BD1070" t="s">
        <v>81</v>
      </c>
      <c r="BE1070" t="s">
        <v>151</v>
      </c>
      <c r="BF1070" s="1" t="s">
        <v>73</v>
      </c>
      <c r="BG1070" s="1">
        <v>1</v>
      </c>
      <c r="BH1070">
        <v>1</v>
      </c>
      <c r="BK1070" s="1">
        <v>1</v>
      </c>
      <c r="BQ1070">
        <v>1</v>
      </c>
      <c r="CS1070" t="s">
        <v>4198</v>
      </c>
    </row>
    <row r="1071" spans="2:98">
      <c r="B1071" t="s">
        <v>3405</v>
      </c>
      <c r="C1071" s="2" t="s">
        <v>2426</v>
      </c>
      <c r="D1071" s="3" t="s">
        <v>3406</v>
      </c>
      <c r="E1071" s="8" t="s">
        <v>832</v>
      </c>
      <c r="F1071" s="8" t="s">
        <v>65</v>
      </c>
      <c r="G1071" s="1">
        <v>1</v>
      </c>
      <c r="H1071" s="1"/>
      <c r="I1071" s="1">
        <f>1809-22</f>
        <v>1787</v>
      </c>
      <c r="J1071" t="s">
        <v>69</v>
      </c>
      <c r="K1071" t="s">
        <v>197</v>
      </c>
      <c r="P1071">
        <v>1</v>
      </c>
      <c r="Q1071">
        <v>5</v>
      </c>
      <c r="R1071">
        <v>2</v>
      </c>
      <c r="S1071">
        <v>1</v>
      </c>
      <c r="T1071" s="5">
        <f t="shared" si="51"/>
        <v>163.47999999999999</v>
      </c>
      <c r="U1071" t="s">
        <v>3407</v>
      </c>
      <c r="AO1071" s="6">
        <v>1</v>
      </c>
      <c r="AP1071" s="6">
        <v>1</v>
      </c>
      <c r="AQ1071" s="6">
        <v>1</v>
      </c>
      <c r="AR1071" s="7">
        <v>1</v>
      </c>
      <c r="BC1071" t="s">
        <v>1430</v>
      </c>
      <c r="BD1071" s="7" t="s">
        <v>103</v>
      </c>
      <c r="BE1071" t="s">
        <v>820</v>
      </c>
      <c r="BF1071" s="1" t="s">
        <v>29</v>
      </c>
      <c r="BG1071" s="1">
        <v>5</v>
      </c>
      <c r="BH1071">
        <v>1</v>
      </c>
      <c r="BK1071" s="1">
        <v>1</v>
      </c>
      <c r="BQ1071">
        <v>1</v>
      </c>
      <c r="BX1071">
        <v>1</v>
      </c>
      <c r="CL1071">
        <v>1</v>
      </c>
      <c r="CS1071" s="7" t="s">
        <v>3243</v>
      </c>
    </row>
    <row r="1072" spans="2:98">
      <c r="B1072" t="s">
        <v>1846</v>
      </c>
      <c r="C1072" s="2" t="s">
        <v>1305</v>
      </c>
      <c r="D1072" s="2" t="s">
        <v>1305</v>
      </c>
      <c r="E1072" s="8" t="s">
        <v>1306</v>
      </c>
      <c r="F1072" s="8" t="s">
        <v>65</v>
      </c>
      <c r="G1072" s="1">
        <v>1</v>
      </c>
      <c r="H1072" s="1"/>
      <c r="I1072" s="1">
        <f>1811-26</f>
        <v>1785</v>
      </c>
      <c r="J1072" t="s">
        <v>10</v>
      </c>
      <c r="K1072" t="s">
        <v>12</v>
      </c>
      <c r="Q1072">
        <v>5</v>
      </c>
      <c r="R1072">
        <v>6</v>
      </c>
      <c r="S1072">
        <v>2</v>
      </c>
      <c r="T1072" s="5">
        <f t="shared" ref="T1072:T1200" si="52">((Q1072*316)+(R1072*26.3)+(S1072*2.2))/10</f>
        <v>174.22</v>
      </c>
      <c r="U1072" t="s">
        <v>823</v>
      </c>
      <c r="AO1072" s="6">
        <v>1</v>
      </c>
      <c r="AP1072" s="6">
        <v>1</v>
      </c>
      <c r="AQ1072" s="6">
        <v>1</v>
      </c>
      <c r="AR1072" s="6">
        <v>1</v>
      </c>
      <c r="AS1072" s="6">
        <v>1</v>
      </c>
      <c r="AT1072" s="6">
        <v>1</v>
      </c>
      <c r="AU1072" s="6">
        <v>1</v>
      </c>
      <c r="AV1072" s="6">
        <v>1</v>
      </c>
      <c r="AW1072" s="6">
        <v>1</v>
      </c>
      <c r="AX1072" s="6">
        <v>1</v>
      </c>
      <c r="AY1072" s="6">
        <v>1</v>
      </c>
      <c r="AZ1072" s="7">
        <v>1</v>
      </c>
      <c r="BC1072" t="s">
        <v>1848</v>
      </c>
      <c r="BD1072" s="7" t="s">
        <v>103</v>
      </c>
      <c r="BE1072" t="s">
        <v>62</v>
      </c>
      <c r="BF1072" s="1" t="s">
        <v>29</v>
      </c>
      <c r="BG1072" s="1">
        <v>4</v>
      </c>
      <c r="BH1072">
        <v>1</v>
      </c>
      <c r="BK1072" s="1">
        <v>1</v>
      </c>
      <c r="BQ1072">
        <v>1</v>
      </c>
      <c r="CS1072" s="7" t="s">
        <v>412</v>
      </c>
    </row>
    <row r="1073" spans="2:98">
      <c r="B1073" t="s">
        <v>821</v>
      </c>
      <c r="C1073" s="15" t="s">
        <v>822</v>
      </c>
      <c r="E1073" s="8" t="s">
        <v>654</v>
      </c>
      <c r="F1073" s="8" t="s">
        <v>65</v>
      </c>
      <c r="G1073" s="1">
        <v>1</v>
      </c>
      <c r="H1073" s="1"/>
      <c r="I1073" s="1">
        <f>1810-23</f>
        <v>1787</v>
      </c>
      <c r="J1073" t="s">
        <v>10</v>
      </c>
      <c r="K1073" t="s">
        <v>12</v>
      </c>
      <c r="Q1073">
        <v>5</v>
      </c>
      <c r="R1073">
        <v>3</v>
      </c>
      <c r="T1073" s="5">
        <f t="shared" si="52"/>
        <v>165.89000000000001</v>
      </c>
      <c r="U1073" t="s">
        <v>823</v>
      </c>
      <c r="AO1073" s="6">
        <v>1</v>
      </c>
      <c r="AP1073" s="6">
        <v>1</v>
      </c>
      <c r="AQ1073" s="6">
        <v>1</v>
      </c>
      <c r="AR1073" s="7">
        <v>1</v>
      </c>
      <c r="BC1073" t="s">
        <v>108</v>
      </c>
      <c r="BD1073" s="7" t="s">
        <v>109</v>
      </c>
      <c r="BE1073" t="s">
        <v>820</v>
      </c>
      <c r="BF1073" s="1" t="s">
        <v>29</v>
      </c>
      <c r="BG1073" s="1">
        <v>2</v>
      </c>
      <c r="BH1073">
        <v>2</v>
      </c>
      <c r="BK1073" s="1">
        <v>1</v>
      </c>
      <c r="BQ1073">
        <v>1</v>
      </c>
      <c r="CL1073">
        <v>1</v>
      </c>
      <c r="CS1073" s="7" t="s">
        <v>1432</v>
      </c>
    </row>
    <row r="1074" spans="2:98">
      <c r="B1074" t="s">
        <v>1615</v>
      </c>
      <c r="C1074" s="2" t="s">
        <v>1616</v>
      </c>
      <c r="D1074" s="2" t="s">
        <v>1616</v>
      </c>
      <c r="E1074" s="8" t="s">
        <v>1084</v>
      </c>
      <c r="F1074" s="8" t="s">
        <v>65</v>
      </c>
      <c r="G1074" s="1">
        <v>1</v>
      </c>
      <c r="H1074" s="1"/>
      <c r="I1074" s="1">
        <f>1811-26</f>
        <v>1785</v>
      </c>
      <c r="J1074" t="s">
        <v>10</v>
      </c>
      <c r="K1074" t="s">
        <v>12</v>
      </c>
      <c r="Q1074">
        <v>5</v>
      </c>
      <c r="R1074">
        <v>2</v>
      </c>
      <c r="S1074">
        <v>2</v>
      </c>
      <c r="T1074" s="5">
        <f t="shared" si="52"/>
        <v>163.69999999999999</v>
      </c>
      <c r="U1074" t="s">
        <v>1157</v>
      </c>
      <c r="AO1074" s="6">
        <v>1</v>
      </c>
      <c r="AP1074" s="6">
        <v>1</v>
      </c>
      <c r="AQ1074" s="6">
        <v>1</v>
      </c>
      <c r="AR1074" s="6">
        <v>1</v>
      </c>
      <c r="AS1074" s="6">
        <v>1</v>
      </c>
      <c r="AT1074" s="6">
        <v>1</v>
      </c>
      <c r="AU1074" s="6">
        <v>1</v>
      </c>
      <c r="AV1074" s="6">
        <v>1</v>
      </c>
      <c r="AW1074" s="6">
        <v>1</v>
      </c>
      <c r="AX1074" s="6">
        <v>1</v>
      </c>
      <c r="AY1074" s="7">
        <v>1</v>
      </c>
      <c r="BC1074" t="s">
        <v>1617</v>
      </c>
      <c r="BD1074" s="7" t="s">
        <v>103</v>
      </c>
      <c r="BE1074" t="s">
        <v>1618</v>
      </c>
      <c r="BF1074" s="1" t="s">
        <v>29</v>
      </c>
      <c r="BG1074" s="1">
        <v>5</v>
      </c>
      <c r="BH1074">
        <v>2</v>
      </c>
      <c r="BK1074" s="1">
        <v>1</v>
      </c>
      <c r="BQ1074">
        <v>1</v>
      </c>
      <c r="CL1074">
        <v>1</v>
      </c>
      <c r="CQ1074">
        <v>1</v>
      </c>
      <c r="CS1074" s="7" t="s">
        <v>412</v>
      </c>
    </row>
    <row r="1075" spans="2:98">
      <c r="B1075" t="s">
        <v>2498</v>
      </c>
      <c r="C1075" s="2" t="s">
        <v>2499</v>
      </c>
      <c r="D1075" s="13"/>
      <c r="E1075" s="8" t="s">
        <v>1306</v>
      </c>
      <c r="F1075" s="8" t="s">
        <v>65</v>
      </c>
      <c r="G1075" s="1">
        <v>1</v>
      </c>
      <c r="H1075" s="1"/>
      <c r="I1075" s="1">
        <f>1811-25</f>
        <v>1786</v>
      </c>
      <c r="J1075" t="s">
        <v>10</v>
      </c>
      <c r="K1075" t="s">
        <v>12</v>
      </c>
      <c r="Q1075">
        <v>5</v>
      </c>
      <c r="R1075">
        <v>4</v>
      </c>
      <c r="S1075">
        <v>1</v>
      </c>
      <c r="T1075" s="5">
        <f>((Q1075*316)+(R1075*26.3)+(S1075*2.2))/10</f>
        <v>168.74</v>
      </c>
      <c r="U1075" t="s">
        <v>827</v>
      </c>
      <c r="AO1075" s="6">
        <v>1</v>
      </c>
      <c r="AP1075" s="6">
        <v>1</v>
      </c>
      <c r="AQ1075" s="6">
        <v>1</v>
      </c>
      <c r="AR1075" s="6">
        <v>1</v>
      </c>
      <c r="AS1075" s="6">
        <v>1</v>
      </c>
      <c r="AT1075" s="6">
        <v>1</v>
      </c>
      <c r="AU1075" s="6">
        <v>1</v>
      </c>
      <c r="AV1075" s="6">
        <v>1</v>
      </c>
      <c r="AW1075" s="6">
        <v>1</v>
      </c>
      <c r="AX1075" s="6">
        <v>1</v>
      </c>
      <c r="AY1075" s="6">
        <v>1</v>
      </c>
      <c r="AZ1075" s="6">
        <v>1</v>
      </c>
      <c r="BA1075" s="6">
        <v>1</v>
      </c>
      <c r="BB1075" s="6">
        <v>1</v>
      </c>
      <c r="BC1075">
        <v>1820</v>
      </c>
      <c r="BD1075" t="s">
        <v>81</v>
      </c>
      <c r="BE1075" t="s">
        <v>62</v>
      </c>
      <c r="BF1075" s="1" t="s">
        <v>29</v>
      </c>
      <c r="BG1075" s="1">
        <v>6</v>
      </c>
      <c r="BH1075">
        <v>1</v>
      </c>
      <c r="BK1075" s="1">
        <v>1</v>
      </c>
      <c r="BP1075">
        <v>1</v>
      </c>
      <c r="BQ1075">
        <v>1</v>
      </c>
      <c r="CF1075">
        <v>1</v>
      </c>
      <c r="CM1075">
        <v>1</v>
      </c>
      <c r="CQ1075">
        <v>1</v>
      </c>
      <c r="CR1075" t="s">
        <v>72</v>
      </c>
      <c r="CS1075" t="s">
        <v>2483</v>
      </c>
    </row>
    <row r="1076" spans="2:98">
      <c r="B1076" t="s">
        <v>825</v>
      </c>
      <c r="C1076" s="15" t="s">
        <v>826</v>
      </c>
      <c r="E1076" s="8" t="s">
        <v>654</v>
      </c>
      <c r="F1076" s="8" t="s">
        <v>65</v>
      </c>
      <c r="G1076" s="1">
        <v>1</v>
      </c>
      <c r="H1076" s="1"/>
      <c r="I1076" s="1">
        <f>1817-30</f>
        <v>1787</v>
      </c>
      <c r="J1076" t="s">
        <v>10</v>
      </c>
      <c r="K1076" t="s">
        <v>12</v>
      </c>
      <c r="Q1076">
        <v>5</v>
      </c>
      <c r="R1076">
        <v>3</v>
      </c>
      <c r="T1076" s="5">
        <f t="shared" si="52"/>
        <v>165.89000000000001</v>
      </c>
      <c r="U1076" t="s">
        <v>827</v>
      </c>
      <c r="AO1076" s="6">
        <v>1</v>
      </c>
      <c r="AP1076" s="6">
        <v>1</v>
      </c>
      <c r="AQ1076" s="6">
        <v>1</v>
      </c>
      <c r="AR1076" s="6">
        <v>1</v>
      </c>
      <c r="AS1076" s="6">
        <v>1</v>
      </c>
      <c r="AT1076" s="6">
        <v>1</v>
      </c>
      <c r="AU1076" s="6">
        <v>1</v>
      </c>
      <c r="AV1076" s="6">
        <v>1</v>
      </c>
      <c r="AW1076" s="6">
        <v>1</v>
      </c>
      <c r="AX1076" s="6">
        <v>1</v>
      </c>
      <c r="AY1076" s="6">
        <v>1</v>
      </c>
      <c r="BC1076">
        <v>1817</v>
      </c>
      <c r="BD1076" t="s">
        <v>81</v>
      </c>
      <c r="BE1076" t="s">
        <v>828</v>
      </c>
      <c r="BF1076" s="1" t="s">
        <v>73</v>
      </c>
      <c r="BG1076" s="1">
        <v>3</v>
      </c>
      <c r="BH1076">
        <v>4</v>
      </c>
      <c r="BK1076" s="1">
        <v>1</v>
      </c>
      <c r="BQ1076">
        <v>1</v>
      </c>
      <c r="BV1076">
        <v>1</v>
      </c>
      <c r="BY1076">
        <v>1</v>
      </c>
      <c r="CL1076">
        <v>1</v>
      </c>
      <c r="CS1076" t="s">
        <v>829</v>
      </c>
    </row>
    <row r="1077" spans="2:98">
      <c r="B1077" t="s">
        <v>1843</v>
      </c>
      <c r="C1077" s="15" t="s">
        <v>815</v>
      </c>
      <c r="E1077" s="8" t="s">
        <v>130</v>
      </c>
      <c r="F1077" s="8" t="s">
        <v>65</v>
      </c>
      <c r="G1077" s="1">
        <v>1</v>
      </c>
      <c r="H1077" s="1"/>
      <c r="I1077" s="1">
        <f>1811-24</f>
        <v>1787</v>
      </c>
      <c r="J1077" t="s">
        <v>10</v>
      </c>
      <c r="K1077" t="s">
        <v>197</v>
      </c>
      <c r="Q1077">
        <v>5</v>
      </c>
      <c r="R1077">
        <v>5</v>
      </c>
      <c r="S1077">
        <v>2</v>
      </c>
      <c r="T1077" s="5">
        <f t="shared" si="52"/>
        <v>171.59</v>
      </c>
      <c r="U1077" t="s">
        <v>1164</v>
      </c>
      <c r="AO1077" s="6">
        <v>1</v>
      </c>
      <c r="AP1077" s="6">
        <v>1</v>
      </c>
      <c r="AQ1077" s="6">
        <v>1</v>
      </c>
      <c r="AR1077" s="6">
        <v>1</v>
      </c>
      <c r="AS1077" s="6">
        <v>1</v>
      </c>
      <c r="AT1077" s="6">
        <v>1</v>
      </c>
      <c r="AU1077" s="6">
        <v>1</v>
      </c>
      <c r="AV1077" s="6">
        <v>1</v>
      </c>
      <c r="AW1077" s="6">
        <v>1</v>
      </c>
      <c r="AX1077" s="6">
        <v>1</v>
      </c>
      <c r="AY1077" s="6">
        <v>1</v>
      </c>
      <c r="AZ1077" s="7">
        <v>1</v>
      </c>
      <c r="BC1077" t="s">
        <v>1844</v>
      </c>
      <c r="BD1077" s="7" t="s">
        <v>103</v>
      </c>
      <c r="BE1077" t="s">
        <v>62</v>
      </c>
      <c r="BF1077" s="1" t="s">
        <v>29</v>
      </c>
      <c r="BG1077" s="1">
        <v>4</v>
      </c>
      <c r="BH1077">
        <v>3</v>
      </c>
      <c r="BK1077" s="1">
        <v>1</v>
      </c>
      <c r="BQ1077">
        <v>1</v>
      </c>
      <c r="CG1077">
        <v>1</v>
      </c>
      <c r="CL1077">
        <v>1</v>
      </c>
      <c r="CM1077" s="9">
        <v>1</v>
      </c>
      <c r="CQ1077">
        <v>1</v>
      </c>
      <c r="CS1077" s="7" t="s">
        <v>412</v>
      </c>
      <c r="CT1077" s="9" t="s">
        <v>1845</v>
      </c>
    </row>
    <row r="1078" spans="2:98">
      <c r="B1078" t="s">
        <v>2904</v>
      </c>
      <c r="C1078" s="2" t="s">
        <v>2905</v>
      </c>
      <c r="E1078" s="8" t="s">
        <v>869</v>
      </c>
      <c r="F1078" s="8" t="s">
        <v>65</v>
      </c>
      <c r="G1078" s="1">
        <v>1</v>
      </c>
      <c r="H1078" s="1"/>
      <c r="I1078" s="1">
        <f>1811-27</f>
        <v>1784</v>
      </c>
      <c r="J1078" t="s">
        <v>10</v>
      </c>
      <c r="K1078" t="s">
        <v>12</v>
      </c>
      <c r="Q1078">
        <v>5</v>
      </c>
      <c r="R1078">
        <v>3</v>
      </c>
      <c r="S1078">
        <v>1</v>
      </c>
      <c r="T1078" s="5">
        <f t="shared" si="52"/>
        <v>166.11</v>
      </c>
      <c r="U1078" t="s">
        <v>2906</v>
      </c>
      <c r="AO1078" s="6">
        <v>1</v>
      </c>
      <c r="AP1078" s="6">
        <v>1</v>
      </c>
      <c r="AQ1078" s="6">
        <v>1</v>
      </c>
      <c r="AR1078" s="6">
        <v>1</v>
      </c>
      <c r="AS1078" s="6">
        <v>1</v>
      </c>
      <c r="AT1078" s="6">
        <v>1</v>
      </c>
      <c r="BC1078">
        <v>1812</v>
      </c>
      <c r="BD1078" t="s">
        <v>81</v>
      </c>
      <c r="BE1078" t="s">
        <v>62</v>
      </c>
      <c r="BF1078" s="1" t="s">
        <v>73</v>
      </c>
      <c r="BG1078" s="1">
        <v>4</v>
      </c>
      <c r="BH1078">
        <v>1</v>
      </c>
      <c r="BK1078" s="1">
        <v>1</v>
      </c>
      <c r="BQ1078">
        <v>1</v>
      </c>
      <c r="CF1078">
        <v>1</v>
      </c>
      <c r="CS1078" t="s">
        <v>2483</v>
      </c>
    </row>
    <row r="1079" spans="2:98">
      <c r="B1079" t="s">
        <v>4451</v>
      </c>
      <c r="C1079" s="2" t="s">
        <v>4452</v>
      </c>
      <c r="D1079" s="2" t="s">
        <v>4452</v>
      </c>
      <c r="E1079" s="8" t="s">
        <v>2121</v>
      </c>
      <c r="F1079" s="8" t="s">
        <v>65</v>
      </c>
      <c r="G1079" s="1">
        <v>1</v>
      </c>
      <c r="H1079" s="1"/>
      <c r="I1079" s="1">
        <f>1811-30</f>
        <v>1781</v>
      </c>
      <c r="J1079" t="s">
        <v>10</v>
      </c>
      <c r="K1079" t="s">
        <v>12</v>
      </c>
      <c r="Q1079">
        <v>5</v>
      </c>
      <c r="R1079">
        <v>2</v>
      </c>
      <c r="S1079">
        <v>2</v>
      </c>
      <c r="T1079" s="5">
        <f t="shared" si="52"/>
        <v>163.69999999999999</v>
      </c>
      <c r="U1079" t="s">
        <v>4453</v>
      </c>
      <c r="AO1079" s="6">
        <v>1</v>
      </c>
      <c r="AP1079" s="6">
        <v>1</v>
      </c>
      <c r="AQ1079" s="6">
        <v>1</v>
      </c>
      <c r="AR1079" s="6">
        <v>1</v>
      </c>
      <c r="AS1079" s="6">
        <v>1</v>
      </c>
      <c r="BC1079">
        <v>1811</v>
      </c>
      <c r="BD1079" t="s">
        <v>81</v>
      </c>
      <c r="BE1079" t="s">
        <v>151</v>
      </c>
      <c r="BF1079" s="1" t="s">
        <v>73</v>
      </c>
      <c r="BG1079" s="1">
        <v>1</v>
      </c>
      <c r="BH1079">
        <v>2</v>
      </c>
      <c r="BK1079" s="1">
        <v>1</v>
      </c>
      <c r="BQ1079">
        <v>1</v>
      </c>
      <c r="CL1079">
        <v>1</v>
      </c>
      <c r="CN1079">
        <v>1</v>
      </c>
      <c r="CP1079">
        <v>1</v>
      </c>
      <c r="CS1079" t="s">
        <v>4198</v>
      </c>
    </row>
    <row r="1080" spans="2:98">
      <c r="B1080" t="s">
        <v>1611</v>
      </c>
      <c r="C1080" s="2" t="s">
        <v>1612</v>
      </c>
      <c r="D1080" s="15"/>
      <c r="E1080" s="8" t="s">
        <v>869</v>
      </c>
      <c r="F1080" s="8" t="s">
        <v>65</v>
      </c>
      <c r="G1080" s="1">
        <v>1</v>
      </c>
      <c r="H1080" s="1"/>
      <c r="I1080" s="1">
        <f>1811-34</f>
        <v>1777</v>
      </c>
      <c r="J1080" t="s">
        <v>69</v>
      </c>
      <c r="K1080" t="s">
        <v>12</v>
      </c>
      <c r="N1080">
        <v>1</v>
      </c>
      <c r="Q1080">
        <v>5</v>
      </c>
      <c r="R1080">
        <v>5</v>
      </c>
      <c r="T1080" s="5">
        <f t="shared" si="52"/>
        <v>171.15</v>
      </c>
      <c r="U1080" t="s">
        <v>1187</v>
      </c>
      <c r="AO1080" s="6">
        <v>1</v>
      </c>
      <c r="AP1080" s="6">
        <v>1</v>
      </c>
      <c r="AQ1080" s="6">
        <v>1</v>
      </c>
      <c r="AR1080" s="6">
        <v>1</v>
      </c>
      <c r="AS1080" s="6">
        <v>1</v>
      </c>
      <c r="AT1080" s="7">
        <v>1</v>
      </c>
      <c r="BC1080" t="s">
        <v>1613</v>
      </c>
      <c r="BD1080" s="7" t="s">
        <v>280</v>
      </c>
      <c r="BE1080" t="s">
        <v>62</v>
      </c>
      <c r="BF1080" s="1" t="s">
        <v>29</v>
      </c>
      <c r="BG1080" s="1">
        <v>4</v>
      </c>
      <c r="BH1080">
        <v>1</v>
      </c>
      <c r="BK1080" s="1">
        <v>1</v>
      </c>
      <c r="BQ1080">
        <v>1</v>
      </c>
      <c r="CG1080">
        <v>1</v>
      </c>
      <c r="CM1080">
        <v>1</v>
      </c>
      <c r="CS1080" s="7" t="s">
        <v>1614</v>
      </c>
    </row>
    <row r="1081" spans="2:98">
      <c r="B1081" t="s">
        <v>1622</v>
      </c>
      <c r="C1081" s="2" t="s">
        <v>1623</v>
      </c>
      <c r="D1081" s="2" t="s">
        <v>1624</v>
      </c>
      <c r="E1081" s="8" t="s">
        <v>869</v>
      </c>
      <c r="F1081" s="8" t="s">
        <v>65</v>
      </c>
      <c r="G1081" s="1">
        <v>1</v>
      </c>
      <c r="H1081" s="1"/>
      <c r="I1081" s="1">
        <f>1811-24</f>
        <v>1787</v>
      </c>
      <c r="J1081" t="s">
        <v>10</v>
      </c>
      <c r="K1081" t="s">
        <v>12</v>
      </c>
      <c r="Q1081">
        <v>5</v>
      </c>
      <c r="R1081">
        <v>4</v>
      </c>
      <c r="T1081" s="5">
        <f t="shared" si="52"/>
        <v>168.52</v>
      </c>
      <c r="U1081" t="s">
        <v>1625</v>
      </c>
      <c r="AO1081" s="6">
        <v>1</v>
      </c>
      <c r="AP1081" s="6">
        <v>1</v>
      </c>
      <c r="AQ1081" s="6">
        <v>1</v>
      </c>
      <c r="AR1081" s="6">
        <v>1</v>
      </c>
      <c r="AS1081" s="6">
        <v>1</v>
      </c>
      <c r="AT1081" s="6">
        <v>1</v>
      </c>
      <c r="BC1081">
        <v>1812</v>
      </c>
      <c r="BD1081" t="s">
        <v>81</v>
      </c>
      <c r="BE1081" s="10" t="s">
        <v>62</v>
      </c>
      <c r="BF1081" s="1" t="s">
        <v>73</v>
      </c>
      <c r="BG1081" s="1">
        <v>3</v>
      </c>
      <c r="BH1081">
        <v>2</v>
      </c>
      <c r="BK1081" s="1">
        <v>1</v>
      </c>
      <c r="BQ1081">
        <v>1</v>
      </c>
      <c r="CL1081" s="10">
        <v>1</v>
      </c>
      <c r="CS1081" s="10" t="s">
        <v>1626</v>
      </c>
    </row>
    <row r="1082" spans="2:98">
      <c r="B1082" t="s">
        <v>4479</v>
      </c>
      <c r="C1082" s="2" t="s">
        <v>1223</v>
      </c>
      <c r="D1082" s="2" t="s">
        <v>1223</v>
      </c>
      <c r="E1082" s="8" t="s">
        <v>130</v>
      </c>
      <c r="F1082" s="8" t="s">
        <v>65</v>
      </c>
      <c r="G1082" s="1">
        <v>1</v>
      </c>
      <c r="H1082" s="1"/>
      <c r="I1082" s="1">
        <f>1811-26</f>
        <v>1785</v>
      </c>
      <c r="J1082" t="s">
        <v>10</v>
      </c>
      <c r="K1082" t="s">
        <v>12</v>
      </c>
      <c r="Q1082">
        <v>5</v>
      </c>
      <c r="R1082">
        <v>6</v>
      </c>
      <c r="T1082" s="5">
        <f t="shared" si="52"/>
        <v>173.78</v>
      </c>
      <c r="U1082" t="s">
        <v>4480</v>
      </c>
      <c r="AO1082" s="6">
        <v>1</v>
      </c>
      <c r="AP1082" s="6">
        <v>1</v>
      </c>
      <c r="AQ1082" s="6">
        <v>1</v>
      </c>
      <c r="AR1082" s="6">
        <v>1</v>
      </c>
      <c r="AS1082" s="6">
        <v>1</v>
      </c>
      <c r="BC1082">
        <v>1811</v>
      </c>
      <c r="BD1082" t="s">
        <v>81</v>
      </c>
      <c r="BE1082" t="s">
        <v>151</v>
      </c>
      <c r="BF1082" s="1" t="s">
        <v>73</v>
      </c>
      <c r="BG1082" s="1">
        <v>1</v>
      </c>
      <c r="BH1082">
        <v>1</v>
      </c>
      <c r="BK1082" s="1">
        <v>1</v>
      </c>
      <c r="BQ1082">
        <v>1</v>
      </c>
      <c r="CS1082" t="s">
        <v>4198</v>
      </c>
    </row>
    <row r="1083" spans="2:98">
      <c r="B1083" t="s">
        <v>4477</v>
      </c>
      <c r="C1083" s="2" t="s">
        <v>1223</v>
      </c>
      <c r="D1083" s="2" t="s">
        <v>1223</v>
      </c>
      <c r="E1083" s="8" t="s">
        <v>130</v>
      </c>
      <c r="F1083" s="8" t="s">
        <v>65</v>
      </c>
      <c r="G1083" s="1">
        <v>1</v>
      </c>
      <c r="H1083" s="1"/>
      <c r="I1083" s="1">
        <f>1811-26</f>
        <v>1785</v>
      </c>
      <c r="J1083" t="s">
        <v>10</v>
      </c>
      <c r="K1083" t="s">
        <v>197</v>
      </c>
      <c r="Q1083">
        <v>5</v>
      </c>
      <c r="R1083">
        <v>1</v>
      </c>
      <c r="S1083">
        <v>1</v>
      </c>
      <c r="T1083" s="5">
        <f t="shared" si="52"/>
        <v>160.85</v>
      </c>
      <c r="U1083" t="s">
        <v>4478</v>
      </c>
      <c r="AO1083" s="6">
        <v>1</v>
      </c>
      <c r="AP1083" s="6">
        <v>1</v>
      </c>
      <c r="AQ1083" s="6">
        <v>1</v>
      </c>
      <c r="AR1083" s="6">
        <v>1</v>
      </c>
      <c r="AS1083" s="6">
        <v>1</v>
      </c>
      <c r="BC1083">
        <v>1811</v>
      </c>
      <c r="BD1083" t="s">
        <v>81</v>
      </c>
      <c r="BE1083" t="s">
        <v>151</v>
      </c>
      <c r="BF1083" s="1" t="s">
        <v>73</v>
      </c>
      <c r="BG1083" s="1">
        <v>1</v>
      </c>
      <c r="BH1083">
        <v>1</v>
      </c>
      <c r="BK1083" s="1"/>
      <c r="BO1083">
        <v>1</v>
      </c>
      <c r="BQ1083">
        <v>1</v>
      </c>
      <c r="CS1083" t="s">
        <v>4198</v>
      </c>
    </row>
    <row r="1084" spans="2:98">
      <c r="B1084" t="s">
        <v>1293</v>
      </c>
      <c r="C1084" s="2" t="s">
        <v>1294</v>
      </c>
      <c r="D1084" s="2" t="s">
        <v>1295</v>
      </c>
      <c r="E1084" s="8" t="s">
        <v>624</v>
      </c>
      <c r="F1084" s="8" t="s">
        <v>218</v>
      </c>
      <c r="G1084" s="1">
        <v>1</v>
      </c>
      <c r="H1084" s="1"/>
      <c r="I1084" s="1">
        <f>1811-23</f>
        <v>1788</v>
      </c>
      <c r="J1084" t="s">
        <v>10</v>
      </c>
      <c r="K1084" t="s">
        <v>1296</v>
      </c>
      <c r="Q1084">
        <v>5</v>
      </c>
      <c r="R1084">
        <v>3</v>
      </c>
      <c r="T1084" s="5">
        <f t="shared" si="52"/>
        <v>165.89000000000001</v>
      </c>
      <c r="U1084" s="9" t="s">
        <v>1292</v>
      </c>
      <c r="AP1084" s="9">
        <v>1</v>
      </c>
      <c r="AQ1084" s="6">
        <v>1</v>
      </c>
      <c r="AR1084" s="6">
        <v>1</v>
      </c>
      <c r="AS1084" s="6">
        <v>1</v>
      </c>
      <c r="AT1084" s="6">
        <v>1</v>
      </c>
      <c r="BC1084">
        <v>1812</v>
      </c>
      <c r="BD1084" t="s">
        <v>81</v>
      </c>
      <c r="BE1084" t="s">
        <v>1291</v>
      </c>
      <c r="BF1084" s="1" t="s">
        <v>73</v>
      </c>
      <c r="BG1084" s="1">
        <v>2</v>
      </c>
      <c r="BH1084">
        <v>3</v>
      </c>
      <c r="BK1084" s="1">
        <v>1</v>
      </c>
      <c r="BP1084">
        <v>1</v>
      </c>
      <c r="BQ1084">
        <v>1</v>
      </c>
      <c r="BW1084">
        <v>1</v>
      </c>
      <c r="BZ1084">
        <v>1</v>
      </c>
      <c r="CL1084">
        <v>1</v>
      </c>
      <c r="CS1084" t="s">
        <v>1297</v>
      </c>
    </row>
    <row r="1085" spans="2:98">
      <c r="B1085" t="s">
        <v>2625</v>
      </c>
      <c r="C1085" s="2" t="s">
        <v>2626</v>
      </c>
      <c r="D1085" s="15"/>
      <c r="E1085" s="8" t="s">
        <v>759</v>
      </c>
      <c r="F1085" s="8" t="s">
        <v>247</v>
      </c>
      <c r="G1085" s="1">
        <v>1</v>
      </c>
      <c r="H1085" s="1"/>
      <c r="I1085" s="1">
        <f>1808-18</f>
        <v>1790</v>
      </c>
      <c r="J1085" t="s">
        <v>10</v>
      </c>
      <c r="K1085" t="s">
        <v>12</v>
      </c>
      <c r="Q1085">
        <v>5</v>
      </c>
      <c r="R1085">
        <v>3</v>
      </c>
      <c r="T1085" s="5">
        <f t="shared" si="52"/>
        <v>165.89000000000001</v>
      </c>
      <c r="U1085" t="s">
        <v>2624</v>
      </c>
      <c r="AP1085" s="6">
        <v>1</v>
      </c>
      <c r="AQ1085" s="6">
        <v>1</v>
      </c>
      <c r="AR1085" s="7">
        <v>1</v>
      </c>
      <c r="BC1085" t="s">
        <v>2627</v>
      </c>
      <c r="BD1085" s="7" t="s">
        <v>103</v>
      </c>
      <c r="BE1085" t="s">
        <v>1065</v>
      </c>
      <c r="BF1085" s="1" t="s">
        <v>29</v>
      </c>
      <c r="BG1085" s="1">
        <v>3</v>
      </c>
      <c r="BH1085">
        <v>1</v>
      </c>
      <c r="BK1085" s="1">
        <v>1</v>
      </c>
      <c r="BQ1085">
        <v>1</v>
      </c>
      <c r="CS1085" s="7" t="s">
        <v>1949</v>
      </c>
    </row>
    <row r="1086" spans="2:98">
      <c r="B1086" t="s">
        <v>4155</v>
      </c>
      <c r="C1086" s="2" t="s">
        <v>4156</v>
      </c>
      <c r="D1086" s="15"/>
      <c r="E1086" s="8" t="s">
        <v>1117</v>
      </c>
      <c r="F1086" s="8" t="s">
        <v>247</v>
      </c>
      <c r="G1086" s="1">
        <v>1</v>
      </c>
      <c r="H1086" s="1"/>
      <c r="I1086" s="1">
        <f>1808-30</f>
        <v>1778</v>
      </c>
      <c r="J1086" t="s">
        <v>69</v>
      </c>
      <c r="K1086" t="s">
        <v>12</v>
      </c>
      <c r="Q1086">
        <v>5</v>
      </c>
      <c r="R1086">
        <v>3</v>
      </c>
      <c r="S1086">
        <v>3</v>
      </c>
      <c r="T1086" s="5">
        <f t="shared" si="52"/>
        <v>166.55</v>
      </c>
      <c r="U1086" t="s">
        <v>2715</v>
      </c>
      <c r="AP1086" s="6">
        <v>1</v>
      </c>
      <c r="AQ1086" s="6">
        <v>1</v>
      </c>
      <c r="AR1086" s="7">
        <v>1</v>
      </c>
      <c r="BC1086" t="s">
        <v>2338</v>
      </c>
      <c r="BD1086" s="7" t="s">
        <v>26</v>
      </c>
      <c r="BE1086" t="s">
        <v>1065</v>
      </c>
      <c r="BF1086" s="1" t="s">
        <v>29</v>
      </c>
      <c r="BG1086" s="1">
        <v>4</v>
      </c>
      <c r="BH1086">
        <v>1</v>
      </c>
      <c r="BK1086" s="1">
        <v>1</v>
      </c>
      <c r="BQ1086">
        <v>1</v>
      </c>
      <c r="CS1086" s="7" t="s">
        <v>4157</v>
      </c>
    </row>
    <row r="1087" spans="2:98">
      <c r="B1087" t="s">
        <v>4117</v>
      </c>
      <c r="C1087" s="2" t="s">
        <v>1069</v>
      </c>
      <c r="D1087" s="18"/>
      <c r="E1087" s="8" t="s">
        <v>1117</v>
      </c>
      <c r="F1087" s="8" t="s">
        <v>247</v>
      </c>
      <c r="G1087" s="1">
        <v>1</v>
      </c>
      <c r="H1087" s="1"/>
      <c r="I1087" s="1">
        <f>1808-25</f>
        <v>1783</v>
      </c>
      <c r="J1087" t="s">
        <v>69</v>
      </c>
      <c r="K1087" t="s">
        <v>12</v>
      </c>
      <c r="Q1087">
        <v>5</v>
      </c>
      <c r="R1087">
        <v>6</v>
      </c>
      <c r="T1087" s="5">
        <f>((Q1087*316)+(R1087*26.3)+(S1087*2.2))/10</f>
        <v>173.78</v>
      </c>
      <c r="U1087" t="s">
        <v>2715</v>
      </c>
      <c r="AP1087" s="6">
        <v>1</v>
      </c>
      <c r="AQ1087" s="6">
        <v>1</v>
      </c>
      <c r="AR1087" s="7">
        <v>1</v>
      </c>
      <c r="BC1087" s="38" t="s">
        <v>4057</v>
      </c>
      <c r="BD1087" s="7" t="s">
        <v>103</v>
      </c>
      <c r="BE1087" t="s">
        <v>1065</v>
      </c>
      <c r="BF1087" s="1" t="s">
        <v>29</v>
      </c>
      <c r="BG1087" s="1">
        <v>4</v>
      </c>
      <c r="BH1087">
        <v>1</v>
      </c>
      <c r="BK1087" s="1">
        <v>1</v>
      </c>
      <c r="BQ1087">
        <v>1</v>
      </c>
      <c r="CI1087">
        <v>1</v>
      </c>
      <c r="CS1087" s="7" t="s">
        <v>1949</v>
      </c>
    </row>
    <row r="1088" spans="2:98">
      <c r="B1088" t="s">
        <v>2714</v>
      </c>
      <c r="C1088" s="2" t="s">
        <v>2030</v>
      </c>
      <c r="D1088" s="15"/>
      <c r="E1088" s="8" t="s">
        <v>1117</v>
      </c>
      <c r="F1088" s="8" t="s">
        <v>247</v>
      </c>
      <c r="G1088" s="1">
        <v>1</v>
      </c>
      <c r="H1088" s="1"/>
      <c r="I1088" s="1">
        <f>1808-22</f>
        <v>1786</v>
      </c>
      <c r="J1088" t="s">
        <v>10</v>
      </c>
      <c r="K1088" t="s">
        <v>12</v>
      </c>
      <c r="Q1088">
        <v>5</v>
      </c>
      <c r="R1088">
        <v>5</v>
      </c>
      <c r="S1088">
        <v>2</v>
      </c>
      <c r="T1088" s="5">
        <f t="shared" si="52"/>
        <v>171.59</v>
      </c>
      <c r="U1088" t="s">
        <v>2715</v>
      </c>
      <c r="AP1088" s="6">
        <v>1</v>
      </c>
      <c r="AQ1088" s="7">
        <v>1</v>
      </c>
      <c r="BC1088" t="s">
        <v>2716</v>
      </c>
      <c r="BD1088" s="7" t="s">
        <v>26</v>
      </c>
      <c r="BE1088" t="s">
        <v>1065</v>
      </c>
      <c r="BF1088" s="1" t="s">
        <v>29</v>
      </c>
      <c r="BG1088" s="1">
        <v>4</v>
      </c>
      <c r="BH1088">
        <v>1</v>
      </c>
      <c r="BK1088" s="1">
        <v>1</v>
      </c>
      <c r="BQ1088">
        <v>1</v>
      </c>
      <c r="CS1088" s="7" t="s">
        <v>4098</v>
      </c>
    </row>
    <row r="1089" spans="2:97">
      <c r="B1089" t="s">
        <v>2061</v>
      </c>
      <c r="C1089" s="2" t="s">
        <v>2063</v>
      </c>
      <c r="D1089" s="15"/>
      <c r="E1089" s="8" t="s">
        <v>1074</v>
      </c>
      <c r="F1089" s="8" t="s">
        <v>247</v>
      </c>
      <c r="G1089" s="1">
        <v>1</v>
      </c>
      <c r="H1089" s="1"/>
      <c r="I1089" s="1">
        <f>1808-23</f>
        <v>1785</v>
      </c>
      <c r="J1089" t="s">
        <v>10</v>
      </c>
      <c r="K1089" t="s">
        <v>12</v>
      </c>
      <c r="Q1089">
        <v>5</v>
      </c>
      <c r="R1089">
        <v>0</v>
      </c>
      <c r="S1089">
        <v>2</v>
      </c>
      <c r="T1089" s="5">
        <f t="shared" si="52"/>
        <v>158.44</v>
      </c>
      <c r="U1089" t="s">
        <v>2064</v>
      </c>
      <c r="AP1089" s="7">
        <v>1</v>
      </c>
      <c r="BC1089" t="s">
        <v>2677</v>
      </c>
      <c r="BD1089" s="7" t="s">
        <v>26</v>
      </c>
      <c r="BE1089" t="s">
        <v>1065</v>
      </c>
      <c r="BF1089" s="1" t="s">
        <v>29</v>
      </c>
      <c r="BG1089" s="1">
        <v>2</v>
      </c>
      <c r="BH1089">
        <v>1</v>
      </c>
      <c r="BK1089" s="1">
        <v>1</v>
      </c>
      <c r="BQ1089">
        <v>1</v>
      </c>
      <c r="CS1089" s="7" t="s">
        <v>2062</v>
      </c>
    </row>
    <row r="1090" spans="2:97">
      <c r="B1090" t="s">
        <v>4207</v>
      </c>
      <c r="C1090" s="2" t="s">
        <v>4208</v>
      </c>
      <c r="D1090" s="15"/>
      <c r="E1090" s="8" t="s">
        <v>1074</v>
      </c>
      <c r="F1090" s="8" t="s">
        <v>247</v>
      </c>
      <c r="G1090" s="1">
        <v>1</v>
      </c>
      <c r="H1090" s="1"/>
      <c r="I1090" s="1">
        <f>1808-25</f>
        <v>1783</v>
      </c>
      <c r="J1090" t="s">
        <v>10</v>
      </c>
      <c r="K1090" t="s">
        <v>12</v>
      </c>
      <c r="Q1090">
        <v>5</v>
      </c>
      <c r="R1090">
        <v>3</v>
      </c>
      <c r="S1090">
        <v>1</v>
      </c>
      <c r="T1090" s="5">
        <f t="shared" si="52"/>
        <v>166.11</v>
      </c>
      <c r="U1090" t="s">
        <v>2064</v>
      </c>
      <c r="AP1090" s="6">
        <v>1</v>
      </c>
      <c r="AQ1090" s="7">
        <v>1</v>
      </c>
      <c r="BC1090" t="s">
        <v>3277</v>
      </c>
      <c r="BD1090" s="7" t="s">
        <v>305</v>
      </c>
      <c r="BE1090" t="s">
        <v>1065</v>
      </c>
      <c r="BF1090" s="1" t="s">
        <v>29</v>
      </c>
      <c r="BG1090" s="1">
        <v>4</v>
      </c>
      <c r="BH1090">
        <v>1</v>
      </c>
      <c r="BK1090" s="1">
        <v>1</v>
      </c>
      <c r="BQ1090">
        <v>1</v>
      </c>
      <c r="CM1090">
        <v>1</v>
      </c>
      <c r="CS1090" s="7" t="s">
        <v>4209</v>
      </c>
    </row>
    <row r="1091" spans="2:97">
      <c r="B1091" t="s">
        <v>2681</v>
      </c>
      <c r="C1091" s="2" t="s">
        <v>1081</v>
      </c>
      <c r="E1091" s="8" t="s">
        <v>1074</v>
      </c>
      <c r="F1091" s="8" t="s">
        <v>247</v>
      </c>
      <c r="G1091" s="1">
        <v>1</v>
      </c>
      <c r="H1091" s="1"/>
      <c r="I1091" s="1">
        <f>1808-20</f>
        <v>1788</v>
      </c>
      <c r="J1091" t="s">
        <v>69</v>
      </c>
      <c r="K1091" t="s">
        <v>197</v>
      </c>
      <c r="Q1091">
        <v>5</v>
      </c>
      <c r="R1091">
        <v>1</v>
      </c>
      <c r="T1091" s="5">
        <f t="shared" si="52"/>
        <v>160.63</v>
      </c>
      <c r="U1091" t="s">
        <v>2673</v>
      </c>
      <c r="AP1091" s="6">
        <v>1</v>
      </c>
      <c r="AQ1091" s="7">
        <v>1</v>
      </c>
      <c r="BC1091" t="s">
        <v>2682</v>
      </c>
      <c r="BD1091" s="7" t="s">
        <v>103</v>
      </c>
      <c r="BE1091" t="s">
        <v>1065</v>
      </c>
      <c r="BF1091" s="1" t="s">
        <v>29</v>
      </c>
      <c r="BG1091" s="1">
        <v>3</v>
      </c>
      <c r="BH1091">
        <v>1</v>
      </c>
      <c r="BK1091" s="1">
        <v>1</v>
      </c>
      <c r="BQ1091">
        <v>1</v>
      </c>
      <c r="CS1091" s="7" t="s">
        <v>2683</v>
      </c>
    </row>
    <row r="1092" spans="2:97">
      <c r="B1092" t="s">
        <v>4118</v>
      </c>
      <c r="C1092" s="13" t="s">
        <v>4119</v>
      </c>
      <c r="D1092" s="2"/>
      <c r="E1092" s="8" t="s">
        <v>4120</v>
      </c>
      <c r="F1092" s="8" t="s">
        <v>247</v>
      </c>
      <c r="G1092" s="1">
        <v>1</v>
      </c>
      <c r="H1092" s="1"/>
      <c r="I1092" s="1">
        <f>1808-19</f>
        <v>1789</v>
      </c>
      <c r="J1092" t="s">
        <v>10</v>
      </c>
      <c r="K1092" t="s">
        <v>12</v>
      </c>
      <c r="Q1092">
        <v>5</v>
      </c>
      <c r="R1092">
        <v>4</v>
      </c>
      <c r="T1092" s="5">
        <f t="shared" si="52"/>
        <v>168.52</v>
      </c>
      <c r="U1092" t="s">
        <v>2673</v>
      </c>
      <c r="AP1092" s="6">
        <v>1</v>
      </c>
      <c r="AQ1092" s="7">
        <v>1</v>
      </c>
      <c r="BC1092" t="s">
        <v>4121</v>
      </c>
      <c r="BD1092" s="7" t="s">
        <v>305</v>
      </c>
      <c r="BE1092" t="s">
        <v>1065</v>
      </c>
      <c r="BF1092" s="1" t="s">
        <v>29</v>
      </c>
      <c r="BG1092" s="1">
        <v>4</v>
      </c>
      <c r="BH1092">
        <v>1</v>
      </c>
      <c r="BK1092" s="1">
        <v>1</v>
      </c>
      <c r="BQ1092">
        <v>1</v>
      </c>
      <c r="CH1092">
        <v>1</v>
      </c>
      <c r="CM1092">
        <v>1</v>
      </c>
      <c r="CS1092" s="7" t="s">
        <v>4122</v>
      </c>
    </row>
    <row r="1093" spans="2:97">
      <c r="B1093" t="s">
        <v>2674</v>
      </c>
      <c r="C1093" s="15" t="s">
        <v>2675</v>
      </c>
      <c r="D1093" s="15"/>
      <c r="E1093" s="8" t="s">
        <v>1074</v>
      </c>
      <c r="F1093" s="8" t="s">
        <v>247</v>
      </c>
      <c r="G1093" s="1">
        <v>1</v>
      </c>
      <c r="H1093" s="1"/>
      <c r="I1093" s="1">
        <f>1808-18</f>
        <v>1790</v>
      </c>
      <c r="J1093" t="s">
        <v>10</v>
      </c>
      <c r="K1093" t="s">
        <v>12</v>
      </c>
      <c r="Q1093">
        <v>5</v>
      </c>
      <c r="T1093" s="5">
        <f t="shared" si="52"/>
        <v>158</v>
      </c>
      <c r="U1093" t="s">
        <v>2673</v>
      </c>
      <c r="AP1093" s="6">
        <v>1</v>
      </c>
      <c r="AQ1093" s="6">
        <v>1</v>
      </c>
      <c r="AR1093" s="7">
        <v>1</v>
      </c>
      <c r="BC1093" t="s">
        <v>2676</v>
      </c>
      <c r="BD1093" s="7" t="s">
        <v>103</v>
      </c>
      <c r="BE1093" t="s">
        <v>1065</v>
      </c>
      <c r="BF1093" s="1" t="s">
        <v>29</v>
      </c>
      <c r="BG1093" s="1">
        <v>5</v>
      </c>
      <c r="BH1093">
        <v>1</v>
      </c>
      <c r="BK1093" s="1">
        <v>1</v>
      </c>
      <c r="BQ1093">
        <v>1</v>
      </c>
      <c r="CS1093" s="7" t="s">
        <v>475</v>
      </c>
    </row>
    <row r="1094" spans="2:97">
      <c r="B1094" t="s">
        <v>4139</v>
      </c>
      <c r="C1094" s="2" t="s">
        <v>4140</v>
      </c>
      <c r="D1094" s="15"/>
      <c r="E1094" s="8" t="s">
        <v>1074</v>
      </c>
      <c r="F1094" s="8" t="s">
        <v>247</v>
      </c>
      <c r="G1094" s="1">
        <v>1</v>
      </c>
      <c r="H1094" s="1"/>
      <c r="I1094" s="1">
        <f>1808-20</f>
        <v>1788</v>
      </c>
      <c r="J1094" t="s">
        <v>10</v>
      </c>
      <c r="K1094" t="s">
        <v>12</v>
      </c>
      <c r="Q1094">
        <v>5</v>
      </c>
      <c r="R1094">
        <v>5</v>
      </c>
      <c r="T1094" s="5">
        <f>((Q1094*316)+(R1094*26.3)+(S1094*2.2))/10</f>
        <v>171.15</v>
      </c>
      <c r="U1094" t="s">
        <v>2673</v>
      </c>
      <c r="AP1094" s="6">
        <v>1</v>
      </c>
      <c r="AQ1094" s="6">
        <v>1</v>
      </c>
      <c r="AR1094" s="7">
        <v>1</v>
      </c>
      <c r="BC1094" t="s">
        <v>4141</v>
      </c>
      <c r="BD1094" s="7" t="s">
        <v>103</v>
      </c>
      <c r="BE1094" t="s">
        <v>1065</v>
      </c>
      <c r="BF1094" s="1" t="s">
        <v>29</v>
      </c>
      <c r="BG1094" s="1">
        <v>4</v>
      </c>
      <c r="BH1094">
        <v>1</v>
      </c>
      <c r="BK1094" s="1">
        <v>1</v>
      </c>
      <c r="BQ1094">
        <v>1</v>
      </c>
      <c r="CS1094" s="7" t="s">
        <v>1949</v>
      </c>
    </row>
    <row r="1095" spans="2:97">
      <c r="B1095" t="s">
        <v>4233</v>
      </c>
      <c r="C1095" s="13" t="s">
        <v>4234</v>
      </c>
      <c r="D1095" s="15"/>
      <c r="E1095" s="8" t="s">
        <v>2036</v>
      </c>
      <c r="F1095" s="8" t="s">
        <v>247</v>
      </c>
      <c r="G1095" s="1">
        <v>1</v>
      </c>
      <c r="H1095" s="1"/>
      <c r="I1095" s="1">
        <f>1808-18</f>
        <v>1790</v>
      </c>
      <c r="J1095" t="s">
        <v>10</v>
      </c>
      <c r="K1095" t="s">
        <v>197</v>
      </c>
      <c r="Q1095">
        <v>5</v>
      </c>
      <c r="R1095">
        <v>3</v>
      </c>
      <c r="T1095" s="5">
        <f>((Q1095*316)+(R1095*26.3)+(S1095*2.2))/10</f>
        <v>165.89000000000001</v>
      </c>
      <c r="U1095" t="s">
        <v>2037</v>
      </c>
      <c r="AP1095" s="6">
        <v>1</v>
      </c>
      <c r="AQ1095" s="6">
        <v>1</v>
      </c>
      <c r="AR1095" s="7">
        <v>1</v>
      </c>
      <c r="BC1095" t="s">
        <v>4150</v>
      </c>
      <c r="BD1095" s="7" t="s">
        <v>103</v>
      </c>
      <c r="BE1095" t="s">
        <v>1065</v>
      </c>
      <c r="BF1095" s="1" t="s">
        <v>29</v>
      </c>
      <c r="BG1095" s="1">
        <v>3</v>
      </c>
      <c r="BH1095">
        <v>1</v>
      </c>
      <c r="BK1095" s="1">
        <v>1</v>
      </c>
      <c r="BQ1095">
        <v>1</v>
      </c>
      <c r="CF1095">
        <v>1</v>
      </c>
      <c r="CS1095" s="7" t="s">
        <v>1949</v>
      </c>
    </row>
    <row r="1096" spans="2:97">
      <c r="B1096" t="s">
        <v>2034</v>
      </c>
      <c r="C1096" s="15" t="s">
        <v>2035</v>
      </c>
      <c r="D1096" s="15"/>
      <c r="E1096" s="8" t="s">
        <v>2036</v>
      </c>
      <c r="F1096" s="8" t="s">
        <v>247</v>
      </c>
      <c r="G1096" s="1">
        <v>1</v>
      </c>
      <c r="H1096" s="1"/>
      <c r="I1096" s="1">
        <f>1808-18</f>
        <v>1790</v>
      </c>
      <c r="J1096" t="s">
        <v>10</v>
      </c>
      <c r="K1096" t="s">
        <v>197</v>
      </c>
      <c r="Q1096">
        <v>5</v>
      </c>
      <c r="R1096">
        <v>3</v>
      </c>
      <c r="S1096">
        <v>1</v>
      </c>
      <c r="T1096" s="5">
        <f t="shared" si="52"/>
        <v>166.11</v>
      </c>
      <c r="U1096" t="s">
        <v>2037</v>
      </c>
      <c r="AP1096" s="7">
        <v>1</v>
      </c>
      <c r="BC1096" t="s">
        <v>2038</v>
      </c>
      <c r="BD1096" s="7" t="s">
        <v>280</v>
      </c>
      <c r="BE1096" t="s">
        <v>1065</v>
      </c>
      <c r="BF1096" s="1" t="s">
        <v>29</v>
      </c>
      <c r="BG1096" s="1">
        <v>2</v>
      </c>
      <c r="BH1096">
        <v>1</v>
      </c>
      <c r="BK1096" s="1">
        <v>1</v>
      </c>
      <c r="BQ1096">
        <v>1</v>
      </c>
      <c r="CN1096">
        <v>1</v>
      </c>
      <c r="CS1096" s="7" t="s">
        <v>1243</v>
      </c>
    </row>
    <row r="1097" spans="2:97">
      <c r="B1097" t="s">
        <v>3608</v>
      </c>
      <c r="C1097" s="2" t="s">
        <v>3609</v>
      </c>
      <c r="D1097" s="15"/>
      <c r="E1097" s="8" t="s">
        <v>3610</v>
      </c>
      <c r="F1097" s="8" t="s">
        <v>247</v>
      </c>
      <c r="G1097" s="1">
        <v>1</v>
      </c>
      <c r="H1097" s="1"/>
      <c r="I1097" s="1">
        <f>1809-22</f>
        <v>1787</v>
      </c>
      <c r="J1097" t="s">
        <v>10</v>
      </c>
      <c r="K1097" t="s">
        <v>12</v>
      </c>
      <c r="Q1097">
        <v>5</v>
      </c>
      <c r="R1097">
        <v>3</v>
      </c>
      <c r="S1097">
        <v>2</v>
      </c>
      <c r="T1097" s="5">
        <f t="shared" si="52"/>
        <v>166.33</v>
      </c>
      <c r="U1097" t="s">
        <v>2037</v>
      </c>
      <c r="AP1097" s="6">
        <v>1</v>
      </c>
      <c r="AQ1097" s="6">
        <v>1</v>
      </c>
      <c r="BC1097">
        <v>1809</v>
      </c>
      <c r="BD1097" t="s">
        <v>81</v>
      </c>
      <c r="BE1097" t="s">
        <v>261</v>
      </c>
      <c r="BF1097" s="1" t="s">
        <v>73</v>
      </c>
      <c r="BG1097" s="1">
        <v>1</v>
      </c>
      <c r="BH1097">
        <v>2</v>
      </c>
      <c r="BK1097" s="1">
        <v>1</v>
      </c>
      <c r="BQ1097">
        <v>1</v>
      </c>
      <c r="BW1097">
        <v>1</v>
      </c>
      <c r="CL1097">
        <v>1</v>
      </c>
      <c r="CS1097" t="s">
        <v>3611</v>
      </c>
    </row>
    <row r="1098" spans="2:97">
      <c r="B1098" t="s">
        <v>2727</v>
      </c>
      <c r="C1098" s="2" t="s">
        <v>2728</v>
      </c>
      <c r="D1098" s="15"/>
      <c r="E1098" s="8" t="s">
        <v>1074</v>
      </c>
      <c r="F1098" s="8" t="s">
        <v>247</v>
      </c>
      <c r="G1098" s="1">
        <v>1</v>
      </c>
      <c r="H1098" s="1"/>
      <c r="I1098" s="1">
        <f>1808-18</f>
        <v>1790</v>
      </c>
      <c r="J1098" t="s">
        <v>10</v>
      </c>
      <c r="K1098" t="s">
        <v>12</v>
      </c>
      <c r="Q1098">
        <v>5</v>
      </c>
      <c r="R1098">
        <v>2</v>
      </c>
      <c r="S1098">
        <v>2</v>
      </c>
      <c r="T1098" s="5">
        <f t="shared" si="52"/>
        <v>163.69999999999999</v>
      </c>
      <c r="U1098" t="s">
        <v>2037</v>
      </c>
      <c r="AP1098" s="6">
        <v>1</v>
      </c>
      <c r="AQ1098" s="6">
        <v>1</v>
      </c>
      <c r="AR1098" s="7">
        <v>1</v>
      </c>
      <c r="BC1098" t="s">
        <v>2729</v>
      </c>
      <c r="BD1098" s="7" t="s">
        <v>103</v>
      </c>
      <c r="BE1098" t="s">
        <v>1065</v>
      </c>
      <c r="BF1098" s="1" t="s">
        <v>29</v>
      </c>
      <c r="BG1098" s="1">
        <v>4</v>
      </c>
      <c r="BH1098">
        <v>1</v>
      </c>
      <c r="BK1098" s="1">
        <v>1</v>
      </c>
      <c r="BQ1098">
        <v>1</v>
      </c>
      <c r="CM1098">
        <v>1</v>
      </c>
      <c r="CS1098" s="7" t="s">
        <v>1949</v>
      </c>
    </row>
    <row r="1099" spans="2:97">
      <c r="B1099" t="s">
        <v>2730</v>
      </c>
      <c r="C1099" s="2" t="s">
        <v>1116</v>
      </c>
      <c r="D1099" s="15"/>
      <c r="E1099" s="8" t="s">
        <v>1858</v>
      </c>
      <c r="F1099" s="8" t="s">
        <v>247</v>
      </c>
      <c r="G1099" s="1">
        <v>1</v>
      </c>
      <c r="H1099" s="1"/>
      <c r="I1099" s="1">
        <f>1808-18</f>
        <v>1790</v>
      </c>
      <c r="J1099" t="s">
        <v>10</v>
      </c>
      <c r="K1099" t="s">
        <v>12</v>
      </c>
      <c r="Q1099">
        <v>5</v>
      </c>
      <c r="R1099">
        <v>0</v>
      </c>
      <c r="S1099">
        <v>3</v>
      </c>
      <c r="T1099" s="5">
        <f t="shared" si="52"/>
        <v>158.66</v>
      </c>
      <c r="U1099" t="s">
        <v>2031</v>
      </c>
      <c r="AP1099" s="6">
        <v>1</v>
      </c>
      <c r="AQ1099" s="6">
        <v>1</v>
      </c>
      <c r="AR1099" s="6">
        <v>1</v>
      </c>
      <c r="AS1099" s="7">
        <v>1</v>
      </c>
      <c r="BC1099" t="s">
        <v>2731</v>
      </c>
      <c r="BD1099" s="7" t="s">
        <v>103</v>
      </c>
      <c r="BE1099" t="s">
        <v>1065</v>
      </c>
      <c r="BF1099" s="1" t="s">
        <v>29</v>
      </c>
      <c r="BG1099" s="1">
        <v>4</v>
      </c>
      <c r="BH1099">
        <v>1</v>
      </c>
      <c r="BK1099" s="1">
        <v>1</v>
      </c>
      <c r="BQ1099">
        <v>1</v>
      </c>
      <c r="CM1099">
        <v>1</v>
      </c>
      <c r="CS1099" s="7" t="s">
        <v>1949</v>
      </c>
    </row>
    <row r="1100" spans="2:97">
      <c r="B1100" t="s">
        <v>2029</v>
      </c>
      <c r="C1100" s="2" t="s">
        <v>2030</v>
      </c>
      <c r="D1100" s="15"/>
      <c r="E1100" s="8" t="s">
        <v>1117</v>
      </c>
      <c r="F1100" s="8" t="s">
        <v>247</v>
      </c>
      <c r="G1100" s="1">
        <v>1</v>
      </c>
      <c r="H1100" s="1"/>
      <c r="I1100" s="1">
        <f>1808-26</f>
        <v>1782</v>
      </c>
      <c r="J1100" t="s">
        <v>10</v>
      </c>
      <c r="K1100" t="s">
        <v>12</v>
      </c>
      <c r="Q1100">
        <v>5</v>
      </c>
      <c r="R1100">
        <v>3</v>
      </c>
      <c r="S1100">
        <v>2</v>
      </c>
      <c r="T1100" s="5">
        <f t="shared" si="52"/>
        <v>166.33</v>
      </c>
      <c r="U1100" t="s">
        <v>2031</v>
      </c>
      <c r="AP1100" s="7">
        <v>1</v>
      </c>
      <c r="BC1100" t="s">
        <v>2032</v>
      </c>
      <c r="BD1100" s="7" t="s">
        <v>26</v>
      </c>
      <c r="BE1100" t="s">
        <v>1065</v>
      </c>
      <c r="BF1100" s="1" t="s">
        <v>29</v>
      </c>
      <c r="BG1100" s="1">
        <v>2</v>
      </c>
      <c r="BH1100">
        <v>1</v>
      </c>
      <c r="BK1100" s="1">
        <v>1</v>
      </c>
      <c r="BQ1100">
        <v>1</v>
      </c>
      <c r="CS1100" s="35" t="s">
        <v>2033</v>
      </c>
    </row>
    <row r="1101" spans="2:97">
      <c r="B1101" t="s">
        <v>2679</v>
      </c>
      <c r="C1101" s="2" t="s">
        <v>2678</v>
      </c>
      <c r="D1101" s="15"/>
      <c r="E1101" s="8" t="s">
        <v>1117</v>
      </c>
      <c r="F1101" s="8" t="s">
        <v>247</v>
      </c>
      <c r="G1101" s="1">
        <v>1</v>
      </c>
      <c r="H1101" s="1"/>
      <c r="I1101" s="1">
        <f>1808-19</f>
        <v>1789</v>
      </c>
      <c r="J1101" t="s">
        <v>10</v>
      </c>
      <c r="K1101" t="s">
        <v>12</v>
      </c>
      <c r="Q1101">
        <v>5</v>
      </c>
      <c r="R1101">
        <v>4</v>
      </c>
      <c r="T1101" s="5">
        <f t="shared" si="52"/>
        <v>168.52</v>
      </c>
      <c r="U1101" t="s">
        <v>2031</v>
      </c>
      <c r="AP1101" s="6">
        <v>1</v>
      </c>
      <c r="AQ1101" s="6">
        <v>1</v>
      </c>
      <c r="AR1101" s="7">
        <v>1</v>
      </c>
      <c r="BC1101" t="s">
        <v>2364</v>
      </c>
      <c r="BD1101" s="7" t="s">
        <v>109</v>
      </c>
      <c r="BE1101" t="s">
        <v>1065</v>
      </c>
      <c r="BF1101" s="1" t="s">
        <v>29</v>
      </c>
      <c r="BG1101" s="1">
        <v>4</v>
      </c>
      <c r="BH1101">
        <v>1</v>
      </c>
      <c r="BK1101" s="1">
        <v>1</v>
      </c>
      <c r="BQ1101">
        <v>1</v>
      </c>
      <c r="CS1101" s="35" t="s">
        <v>1593</v>
      </c>
    </row>
    <row r="1102" spans="2:97">
      <c r="B1102" t="s">
        <v>3285</v>
      </c>
      <c r="C1102" s="13" t="s">
        <v>3286</v>
      </c>
      <c r="D1102" s="15"/>
      <c r="E1102" s="8" t="s">
        <v>1858</v>
      </c>
      <c r="F1102" s="8" t="s">
        <v>247</v>
      </c>
      <c r="G1102" s="1">
        <v>1</v>
      </c>
      <c r="H1102" s="1"/>
      <c r="I1102" s="1">
        <f>1808-18</f>
        <v>1790</v>
      </c>
      <c r="J1102" t="s">
        <v>10</v>
      </c>
      <c r="K1102" t="s">
        <v>12</v>
      </c>
      <c r="Q1102">
        <v>5</v>
      </c>
      <c r="R1102">
        <v>2</v>
      </c>
      <c r="S1102">
        <v>2</v>
      </c>
      <c r="T1102" s="5">
        <f t="shared" si="52"/>
        <v>163.69999999999999</v>
      </c>
      <c r="U1102" t="s">
        <v>2031</v>
      </c>
      <c r="AP1102" s="6">
        <v>1</v>
      </c>
      <c r="AQ1102" s="7">
        <v>1</v>
      </c>
      <c r="BC1102" t="s">
        <v>3287</v>
      </c>
      <c r="BD1102" s="7" t="s">
        <v>26</v>
      </c>
      <c r="BE1102" t="s">
        <v>1065</v>
      </c>
      <c r="BF1102" s="1" t="s">
        <v>29</v>
      </c>
      <c r="BG1102" s="1">
        <v>3</v>
      </c>
      <c r="BH1102">
        <v>1</v>
      </c>
      <c r="BK1102" s="1">
        <v>1</v>
      </c>
      <c r="BQ1102">
        <v>1</v>
      </c>
      <c r="CS1102" s="35" t="s">
        <v>4106</v>
      </c>
    </row>
    <row r="1103" spans="2:97">
      <c r="B1103" t="s">
        <v>2578</v>
      </c>
      <c r="C1103" s="2" t="s">
        <v>2579</v>
      </c>
      <c r="D1103" s="15"/>
      <c r="E1103" s="8" t="s">
        <v>2036</v>
      </c>
      <c r="F1103" s="8" t="s">
        <v>247</v>
      </c>
      <c r="G1103" s="1">
        <v>1</v>
      </c>
      <c r="H1103" s="1"/>
      <c r="I1103" s="1">
        <f>1808-30</f>
        <v>1778</v>
      </c>
      <c r="J1103" t="s">
        <v>69</v>
      </c>
      <c r="K1103" t="s">
        <v>12</v>
      </c>
      <c r="Q1103">
        <v>5</v>
      </c>
      <c r="R1103">
        <v>2</v>
      </c>
      <c r="S1103">
        <v>2</v>
      </c>
      <c r="T1103" s="5">
        <f t="shared" si="52"/>
        <v>163.69999999999999</v>
      </c>
      <c r="U1103" t="s">
        <v>2580</v>
      </c>
      <c r="AP1103" s="6">
        <v>1</v>
      </c>
      <c r="BC1103">
        <v>1808</v>
      </c>
      <c r="BD1103" t="s">
        <v>81</v>
      </c>
      <c r="BE1103" s="10" t="s">
        <v>1065</v>
      </c>
      <c r="BF1103" s="1" t="s">
        <v>73</v>
      </c>
      <c r="BG1103" s="1">
        <v>3</v>
      </c>
      <c r="BH1103">
        <v>2</v>
      </c>
      <c r="BK1103" s="1">
        <v>1</v>
      </c>
      <c r="BQ1103">
        <v>1</v>
      </c>
      <c r="CL1103" s="10">
        <v>1</v>
      </c>
      <c r="CS1103" s="39" t="s">
        <v>472</v>
      </c>
    </row>
    <row r="1104" spans="2:97">
      <c r="B1104" t="s">
        <v>2684</v>
      </c>
      <c r="C1104" s="13" t="s">
        <v>2685</v>
      </c>
      <c r="D1104" s="13"/>
      <c r="F1104" s="8" t="s">
        <v>805</v>
      </c>
      <c r="G1104" s="1">
        <v>1</v>
      </c>
      <c r="H1104" s="1"/>
      <c r="I1104" s="1">
        <f>1808-31</f>
        <v>1777</v>
      </c>
      <c r="J1104" t="s">
        <v>1998</v>
      </c>
      <c r="K1104" t="s">
        <v>12</v>
      </c>
      <c r="Q1104">
        <v>5</v>
      </c>
      <c r="R1104">
        <v>3</v>
      </c>
      <c r="S1104">
        <v>2</v>
      </c>
      <c r="T1104" s="5">
        <f>((Q1104*316)+(R1104*26.3)+(S1104*2.2))/10</f>
        <v>166.33</v>
      </c>
      <c r="U1104" t="s">
        <v>2580</v>
      </c>
      <c r="AP1104" s="6">
        <v>1</v>
      </c>
      <c r="AQ1104" s="7">
        <v>1</v>
      </c>
      <c r="BC1104" t="s">
        <v>702</v>
      </c>
      <c r="BD1104" s="7" t="s">
        <v>305</v>
      </c>
      <c r="BE1104" t="s">
        <v>1065</v>
      </c>
      <c r="BF1104" s="1" t="s">
        <v>29</v>
      </c>
      <c r="BG1104" s="1">
        <v>3</v>
      </c>
      <c r="BH1104">
        <v>1</v>
      </c>
      <c r="BK1104" s="1">
        <v>1</v>
      </c>
      <c r="BQ1104">
        <v>1</v>
      </c>
      <c r="CM1104">
        <v>1</v>
      </c>
      <c r="CS1104" s="7" t="s">
        <v>4095</v>
      </c>
    </row>
    <row r="1105" spans="1:98">
      <c r="A1105" t="s">
        <v>72</v>
      </c>
      <c r="B1105" t="s">
        <v>2588</v>
      </c>
      <c r="C1105" s="15"/>
      <c r="D1105" s="15"/>
      <c r="F1105" t="s">
        <v>7</v>
      </c>
      <c r="G1105" s="1"/>
      <c r="H1105" s="1"/>
      <c r="I1105" s="1"/>
      <c r="T1105" s="5"/>
      <c r="U1105" t="s">
        <v>2580</v>
      </c>
      <c r="AP1105" s="6">
        <v>1</v>
      </c>
      <c r="AQ1105" s="6">
        <v>1</v>
      </c>
      <c r="AR1105" s="7">
        <v>1</v>
      </c>
      <c r="BC1105" t="s">
        <v>2589</v>
      </c>
      <c r="BD1105" s="7" t="s">
        <v>26</v>
      </c>
      <c r="BE1105" t="s">
        <v>1065</v>
      </c>
      <c r="BF1105" s="1" t="s">
        <v>29</v>
      </c>
      <c r="BG1105" s="1">
        <v>2</v>
      </c>
      <c r="BH1105">
        <v>1</v>
      </c>
      <c r="BK1105" s="1">
        <v>1</v>
      </c>
      <c r="BQ1105">
        <v>1</v>
      </c>
      <c r="CS1105" s="35" t="s">
        <v>4079</v>
      </c>
    </row>
    <row r="1106" spans="1:98">
      <c r="B1106" t="s">
        <v>4144</v>
      </c>
      <c r="C1106" s="2" t="s">
        <v>4145</v>
      </c>
      <c r="D1106" s="15"/>
      <c r="E1106" s="8" t="s">
        <v>4055</v>
      </c>
      <c r="F1106" s="8" t="s">
        <v>247</v>
      </c>
      <c r="G1106" s="1">
        <v>1</v>
      </c>
      <c r="H1106" s="1"/>
      <c r="I1106" s="1">
        <f>1808-25</f>
        <v>1783</v>
      </c>
      <c r="J1106" t="s">
        <v>10</v>
      </c>
      <c r="K1106" t="s">
        <v>12</v>
      </c>
      <c r="Q1106">
        <v>5</v>
      </c>
      <c r="R1106">
        <v>3</v>
      </c>
      <c r="S1106">
        <v>3</v>
      </c>
      <c r="T1106" s="5">
        <f t="shared" si="52"/>
        <v>166.55</v>
      </c>
      <c r="U1106" t="s">
        <v>2580</v>
      </c>
      <c r="AP1106" s="6">
        <v>1</v>
      </c>
      <c r="AQ1106" s="6">
        <v>1</v>
      </c>
      <c r="AR1106" s="7">
        <v>1</v>
      </c>
      <c r="BC1106" t="s">
        <v>2350</v>
      </c>
      <c r="BD1106" s="7" t="s">
        <v>103</v>
      </c>
      <c r="BE1106" t="s">
        <v>1065</v>
      </c>
      <c r="BF1106" s="1" t="s">
        <v>29</v>
      </c>
      <c r="BG1106" s="1">
        <v>5</v>
      </c>
      <c r="BH1106">
        <v>1</v>
      </c>
      <c r="BK1106" s="1">
        <v>1</v>
      </c>
      <c r="BQ1106">
        <v>1</v>
      </c>
      <c r="CM1106">
        <v>1</v>
      </c>
      <c r="CS1106" s="35" t="s">
        <v>1949</v>
      </c>
    </row>
    <row r="1107" spans="1:98">
      <c r="B1107" t="s">
        <v>2719</v>
      </c>
      <c r="C1107" s="2" t="s">
        <v>1069</v>
      </c>
      <c r="D1107" s="15"/>
      <c r="E1107" s="8" t="s">
        <v>1117</v>
      </c>
      <c r="F1107" s="8" t="s">
        <v>247</v>
      </c>
      <c r="G1107" s="1">
        <v>1</v>
      </c>
      <c r="H1107" s="1"/>
      <c r="I1107" s="1">
        <f>1808-22</f>
        <v>1786</v>
      </c>
      <c r="J1107" t="s">
        <v>10</v>
      </c>
      <c r="K1107" t="s">
        <v>12</v>
      </c>
      <c r="Q1107">
        <v>5</v>
      </c>
      <c r="R1107">
        <v>5</v>
      </c>
      <c r="T1107" s="5">
        <f t="shared" si="52"/>
        <v>171.15</v>
      </c>
      <c r="U1107" t="s">
        <v>2580</v>
      </c>
      <c r="AP1107" s="6">
        <v>1</v>
      </c>
      <c r="AQ1107" s="7">
        <v>1</v>
      </c>
      <c r="BC1107" t="s">
        <v>688</v>
      </c>
      <c r="BD1107" s="7" t="s">
        <v>103</v>
      </c>
      <c r="BE1107" t="s">
        <v>1065</v>
      </c>
      <c r="BF1107" s="1" t="s">
        <v>29</v>
      </c>
      <c r="BG1107" s="1">
        <v>4</v>
      </c>
      <c r="BH1107">
        <v>1</v>
      </c>
      <c r="BK1107" s="1">
        <v>1</v>
      </c>
      <c r="BQ1107">
        <v>1</v>
      </c>
      <c r="CS1107" s="35" t="s">
        <v>1125</v>
      </c>
    </row>
    <row r="1108" spans="1:98">
      <c r="B1108" t="s">
        <v>4146</v>
      </c>
      <c r="C1108" s="2" t="s">
        <v>4147</v>
      </c>
      <c r="D1108" s="15"/>
      <c r="E1108" s="8" t="s">
        <v>1074</v>
      </c>
      <c r="F1108" s="8" t="s">
        <v>247</v>
      </c>
      <c r="G1108" s="1">
        <v>1</v>
      </c>
      <c r="H1108" s="1"/>
      <c r="I1108" s="1">
        <f>1808-18</f>
        <v>1790</v>
      </c>
      <c r="J1108" t="s">
        <v>10</v>
      </c>
      <c r="K1108" t="s">
        <v>12</v>
      </c>
      <c r="Q1108">
        <v>5</v>
      </c>
      <c r="R1108">
        <v>1</v>
      </c>
      <c r="S1108">
        <v>2</v>
      </c>
      <c r="T1108" s="5">
        <f t="shared" si="52"/>
        <v>161.07</v>
      </c>
      <c r="U1108" t="s">
        <v>4148</v>
      </c>
      <c r="AP1108" s="6">
        <v>1</v>
      </c>
      <c r="AQ1108" s="7">
        <v>1</v>
      </c>
      <c r="BC1108" t="s">
        <v>2587</v>
      </c>
      <c r="BD1108" s="7" t="s">
        <v>109</v>
      </c>
      <c r="BE1108" t="s">
        <v>1065</v>
      </c>
      <c r="BF1108" s="1" t="s">
        <v>29</v>
      </c>
      <c r="BG1108" s="1">
        <v>4</v>
      </c>
      <c r="BH1108">
        <v>1</v>
      </c>
      <c r="BK1108" s="1">
        <v>1</v>
      </c>
      <c r="BQ1108">
        <v>1</v>
      </c>
      <c r="CS1108" s="35" t="s">
        <v>1593</v>
      </c>
    </row>
    <row r="1109" spans="1:98">
      <c r="B1109" t="s">
        <v>4163</v>
      </c>
      <c r="C1109" s="2" t="s">
        <v>4164</v>
      </c>
      <c r="D1109" s="15"/>
      <c r="E1109" s="8" t="s">
        <v>759</v>
      </c>
      <c r="F1109" s="8" t="s">
        <v>247</v>
      </c>
      <c r="G1109" s="1">
        <v>1</v>
      </c>
      <c r="H1109" s="1"/>
      <c r="I1109" s="1">
        <f>1808-19</f>
        <v>1789</v>
      </c>
      <c r="J1109" t="s">
        <v>10</v>
      </c>
      <c r="K1109" t="s">
        <v>12</v>
      </c>
      <c r="Q1109">
        <v>5</v>
      </c>
      <c r="R1109">
        <v>2</v>
      </c>
      <c r="S1109">
        <v>2</v>
      </c>
      <c r="T1109" s="5">
        <f t="shared" si="52"/>
        <v>163.69999999999999</v>
      </c>
      <c r="U1109" t="s">
        <v>2024</v>
      </c>
      <c r="AP1109" s="6">
        <v>1</v>
      </c>
      <c r="AQ1109" s="6">
        <v>1</v>
      </c>
      <c r="AR1109" s="7">
        <v>1</v>
      </c>
      <c r="BC1109" t="s">
        <v>2364</v>
      </c>
      <c r="BD1109" s="7" t="s">
        <v>109</v>
      </c>
      <c r="BE1109" t="s">
        <v>1065</v>
      </c>
      <c r="BF1109" s="1" t="s">
        <v>29</v>
      </c>
      <c r="BG1109" s="1">
        <v>5</v>
      </c>
      <c r="BH1109">
        <v>1</v>
      </c>
      <c r="BK1109" s="1">
        <v>1</v>
      </c>
      <c r="BQ1109">
        <v>1</v>
      </c>
      <c r="CS1109" s="35" t="s">
        <v>1593</v>
      </c>
    </row>
    <row r="1110" spans="1:98">
      <c r="B1110" t="s">
        <v>2680</v>
      </c>
      <c r="C1110" s="15" t="s">
        <v>2023</v>
      </c>
      <c r="D1110" s="15"/>
      <c r="E1110" s="8" t="s">
        <v>4055</v>
      </c>
      <c r="F1110" s="8" t="s">
        <v>247</v>
      </c>
      <c r="G1110" s="1">
        <v>1</v>
      </c>
      <c r="H1110" s="1"/>
      <c r="I1110" s="1">
        <f>1808-22</f>
        <v>1786</v>
      </c>
      <c r="J1110" t="s">
        <v>10</v>
      </c>
      <c r="K1110" t="s">
        <v>197</v>
      </c>
      <c r="Q1110">
        <v>5</v>
      </c>
      <c r="R1110">
        <v>4</v>
      </c>
      <c r="T1110" s="5">
        <f t="shared" si="52"/>
        <v>168.52</v>
      </c>
      <c r="U1110" t="s">
        <v>2024</v>
      </c>
      <c r="AP1110" s="6">
        <v>1</v>
      </c>
      <c r="AQ1110" s="6">
        <v>1</v>
      </c>
      <c r="AR1110" s="7">
        <v>1</v>
      </c>
      <c r="BC1110" t="s">
        <v>2364</v>
      </c>
      <c r="BD1110" s="7" t="s">
        <v>109</v>
      </c>
      <c r="BE1110" t="s">
        <v>1065</v>
      </c>
      <c r="BF1110" s="1" t="s">
        <v>29</v>
      </c>
      <c r="BG1110" s="1">
        <v>5</v>
      </c>
      <c r="BH1110">
        <v>1</v>
      </c>
      <c r="BK1110" s="1">
        <v>1</v>
      </c>
      <c r="BQ1110">
        <v>1</v>
      </c>
      <c r="CN1110">
        <v>1</v>
      </c>
      <c r="CP1110">
        <v>1</v>
      </c>
      <c r="CS1110" s="7" t="s">
        <v>1593</v>
      </c>
    </row>
    <row r="1111" spans="1:98">
      <c r="B1111" t="s">
        <v>3292</v>
      </c>
      <c r="C1111" s="2" t="s">
        <v>3291</v>
      </c>
      <c r="D1111" s="15"/>
      <c r="E1111" s="8" t="s">
        <v>4055</v>
      </c>
      <c r="F1111" s="8" t="s">
        <v>247</v>
      </c>
      <c r="G1111" s="1">
        <v>1</v>
      </c>
      <c r="H1111" s="1"/>
      <c r="I1111" s="1">
        <f>1808-20</f>
        <v>1788</v>
      </c>
      <c r="J1111" t="s">
        <v>10</v>
      </c>
      <c r="K1111" t="s">
        <v>12</v>
      </c>
      <c r="Q1111">
        <v>5</v>
      </c>
      <c r="R1111">
        <v>2</v>
      </c>
      <c r="S1111">
        <v>2</v>
      </c>
      <c r="T1111" s="5">
        <f t="shared" si="52"/>
        <v>163.69999999999999</v>
      </c>
      <c r="U1111" t="s">
        <v>2718</v>
      </c>
      <c r="AP1111" s="6">
        <v>1</v>
      </c>
      <c r="AQ1111" s="7">
        <v>1</v>
      </c>
      <c r="BC1111" t="s">
        <v>3293</v>
      </c>
      <c r="BD1111" s="7" t="s">
        <v>26</v>
      </c>
      <c r="BE1111" t="s">
        <v>1065</v>
      </c>
      <c r="BF1111" s="1" t="s">
        <v>29</v>
      </c>
      <c r="BG1111" s="1">
        <v>5</v>
      </c>
      <c r="BH1111">
        <v>1</v>
      </c>
      <c r="BK1111" s="1">
        <v>1</v>
      </c>
      <c r="BQ1111">
        <v>1</v>
      </c>
      <c r="CM1111">
        <v>1</v>
      </c>
      <c r="CS1111" s="7" t="s">
        <v>368</v>
      </c>
    </row>
    <row r="1112" spans="1:98">
      <c r="B1112" t="s">
        <v>3289</v>
      </c>
      <c r="C1112" s="2" t="s">
        <v>3288</v>
      </c>
      <c r="D1112" s="15"/>
      <c r="E1112" s="8" t="s">
        <v>4055</v>
      </c>
      <c r="F1112" s="8" t="s">
        <v>247</v>
      </c>
      <c r="G1112" s="1">
        <v>1</v>
      </c>
      <c r="H1112" s="1"/>
      <c r="I1112" s="1">
        <f>1808-21</f>
        <v>1787</v>
      </c>
      <c r="J1112" t="s">
        <v>10</v>
      </c>
      <c r="K1112" t="s">
        <v>12</v>
      </c>
      <c r="Q1112">
        <v>5</v>
      </c>
      <c r="R1112">
        <v>3</v>
      </c>
      <c r="S1112">
        <v>2</v>
      </c>
      <c r="T1112" s="5">
        <f t="shared" si="52"/>
        <v>166.33</v>
      </c>
      <c r="U1112" t="s">
        <v>2718</v>
      </c>
      <c r="AP1112" s="6">
        <v>1</v>
      </c>
      <c r="AQ1112" s="7">
        <v>1</v>
      </c>
      <c r="BC1112" t="s">
        <v>3290</v>
      </c>
      <c r="BD1112" s="7" t="s">
        <v>26</v>
      </c>
      <c r="BE1112" t="s">
        <v>1065</v>
      </c>
      <c r="BF1112" s="1" t="s">
        <v>29</v>
      </c>
      <c r="BG1112" s="1">
        <v>4</v>
      </c>
      <c r="BH1112">
        <v>1</v>
      </c>
      <c r="BK1112" s="1">
        <v>1</v>
      </c>
      <c r="BQ1112">
        <v>1</v>
      </c>
      <c r="CS1112" s="7" t="s">
        <v>4107</v>
      </c>
    </row>
    <row r="1113" spans="1:98">
      <c r="B1113" t="s">
        <v>4149</v>
      </c>
      <c r="C1113" s="2" t="s">
        <v>1078</v>
      </c>
      <c r="D1113" s="15"/>
      <c r="E1113" s="8" t="s">
        <v>1074</v>
      </c>
      <c r="F1113" s="8" t="s">
        <v>247</v>
      </c>
      <c r="G1113" s="1">
        <v>1</v>
      </c>
      <c r="H1113" s="1"/>
      <c r="I1113" s="1">
        <f>1808-19</f>
        <v>1789</v>
      </c>
      <c r="J1113" t="s">
        <v>10</v>
      </c>
      <c r="K1113" t="s">
        <v>12</v>
      </c>
      <c r="Q1113">
        <v>5</v>
      </c>
      <c r="R1113">
        <v>4</v>
      </c>
      <c r="S1113">
        <v>1</v>
      </c>
      <c r="T1113" s="5">
        <f t="shared" si="52"/>
        <v>168.74</v>
      </c>
      <c r="U1113" t="s">
        <v>2718</v>
      </c>
      <c r="AP1113" s="6">
        <v>1</v>
      </c>
      <c r="AQ1113" s="6">
        <v>1</v>
      </c>
      <c r="AR1113" s="7">
        <v>1</v>
      </c>
      <c r="BC1113" t="s">
        <v>4150</v>
      </c>
      <c r="BD1113" s="7" t="s">
        <v>103</v>
      </c>
      <c r="BE1113" t="s">
        <v>1065</v>
      </c>
      <c r="BF1113" s="1" t="s">
        <v>29</v>
      </c>
      <c r="BG1113" s="1">
        <v>4</v>
      </c>
      <c r="BH1113">
        <v>1</v>
      </c>
      <c r="BK1113" s="1">
        <v>1</v>
      </c>
      <c r="BQ1113">
        <v>1</v>
      </c>
      <c r="CG1113">
        <v>1</v>
      </c>
      <c r="CS1113" s="7" t="s">
        <v>1949</v>
      </c>
    </row>
    <row r="1114" spans="1:98">
      <c r="B1114" t="s">
        <v>2717</v>
      </c>
      <c r="C1114" s="2" t="s">
        <v>1166</v>
      </c>
      <c r="D1114" s="15"/>
      <c r="E1114" s="8" t="s">
        <v>1094</v>
      </c>
      <c r="F1114" s="8" t="s">
        <v>247</v>
      </c>
      <c r="G1114" s="1">
        <v>1</v>
      </c>
      <c r="H1114" s="1"/>
      <c r="I1114" s="1">
        <f>1808-18</f>
        <v>1790</v>
      </c>
      <c r="J1114" t="s">
        <v>10</v>
      </c>
      <c r="K1114" t="s">
        <v>12</v>
      </c>
      <c r="Q1114">
        <v>5</v>
      </c>
      <c r="R1114">
        <v>1</v>
      </c>
      <c r="S1114">
        <v>2</v>
      </c>
      <c r="T1114" s="5">
        <f t="shared" si="52"/>
        <v>161.07</v>
      </c>
      <c r="U1114" t="s">
        <v>2718</v>
      </c>
      <c r="AP1114" s="6">
        <v>1</v>
      </c>
      <c r="AQ1114" s="7">
        <v>1</v>
      </c>
      <c r="BC1114" t="s">
        <v>1967</v>
      </c>
      <c r="BD1114" s="7" t="s">
        <v>305</v>
      </c>
      <c r="BE1114" t="s">
        <v>1065</v>
      </c>
      <c r="BF1114" s="1" t="s">
        <v>29</v>
      </c>
      <c r="BG1114" s="1">
        <v>3</v>
      </c>
      <c r="BH1114">
        <v>1</v>
      </c>
      <c r="BK1114" s="1">
        <v>1</v>
      </c>
      <c r="BQ1114">
        <v>1</v>
      </c>
      <c r="CN1114">
        <v>1</v>
      </c>
      <c r="CS1114" s="7" t="s">
        <v>1842</v>
      </c>
    </row>
    <row r="1115" spans="1:98">
      <c r="B1115" t="s">
        <v>4151</v>
      </c>
      <c r="C1115" s="2" t="s">
        <v>4152</v>
      </c>
      <c r="D1115" s="15"/>
      <c r="E1115" s="8" t="s">
        <v>1074</v>
      </c>
      <c r="F1115" s="8" t="s">
        <v>247</v>
      </c>
      <c r="G1115" s="1">
        <v>1</v>
      </c>
      <c r="H1115" s="1"/>
      <c r="I1115" s="1">
        <f>1808-24</f>
        <v>1784</v>
      </c>
      <c r="J1115" t="s">
        <v>10</v>
      </c>
      <c r="K1115" t="s">
        <v>12</v>
      </c>
      <c r="Q1115">
        <v>5</v>
      </c>
      <c r="R1115">
        <v>1</v>
      </c>
      <c r="S1115">
        <v>1</v>
      </c>
      <c r="T1115" s="5">
        <f t="shared" si="52"/>
        <v>160.85</v>
      </c>
      <c r="U1115" t="s">
        <v>2718</v>
      </c>
      <c r="AP1115" s="6">
        <v>1</v>
      </c>
      <c r="AQ1115" s="6">
        <v>1</v>
      </c>
      <c r="AR1115" s="7">
        <v>1</v>
      </c>
      <c r="BC1115" t="s">
        <v>2627</v>
      </c>
      <c r="BD1115" s="7" t="s">
        <v>103</v>
      </c>
      <c r="BE1115" t="s">
        <v>1065</v>
      </c>
      <c r="BF1115" s="1" t="s">
        <v>29</v>
      </c>
      <c r="BG1115" s="1">
        <v>4</v>
      </c>
      <c r="BH1115">
        <v>1</v>
      </c>
      <c r="BK1115" s="1">
        <v>1</v>
      </c>
      <c r="BQ1115">
        <v>1</v>
      </c>
      <c r="CS1115" s="7" t="s">
        <v>1949</v>
      </c>
    </row>
    <row r="1116" spans="1:98">
      <c r="B1116" t="s">
        <v>3694</v>
      </c>
      <c r="C1116" s="2" t="s">
        <v>564</v>
      </c>
      <c r="D1116" s="15"/>
      <c r="F1116" s="8" t="s">
        <v>357</v>
      </c>
      <c r="G1116" s="1">
        <v>1</v>
      </c>
      <c r="H1116" s="1"/>
      <c r="I1116" s="1">
        <f>1819-31</f>
        <v>1788</v>
      </c>
      <c r="J1116" t="s">
        <v>69</v>
      </c>
      <c r="K1116" t="s">
        <v>12</v>
      </c>
      <c r="N1116">
        <v>1</v>
      </c>
      <c r="Q1116">
        <v>5</v>
      </c>
      <c r="R1116">
        <v>4</v>
      </c>
      <c r="S1116">
        <v>1</v>
      </c>
      <c r="T1116" s="5">
        <f t="shared" si="52"/>
        <v>168.74</v>
      </c>
      <c r="U1116" t="s">
        <v>3695</v>
      </c>
      <c r="AP1116" s="6">
        <v>1</v>
      </c>
      <c r="AQ1116" s="6">
        <v>1</v>
      </c>
      <c r="AR1116" s="6">
        <v>1</v>
      </c>
      <c r="AS1116" s="6">
        <v>1</v>
      </c>
      <c r="AT1116" s="6">
        <v>1</v>
      </c>
      <c r="AU1116" s="6">
        <v>1</v>
      </c>
      <c r="AV1116" s="6">
        <v>1</v>
      </c>
      <c r="AW1116" s="6">
        <v>1</v>
      </c>
      <c r="AX1116" s="6">
        <v>1</v>
      </c>
      <c r="AY1116" s="6">
        <v>1</v>
      </c>
      <c r="AZ1116" s="6">
        <v>1</v>
      </c>
      <c r="BA1116" s="7">
        <v>1</v>
      </c>
      <c r="BC1116" t="s">
        <v>3696</v>
      </c>
      <c r="BD1116" s="7" t="s">
        <v>103</v>
      </c>
      <c r="BE1116" t="s">
        <v>2407</v>
      </c>
      <c r="BF1116" s="1" t="s">
        <v>29</v>
      </c>
      <c r="BG1116" s="1">
        <v>3</v>
      </c>
      <c r="BH1116">
        <v>2</v>
      </c>
      <c r="BK1116" s="30">
        <v>1</v>
      </c>
      <c r="BQ1116">
        <v>1</v>
      </c>
      <c r="CI1116">
        <v>1</v>
      </c>
      <c r="CL1116">
        <v>1</v>
      </c>
      <c r="CS1116" s="7" t="s">
        <v>1226</v>
      </c>
      <c r="CT1116" s="6" t="s">
        <v>3177</v>
      </c>
    </row>
    <row r="1117" spans="1:98">
      <c r="B1117" t="s">
        <v>4133</v>
      </c>
      <c r="C1117" s="2" t="s">
        <v>4134</v>
      </c>
      <c r="D1117" s="15"/>
      <c r="E1117" s="8" t="s">
        <v>1074</v>
      </c>
      <c r="F1117" s="8" t="s">
        <v>247</v>
      </c>
      <c r="G1117" s="1">
        <v>1</v>
      </c>
      <c r="H1117" s="1"/>
      <c r="I1117" s="1">
        <f>1808-17</f>
        <v>1791</v>
      </c>
      <c r="J1117" t="s">
        <v>10</v>
      </c>
      <c r="K1117" t="s">
        <v>12</v>
      </c>
      <c r="Q1117">
        <v>5</v>
      </c>
      <c r="R1117">
        <v>3</v>
      </c>
      <c r="T1117" s="5">
        <f t="shared" si="52"/>
        <v>165.89000000000001</v>
      </c>
      <c r="U1117" t="s">
        <v>4135</v>
      </c>
      <c r="AP1117" s="6">
        <v>1</v>
      </c>
      <c r="AQ1117" s="6">
        <v>1</v>
      </c>
      <c r="AR1117" s="7">
        <v>1</v>
      </c>
      <c r="BC1117" t="s">
        <v>2627</v>
      </c>
      <c r="BD1117" s="7" t="s">
        <v>103</v>
      </c>
      <c r="BE1117" t="s">
        <v>1065</v>
      </c>
      <c r="BF1117" s="1" t="s">
        <v>29</v>
      </c>
      <c r="BG1117" s="1">
        <v>3</v>
      </c>
      <c r="BH1117">
        <v>1</v>
      </c>
      <c r="BK1117" s="1">
        <v>1</v>
      </c>
      <c r="BQ1117">
        <v>1</v>
      </c>
      <c r="CS1117" s="7" t="s">
        <v>1949</v>
      </c>
    </row>
    <row r="1118" spans="1:98">
      <c r="A1118" t="s">
        <v>72</v>
      </c>
      <c r="B1118" t="s">
        <v>2027</v>
      </c>
      <c r="C1118" s="15"/>
      <c r="D1118" s="15"/>
      <c r="F1118" t="s">
        <v>7</v>
      </c>
      <c r="G1118" s="1"/>
      <c r="H1118" s="1"/>
      <c r="I1118" s="1"/>
      <c r="T1118" s="5"/>
      <c r="U1118" t="s">
        <v>2020</v>
      </c>
      <c r="AP1118" s="6">
        <v>1</v>
      </c>
      <c r="AQ1118" s="6">
        <v>1</v>
      </c>
      <c r="AR1118" s="7">
        <v>1</v>
      </c>
      <c r="BC1118" t="s">
        <v>2364</v>
      </c>
      <c r="BD1118" s="7" t="s">
        <v>109</v>
      </c>
      <c r="BE1118" t="s">
        <v>1065</v>
      </c>
      <c r="BF1118" s="1" t="s">
        <v>29</v>
      </c>
      <c r="BG1118" s="1">
        <v>4</v>
      </c>
      <c r="BH1118">
        <v>1</v>
      </c>
      <c r="BK1118" s="1">
        <v>1</v>
      </c>
      <c r="BQ1118">
        <v>1</v>
      </c>
      <c r="CN1118">
        <v>1</v>
      </c>
      <c r="CP1118">
        <v>1</v>
      </c>
      <c r="CS1118" s="7" t="s">
        <v>1593</v>
      </c>
    </row>
    <row r="1119" spans="1:98">
      <c r="B1119" t="s">
        <v>2039</v>
      </c>
      <c r="C1119" s="15" t="s">
        <v>2040</v>
      </c>
      <c r="D1119" s="15"/>
      <c r="E1119" s="8" t="s">
        <v>1281</v>
      </c>
      <c r="F1119" s="8" t="s">
        <v>247</v>
      </c>
      <c r="G1119" s="1">
        <v>1</v>
      </c>
      <c r="H1119" s="1"/>
      <c r="I1119" s="1">
        <f>1808-23</f>
        <v>1785</v>
      </c>
      <c r="J1119" t="s">
        <v>69</v>
      </c>
      <c r="K1119" t="s">
        <v>12</v>
      </c>
      <c r="T1119" s="5"/>
      <c r="U1119" t="s">
        <v>2020</v>
      </c>
      <c r="AP1119" s="6">
        <v>1</v>
      </c>
      <c r="AQ1119" s="6">
        <v>1</v>
      </c>
      <c r="AR1119" s="7">
        <v>1</v>
      </c>
      <c r="AS1119" s="7">
        <v>1</v>
      </c>
      <c r="BC1119" t="s">
        <v>4160</v>
      </c>
      <c r="BD1119" s="7" t="s">
        <v>959</v>
      </c>
      <c r="BE1119" s="7" t="s">
        <v>1558</v>
      </c>
      <c r="BF1119" s="1" t="s">
        <v>29</v>
      </c>
      <c r="BG1119" s="1">
        <v>5</v>
      </c>
      <c r="BH1119">
        <v>2</v>
      </c>
      <c r="BJ1119">
        <v>1</v>
      </c>
      <c r="BK1119" s="1">
        <v>1</v>
      </c>
      <c r="BQ1119">
        <v>1</v>
      </c>
      <c r="CB1119" s="7">
        <v>1</v>
      </c>
      <c r="CS1119" s="7" t="s">
        <v>4161</v>
      </c>
    </row>
    <row r="1120" spans="1:98">
      <c r="A1120" t="s">
        <v>72</v>
      </c>
      <c r="B1120" t="s">
        <v>2019</v>
      </c>
      <c r="C1120" s="15"/>
      <c r="D1120" s="15"/>
      <c r="F1120" t="s">
        <v>7</v>
      </c>
      <c r="G1120" s="1"/>
      <c r="H1120" s="1"/>
      <c r="I1120" s="1"/>
      <c r="T1120" s="5"/>
      <c r="U1120" t="s">
        <v>2020</v>
      </c>
      <c r="AP1120" s="6">
        <v>1</v>
      </c>
      <c r="AQ1120" s="6">
        <v>1</v>
      </c>
      <c r="AR1120" s="7">
        <v>1</v>
      </c>
      <c r="BC1120" t="s">
        <v>4096</v>
      </c>
      <c r="BD1120" s="7" t="s">
        <v>305</v>
      </c>
      <c r="BE1120" t="s">
        <v>1065</v>
      </c>
      <c r="BF1120" s="1" t="s">
        <v>29</v>
      </c>
      <c r="BG1120" s="1">
        <v>4</v>
      </c>
      <c r="BH1120">
        <v>1</v>
      </c>
      <c r="BK1120" s="1">
        <v>1</v>
      </c>
      <c r="BQ1120">
        <v>1</v>
      </c>
      <c r="CM1120">
        <v>1</v>
      </c>
      <c r="CN1120">
        <v>1</v>
      </c>
      <c r="CP1120">
        <v>1</v>
      </c>
      <c r="CS1120" s="7" t="s">
        <v>2172</v>
      </c>
    </row>
    <row r="1121" spans="1:97">
      <c r="B1121" t="s">
        <v>2581</v>
      </c>
      <c r="C1121" s="2" t="s">
        <v>2582</v>
      </c>
      <c r="D1121" s="15"/>
      <c r="E1121" s="8" t="s">
        <v>1281</v>
      </c>
      <c r="F1121" s="8" t="s">
        <v>247</v>
      </c>
      <c r="G1121" s="1">
        <v>1</v>
      </c>
      <c r="H1121" s="1"/>
      <c r="I1121" s="1">
        <f>1808-32</f>
        <v>1776</v>
      </c>
      <c r="J1121" t="s">
        <v>10</v>
      </c>
      <c r="K1121" t="s">
        <v>12</v>
      </c>
      <c r="Q1121">
        <v>5</v>
      </c>
      <c r="R1121">
        <v>4</v>
      </c>
      <c r="S1121">
        <v>3</v>
      </c>
      <c r="T1121" s="5">
        <f t="shared" si="52"/>
        <v>169.18</v>
      </c>
      <c r="U1121" t="s">
        <v>2020</v>
      </c>
      <c r="AP1121" s="6">
        <v>1</v>
      </c>
      <c r="AQ1121" s="6">
        <v>1</v>
      </c>
      <c r="BC1121">
        <v>1809</v>
      </c>
      <c r="BD1121" t="s">
        <v>81</v>
      </c>
      <c r="BE1121" s="10" t="s">
        <v>1065</v>
      </c>
      <c r="BF1121" s="1" t="s">
        <v>73</v>
      </c>
      <c r="BG1121" s="1">
        <v>2</v>
      </c>
      <c r="BH1121">
        <v>2</v>
      </c>
      <c r="BI1121">
        <v>1</v>
      </c>
      <c r="BK1121" s="1">
        <v>1</v>
      </c>
      <c r="BQ1121">
        <v>1</v>
      </c>
      <c r="BX1121" s="10">
        <v>1</v>
      </c>
      <c r="CL1121" s="10">
        <v>1</v>
      </c>
      <c r="CS1121" s="10" t="s">
        <v>2583</v>
      </c>
    </row>
    <row r="1122" spans="1:97">
      <c r="A1122" t="s">
        <v>72</v>
      </c>
      <c r="B1122" t="s">
        <v>2025</v>
      </c>
      <c r="C1122" s="15"/>
      <c r="D1122" s="15"/>
      <c r="F1122" t="s">
        <v>7</v>
      </c>
      <c r="G1122" s="1"/>
      <c r="H1122" s="1"/>
      <c r="I1122" s="1"/>
      <c r="T1122" s="5"/>
      <c r="U1122" t="s">
        <v>2020</v>
      </c>
      <c r="AP1122" s="7">
        <v>1</v>
      </c>
      <c r="BC1122" t="s">
        <v>2021</v>
      </c>
      <c r="BD1122" s="7" t="s">
        <v>280</v>
      </c>
      <c r="BE1122" t="s">
        <v>1065</v>
      </c>
      <c r="BF1122" s="1" t="s">
        <v>29</v>
      </c>
      <c r="BG1122" s="1">
        <v>1</v>
      </c>
      <c r="BH1122">
        <v>1</v>
      </c>
      <c r="BK1122" s="1">
        <v>1</v>
      </c>
      <c r="BQ1122">
        <v>1</v>
      </c>
      <c r="CN1122">
        <v>1</v>
      </c>
      <c r="CS1122" s="7" t="s">
        <v>2022</v>
      </c>
    </row>
    <row r="1123" spans="1:97">
      <c r="B1123" t="s">
        <v>2687</v>
      </c>
      <c r="C1123" s="2" t="s">
        <v>1116</v>
      </c>
      <c r="D1123" s="15"/>
      <c r="E1123" s="8" t="s">
        <v>1858</v>
      </c>
      <c r="F1123" s="8" t="s">
        <v>247</v>
      </c>
      <c r="G1123" s="1">
        <v>1</v>
      </c>
      <c r="H1123" s="1"/>
      <c r="I1123" s="1">
        <f>1808-20</f>
        <v>1788</v>
      </c>
      <c r="J1123" t="s">
        <v>10</v>
      </c>
      <c r="K1123" t="s">
        <v>12</v>
      </c>
      <c r="Q1123">
        <v>5</v>
      </c>
      <c r="R1123">
        <v>2</v>
      </c>
      <c r="S1123">
        <v>3</v>
      </c>
      <c r="T1123" s="5">
        <f t="shared" si="52"/>
        <v>163.92</v>
      </c>
      <c r="U1123" t="s">
        <v>2688</v>
      </c>
      <c r="AP1123" s="6">
        <v>1</v>
      </c>
      <c r="AQ1123" s="6">
        <v>1</v>
      </c>
      <c r="BC1123">
        <v>1809</v>
      </c>
      <c r="BD1123" t="s">
        <v>81</v>
      </c>
      <c r="BE1123" s="10" t="s">
        <v>1065</v>
      </c>
      <c r="BF1123" s="1" t="s">
        <v>29</v>
      </c>
      <c r="BG1123" s="1">
        <v>3</v>
      </c>
      <c r="BH1123">
        <v>2</v>
      </c>
      <c r="BK1123" s="1">
        <v>1</v>
      </c>
      <c r="BQ1123">
        <v>1</v>
      </c>
      <c r="BW1123" s="10">
        <v>1</v>
      </c>
      <c r="CL1123" s="10">
        <v>1</v>
      </c>
      <c r="CS1123" s="10" t="s">
        <v>2689</v>
      </c>
    </row>
    <row r="1124" spans="1:97">
      <c r="A1124" t="s">
        <v>72</v>
      </c>
      <c r="B1124" t="s">
        <v>4165</v>
      </c>
      <c r="C1124" s="15"/>
      <c r="D1124" s="15"/>
      <c r="F1124" t="s">
        <v>7</v>
      </c>
      <c r="G1124" s="1"/>
      <c r="H1124" s="1"/>
      <c r="I1124" s="1"/>
      <c r="T1124" s="5"/>
      <c r="U1124" t="s">
        <v>2028</v>
      </c>
      <c r="AP1124" s="6">
        <v>1</v>
      </c>
      <c r="AQ1124" s="6">
        <v>1</v>
      </c>
      <c r="AR1124" s="7">
        <v>1</v>
      </c>
      <c r="BC1124" t="s">
        <v>2364</v>
      </c>
      <c r="BD1124" s="7" t="s">
        <v>109</v>
      </c>
      <c r="BE1124" t="s">
        <v>1065</v>
      </c>
      <c r="BF1124" s="1" t="s">
        <v>29</v>
      </c>
      <c r="BG1124" s="1">
        <v>4</v>
      </c>
      <c r="BH1124">
        <v>1</v>
      </c>
      <c r="BK1124" s="1">
        <v>1</v>
      </c>
      <c r="BQ1124">
        <v>1</v>
      </c>
      <c r="CS1124" s="7" t="s">
        <v>1593</v>
      </c>
    </row>
    <row r="1125" spans="1:97">
      <c r="A1125" t="s">
        <v>72</v>
      </c>
      <c r="B1125" t="s">
        <v>2026</v>
      </c>
      <c r="C1125" s="15"/>
      <c r="D1125" s="15"/>
      <c r="F1125" t="s">
        <v>7</v>
      </c>
      <c r="G1125" s="1"/>
      <c r="H1125" s="1"/>
      <c r="I1125" s="1"/>
      <c r="T1125" s="5"/>
      <c r="U1125" t="s">
        <v>2028</v>
      </c>
      <c r="AP1125" s="7">
        <v>1</v>
      </c>
      <c r="BC1125" t="s">
        <v>2021</v>
      </c>
      <c r="BD1125" s="7" t="s">
        <v>280</v>
      </c>
      <c r="BE1125" t="s">
        <v>1065</v>
      </c>
      <c r="BF1125" s="1" t="s">
        <v>29</v>
      </c>
      <c r="BG1125" s="1">
        <v>1</v>
      </c>
      <c r="BH1125">
        <v>1</v>
      </c>
      <c r="BK1125" s="1">
        <v>1</v>
      </c>
      <c r="BQ1125">
        <v>1</v>
      </c>
      <c r="CN1125">
        <v>1</v>
      </c>
      <c r="CS1125" s="7" t="s">
        <v>2022</v>
      </c>
    </row>
    <row r="1126" spans="1:97">
      <c r="A1126" t="s">
        <v>72</v>
      </c>
      <c r="B1126" t="s">
        <v>2725</v>
      </c>
      <c r="C1126" s="15"/>
      <c r="D1126" s="15"/>
      <c r="F1126" t="s">
        <v>7</v>
      </c>
      <c r="G1126" s="1"/>
      <c r="H1126" s="1"/>
      <c r="I1126" s="1"/>
      <c r="T1126" s="5"/>
      <c r="U1126" t="s">
        <v>2028</v>
      </c>
      <c r="AP1126" s="6">
        <v>1</v>
      </c>
      <c r="AQ1126" s="6">
        <v>1</v>
      </c>
      <c r="AR1126" s="7">
        <v>1</v>
      </c>
      <c r="BC1126" t="s">
        <v>2364</v>
      </c>
      <c r="BD1126" s="7" t="s">
        <v>109</v>
      </c>
      <c r="BE1126" t="s">
        <v>1065</v>
      </c>
      <c r="BF1126" s="1" t="s">
        <v>29</v>
      </c>
      <c r="BG1126" s="1">
        <v>4</v>
      </c>
      <c r="BH1126">
        <v>1</v>
      </c>
      <c r="BK1126" s="1">
        <v>1</v>
      </c>
      <c r="BQ1126">
        <v>1</v>
      </c>
      <c r="CM1126">
        <v>1</v>
      </c>
      <c r="CN1126">
        <v>1</v>
      </c>
      <c r="CP1126">
        <v>1</v>
      </c>
      <c r="CS1126" s="7" t="s">
        <v>1593</v>
      </c>
    </row>
    <row r="1127" spans="1:97">
      <c r="A1127" t="s">
        <v>72</v>
      </c>
      <c r="B1127" t="s">
        <v>4162</v>
      </c>
      <c r="C1127" s="15"/>
      <c r="D1127" s="15"/>
      <c r="F1127" t="s">
        <v>7</v>
      </c>
      <c r="G1127" s="1"/>
      <c r="H1127" s="1"/>
      <c r="I1127" s="1"/>
      <c r="T1127" s="5"/>
      <c r="U1127" t="s">
        <v>2028</v>
      </c>
      <c r="AP1127" s="6">
        <v>1</v>
      </c>
      <c r="AQ1127" s="6">
        <v>1</v>
      </c>
      <c r="AR1127" s="7">
        <v>1</v>
      </c>
      <c r="BC1127" t="s">
        <v>2364</v>
      </c>
      <c r="BD1127" s="7" t="s">
        <v>109</v>
      </c>
      <c r="BE1127" t="s">
        <v>1065</v>
      </c>
      <c r="BF1127" s="1" t="s">
        <v>29</v>
      </c>
      <c r="BG1127" s="1">
        <v>4</v>
      </c>
      <c r="BH1127">
        <v>1</v>
      </c>
      <c r="BK1127" s="1">
        <v>1</v>
      </c>
      <c r="BQ1127">
        <v>1</v>
      </c>
      <c r="CS1127" s="7" t="s">
        <v>1593</v>
      </c>
    </row>
    <row r="1128" spans="1:97">
      <c r="A1128" t="s">
        <v>72</v>
      </c>
      <c r="B1128" t="s">
        <v>4166</v>
      </c>
      <c r="C1128" s="15"/>
      <c r="D1128" s="15"/>
      <c r="F1128" t="s">
        <v>7</v>
      </c>
      <c r="G1128" s="1"/>
      <c r="H1128" s="1"/>
      <c r="I1128" s="1"/>
      <c r="T1128" s="5"/>
      <c r="U1128" t="s">
        <v>4167</v>
      </c>
      <c r="AP1128" s="6">
        <v>1</v>
      </c>
      <c r="AQ1128" s="6">
        <v>1</v>
      </c>
      <c r="AR1128" s="7">
        <v>1</v>
      </c>
      <c r="BC1128" t="s">
        <v>2364</v>
      </c>
      <c r="BD1128" s="7" t="s">
        <v>109</v>
      </c>
      <c r="BE1128" t="s">
        <v>1065</v>
      </c>
      <c r="BF1128" s="1" t="s">
        <v>29</v>
      </c>
      <c r="BG1128" s="1">
        <v>3</v>
      </c>
      <c r="BH1128">
        <v>1</v>
      </c>
      <c r="BK1128" s="1">
        <v>1</v>
      </c>
      <c r="BQ1128">
        <v>1</v>
      </c>
      <c r="CS1128" s="7" t="s">
        <v>1593</v>
      </c>
    </row>
    <row r="1129" spans="1:97">
      <c r="B1129" t="s">
        <v>4130</v>
      </c>
      <c r="C1129" s="2" t="s">
        <v>1190</v>
      </c>
      <c r="D1129" s="15"/>
      <c r="E1129" s="8" t="s">
        <v>1094</v>
      </c>
      <c r="F1129" t="s">
        <v>247</v>
      </c>
      <c r="G1129" s="1">
        <v>1</v>
      </c>
      <c r="H1129" s="1"/>
      <c r="I1129" s="1">
        <f>1808-18</f>
        <v>1790</v>
      </c>
      <c r="J1129" t="s">
        <v>10</v>
      </c>
      <c r="K1129" t="s">
        <v>12</v>
      </c>
      <c r="Q1129">
        <v>5</v>
      </c>
      <c r="R1129">
        <v>1</v>
      </c>
      <c r="S1129">
        <v>2</v>
      </c>
      <c r="T1129" s="5">
        <f t="shared" ref="T1129:T1134" si="53">((Q1129*316)+(R1129*26.3)+(S1129*2.2))/10</f>
        <v>161.07</v>
      </c>
      <c r="U1129" t="s">
        <v>2326</v>
      </c>
      <c r="AP1129" s="6">
        <v>1</v>
      </c>
      <c r="AQ1129" s="7">
        <v>1</v>
      </c>
      <c r="BC1129" t="s">
        <v>4131</v>
      </c>
      <c r="BD1129" s="7" t="s">
        <v>26</v>
      </c>
      <c r="BE1129" t="s">
        <v>1065</v>
      </c>
      <c r="BF1129" s="1" t="s">
        <v>29</v>
      </c>
      <c r="BG1129" s="1">
        <v>3</v>
      </c>
      <c r="BH1129">
        <v>1</v>
      </c>
      <c r="BK1129" s="1">
        <v>1</v>
      </c>
      <c r="BQ1129">
        <v>1</v>
      </c>
      <c r="CS1129" s="7" t="s">
        <v>4132</v>
      </c>
    </row>
    <row r="1130" spans="1:97">
      <c r="B1130" t="s">
        <v>4203</v>
      </c>
      <c r="C1130" s="13" t="s">
        <v>2622</v>
      </c>
      <c r="D1130" s="15"/>
      <c r="E1130" s="8" t="s">
        <v>1117</v>
      </c>
      <c r="F1130" t="s">
        <v>247</v>
      </c>
      <c r="G1130" s="1">
        <v>1</v>
      </c>
      <c r="H1130" s="1"/>
      <c r="I1130" s="1">
        <f>1808-25</f>
        <v>1783</v>
      </c>
      <c r="J1130" t="s">
        <v>10</v>
      </c>
      <c r="K1130" t="s">
        <v>12</v>
      </c>
      <c r="Q1130">
        <v>5</v>
      </c>
      <c r="R1130">
        <v>6</v>
      </c>
      <c r="T1130" s="5">
        <f t="shared" si="53"/>
        <v>173.78</v>
      </c>
      <c r="U1130" t="s">
        <v>2326</v>
      </c>
      <c r="AP1130" s="6">
        <v>1</v>
      </c>
      <c r="AQ1130" s="7">
        <v>1</v>
      </c>
      <c r="BC1130" s="38" t="s">
        <v>698</v>
      </c>
      <c r="BD1130" s="7" t="s">
        <v>305</v>
      </c>
      <c r="BE1130" t="s">
        <v>1065</v>
      </c>
      <c r="BF1130" s="1" t="s">
        <v>29</v>
      </c>
      <c r="BG1130" s="1">
        <v>4</v>
      </c>
      <c r="BH1130">
        <v>1</v>
      </c>
      <c r="BK1130" s="1">
        <v>1</v>
      </c>
      <c r="BQ1130">
        <v>1</v>
      </c>
      <c r="CF1130">
        <v>1</v>
      </c>
      <c r="CM1130">
        <v>1</v>
      </c>
      <c r="CS1130" s="35" t="s">
        <v>4202</v>
      </c>
    </row>
    <row r="1131" spans="1:97">
      <c r="B1131" t="s">
        <v>2621</v>
      </c>
      <c r="C1131" s="13" t="s">
        <v>2622</v>
      </c>
      <c r="D1131" s="15"/>
      <c r="E1131" s="8" t="s">
        <v>1117</v>
      </c>
      <c r="F1131" s="8" t="s">
        <v>247</v>
      </c>
      <c r="G1131" s="1">
        <v>1</v>
      </c>
      <c r="H1131" s="1"/>
      <c r="I1131" s="1">
        <f>1808-25</f>
        <v>1783</v>
      </c>
      <c r="J1131" t="s">
        <v>10</v>
      </c>
      <c r="K1131" t="s">
        <v>12</v>
      </c>
      <c r="Q1131">
        <v>5</v>
      </c>
      <c r="R1131">
        <v>6</v>
      </c>
      <c r="T1131" s="5">
        <f t="shared" si="53"/>
        <v>173.78</v>
      </c>
      <c r="U1131" t="s">
        <v>2326</v>
      </c>
      <c r="AP1131" s="6">
        <v>1</v>
      </c>
      <c r="AQ1131" s="7">
        <v>1</v>
      </c>
      <c r="BC1131" t="s">
        <v>2671</v>
      </c>
      <c r="BD1131" s="7" t="s">
        <v>26</v>
      </c>
      <c r="BE1131" t="s">
        <v>1065</v>
      </c>
      <c r="BF1131" s="1" t="s">
        <v>29</v>
      </c>
      <c r="BG1131" s="1">
        <v>4</v>
      </c>
      <c r="BH1131">
        <v>1</v>
      </c>
      <c r="BK1131" s="1">
        <v>1</v>
      </c>
      <c r="BQ1131">
        <v>1</v>
      </c>
      <c r="CM1131">
        <v>1</v>
      </c>
      <c r="CS1131" s="7" t="s">
        <v>4092</v>
      </c>
    </row>
    <row r="1132" spans="1:97">
      <c r="B1132" t="s">
        <v>4136</v>
      </c>
      <c r="C1132" s="2" t="s">
        <v>4137</v>
      </c>
      <c r="D1132" s="15"/>
      <c r="E1132" s="8" t="s">
        <v>1117</v>
      </c>
      <c r="F1132" s="8" t="s">
        <v>247</v>
      </c>
      <c r="G1132" s="1">
        <v>1</v>
      </c>
      <c r="H1132" s="1"/>
      <c r="I1132" s="1">
        <f>1808-23</f>
        <v>1785</v>
      </c>
      <c r="J1132" t="s">
        <v>10</v>
      </c>
      <c r="K1132" t="s">
        <v>12</v>
      </c>
      <c r="Q1132">
        <v>5</v>
      </c>
      <c r="R1132">
        <v>4</v>
      </c>
      <c r="T1132" s="5">
        <f t="shared" si="53"/>
        <v>168.52</v>
      </c>
      <c r="U1132" t="s">
        <v>2326</v>
      </c>
      <c r="AP1132" s="6">
        <v>1</v>
      </c>
      <c r="AQ1132" s="6">
        <v>1</v>
      </c>
      <c r="AR1132" s="7">
        <v>1</v>
      </c>
      <c r="BC1132" t="s">
        <v>4084</v>
      </c>
      <c r="BD1132" s="7" t="s">
        <v>103</v>
      </c>
      <c r="BE1132" t="s">
        <v>1065</v>
      </c>
      <c r="BF1132" s="1" t="s">
        <v>29</v>
      </c>
      <c r="BG1132" s="1">
        <v>3</v>
      </c>
      <c r="BH1132">
        <v>1</v>
      </c>
      <c r="BK1132" s="1">
        <v>1</v>
      </c>
      <c r="BQ1132">
        <v>1</v>
      </c>
      <c r="CS1132" s="7" t="s">
        <v>1949</v>
      </c>
    </row>
    <row r="1133" spans="1:97">
      <c r="B1133" t="s">
        <v>4192</v>
      </c>
      <c r="C1133" s="2" t="s">
        <v>4193</v>
      </c>
      <c r="D1133" s="15"/>
      <c r="E1133" s="8" t="s">
        <v>1117</v>
      </c>
      <c r="F1133" s="8" t="s">
        <v>247</v>
      </c>
      <c r="G1133" s="1">
        <v>1</v>
      </c>
      <c r="H1133" s="1"/>
      <c r="I1133" s="1">
        <f>1808-28</f>
        <v>1780</v>
      </c>
      <c r="J1133" t="s">
        <v>10</v>
      </c>
      <c r="K1133" t="s">
        <v>12</v>
      </c>
      <c r="Q1133">
        <v>5</v>
      </c>
      <c r="R1133">
        <v>2</v>
      </c>
      <c r="T1133" s="5">
        <f t="shared" si="53"/>
        <v>163.26</v>
      </c>
      <c r="U1133" t="s">
        <v>2326</v>
      </c>
      <c r="AP1133" s="6">
        <v>1</v>
      </c>
      <c r="AQ1133" s="6">
        <v>1</v>
      </c>
      <c r="AR1133" s="7">
        <v>1</v>
      </c>
      <c r="BC1133" t="s">
        <v>4194</v>
      </c>
      <c r="BD1133" s="7" t="s">
        <v>26</v>
      </c>
      <c r="BE1133" t="s">
        <v>1065</v>
      </c>
      <c r="BF1133" s="1" t="s">
        <v>29</v>
      </c>
      <c r="BG1133" s="1">
        <v>5</v>
      </c>
      <c r="BH1133">
        <v>1</v>
      </c>
      <c r="BK1133" s="1">
        <v>1</v>
      </c>
      <c r="BQ1133">
        <v>1</v>
      </c>
      <c r="CS1133" s="7" t="s">
        <v>4195</v>
      </c>
    </row>
    <row r="1134" spans="1:97">
      <c r="B1134" t="s">
        <v>2344</v>
      </c>
      <c r="C1134" s="2" t="s">
        <v>2345</v>
      </c>
      <c r="D1134" s="15"/>
      <c r="F1134" s="8" t="s">
        <v>218</v>
      </c>
      <c r="G1134" s="1">
        <v>1</v>
      </c>
      <c r="H1134" s="1"/>
      <c r="I1134" s="1">
        <f>1811-22</f>
        <v>1789</v>
      </c>
      <c r="J1134" t="s">
        <v>10</v>
      </c>
      <c r="K1134" t="s">
        <v>12</v>
      </c>
      <c r="Q1134">
        <v>5</v>
      </c>
      <c r="R1134">
        <v>2</v>
      </c>
      <c r="S1134">
        <v>1</v>
      </c>
      <c r="T1134" s="5">
        <f t="shared" si="53"/>
        <v>163.47999999999999</v>
      </c>
      <c r="U1134" t="s">
        <v>2326</v>
      </c>
      <c r="AP1134" s="6">
        <v>1</v>
      </c>
      <c r="AQ1134" s="6">
        <v>1</v>
      </c>
      <c r="AR1134" s="6">
        <v>1</v>
      </c>
      <c r="AS1134" s="7">
        <v>1</v>
      </c>
      <c r="BC1134" t="s">
        <v>2346</v>
      </c>
      <c r="BD1134" s="7" t="s">
        <v>103</v>
      </c>
      <c r="BE1134" t="s">
        <v>1511</v>
      </c>
      <c r="BF1134" s="1" t="s">
        <v>29</v>
      </c>
      <c r="BG1134" s="1">
        <v>1</v>
      </c>
      <c r="BH1134">
        <v>1</v>
      </c>
      <c r="BK1134" s="1">
        <v>1</v>
      </c>
      <c r="BQ1134">
        <v>1</v>
      </c>
      <c r="CS1134" s="7" t="s">
        <v>2172</v>
      </c>
    </row>
    <row r="1135" spans="1:97">
      <c r="B1135" t="s">
        <v>4196</v>
      </c>
      <c r="C1135" s="12" t="s">
        <v>4197</v>
      </c>
      <c r="D1135" s="15"/>
      <c r="E1135" s="8" t="s">
        <v>1630</v>
      </c>
      <c r="F1135" s="8" t="s">
        <v>65</v>
      </c>
      <c r="G1135" s="1">
        <v>1</v>
      </c>
      <c r="H1135" s="1"/>
      <c r="I1135" s="1">
        <f>1808-20</f>
        <v>1788</v>
      </c>
      <c r="J1135" t="s">
        <v>10</v>
      </c>
      <c r="K1135" t="s">
        <v>12</v>
      </c>
      <c r="Q1135">
        <v>5</v>
      </c>
      <c r="R1135">
        <v>3</v>
      </c>
      <c r="S1135">
        <v>2</v>
      </c>
      <c r="T1135" s="5">
        <f t="shared" si="52"/>
        <v>166.33</v>
      </c>
      <c r="U1135" t="s">
        <v>2326</v>
      </c>
      <c r="AP1135" s="6">
        <v>1</v>
      </c>
      <c r="AQ1135" s="6">
        <v>1</v>
      </c>
      <c r="AR1135" s="6">
        <v>1</v>
      </c>
      <c r="AS1135" s="6">
        <v>1</v>
      </c>
      <c r="BC1135">
        <v>1811</v>
      </c>
      <c r="BD1135" t="s">
        <v>81</v>
      </c>
      <c r="BE1135" t="s">
        <v>151</v>
      </c>
      <c r="BF1135" s="1" t="s">
        <v>73</v>
      </c>
      <c r="BG1135" s="1">
        <v>4</v>
      </c>
      <c r="BH1135">
        <v>2</v>
      </c>
      <c r="BK1135" s="1">
        <v>1</v>
      </c>
      <c r="BQ1135">
        <v>1</v>
      </c>
      <c r="CL1135">
        <v>1</v>
      </c>
      <c r="CM1135">
        <v>1</v>
      </c>
      <c r="CS1135" t="s">
        <v>4198</v>
      </c>
    </row>
    <row r="1136" spans="1:97">
      <c r="B1136" t="s">
        <v>4200</v>
      </c>
      <c r="C1136" s="13" t="s">
        <v>4199</v>
      </c>
      <c r="D1136" s="15"/>
      <c r="E1136" s="8" t="s">
        <v>1117</v>
      </c>
      <c r="F1136" s="8" t="s">
        <v>247</v>
      </c>
      <c r="G1136" s="1">
        <v>1</v>
      </c>
      <c r="H1136" s="1"/>
      <c r="I1136" s="1">
        <f>1808-23</f>
        <v>1785</v>
      </c>
      <c r="J1136" t="s">
        <v>10</v>
      </c>
      <c r="K1136" t="s">
        <v>12</v>
      </c>
      <c r="Q1136">
        <v>5</v>
      </c>
      <c r="R1136">
        <v>1</v>
      </c>
      <c r="S1136">
        <v>3</v>
      </c>
      <c r="T1136" s="5">
        <f t="shared" si="52"/>
        <v>161.29</v>
      </c>
      <c r="U1136" t="s">
        <v>2326</v>
      </c>
      <c r="AP1136" s="6">
        <v>1</v>
      </c>
      <c r="AQ1136" s="6">
        <v>1</v>
      </c>
      <c r="AR1136" s="6">
        <v>1</v>
      </c>
      <c r="AS1136" s="7">
        <v>1</v>
      </c>
      <c r="BC1136" t="s">
        <v>4201</v>
      </c>
      <c r="BD1136" s="7" t="s">
        <v>103</v>
      </c>
      <c r="BE1136" t="s">
        <v>1065</v>
      </c>
      <c r="BF1136" s="1" t="s">
        <v>29</v>
      </c>
      <c r="BG1136" s="1">
        <v>4</v>
      </c>
      <c r="BH1136">
        <v>1</v>
      </c>
      <c r="BK1136" s="1">
        <v>1</v>
      </c>
      <c r="BQ1136">
        <v>1</v>
      </c>
      <c r="CS1136" s="7" t="s">
        <v>1949</v>
      </c>
    </row>
    <row r="1137" spans="1:97">
      <c r="A1137" t="s">
        <v>72</v>
      </c>
      <c r="B1137" t="s">
        <v>2619</v>
      </c>
      <c r="C1137" s="15"/>
      <c r="D1137" s="15"/>
      <c r="F1137" t="s">
        <v>7</v>
      </c>
      <c r="G1137" s="1"/>
      <c r="H1137" s="1"/>
      <c r="I1137" s="1"/>
      <c r="T1137" s="5"/>
      <c r="U1137" t="s">
        <v>2620</v>
      </c>
      <c r="AP1137" s="6">
        <v>1</v>
      </c>
      <c r="AQ1137" s="7">
        <v>1</v>
      </c>
      <c r="BC1137" t="s">
        <v>688</v>
      </c>
      <c r="BD1137" s="7" t="s">
        <v>103</v>
      </c>
      <c r="BE1137" t="s">
        <v>1065</v>
      </c>
      <c r="BF1137" s="1" t="s">
        <v>29</v>
      </c>
      <c r="BG1137" s="1">
        <v>3</v>
      </c>
      <c r="BH1137">
        <v>1</v>
      </c>
      <c r="BK1137" s="1"/>
      <c r="BO1137">
        <v>1</v>
      </c>
      <c r="BQ1137">
        <v>1</v>
      </c>
      <c r="CS1137" s="7" t="s">
        <v>1868</v>
      </c>
    </row>
    <row r="1138" spans="1:97">
      <c r="B1138" t="s">
        <v>2465</v>
      </c>
      <c r="C1138" s="13" t="s">
        <v>2466</v>
      </c>
      <c r="D1138" s="2" t="s">
        <v>1629</v>
      </c>
      <c r="E1138" s="8" t="s">
        <v>1630</v>
      </c>
      <c r="F1138" s="8" t="s">
        <v>65</v>
      </c>
      <c r="G1138" s="1">
        <v>1</v>
      </c>
      <c r="H1138" s="1"/>
      <c r="I1138" s="1">
        <f>1811-25</f>
        <v>1786</v>
      </c>
      <c r="J1138" t="s">
        <v>10</v>
      </c>
      <c r="K1138" t="s">
        <v>12</v>
      </c>
      <c r="Q1138">
        <v>5</v>
      </c>
      <c r="R1138">
        <v>3</v>
      </c>
      <c r="S1138">
        <v>3</v>
      </c>
      <c r="T1138" s="5">
        <f t="shared" ref="T1138:T1144" si="54">((Q1138*316)+(R1138*26.3)+(S1138*2.2))/10</f>
        <v>166.55</v>
      </c>
      <c r="U1138" t="s">
        <v>2464</v>
      </c>
      <c r="AP1138" s="6">
        <v>1</v>
      </c>
      <c r="AQ1138" s="6">
        <v>1</v>
      </c>
      <c r="AR1138" s="6">
        <v>1</v>
      </c>
      <c r="AS1138" s="6">
        <v>1</v>
      </c>
      <c r="AT1138" s="6">
        <v>1</v>
      </c>
      <c r="AU1138" s="6">
        <v>1</v>
      </c>
      <c r="AV1138" s="6">
        <v>1</v>
      </c>
      <c r="AW1138" s="6">
        <v>1</v>
      </c>
      <c r="AX1138" s="6">
        <v>1</v>
      </c>
      <c r="AY1138" s="6">
        <v>1</v>
      </c>
      <c r="AZ1138" s="7">
        <v>1</v>
      </c>
      <c r="BC1138" t="s">
        <v>2467</v>
      </c>
      <c r="BD1138" s="7" t="s">
        <v>103</v>
      </c>
      <c r="BE1138" t="s">
        <v>62</v>
      </c>
      <c r="BF1138" s="1" t="s">
        <v>29</v>
      </c>
      <c r="BG1138" s="1">
        <v>6</v>
      </c>
      <c r="BH1138">
        <v>1</v>
      </c>
      <c r="BK1138" s="1">
        <v>1</v>
      </c>
      <c r="BQ1138">
        <v>1</v>
      </c>
      <c r="CQ1138">
        <v>1</v>
      </c>
      <c r="CS1138" s="7" t="s">
        <v>412</v>
      </c>
    </row>
    <row r="1139" spans="1:97">
      <c r="B1139" t="s">
        <v>3324</v>
      </c>
      <c r="C1139" s="2" t="s">
        <v>3273</v>
      </c>
      <c r="D1139" s="2" t="s">
        <v>3274</v>
      </c>
      <c r="E1139" s="8" t="s">
        <v>1306</v>
      </c>
      <c r="F1139" s="8" t="s">
        <v>65</v>
      </c>
      <c r="G1139" s="1">
        <v>1</v>
      </c>
      <c r="H1139" s="1"/>
      <c r="I1139" s="1">
        <f>1808-19</f>
        <v>1789</v>
      </c>
      <c r="J1139" t="s">
        <v>10</v>
      </c>
      <c r="K1139" t="s">
        <v>12</v>
      </c>
      <c r="Q1139">
        <v>5</v>
      </c>
      <c r="R1139">
        <v>2</v>
      </c>
      <c r="S1139">
        <v>2</v>
      </c>
      <c r="T1139" s="5">
        <f t="shared" si="54"/>
        <v>163.69999999999999</v>
      </c>
      <c r="U1139" t="s">
        <v>2914</v>
      </c>
      <c r="AP1139" s="14">
        <v>1</v>
      </c>
      <c r="BC1139" s="9" t="s">
        <v>3325</v>
      </c>
      <c r="BD1139" s="14" t="s">
        <v>338</v>
      </c>
      <c r="BE1139" t="s">
        <v>2407</v>
      </c>
      <c r="BF1139" s="1" t="s">
        <v>339</v>
      </c>
      <c r="BG1139" s="1">
        <v>1</v>
      </c>
      <c r="BH1139">
        <v>1</v>
      </c>
      <c r="BK1139" s="1">
        <v>1</v>
      </c>
      <c r="BL1139">
        <v>1</v>
      </c>
      <c r="BQ1139">
        <v>1</v>
      </c>
      <c r="CS1139" s="14" t="s">
        <v>3326</v>
      </c>
    </row>
    <row r="1140" spans="1:97">
      <c r="B1140" t="s">
        <v>3327</v>
      </c>
      <c r="C1140" s="2" t="s">
        <v>2499</v>
      </c>
      <c r="D1140" s="2" t="s">
        <v>2499</v>
      </c>
      <c r="E1140" s="8" t="s">
        <v>1306</v>
      </c>
      <c r="F1140" s="8" t="s">
        <v>65</v>
      </c>
      <c r="G1140" s="1">
        <v>1</v>
      </c>
      <c r="H1140" s="1"/>
      <c r="I1140" s="1">
        <f>1808-28</f>
        <v>1780</v>
      </c>
      <c r="J1140" t="s">
        <v>69</v>
      </c>
      <c r="K1140" t="s">
        <v>12</v>
      </c>
      <c r="Q1140">
        <v>5</v>
      </c>
      <c r="R1140">
        <v>1</v>
      </c>
      <c r="S1140">
        <v>2</v>
      </c>
      <c r="T1140" s="5">
        <f t="shared" si="54"/>
        <v>161.07</v>
      </c>
      <c r="U1140" t="s">
        <v>2914</v>
      </c>
      <c r="AP1140" s="14">
        <v>1</v>
      </c>
      <c r="BC1140" s="9" t="s">
        <v>3325</v>
      </c>
      <c r="BD1140" s="14" t="s">
        <v>338</v>
      </c>
      <c r="BE1140" t="s">
        <v>2407</v>
      </c>
      <c r="BF1140" s="1" t="s">
        <v>339</v>
      </c>
      <c r="BG1140" s="1">
        <v>1</v>
      </c>
      <c r="BH1140">
        <v>1</v>
      </c>
      <c r="BK1140" s="1">
        <v>1</v>
      </c>
      <c r="BL1140">
        <v>1</v>
      </c>
      <c r="BQ1140">
        <v>1</v>
      </c>
      <c r="CS1140" s="14" t="s">
        <v>3326</v>
      </c>
    </row>
    <row r="1141" spans="1:97">
      <c r="B1141" t="s">
        <v>3328</v>
      </c>
      <c r="C1141" s="2" t="s">
        <v>3273</v>
      </c>
      <c r="D1141" s="2" t="s">
        <v>3274</v>
      </c>
      <c r="E1141" s="8" t="s">
        <v>1306</v>
      </c>
      <c r="F1141" s="8" t="s">
        <v>65</v>
      </c>
      <c r="G1141" s="1">
        <v>1</v>
      </c>
      <c r="H1141" s="1"/>
      <c r="I1141" s="1">
        <f>1808-30</f>
        <v>1778</v>
      </c>
      <c r="J1141" t="s">
        <v>69</v>
      </c>
      <c r="K1141" t="s">
        <v>12</v>
      </c>
      <c r="Q1141">
        <v>5</v>
      </c>
      <c r="R1141">
        <v>4</v>
      </c>
      <c r="T1141" s="5">
        <f t="shared" si="54"/>
        <v>168.52</v>
      </c>
      <c r="U1141" t="s">
        <v>2914</v>
      </c>
      <c r="AP1141" s="14">
        <v>1</v>
      </c>
      <c r="BC1141" s="9" t="s">
        <v>3325</v>
      </c>
      <c r="BD1141" s="14" t="s">
        <v>338</v>
      </c>
      <c r="BE1141" t="s">
        <v>2407</v>
      </c>
      <c r="BF1141" s="1" t="s">
        <v>339</v>
      </c>
      <c r="BG1141" s="1">
        <v>1</v>
      </c>
      <c r="BH1141">
        <v>1</v>
      </c>
      <c r="BK1141" s="1">
        <v>1</v>
      </c>
      <c r="BL1141">
        <v>1</v>
      </c>
      <c r="BQ1141">
        <v>1</v>
      </c>
      <c r="CS1141" s="14" t="s">
        <v>3326</v>
      </c>
    </row>
    <row r="1142" spans="1:97">
      <c r="B1142" t="s">
        <v>2912</v>
      </c>
      <c r="C1142" s="13" t="s">
        <v>2913</v>
      </c>
      <c r="D1142" s="15"/>
      <c r="E1142" s="8" t="s">
        <v>1084</v>
      </c>
      <c r="F1142" s="8" t="s">
        <v>65</v>
      </c>
      <c r="G1142" s="1">
        <v>1</v>
      </c>
      <c r="H1142" s="1"/>
      <c r="I1142" s="1">
        <f>1811-21</f>
        <v>1790</v>
      </c>
      <c r="J1142" t="s">
        <v>10</v>
      </c>
      <c r="K1142" t="s">
        <v>12</v>
      </c>
      <c r="Q1142">
        <v>5</v>
      </c>
      <c r="R1142">
        <v>1</v>
      </c>
      <c r="S1142">
        <v>2</v>
      </c>
      <c r="T1142" s="5">
        <f t="shared" si="54"/>
        <v>161.07</v>
      </c>
      <c r="U1142" t="s">
        <v>2914</v>
      </c>
      <c r="AP1142" s="6">
        <v>1</v>
      </c>
      <c r="AQ1142" s="6">
        <v>1</v>
      </c>
      <c r="AR1142" s="6">
        <v>1</v>
      </c>
      <c r="AS1142" s="6">
        <v>1</v>
      </c>
      <c r="AT1142" s="6">
        <v>1</v>
      </c>
      <c r="BC1142">
        <v>1812</v>
      </c>
      <c r="BD1142" t="s">
        <v>81</v>
      </c>
      <c r="BE1142" t="s">
        <v>62</v>
      </c>
      <c r="BF1142" s="1" t="s">
        <v>29</v>
      </c>
      <c r="BG1142" s="1">
        <v>3</v>
      </c>
      <c r="BH1142">
        <v>1</v>
      </c>
      <c r="BK1142" s="1">
        <v>1</v>
      </c>
      <c r="BQ1142">
        <v>1</v>
      </c>
      <c r="CS1142" t="s">
        <v>2487</v>
      </c>
    </row>
    <row r="1143" spans="1:97">
      <c r="B1143" t="s">
        <v>3329</v>
      </c>
      <c r="C1143" s="2" t="s">
        <v>2918</v>
      </c>
      <c r="D1143" s="2" t="s">
        <v>2918</v>
      </c>
      <c r="E1143" s="8" t="s">
        <v>1306</v>
      </c>
      <c r="F1143" s="8" t="s">
        <v>65</v>
      </c>
      <c r="G1143" s="1">
        <v>1</v>
      </c>
      <c r="H1143" s="1"/>
      <c r="I1143" s="1">
        <f>1808-26</f>
        <v>1782</v>
      </c>
      <c r="J1143" t="s">
        <v>69</v>
      </c>
      <c r="K1143" t="s">
        <v>12</v>
      </c>
      <c r="Q1143">
        <v>5</v>
      </c>
      <c r="R1143">
        <v>2</v>
      </c>
      <c r="T1143" s="5">
        <f t="shared" si="54"/>
        <v>163.26</v>
      </c>
      <c r="U1143" t="s">
        <v>2914</v>
      </c>
      <c r="AP1143" s="14">
        <v>1</v>
      </c>
      <c r="BC1143" s="9" t="s">
        <v>3325</v>
      </c>
      <c r="BD1143" s="14" t="s">
        <v>338</v>
      </c>
      <c r="BE1143" t="s">
        <v>2407</v>
      </c>
      <c r="BF1143" s="1" t="s">
        <v>339</v>
      </c>
      <c r="BG1143" s="1">
        <v>1</v>
      </c>
      <c r="BH1143">
        <v>1</v>
      </c>
      <c r="BK1143" s="1">
        <v>1</v>
      </c>
      <c r="BL1143">
        <v>1</v>
      </c>
      <c r="BQ1143">
        <v>1</v>
      </c>
      <c r="CS1143" s="14" t="s">
        <v>3326</v>
      </c>
    </row>
    <row r="1144" spans="1:97">
      <c r="B1144" t="s">
        <v>4463</v>
      </c>
      <c r="C1144" s="2" t="s">
        <v>129</v>
      </c>
      <c r="D1144" s="26" t="s">
        <v>192</v>
      </c>
      <c r="E1144" s="8" t="s">
        <v>130</v>
      </c>
      <c r="F1144" s="8" t="s">
        <v>65</v>
      </c>
      <c r="G1144" s="1">
        <v>1</v>
      </c>
      <c r="H1144" s="1"/>
      <c r="I1144" s="1">
        <f>1808-21</f>
        <v>1787</v>
      </c>
      <c r="J1144" t="s">
        <v>10</v>
      </c>
      <c r="K1144" t="s">
        <v>12</v>
      </c>
      <c r="Q1144">
        <v>5</v>
      </c>
      <c r="R1144">
        <v>2</v>
      </c>
      <c r="T1144" s="5">
        <f t="shared" si="54"/>
        <v>163.26</v>
      </c>
      <c r="U1144" t="s">
        <v>4464</v>
      </c>
      <c r="AP1144" s="6">
        <v>1</v>
      </c>
      <c r="AQ1144" s="6">
        <v>1</v>
      </c>
      <c r="AR1144" s="6">
        <v>1</v>
      </c>
      <c r="AS1144" s="6">
        <v>1</v>
      </c>
      <c r="BC1144">
        <v>1811</v>
      </c>
      <c r="BD1144" t="s">
        <v>81</v>
      </c>
      <c r="BE1144" t="s">
        <v>151</v>
      </c>
      <c r="BF1144" s="1" t="s">
        <v>73</v>
      </c>
      <c r="BG1144" s="1">
        <v>1</v>
      </c>
      <c r="BH1144">
        <v>1</v>
      </c>
      <c r="BK1144" s="1">
        <v>1</v>
      </c>
      <c r="BQ1144">
        <v>1</v>
      </c>
      <c r="CS1144" t="s">
        <v>4198</v>
      </c>
    </row>
    <row r="1145" spans="1:97">
      <c r="B1145" t="s">
        <v>3490</v>
      </c>
      <c r="C1145" s="2" t="s">
        <v>356</v>
      </c>
      <c r="D1145" s="2" t="s">
        <v>3146</v>
      </c>
      <c r="E1145" s="8" t="s">
        <v>546</v>
      </c>
      <c r="F1145" s="8" t="s">
        <v>357</v>
      </c>
      <c r="G1145" s="1">
        <v>1</v>
      </c>
      <c r="H1145" s="1"/>
      <c r="I1145" s="1">
        <f>1808-22</f>
        <v>1786</v>
      </c>
      <c r="J1145" t="s">
        <v>10</v>
      </c>
      <c r="K1145" t="s">
        <v>12</v>
      </c>
      <c r="Q1145">
        <v>5</v>
      </c>
      <c r="R1145">
        <v>2</v>
      </c>
      <c r="S1145">
        <v>1</v>
      </c>
      <c r="T1145" s="5">
        <f t="shared" si="52"/>
        <v>163.47999999999999</v>
      </c>
      <c r="U1145" t="s">
        <v>3491</v>
      </c>
      <c r="AP1145" s="14">
        <v>1</v>
      </c>
      <c r="AQ1145" s="6">
        <v>1</v>
      </c>
      <c r="AR1145" s="6">
        <v>1</v>
      </c>
      <c r="AS1145" s="6">
        <v>1</v>
      </c>
      <c r="AT1145" s="9">
        <v>1</v>
      </c>
      <c r="AU1145" s="9"/>
      <c r="AV1145" s="7">
        <v>1</v>
      </c>
      <c r="BC1145" t="s">
        <v>3606</v>
      </c>
      <c r="BD1145" s="7" t="s">
        <v>103</v>
      </c>
      <c r="BE1145" t="s">
        <v>2407</v>
      </c>
      <c r="BF1145" s="1" t="s">
        <v>29</v>
      </c>
      <c r="BG1145" s="1">
        <v>10</v>
      </c>
      <c r="BH1145">
        <v>1</v>
      </c>
      <c r="BI1145">
        <v>1</v>
      </c>
      <c r="BJ1145">
        <v>1</v>
      </c>
      <c r="BK1145" s="1"/>
      <c r="BL1145">
        <v>1</v>
      </c>
      <c r="BO1145">
        <v>1</v>
      </c>
      <c r="BQ1145">
        <v>1</v>
      </c>
      <c r="CM1145">
        <v>1</v>
      </c>
      <c r="CN1145">
        <v>1</v>
      </c>
      <c r="CO1145">
        <v>1</v>
      </c>
      <c r="CS1145" s="7" t="s">
        <v>2172</v>
      </c>
    </row>
    <row r="1146" spans="1:97">
      <c r="B1146" t="s">
        <v>4458</v>
      </c>
      <c r="C1146" s="2" t="s">
        <v>1223</v>
      </c>
      <c r="D1146" s="2" t="s">
        <v>1223</v>
      </c>
      <c r="E1146" s="8" t="s">
        <v>130</v>
      </c>
      <c r="F1146" s="8" t="s">
        <v>65</v>
      </c>
      <c r="G1146" s="1">
        <v>1</v>
      </c>
      <c r="H1146" s="1"/>
      <c r="I1146" s="1">
        <f>1811-23</f>
        <v>1788</v>
      </c>
      <c r="J1146" t="s">
        <v>10</v>
      </c>
      <c r="K1146" t="s">
        <v>12</v>
      </c>
      <c r="Q1146">
        <v>5</v>
      </c>
      <c r="R1146">
        <v>3</v>
      </c>
      <c r="T1146" s="5">
        <f t="shared" si="52"/>
        <v>165.89000000000001</v>
      </c>
      <c r="U1146" t="s">
        <v>4459</v>
      </c>
      <c r="AP1146" s="6">
        <v>1</v>
      </c>
      <c r="AQ1146" s="6">
        <v>1</v>
      </c>
      <c r="AR1146" s="6">
        <v>1</v>
      </c>
      <c r="AS1146" s="6">
        <v>1</v>
      </c>
      <c r="BC1146">
        <v>1811</v>
      </c>
      <c r="BD1146" t="s">
        <v>81</v>
      </c>
      <c r="BE1146" t="s">
        <v>151</v>
      </c>
      <c r="BF1146" s="1" t="s">
        <v>73</v>
      </c>
      <c r="BG1146" s="1">
        <v>1</v>
      </c>
      <c r="BH1146">
        <v>1</v>
      </c>
      <c r="BK1146" s="1">
        <v>1</v>
      </c>
      <c r="BQ1146">
        <v>1</v>
      </c>
      <c r="CS1146" t="s">
        <v>4198</v>
      </c>
    </row>
    <row r="1147" spans="1:97">
      <c r="B1147" t="s">
        <v>4473</v>
      </c>
      <c r="C1147" s="2" t="s">
        <v>4474</v>
      </c>
      <c r="D1147" s="2" t="s">
        <v>4475</v>
      </c>
      <c r="E1147" s="8" t="s">
        <v>740</v>
      </c>
      <c r="F1147" s="8" t="s">
        <v>65</v>
      </c>
      <c r="G1147" s="1">
        <v>1</v>
      </c>
      <c r="H1147" s="1"/>
      <c r="I1147" s="1">
        <f>1811-23</f>
        <v>1788</v>
      </c>
      <c r="J1147" t="s">
        <v>10</v>
      </c>
      <c r="K1147" t="s">
        <v>972</v>
      </c>
      <c r="Q1147">
        <v>5</v>
      </c>
      <c r="R1147">
        <v>3</v>
      </c>
      <c r="S1147">
        <v>2</v>
      </c>
      <c r="T1147" s="5">
        <f t="shared" si="52"/>
        <v>166.33</v>
      </c>
      <c r="U1147" t="s">
        <v>4476</v>
      </c>
      <c r="AP1147" s="6">
        <v>1</v>
      </c>
      <c r="AQ1147" s="6">
        <v>1</v>
      </c>
      <c r="AR1147" s="6">
        <v>1</v>
      </c>
      <c r="AS1147" s="6">
        <v>1</v>
      </c>
      <c r="BC1147">
        <v>1811</v>
      </c>
      <c r="BD1147" t="s">
        <v>81</v>
      </c>
      <c r="BE1147" t="s">
        <v>151</v>
      </c>
      <c r="BF1147" s="1" t="s">
        <v>73</v>
      </c>
      <c r="BG1147" s="1">
        <v>1</v>
      </c>
      <c r="BH1147">
        <v>1</v>
      </c>
      <c r="BK1147" s="1">
        <v>1</v>
      </c>
      <c r="BQ1147">
        <v>1</v>
      </c>
      <c r="CS1147" t="s">
        <v>4198</v>
      </c>
    </row>
    <row r="1148" spans="1:97">
      <c r="B1148" t="s">
        <v>4317</v>
      </c>
      <c r="C1148" s="2" t="s">
        <v>4318</v>
      </c>
      <c r="D1148" s="2" t="s">
        <v>4318</v>
      </c>
      <c r="E1148" s="8" t="s">
        <v>696</v>
      </c>
      <c r="F1148" s="8" t="s">
        <v>115</v>
      </c>
      <c r="G1148" s="1">
        <v>1</v>
      </c>
      <c r="H1148" s="1"/>
      <c r="I1148" s="1">
        <f>1811-26</f>
        <v>1785</v>
      </c>
      <c r="J1148" t="s">
        <v>10</v>
      </c>
      <c r="K1148" t="s">
        <v>12</v>
      </c>
      <c r="Q1148">
        <v>5</v>
      </c>
      <c r="R1148">
        <v>3</v>
      </c>
      <c r="S1148">
        <v>3</v>
      </c>
      <c r="T1148" s="5">
        <f t="shared" si="52"/>
        <v>166.55</v>
      </c>
      <c r="U1148" t="s">
        <v>4319</v>
      </c>
      <c r="AP1148" s="6">
        <v>1</v>
      </c>
      <c r="AQ1148" s="6">
        <v>1</v>
      </c>
      <c r="AR1148" s="6">
        <v>1</v>
      </c>
      <c r="AS1148" s="6">
        <v>1</v>
      </c>
      <c r="BC1148">
        <v>1811</v>
      </c>
      <c r="BD1148" t="s">
        <v>81</v>
      </c>
      <c r="BE1148" t="s">
        <v>4311</v>
      </c>
      <c r="BF1148" s="1" t="s">
        <v>73</v>
      </c>
      <c r="BG1148" s="1">
        <v>1</v>
      </c>
      <c r="BH1148">
        <v>1</v>
      </c>
      <c r="BK1148" s="1">
        <v>1</v>
      </c>
      <c r="BP1148">
        <v>1</v>
      </c>
      <c r="BQ1148">
        <v>1</v>
      </c>
      <c r="CS1148" t="s">
        <v>4312</v>
      </c>
    </row>
    <row r="1149" spans="1:97">
      <c r="B1149" t="s">
        <v>4313</v>
      </c>
      <c r="C1149" s="2" t="s">
        <v>4314</v>
      </c>
      <c r="D1149" s="2" t="s">
        <v>4314</v>
      </c>
      <c r="E1149" s="8" t="s">
        <v>696</v>
      </c>
      <c r="F1149" s="8" t="s">
        <v>115</v>
      </c>
      <c r="G1149" s="1">
        <v>1</v>
      </c>
      <c r="H1149" s="1"/>
      <c r="I1149" s="1">
        <f>1811-24</f>
        <v>1787</v>
      </c>
      <c r="J1149" t="s">
        <v>10</v>
      </c>
      <c r="K1149" t="s">
        <v>12</v>
      </c>
      <c r="Q1149">
        <v>5</v>
      </c>
      <c r="R1149">
        <v>3</v>
      </c>
      <c r="S1149">
        <v>1</v>
      </c>
      <c r="T1149" s="5">
        <f t="shared" si="52"/>
        <v>166.11</v>
      </c>
      <c r="U1149" t="s">
        <v>4315</v>
      </c>
      <c r="AP1149" s="6">
        <v>1</v>
      </c>
      <c r="AQ1149" s="6">
        <v>1</v>
      </c>
      <c r="AR1149" s="6">
        <v>1</v>
      </c>
      <c r="AS1149" s="6">
        <v>1</v>
      </c>
      <c r="BC1149">
        <v>1811</v>
      </c>
      <c r="BD1149" t="s">
        <v>81</v>
      </c>
      <c r="BE1149" t="s">
        <v>4311</v>
      </c>
      <c r="BF1149" s="1" t="s">
        <v>73</v>
      </c>
      <c r="BG1149" s="1">
        <v>1</v>
      </c>
      <c r="BH1149">
        <v>1</v>
      </c>
      <c r="BK1149" s="1">
        <v>1</v>
      </c>
      <c r="BP1149">
        <v>1</v>
      </c>
      <c r="BQ1149">
        <v>1</v>
      </c>
      <c r="CS1149" t="s">
        <v>4312</v>
      </c>
    </row>
    <row r="1150" spans="1:97">
      <c r="B1150" t="s">
        <v>1849</v>
      </c>
      <c r="C1150" s="2" t="s">
        <v>1629</v>
      </c>
      <c r="D1150" s="2" t="s">
        <v>1629</v>
      </c>
      <c r="E1150" s="8" t="s">
        <v>1630</v>
      </c>
      <c r="F1150" s="8" t="s">
        <v>65</v>
      </c>
      <c r="G1150" s="1">
        <v>1</v>
      </c>
      <c r="H1150" s="1"/>
      <c r="I1150" s="1">
        <f>1811-27</f>
        <v>1784</v>
      </c>
      <c r="J1150" t="s">
        <v>69</v>
      </c>
      <c r="K1150" t="s">
        <v>12</v>
      </c>
      <c r="N1150">
        <v>1</v>
      </c>
      <c r="Q1150">
        <v>5</v>
      </c>
      <c r="R1150">
        <v>5</v>
      </c>
      <c r="S1150">
        <v>1</v>
      </c>
      <c r="T1150" s="5">
        <f t="shared" si="52"/>
        <v>171.37</v>
      </c>
      <c r="U1150" t="s">
        <v>1850</v>
      </c>
      <c r="AP1150" s="6">
        <v>1</v>
      </c>
      <c r="AQ1150" s="6">
        <v>1</v>
      </c>
      <c r="AR1150" s="6">
        <v>1</v>
      </c>
      <c r="AS1150" s="6">
        <v>1</v>
      </c>
      <c r="AT1150" s="6">
        <v>1</v>
      </c>
      <c r="AU1150" s="6">
        <v>1</v>
      </c>
      <c r="AV1150" s="6">
        <v>1</v>
      </c>
      <c r="AW1150" s="6">
        <v>1</v>
      </c>
      <c r="AX1150" s="6">
        <v>1</v>
      </c>
      <c r="AY1150" s="6">
        <v>1</v>
      </c>
      <c r="AZ1150" s="6">
        <v>1</v>
      </c>
      <c r="BC1150">
        <v>1818</v>
      </c>
      <c r="BD1150" t="s">
        <v>81</v>
      </c>
      <c r="BE1150" s="10" t="s">
        <v>62</v>
      </c>
      <c r="BF1150" s="1" t="s">
        <v>73</v>
      </c>
      <c r="BG1150" s="1">
        <v>4</v>
      </c>
      <c r="BH1150">
        <v>2</v>
      </c>
      <c r="BK1150" s="1">
        <v>1</v>
      </c>
      <c r="BQ1150">
        <v>1</v>
      </c>
      <c r="CL1150" s="10">
        <v>1</v>
      </c>
      <c r="CQ1150">
        <v>1</v>
      </c>
      <c r="CS1150" s="10" t="s">
        <v>1639</v>
      </c>
    </row>
    <row r="1151" spans="1:97">
      <c r="B1151" t="s">
        <v>2907</v>
      </c>
      <c r="C1151" s="2" t="s">
        <v>2489</v>
      </c>
      <c r="D1151" s="2" t="s">
        <v>2489</v>
      </c>
      <c r="E1151" s="8" t="s">
        <v>1630</v>
      </c>
      <c r="F1151" s="8" t="s">
        <v>65</v>
      </c>
      <c r="G1151" s="1">
        <v>1</v>
      </c>
      <c r="H1151" s="1"/>
      <c r="I1151" s="1">
        <f>1811-23</f>
        <v>1788</v>
      </c>
      <c r="J1151" t="s">
        <v>10</v>
      </c>
      <c r="K1151" t="s">
        <v>12</v>
      </c>
      <c r="Q1151">
        <v>5</v>
      </c>
      <c r="R1151">
        <v>3</v>
      </c>
      <c r="S1151">
        <v>1</v>
      </c>
      <c r="T1151" s="5">
        <f t="shared" si="52"/>
        <v>166.11</v>
      </c>
      <c r="U1151" t="s">
        <v>1850</v>
      </c>
      <c r="AP1151" s="6">
        <v>1</v>
      </c>
      <c r="AQ1151" s="6">
        <v>1</v>
      </c>
      <c r="AR1151" s="6">
        <v>1</v>
      </c>
      <c r="AS1151" s="6">
        <v>1</v>
      </c>
      <c r="AT1151" s="6">
        <v>1</v>
      </c>
      <c r="BC1151">
        <v>1812</v>
      </c>
      <c r="BD1151" t="s">
        <v>81</v>
      </c>
      <c r="BE1151" t="s">
        <v>62</v>
      </c>
      <c r="BF1151" s="1" t="s">
        <v>73</v>
      </c>
      <c r="BG1151" s="1">
        <v>3</v>
      </c>
      <c r="BH1151">
        <v>1</v>
      </c>
      <c r="BK1151" s="1">
        <v>1</v>
      </c>
      <c r="BQ1151">
        <v>1</v>
      </c>
      <c r="CM1151">
        <v>1</v>
      </c>
      <c r="CS1151" t="s">
        <v>2487</v>
      </c>
    </row>
    <row r="1152" spans="1:97">
      <c r="B1152" t="s">
        <v>2478</v>
      </c>
      <c r="C1152" s="2" t="s">
        <v>2479</v>
      </c>
      <c r="D1152" s="2" t="s">
        <v>2479</v>
      </c>
      <c r="E1152" s="8" t="s">
        <v>1630</v>
      </c>
      <c r="F1152" s="8" t="s">
        <v>65</v>
      </c>
      <c r="G1152" s="1">
        <v>1</v>
      </c>
      <c r="H1152" s="1"/>
      <c r="I1152" s="1">
        <f>1811-21</f>
        <v>1790</v>
      </c>
      <c r="J1152" t="s">
        <v>10</v>
      </c>
      <c r="K1152" t="s">
        <v>2480</v>
      </c>
      <c r="Q1152">
        <v>5</v>
      </c>
      <c r="R1152">
        <v>1</v>
      </c>
      <c r="S1152">
        <v>1</v>
      </c>
      <c r="T1152" s="5">
        <f t="shared" si="52"/>
        <v>160.85</v>
      </c>
      <c r="U1152" t="s">
        <v>1850</v>
      </c>
      <c r="AP1152" s="6">
        <v>1</v>
      </c>
      <c r="AQ1152" s="6">
        <v>1</v>
      </c>
      <c r="AR1152" s="6">
        <v>1</v>
      </c>
      <c r="AS1152" s="6">
        <v>1</v>
      </c>
      <c r="AT1152" s="6">
        <v>1</v>
      </c>
      <c r="AU1152" s="6">
        <v>1</v>
      </c>
      <c r="AV1152" s="6">
        <v>1</v>
      </c>
      <c r="AW1152" s="6">
        <v>1</v>
      </c>
      <c r="AX1152" s="6">
        <v>1</v>
      </c>
      <c r="AY1152" s="6">
        <v>1</v>
      </c>
      <c r="AZ1152" s="6">
        <v>1</v>
      </c>
      <c r="BA1152" s="6">
        <v>1</v>
      </c>
      <c r="BB1152" s="6">
        <v>1</v>
      </c>
      <c r="BC1152">
        <v>1820</v>
      </c>
      <c r="BD1152" t="s">
        <v>81</v>
      </c>
      <c r="BE1152" t="s">
        <v>62</v>
      </c>
      <c r="BF1152" s="1" t="s">
        <v>73</v>
      </c>
      <c r="BG1152" s="1">
        <v>7</v>
      </c>
      <c r="BH1152">
        <v>2</v>
      </c>
      <c r="BK1152" s="1">
        <v>1</v>
      </c>
      <c r="BP1152">
        <v>1</v>
      </c>
      <c r="BQ1152">
        <v>1</v>
      </c>
      <c r="CI1152">
        <v>1</v>
      </c>
      <c r="CL1152">
        <v>1</v>
      </c>
      <c r="CQ1152">
        <v>1</v>
      </c>
      <c r="CS1152" t="s">
        <v>2481</v>
      </c>
    </row>
    <row r="1153" spans="1:98">
      <c r="B1153" t="s">
        <v>3244</v>
      </c>
      <c r="C1153" s="2" t="s">
        <v>3245</v>
      </c>
      <c r="D1153" s="2" t="s">
        <v>3245</v>
      </c>
      <c r="E1153" s="8" t="s">
        <v>869</v>
      </c>
      <c r="F1153" s="8" t="s">
        <v>65</v>
      </c>
      <c r="G1153" s="1">
        <v>1</v>
      </c>
      <c r="H1153" s="1"/>
      <c r="I1153" s="1">
        <f>1808-24</f>
        <v>1784</v>
      </c>
      <c r="J1153" t="s">
        <v>10</v>
      </c>
      <c r="K1153" t="s">
        <v>12</v>
      </c>
      <c r="Q1153">
        <v>5</v>
      </c>
      <c r="R1153">
        <v>1</v>
      </c>
      <c r="T1153" s="5">
        <f t="shared" si="52"/>
        <v>160.63</v>
      </c>
      <c r="U1153" t="s">
        <v>3246</v>
      </c>
      <c r="AP1153" s="14">
        <v>1</v>
      </c>
      <c r="AQ1153" s="6">
        <v>1</v>
      </c>
      <c r="AR1153" s="6">
        <v>1</v>
      </c>
      <c r="AS1153" s="6">
        <v>1</v>
      </c>
      <c r="AT1153" s="6">
        <v>1</v>
      </c>
      <c r="AU1153" s="6">
        <v>1</v>
      </c>
      <c r="AV1153" s="6">
        <v>1</v>
      </c>
      <c r="AW1153" s="6">
        <v>1</v>
      </c>
      <c r="AX1153" s="6">
        <v>1</v>
      </c>
      <c r="AY1153" s="7">
        <v>1</v>
      </c>
      <c r="BC1153" t="s">
        <v>2419</v>
      </c>
      <c r="BD1153" s="7" t="s">
        <v>109</v>
      </c>
      <c r="BE1153" t="s">
        <v>2407</v>
      </c>
      <c r="BF1153" s="1" t="s">
        <v>29</v>
      </c>
      <c r="BG1153" s="1">
        <v>11</v>
      </c>
      <c r="BH1153">
        <v>1</v>
      </c>
      <c r="BK1153" s="1">
        <v>1</v>
      </c>
      <c r="BL1153">
        <v>1</v>
      </c>
      <c r="BQ1153">
        <v>1</v>
      </c>
      <c r="CM1153">
        <v>1</v>
      </c>
      <c r="CS1153" s="7" t="s">
        <v>1086</v>
      </c>
    </row>
    <row r="1154" spans="1:98">
      <c r="B1154" t="s">
        <v>3239</v>
      </c>
      <c r="C1154" s="2" t="s">
        <v>3240</v>
      </c>
      <c r="D1154" s="2" t="s">
        <v>3240</v>
      </c>
      <c r="E1154" s="8" t="s">
        <v>869</v>
      </c>
      <c r="F1154" s="8" t="s">
        <v>65</v>
      </c>
      <c r="G1154" s="1">
        <v>1</v>
      </c>
      <c r="H1154" s="1"/>
      <c r="I1154" s="1">
        <f>1808-23</f>
        <v>1785</v>
      </c>
      <c r="J1154" t="s">
        <v>10</v>
      </c>
      <c r="K1154" t="s">
        <v>197</v>
      </c>
      <c r="Q1154">
        <v>5</v>
      </c>
      <c r="R1154">
        <v>1</v>
      </c>
      <c r="S1154">
        <v>2</v>
      </c>
      <c r="T1154" s="5">
        <f t="shared" si="52"/>
        <v>161.07</v>
      </c>
      <c r="U1154" t="s">
        <v>3241</v>
      </c>
      <c r="AP1154" s="14">
        <v>1</v>
      </c>
      <c r="AQ1154" s="6">
        <v>1</v>
      </c>
      <c r="AR1154" s="7">
        <v>1</v>
      </c>
      <c r="BC1154" t="s">
        <v>3251</v>
      </c>
      <c r="BD1154" s="7" t="s">
        <v>109</v>
      </c>
      <c r="BE1154" t="s">
        <v>2407</v>
      </c>
      <c r="BF1154" s="1" t="s">
        <v>29</v>
      </c>
      <c r="BG1154" s="1">
        <v>5</v>
      </c>
      <c r="BH1154">
        <v>2</v>
      </c>
      <c r="BK1154" s="1">
        <v>1</v>
      </c>
      <c r="BL1154">
        <v>1</v>
      </c>
      <c r="BQ1154">
        <v>1</v>
      </c>
      <c r="CL1154">
        <v>1</v>
      </c>
      <c r="CR1154" t="s">
        <v>72</v>
      </c>
      <c r="CS1154" s="7" t="s">
        <v>1593</v>
      </c>
    </row>
    <row r="1155" spans="1:98">
      <c r="B1155" t="s">
        <v>3280</v>
      </c>
      <c r="C1155" s="2" t="s">
        <v>3281</v>
      </c>
      <c r="D1155" s="2" t="s">
        <v>3281</v>
      </c>
      <c r="E1155" s="8" t="s">
        <v>869</v>
      </c>
      <c r="F1155" s="8" t="s">
        <v>65</v>
      </c>
      <c r="G1155" s="1">
        <v>1</v>
      </c>
      <c r="H1155" s="1"/>
      <c r="I1155" s="1">
        <f>1808-22</f>
        <v>1786</v>
      </c>
      <c r="J1155" t="s">
        <v>10</v>
      </c>
      <c r="K1155" t="s">
        <v>12</v>
      </c>
      <c r="Q1155">
        <v>5</v>
      </c>
      <c r="R1155">
        <v>3</v>
      </c>
      <c r="S1155">
        <v>1</v>
      </c>
      <c r="T1155" s="5">
        <f t="shared" si="52"/>
        <v>166.11</v>
      </c>
      <c r="U1155" t="s">
        <v>3241</v>
      </c>
      <c r="AP1155" s="14">
        <v>1</v>
      </c>
      <c r="AQ1155" s="7">
        <v>1</v>
      </c>
      <c r="BC1155" t="s">
        <v>3277</v>
      </c>
      <c r="BD1155" s="7" t="s">
        <v>305</v>
      </c>
      <c r="BE1155" t="s">
        <v>2407</v>
      </c>
      <c r="BF1155" s="1" t="s">
        <v>29</v>
      </c>
      <c r="BG1155" s="1">
        <v>3</v>
      </c>
      <c r="BH1155">
        <v>1</v>
      </c>
      <c r="BK1155" s="1">
        <v>1</v>
      </c>
      <c r="BL1155">
        <v>1</v>
      </c>
      <c r="BQ1155">
        <v>1</v>
      </c>
      <c r="CM1155">
        <v>1</v>
      </c>
      <c r="CS1155" s="7" t="s">
        <v>3278</v>
      </c>
    </row>
    <row r="1156" spans="1:98">
      <c r="B1156" t="s">
        <v>2917</v>
      </c>
      <c r="C1156" s="2" t="s">
        <v>2918</v>
      </c>
      <c r="D1156" s="15"/>
      <c r="E1156" s="8" t="s">
        <v>1306</v>
      </c>
      <c r="F1156" s="8" t="s">
        <v>65</v>
      </c>
      <c r="G1156" s="1">
        <v>1</v>
      </c>
      <c r="H1156" s="1"/>
      <c r="I1156" s="1">
        <f>1811-26</f>
        <v>1785</v>
      </c>
      <c r="J1156" t="s">
        <v>10</v>
      </c>
      <c r="K1156" t="s">
        <v>116</v>
      </c>
      <c r="Q1156">
        <v>5</v>
      </c>
      <c r="R1156">
        <v>2</v>
      </c>
      <c r="S1156">
        <v>1</v>
      </c>
      <c r="T1156" s="5">
        <f t="shared" si="52"/>
        <v>163.47999999999999</v>
      </c>
      <c r="U1156" t="s">
        <v>1958</v>
      </c>
      <c r="AP1156" s="6">
        <v>1</v>
      </c>
      <c r="AQ1156" s="6">
        <v>1</v>
      </c>
      <c r="AR1156" s="6">
        <v>1</v>
      </c>
      <c r="AS1156" s="6">
        <v>1</v>
      </c>
      <c r="AT1156" s="6">
        <v>1</v>
      </c>
      <c r="BC1156">
        <v>1812</v>
      </c>
      <c r="BD1156" t="s">
        <v>81</v>
      </c>
      <c r="BE1156" t="s">
        <v>62</v>
      </c>
      <c r="BF1156" s="1" t="s">
        <v>73</v>
      </c>
      <c r="BG1156" s="1">
        <v>3</v>
      </c>
      <c r="BH1156">
        <v>2</v>
      </c>
      <c r="BK1156" s="1">
        <v>1</v>
      </c>
      <c r="BQ1156">
        <v>1</v>
      </c>
      <c r="CL1156">
        <v>1</v>
      </c>
      <c r="CS1156" t="s">
        <v>2487</v>
      </c>
    </row>
    <row r="1157" spans="1:98">
      <c r="B1157" t="s">
        <v>1959</v>
      </c>
      <c r="C1157" s="2" t="s">
        <v>191</v>
      </c>
      <c r="D1157" s="15"/>
      <c r="E1157" s="8" t="s">
        <v>193</v>
      </c>
      <c r="F1157" s="8" t="s">
        <v>65</v>
      </c>
      <c r="G1157" s="1">
        <v>1</v>
      </c>
      <c r="H1157" s="1"/>
      <c r="I1157" s="1">
        <f>1809-21</f>
        <v>1788</v>
      </c>
      <c r="J1157" t="s">
        <v>10</v>
      </c>
      <c r="K1157" t="s">
        <v>12</v>
      </c>
      <c r="Q1157">
        <v>5</v>
      </c>
      <c r="R1157">
        <v>3</v>
      </c>
      <c r="S1157">
        <v>2</v>
      </c>
      <c r="T1157" s="5">
        <f t="shared" si="52"/>
        <v>166.33</v>
      </c>
      <c r="U1157" t="s">
        <v>1958</v>
      </c>
      <c r="AP1157" s="14">
        <v>1</v>
      </c>
      <c r="AQ1157" s="7">
        <v>1</v>
      </c>
      <c r="BC1157" t="s">
        <v>1960</v>
      </c>
      <c r="BD1157" s="7" t="s">
        <v>305</v>
      </c>
      <c r="BE1157" t="s">
        <v>118</v>
      </c>
      <c r="BF1157" s="1" t="s">
        <v>29</v>
      </c>
      <c r="BG1157" s="1">
        <v>1</v>
      </c>
      <c r="BH1157">
        <v>2</v>
      </c>
      <c r="BK1157" s="29">
        <v>1</v>
      </c>
      <c r="BL1157">
        <v>1</v>
      </c>
      <c r="BQ1157">
        <v>1</v>
      </c>
      <c r="CL1157">
        <v>1</v>
      </c>
      <c r="CS1157" s="7" t="s">
        <v>1961</v>
      </c>
      <c r="CT1157" s="9" t="s">
        <v>1962</v>
      </c>
    </row>
    <row r="1158" spans="1:98">
      <c r="B1158" t="s">
        <v>2988</v>
      </c>
      <c r="C1158" s="2" t="s">
        <v>3819</v>
      </c>
      <c r="D1158" s="15"/>
      <c r="E1158" s="8" t="s">
        <v>710</v>
      </c>
      <c r="F1158" s="8" t="s">
        <v>115</v>
      </c>
      <c r="G1158" s="1">
        <v>1</v>
      </c>
      <c r="H1158" s="1"/>
      <c r="I1158" s="1">
        <f>1811-30</f>
        <v>1781</v>
      </c>
      <c r="J1158" t="s">
        <v>69</v>
      </c>
      <c r="K1158" t="s">
        <v>12</v>
      </c>
      <c r="Q1158">
        <v>5</v>
      </c>
      <c r="R1158">
        <v>5</v>
      </c>
      <c r="T1158" s="5">
        <f t="shared" si="52"/>
        <v>171.15</v>
      </c>
      <c r="U1158" t="s">
        <v>4485</v>
      </c>
      <c r="AP1158" s="6">
        <v>1</v>
      </c>
      <c r="AQ1158" s="6">
        <v>1</v>
      </c>
      <c r="AR1158" s="6">
        <v>1</v>
      </c>
      <c r="AS1158" s="6">
        <v>1</v>
      </c>
      <c r="BC1158">
        <v>1811</v>
      </c>
      <c r="BD1158" t="s">
        <v>81</v>
      </c>
      <c r="BE1158" t="s">
        <v>151</v>
      </c>
      <c r="BF1158" s="1" t="s">
        <v>73</v>
      </c>
      <c r="BG1158" s="1">
        <v>1</v>
      </c>
      <c r="BH1158">
        <v>1</v>
      </c>
      <c r="BK1158" s="1">
        <v>1</v>
      </c>
      <c r="BQ1158">
        <v>1</v>
      </c>
      <c r="CL1158">
        <v>1</v>
      </c>
      <c r="CM1158">
        <v>1</v>
      </c>
      <c r="CS1158" t="s">
        <v>4198</v>
      </c>
    </row>
    <row r="1159" spans="1:98">
      <c r="B1159" t="s">
        <v>3553</v>
      </c>
      <c r="C1159" s="15" t="s">
        <v>674</v>
      </c>
      <c r="D1159" s="15" t="s">
        <v>674</v>
      </c>
      <c r="E1159" s="8" t="s">
        <v>238</v>
      </c>
      <c r="F1159" s="8" t="s">
        <v>65</v>
      </c>
      <c r="G1159" s="1">
        <v>1</v>
      </c>
      <c r="H1159" s="1"/>
      <c r="I1159" s="1">
        <f>1810-19</f>
        <v>1791</v>
      </c>
      <c r="J1159" t="s">
        <v>10</v>
      </c>
      <c r="K1159" t="s">
        <v>12</v>
      </c>
      <c r="Q1159">
        <v>5</v>
      </c>
      <c r="R1159">
        <v>3</v>
      </c>
      <c r="S1159">
        <v>1</v>
      </c>
      <c r="T1159" s="5">
        <f>((Q1159*316)+(R1159*26.3)+(S1159*2.2))/10</f>
        <v>166.11</v>
      </c>
      <c r="U1159" t="s">
        <v>3552</v>
      </c>
      <c r="AP1159" s="14">
        <v>1</v>
      </c>
      <c r="AQ1159" s="6">
        <v>1</v>
      </c>
      <c r="AR1159" s="6">
        <v>1</v>
      </c>
      <c r="AS1159" s="6">
        <v>1</v>
      </c>
      <c r="AT1159" s="7">
        <v>1</v>
      </c>
      <c r="BC1159" t="s">
        <v>3554</v>
      </c>
      <c r="BD1159" s="7" t="s">
        <v>280</v>
      </c>
      <c r="BE1159" t="s">
        <v>124</v>
      </c>
      <c r="BF1159" s="1" t="s">
        <v>29</v>
      </c>
      <c r="BG1159" s="1">
        <v>5</v>
      </c>
      <c r="BH1159">
        <v>2</v>
      </c>
      <c r="BK1159" s="1">
        <v>1</v>
      </c>
      <c r="BL1159">
        <v>1</v>
      </c>
      <c r="BQ1159">
        <v>1</v>
      </c>
      <c r="BR1159">
        <v>1</v>
      </c>
      <c r="CF1159">
        <v>1</v>
      </c>
      <c r="CL1159">
        <v>1</v>
      </c>
      <c r="CN1159">
        <v>1</v>
      </c>
      <c r="CS1159" s="7" t="s">
        <v>947</v>
      </c>
    </row>
    <row r="1160" spans="1:98">
      <c r="B1160" t="s">
        <v>4465</v>
      </c>
      <c r="C1160" s="18" t="s">
        <v>4466</v>
      </c>
      <c r="D1160" s="15"/>
      <c r="F1160" s="8" t="s">
        <v>115</v>
      </c>
      <c r="G1160" s="1">
        <v>1</v>
      </c>
      <c r="H1160" s="1"/>
      <c r="I1160" s="1">
        <f>1811-27</f>
        <v>1784</v>
      </c>
      <c r="J1160" t="s">
        <v>10</v>
      </c>
      <c r="K1160" t="s">
        <v>12</v>
      </c>
      <c r="Q1160">
        <v>5</v>
      </c>
      <c r="R1160">
        <v>3</v>
      </c>
      <c r="T1160" s="5">
        <f>((Q1160*316)+(R1160*26.3)+(S1160*2.2))/10</f>
        <v>165.89000000000001</v>
      </c>
      <c r="U1160" t="s">
        <v>4467</v>
      </c>
      <c r="AP1160" s="6">
        <v>1</v>
      </c>
      <c r="AQ1160" s="6">
        <v>1</v>
      </c>
      <c r="AR1160" s="6">
        <v>1</v>
      </c>
      <c r="AS1160" s="6">
        <v>1</v>
      </c>
      <c r="BC1160">
        <v>1811</v>
      </c>
      <c r="BD1160" t="s">
        <v>81</v>
      </c>
      <c r="BE1160" t="s">
        <v>151</v>
      </c>
      <c r="BF1160" s="1" t="s">
        <v>73</v>
      </c>
      <c r="BG1160" s="1">
        <v>1</v>
      </c>
      <c r="BH1160">
        <v>2</v>
      </c>
      <c r="BK1160" s="1">
        <v>1</v>
      </c>
      <c r="BQ1160">
        <v>1</v>
      </c>
      <c r="CL1160">
        <v>1</v>
      </c>
      <c r="CS1160" t="s">
        <v>4198</v>
      </c>
    </row>
    <row r="1161" spans="1:98">
      <c r="B1161" t="s">
        <v>3627</v>
      </c>
      <c r="C1161" s="2" t="s">
        <v>564</v>
      </c>
      <c r="D1161" s="2" t="s">
        <v>564</v>
      </c>
      <c r="E1161" s="8" t="s">
        <v>565</v>
      </c>
      <c r="F1161" s="8" t="s">
        <v>357</v>
      </c>
      <c r="G1161" s="1">
        <v>1</v>
      </c>
      <c r="H1161" s="1"/>
      <c r="I1161" s="1">
        <f>1815-39</f>
        <v>1776</v>
      </c>
      <c r="J1161" t="s">
        <v>69</v>
      </c>
      <c r="K1161" t="s">
        <v>12</v>
      </c>
      <c r="T1161" s="5"/>
      <c r="U1161" s="9" t="s">
        <v>3626</v>
      </c>
      <c r="AO1161" s="54"/>
      <c r="AP1161" s="9">
        <v>1</v>
      </c>
      <c r="AQ1161" s="54">
        <v>1</v>
      </c>
      <c r="AR1161" s="54"/>
      <c r="AS1161" s="54"/>
      <c r="AT1161" s="54"/>
      <c r="AU1161" s="54">
        <v>1</v>
      </c>
      <c r="AV1161" s="54">
        <v>1</v>
      </c>
      <c r="AW1161" s="7">
        <v>1</v>
      </c>
      <c r="BC1161" t="s">
        <v>3628</v>
      </c>
      <c r="BD1161" s="7" t="s">
        <v>103</v>
      </c>
      <c r="BE1161" t="s">
        <v>2407</v>
      </c>
      <c r="BF1161" s="1" t="s">
        <v>29</v>
      </c>
      <c r="BG1161" s="1">
        <v>3</v>
      </c>
      <c r="BH1161">
        <v>2</v>
      </c>
      <c r="BJ1161">
        <v>1</v>
      </c>
      <c r="BK1161" s="1" t="s">
        <v>72</v>
      </c>
      <c r="BM1161">
        <v>1</v>
      </c>
      <c r="BQ1161">
        <v>1</v>
      </c>
      <c r="CS1161" s="7" t="s">
        <v>1945</v>
      </c>
    </row>
    <row r="1162" spans="1:98">
      <c r="A1162" t="s">
        <v>72</v>
      </c>
      <c r="B1162" t="s">
        <v>1968</v>
      </c>
      <c r="C1162" s="15"/>
      <c r="D1162" s="15"/>
      <c r="F1162" s="8"/>
      <c r="G1162" s="1"/>
      <c r="H1162" s="1"/>
      <c r="I1162" s="1"/>
      <c r="T1162" s="5"/>
      <c r="U1162" s="9" t="s">
        <v>1965</v>
      </c>
      <c r="AP1162" s="9">
        <v>1</v>
      </c>
      <c r="AQ1162" s="7">
        <v>1</v>
      </c>
      <c r="BC1162" t="s">
        <v>635</v>
      </c>
      <c r="BD1162" s="7" t="s">
        <v>280</v>
      </c>
      <c r="BE1162" t="s">
        <v>118</v>
      </c>
      <c r="BF1162" s="1" t="s">
        <v>29</v>
      </c>
      <c r="BG1162" s="1">
        <v>1</v>
      </c>
      <c r="BH1162">
        <v>1</v>
      </c>
      <c r="BK1162" s="1"/>
      <c r="BQ1162">
        <v>1</v>
      </c>
      <c r="CN1162">
        <v>1</v>
      </c>
      <c r="CS1162" s="7" t="s">
        <v>1970</v>
      </c>
    </row>
    <row r="1163" spans="1:98">
      <c r="A1163" t="s">
        <v>72</v>
      </c>
      <c r="B1163" t="s">
        <v>1969</v>
      </c>
      <c r="C1163" s="15"/>
      <c r="D1163" s="15"/>
      <c r="F1163" s="8"/>
      <c r="G1163" s="1"/>
      <c r="H1163" s="1"/>
      <c r="I1163" s="1"/>
      <c r="T1163" s="5"/>
      <c r="U1163" s="9" t="s">
        <v>1965</v>
      </c>
      <c r="AP1163" s="9">
        <v>1</v>
      </c>
      <c r="AQ1163" s="7">
        <v>1</v>
      </c>
      <c r="BC1163" t="s">
        <v>635</v>
      </c>
      <c r="BD1163" s="7" t="s">
        <v>280</v>
      </c>
      <c r="BE1163" t="s">
        <v>118</v>
      </c>
      <c r="BF1163" s="1" t="s">
        <v>29</v>
      </c>
      <c r="BG1163" s="1">
        <v>1</v>
      </c>
      <c r="BH1163">
        <v>1</v>
      </c>
      <c r="BK1163" s="1"/>
      <c r="BQ1163">
        <v>1</v>
      </c>
      <c r="CN1163">
        <v>1</v>
      </c>
      <c r="CS1163" s="7" t="s">
        <v>1970</v>
      </c>
    </row>
    <row r="1164" spans="1:98">
      <c r="A1164" t="s">
        <v>72</v>
      </c>
      <c r="B1164" t="s">
        <v>1966</v>
      </c>
      <c r="C1164" s="15"/>
      <c r="D1164" s="15"/>
      <c r="F1164" s="8"/>
      <c r="G1164" s="1"/>
      <c r="H1164" s="1"/>
      <c r="I1164" s="1"/>
      <c r="T1164" s="5"/>
      <c r="U1164" s="9" t="s">
        <v>1965</v>
      </c>
      <c r="AP1164" s="9">
        <v>1</v>
      </c>
      <c r="AQ1164" s="7">
        <v>1</v>
      </c>
      <c r="BC1164" t="s">
        <v>1967</v>
      </c>
      <c r="BD1164" s="7" t="s">
        <v>103</v>
      </c>
      <c r="BE1164" t="s">
        <v>118</v>
      </c>
      <c r="BF1164" s="1" t="s">
        <v>29</v>
      </c>
      <c r="BG1164" s="1">
        <v>1</v>
      </c>
      <c r="BH1164">
        <v>1</v>
      </c>
      <c r="BK1164" s="1"/>
      <c r="BQ1164">
        <v>1</v>
      </c>
      <c r="CS1164" s="7" t="s">
        <v>897</v>
      </c>
    </row>
    <row r="1165" spans="1:98">
      <c r="B1165" t="s">
        <v>1627</v>
      </c>
      <c r="C1165" s="2" t="s">
        <v>1628</v>
      </c>
      <c r="D1165" s="2" t="s">
        <v>1629</v>
      </c>
      <c r="E1165" s="8" t="s">
        <v>1630</v>
      </c>
      <c r="F1165" s="8" t="s">
        <v>65</v>
      </c>
      <c r="G1165" s="1">
        <v>1</v>
      </c>
      <c r="H1165" s="1"/>
      <c r="I1165" s="1">
        <f>1811-35</f>
        <v>1776</v>
      </c>
      <c r="J1165" t="s">
        <v>10</v>
      </c>
      <c r="K1165" t="s">
        <v>12</v>
      </c>
      <c r="Q1165">
        <v>5</v>
      </c>
      <c r="R1165">
        <v>4</v>
      </c>
      <c r="T1165" s="5">
        <f t="shared" si="52"/>
        <v>168.52</v>
      </c>
      <c r="U1165" t="s">
        <v>1631</v>
      </c>
      <c r="AQ1165" s="6">
        <v>1</v>
      </c>
      <c r="AR1165" s="6">
        <v>1</v>
      </c>
      <c r="AS1165" s="6">
        <v>1</v>
      </c>
      <c r="AT1165" s="7">
        <v>1</v>
      </c>
      <c r="BC1165" t="s">
        <v>1632</v>
      </c>
      <c r="BD1165" s="7" t="s">
        <v>103</v>
      </c>
      <c r="BE1165" t="s">
        <v>62</v>
      </c>
      <c r="BF1165" s="1" t="s">
        <v>29</v>
      </c>
      <c r="BG1165" s="1">
        <v>3</v>
      </c>
      <c r="BH1165">
        <v>1</v>
      </c>
      <c r="BK1165" s="1">
        <v>1</v>
      </c>
      <c r="BQ1165">
        <v>1</v>
      </c>
      <c r="CS1165" s="7" t="s">
        <v>1633</v>
      </c>
    </row>
    <row r="1166" spans="1:98">
      <c r="B1166" t="s">
        <v>4355</v>
      </c>
      <c r="C1166" s="2" t="s">
        <v>626</v>
      </c>
      <c r="D1166" s="2" t="s">
        <v>626</v>
      </c>
      <c r="E1166" s="8" t="s">
        <v>627</v>
      </c>
      <c r="F1166" s="8" t="s">
        <v>357</v>
      </c>
      <c r="G1166" s="1">
        <v>1</v>
      </c>
      <c r="H1166" s="1"/>
      <c r="I1166" s="1">
        <f>1811-23</f>
        <v>1788</v>
      </c>
      <c r="J1166" t="s">
        <v>10</v>
      </c>
      <c r="K1166" t="s">
        <v>116</v>
      </c>
      <c r="Q1166">
        <v>5</v>
      </c>
      <c r="R1166">
        <v>2</v>
      </c>
      <c r="T1166" s="5">
        <f t="shared" si="52"/>
        <v>163.26</v>
      </c>
      <c r="U1166" t="s">
        <v>4356</v>
      </c>
      <c r="AQ1166" s="6">
        <v>1</v>
      </c>
      <c r="AR1166" s="6">
        <v>1</v>
      </c>
      <c r="AS1166" s="6">
        <v>1</v>
      </c>
      <c r="BC1166">
        <v>1811</v>
      </c>
      <c r="BD1166" t="s">
        <v>81</v>
      </c>
      <c r="BE1166" t="s">
        <v>4328</v>
      </c>
      <c r="BF1166" s="1" t="s">
        <v>73</v>
      </c>
      <c r="BG1166" s="1">
        <v>1</v>
      </c>
      <c r="BH1166">
        <v>1</v>
      </c>
      <c r="BK1166" s="1" t="s">
        <v>72</v>
      </c>
      <c r="BQ1166">
        <v>1</v>
      </c>
      <c r="CS1166" t="s">
        <v>4329</v>
      </c>
    </row>
    <row r="1167" spans="1:98">
      <c r="B1167" t="s">
        <v>2821</v>
      </c>
      <c r="C1167" s="2" t="s">
        <v>2822</v>
      </c>
      <c r="D1167" s="2" t="s">
        <v>2822</v>
      </c>
      <c r="E1167" s="8" t="s">
        <v>599</v>
      </c>
      <c r="F1167" s="8" t="s">
        <v>357</v>
      </c>
      <c r="G1167" s="1">
        <v>1</v>
      </c>
      <c r="H1167" s="1"/>
      <c r="I1167" s="1">
        <f>1809-20</f>
        <v>1789</v>
      </c>
      <c r="J1167" t="s">
        <v>10</v>
      </c>
      <c r="K1167" t="s">
        <v>12</v>
      </c>
      <c r="Q1167">
        <v>5</v>
      </c>
      <c r="R1167">
        <v>5</v>
      </c>
      <c r="S1167">
        <v>3</v>
      </c>
      <c r="T1167" s="5">
        <f t="shared" si="52"/>
        <v>171.81</v>
      </c>
      <c r="U1167" t="s">
        <v>2823</v>
      </c>
      <c r="AQ1167" s="7">
        <v>1</v>
      </c>
      <c r="BC1167" t="s">
        <v>2824</v>
      </c>
      <c r="BD1167" s="7" t="s">
        <v>26</v>
      </c>
      <c r="BE1167" t="s">
        <v>2825</v>
      </c>
      <c r="BF1167" s="1" t="s">
        <v>29</v>
      </c>
      <c r="BG1167" s="1">
        <v>2</v>
      </c>
      <c r="BH1167">
        <v>1</v>
      </c>
      <c r="BK1167" s="1">
        <v>1</v>
      </c>
      <c r="BX1167">
        <v>1</v>
      </c>
      <c r="CS1167" s="7" t="s">
        <v>2826</v>
      </c>
    </row>
    <row r="1168" spans="1:98">
      <c r="B1168" t="s">
        <v>2454</v>
      </c>
      <c r="C1168" s="2" t="s">
        <v>2058</v>
      </c>
      <c r="D1168" s="15"/>
      <c r="F1168" s="8" t="s">
        <v>115</v>
      </c>
      <c r="G1168" s="1">
        <v>1</v>
      </c>
      <c r="H1168" s="1"/>
      <c r="I1168" s="1">
        <f>1811-21</f>
        <v>1790</v>
      </c>
      <c r="J1168" t="s">
        <v>10</v>
      </c>
      <c r="K1168" t="s">
        <v>12</v>
      </c>
      <c r="Q1168">
        <v>5</v>
      </c>
      <c r="R1168">
        <v>0</v>
      </c>
      <c r="S1168">
        <v>3</v>
      </c>
      <c r="T1168" s="5">
        <f t="shared" si="52"/>
        <v>158.66</v>
      </c>
      <c r="U1168" t="s">
        <v>2453</v>
      </c>
      <c r="AQ1168" s="6">
        <v>1</v>
      </c>
      <c r="AR1168" s="6">
        <v>1</v>
      </c>
      <c r="AS1168" s="6">
        <v>1</v>
      </c>
      <c r="AT1168" s="6">
        <v>1</v>
      </c>
      <c r="AU1168" s="6">
        <v>1</v>
      </c>
      <c r="AV1168" s="6">
        <v>1</v>
      </c>
      <c r="AW1168" s="6">
        <v>1</v>
      </c>
      <c r="AX1168" s="6">
        <v>1</v>
      </c>
      <c r="AY1168" s="7">
        <v>1</v>
      </c>
      <c r="BC1168" t="s">
        <v>1517</v>
      </c>
      <c r="BD1168" s="7" t="s">
        <v>103</v>
      </c>
      <c r="BE1168" t="s">
        <v>118</v>
      </c>
      <c r="BF1168" s="1" t="s">
        <v>29</v>
      </c>
      <c r="BG1168" s="1">
        <v>2</v>
      </c>
      <c r="BH1168">
        <v>2</v>
      </c>
      <c r="BK1168" s="1">
        <v>1</v>
      </c>
      <c r="BQ1168">
        <v>1</v>
      </c>
      <c r="CL1168">
        <v>1</v>
      </c>
      <c r="CS1168" s="7" t="s">
        <v>1518</v>
      </c>
    </row>
    <row r="1169" spans="2:97">
      <c r="B1169" t="s">
        <v>4438</v>
      </c>
      <c r="C1169" s="18" t="s">
        <v>4439</v>
      </c>
      <c r="D1169" s="18" t="s">
        <v>4439</v>
      </c>
      <c r="E1169" s="8" t="s">
        <v>740</v>
      </c>
      <c r="F1169" s="8" t="s">
        <v>65</v>
      </c>
      <c r="G1169" s="1">
        <v>1</v>
      </c>
      <c r="H1169" s="1"/>
      <c r="I1169" s="1">
        <f>1811-21</f>
        <v>1790</v>
      </c>
      <c r="J1169" t="s">
        <v>10</v>
      </c>
      <c r="K1169" t="s">
        <v>12</v>
      </c>
      <c r="Q1169">
        <v>5</v>
      </c>
      <c r="R1169">
        <v>4</v>
      </c>
      <c r="T1169" s="5">
        <f t="shared" si="52"/>
        <v>168.52</v>
      </c>
      <c r="U1169" t="s">
        <v>4440</v>
      </c>
      <c r="AQ1169" s="6">
        <v>1</v>
      </c>
      <c r="AR1169" s="6">
        <v>1</v>
      </c>
      <c r="AS1169" s="6">
        <v>1</v>
      </c>
      <c r="BC1169">
        <v>1811</v>
      </c>
      <c r="BD1169" t="s">
        <v>81</v>
      </c>
      <c r="BE1169" t="s">
        <v>151</v>
      </c>
      <c r="BF1169" s="1" t="s">
        <v>73</v>
      </c>
      <c r="BG1169" s="1">
        <v>1</v>
      </c>
      <c r="BH1169">
        <v>1</v>
      </c>
      <c r="BK1169" s="1">
        <v>1</v>
      </c>
      <c r="BQ1169">
        <v>1</v>
      </c>
      <c r="CS1169" t="s">
        <v>4198</v>
      </c>
    </row>
    <row r="1170" spans="2:97">
      <c r="B1170" t="s">
        <v>4443</v>
      </c>
      <c r="C1170" s="2" t="s">
        <v>1223</v>
      </c>
      <c r="D1170" s="2" t="s">
        <v>1223</v>
      </c>
      <c r="E1170" s="8" t="s">
        <v>130</v>
      </c>
      <c r="F1170" s="8" t="s">
        <v>65</v>
      </c>
      <c r="G1170" s="1">
        <v>1</v>
      </c>
      <c r="H1170" s="1"/>
      <c r="I1170" s="1"/>
      <c r="J1170" t="s">
        <v>69</v>
      </c>
      <c r="K1170" t="s">
        <v>12</v>
      </c>
      <c r="Q1170">
        <v>5</v>
      </c>
      <c r="R1170">
        <v>2</v>
      </c>
      <c r="S1170">
        <v>3</v>
      </c>
      <c r="T1170" s="5">
        <f t="shared" si="52"/>
        <v>163.92</v>
      </c>
      <c r="U1170" t="s">
        <v>4440</v>
      </c>
      <c r="AQ1170" s="6">
        <v>1</v>
      </c>
      <c r="AR1170" s="6">
        <v>1</v>
      </c>
      <c r="AS1170" s="6">
        <v>1</v>
      </c>
      <c r="BC1170">
        <v>1811</v>
      </c>
      <c r="BD1170" t="s">
        <v>81</v>
      </c>
      <c r="BE1170" t="s">
        <v>151</v>
      </c>
      <c r="BF1170" s="1" t="s">
        <v>73</v>
      </c>
      <c r="BG1170" s="1">
        <v>1</v>
      </c>
      <c r="BH1170">
        <v>2</v>
      </c>
      <c r="BK1170" s="1">
        <v>1</v>
      </c>
      <c r="BQ1170">
        <v>1</v>
      </c>
      <c r="CC1170">
        <v>1</v>
      </c>
      <c r="CL1170">
        <v>1</v>
      </c>
      <c r="CS1170" t="s">
        <v>4198</v>
      </c>
    </row>
    <row r="1171" spans="2:97">
      <c r="B1171" t="s">
        <v>4460</v>
      </c>
      <c r="C1171" s="2" t="s">
        <v>1223</v>
      </c>
      <c r="D1171" s="2" t="s">
        <v>1223</v>
      </c>
      <c r="E1171" s="8" t="s">
        <v>130</v>
      </c>
      <c r="F1171" s="8" t="s">
        <v>65</v>
      </c>
      <c r="G1171" s="1">
        <v>1</v>
      </c>
      <c r="H1171" s="1"/>
      <c r="I1171" s="1">
        <f>1811-41</f>
        <v>1770</v>
      </c>
      <c r="J1171" t="s">
        <v>69</v>
      </c>
      <c r="K1171" t="s">
        <v>12</v>
      </c>
      <c r="N1171">
        <v>1</v>
      </c>
      <c r="Q1171">
        <v>5</v>
      </c>
      <c r="R1171">
        <v>2</v>
      </c>
      <c r="S1171">
        <v>1</v>
      </c>
      <c r="T1171" s="5">
        <f t="shared" si="52"/>
        <v>163.47999999999999</v>
      </c>
      <c r="U1171" t="s">
        <v>4440</v>
      </c>
      <c r="AQ1171" s="6">
        <v>1</v>
      </c>
      <c r="AR1171" s="6">
        <v>1</v>
      </c>
      <c r="AS1171" s="6">
        <v>1</v>
      </c>
      <c r="BC1171">
        <v>1811</v>
      </c>
      <c r="BD1171" t="s">
        <v>81</v>
      </c>
      <c r="BE1171" t="s">
        <v>151</v>
      </c>
      <c r="BF1171" s="1" t="s">
        <v>73</v>
      </c>
      <c r="BG1171" s="1">
        <v>1</v>
      </c>
      <c r="BH1171">
        <v>1</v>
      </c>
      <c r="BK1171" s="1">
        <v>1</v>
      </c>
      <c r="BQ1171">
        <v>1</v>
      </c>
      <c r="CS1171" t="s">
        <v>4198</v>
      </c>
    </row>
    <row r="1172" spans="2:97">
      <c r="B1172" t="s">
        <v>1954</v>
      </c>
      <c r="C1172" s="2" t="s">
        <v>1911</v>
      </c>
      <c r="D1172" s="34" t="s">
        <v>1955</v>
      </c>
      <c r="E1172" s="8" t="s">
        <v>1912</v>
      </c>
      <c r="F1172" s="8" t="s">
        <v>65</v>
      </c>
      <c r="G1172" s="1">
        <v>1</v>
      </c>
      <c r="H1172" s="1"/>
      <c r="I1172" s="1">
        <f>1809-20</f>
        <v>1789</v>
      </c>
      <c r="J1172" t="s">
        <v>10</v>
      </c>
      <c r="K1172" t="s">
        <v>12</v>
      </c>
      <c r="Q1172">
        <v>5</v>
      </c>
      <c r="R1172">
        <v>3</v>
      </c>
      <c r="T1172" s="5">
        <f t="shared" si="52"/>
        <v>165.89000000000001</v>
      </c>
      <c r="U1172" t="s">
        <v>1956</v>
      </c>
      <c r="AQ1172" s="7">
        <v>1</v>
      </c>
      <c r="BC1172" t="s">
        <v>612</v>
      </c>
      <c r="BD1172" s="7" t="s">
        <v>280</v>
      </c>
      <c r="BE1172" t="s">
        <v>118</v>
      </c>
      <c r="BF1172" s="1" t="s">
        <v>29</v>
      </c>
      <c r="BG1172" s="1">
        <v>1</v>
      </c>
      <c r="BH1172">
        <v>1</v>
      </c>
      <c r="BK1172" s="1">
        <v>1</v>
      </c>
      <c r="BQ1172">
        <v>1</v>
      </c>
      <c r="CN1172">
        <v>1</v>
      </c>
      <c r="CS1172" s="7" t="s">
        <v>1957</v>
      </c>
    </row>
    <row r="1173" spans="2:97">
      <c r="B1173" t="s">
        <v>830</v>
      </c>
      <c r="C1173" s="15" t="s">
        <v>831</v>
      </c>
      <c r="D1173" s="15"/>
      <c r="E1173" s="8" t="s">
        <v>832</v>
      </c>
      <c r="F1173" s="8" t="s">
        <v>65</v>
      </c>
      <c r="G1173" s="1">
        <v>1</v>
      </c>
      <c r="H1173" s="1"/>
      <c r="I1173" s="1">
        <f>1810-20</f>
        <v>1790</v>
      </c>
      <c r="J1173" t="s">
        <v>10</v>
      </c>
      <c r="K1173" t="s">
        <v>12</v>
      </c>
      <c r="Q1173">
        <v>5</v>
      </c>
      <c r="R1173">
        <v>3</v>
      </c>
      <c r="S1173">
        <v>1</v>
      </c>
      <c r="T1173" s="5">
        <f t="shared" si="52"/>
        <v>166.11</v>
      </c>
      <c r="U1173" t="s">
        <v>833</v>
      </c>
      <c r="AQ1173" s="6">
        <v>1</v>
      </c>
      <c r="AR1173" s="7">
        <v>1</v>
      </c>
      <c r="BC1173" t="s">
        <v>1430</v>
      </c>
      <c r="BD1173" s="7" t="s">
        <v>103</v>
      </c>
      <c r="BE1173" t="s">
        <v>820</v>
      </c>
      <c r="BF1173" s="1" t="s">
        <v>29</v>
      </c>
      <c r="BG1173" s="1">
        <v>2</v>
      </c>
      <c r="BH1173">
        <v>2</v>
      </c>
      <c r="BK1173" s="1">
        <v>1</v>
      </c>
      <c r="BQ1173">
        <v>1</v>
      </c>
      <c r="CL1173">
        <v>1</v>
      </c>
      <c r="CS1173" s="7" t="s">
        <v>1431</v>
      </c>
    </row>
    <row r="1174" spans="2:97">
      <c r="B1174" t="s">
        <v>3336</v>
      </c>
      <c r="C1174" s="2" t="s">
        <v>3337</v>
      </c>
      <c r="D1174" s="2" t="s">
        <v>3337</v>
      </c>
      <c r="E1174" s="8" t="s">
        <v>1306</v>
      </c>
      <c r="F1174" s="8" t="s">
        <v>65</v>
      </c>
      <c r="G1174" s="1">
        <v>1</v>
      </c>
      <c r="H1174" s="1"/>
      <c r="I1174" s="1">
        <f>1808-23</f>
        <v>1785</v>
      </c>
      <c r="J1174" t="s">
        <v>69</v>
      </c>
      <c r="K1174" t="s">
        <v>900</v>
      </c>
      <c r="N1174">
        <v>1</v>
      </c>
      <c r="Q1174">
        <v>5</v>
      </c>
      <c r="R1174">
        <v>5</v>
      </c>
      <c r="S1174">
        <v>1</v>
      </c>
      <c r="T1174" s="5">
        <f t="shared" si="52"/>
        <v>171.37</v>
      </c>
      <c r="U1174" t="s">
        <v>3338</v>
      </c>
      <c r="AP1174" s="14"/>
      <c r="AQ1174" s="6">
        <v>1</v>
      </c>
      <c r="AR1174" s="6">
        <v>1</v>
      </c>
      <c r="AS1174" s="6">
        <v>1</v>
      </c>
      <c r="AT1174" s="7">
        <v>1</v>
      </c>
      <c r="BC1174" s="9" t="s">
        <v>3334</v>
      </c>
      <c r="BD1174" s="7" t="s">
        <v>280</v>
      </c>
      <c r="BE1174" t="s">
        <v>2407</v>
      </c>
      <c r="BF1174" s="1" t="s">
        <v>29</v>
      </c>
      <c r="BG1174" s="1">
        <v>6</v>
      </c>
      <c r="BH1174">
        <v>1</v>
      </c>
      <c r="BK1174" s="1">
        <v>1</v>
      </c>
      <c r="BL1174">
        <v>1</v>
      </c>
      <c r="BQ1174">
        <v>1</v>
      </c>
      <c r="CN1174">
        <v>1</v>
      </c>
      <c r="CS1174" s="7" t="s">
        <v>3335</v>
      </c>
    </row>
    <row r="1175" spans="2:97">
      <c r="B1175" t="s">
        <v>4325</v>
      </c>
      <c r="C1175" s="18" t="s">
        <v>4326</v>
      </c>
      <c r="D1175" s="34" t="s">
        <v>4327</v>
      </c>
      <c r="E1175" s="8" t="s">
        <v>1145</v>
      </c>
      <c r="F1175" s="8" t="s">
        <v>218</v>
      </c>
      <c r="G1175" s="1">
        <v>1</v>
      </c>
      <c r="H1175" s="1"/>
      <c r="I1175" s="1">
        <f>1811-29</f>
        <v>1782</v>
      </c>
      <c r="J1175" t="s">
        <v>10</v>
      </c>
      <c r="K1175" t="s">
        <v>12</v>
      </c>
      <c r="Q1175">
        <v>5</v>
      </c>
      <c r="R1175">
        <v>5</v>
      </c>
      <c r="T1175" s="5">
        <f t="shared" si="52"/>
        <v>171.15</v>
      </c>
      <c r="U1175" t="s">
        <v>2909</v>
      </c>
      <c r="AQ1175" s="6">
        <v>1</v>
      </c>
      <c r="AR1175" s="6">
        <v>1</v>
      </c>
      <c r="AS1175" s="6">
        <v>1</v>
      </c>
      <c r="BC1175">
        <v>1811</v>
      </c>
      <c r="BD1175" t="s">
        <v>81</v>
      </c>
      <c r="BE1175" t="s">
        <v>4328</v>
      </c>
      <c r="BF1175" s="1" t="s">
        <v>73</v>
      </c>
      <c r="BG1175" s="1">
        <v>1</v>
      </c>
      <c r="BH1175">
        <v>1</v>
      </c>
      <c r="BK1175" s="1" t="s">
        <v>72</v>
      </c>
      <c r="BQ1175">
        <v>1</v>
      </c>
      <c r="CS1175" t="s">
        <v>4329</v>
      </c>
    </row>
    <row r="1176" spans="2:97">
      <c r="B1176" t="s">
        <v>2908</v>
      </c>
      <c r="C1176" s="2" t="s">
        <v>2426</v>
      </c>
      <c r="D1176" s="15"/>
      <c r="E1176" s="8" t="s">
        <v>832</v>
      </c>
      <c r="F1176" s="8" t="s">
        <v>65</v>
      </c>
      <c r="G1176" s="1">
        <v>1</v>
      </c>
      <c r="H1176" s="1"/>
      <c r="I1176" s="1">
        <f>1811-21</f>
        <v>1790</v>
      </c>
      <c r="J1176" t="s">
        <v>10</v>
      </c>
      <c r="K1176" t="s">
        <v>12</v>
      </c>
      <c r="Q1176">
        <v>5</v>
      </c>
      <c r="R1176">
        <v>3</v>
      </c>
      <c r="S1176">
        <v>1</v>
      </c>
      <c r="T1176" s="5">
        <f t="shared" si="52"/>
        <v>166.11</v>
      </c>
      <c r="U1176" t="s">
        <v>2909</v>
      </c>
      <c r="AQ1176" s="6">
        <v>1</v>
      </c>
      <c r="AR1176" s="6">
        <v>1</v>
      </c>
      <c r="AS1176" s="6">
        <v>1</v>
      </c>
      <c r="AT1176" s="6">
        <v>1</v>
      </c>
      <c r="BC1176">
        <v>1812</v>
      </c>
      <c r="BD1176" t="s">
        <v>81</v>
      </c>
      <c r="BE1176" t="s">
        <v>62</v>
      </c>
      <c r="BF1176" s="1" t="s">
        <v>73</v>
      </c>
      <c r="BG1176" s="1">
        <v>3</v>
      </c>
      <c r="BH1176">
        <v>2</v>
      </c>
      <c r="BK1176" s="1">
        <v>1</v>
      </c>
      <c r="BQ1176">
        <v>1</v>
      </c>
      <c r="CL1176">
        <v>1</v>
      </c>
      <c r="CS1176" t="s">
        <v>2487</v>
      </c>
    </row>
    <row r="1177" spans="2:97">
      <c r="B1177" t="s">
        <v>3622</v>
      </c>
      <c r="C1177" s="2" t="s">
        <v>976</v>
      </c>
      <c r="D1177" s="2" t="s">
        <v>976</v>
      </c>
      <c r="E1177" s="8" t="s">
        <v>1306</v>
      </c>
      <c r="F1177" s="8" t="s">
        <v>65</v>
      </c>
      <c r="G1177" s="1">
        <v>1</v>
      </c>
      <c r="H1177" s="1"/>
      <c r="I1177" s="1">
        <f>1811-30</f>
        <v>1781</v>
      </c>
      <c r="J1177" t="s">
        <v>10</v>
      </c>
      <c r="K1177" t="s">
        <v>12</v>
      </c>
      <c r="Q1177">
        <v>5</v>
      </c>
      <c r="R1177">
        <v>2</v>
      </c>
      <c r="S1177">
        <v>1</v>
      </c>
      <c r="T1177" s="5">
        <f t="shared" si="52"/>
        <v>163.47999999999999</v>
      </c>
      <c r="U1177" t="s">
        <v>3623</v>
      </c>
      <c r="AP1177" s="14"/>
      <c r="AQ1177" s="6">
        <v>1</v>
      </c>
      <c r="AR1177" s="6">
        <v>1</v>
      </c>
      <c r="AS1177" s="6">
        <v>1</v>
      </c>
      <c r="AT1177" s="6">
        <v>1</v>
      </c>
      <c r="AU1177" s="6">
        <v>1</v>
      </c>
      <c r="AV1177" s="6">
        <v>1</v>
      </c>
      <c r="AW1177" s="7">
        <v>1</v>
      </c>
      <c r="BC1177" t="s">
        <v>3624</v>
      </c>
      <c r="BD1177" s="7" t="s">
        <v>959</v>
      </c>
      <c r="BE1177" s="7" t="s">
        <v>2390</v>
      </c>
      <c r="BF1177" s="1" t="s">
        <v>29</v>
      </c>
      <c r="BG1177" s="1">
        <v>10</v>
      </c>
      <c r="BH1177">
        <v>2</v>
      </c>
      <c r="BI1177">
        <v>1</v>
      </c>
      <c r="BJ1177">
        <v>1</v>
      </c>
      <c r="BK1177" s="1">
        <v>1</v>
      </c>
      <c r="BL1177">
        <v>1</v>
      </c>
      <c r="BQ1177">
        <v>1</v>
      </c>
      <c r="CB1177" s="7">
        <v>1</v>
      </c>
      <c r="CS1177" s="7" t="s">
        <v>3625</v>
      </c>
    </row>
    <row r="1178" spans="2:97">
      <c r="B1178" t="s">
        <v>2475</v>
      </c>
      <c r="C1178" s="2" t="s">
        <v>2426</v>
      </c>
      <c r="D1178" s="15"/>
      <c r="E1178" s="8" t="s">
        <v>832</v>
      </c>
      <c r="F1178" s="8" t="s">
        <v>65</v>
      </c>
      <c r="G1178" s="1">
        <v>1</v>
      </c>
      <c r="H1178" s="1"/>
      <c r="I1178" s="1">
        <f>1811-22</f>
        <v>1789</v>
      </c>
      <c r="J1178" t="s">
        <v>10</v>
      </c>
      <c r="K1178" t="s">
        <v>116</v>
      </c>
      <c r="Q1178">
        <v>5</v>
      </c>
      <c r="R1178">
        <v>9</v>
      </c>
      <c r="S1178">
        <v>3</v>
      </c>
      <c r="T1178" s="5">
        <f>((Q1178*316)+(R1178*26.3)+(S1178*2.2))/10</f>
        <v>182.32999999999998</v>
      </c>
      <c r="U1178" t="s">
        <v>2476</v>
      </c>
      <c r="AQ1178" s="6">
        <v>1</v>
      </c>
      <c r="AR1178" s="6">
        <v>1</v>
      </c>
      <c r="AS1178" s="6">
        <v>1</v>
      </c>
      <c r="AT1178" s="6">
        <v>1</v>
      </c>
      <c r="AU1178" s="6">
        <v>1</v>
      </c>
      <c r="AV1178" s="6">
        <v>1</v>
      </c>
      <c r="AW1178" s="6">
        <v>1</v>
      </c>
      <c r="AX1178" s="6">
        <v>1</v>
      </c>
      <c r="AY1178" s="6">
        <v>1</v>
      </c>
      <c r="AZ1178" s="6">
        <v>1</v>
      </c>
      <c r="BA1178" s="6">
        <v>1</v>
      </c>
      <c r="BB1178" s="6">
        <v>1</v>
      </c>
      <c r="BC1178">
        <v>1820</v>
      </c>
      <c r="BD1178" t="s">
        <v>81</v>
      </c>
      <c r="BE1178" t="s">
        <v>62</v>
      </c>
      <c r="BF1178" s="1" t="s">
        <v>73</v>
      </c>
      <c r="BG1178" s="1">
        <v>5</v>
      </c>
      <c r="BH1178">
        <v>2</v>
      </c>
      <c r="BK1178" s="1">
        <v>1</v>
      </c>
      <c r="BP1178">
        <v>1</v>
      </c>
      <c r="BQ1178">
        <v>1</v>
      </c>
      <c r="CG1178">
        <v>1</v>
      </c>
      <c r="CL1178">
        <v>1</v>
      </c>
      <c r="CQ1178">
        <v>1</v>
      </c>
      <c r="CS1178" t="s">
        <v>2477</v>
      </c>
    </row>
    <row r="1179" spans="2:97">
      <c r="B1179" t="s">
        <v>1638</v>
      </c>
      <c r="C1179" s="2" t="s">
        <v>1223</v>
      </c>
      <c r="F1179" s="8" t="s">
        <v>65</v>
      </c>
      <c r="G1179" s="1">
        <v>1</v>
      </c>
      <c r="H1179" s="1"/>
      <c r="I1179" s="1">
        <f>1811-22</f>
        <v>1789</v>
      </c>
      <c r="J1179" t="s">
        <v>10</v>
      </c>
      <c r="K1179" t="s">
        <v>12</v>
      </c>
      <c r="O1179" s="1"/>
      <c r="Q1179">
        <v>5</v>
      </c>
      <c r="R1179">
        <v>2</v>
      </c>
      <c r="S1179">
        <v>1</v>
      </c>
      <c r="T1179" s="5">
        <f>((Q1179*316)+(R1179*26.3)+(S1179*2.2))/10</f>
        <v>163.47999999999999</v>
      </c>
      <c r="U1179" t="s">
        <v>1636</v>
      </c>
      <c r="AQ1179" s="6">
        <v>1</v>
      </c>
      <c r="AR1179" s="6">
        <v>1</v>
      </c>
      <c r="AS1179" s="6">
        <v>1</v>
      </c>
      <c r="AT1179" s="6">
        <v>1</v>
      </c>
      <c r="AU1179" s="6">
        <v>1</v>
      </c>
      <c r="AV1179" s="6">
        <v>1</v>
      </c>
      <c r="AW1179" s="6">
        <v>1</v>
      </c>
      <c r="AX1179" s="6">
        <v>1</v>
      </c>
      <c r="AY1179" s="6">
        <v>1</v>
      </c>
      <c r="BC1179">
        <v>1817</v>
      </c>
      <c r="BD1179" t="s">
        <v>81</v>
      </c>
      <c r="BE1179" s="10" t="s">
        <v>62</v>
      </c>
      <c r="BF1179" s="1" t="s">
        <v>73</v>
      </c>
      <c r="BG1179" s="1">
        <v>5</v>
      </c>
      <c r="BH1179">
        <v>2</v>
      </c>
      <c r="BK1179" s="1">
        <v>1</v>
      </c>
      <c r="BQ1179">
        <v>1</v>
      </c>
      <c r="CL1179" s="10">
        <v>1</v>
      </c>
      <c r="CS1179" s="10" t="s">
        <v>1639</v>
      </c>
    </row>
    <row r="1180" spans="2:97">
      <c r="B1180" t="s">
        <v>1634</v>
      </c>
      <c r="C1180" s="2" t="s">
        <v>1635</v>
      </c>
      <c r="D1180" s="2" t="s">
        <v>1635</v>
      </c>
      <c r="E1180" s="8" t="s">
        <v>1630</v>
      </c>
      <c r="F1180" s="8" t="s">
        <v>65</v>
      </c>
      <c r="G1180" s="1">
        <v>1</v>
      </c>
      <c r="H1180" s="1"/>
      <c r="I1180" s="1">
        <f>1811-23</f>
        <v>1788</v>
      </c>
      <c r="J1180" t="s">
        <v>69</v>
      </c>
      <c r="K1180" t="s">
        <v>12</v>
      </c>
      <c r="M1180">
        <v>1</v>
      </c>
      <c r="Q1180">
        <v>5</v>
      </c>
      <c r="R1180">
        <v>1</v>
      </c>
      <c r="S1180">
        <v>1</v>
      </c>
      <c r="T1180" s="5">
        <f t="shared" si="52"/>
        <v>160.85</v>
      </c>
      <c r="U1180" t="s">
        <v>1636</v>
      </c>
      <c r="AQ1180" s="6">
        <v>1</v>
      </c>
      <c r="AR1180" s="6">
        <v>1</v>
      </c>
      <c r="AS1180" s="6">
        <v>1</v>
      </c>
      <c r="AT1180" s="6">
        <v>1</v>
      </c>
      <c r="BC1180">
        <v>1812</v>
      </c>
      <c r="BD1180" t="s">
        <v>81</v>
      </c>
      <c r="BE1180" s="10" t="s">
        <v>62</v>
      </c>
      <c r="BF1180" s="1" t="s">
        <v>73</v>
      </c>
      <c r="BG1180" s="1">
        <v>3</v>
      </c>
      <c r="BH1180">
        <v>2</v>
      </c>
      <c r="BK1180" s="1">
        <v>1</v>
      </c>
      <c r="BQ1180">
        <v>1</v>
      </c>
      <c r="CL1180" s="10">
        <v>1</v>
      </c>
      <c r="CS1180" s="10" t="s">
        <v>1637</v>
      </c>
    </row>
    <row r="1181" spans="2:97">
      <c r="B1181" t="s">
        <v>2482</v>
      </c>
      <c r="C1181" s="2" t="s">
        <v>2426</v>
      </c>
      <c r="D1181" s="15"/>
      <c r="E1181" s="8" t="s">
        <v>832</v>
      </c>
      <c r="F1181" s="8" t="s">
        <v>65</v>
      </c>
      <c r="G1181" s="1">
        <v>1</v>
      </c>
      <c r="H1181" s="1"/>
      <c r="I1181" s="1">
        <f>1811-31</f>
        <v>1780</v>
      </c>
      <c r="J1181" t="s">
        <v>69</v>
      </c>
      <c r="K1181" t="s">
        <v>140</v>
      </c>
      <c r="Q1181">
        <v>5</v>
      </c>
      <c r="R1181">
        <v>3</v>
      </c>
      <c r="T1181" s="5">
        <f t="shared" si="52"/>
        <v>165.89000000000001</v>
      </c>
      <c r="U1181" t="s">
        <v>1112</v>
      </c>
      <c r="AQ1181" s="6">
        <v>1</v>
      </c>
      <c r="AR1181" s="6">
        <v>1</v>
      </c>
      <c r="AS1181" s="6">
        <v>1</v>
      </c>
      <c r="AT1181" s="6">
        <v>1</v>
      </c>
      <c r="AU1181" s="6">
        <v>1</v>
      </c>
      <c r="AV1181" s="6">
        <v>1</v>
      </c>
      <c r="AW1181" s="6">
        <v>1</v>
      </c>
      <c r="AX1181" s="6">
        <v>1</v>
      </c>
      <c r="AY1181" s="6">
        <v>1</v>
      </c>
      <c r="AZ1181" s="6">
        <v>1</v>
      </c>
      <c r="BA1181" s="6">
        <v>1</v>
      </c>
      <c r="BB1181" s="6">
        <v>1</v>
      </c>
      <c r="BC1181">
        <v>1820</v>
      </c>
      <c r="BD1181" t="s">
        <v>81</v>
      </c>
      <c r="BE1181" t="s">
        <v>62</v>
      </c>
      <c r="BF1181" s="1" t="s">
        <v>73</v>
      </c>
      <c r="BG1181" s="1">
        <v>6</v>
      </c>
      <c r="BH1181">
        <v>2</v>
      </c>
      <c r="BK1181" s="1">
        <v>1</v>
      </c>
      <c r="BP1181">
        <v>1</v>
      </c>
      <c r="BQ1181">
        <v>1</v>
      </c>
      <c r="CF1181">
        <v>1</v>
      </c>
      <c r="CL1181">
        <v>1</v>
      </c>
      <c r="CQ1181">
        <v>1</v>
      </c>
      <c r="CS1181" t="s">
        <v>2483</v>
      </c>
    </row>
    <row r="1182" spans="2:97">
      <c r="B1182" t="s">
        <v>3311</v>
      </c>
      <c r="C1182" s="2" t="s">
        <v>3281</v>
      </c>
      <c r="D1182" s="2" t="s">
        <v>3281</v>
      </c>
      <c r="E1182" s="8" t="s">
        <v>869</v>
      </c>
      <c r="F1182" s="8" t="s">
        <v>65</v>
      </c>
      <c r="G1182" s="1">
        <v>1</v>
      </c>
      <c r="H1182" s="1"/>
      <c r="I1182" s="1">
        <f>1809-20</f>
        <v>1789</v>
      </c>
      <c r="J1182" t="s">
        <v>69</v>
      </c>
      <c r="K1182" t="s">
        <v>12</v>
      </c>
      <c r="Q1182">
        <v>5</v>
      </c>
      <c r="R1182">
        <v>3</v>
      </c>
      <c r="T1182" s="5">
        <f t="shared" si="52"/>
        <v>165.89000000000001</v>
      </c>
      <c r="U1182" t="s">
        <v>2891</v>
      </c>
      <c r="AQ1182" s="7">
        <v>1</v>
      </c>
      <c r="BC1182" t="s">
        <v>1975</v>
      </c>
      <c r="BD1182" s="7" t="s">
        <v>305</v>
      </c>
      <c r="BE1182" t="s">
        <v>2407</v>
      </c>
      <c r="BF1182" s="1" t="s">
        <v>29</v>
      </c>
      <c r="BG1182" s="1">
        <v>2</v>
      </c>
      <c r="BH1182">
        <v>1</v>
      </c>
      <c r="BK1182" s="1">
        <v>1</v>
      </c>
      <c r="BQ1182">
        <v>1</v>
      </c>
      <c r="CM1182">
        <v>1</v>
      </c>
      <c r="CS1182" s="7" t="s">
        <v>3297</v>
      </c>
    </row>
    <row r="1183" spans="2:97">
      <c r="B1183" t="s">
        <v>2473</v>
      </c>
      <c r="C1183" s="2" t="s">
        <v>2474</v>
      </c>
      <c r="D1183" s="2" t="s">
        <v>2474</v>
      </c>
      <c r="E1183" s="8" t="s">
        <v>1630</v>
      </c>
      <c r="F1183" s="8" t="s">
        <v>65</v>
      </c>
      <c r="G1183" s="1">
        <v>1</v>
      </c>
      <c r="H1183" s="1"/>
      <c r="I1183" s="1">
        <f>1819-29</f>
        <v>1790</v>
      </c>
      <c r="J1183" t="s">
        <v>10</v>
      </c>
      <c r="K1183" t="s">
        <v>12</v>
      </c>
      <c r="Q1183">
        <v>5</v>
      </c>
      <c r="R1183">
        <v>2</v>
      </c>
      <c r="S1183">
        <v>3</v>
      </c>
      <c r="T1183" s="5">
        <f t="shared" si="52"/>
        <v>163.92</v>
      </c>
      <c r="U1183" t="s">
        <v>2472</v>
      </c>
      <c r="AQ1183" s="6">
        <v>1</v>
      </c>
      <c r="AR1183" s="6">
        <v>1</v>
      </c>
      <c r="AS1183" s="6">
        <v>1</v>
      </c>
      <c r="AT1183" s="6">
        <v>1</v>
      </c>
      <c r="AU1183" s="6">
        <v>1</v>
      </c>
      <c r="AV1183" s="6">
        <v>1</v>
      </c>
      <c r="AW1183" s="6">
        <v>1</v>
      </c>
      <c r="AX1183" s="6">
        <v>1</v>
      </c>
      <c r="AY1183" s="6">
        <v>1</v>
      </c>
      <c r="AZ1183" s="6">
        <v>1</v>
      </c>
      <c r="BA1183" s="7">
        <v>1</v>
      </c>
      <c r="BC1183" t="s">
        <v>1827</v>
      </c>
      <c r="BD1183" s="7" t="s">
        <v>103</v>
      </c>
      <c r="BE1183" t="s">
        <v>62</v>
      </c>
      <c r="BF1183" s="1" t="s">
        <v>29</v>
      </c>
      <c r="BG1183" s="1">
        <v>5</v>
      </c>
      <c r="BH1183">
        <v>1</v>
      </c>
      <c r="BK1183" s="1">
        <v>1</v>
      </c>
      <c r="BQ1183">
        <v>1</v>
      </c>
      <c r="CF1183">
        <v>1</v>
      </c>
      <c r="CI1183">
        <v>1</v>
      </c>
      <c r="CL1183">
        <v>1</v>
      </c>
      <c r="CS1183" s="7" t="s">
        <v>412</v>
      </c>
    </row>
    <row r="1184" spans="2:97">
      <c r="B1184" t="s">
        <v>3299</v>
      </c>
      <c r="C1184" s="2" t="s">
        <v>2499</v>
      </c>
      <c r="D1184" s="2" t="s">
        <v>2499</v>
      </c>
      <c r="E1184" s="8" t="s">
        <v>1306</v>
      </c>
      <c r="F1184" s="8" t="s">
        <v>65</v>
      </c>
      <c r="G1184" s="1">
        <v>1</v>
      </c>
      <c r="H1184" s="1"/>
      <c r="I1184" s="1">
        <f>1809-28</f>
        <v>1781</v>
      </c>
      <c r="J1184" t="s">
        <v>10</v>
      </c>
      <c r="K1184" t="s">
        <v>12</v>
      </c>
      <c r="Q1184">
        <v>5</v>
      </c>
      <c r="R1184">
        <v>4</v>
      </c>
      <c r="T1184" s="5">
        <f t="shared" si="52"/>
        <v>168.52</v>
      </c>
      <c r="U1184" t="s">
        <v>2472</v>
      </c>
      <c r="AQ1184" s="7">
        <v>1</v>
      </c>
      <c r="BC1184" t="s">
        <v>1975</v>
      </c>
      <c r="BD1184" s="7" t="s">
        <v>305</v>
      </c>
      <c r="BE1184" t="s">
        <v>2407</v>
      </c>
      <c r="BF1184" s="1" t="s">
        <v>29</v>
      </c>
      <c r="BG1184" s="1">
        <v>2</v>
      </c>
      <c r="BH1184">
        <v>1</v>
      </c>
      <c r="BK1184" s="1">
        <v>1</v>
      </c>
      <c r="BQ1184">
        <v>1</v>
      </c>
      <c r="CM1184">
        <v>1</v>
      </c>
      <c r="CS1184" s="7" t="s">
        <v>3297</v>
      </c>
    </row>
    <row r="1185" spans="1:98">
      <c r="B1185" t="s">
        <v>3308</v>
      </c>
      <c r="C1185" s="2" t="s">
        <v>3310</v>
      </c>
      <c r="D1185" s="18" t="s">
        <v>3309</v>
      </c>
      <c r="E1185" s="8" t="s">
        <v>869</v>
      </c>
      <c r="F1185" s="8" t="s">
        <v>65</v>
      </c>
      <c r="G1185" s="1">
        <v>1</v>
      </c>
      <c r="H1185" s="1"/>
      <c r="I1185" s="1">
        <f>1809-19</f>
        <v>1790</v>
      </c>
      <c r="J1185" t="s">
        <v>69</v>
      </c>
      <c r="K1185" t="s">
        <v>12</v>
      </c>
      <c r="Q1185">
        <v>5</v>
      </c>
      <c r="R1185">
        <v>3</v>
      </c>
      <c r="T1185" s="5">
        <f t="shared" si="52"/>
        <v>165.89000000000001</v>
      </c>
      <c r="U1185" t="s">
        <v>2472</v>
      </c>
      <c r="AQ1185" s="7">
        <v>1</v>
      </c>
      <c r="BC1185" t="s">
        <v>1975</v>
      </c>
      <c r="BD1185" s="7" t="s">
        <v>305</v>
      </c>
      <c r="BE1185" t="s">
        <v>2407</v>
      </c>
      <c r="BF1185" s="1" t="s">
        <v>29</v>
      </c>
      <c r="BG1185" s="1">
        <v>2</v>
      </c>
      <c r="BH1185">
        <v>1</v>
      </c>
      <c r="BK1185" s="1">
        <v>1</v>
      </c>
      <c r="BQ1185">
        <v>1</v>
      </c>
      <c r="CM1185">
        <v>1</v>
      </c>
      <c r="CS1185" s="7" t="s">
        <v>3297</v>
      </c>
    </row>
    <row r="1186" spans="1:98">
      <c r="B1186" t="s">
        <v>3298</v>
      </c>
      <c r="C1186" s="2" t="s">
        <v>2918</v>
      </c>
      <c r="D1186" s="2" t="s">
        <v>2918</v>
      </c>
      <c r="E1186" s="8" t="s">
        <v>1306</v>
      </c>
      <c r="F1186" s="8" t="s">
        <v>65</v>
      </c>
      <c r="G1186" s="1">
        <v>1</v>
      </c>
      <c r="H1186" s="1"/>
      <c r="I1186" s="1">
        <f>1809-28</f>
        <v>1781</v>
      </c>
      <c r="J1186" t="s">
        <v>69</v>
      </c>
      <c r="K1186" t="s">
        <v>12</v>
      </c>
      <c r="Q1186">
        <v>5</v>
      </c>
      <c r="R1186">
        <v>1</v>
      </c>
      <c r="T1186" s="5">
        <f t="shared" si="52"/>
        <v>160.63</v>
      </c>
      <c r="U1186" t="s">
        <v>2472</v>
      </c>
      <c r="AQ1186" s="7">
        <v>1</v>
      </c>
      <c r="BC1186" t="s">
        <v>1975</v>
      </c>
      <c r="BD1186" s="7" t="s">
        <v>305</v>
      </c>
      <c r="BE1186" t="s">
        <v>2407</v>
      </c>
      <c r="BF1186" s="1" t="s">
        <v>29</v>
      </c>
      <c r="BG1186" s="1">
        <v>2</v>
      </c>
      <c r="BH1186">
        <v>1</v>
      </c>
      <c r="BK1186" s="1">
        <v>1</v>
      </c>
      <c r="BQ1186">
        <v>1</v>
      </c>
      <c r="CM1186">
        <v>1</v>
      </c>
      <c r="CS1186" s="7" t="s">
        <v>3297</v>
      </c>
    </row>
    <row r="1187" spans="1:98">
      <c r="B1187" t="s">
        <v>3312</v>
      </c>
      <c r="C1187" s="2" t="s">
        <v>3240</v>
      </c>
      <c r="D1187" s="2" t="s">
        <v>3240</v>
      </c>
      <c r="E1187" s="8" t="s">
        <v>869</v>
      </c>
      <c r="F1187" s="8" t="s">
        <v>65</v>
      </c>
      <c r="G1187" s="1">
        <v>1</v>
      </c>
      <c r="H1187" s="1"/>
      <c r="I1187" s="1">
        <f>1809-18</f>
        <v>1791</v>
      </c>
      <c r="J1187" t="s">
        <v>10</v>
      </c>
      <c r="K1187" t="s">
        <v>12</v>
      </c>
      <c r="Q1187">
        <v>5</v>
      </c>
      <c r="R1187">
        <v>3</v>
      </c>
      <c r="T1187" s="5">
        <f t="shared" si="52"/>
        <v>165.89000000000001</v>
      </c>
      <c r="U1187" t="s">
        <v>3313</v>
      </c>
      <c r="AQ1187" s="7">
        <v>1</v>
      </c>
      <c r="BC1187" t="s">
        <v>1975</v>
      </c>
      <c r="BD1187" s="7" t="s">
        <v>305</v>
      </c>
      <c r="BE1187" t="s">
        <v>2407</v>
      </c>
      <c r="BF1187" s="1" t="s">
        <v>29</v>
      </c>
      <c r="BG1187" s="1">
        <v>2</v>
      </c>
      <c r="BH1187">
        <v>1</v>
      </c>
      <c r="BK1187" s="1">
        <v>1</v>
      </c>
      <c r="BQ1187">
        <v>1</v>
      </c>
      <c r="CM1187">
        <v>1</v>
      </c>
      <c r="CS1187" s="7" t="s">
        <v>3297</v>
      </c>
    </row>
    <row r="1188" spans="1:98">
      <c r="B1188" t="s">
        <v>3314</v>
      </c>
      <c r="C1188" s="2" t="s">
        <v>3315</v>
      </c>
      <c r="D1188" s="2" t="s">
        <v>3315</v>
      </c>
      <c r="E1188" s="8" t="s">
        <v>869</v>
      </c>
      <c r="F1188" s="8" t="s">
        <v>65</v>
      </c>
      <c r="G1188" s="1">
        <v>1</v>
      </c>
      <c r="H1188" s="1"/>
      <c r="I1188" s="1">
        <f>1809-24</f>
        <v>1785</v>
      </c>
      <c r="J1188" t="s">
        <v>69</v>
      </c>
      <c r="K1188" t="s">
        <v>12</v>
      </c>
      <c r="Q1188">
        <v>6</v>
      </c>
      <c r="T1188" s="5">
        <f t="shared" si="52"/>
        <v>189.6</v>
      </c>
      <c r="U1188" t="s">
        <v>3313</v>
      </c>
      <c r="AQ1188" s="7">
        <v>1</v>
      </c>
      <c r="BC1188" t="s">
        <v>1975</v>
      </c>
      <c r="BD1188" s="7" t="s">
        <v>305</v>
      </c>
      <c r="BE1188" t="s">
        <v>2407</v>
      </c>
      <c r="BF1188" s="1" t="s">
        <v>29</v>
      </c>
      <c r="BG1188" s="1">
        <v>2</v>
      </c>
      <c r="BH1188">
        <v>1</v>
      </c>
      <c r="BK1188" s="1">
        <v>1</v>
      </c>
      <c r="BQ1188">
        <v>1</v>
      </c>
      <c r="CM1188">
        <v>1</v>
      </c>
      <c r="CS1188" s="7" t="s">
        <v>3297</v>
      </c>
    </row>
    <row r="1189" spans="1:98">
      <c r="B1189" t="s">
        <v>3707</v>
      </c>
      <c r="C1189" s="2" t="s">
        <v>3708</v>
      </c>
      <c r="D1189" s="2" t="s">
        <v>3708</v>
      </c>
      <c r="E1189" s="8" t="s">
        <v>599</v>
      </c>
      <c r="F1189" s="8" t="s">
        <v>357</v>
      </c>
      <c r="G1189" s="1">
        <v>1</v>
      </c>
      <c r="H1189" s="1"/>
      <c r="I1189" s="1">
        <f>1808-20</f>
        <v>1788</v>
      </c>
      <c r="J1189" t="s">
        <v>69</v>
      </c>
      <c r="K1189" t="s">
        <v>12</v>
      </c>
      <c r="L1189">
        <v>1</v>
      </c>
      <c r="P1189">
        <v>1</v>
      </c>
      <c r="Q1189">
        <v>5</v>
      </c>
      <c r="R1189">
        <v>3</v>
      </c>
      <c r="S1189">
        <v>3</v>
      </c>
      <c r="T1189" s="5">
        <f t="shared" si="52"/>
        <v>166.55</v>
      </c>
      <c r="U1189" t="s">
        <v>3706</v>
      </c>
      <c r="AQ1189" s="6">
        <v>1</v>
      </c>
      <c r="AR1189" s="6">
        <v>1</v>
      </c>
      <c r="AS1189" s="6">
        <v>1</v>
      </c>
      <c r="AT1189" s="6">
        <v>1</v>
      </c>
      <c r="AU1189" s="6">
        <v>1</v>
      </c>
      <c r="AV1189" s="6">
        <v>1</v>
      </c>
      <c r="AW1189" s="6">
        <v>1</v>
      </c>
      <c r="AX1189" s="6">
        <v>1</v>
      </c>
      <c r="AY1189" s="6">
        <v>1</v>
      </c>
      <c r="AZ1189" s="6">
        <v>1</v>
      </c>
      <c r="BA1189" s="6">
        <v>1</v>
      </c>
      <c r="BB1189" s="6">
        <v>1</v>
      </c>
      <c r="BC1189">
        <v>1820</v>
      </c>
      <c r="BD1189" t="s">
        <v>81</v>
      </c>
      <c r="BE1189" t="s">
        <v>2407</v>
      </c>
      <c r="BF1189" s="1" t="s">
        <v>73</v>
      </c>
      <c r="BG1189" s="1">
        <v>10</v>
      </c>
      <c r="BH1189">
        <v>2</v>
      </c>
      <c r="BK1189" s="1">
        <v>1</v>
      </c>
      <c r="BQ1189">
        <v>1</v>
      </c>
      <c r="CF1189">
        <v>1</v>
      </c>
      <c r="CL1189">
        <v>1</v>
      </c>
      <c r="CQ1189">
        <v>1</v>
      </c>
      <c r="CR1189">
        <v>1</v>
      </c>
      <c r="CS1189" t="s">
        <v>3709</v>
      </c>
    </row>
    <row r="1190" spans="1:98">
      <c r="B1190" t="s">
        <v>814</v>
      </c>
      <c r="C1190" s="15" t="s">
        <v>815</v>
      </c>
      <c r="D1190" s="15"/>
      <c r="E1190" s="8" t="s">
        <v>130</v>
      </c>
      <c r="F1190" s="8" t="s">
        <v>65</v>
      </c>
      <c r="G1190" s="1">
        <v>1</v>
      </c>
      <c r="H1190" s="1"/>
      <c r="I1190" s="1">
        <f>1810-22</f>
        <v>1788</v>
      </c>
      <c r="J1190" t="s">
        <v>69</v>
      </c>
      <c r="K1190" t="s">
        <v>12</v>
      </c>
      <c r="Q1190">
        <v>5</v>
      </c>
      <c r="R1190">
        <v>1</v>
      </c>
      <c r="S1190">
        <v>1</v>
      </c>
      <c r="T1190" s="5">
        <f t="shared" si="52"/>
        <v>160.85</v>
      </c>
      <c r="U1190" t="s">
        <v>816</v>
      </c>
      <c r="AQ1190" s="6">
        <v>1</v>
      </c>
      <c r="AR1190" s="6">
        <v>1</v>
      </c>
      <c r="AS1190" s="6">
        <v>1</v>
      </c>
      <c r="AT1190" s="6">
        <v>1</v>
      </c>
      <c r="BC1190">
        <v>1812</v>
      </c>
      <c r="BD1190" t="s">
        <v>81</v>
      </c>
      <c r="BE1190" t="s">
        <v>152</v>
      </c>
      <c r="BF1190" s="1" t="s">
        <v>73</v>
      </c>
      <c r="BG1190" s="1">
        <v>2</v>
      </c>
      <c r="BH1190">
        <v>2</v>
      </c>
      <c r="BJ1190">
        <v>1</v>
      </c>
      <c r="BK1190" s="1">
        <v>1</v>
      </c>
      <c r="BQ1190">
        <v>1</v>
      </c>
      <c r="BV1190">
        <v>1</v>
      </c>
      <c r="CL1190">
        <v>1</v>
      </c>
      <c r="CS1190" t="s">
        <v>153</v>
      </c>
    </row>
    <row r="1191" spans="1:98">
      <c r="B1191" t="s">
        <v>3300</v>
      </c>
      <c r="C1191" s="2" t="s">
        <v>3301</v>
      </c>
      <c r="D1191" s="2" t="s">
        <v>3301</v>
      </c>
      <c r="E1191" s="8" t="s">
        <v>1306</v>
      </c>
      <c r="F1191" s="8" t="s">
        <v>65</v>
      </c>
      <c r="G1191" s="1">
        <v>1</v>
      </c>
      <c r="H1191" s="1"/>
      <c r="I1191" s="1">
        <f>1809-19</f>
        <v>1790</v>
      </c>
      <c r="J1191" t="s">
        <v>10</v>
      </c>
      <c r="K1191" t="s">
        <v>12</v>
      </c>
      <c r="Q1191">
        <v>5</v>
      </c>
      <c r="R1191">
        <v>3</v>
      </c>
      <c r="T1191" s="5">
        <f t="shared" si="52"/>
        <v>165.89000000000001</v>
      </c>
      <c r="U1191" t="s">
        <v>816</v>
      </c>
      <c r="AQ1191" s="7">
        <v>1</v>
      </c>
      <c r="BC1191" t="s">
        <v>1975</v>
      </c>
      <c r="BD1191" s="7" t="s">
        <v>305</v>
      </c>
      <c r="BE1191" t="s">
        <v>2407</v>
      </c>
      <c r="BF1191" s="1" t="s">
        <v>29</v>
      </c>
      <c r="BG1191" s="1">
        <v>2</v>
      </c>
      <c r="BH1191">
        <v>1</v>
      </c>
      <c r="BK1191" s="1">
        <v>1</v>
      </c>
      <c r="BQ1191">
        <v>1</v>
      </c>
      <c r="CM1191">
        <v>1</v>
      </c>
      <c r="CS1191" s="7" t="s">
        <v>3297</v>
      </c>
    </row>
    <row r="1192" spans="1:98">
      <c r="B1192" t="s">
        <v>3272</v>
      </c>
      <c r="C1192" s="2" t="s">
        <v>3273</v>
      </c>
      <c r="D1192" s="2" t="s">
        <v>3274</v>
      </c>
      <c r="E1192" s="8" t="s">
        <v>1306</v>
      </c>
      <c r="F1192" s="8" t="s">
        <v>65</v>
      </c>
      <c r="G1192" s="1">
        <v>1</v>
      </c>
      <c r="H1192" s="1"/>
      <c r="I1192" s="1">
        <f>1809-19</f>
        <v>1790</v>
      </c>
      <c r="J1192" t="s">
        <v>69</v>
      </c>
      <c r="K1192" t="s">
        <v>12</v>
      </c>
      <c r="Q1192">
        <v>5</v>
      </c>
      <c r="R1192">
        <v>2</v>
      </c>
      <c r="T1192" s="5">
        <f t="shared" si="52"/>
        <v>163.26</v>
      </c>
      <c r="U1192" t="s">
        <v>816</v>
      </c>
      <c r="AQ1192" s="7">
        <v>1</v>
      </c>
      <c r="BC1192" t="s">
        <v>600</v>
      </c>
      <c r="BD1192" s="7" t="s">
        <v>280</v>
      </c>
      <c r="BE1192" t="s">
        <v>2407</v>
      </c>
      <c r="BF1192" s="1" t="s">
        <v>29</v>
      </c>
      <c r="BG1192" s="1">
        <v>2</v>
      </c>
      <c r="BH1192">
        <v>1</v>
      </c>
      <c r="BK1192" s="1">
        <v>1</v>
      </c>
      <c r="BQ1192">
        <v>1</v>
      </c>
      <c r="CN1192">
        <v>1</v>
      </c>
      <c r="CS1192" s="7" t="s">
        <v>3275</v>
      </c>
    </row>
    <row r="1193" spans="1:98">
      <c r="A1193" t="s">
        <v>72</v>
      </c>
      <c r="B1193" t="s">
        <v>4176</v>
      </c>
      <c r="C1193" s="2"/>
      <c r="D1193" s="2"/>
      <c r="F1193" t="s">
        <v>7</v>
      </c>
      <c r="G1193" s="1"/>
      <c r="H1193" s="1"/>
      <c r="I1193" s="1"/>
      <c r="T1193" s="5"/>
      <c r="U1193" t="s">
        <v>816</v>
      </c>
      <c r="AQ1193" s="6">
        <v>1</v>
      </c>
      <c r="AR1193" s="7">
        <v>1</v>
      </c>
      <c r="BC1193" t="s">
        <v>2364</v>
      </c>
      <c r="BD1193" s="7" t="s">
        <v>109</v>
      </c>
      <c r="BE1193" t="s">
        <v>1065</v>
      </c>
      <c r="BF1193" s="1" t="s">
        <v>29</v>
      </c>
      <c r="BG1193" s="1">
        <v>2</v>
      </c>
      <c r="BH1193">
        <v>1</v>
      </c>
      <c r="BK1193" s="1">
        <v>1</v>
      </c>
      <c r="BQ1193">
        <v>1</v>
      </c>
      <c r="CS1193" s="7" t="s">
        <v>1593</v>
      </c>
    </row>
    <row r="1194" spans="1:98">
      <c r="B1194" t="s">
        <v>834</v>
      </c>
      <c r="C1194" s="15" t="s">
        <v>831</v>
      </c>
      <c r="D1194" s="15"/>
      <c r="E1194" s="8" t="s">
        <v>832</v>
      </c>
      <c r="F1194" s="8" t="s">
        <v>65</v>
      </c>
      <c r="G1194" s="1">
        <v>1</v>
      </c>
      <c r="H1194" s="1"/>
      <c r="I1194" s="1">
        <f>1810-20</f>
        <v>1790</v>
      </c>
      <c r="J1194" t="s">
        <v>10</v>
      </c>
      <c r="K1194" t="s">
        <v>12</v>
      </c>
      <c r="Q1194">
        <v>5</v>
      </c>
      <c r="R1194">
        <v>2</v>
      </c>
      <c r="T1194" s="5">
        <f t="shared" si="52"/>
        <v>163.26</v>
      </c>
      <c r="U1194" t="s">
        <v>816</v>
      </c>
      <c r="AQ1194" s="6">
        <v>1</v>
      </c>
      <c r="AR1194" s="6">
        <v>1</v>
      </c>
      <c r="BC1194">
        <v>1810</v>
      </c>
      <c r="BD1194" t="s">
        <v>81</v>
      </c>
      <c r="BE1194" t="s">
        <v>820</v>
      </c>
      <c r="BF1194" s="1" t="s">
        <v>73</v>
      </c>
      <c r="BG1194" s="1">
        <v>2</v>
      </c>
      <c r="BH1194">
        <v>2</v>
      </c>
      <c r="BK1194" s="1">
        <v>1</v>
      </c>
      <c r="BQ1194">
        <v>1</v>
      </c>
      <c r="CL1194">
        <v>1</v>
      </c>
      <c r="CS1194" t="s">
        <v>824</v>
      </c>
    </row>
    <row r="1195" spans="1:98">
      <c r="B1195" t="s">
        <v>4346</v>
      </c>
      <c r="C1195" s="2" t="s">
        <v>3569</v>
      </c>
      <c r="D1195" s="2" t="s">
        <v>3569</v>
      </c>
      <c r="E1195" s="8" t="s">
        <v>627</v>
      </c>
      <c r="F1195" s="8" t="s">
        <v>357</v>
      </c>
      <c r="G1195" s="1">
        <v>1</v>
      </c>
      <c r="H1195" s="1"/>
      <c r="I1195" s="1">
        <f>1811-22</f>
        <v>1789</v>
      </c>
      <c r="J1195" t="s">
        <v>10</v>
      </c>
      <c r="K1195" t="s">
        <v>12</v>
      </c>
      <c r="Q1195">
        <v>5</v>
      </c>
      <c r="R1195">
        <v>4</v>
      </c>
      <c r="T1195" s="5">
        <f t="shared" si="52"/>
        <v>168.52</v>
      </c>
      <c r="U1195" t="s">
        <v>4347</v>
      </c>
      <c r="AQ1195" s="6">
        <v>1</v>
      </c>
      <c r="AR1195" s="6">
        <v>1</v>
      </c>
      <c r="AS1195" s="6">
        <v>1</v>
      </c>
      <c r="BC1195">
        <v>1811</v>
      </c>
      <c r="BD1195" t="s">
        <v>81</v>
      </c>
      <c r="BE1195" t="s">
        <v>4328</v>
      </c>
      <c r="BF1195" s="1" t="s">
        <v>73</v>
      </c>
      <c r="BG1195" s="1">
        <v>1</v>
      </c>
      <c r="BH1195">
        <v>1</v>
      </c>
      <c r="BK1195" s="1" t="s">
        <v>72</v>
      </c>
      <c r="BQ1195">
        <v>1</v>
      </c>
      <c r="CS1195" t="s">
        <v>4329</v>
      </c>
    </row>
    <row r="1196" spans="1:98">
      <c r="B1196" t="s">
        <v>2901</v>
      </c>
      <c r="C1196" s="2" t="s">
        <v>2902</v>
      </c>
      <c r="D1196" s="2" t="s">
        <v>2902</v>
      </c>
      <c r="E1196" s="8" t="s">
        <v>238</v>
      </c>
      <c r="F1196" s="8" t="s">
        <v>65</v>
      </c>
      <c r="G1196" s="1">
        <v>1</v>
      </c>
      <c r="H1196" s="1"/>
      <c r="I1196" s="1">
        <f>1810-19</f>
        <v>1791</v>
      </c>
      <c r="J1196" t="s">
        <v>10</v>
      </c>
      <c r="K1196" t="s">
        <v>12</v>
      </c>
      <c r="Q1196">
        <v>5</v>
      </c>
      <c r="R1196">
        <v>3</v>
      </c>
      <c r="T1196" s="5">
        <f t="shared" si="52"/>
        <v>165.89000000000001</v>
      </c>
      <c r="U1196" s="9" t="s">
        <v>2628</v>
      </c>
      <c r="AQ1196" s="9">
        <v>1</v>
      </c>
      <c r="AR1196" s="40">
        <v>1</v>
      </c>
      <c r="BC1196">
        <v>1810</v>
      </c>
      <c r="BD1196" t="s">
        <v>81</v>
      </c>
      <c r="BE1196" s="10" t="s">
        <v>2005</v>
      </c>
      <c r="BF1196" s="1" t="s">
        <v>73</v>
      </c>
      <c r="BG1196" s="1">
        <v>1</v>
      </c>
      <c r="BH1196">
        <v>2</v>
      </c>
      <c r="BK1196" s="1" t="s">
        <v>72</v>
      </c>
      <c r="BQ1196">
        <v>1</v>
      </c>
      <c r="CL1196" s="10">
        <v>1</v>
      </c>
      <c r="CM1196">
        <v>1</v>
      </c>
      <c r="CN1196" s="40"/>
      <c r="CS1196" s="10" t="s">
        <v>1639</v>
      </c>
      <c r="CT1196" s="40" t="s">
        <v>2903</v>
      </c>
    </row>
    <row r="1197" spans="1:98">
      <c r="B1197" t="s">
        <v>2629</v>
      </c>
      <c r="C1197" s="2" t="s">
        <v>722</v>
      </c>
      <c r="D1197" s="15"/>
      <c r="F1197" s="8" t="s">
        <v>357</v>
      </c>
      <c r="G1197" s="1">
        <v>1</v>
      </c>
      <c r="H1197" s="1"/>
      <c r="I1197" s="1">
        <f>1809-20</f>
        <v>1789</v>
      </c>
      <c r="J1197" t="s">
        <v>10</v>
      </c>
      <c r="K1197" t="s">
        <v>12</v>
      </c>
      <c r="T1197" s="5"/>
      <c r="U1197" s="9" t="s">
        <v>2628</v>
      </c>
      <c r="AQ1197" s="9">
        <v>1</v>
      </c>
      <c r="BC1197">
        <v>1809</v>
      </c>
      <c r="BD1197" t="s">
        <v>81</v>
      </c>
      <c r="BE1197" s="10" t="s">
        <v>70</v>
      </c>
      <c r="BF1197" s="1" t="s">
        <v>73</v>
      </c>
      <c r="BG1197" s="1">
        <v>2</v>
      </c>
      <c r="BH1197">
        <v>1</v>
      </c>
      <c r="BK1197" s="1"/>
      <c r="BZ1197">
        <v>1</v>
      </c>
      <c r="CS1197" t="s">
        <v>2630</v>
      </c>
      <c r="CT1197" s="10" t="s">
        <v>2631</v>
      </c>
    </row>
    <row r="1198" spans="1:98">
      <c r="B1198" t="s">
        <v>3605</v>
      </c>
      <c r="C1198" s="2" t="s">
        <v>356</v>
      </c>
      <c r="D1198" s="2" t="s">
        <v>3146</v>
      </c>
      <c r="E1198" s="8" t="s">
        <v>546</v>
      </c>
      <c r="F1198" s="8" t="s">
        <v>357</v>
      </c>
      <c r="G1198" s="1">
        <v>1</v>
      </c>
      <c r="H1198" s="1"/>
      <c r="I1198" s="1">
        <f>1808-20</f>
        <v>1788</v>
      </c>
      <c r="J1198" t="s">
        <v>10</v>
      </c>
      <c r="K1198" t="s">
        <v>12</v>
      </c>
      <c r="Q1198">
        <v>5</v>
      </c>
      <c r="R1198">
        <v>5</v>
      </c>
      <c r="T1198" s="5">
        <f t="shared" si="52"/>
        <v>171.15</v>
      </c>
      <c r="U1198" t="s">
        <v>618</v>
      </c>
      <c r="AP1198" s="14"/>
      <c r="AQ1198" s="6">
        <v>1</v>
      </c>
      <c r="AR1198" s="6">
        <v>1</v>
      </c>
      <c r="AS1198" s="6">
        <v>1</v>
      </c>
      <c r="AT1198" s="6">
        <v>1</v>
      </c>
      <c r="AU1198" s="6">
        <v>1</v>
      </c>
      <c r="AV1198" s="7">
        <v>1</v>
      </c>
      <c r="BC1198" t="s">
        <v>3606</v>
      </c>
      <c r="BD1198" s="7" t="s">
        <v>103</v>
      </c>
      <c r="BE1198" t="s">
        <v>2407</v>
      </c>
      <c r="BF1198" s="1" t="s">
        <v>29</v>
      </c>
      <c r="BG1198" s="1">
        <v>10</v>
      </c>
      <c r="BH1198">
        <v>1</v>
      </c>
      <c r="BI1198">
        <v>1</v>
      </c>
      <c r="BJ1198">
        <v>1</v>
      </c>
      <c r="BK1198" s="1">
        <v>1</v>
      </c>
      <c r="BL1198">
        <v>1</v>
      </c>
      <c r="BQ1198">
        <v>1</v>
      </c>
      <c r="CM1198">
        <v>1</v>
      </c>
      <c r="CS1198" s="7" t="s">
        <v>2172</v>
      </c>
    </row>
    <row r="1199" spans="1:98">
      <c r="B1199" t="s">
        <v>2632</v>
      </c>
      <c r="C1199" s="2" t="s">
        <v>2633</v>
      </c>
      <c r="D1199" s="34" t="s">
        <v>2634</v>
      </c>
      <c r="F1199" s="8" t="s">
        <v>218</v>
      </c>
      <c r="G1199" s="1">
        <v>1</v>
      </c>
      <c r="H1199" s="1"/>
      <c r="I1199" s="1">
        <f>1809-18</f>
        <v>1791</v>
      </c>
      <c r="J1199" t="s">
        <v>10</v>
      </c>
      <c r="K1199" t="s">
        <v>12</v>
      </c>
      <c r="Q1199">
        <v>5</v>
      </c>
      <c r="R1199">
        <v>2</v>
      </c>
      <c r="T1199" s="5">
        <f t="shared" si="52"/>
        <v>163.26</v>
      </c>
      <c r="U1199" t="s">
        <v>618</v>
      </c>
      <c r="AQ1199" s="6">
        <v>1</v>
      </c>
      <c r="AR1199" s="6">
        <v>1</v>
      </c>
      <c r="AS1199" s="6">
        <v>1</v>
      </c>
      <c r="BC1199">
        <v>1811</v>
      </c>
      <c r="BD1199" t="s">
        <v>81</v>
      </c>
      <c r="BE1199" t="s">
        <v>2635</v>
      </c>
      <c r="BF1199" s="1" t="s">
        <v>73</v>
      </c>
      <c r="BG1199" s="1">
        <v>2</v>
      </c>
      <c r="BH1199">
        <v>1</v>
      </c>
      <c r="BK1199" s="1">
        <v>1</v>
      </c>
      <c r="BQ1199">
        <v>1</v>
      </c>
      <c r="CS1199" t="s">
        <v>2636</v>
      </c>
    </row>
    <row r="1200" spans="1:98">
      <c r="B1200" t="s">
        <v>615</v>
      </c>
      <c r="C1200" s="13" t="s">
        <v>616</v>
      </c>
      <c r="D1200" s="15" t="s">
        <v>617</v>
      </c>
      <c r="E1200" s="8" t="s">
        <v>599</v>
      </c>
      <c r="F1200" s="8" t="s">
        <v>357</v>
      </c>
      <c r="G1200" s="1">
        <v>1</v>
      </c>
      <c r="H1200" s="1"/>
      <c r="I1200" s="1">
        <f>1809-17</f>
        <v>1792</v>
      </c>
      <c r="J1200" t="s">
        <v>10</v>
      </c>
      <c r="K1200" t="s">
        <v>12</v>
      </c>
      <c r="Q1200">
        <v>5</v>
      </c>
      <c r="R1200">
        <v>2</v>
      </c>
      <c r="T1200" s="5">
        <f t="shared" si="52"/>
        <v>163.26</v>
      </c>
      <c r="U1200" t="s">
        <v>618</v>
      </c>
      <c r="AQ1200" s="7">
        <v>1</v>
      </c>
      <c r="BC1200" t="s">
        <v>619</v>
      </c>
      <c r="BD1200" s="7" t="s">
        <v>163</v>
      </c>
      <c r="BE1200" t="s">
        <v>602</v>
      </c>
      <c r="BF1200" s="1" t="s">
        <v>29</v>
      </c>
      <c r="BG1200" s="1">
        <v>1</v>
      </c>
      <c r="BH1200">
        <v>1</v>
      </c>
      <c r="BK1200" s="1"/>
      <c r="BO1200">
        <v>1</v>
      </c>
      <c r="BR1200">
        <v>1</v>
      </c>
      <c r="CS1200" s="7" t="s">
        <v>620</v>
      </c>
    </row>
    <row r="1201" spans="1:97">
      <c r="B1201" t="s">
        <v>3438</v>
      </c>
      <c r="C1201" s="2" t="s">
        <v>1128</v>
      </c>
      <c r="D1201" s="2" t="s">
        <v>1128</v>
      </c>
      <c r="E1201" s="8" t="s">
        <v>740</v>
      </c>
      <c r="F1201" s="8" t="s">
        <v>65</v>
      </c>
      <c r="G1201" s="1">
        <v>1</v>
      </c>
      <c r="H1201" s="1"/>
      <c r="I1201" s="1">
        <f>1809-18</f>
        <v>1791</v>
      </c>
      <c r="J1201" t="s">
        <v>10</v>
      </c>
      <c r="K1201" t="s">
        <v>12</v>
      </c>
      <c r="Q1201">
        <v>5</v>
      </c>
      <c r="R1201">
        <v>0</v>
      </c>
      <c r="S1201">
        <v>2</v>
      </c>
      <c r="T1201" s="5">
        <f>((Q1201*316)+(R1201*26.3)+(S1201*2.2))/10</f>
        <v>158.44</v>
      </c>
      <c r="U1201" t="s">
        <v>618</v>
      </c>
      <c r="AQ1201" s="6">
        <v>1</v>
      </c>
      <c r="BC1201">
        <v>1809</v>
      </c>
      <c r="BD1201" t="s">
        <v>81</v>
      </c>
      <c r="BE1201" t="s">
        <v>3430</v>
      </c>
      <c r="BF1201" s="1" t="s">
        <v>73</v>
      </c>
      <c r="BG1201" s="1">
        <v>1</v>
      </c>
      <c r="BH1201">
        <v>1</v>
      </c>
      <c r="BK1201" s="1">
        <v>1</v>
      </c>
      <c r="BX1201">
        <v>1</v>
      </c>
      <c r="CS1201" t="s">
        <v>3439</v>
      </c>
    </row>
    <row r="1202" spans="1:97">
      <c r="B1202" t="s">
        <v>663</v>
      </c>
      <c r="C1202" s="15" t="s">
        <v>664</v>
      </c>
      <c r="D1202" s="15"/>
      <c r="F1202" s="8" t="s">
        <v>115</v>
      </c>
      <c r="G1202" s="1">
        <v>1</v>
      </c>
      <c r="H1202" s="1"/>
      <c r="I1202" s="1">
        <f>1809-25</f>
        <v>1784</v>
      </c>
      <c r="J1202" t="s">
        <v>69</v>
      </c>
      <c r="K1202" t="s">
        <v>12</v>
      </c>
      <c r="Q1202">
        <v>5</v>
      </c>
      <c r="R1202">
        <v>3</v>
      </c>
      <c r="S1202">
        <v>2</v>
      </c>
      <c r="T1202" s="5">
        <f>((Q1202*316)+(R1202*26.3)+(S1202*2.2))/10</f>
        <v>166.33</v>
      </c>
      <c r="U1202" t="s">
        <v>665</v>
      </c>
      <c r="AQ1202" s="7">
        <v>1</v>
      </c>
      <c r="BC1202" t="s">
        <v>666</v>
      </c>
      <c r="BD1202" s="7" t="s">
        <v>280</v>
      </c>
      <c r="BE1202" t="s">
        <v>667</v>
      </c>
      <c r="BF1202" s="1" t="s">
        <v>29</v>
      </c>
      <c r="BG1202" s="1">
        <v>1</v>
      </c>
      <c r="BH1202">
        <v>2</v>
      </c>
      <c r="BK1202" s="1">
        <v>1</v>
      </c>
      <c r="BQ1202">
        <v>1</v>
      </c>
      <c r="BR1202">
        <v>1</v>
      </c>
      <c r="CL1202">
        <v>1</v>
      </c>
      <c r="CN1202">
        <v>1</v>
      </c>
      <c r="CS1202" s="7" t="s">
        <v>328</v>
      </c>
    </row>
    <row r="1203" spans="1:97">
      <c r="B1203" t="s">
        <v>694</v>
      </c>
      <c r="C1203" s="18" t="s">
        <v>695</v>
      </c>
      <c r="D1203" s="18" t="s">
        <v>695</v>
      </c>
      <c r="E1203" s="8" t="s">
        <v>696</v>
      </c>
      <c r="F1203" s="8" t="s">
        <v>115</v>
      </c>
      <c r="G1203" s="1">
        <v>1</v>
      </c>
      <c r="H1203" s="1"/>
      <c r="I1203" s="1">
        <f>1809-24</f>
        <v>1785</v>
      </c>
      <c r="J1203" t="s">
        <v>69</v>
      </c>
      <c r="K1203" t="s">
        <v>12</v>
      </c>
      <c r="Q1203">
        <v>5</v>
      </c>
      <c r="R1203">
        <v>1</v>
      </c>
      <c r="S1203">
        <v>1</v>
      </c>
      <c r="T1203" s="5">
        <f>((Q1203*316)+(R1203*26.3)+(S1203*2.2))/10</f>
        <v>160.85</v>
      </c>
      <c r="U1203" t="s">
        <v>665</v>
      </c>
      <c r="AQ1203" s="7">
        <v>1</v>
      </c>
      <c r="BC1203" t="s">
        <v>697</v>
      </c>
      <c r="BD1203" s="7" t="s">
        <v>26</v>
      </c>
      <c r="BE1203" t="s">
        <v>672</v>
      </c>
      <c r="BF1203" s="1" t="s">
        <v>29</v>
      </c>
      <c r="BG1203" s="1">
        <v>1</v>
      </c>
      <c r="BH1203">
        <v>1</v>
      </c>
      <c r="BK1203" s="1" t="s">
        <v>72</v>
      </c>
      <c r="BQ1203">
        <v>1</v>
      </c>
      <c r="BR1203">
        <v>1</v>
      </c>
      <c r="CL1203">
        <v>1</v>
      </c>
      <c r="CS1203" s="7" t="s">
        <v>297</v>
      </c>
    </row>
    <row r="1204" spans="1:97">
      <c r="B1204" t="s">
        <v>244</v>
      </c>
      <c r="C1204" s="15" t="s">
        <v>245</v>
      </c>
      <c r="E1204" s="8" t="s">
        <v>246</v>
      </c>
      <c r="F1204" s="8" t="s">
        <v>247</v>
      </c>
      <c r="G1204" s="1">
        <v>1</v>
      </c>
      <c r="H1204" s="1"/>
      <c r="I1204" s="1">
        <f>1817-35</f>
        <v>1782</v>
      </c>
      <c r="J1204" t="s">
        <v>10</v>
      </c>
      <c r="K1204" t="s">
        <v>12</v>
      </c>
      <c r="Q1204">
        <v>5</v>
      </c>
      <c r="R1204">
        <v>4</v>
      </c>
      <c r="T1204" s="5">
        <f>((Q1204*316)+(R1204*26.3)+(S1204*2.2))/10</f>
        <v>168.52</v>
      </c>
      <c r="U1204" t="s">
        <v>248</v>
      </c>
      <c r="AQ1204" s="6">
        <v>1</v>
      </c>
      <c r="AR1204" s="6">
        <v>1</v>
      </c>
      <c r="AS1204" s="6">
        <v>1</v>
      </c>
      <c r="AT1204" s="6">
        <v>1</v>
      </c>
      <c r="AU1204" s="6">
        <v>1</v>
      </c>
      <c r="AV1204" s="6">
        <v>1</v>
      </c>
      <c r="AW1204" s="6">
        <v>1</v>
      </c>
      <c r="AX1204" s="6">
        <v>1</v>
      </c>
      <c r="AY1204" s="6">
        <v>1</v>
      </c>
      <c r="BC1204">
        <v>1817</v>
      </c>
      <c r="BD1204" t="s">
        <v>81</v>
      </c>
      <c r="BE1204" t="s">
        <v>249</v>
      </c>
      <c r="BF1204" s="1" t="s">
        <v>73</v>
      </c>
      <c r="BG1204" s="1">
        <v>1</v>
      </c>
      <c r="BH1204">
        <v>2</v>
      </c>
      <c r="BK1204" s="1">
        <v>1</v>
      </c>
      <c r="BQ1204">
        <v>1</v>
      </c>
      <c r="BW1204">
        <v>1</v>
      </c>
      <c r="CF1204">
        <v>1</v>
      </c>
      <c r="CL1204">
        <v>1</v>
      </c>
      <c r="CQ1204">
        <v>1</v>
      </c>
      <c r="CS1204" t="s">
        <v>250</v>
      </c>
    </row>
    <row r="1205" spans="1:97">
      <c r="B1205" t="s">
        <v>534</v>
      </c>
      <c r="C1205" s="15" t="s">
        <v>522</v>
      </c>
      <c r="E1205" s="8" t="s">
        <v>516</v>
      </c>
      <c r="F1205" s="8" t="s">
        <v>218</v>
      </c>
      <c r="G1205" s="1">
        <v>1</v>
      </c>
      <c r="H1205" s="1"/>
      <c r="I1205" s="1">
        <f>1809-26</f>
        <v>1783</v>
      </c>
      <c r="J1205" t="s">
        <v>10</v>
      </c>
      <c r="K1205" t="s">
        <v>12</v>
      </c>
      <c r="T1205" s="5"/>
      <c r="U1205" t="s">
        <v>519</v>
      </c>
      <c r="AP1205" s="54"/>
      <c r="AQ1205" s="6">
        <v>1</v>
      </c>
      <c r="AR1205" s="7">
        <v>1</v>
      </c>
      <c r="BC1205" t="s">
        <v>432</v>
      </c>
      <c r="BD1205" s="7" t="s">
        <v>103</v>
      </c>
      <c r="BE1205" t="s">
        <v>433</v>
      </c>
      <c r="BF1205" s="1" t="s">
        <v>29</v>
      </c>
      <c r="BG1205" s="1">
        <v>1</v>
      </c>
      <c r="BH1205">
        <v>1</v>
      </c>
      <c r="BK1205" s="1"/>
      <c r="BM1205">
        <v>1</v>
      </c>
      <c r="BO1205">
        <v>1</v>
      </c>
      <c r="BR1205">
        <v>1</v>
      </c>
      <c r="CF1205">
        <v>1</v>
      </c>
      <c r="CS1205" s="7" t="s">
        <v>520</v>
      </c>
    </row>
    <row r="1206" spans="1:97">
      <c r="B1206" t="s">
        <v>515</v>
      </c>
      <c r="C1206" s="15" t="s">
        <v>517</v>
      </c>
      <c r="D1206" s="15" t="s">
        <v>518</v>
      </c>
      <c r="E1206" s="8" t="s">
        <v>516</v>
      </c>
      <c r="F1206" s="8" t="s">
        <v>218</v>
      </c>
      <c r="G1206" s="1">
        <v>1</v>
      </c>
      <c r="H1206" s="1"/>
      <c r="I1206" s="1">
        <f>1809-19</f>
        <v>1790</v>
      </c>
      <c r="J1206" t="s">
        <v>10</v>
      </c>
      <c r="K1206" t="s">
        <v>12</v>
      </c>
      <c r="T1206" s="5"/>
      <c r="U1206" t="s">
        <v>519</v>
      </c>
      <c r="AP1206" s="54"/>
      <c r="AQ1206" s="6">
        <v>1</v>
      </c>
      <c r="AR1206" s="7">
        <v>1</v>
      </c>
      <c r="BC1206" t="s">
        <v>432</v>
      </c>
      <c r="BD1206" s="7" t="s">
        <v>103</v>
      </c>
      <c r="BE1206" t="s">
        <v>433</v>
      </c>
      <c r="BF1206" s="1" t="s">
        <v>29</v>
      </c>
      <c r="BG1206" s="1">
        <v>1</v>
      </c>
      <c r="BH1206">
        <v>1</v>
      </c>
      <c r="BK1206" s="1"/>
      <c r="BM1206">
        <v>1</v>
      </c>
      <c r="BO1206">
        <v>1</v>
      </c>
      <c r="BR1206">
        <v>1</v>
      </c>
      <c r="CF1206">
        <v>1</v>
      </c>
      <c r="CS1206" s="7" t="s">
        <v>520</v>
      </c>
    </row>
    <row r="1207" spans="1:97">
      <c r="B1207" t="s">
        <v>3440</v>
      </c>
      <c r="C1207" s="2" t="s">
        <v>3441</v>
      </c>
      <c r="D1207" s="2" t="s">
        <v>3441</v>
      </c>
      <c r="E1207" s="8" t="s">
        <v>740</v>
      </c>
      <c r="F1207" s="8" t="s">
        <v>65</v>
      </c>
      <c r="G1207" s="1">
        <v>1</v>
      </c>
      <c r="H1207" s="1"/>
      <c r="I1207" s="1">
        <f>1809-22</f>
        <v>1787</v>
      </c>
      <c r="J1207" t="s">
        <v>69</v>
      </c>
      <c r="K1207" t="s">
        <v>12</v>
      </c>
      <c r="Q1207">
        <v>5</v>
      </c>
      <c r="R1207">
        <v>1</v>
      </c>
      <c r="T1207" s="5">
        <f t="shared" ref="T1207:T1208" si="55">((Q1207*316)+(R1207*26.3)+(S1207*2.2))/10</f>
        <v>160.63</v>
      </c>
      <c r="U1207" t="s">
        <v>519</v>
      </c>
      <c r="AQ1207" s="6">
        <v>1</v>
      </c>
      <c r="BC1207">
        <v>1809</v>
      </c>
      <c r="BD1207" t="s">
        <v>81</v>
      </c>
      <c r="BE1207" t="s">
        <v>3430</v>
      </c>
      <c r="BF1207" s="1" t="s">
        <v>73</v>
      </c>
      <c r="BG1207" s="1">
        <v>1</v>
      </c>
      <c r="BH1207">
        <v>1</v>
      </c>
      <c r="BK1207" s="1">
        <v>1</v>
      </c>
      <c r="BX1207">
        <v>1</v>
      </c>
      <c r="CS1207" t="s">
        <v>3439</v>
      </c>
    </row>
    <row r="1208" spans="1:97">
      <c r="B1208" t="s">
        <v>3442</v>
      </c>
      <c r="C1208" s="2" t="s">
        <v>3441</v>
      </c>
      <c r="D1208" s="2" t="s">
        <v>3441</v>
      </c>
      <c r="E1208" s="8" t="s">
        <v>740</v>
      </c>
      <c r="F1208" s="8" t="s">
        <v>65</v>
      </c>
      <c r="G1208" s="1">
        <v>1</v>
      </c>
      <c r="H1208" s="1"/>
      <c r="I1208" s="1">
        <f>1809-30</f>
        <v>1779</v>
      </c>
      <c r="J1208" t="s">
        <v>69</v>
      </c>
      <c r="K1208" t="s">
        <v>12</v>
      </c>
      <c r="Q1208">
        <v>5</v>
      </c>
      <c r="T1208" s="5">
        <f t="shared" si="55"/>
        <v>158</v>
      </c>
      <c r="U1208" t="s">
        <v>519</v>
      </c>
      <c r="AQ1208" s="6">
        <v>1</v>
      </c>
      <c r="BC1208">
        <v>1809</v>
      </c>
      <c r="BD1208" t="s">
        <v>81</v>
      </c>
      <c r="BE1208" t="s">
        <v>3430</v>
      </c>
      <c r="BF1208" s="1" t="s">
        <v>73</v>
      </c>
      <c r="BG1208" s="1">
        <v>1</v>
      </c>
      <c r="BH1208">
        <v>1</v>
      </c>
      <c r="BK1208" s="1">
        <v>1</v>
      </c>
      <c r="BX1208">
        <v>1</v>
      </c>
      <c r="CS1208" t="s">
        <v>3439</v>
      </c>
    </row>
    <row r="1209" spans="1:97">
      <c r="B1209" t="s">
        <v>3525</v>
      </c>
      <c r="C1209" s="15" t="s">
        <v>522</v>
      </c>
      <c r="E1209" s="8" t="s">
        <v>516</v>
      </c>
      <c r="F1209" s="8" t="s">
        <v>218</v>
      </c>
      <c r="G1209" s="1">
        <v>1</v>
      </c>
      <c r="H1209" s="1"/>
      <c r="I1209" s="1">
        <f>1809-22</f>
        <v>1787</v>
      </c>
      <c r="J1209" t="s">
        <v>10</v>
      </c>
      <c r="K1209" t="s">
        <v>523</v>
      </c>
      <c r="T1209" s="5"/>
      <c r="U1209" t="s">
        <v>519</v>
      </c>
      <c r="AP1209" s="54"/>
      <c r="AQ1209" s="6">
        <v>1</v>
      </c>
      <c r="AR1209" s="7">
        <v>1</v>
      </c>
      <c r="BC1209" t="s">
        <v>524</v>
      </c>
      <c r="BD1209" s="7" t="s">
        <v>103</v>
      </c>
      <c r="BE1209" t="s">
        <v>433</v>
      </c>
      <c r="BF1209" s="1" t="s">
        <v>29</v>
      </c>
      <c r="BG1209" s="1">
        <v>1</v>
      </c>
      <c r="BH1209">
        <v>1</v>
      </c>
      <c r="BK1209" s="1"/>
      <c r="BM1209">
        <v>1</v>
      </c>
      <c r="BO1209">
        <v>1</v>
      </c>
      <c r="BR1209">
        <v>1</v>
      </c>
      <c r="CF1209">
        <v>1</v>
      </c>
      <c r="CS1209" s="7" t="s">
        <v>520</v>
      </c>
    </row>
    <row r="1210" spans="1:97">
      <c r="B1210" t="s">
        <v>3443</v>
      </c>
      <c r="C1210" s="2" t="s">
        <v>3444</v>
      </c>
      <c r="D1210" s="2" t="s">
        <v>3444</v>
      </c>
      <c r="E1210" s="8" t="s">
        <v>740</v>
      </c>
      <c r="F1210" s="8" t="s">
        <v>65</v>
      </c>
      <c r="G1210" s="1">
        <v>1</v>
      </c>
      <c r="H1210" s="1"/>
      <c r="I1210" s="1">
        <f>1809-19</f>
        <v>1790</v>
      </c>
      <c r="J1210" t="s">
        <v>10</v>
      </c>
      <c r="K1210" t="s">
        <v>140</v>
      </c>
      <c r="Q1210">
        <v>5</v>
      </c>
      <c r="T1210" s="5">
        <f t="shared" ref="T1210:T1229" si="56">((Q1210*316)+(R1210*26.3)+(S1210*2.2))/10</f>
        <v>158</v>
      </c>
      <c r="U1210" t="s">
        <v>519</v>
      </c>
      <c r="AQ1210" s="6">
        <v>1</v>
      </c>
      <c r="BC1210">
        <v>1809</v>
      </c>
      <c r="BD1210" t="s">
        <v>81</v>
      </c>
      <c r="BE1210" t="s">
        <v>3430</v>
      </c>
      <c r="BF1210" s="1" t="s">
        <v>73</v>
      </c>
      <c r="BG1210" s="1">
        <v>1</v>
      </c>
      <c r="BH1210">
        <v>1</v>
      </c>
      <c r="BK1210" s="1">
        <v>1</v>
      </c>
      <c r="BX1210">
        <v>1</v>
      </c>
      <c r="CS1210" t="s">
        <v>3439</v>
      </c>
    </row>
    <row r="1211" spans="1:97">
      <c r="B1211" t="s">
        <v>3445</v>
      </c>
      <c r="C1211" s="2" t="s">
        <v>3446</v>
      </c>
      <c r="D1211" s="2" t="s">
        <v>3446</v>
      </c>
      <c r="E1211" s="8" t="s">
        <v>740</v>
      </c>
      <c r="F1211" s="8" t="s">
        <v>65</v>
      </c>
      <c r="G1211" s="1">
        <v>1</v>
      </c>
      <c r="H1211" s="1"/>
      <c r="I1211" s="1">
        <f>1809-30</f>
        <v>1779</v>
      </c>
      <c r="J1211" t="s">
        <v>69</v>
      </c>
      <c r="K1211" t="s">
        <v>12</v>
      </c>
      <c r="Q1211">
        <v>5</v>
      </c>
      <c r="R1211">
        <v>3</v>
      </c>
      <c r="S1211">
        <v>3</v>
      </c>
      <c r="T1211" s="5">
        <f t="shared" si="56"/>
        <v>166.55</v>
      </c>
      <c r="U1211" t="s">
        <v>596</v>
      </c>
      <c r="AQ1211" s="6">
        <v>1</v>
      </c>
      <c r="BC1211">
        <v>1809</v>
      </c>
      <c r="BD1211" t="s">
        <v>81</v>
      </c>
      <c r="BE1211" t="s">
        <v>3430</v>
      </c>
      <c r="BF1211" s="1" t="s">
        <v>73</v>
      </c>
      <c r="BG1211" s="1">
        <v>1</v>
      </c>
      <c r="BH1211">
        <v>1</v>
      </c>
      <c r="BK1211" s="1">
        <v>1</v>
      </c>
      <c r="BX1211">
        <v>1</v>
      </c>
      <c r="CS1211" t="s">
        <v>3439</v>
      </c>
    </row>
    <row r="1212" spans="1:97">
      <c r="B1212" t="s">
        <v>563</v>
      </c>
      <c r="C1212" s="15" t="s">
        <v>564</v>
      </c>
      <c r="D1212" s="15" t="s">
        <v>564</v>
      </c>
      <c r="E1212" s="8" t="s">
        <v>565</v>
      </c>
      <c r="F1212" s="8" t="s">
        <v>357</v>
      </c>
      <c r="G1212" s="1">
        <v>1</v>
      </c>
      <c r="H1212" s="1"/>
      <c r="I1212" s="1">
        <f>1809-24</f>
        <v>1785</v>
      </c>
      <c r="J1212" t="s">
        <v>10</v>
      </c>
      <c r="K1212" t="s">
        <v>12</v>
      </c>
      <c r="Q1212">
        <v>5</v>
      </c>
      <c r="R1212">
        <v>1</v>
      </c>
      <c r="S1212">
        <v>1</v>
      </c>
      <c r="T1212" s="5">
        <f t="shared" si="56"/>
        <v>160.85</v>
      </c>
      <c r="U1212" t="s">
        <v>596</v>
      </c>
      <c r="AQ1212" s="6">
        <v>1</v>
      </c>
      <c r="AR1212" s="7">
        <v>1</v>
      </c>
      <c r="BC1212" t="s">
        <v>566</v>
      </c>
      <c r="BD1212" s="7" t="s">
        <v>103</v>
      </c>
      <c r="BE1212" t="s">
        <v>433</v>
      </c>
      <c r="BF1212" s="1" t="s">
        <v>29</v>
      </c>
      <c r="BG1212" s="1">
        <v>1</v>
      </c>
      <c r="BH1212">
        <v>1</v>
      </c>
      <c r="BK1212" s="1"/>
      <c r="BO1212">
        <v>1</v>
      </c>
      <c r="BR1212">
        <v>1</v>
      </c>
      <c r="CS1212" s="7" t="s">
        <v>520</v>
      </c>
    </row>
    <row r="1213" spans="1:97">
      <c r="B1213" t="s">
        <v>3448</v>
      </c>
      <c r="C1213" s="18" t="s">
        <v>3447</v>
      </c>
      <c r="D1213" s="2" t="s">
        <v>3449</v>
      </c>
      <c r="E1213" s="8" t="s">
        <v>740</v>
      </c>
      <c r="F1213" s="8" t="s">
        <v>65</v>
      </c>
      <c r="G1213" s="1">
        <v>1</v>
      </c>
      <c r="H1213" s="1"/>
      <c r="I1213" s="1">
        <f>1809-26</f>
        <v>1783</v>
      </c>
      <c r="J1213" t="s">
        <v>69</v>
      </c>
      <c r="K1213" t="s">
        <v>12</v>
      </c>
      <c r="Q1213">
        <v>5</v>
      </c>
      <c r="R1213">
        <v>4</v>
      </c>
      <c r="S1213">
        <v>1</v>
      </c>
      <c r="T1213" s="5">
        <f t="shared" si="56"/>
        <v>168.74</v>
      </c>
      <c r="U1213" t="s">
        <v>596</v>
      </c>
      <c r="AQ1213" s="6">
        <v>1</v>
      </c>
      <c r="BC1213">
        <v>1809</v>
      </c>
      <c r="BD1213" t="s">
        <v>81</v>
      </c>
      <c r="BE1213" t="s">
        <v>3430</v>
      </c>
      <c r="BF1213" s="1" t="s">
        <v>73</v>
      </c>
      <c r="BG1213" s="1">
        <v>1</v>
      </c>
      <c r="BH1213">
        <v>1</v>
      </c>
      <c r="BK1213" s="1">
        <v>1</v>
      </c>
      <c r="BX1213">
        <v>1</v>
      </c>
      <c r="CS1213" t="s">
        <v>3439</v>
      </c>
    </row>
    <row r="1214" spans="1:97">
      <c r="B1214" t="s">
        <v>3450</v>
      </c>
      <c r="C1214" s="2" t="s">
        <v>1273</v>
      </c>
      <c r="D1214" s="52" t="s">
        <v>192</v>
      </c>
      <c r="E1214" s="8" t="s">
        <v>130</v>
      </c>
      <c r="F1214" s="8" t="s">
        <v>65</v>
      </c>
      <c r="G1214" s="1">
        <v>1</v>
      </c>
      <c r="H1214" s="1"/>
      <c r="I1214" s="1">
        <f>1809-19</f>
        <v>1790</v>
      </c>
      <c r="J1214" t="s">
        <v>69</v>
      </c>
      <c r="K1214" t="s">
        <v>900</v>
      </c>
      <c r="Q1214">
        <v>5</v>
      </c>
      <c r="R1214">
        <v>0</v>
      </c>
      <c r="S1214">
        <v>2</v>
      </c>
      <c r="T1214" s="5">
        <f t="shared" si="56"/>
        <v>158.44</v>
      </c>
      <c r="U1214" t="s">
        <v>596</v>
      </c>
      <c r="AQ1214" s="6">
        <v>1</v>
      </c>
      <c r="BC1214">
        <v>1809</v>
      </c>
      <c r="BD1214" t="s">
        <v>81</v>
      </c>
      <c r="BE1214" t="s">
        <v>3430</v>
      </c>
      <c r="BF1214" s="1" t="s">
        <v>73</v>
      </c>
      <c r="BG1214" s="1">
        <v>1</v>
      </c>
      <c r="BH1214">
        <v>1</v>
      </c>
      <c r="BK1214" s="1">
        <v>1</v>
      </c>
      <c r="BX1214">
        <v>1</v>
      </c>
      <c r="CS1214" t="s">
        <v>3439</v>
      </c>
    </row>
    <row r="1215" spans="1:97">
      <c r="B1215" t="s">
        <v>3451</v>
      </c>
      <c r="C1215" s="18" t="s">
        <v>3447</v>
      </c>
      <c r="D1215" s="2" t="s">
        <v>3449</v>
      </c>
      <c r="E1215" s="8" t="s">
        <v>740</v>
      </c>
      <c r="F1215" s="8" t="s">
        <v>65</v>
      </c>
      <c r="G1215" s="1">
        <v>1</v>
      </c>
      <c r="H1215" s="1"/>
      <c r="I1215" s="1">
        <f>1809-24</f>
        <v>1785</v>
      </c>
      <c r="J1215" t="s">
        <v>10</v>
      </c>
      <c r="K1215" t="s">
        <v>197</v>
      </c>
      <c r="Q1215">
        <v>5</v>
      </c>
      <c r="R1215">
        <v>3</v>
      </c>
      <c r="T1215" s="5">
        <f t="shared" si="56"/>
        <v>165.89000000000001</v>
      </c>
      <c r="U1215" t="s">
        <v>596</v>
      </c>
      <c r="AQ1215" s="6">
        <v>1</v>
      </c>
      <c r="BC1215">
        <v>1809</v>
      </c>
      <c r="BD1215" t="s">
        <v>81</v>
      </c>
      <c r="BE1215" t="s">
        <v>3430</v>
      </c>
      <c r="BF1215" s="1" t="s">
        <v>73</v>
      </c>
      <c r="BG1215" s="1">
        <v>1</v>
      </c>
      <c r="BH1215">
        <v>1</v>
      </c>
      <c r="BK1215" s="1">
        <v>1</v>
      </c>
      <c r="BX1215">
        <v>1</v>
      </c>
      <c r="CS1215" t="s">
        <v>3439</v>
      </c>
    </row>
    <row r="1216" spans="1:97">
      <c r="A1216" t="s">
        <v>72</v>
      </c>
      <c r="B1216" t="s">
        <v>4177</v>
      </c>
      <c r="C1216" s="18"/>
      <c r="D1216" s="15"/>
      <c r="F1216" t="s">
        <v>7</v>
      </c>
      <c r="G1216" s="1"/>
      <c r="H1216" s="1"/>
      <c r="I1216" s="1"/>
      <c r="T1216" s="5"/>
      <c r="U1216" t="s">
        <v>2722</v>
      </c>
      <c r="AQ1216" s="6">
        <v>1</v>
      </c>
      <c r="AR1216" s="7">
        <v>1</v>
      </c>
      <c r="BC1216" t="s">
        <v>1433</v>
      </c>
      <c r="BD1216" s="7" t="s">
        <v>103</v>
      </c>
      <c r="BE1216" t="s">
        <v>1065</v>
      </c>
      <c r="BF1216" s="1" t="s">
        <v>29</v>
      </c>
      <c r="BG1216" s="1">
        <v>1</v>
      </c>
      <c r="BH1216">
        <v>1</v>
      </c>
      <c r="BK1216" s="1">
        <v>1</v>
      </c>
      <c r="BQ1216">
        <v>1</v>
      </c>
      <c r="CM1216">
        <v>1</v>
      </c>
      <c r="CS1216" s="7" t="s">
        <v>1949</v>
      </c>
    </row>
    <row r="1217" spans="1:97">
      <c r="A1217" t="s">
        <v>72</v>
      </c>
      <c r="B1217" t="s">
        <v>4226</v>
      </c>
      <c r="C1217" s="18"/>
      <c r="D1217" s="15"/>
      <c r="F1217" s="8" t="s">
        <v>7</v>
      </c>
      <c r="G1217" s="1"/>
      <c r="H1217" s="1"/>
      <c r="I1217" s="1"/>
      <c r="T1217" s="5"/>
      <c r="U1217" t="s">
        <v>2722</v>
      </c>
      <c r="AQ1217" s="7">
        <v>1</v>
      </c>
      <c r="BC1217" t="s">
        <v>4224</v>
      </c>
      <c r="BD1217" s="7" t="s">
        <v>280</v>
      </c>
      <c r="BE1217" t="s">
        <v>1065</v>
      </c>
      <c r="BF1217" s="1" t="s">
        <v>29</v>
      </c>
      <c r="BG1217" s="1">
        <v>1</v>
      </c>
      <c r="BH1217">
        <v>1</v>
      </c>
      <c r="BK1217" s="1">
        <v>1</v>
      </c>
      <c r="BQ1217">
        <v>1</v>
      </c>
      <c r="CN1217">
        <v>1</v>
      </c>
      <c r="CS1217" s="7" t="s">
        <v>4225</v>
      </c>
    </row>
    <row r="1218" spans="1:97">
      <c r="B1218" t="s">
        <v>3453</v>
      </c>
      <c r="C1218" s="2" t="s">
        <v>3452</v>
      </c>
      <c r="D1218" s="2" t="s">
        <v>3452</v>
      </c>
      <c r="E1218" s="8" t="s">
        <v>1630</v>
      </c>
      <c r="F1218" s="8" t="s">
        <v>65</v>
      </c>
      <c r="G1218" s="1">
        <v>1</v>
      </c>
      <c r="H1218" s="1"/>
      <c r="I1218" s="1">
        <f>1809-20</f>
        <v>1789</v>
      </c>
      <c r="J1218" t="s">
        <v>10</v>
      </c>
      <c r="K1218" t="s">
        <v>12</v>
      </c>
      <c r="Q1218">
        <v>5</v>
      </c>
      <c r="R1218">
        <v>3</v>
      </c>
      <c r="S1218">
        <v>2</v>
      </c>
      <c r="T1218" s="5">
        <f t="shared" si="56"/>
        <v>166.33</v>
      </c>
      <c r="U1218" t="s">
        <v>2722</v>
      </c>
      <c r="AQ1218" s="6">
        <v>1</v>
      </c>
      <c r="BC1218">
        <v>1809</v>
      </c>
      <c r="BD1218" t="s">
        <v>81</v>
      </c>
      <c r="BE1218" t="s">
        <v>3430</v>
      </c>
      <c r="BF1218" s="1" t="s">
        <v>73</v>
      </c>
      <c r="BG1218" s="1">
        <v>1</v>
      </c>
      <c r="BH1218">
        <v>1</v>
      </c>
      <c r="BK1218" s="1">
        <v>1</v>
      </c>
      <c r="BX1218">
        <v>1</v>
      </c>
      <c r="CS1218" t="s">
        <v>3439</v>
      </c>
    </row>
    <row r="1219" spans="1:97">
      <c r="A1219" t="s">
        <v>72</v>
      </c>
      <c r="B1219" t="s">
        <v>4082</v>
      </c>
      <c r="C1219" s="15"/>
      <c r="D1219" s="15"/>
      <c r="F1219" t="s">
        <v>7</v>
      </c>
      <c r="G1219" s="1"/>
      <c r="H1219" s="1"/>
      <c r="I1219" s="1"/>
      <c r="T1219" s="5"/>
      <c r="U1219" t="s">
        <v>2722</v>
      </c>
      <c r="AQ1219" s="6">
        <v>1</v>
      </c>
      <c r="AR1219" s="7">
        <v>1</v>
      </c>
      <c r="BC1219" t="s">
        <v>574</v>
      </c>
      <c r="BD1219" s="7" t="s">
        <v>103</v>
      </c>
      <c r="BE1219" t="s">
        <v>1065</v>
      </c>
      <c r="BF1219" s="1" t="s">
        <v>29</v>
      </c>
      <c r="BG1219" s="1">
        <v>3</v>
      </c>
      <c r="BH1219">
        <v>1</v>
      </c>
      <c r="BK1219" s="1">
        <v>1</v>
      </c>
      <c r="BX1219">
        <v>1</v>
      </c>
      <c r="CS1219" s="7" t="s">
        <v>1949</v>
      </c>
    </row>
    <row r="1220" spans="1:97">
      <c r="B1220" t="s">
        <v>4102</v>
      </c>
      <c r="C1220" s="2" t="s">
        <v>2721</v>
      </c>
      <c r="D1220" s="15"/>
      <c r="E1220" s="8" t="s">
        <v>2036</v>
      </c>
      <c r="F1220" s="8" t="s">
        <v>247</v>
      </c>
      <c r="G1220" s="1">
        <v>1</v>
      </c>
      <c r="H1220" s="1"/>
      <c r="I1220" s="1">
        <f>1809-25</f>
        <v>1784</v>
      </c>
      <c r="J1220" t="s">
        <v>10</v>
      </c>
      <c r="K1220" t="s">
        <v>1146</v>
      </c>
      <c r="Q1220">
        <v>5</v>
      </c>
      <c r="R1220">
        <v>5</v>
      </c>
      <c r="S1220">
        <v>2</v>
      </c>
      <c r="T1220" s="5">
        <f t="shared" si="56"/>
        <v>171.59</v>
      </c>
      <c r="U1220" t="s">
        <v>2722</v>
      </c>
      <c r="AQ1220" s="7">
        <v>1</v>
      </c>
      <c r="BC1220" t="s">
        <v>2824</v>
      </c>
      <c r="BD1220" s="7" t="s">
        <v>959</v>
      </c>
      <c r="BE1220" s="7" t="s">
        <v>2390</v>
      </c>
      <c r="BF1220" s="1" t="s">
        <v>29</v>
      </c>
      <c r="BG1220" s="1">
        <v>2</v>
      </c>
      <c r="BH1220">
        <v>1</v>
      </c>
      <c r="BI1220">
        <v>1</v>
      </c>
      <c r="BJ1220">
        <v>1</v>
      </c>
      <c r="BK1220" s="1">
        <v>1</v>
      </c>
      <c r="BQ1220">
        <v>1</v>
      </c>
      <c r="CB1220" s="7">
        <v>1</v>
      </c>
      <c r="CM1220">
        <v>1</v>
      </c>
      <c r="CS1220" s="7" t="s">
        <v>2724</v>
      </c>
    </row>
    <row r="1221" spans="1:97">
      <c r="A1221" t="s">
        <v>72</v>
      </c>
      <c r="B1221" t="s">
        <v>4223</v>
      </c>
      <c r="C1221" s="2"/>
      <c r="D1221" s="15"/>
      <c r="F1221" t="s">
        <v>7</v>
      </c>
      <c r="G1221" s="1"/>
      <c r="H1221" s="1"/>
      <c r="I1221" s="1"/>
      <c r="T1221" s="5"/>
      <c r="U1221" t="s">
        <v>2722</v>
      </c>
      <c r="AQ1221" s="7">
        <v>1</v>
      </c>
      <c r="BC1221" t="s">
        <v>4224</v>
      </c>
      <c r="BD1221" s="7" t="s">
        <v>280</v>
      </c>
      <c r="BE1221" t="s">
        <v>1065</v>
      </c>
      <c r="BF1221" s="1" t="s">
        <v>29</v>
      </c>
      <c r="BG1221" s="1">
        <v>1</v>
      </c>
      <c r="BH1221">
        <v>1</v>
      </c>
      <c r="BK1221" s="1">
        <v>1</v>
      </c>
      <c r="BQ1221">
        <v>1</v>
      </c>
      <c r="CN1221">
        <v>1</v>
      </c>
      <c r="CS1221" s="7" t="s">
        <v>4225</v>
      </c>
    </row>
    <row r="1222" spans="1:97">
      <c r="A1222" t="s">
        <v>72</v>
      </c>
      <c r="B1222" t="s">
        <v>4099</v>
      </c>
      <c r="C1222" s="2"/>
      <c r="D1222" s="15"/>
      <c r="F1222" t="s">
        <v>7</v>
      </c>
      <c r="G1222" s="1"/>
      <c r="H1222" s="1"/>
      <c r="I1222" s="1"/>
      <c r="T1222" s="5"/>
      <c r="U1222" t="s">
        <v>2722</v>
      </c>
      <c r="AQ1222" s="7">
        <v>1</v>
      </c>
      <c r="BC1222" t="s">
        <v>4100</v>
      </c>
      <c r="BD1222" s="7" t="s">
        <v>305</v>
      </c>
      <c r="BE1222" t="s">
        <v>1065</v>
      </c>
      <c r="BF1222" s="1" t="s">
        <v>29</v>
      </c>
      <c r="BG1222" s="1">
        <v>1</v>
      </c>
      <c r="BH1222">
        <v>1</v>
      </c>
      <c r="BK1222" s="1">
        <v>1</v>
      </c>
      <c r="BQ1222">
        <v>1</v>
      </c>
      <c r="CM1222">
        <v>1</v>
      </c>
      <c r="CS1222" s="7" t="s">
        <v>4101</v>
      </c>
    </row>
    <row r="1223" spans="1:97">
      <c r="A1223" t="s">
        <v>72</v>
      </c>
      <c r="B1223" t="s">
        <v>4081</v>
      </c>
      <c r="C1223" s="15"/>
      <c r="D1223" s="15"/>
      <c r="F1223" t="s">
        <v>7</v>
      </c>
      <c r="G1223" s="1"/>
      <c r="H1223" s="1"/>
      <c r="I1223" s="1"/>
      <c r="T1223" s="5"/>
      <c r="U1223" t="s">
        <v>2722</v>
      </c>
      <c r="AQ1223" s="6">
        <v>1</v>
      </c>
      <c r="AR1223" s="7">
        <v>1</v>
      </c>
      <c r="BC1223" t="s">
        <v>2350</v>
      </c>
      <c r="BD1223" s="7" t="s">
        <v>103</v>
      </c>
      <c r="BE1223" t="s">
        <v>1065</v>
      </c>
      <c r="BF1223" s="1" t="s">
        <v>29</v>
      </c>
      <c r="BG1223" s="1">
        <v>2</v>
      </c>
      <c r="BH1223">
        <v>1</v>
      </c>
      <c r="BK1223" s="1">
        <v>1</v>
      </c>
      <c r="BQ1223">
        <v>1</v>
      </c>
      <c r="CM1223">
        <v>1</v>
      </c>
      <c r="CS1223" s="7" t="s">
        <v>1949</v>
      </c>
    </row>
    <row r="1224" spans="1:97">
      <c r="B1224" t="s">
        <v>4072</v>
      </c>
      <c r="C1224" s="2" t="s">
        <v>4073</v>
      </c>
      <c r="D1224" s="15"/>
      <c r="E1224" s="8" t="s">
        <v>2036</v>
      </c>
      <c r="F1224" s="8" t="s">
        <v>247</v>
      </c>
      <c r="G1224" s="1">
        <v>1</v>
      </c>
      <c r="H1224" s="1"/>
      <c r="I1224" s="1">
        <f>1808-20</f>
        <v>1788</v>
      </c>
      <c r="J1224" t="s">
        <v>10</v>
      </c>
      <c r="K1224" t="s">
        <v>12</v>
      </c>
      <c r="Q1224">
        <v>5</v>
      </c>
      <c r="R1224">
        <v>6</v>
      </c>
      <c r="S1224">
        <v>3</v>
      </c>
      <c r="T1224" s="5">
        <f t="shared" si="56"/>
        <v>174.44</v>
      </c>
      <c r="U1224" t="s">
        <v>2722</v>
      </c>
      <c r="AQ1224" s="6">
        <v>1</v>
      </c>
      <c r="AR1224" s="6">
        <v>1</v>
      </c>
      <c r="AS1224" s="6">
        <v>1</v>
      </c>
      <c r="AT1224" s="7">
        <v>1</v>
      </c>
      <c r="BC1224" t="s">
        <v>4074</v>
      </c>
      <c r="BD1224" s="7" t="s">
        <v>103</v>
      </c>
      <c r="BE1224" t="s">
        <v>4075</v>
      </c>
      <c r="BF1224" s="1" t="s">
        <v>29</v>
      </c>
      <c r="BG1224" s="1">
        <v>4</v>
      </c>
      <c r="BH1224">
        <v>2</v>
      </c>
      <c r="BI1224">
        <v>1</v>
      </c>
      <c r="BJ1224">
        <v>1</v>
      </c>
      <c r="BK1224" s="1">
        <v>1</v>
      </c>
      <c r="BQ1224">
        <v>1</v>
      </c>
      <c r="BV1224">
        <v>1</v>
      </c>
      <c r="CG1224">
        <v>1</v>
      </c>
      <c r="CL1224">
        <v>1</v>
      </c>
      <c r="CM1224">
        <v>1</v>
      </c>
      <c r="CS1224" s="7" t="s">
        <v>2172</v>
      </c>
    </row>
    <row r="1225" spans="1:97">
      <c r="B1225" t="s">
        <v>4042</v>
      </c>
      <c r="C1225" s="18" t="s">
        <v>4043</v>
      </c>
      <c r="D1225" s="15"/>
      <c r="E1225" s="8" t="s">
        <v>1117</v>
      </c>
      <c r="F1225" s="8" t="s">
        <v>247</v>
      </c>
      <c r="G1225" s="1">
        <v>1</v>
      </c>
      <c r="H1225" s="1"/>
      <c r="I1225" s="1">
        <f>1810-27</f>
        <v>1783</v>
      </c>
      <c r="J1225" t="s">
        <v>10</v>
      </c>
      <c r="K1225" t="s">
        <v>3566</v>
      </c>
      <c r="Q1225">
        <v>5</v>
      </c>
      <c r="R1225">
        <v>3</v>
      </c>
      <c r="S1225">
        <v>3</v>
      </c>
      <c r="T1225" s="5">
        <f t="shared" si="56"/>
        <v>166.55</v>
      </c>
      <c r="U1225" t="s">
        <v>2722</v>
      </c>
      <c r="AQ1225" s="6">
        <v>1</v>
      </c>
      <c r="AR1225" s="6">
        <v>1</v>
      </c>
      <c r="AS1225" s="7">
        <v>1</v>
      </c>
      <c r="BC1225" t="s">
        <v>4044</v>
      </c>
      <c r="BD1225" s="7" t="s">
        <v>103</v>
      </c>
      <c r="BE1225" t="s">
        <v>1854</v>
      </c>
      <c r="BF1225" s="1" t="s">
        <v>29</v>
      </c>
      <c r="BG1225" s="1">
        <v>3</v>
      </c>
      <c r="BH1225">
        <v>2</v>
      </c>
      <c r="BK1225" s="1">
        <v>1</v>
      </c>
      <c r="BQ1225">
        <v>1</v>
      </c>
      <c r="CL1225">
        <v>1</v>
      </c>
      <c r="CM1225">
        <v>1</v>
      </c>
      <c r="CS1225" s="7" t="s">
        <v>1949</v>
      </c>
    </row>
    <row r="1226" spans="1:97">
      <c r="A1226" t="s">
        <v>72</v>
      </c>
      <c r="B1226" t="s">
        <v>4083</v>
      </c>
      <c r="C1226" s="18"/>
      <c r="D1226" s="15"/>
      <c r="F1226" t="s">
        <v>7</v>
      </c>
      <c r="G1226" s="1"/>
      <c r="H1226" s="1"/>
      <c r="I1226" s="1"/>
      <c r="T1226" s="5"/>
      <c r="U1226" t="s">
        <v>2722</v>
      </c>
      <c r="AQ1226" s="6">
        <v>1</v>
      </c>
      <c r="AR1226" s="7">
        <v>1</v>
      </c>
      <c r="BC1226" t="s">
        <v>4084</v>
      </c>
      <c r="BD1226" s="7" t="s">
        <v>103</v>
      </c>
      <c r="BE1226" t="s">
        <v>1065</v>
      </c>
      <c r="BF1226" s="1" t="s">
        <v>29</v>
      </c>
      <c r="BG1226" s="1">
        <v>2</v>
      </c>
      <c r="BH1226">
        <v>1</v>
      </c>
      <c r="BK1226" s="1">
        <v>1</v>
      </c>
      <c r="BQ1226">
        <v>1</v>
      </c>
      <c r="CS1226" s="7" t="s">
        <v>1949</v>
      </c>
    </row>
    <row r="1227" spans="1:97">
      <c r="A1227" t="s">
        <v>72</v>
      </c>
      <c r="B1227" t="s">
        <v>4097</v>
      </c>
      <c r="C1227" s="18"/>
      <c r="D1227" s="15"/>
      <c r="F1227" t="s">
        <v>7</v>
      </c>
      <c r="G1227" s="1"/>
      <c r="H1227" s="1"/>
      <c r="I1227" s="1"/>
      <c r="T1227" s="5"/>
      <c r="U1227" t="s">
        <v>2722</v>
      </c>
      <c r="AQ1227" s="6">
        <v>1</v>
      </c>
      <c r="AR1227" s="7">
        <v>1</v>
      </c>
      <c r="BC1227" t="s">
        <v>4057</v>
      </c>
      <c r="BD1227" s="7" t="s">
        <v>103</v>
      </c>
      <c r="BE1227" t="s">
        <v>1065</v>
      </c>
      <c r="BF1227" s="1" t="s">
        <v>29</v>
      </c>
      <c r="BG1227" s="1">
        <v>3</v>
      </c>
      <c r="BH1227">
        <v>1</v>
      </c>
      <c r="BK1227" s="1">
        <v>1</v>
      </c>
      <c r="BQ1227">
        <v>1</v>
      </c>
      <c r="CS1227" s="7" t="s">
        <v>1949</v>
      </c>
    </row>
    <row r="1228" spans="1:97">
      <c r="B1228" t="s">
        <v>4351</v>
      </c>
      <c r="C1228" s="18" t="s">
        <v>4352</v>
      </c>
      <c r="D1228" s="18" t="s">
        <v>4352</v>
      </c>
      <c r="E1228" s="8" t="s">
        <v>1084</v>
      </c>
      <c r="F1228" t="s">
        <v>65</v>
      </c>
      <c r="G1228" s="1">
        <v>1</v>
      </c>
      <c r="H1228" s="1"/>
      <c r="I1228" s="1">
        <f>1811-19</f>
        <v>1792</v>
      </c>
      <c r="J1228" t="s">
        <v>10</v>
      </c>
      <c r="K1228" t="s">
        <v>12</v>
      </c>
      <c r="Q1228">
        <v>5</v>
      </c>
      <c r="R1228">
        <v>1</v>
      </c>
      <c r="S1228">
        <v>2</v>
      </c>
      <c r="T1228" s="5">
        <f t="shared" si="56"/>
        <v>161.07</v>
      </c>
      <c r="U1228" t="s">
        <v>2722</v>
      </c>
      <c r="AQ1228" s="6">
        <v>1</v>
      </c>
      <c r="AR1228" s="6">
        <v>1</v>
      </c>
      <c r="AS1228" s="6">
        <v>1</v>
      </c>
      <c r="BC1228">
        <v>1811</v>
      </c>
      <c r="BD1228" t="s">
        <v>81</v>
      </c>
      <c r="BE1228" t="s">
        <v>4328</v>
      </c>
      <c r="BF1228" s="1" t="s">
        <v>73</v>
      </c>
      <c r="BG1228" s="1">
        <v>1</v>
      </c>
      <c r="BH1228">
        <v>1</v>
      </c>
      <c r="BK1228" s="1" t="s">
        <v>72</v>
      </c>
      <c r="BQ1228">
        <v>1</v>
      </c>
      <c r="CS1228" t="s">
        <v>4329</v>
      </c>
    </row>
    <row r="1229" spans="1:97">
      <c r="B1229" t="s">
        <v>4071</v>
      </c>
      <c r="C1229" s="2" t="s">
        <v>3245</v>
      </c>
      <c r="D1229" s="15"/>
      <c r="E1229" s="8" t="s">
        <v>1306</v>
      </c>
      <c r="F1229" s="8" t="s">
        <v>65</v>
      </c>
      <c r="G1229" s="1">
        <v>1</v>
      </c>
      <c r="H1229" s="1"/>
      <c r="I1229" s="1">
        <f>1810-36</f>
        <v>1774</v>
      </c>
      <c r="J1229" t="s">
        <v>10</v>
      </c>
      <c r="K1229" t="s">
        <v>3566</v>
      </c>
      <c r="Q1229">
        <v>5</v>
      </c>
      <c r="R1229">
        <v>3</v>
      </c>
      <c r="S1229">
        <v>1</v>
      </c>
      <c r="T1229" s="5">
        <f t="shared" si="56"/>
        <v>166.11</v>
      </c>
      <c r="U1229" t="s">
        <v>2722</v>
      </c>
      <c r="AQ1229" s="6">
        <v>1</v>
      </c>
      <c r="AR1229" s="7">
        <v>1</v>
      </c>
      <c r="BC1229" t="s">
        <v>4057</v>
      </c>
      <c r="BD1229" s="7" t="s">
        <v>103</v>
      </c>
      <c r="BE1229" t="s">
        <v>1854</v>
      </c>
      <c r="BF1229" s="1" t="s">
        <v>29</v>
      </c>
      <c r="BG1229" s="1">
        <v>3</v>
      </c>
      <c r="BH1229">
        <v>2</v>
      </c>
      <c r="BK1229" s="1">
        <v>1</v>
      </c>
      <c r="BQ1229">
        <v>1</v>
      </c>
      <c r="CL1229">
        <v>1</v>
      </c>
      <c r="CS1229" s="7" t="s">
        <v>1949</v>
      </c>
    </row>
    <row r="1230" spans="1:97">
      <c r="B1230" t="s">
        <v>2603</v>
      </c>
      <c r="C1230" s="2" t="s">
        <v>4066</v>
      </c>
      <c r="D1230" s="15"/>
      <c r="E1230" s="8" t="s">
        <v>1074</v>
      </c>
      <c r="F1230" s="8" t="s">
        <v>247</v>
      </c>
      <c r="G1230" s="1">
        <v>1</v>
      </c>
      <c r="H1230" s="1"/>
      <c r="I1230" s="1">
        <f>1810-29</f>
        <v>1781</v>
      </c>
      <c r="J1230" t="s">
        <v>69</v>
      </c>
      <c r="K1230" t="s">
        <v>12</v>
      </c>
      <c r="T1230" s="5"/>
      <c r="U1230" t="s">
        <v>528</v>
      </c>
      <c r="AQ1230" s="6">
        <v>1</v>
      </c>
      <c r="AR1230" s="7">
        <v>1</v>
      </c>
      <c r="BC1230" t="s">
        <v>4057</v>
      </c>
      <c r="BD1230" s="7" t="s">
        <v>103</v>
      </c>
      <c r="BE1230" t="s">
        <v>1854</v>
      </c>
      <c r="BF1230" s="1" t="s">
        <v>29</v>
      </c>
      <c r="BG1230" s="1">
        <v>2</v>
      </c>
      <c r="BH1230">
        <v>3</v>
      </c>
      <c r="BK1230" s="1">
        <v>1</v>
      </c>
      <c r="BQ1230">
        <v>1</v>
      </c>
      <c r="CC1230">
        <v>1</v>
      </c>
      <c r="CL1230">
        <v>1</v>
      </c>
      <c r="CS1230" s="7" t="s">
        <v>1949</v>
      </c>
    </row>
    <row r="1231" spans="1:97">
      <c r="B1231" t="s">
        <v>530</v>
      </c>
      <c r="C1231" s="18" t="s">
        <v>531</v>
      </c>
      <c r="D1231" s="15" t="s">
        <v>532</v>
      </c>
      <c r="E1231" s="8" t="s">
        <v>516</v>
      </c>
      <c r="F1231" s="8" t="s">
        <v>218</v>
      </c>
      <c r="G1231" s="1">
        <v>1</v>
      </c>
      <c r="H1231" s="1"/>
      <c r="I1231" s="1">
        <f>1809-26</f>
        <v>1783</v>
      </c>
      <c r="J1231" t="s">
        <v>10</v>
      </c>
      <c r="K1231" t="s">
        <v>12</v>
      </c>
      <c r="T1231" s="5"/>
      <c r="U1231" t="s">
        <v>528</v>
      </c>
      <c r="AP1231" s="54"/>
      <c r="AQ1231" s="6">
        <v>1</v>
      </c>
      <c r="AR1231" s="7">
        <v>1</v>
      </c>
      <c r="BC1231" t="s">
        <v>533</v>
      </c>
      <c r="BD1231" s="7" t="s">
        <v>103</v>
      </c>
      <c r="BE1231" t="s">
        <v>433</v>
      </c>
      <c r="BF1231" s="1" t="s">
        <v>29</v>
      </c>
      <c r="BG1231" s="1">
        <v>1</v>
      </c>
      <c r="BH1231">
        <v>1</v>
      </c>
      <c r="BK1231" s="1"/>
      <c r="BM1231">
        <v>1</v>
      </c>
      <c r="BO1231">
        <v>1</v>
      </c>
      <c r="BR1231">
        <v>1</v>
      </c>
      <c r="CS1231" s="7" t="s">
        <v>520</v>
      </c>
    </row>
    <row r="1232" spans="1:97">
      <c r="B1232" t="s">
        <v>525</v>
      </c>
      <c r="C1232" s="15" t="s">
        <v>526</v>
      </c>
      <c r="D1232" s="15" t="s">
        <v>527</v>
      </c>
      <c r="E1232" s="8" t="s">
        <v>516</v>
      </c>
      <c r="F1232" s="8" t="s">
        <v>218</v>
      </c>
      <c r="G1232" s="1">
        <v>1</v>
      </c>
      <c r="H1232" s="1"/>
      <c r="I1232" s="1">
        <f>1809-20</f>
        <v>1789</v>
      </c>
      <c r="J1232" t="s">
        <v>10</v>
      </c>
      <c r="K1232" t="s">
        <v>12</v>
      </c>
      <c r="T1232" s="5"/>
      <c r="U1232" t="s">
        <v>528</v>
      </c>
      <c r="AP1232" s="54"/>
      <c r="AQ1232" s="6">
        <v>1</v>
      </c>
      <c r="AR1232" s="7">
        <v>1</v>
      </c>
      <c r="BC1232" t="s">
        <v>529</v>
      </c>
      <c r="BD1232" s="7" t="s">
        <v>103</v>
      </c>
      <c r="BE1232" t="s">
        <v>433</v>
      </c>
      <c r="BF1232" s="1" t="s">
        <v>29</v>
      </c>
      <c r="BG1232" s="1">
        <v>1</v>
      </c>
      <c r="BH1232">
        <v>1</v>
      </c>
      <c r="BK1232" s="1"/>
      <c r="BM1232">
        <v>1</v>
      </c>
      <c r="BO1232">
        <v>1</v>
      </c>
      <c r="BR1232">
        <v>1</v>
      </c>
      <c r="CS1232" s="7" t="s">
        <v>520</v>
      </c>
    </row>
    <row r="1233" spans="1:98">
      <c r="B1233" t="s">
        <v>3697</v>
      </c>
      <c r="C1233" s="18" t="s">
        <v>3698</v>
      </c>
      <c r="D1233" s="2" t="s">
        <v>3630</v>
      </c>
      <c r="E1233" s="8" t="s">
        <v>565</v>
      </c>
      <c r="F1233" s="8" t="s">
        <v>357</v>
      </c>
      <c r="G1233" s="1">
        <v>1</v>
      </c>
      <c r="H1233" s="1"/>
      <c r="I1233" s="1">
        <f>1819-29</f>
        <v>1790</v>
      </c>
      <c r="J1233" t="s">
        <v>10</v>
      </c>
      <c r="K1233" t="s">
        <v>12</v>
      </c>
      <c r="Q1233">
        <v>5</v>
      </c>
      <c r="R1233">
        <v>5</v>
      </c>
      <c r="T1233" s="5">
        <f t="shared" ref="T1233" si="57">((Q1233*316)+(R1233*26.3)+(S1233*2.2))/10</f>
        <v>171.15</v>
      </c>
      <c r="U1233" t="s">
        <v>3699</v>
      </c>
      <c r="AQ1233" s="6">
        <v>1</v>
      </c>
      <c r="AR1233" s="6">
        <v>1</v>
      </c>
      <c r="AS1233" s="6">
        <v>1</v>
      </c>
      <c r="AT1233" s="6">
        <v>1</v>
      </c>
      <c r="AU1233" s="6">
        <v>1</v>
      </c>
      <c r="AV1233" s="6">
        <v>1</v>
      </c>
      <c r="AW1233" s="6">
        <v>1</v>
      </c>
      <c r="AX1233" s="6">
        <v>1</v>
      </c>
      <c r="AY1233" s="6">
        <v>1</v>
      </c>
      <c r="AZ1233" s="6">
        <v>1</v>
      </c>
      <c r="BA1233" s="7">
        <v>1</v>
      </c>
      <c r="BC1233" t="s">
        <v>3696</v>
      </c>
      <c r="BD1233" s="7" t="s">
        <v>103</v>
      </c>
      <c r="BE1233" t="s">
        <v>2407</v>
      </c>
      <c r="BF1233" s="1" t="s">
        <v>29</v>
      </c>
      <c r="BG1233" s="1">
        <v>10</v>
      </c>
      <c r="BH1233">
        <v>2</v>
      </c>
      <c r="BK1233" s="30">
        <v>1</v>
      </c>
      <c r="BQ1233">
        <v>1</v>
      </c>
      <c r="CL1233">
        <v>1</v>
      </c>
      <c r="CQ1233">
        <v>1</v>
      </c>
      <c r="CS1233" s="7" t="s">
        <v>1226</v>
      </c>
      <c r="CT1233" s="6" t="s">
        <v>3177</v>
      </c>
    </row>
    <row r="1234" spans="1:98">
      <c r="B1234" t="s">
        <v>4069</v>
      </c>
      <c r="C1234" s="2" t="s">
        <v>4070</v>
      </c>
      <c r="D1234" s="2"/>
      <c r="E1234" s="8" t="s">
        <v>4055</v>
      </c>
      <c r="F1234" s="8" t="s">
        <v>247</v>
      </c>
      <c r="G1234" s="1">
        <v>1</v>
      </c>
      <c r="H1234" s="1"/>
      <c r="I1234" s="1">
        <f>1810-19</f>
        <v>1791</v>
      </c>
      <c r="J1234" t="s">
        <v>10</v>
      </c>
      <c r="K1234" t="s">
        <v>12</v>
      </c>
      <c r="T1234" s="5"/>
      <c r="U1234" t="s">
        <v>3699</v>
      </c>
      <c r="AQ1234" s="6">
        <v>1</v>
      </c>
      <c r="AR1234" s="7">
        <v>1</v>
      </c>
      <c r="BC1234" t="s">
        <v>4057</v>
      </c>
      <c r="BD1234" s="7" t="s">
        <v>103</v>
      </c>
      <c r="BE1234" t="s">
        <v>1854</v>
      </c>
      <c r="BF1234" s="1" t="s">
        <v>29</v>
      </c>
      <c r="BG1234" s="1">
        <v>2</v>
      </c>
      <c r="BH1234">
        <v>2</v>
      </c>
      <c r="BK1234" s="1">
        <v>1</v>
      </c>
      <c r="BQ1234">
        <v>1</v>
      </c>
      <c r="CL1234">
        <v>1</v>
      </c>
      <c r="CM1234">
        <v>1</v>
      </c>
      <c r="CS1234" s="7" t="s">
        <v>1949</v>
      </c>
    </row>
    <row r="1235" spans="1:98">
      <c r="B1235" t="s">
        <v>4153</v>
      </c>
      <c r="C1235" s="18" t="s">
        <v>4154</v>
      </c>
      <c r="D1235" s="2"/>
      <c r="E1235" s="8" t="s">
        <v>4055</v>
      </c>
      <c r="F1235" s="8" t="s">
        <v>247</v>
      </c>
      <c r="G1235" s="1">
        <v>1</v>
      </c>
      <c r="H1235" s="1"/>
      <c r="I1235" s="1">
        <f>1808-19</f>
        <v>1789</v>
      </c>
      <c r="J1235" t="s">
        <v>10</v>
      </c>
      <c r="K1235" t="s">
        <v>12</v>
      </c>
      <c r="Q1235">
        <v>5</v>
      </c>
      <c r="R1235">
        <v>5</v>
      </c>
      <c r="S1235">
        <v>3</v>
      </c>
      <c r="T1235" s="5">
        <f t="shared" ref="T1235:T1249" si="58">((Q1235*316)+(R1235*26.3)+(S1235*2.2))/10</f>
        <v>171.81</v>
      </c>
      <c r="U1235" t="s">
        <v>3699</v>
      </c>
      <c r="AQ1235" s="7">
        <v>1</v>
      </c>
      <c r="BC1235" t="s">
        <v>1588</v>
      </c>
      <c r="BD1235" s="7" t="s">
        <v>305</v>
      </c>
      <c r="BE1235" t="s">
        <v>1065</v>
      </c>
      <c r="BF1235" s="1" t="s">
        <v>29</v>
      </c>
      <c r="BG1235" s="1">
        <v>2</v>
      </c>
      <c r="BH1235">
        <v>1</v>
      </c>
      <c r="BK1235" s="1">
        <v>1</v>
      </c>
      <c r="BQ1235">
        <v>1</v>
      </c>
      <c r="CM1235">
        <v>1</v>
      </c>
      <c r="CS1235" s="7" t="s">
        <v>4091</v>
      </c>
    </row>
    <row r="1236" spans="1:98">
      <c r="B1236" t="s">
        <v>252</v>
      </c>
      <c r="C1236" s="18" t="s">
        <v>1508</v>
      </c>
      <c r="D1236" s="15"/>
      <c r="E1236" s="8" t="s">
        <v>393</v>
      </c>
      <c r="F1236" s="8" t="s">
        <v>247</v>
      </c>
      <c r="G1236" s="1">
        <v>1</v>
      </c>
      <c r="H1236" s="1"/>
      <c r="I1236" s="1">
        <f>1811-20</f>
        <v>1791</v>
      </c>
      <c r="J1236" t="s">
        <v>10</v>
      </c>
      <c r="K1236" t="s">
        <v>12</v>
      </c>
      <c r="Q1236">
        <v>5</v>
      </c>
      <c r="R1236">
        <v>3</v>
      </c>
      <c r="S1236">
        <v>3</v>
      </c>
      <c r="T1236" s="5">
        <f t="shared" si="58"/>
        <v>166.55</v>
      </c>
      <c r="U1236" t="s">
        <v>1509</v>
      </c>
      <c r="AQ1236" s="6">
        <v>1</v>
      </c>
      <c r="AR1236" s="6">
        <v>1</v>
      </c>
      <c r="AS1236" s="7">
        <v>1</v>
      </c>
      <c r="BC1236" t="s">
        <v>1510</v>
      </c>
      <c r="BD1236" s="7" t="s">
        <v>103</v>
      </c>
      <c r="BE1236" t="s">
        <v>1511</v>
      </c>
      <c r="BF1236" s="1" t="s">
        <v>29</v>
      </c>
      <c r="BG1236" s="1">
        <v>1</v>
      </c>
      <c r="BH1236">
        <v>1</v>
      </c>
      <c r="BK1236" s="1">
        <v>1</v>
      </c>
      <c r="BQ1236">
        <v>1</v>
      </c>
      <c r="CS1236" s="7" t="s">
        <v>1512</v>
      </c>
    </row>
    <row r="1237" spans="1:98">
      <c r="B1237" t="s">
        <v>1963</v>
      </c>
      <c r="C1237" s="2" t="s">
        <v>1964</v>
      </c>
      <c r="D1237" s="2" t="s">
        <v>1964</v>
      </c>
      <c r="E1237" s="8" t="s">
        <v>1912</v>
      </c>
      <c r="F1237" s="8" t="s">
        <v>65</v>
      </c>
      <c r="G1237" s="1">
        <v>1</v>
      </c>
      <c r="H1237" s="1"/>
      <c r="I1237" s="1">
        <f>1809-18</f>
        <v>1791</v>
      </c>
      <c r="J1237" t="s">
        <v>69</v>
      </c>
      <c r="K1237" t="s">
        <v>12</v>
      </c>
      <c r="Q1237">
        <v>5</v>
      </c>
      <c r="T1237" s="5">
        <f t="shared" si="58"/>
        <v>158</v>
      </c>
      <c r="U1237" t="s">
        <v>1509</v>
      </c>
      <c r="AQ1237" s="6">
        <v>1</v>
      </c>
      <c r="BC1237">
        <v>1809</v>
      </c>
      <c r="BD1237" s="4" t="s">
        <v>81</v>
      </c>
      <c r="BE1237" t="s">
        <v>70</v>
      </c>
      <c r="BF1237" s="1" t="s">
        <v>73</v>
      </c>
      <c r="BG1237" s="1">
        <v>1</v>
      </c>
      <c r="BH1237">
        <v>1</v>
      </c>
      <c r="BK1237" s="1">
        <v>1</v>
      </c>
      <c r="BZ1237">
        <v>1</v>
      </c>
      <c r="CS1237" t="s">
        <v>966</v>
      </c>
    </row>
    <row r="1238" spans="1:98">
      <c r="B1238" t="s">
        <v>4062</v>
      </c>
      <c r="C1238" s="2" t="s">
        <v>4063</v>
      </c>
      <c r="D1238" s="2"/>
      <c r="E1238" s="8" t="s">
        <v>4055</v>
      </c>
      <c r="F1238" s="8" t="s">
        <v>247</v>
      </c>
      <c r="G1238" s="1">
        <v>1</v>
      </c>
      <c r="H1238" s="1"/>
      <c r="I1238" s="1">
        <f>1810-18</f>
        <v>1792</v>
      </c>
      <c r="J1238" t="s">
        <v>10</v>
      </c>
      <c r="K1238" t="s">
        <v>12</v>
      </c>
      <c r="Q1238">
        <v>5</v>
      </c>
      <c r="R1238">
        <v>2</v>
      </c>
      <c r="S1238">
        <v>1</v>
      </c>
      <c r="T1238" s="5">
        <f t="shared" si="58"/>
        <v>163.47999999999999</v>
      </c>
      <c r="U1238" t="s">
        <v>1509</v>
      </c>
      <c r="AQ1238" s="6">
        <v>1</v>
      </c>
      <c r="AR1238" s="7">
        <v>1</v>
      </c>
      <c r="BC1238" t="s">
        <v>2729</v>
      </c>
      <c r="BD1238" s="58" t="s">
        <v>103</v>
      </c>
      <c r="BE1238" t="s">
        <v>1854</v>
      </c>
      <c r="BF1238" s="1" t="s">
        <v>29</v>
      </c>
      <c r="BG1238" s="1">
        <v>2</v>
      </c>
      <c r="BH1238">
        <v>2</v>
      </c>
      <c r="BK1238" s="1">
        <v>1</v>
      </c>
      <c r="BQ1238">
        <v>1</v>
      </c>
      <c r="CL1238">
        <v>1</v>
      </c>
      <c r="CS1238" s="7" t="s">
        <v>1949</v>
      </c>
    </row>
    <row r="1239" spans="1:98">
      <c r="B1239" t="s">
        <v>539</v>
      </c>
      <c r="C1239" s="15" t="s">
        <v>540</v>
      </c>
      <c r="D1239" s="15" t="s">
        <v>541</v>
      </c>
      <c r="E1239" s="8" t="s">
        <v>542</v>
      </c>
      <c r="F1239" s="8" t="s">
        <v>218</v>
      </c>
      <c r="G1239" s="1">
        <v>1</v>
      </c>
      <c r="H1239" s="1"/>
      <c r="I1239" s="1">
        <f>1809-22</f>
        <v>1787</v>
      </c>
      <c r="J1239" t="s">
        <v>10</v>
      </c>
      <c r="K1239" t="s">
        <v>12</v>
      </c>
      <c r="Q1239">
        <v>5</v>
      </c>
      <c r="R1239">
        <v>1</v>
      </c>
      <c r="S1239">
        <v>2</v>
      </c>
      <c r="T1239" s="5">
        <f t="shared" si="58"/>
        <v>161.07</v>
      </c>
      <c r="U1239" t="s">
        <v>543</v>
      </c>
      <c r="AP1239" s="54"/>
      <c r="AQ1239" s="6">
        <v>1</v>
      </c>
      <c r="AR1239" s="7">
        <v>1</v>
      </c>
      <c r="BC1239" t="s">
        <v>544</v>
      </c>
      <c r="BD1239" s="7" t="s">
        <v>103</v>
      </c>
      <c r="BE1239" t="s">
        <v>433</v>
      </c>
      <c r="BF1239" s="1" t="s">
        <v>29</v>
      </c>
      <c r="BG1239" s="1">
        <v>1</v>
      </c>
      <c r="BH1239">
        <v>1</v>
      </c>
      <c r="BK1239" s="1"/>
      <c r="BM1239">
        <v>1</v>
      </c>
      <c r="BO1239">
        <v>1</v>
      </c>
      <c r="BR1239">
        <v>1</v>
      </c>
      <c r="CM1239">
        <v>1</v>
      </c>
      <c r="CS1239" s="7" t="s">
        <v>520</v>
      </c>
    </row>
    <row r="1240" spans="1:98">
      <c r="B1240" t="s">
        <v>567</v>
      </c>
      <c r="C1240" s="15" t="s">
        <v>569</v>
      </c>
      <c r="D1240" s="18" t="s">
        <v>570</v>
      </c>
      <c r="E1240" s="8" t="s">
        <v>571</v>
      </c>
      <c r="F1240" s="8" t="s">
        <v>218</v>
      </c>
      <c r="G1240" s="1">
        <v>1</v>
      </c>
      <c r="H1240" s="1"/>
      <c r="I1240" s="1">
        <f>1809-17</f>
        <v>1792</v>
      </c>
      <c r="J1240" t="s">
        <v>10</v>
      </c>
      <c r="K1240" t="s">
        <v>12</v>
      </c>
      <c r="Q1240">
        <v>5</v>
      </c>
      <c r="R1240">
        <v>1</v>
      </c>
      <c r="S1240">
        <v>1</v>
      </c>
      <c r="T1240" s="5">
        <f t="shared" si="58"/>
        <v>160.85</v>
      </c>
      <c r="U1240" t="s">
        <v>543</v>
      </c>
      <c r="AP1240" s="54"/>
      <c r="AQ1240" s="6">
        <v>1</v>
      </c>
      <c r="AR1240" s="7">
        <v>1</v>
      </c>
      <c r="BC1240" t="s">
        <v>574</v>
      </c>
      <c r="BD1240" s="7" t="s">
        <v>109</v>
      </c>
      <c r="BE1240" t="s">
        <v>433</v>
      </c>
      <c r="BF1240" s="1" t="s">
        <v>29</v>
      </c>
      <c r="BG1240" s="1">
        <v>1</v>
      </c>
      <c r="BH1240">
        <v>1</v>
      </c>
      <c r="BK1240" s="1"/>
      <c r="BM1240">
        <v>1</v>
      </c>
      <c r="BO1240">
        <v>1</v>
      </c>
      <c r="BR1240">
        <v>1</v>
      </c>
      <c r="CM1240">
        <v>1</v>
      </c>
      <c r="CS1240" s="7" t="s">
        <v>577</v>
      </c>
    </row>
    <row r="1241" spans="1:98">
      <c r="B1241" t="s">
        <v>568</v>
      </c>
      <c r="C1241" s="18" t="s">
        <v>572</v>
      </c>
      <c r="D1241" s="18" t="s">
        <v>573</v>
      </c>
      <c r="E1241" s="8" t="s">
        <v>571</v>
      </c>
      <c r="F1241" s="8" t="s">
        <v>218</v>
      </c>
      <c r="G1241" s="1">
        <v>1</v>
      </c>
      <c r="H1241" s="1"/>
      <c r="I1241" s="1">
        <f>1809-17</f>
        <v>1792</v>
      </c>
      <c r="J1241" t="s">
        <v>10</v>
      </c>
      <c r="K1241" t="s">
        <v>12</v>
      </c>
      <c r="Q1241">
        <v>5</v>
      </c>
      <c r="R1241">
        <v>1</v>
      </c>
      <c r="T1241" s="5">
        <f t="shared" si="58"/>
        <v>160.63</v>
      </c>
      <c r="U1241" t="s">
        <v>543</v>
      </c>
      <c r="AP1241" s="54"/>
      <c r="AQ1241" s="7">
        <v>1</v>
      </c>
      <c r="BC1241" t="s">
        <v>575</v>
      </c>
      <c r="BD1241" s="7" t="s">
        <v>305</v>
      </c>
      <c r="BE1241" t="s">
        <v>433</v>
      </c>
      <c r="BF1241" s="1" t="s">
        <v>29</v>
      </c>
      <c r="BG1241" s="1">
        <v>1</v>
      </c>
      <c r="BH1241">
        <v>1</v>
      </c>
      <c r="BK1241" s="1"/>
      <c r="BM1241">
        <v>1</v>
      </c>
      <c r="BO1241">
        <v>1</v>
      </c>
      <c r="BR1241">
        <v>1</v>
      </c>
      <c r="CS1241" s="7" t="s">
        <v>576</v>
      </c>
    </row>
    <row r="1242" spans="1:98">
      <c r="B1242" t="s">
        <v>4178</v>
      </c>
      <c r="C1242" s="2" t="s">
        <v>4179</v>
      </c>
      <c r="D1242" s="18"/>
      <c r="E1242" s="8" t="s">
        <v>4085</v>
      </c>
      <c r="F1242" s="8" t="s">
        <v>247</v>
      </c>
      <c r="G1242" s="1">
        <v>1</v>
      </c>
      <c r="H1242" s="1"/>
      <c r="I1242" s="1">
        <f>1809-35</f>
        <v>1774</v>
      </c>
      <c r="J1242" t="s">
        <v>10</v>
      </c>
      <c r="K1242" t="s">
        <v>12</v>
      </c>
      <c r="Q1242">
        <v>5</v>
      </c>
      <c r="R1242">
        <v>1</v>
      </c>
      <c r="S1242">
        <v>2</v>
      </c>
      <c r="T1242" s="5">
        <f t="shared" si="58"/>
        <v>161.07</v>
      </c>
      <c r="U1242" t="s">
        <v>543</v>
      </c>
      <c r="AQ1242" s="6">
        <v>1</v>
      </c>
      <c r="AR1242" s="7">
        <v>1</v>
      </c>
      <c r="BC1242" t="s">
        <v>1015</v>
      </c>
      <c r="BD1242" s="7" t="s">
        <v>26</v>
      </c>
      <c r="BE1242" t="s">
        <v>1065</v>
      </c>
      <c r="BF1242" s="1" t="s">
        <v>29</v>
      </c>
      <c r="BG1242" s="1">
        <v>3</v>
      </c>
      <c r="BH1242">
        <v>1</v>
      </c>
      <c r="BK1242" s="1">
        <v>1</v>
      </c>
      <c r="BQ1242">
        <v>1</v>
      </c>
      <c r="CM1242">
        <v>1</v>
      </c>
      <c r="CS1242" s="7" t="s">
        <v>4180</v>
      </c>
    </row>
    <row r="1243" spans="1:98">
      <c r="A1243" t="s">
        <v>72</v>
      </c>
      <c r="B1243" t="s">
        <v>4089</v>
      </c>
      <c r="C1243" s="18"/>
      <c r="D1243" s="18"/>
      <c r="F1243" t="s">
        <v>7</v>
      </c>
      <c r="G1243" s="1"/>
      <c r="H1243" s="1"/>
      <c r="I1243" s="1"/>
      <c r="T1243" s="5"/>
      <c r="U1243" t="s">
        <v>4090</v>
      </c>
      <c r="AQ1243" s="7">
        <v>1</v>
      </c>
      <c r="BC1243" t="s">
        <v>1588</v>
      </c>
      <c r="BD1243" s="7" t="s">
        <v>305</v>
      </c>
      <c r="BE1243" t="s">
        <v>1065</v>
      </c>
      <c r="BF1243" s="1" t="s">
        <v>29</v>
      </c>
      <c r="BG1243" s="1">
        <v>1</v>
      </c>
      <c r="BH1243">
        <v>1</v>
      </c>
      <c r="BK1243" s="1">
        <v>1</v>
      </c>
      <c r="BQ1243">
        <v>1</v>
      </c>
      <c r="CM1243">
        <v>1</v>
      </c>
      <c r="CS1243" s="7" t="s">
        <v>4091</v>
      </c>
    </row>
    <row r="1244" spans="1:98">
      <c r="B1244" t="s">
        <v>252</v>
      </c>
      <c r="C1244" s="2" t="s">
        <v>2582</v>
      </c>
      <c r="D1244" s="18"/>
      <c r="E1244" s="8" t="s">
        <v>1281</v>
      </c>
      <c r="F1244" s="8" t="s">
        <v>247</v>
      </c>
      <c r="G1244" s="1">
        <v>1</v>
      </c>
      <c r="H1244" s="1"/>
      <c r="I1244" s="1">
        <f>1811-32</f>
        <v>1779</v>
      </c>
      <c r="J1244" t="s">
        <v>69</v>
      </c>
      <c r="K1244" t="s">
        <v>12</v>
      </c>
      <c r="Q1244">
        <v>5</v>
      </c>
      <c r="R1244">
        <v>0</v>
      </c>
      <c r="S1244">
        <v>3</v>
      </c>
      <c r="T1244" s="5">
        <f t="shared" si="58"/>
        <v>158.66</v>
      </c>
      <c r="U1244" t="s">
        <v>431</v>
      </c>
      <c r="AQ1244" s="6">
        <v>1</v>
      </c>
      <c r="BC1244">
        <v>1809</v>
      </c>
      <c r="BD1244" t="s">
        <v>81</v>
      </c>
      <c r="BE1244" s="10" t="s">
        <v>1065</v>
      </c>
      <c r="BF1244" s="1" t="s">
        <v>29</v>
      </c>
      <c r="BG1244" s="1">
        <v>4</v>
      </c>
      <c r="BH1244">
        <v>2</v>
      </c>
      <c r="BK1244" s="1">
        <v>1</v>
      </c>
      <c r="BQ1244">
        <v>1</v>
      </c>
      <c r="CL1244" s="10">
        <v>1</v>
      </c>
      <c r="CS1244" s="10" t="s">
        <v>4245</v>
      </c>
    </row>
    <row r="1245" spans="1:98">
      <c r="B1245" t="s">
        <v>4048</v>
      </c>
      <c r="C1245" s="2" t="s">
        <v>4246</v>
      </c>
      <c r="D1245" s="18"/>
      <c r="E1245" s="8" t="s">
        <v>1281</v>
      </c>
      <c r="F1245" s="8" t="s">
        <v>247</v>
      </c>
      <c r="G1245" s="1">
        <v>1</v>
      </c>
      <c r="H1245" s="1"/>
      <c r="I1245" s="1">
        <f>1810-31</f>
        <v>1779</v>
      </c>
      <c r="J1245" t="s">
        <v>10</v>
      </c>
      <c r="K1245" t="s">
        <v>12</v>
      </c>
      <c r="T1245" s="5"/>
      <c r="U1245" t="s">
        <v>431</v>
      </c>
      <c r="AQ1245" s="6">
        <v>1</v>
      </c>
      <c r="AR1245" s="6">
        <v>1</v>
      </c>
      <c r="AS1245" s="7">
        <v>1</v>
      </c>
      <c r="BC1245" t="s">
        <v>4044</v>
      </c>
      <c r="BD1245" s="7" t="s">
        <v>103</v>
      </c>
      <c r="BE1245" t="s">
        <v>1854</v>
      </c>
      <c r="BF1245" s="1" t="s">
        <v>29</v>
      </c>
      <c r="BG1245" s="1">
        <v>3</v>
      </c>
      <c r="BH1245">
        <v>2</v>
      </c>
      <c r="BK1245" s="1">
        <v>1</v>
      </c>
      <c r="BQ1245">
        <v>1</v>
      </c>
      <c r="CL1245">
        <v>1</v>
      </c>
      <c r="CS1245" s="7" t="s">
        <v>1949</v>
      </c>
    </row>
    <row r="1246" spans="1:98">
      <c r="B1246" t="s">
        <v>427</v>
      </c>
      <c r="C1246" s="15" t="s">
        <v>428</v>
      </c>
      <c r="D1246" s="15" t="s">
        <v>429</v>
      </c>
      <c r="E1246" s="8" t="s">
        <v>430</v>
      </c>
      <c r="F1246" s="8" t="s">
        <v>218</v>
      </c>
      <c r="G1246" s="1">
        <v>1</v>
      </c>
      <c r="H1246" s="1"/>
      <c r="I1246" s="1">
        <f>1809-17</f>
        <v>1792</v>
      </c>
      <c r="J1246" t="s">
        <v>10</v>
      </c>
      <c r="K1246" t="s">
        <v>12</v>
      </c>
      <c r="Q1246">
        <v>5</v>
      </c>
      <c r="R1246">
        <v>1</v>
      </c>
      <c r="T1246" s="5">
        <f t="shared" si="58"/>
        <v>160.63</v>
      </c>
      <c r="U1246" t="s">
        <v>431</v>
      </c>
      <c r="AQ1246" s="6">
        <v>1</v>
      </c>
      <c r="AR1246" s="7">
        <v>1</v>
      </c>
      <c r="BC1246" t="s">
        <v>432</v>
      </c>
      <c r="BD1246" s="7" t="s">
        <v>103</v>
      </c>
      <c r="BE1246" t="s">
        <v>433</v>
      </c>
      <c r="BF1246" s="1" t="s">
        <v>29</v>
      </c>
      <c r="BG1246" s="1">
        <v>1</v>
      </c>
      <c r="BH1246">
        <v>1</v>
      </c>
      <c r="BK1246" s="1"/>
      <c r="BO1246">
        <v>1</v>
      </c>
      <c r="BR1246">
        <v>1</v>
      </c>
      <c r="CS1246" s="7" t="s">
        <v>520</v>
      </c>
    </row>
    <row r="1247" spans="1:98">
      <c r="A1247" t="s">
        <v>72</v>
      </c>
      <c r="B1247" t="s">
        <v>4116</v>
      </c>
      <c r="C1247" s="15"/>
      <c r="D1247" s="15"/>
      <c r="F1247" t="s">
        <v>7</v>
      </c>
      <c r="G1247" s="1"/>
      <c r="H1247" s="1"/>
      <c r="I1247" s="1"/>
      <c r="T1247" s="5"/>
      <c r="U1247" t="s">
        <v>4115</v>
      </c>
      <c r="AQ1247" s="6">
        <v>1</v>
      </c>
      <c r="AR1247" s="7">
        <v>1</v>
      </c>
      <c r="BC1247" t="s">
        <v>2364</v>
      </c>
      <c r="BD1247" s="7" t="s">
        <v>109</v>
      </c>
      <c r="BE1247" t="s">
        <v>1065</v>
      </c>
      <c r="BF1247" s="1" t="s">
        <v>29</v>
      </c>
      <c r="BG1247" s="1">
        <v>3</v>
      </c>
      <c r="BH1247">
        <v>1</v>
      </c>
      <c r="BK1247" s="1">
        <v>1</v>
      </c>
      <c r="BQ1247">
        <v>1</v>
      </c>
      <c r="CS1247" s="7" t="s">
        <v>1593</v>
      </c>
    </row>
    <row r="1248" spans="1:98">
      <c r="B1248" t="s">
        <v>1277</v>
      </c>
      <c r="C1248" s="2" t="s">
        <v>1279</v>
      </c>
      <c r="D1248" s="26" t="s">
        <v>1280</v>
      </c>
      <c r="E1248" s="8" t="s">
        <v>1281</v>
      </c>
      <c r="F1248" s="8" t="s">
        <v>247</v>
      </c>
      <c r="G1248" s="1">
        <v>1</v>
      </c>
      <c r="H1248" s="1"/>
      <c r="I1248" s="1">
        <f>1809-25</f>
        <v>1784</v>
      </c>
      <c r="J1248" t="s">
        <v>10</v>
      </c>
      <c r="K1248" t="s">
        <v>12</v>
      </c>
      <c r="Q1248">
        <v>5</v>
      </c>
      <c r="R1248">
        <v>4</v>
      </c>
      <c r="S1248">
        <v>1</v>
      </c>
      <c r="T1248" s="5">
        <f t="shared" si="58"/>
        <v>168.74</v>
      </c>
      <c r="U1248" t="s">
        <v>1284</v>
      </c>
      <c r="AQ1248" s="6">
        <v>1</v>
      </c>
      <c r="BC1248">
        <v>1809</v>
      </c>
      <c r="BD1248" t="s">
        <v>81</v>
      </c>
      <c r="BE1248" t="s">
        <v>70</v>
      </c>
      <c r="BF1248" s="1" t="s">
        <v>73</v>
      </c>
      <c r="BG1248" s="1">
        <v>1</v>
      </c>
      <c r="BH1248">
        <v>1</v>
      </c>
      <c r="BK1248" s="1">
        <v>1</v>
      </c>
      <c r="BZ1248">
        <v>1</v>
      </c>
      <c r="CS1248" t="s">
        <v>966</v>
      </c>
    </row>
    <row r="1249" spans="1:98">
      <c r="B1249" t="s">
        <v>1278</v>
      </c>
      <c r="C1249" s="2" t="s">
        <v>1283</v>
      </c>
      <c r="D1249" s="26" t="s">
        <v>1282</v>
      </c>
      <c r="E1249" s="8" t="s">
        <v>1281</v>
      </c>
      <c r="F1249" s="8" t="s">
        <v>247</v>
      </c>
      <c r="G1249" s="1">
        <v>1</v>
      </c>
      <c r="H1249" s="1"/>
      <c r="I1249" s="1">
        <f>1809-19</f>
        <v>1790</v>
      </c>
      <c r="J1249" t="s">
        <v>10</v>
      </c>
      <c r="K1249" t="s">
        <v>12</v>
      </c>
      <c r="Q1249">
        <v>5</v>
      </c>
      <c r="T1249" s="5">
        <f t="shared" si="58"/>
        <v>158</v>
      </c>
      <c r="U1249" t="s">
        <v>1284</v>
      </c>
      <c r="AQ1249" s="6">
        <v>1</v>
      </c>
      <c r="BC1249">
        <v>1809</v>
      </c>
      <c r="BD1249" t="s">
        <v>81</v>
      </c>
      <c r="BE1249" t="s">
        <v>70</v>
      </c>
      <c r="BF1249" s="1" t="s">
        <v>73</v>
      </c>
      <c r="BG1249" s="1">
        <v>1</v>
      </c>
      <c r="BH1249">
        <v>1</v>
      </c>
      <c r="BK1249" s="1">
        <v>1</v>
      </c>
      <c r="BZ1249">
        <v>1</v>
      </c>
      <c r="CS1249" t="s">
        <v>966</v>
      </c>
    </row>
    <row r="1250" spans="1:98">
      <c r="B1250" t="s">
        <v>996</v>
      </c>
      <c r="C1250" s="2" t="s">
        <v>2360</v>
      </c>
      <c r="D1250" s="15"/>
      <c r="E1250" s="8" t="s">
        <v>516</v>
      </c>
      <c r="F1250" s="8" t="s">
        <v>218</v>
      </c>
      <c r="G1250" s="1">
        <v>1</v>
      </c>
      <c r="H1250" s="1"/>
      <c r="I1250" s="1">
        <f>1809-19</f>
        <v>1790</v>
      </c>
      <c r="J1250" t="s">
        <v>10</v>
      </c>
      <c r="K1250" t="s">
        <v>997</v>
      </c>
      <c r="T1250" s="5"/>
      <c r="U1250" t="s">
        <v>548</v>
      </c>
      <c r="AQ1250" s="6">
        <v>1</v>
      </c>
      <c r="AR1250" s="7">
        <v>1</v>
      </c>
      <c r="BC1250" t="s">
        <v>998</v>
      </c>
      <c r="BD1250" s="7" t="s">
        <v>103</v>
      </c>
      <c r="BE1250" t="s">
        <v>999</v>
      </c>
      <c r="BF1250" s="1" t="s">
        <v>29</v>
      </c>
      <c r="BG1250" s="1">
        <v>1</v>
      </c>
      <c r="BH1250">
        <v>2</v>
      </c>
      <c r="BK1250" s="1"/>
      <c r="BO1250">
        <v>1</v>
      </c>
      <c r="CC1250">
        <v>1</v>
      </c>
      <c r="CJ1250">
        <v>1</v>
      </c>
      <c r="CL1250">
        <v>1</v>
      </c>
      <c r="CS1250" s="7" t="s">
        <v>1000</v>
      </c>
    </row>
    <row r="1251" spans="1:98">
      <c r="B1251" t="s">
        <v>545</v>
      </c>
      <c r="C1251" s="15" t="s">
        <v>547</v>
      </c>
      <c r="D1251" s="15"/>
      <c r="E1251" s="8" t="s">
        <v>546</v>
      </c>
      <c r="F1251" s="8" t="s">
        <v>357</v>
      </c>
      <c r="G1251" s="1">
        <v>1</v>
      </c>
      <c r="H1251" s="1"/>
      <c r="I1251" s="1">
        <f>1809-18</f>
        <v>1791</v>
      </c>
      <c r="J1251" t="s">
        <v>10</v>
      </c>
      <c r="K1251" t="s">
        <v>12</v>
      </c>
      <c r="Q1251">
        <v>4</v>
      </c>
      <c r="R1251">
        <v>10</v>
      </c>
      <c r="T1251" s="5">
        <f>((Q1251*316)+(R1251*26.3)+(S1251*2.2))/10</f>
        <v>152.69999999999999</v>
      </c>
      <c r="U1251" t="s">
        <v>548</v>
      </c>
      <c r="AQ1251" s="6">
        <v>1</v>
      </c>
      <c r="AR1251" s="7">
        <v>1</v>
      </c>
      <c r="BC1251" t="s">
        <v>108</v>
      </c>
      <c r="BD1251" s="7" t="s">
        <v>103</v>
      </c>
      <c r="BE1251" t="s">
        <v>433</v>
      </c>
      <c r="BF1251" s="1" t="s">
        <v>29</v>
      </c>
      <c r="BG1251" s="1">
        <v>1</v>
      </c>
      <c r="BH1251">
        <v>1</v>
      </c>
      <c r="BK1251" s="1"/>
      <c r="BO1251">
        <v>1</v>
      </c>
      <c r="BR1251">
        <v>1</v>
      </c>
      <c r="CS1251" s="7" t="s">
        <v>520</v>
      </c>
    </row>
    <row r="1252" spans="1:98">
      <c r="B1252" t="s">
        <v>621</v>
      </c>
      <c r="C1252" s="15" t="s">
        <v>623</v>
      </c>
      <c r="D1252" s="15" t="s">
        <v>623</v>
      </c>
      <c r="E1252" s="8" t="s">
        <v>624</v>
      </c>
      <c r="F1252" s="8" t="s">
        <v>218</v>
      </c>
      <c r="G1252" s="1">
        <v>1</v>
      </c>
      <c r="H1252" s="1"/>
      <c r="I1252" s="1">
        <f>1809-26</f>
        <v>1783</v>
      </c>
      <c r="J1252" t="s">
        <v>10</v>
      </c>
      <c r="K1252" t="s">
        <v>12</v>
      </c>
      <c r="Q1252">
        <v>5</v>
      </c>
      <c r="R1252">
        <v>1</v>
      </c>
      <c r="S1252">
        <v>1</v>
      </c>
      <c r="T1252" s="5">
        <f>((Q1252*316)+(R1252*26.3)+(S1252*2.2))/10</f>
        <v>160.85</v>
      </c>
      <c r="U1252" t="s">
        <v>562</v>
      </c>
      <c r="AQ1252" s="6">
        <v>1</v>
      </c>
      <c r="AR1252" s="7">
        <v>1</v>
      </c>
      <c r="BC1252" t="s">
        <v>625</v>
      </c>
      <c r="BD1252" s="7" t="s">
        <v>103</v>
      </c>
      <c r="BE1252" t="s">
        <v>602</v>
      </c>
      <c r="BF1252" s="1" t="s">
        <v>29</v>
      </c>
      <c r="BG1252" s="1">
        <v>3</v>
      </c>
      <c r="BH1252">
        <v>1</v>
      </c>
      <c r="BK1252" s="1"/>
      <c r="BO1252">
        <v>1</v>
      </c>
      <c r="BR1252">
        <v>1</v>
      </c>
      <c r="CS1252" s="7" t="s">
        <v>614</v>
      </c>
    </row>
    <row r="1253" spans="1:98">
      <c r="B1253" t="s">
        <v>622</v>
      </c>
      <c r="C1253" s="15" t="s">
        <v>626</v>
      </c>
      <c r="D1253" s="15" t="s">
        <v>626</v>
      </c>
      <c r="E1253" s="8" t="s">
        <v>627</v>
      </c>
      <c r="F1253" s="8" t="s">
        <v>357</v>
      </c>
      <c r="G1253" s="1">
        <v>1</v>
      </c>
      <c r="H1253" s="1"/>
      <c r="I1253" s="1">
        <f>1809-18</f>
        <v>1791</v>
      </c>
      <c r="J1253" t="s">
        <v>10</v>
      </c>
      <c r="K1253" t="s">
        <v>116</v>
      </c>
      <c r="Q1253">
        <v>5</v>
      </c>
      <c r="T1253" s="5">
        <f>((Q1253*316)+(R1253*26.3)+(S1253*2.2))/10</f>
        <v>158</v>
      </c>
      <c r="U1253" t="s">
        <v>562</v>
      </c>
      <c r="AQ1253" s="6">
        <v>1</v>
      </c>
      <c r="AR1253" s="7">
        <v>1</v>
      </c>
      <c r="BC1253" t="s">
        <v>628</v>
      </c>
      <c r="BD1253" s="7" t="s">
        <v>103</v>
      </c>
      <c r="BE1253" t="s">
        <v>602</v>
      </c>
      <c r="BF1253" s="1" t="s">
        <v>29</v>
      </c>
      <c r="BG1253" s="1">
        <v>3</v>
      </c>
      <c r="BH1253">
        <v>1</v>
      </c>
      <c r="BK1253" s="1"/>
      <c r="BO1253">
        <v>1</v>
      </c>
      <c r="BR1253">
        <v>1</v>
      </c>
      <c r="CM1253">
        <v>1</v>
      </c>
      <c r="CS1253" s="7" t="s">
        <v>614</v>
      </c>
    </row>
    <row r="1254" spans="1:98">
      <c r="B1254" t="s">
        <v>558</v>
      </c>
      <c r="C1254" s="15" t="s">
        <v>560</v>
      </c>
      <c r="D1254" s="15" t="s">
        <v>560</v>
      </c>
      <c r="E1254" s="8" t="s">
        <v>559</v>
      </c>
      <c r="F1254" s="8" t="s">
        <v>218</v>
      </c>
      <c r="G1254" s="1">
        <v>1</v>
      </c>
      <c r="H1254" s="1"/>
      <c r="I1254" s="1">
        <f>1809-26</f>
        <v>1783</v>
      </c>
      <c r="J1254" t="s">
        <v>10</v>
      </c>
      <c r="K1254" t="s">
        <v>561</v>
      </c>
      <c r="Q1254">
        <v>5</v>
      </c>
      <c r="R1254">
        <v>1</v>
      </c>
      <c r="S1254">
        <v>2</v>
      </c>
      <c r="T1254" s="5">
        <f>((Q1254*316)+(R1254*26.3)+(S1254*2.2))/10</f>
        <v>161.07</v>
      </c>
      <c r="U1254" t="s">
        <v>562</v>
      </c>
      <c r="AP1254" s="54"/>
      <c r="AQ1254" s="6">
        <v>1</v>
      </c>
      <c r="AR1254" s="7">
        <v>1</v>
      </c>
      <c r="BC1254" t="s">
        <v>108</v>
      </c>
      <c r="BD1254" s="7" t="s">
        <v>103</v>
      </c>
      <c r="BE1254" t="s">
        <v>433</v>
      </c>
      <c r="BF1254" s="1" t="s">
        <v>29</v>
      </c>
      <c r="BG1254" s="1">
        <v>1</v>
      </c>
      <c r="BH1254">
        <v>1</v>
      </c>
      <c r="BK1254" s="1"/>
      <c r="BM1254">
        <v>1</v>
      </c>
      <c r="BO1254">
        <v>1</v>
      </c>
      <c r="BR1254">
        <v>1</v>
      </c>
      <c r="CS1254" s="7" t="s">
        <v>520</v>
      </c>
    </row>
    <row r="1255" spans="1:98">
      <c r="A1255" t="s">
        <v>72</v>
      </c>
      <c r="B1255" t="s">
        <v>1327</v>
      </c>
      <c r="C1255" s="15"/>
      <c r="D1255" s="15"/>
      <c r="F1255" t="s">
        <v>7</v>
      </c>
      <c r="G1255" s="1"/>
      <c r="H1255" s="1"/>
      <c r="I1255" s="1"/>
      <c r="T1255" s="5"/>
      <c r="U1255" t="s">
        <v>1004</v>
      </c>
      <c r="AQ1255" s="6">
        <v>1</v>
      </c>
      <c r="AR1255" s="7">
        <v>1</v>
      </c>
      <c r="BC1255" t="s">
        <v>4094</v>
      </c>
      <c r="BD1255" s="7" t="s">
        <v>26</v>
      </c>
      <c r="BE1255" t="s">
        <v>1065</v>
      </c>
      <c r="BF1255" s="1" t="s">
        <v>29</v>
      </c>
      <c r="BG1255" s="1">
        <v>2</v>
      </c>
      <c r="BH1255">
        <v>1</v>
      </c>
      <c r="BK1255" s="1">
        <v>1</v>
      </c>
      <c r="BR1255">
        <v>1</v>
      </c>
      <c r="CS1255" s="7" t="s">
        <v>4079</v>
      </c>
    </row>
    <row r="1256" spans="1:98">
      <c r="B1256" t="s">
        <v>1001</v>
      </c>
      <c r="C1256" s="15" t="s">
        <v>1002</v>
      </c>
      <c r="D1256" s="15"/>
      <c r="E1256" s="8" t="s">
        <v>1003</v>
      </c>
      <c r="F1256" s="8" t="s">
        <v>247</v>
      </c>
      <c r="G1256" s="1">
        <v>1</v>
      </c>
      <c r="H1256" s="1"/>
      <c r="I1256" s="1">
        <f>1809-17</f>
        <v>1792</v>
      </c>
      <c r="J1256" t="s">
        <v>10</v>
      </c>
      <c r="K1256" t="s">
        <v>997</v>
      </c>
      <c r="T1256" s="5"/>
      <c r="U1256" t="s">
        <v>1004</v>
      </c>
      <c r="AQ1256" s="6">
        <v>1</v>
      </c>
      <c r="AR1256" s="7">
        <v>1</v>
      </c>
      <c r="BC1256" t="s">
        <v>998</v>
      </c>
      <c r="BD1256" s="7" t="s">
        <v>103</v>
      </c>
      <c r="BE1256" t="s">
        <v>999</v>
      </c>
      <c r="BF1256" s="1" t="s">
        <v>29</v>
      </c>
      <c r="BG1256" s="1">
        <v>1</v>
      </c>
      <c r="BH1256">
        <v>2</v>
      </c>
      <c r="BK1256" s="1"/>
      <c r="BO1256">
        <v>1</v>
      </c>
      <c r="CC1256">
        <v>1</v>
      </c>
      <c r="CJ1256">
        <v>1</v>
      </c>
      <c r="CL1256">
        <v>1</v>
      </c>
      <c r="CS1256" s="7" t="s">
        <v>1000</v>
      </c>
    </row>
    <row r="1257" spans="1:98">
      <c r="A1257" t="s">
        <v>72</v>
      </c>
      <c r="B1257" t="s">
        <v>629</v>
      </c>
      <c r="C1257" s="15"/>
      <c r="D1257" s="15"/>
      <c r="F1257" t="s">
        <v>7</v>
      </c>
      <c r="G1257" s="1"/>
      <c r="H1257" s="1"/>
      <c r="I1257" s="1"/>
      <c r="T1257" s="5"/>
      <c r="U1257" s="9" t="s">
        <v>632</v>
      </c>
      <c r="AP1257" s="54"/>
      <c r="AQ1257" s="7">
        <v>1</v>
      </c>
      <c r="BC1257" t="s">
        <v>633</v>
      </c>
      <c r="BD1257" s="7" t="s">
        <v>109</v>
      </c>
      <c r="BE1257" t="s">
        <v>636</v>
      </c>
      <c r="BF1257" s="1" t="s">
        <v>29</v>
      </c>
      <c r="BG1257" s="1">
        <v>1</v>
      </c>
      <c r="BH1257">
        <v>1</v>
      </c>
      <c r="BK1257" s="1"/>
      <c r="BM1257">
        <v>1</v>
      </c>
      <c r="CS1257" s="7" t="s">
        <v>640</v>
      </c>
      <c r="CT1257" s="9" t="s">
        <v>638</v>
      </c>
    </row>
    <row r="1258" spans="1:98">
      <c r="A1258" t="s">
        <v>72</v>
      </c>
      <c r="B1258" t="s">
        <v>630</v>
      </c>
      <c r="C1258" s="15"/>
      <c r="D1258" s="15"/>
      <c r="F1258" t="s">
        <v>7</v>
      </c>
      <c r="G1258" s="1"/>
      <c r="H1258" s="1"/>
      <c r="I1258" s="1"/>
      <c r="T1258" s="5"/>
      <c r="U1258" s="9" t="s">
        <v>632</v>
      </c>
      <c r="AP1258" s="54"/>
      <c r="AQ1258" s="7">
        <v>1</v>
      </c>
      <c r="BC1258" t="s">
        <v>634</v>
      </c>
      <c r="BD1258" s="7" t="s">
        <v>103</v>
      </c>
      <c r="BE1258" t="s">
        <v>636</v>
      </c>
      <c r="BF1258" s="1" t="s">
        <v>29</v>
      </c>
      <c r="BG1258" s="1">
        <v>1</v>
      </c>
      <c r="BH1258">
        <v>1</v>
      </c>
      <c r="BK1258" s="1"/>
      <c r="BM1258">
        <v>1</v>
      </c>
      <c r="CS1258" s="7" t="s">
        <v>637</v>
      </c>
      <c r="CT1258" s="9" t="s">
        <v>638</v>
      </c>
    </row>
    <row r="1259" spans="1:98">
      <c r="A1259" t="s">
        <v>72</v>
      </c>
      <c r="B1259" t="s">
        <v>631</v>
      </c>
      <c r="C1259" s="15"/>
      <c r="D1259" s="15"/>
      <c r="F1259" t="s">
        <v>7</v>
      </c>
      <c r="G1259" s="1"/>
      <c r="H1259" s="1"/>
      <c r="I1259" s="1"/>
      <c r="T1259" s="5"/>
      <c r="U1259" s="9" t="s">
        <v>632</v>
      </c>
      <c r="AP1259" s="54"/>
      <c r="AQ1259" s="7">
        <v>1</v>
      </c>
      <c r="BC1259" t="s">
        <v>635</v>
      </c>
      <c r="BD1259" s="7" t="s">
        <v>109</v>
      </c>
      <c r="BE1259" t="s">
        <v>636</v>
      </c>
      <c r="BF1259" s="1" t="s">
        <v>29</v>
      </c>
      <c r="BG1259" s="1">
        <v>1</v>
      </c>
      <c r="BH1259">
        <v>1</v>
      </c>
      <c r="BK1259" s="1"/>
      <c r="BM1259">
        <v>1</v>
      </c>
      <c r="CF1259">
        <v>1</v>
      </c>
      <c r="CS1259" s="7" t="s">
        <v>639</v>
      </c>
      <c r="CT1259" s="9" t="s">
        <v>638</v>
      </c>
    </row>
    <row r="1260" spans="1:98">
      <c r="B1260" t="s">
        <v>643</v>
      </c>
      <c r="C1260" s="15" t="s">
        <v>644</v>
      </c>
      <c r="D1260" s="15"/>
      <c r="F1260" s="8" t="s">
        <v>645</v>
      </c>
      <c r="G1260" s="1">
        <v>1</v>
      </c>
      <c r="H1260" s="1"/>
      <c r="I1260" s="1">
        <f>1809-20</f>
        <v>1789</v>
      </c>
      <c r="J1260" t="s">
        <v>10</v>
      </c>
      <c r="K1260" t="s">
        <v>646</v>
      </c>
      <c r="T1260" s="5"/>
      <c r="U1260" s="9" t="s">
        <v>632</v>
      </c>
      <c r="AP1260" s="54"/>
      <c r="AQ1260" s="6">
        <v>1</v>
      </c>
      <c r="BC1260">
        <v>1809</v>
      </c>
      <c r="BD1260" t="s">
        <v>81</v>
      </c>
      <c r="BE1260" s="10" t="s">
        <v>642</v>
      </c>
      <c r="BF1260" s="1" t="s">
        <v>73</v>
      </c>
      <c r="BG1260" s="1">
        <v>2</v>
      </c>
      <c r="BH1260">
        <v>1</v>
      </c>
      <c r="BK1260" s="1"/>
      <c r="BM1260">
        <v>1</v>
      </c>
      <c r="BO1260">
        <v>1</v>
      </c>
      <c r="BP1260">
        <v>1</v>
      </c>
      <c r="BT1260">
        <v>1</v>
      </c>
      <c r="CL1260" s="10">
        <v>1</v>
      </c>
      <c r="CS1260" s="10" t="s">
        <v>641</v>
      </c>
      <c r="CT1260" s="9" t="s">
        <v>638</v>
      </c>
    </row>
    <row r="1261" spans="1:98">
      <c r="B1261" t="s">
        <v>535</v>
      </c>
      <c r="C1261" s="15" t="s">
        <v>536</v>
      </c>
      <c r="D1261" s="15"/>
      <c r="E1261" s="8" t="s">
        <v>430</v>
      </c>
      <c r="F1261" s="8" t="s">
        <v>218</v>
      </c>
      <c r="G1261" s="1">
        <v>1</v>
      </c>
      <c r="H1261" s="1"/>
      <c r="I1261" s="1">
        <f>1809-34</f>
        <v>1775</v>
      </c>
      <c r="J1261" t="s">
        <v>10</v>
      </c>
      <c r="K1261" t="s">
        <v>537</v>
      </c>
      <c r="Q1261">
        <v>5</v>
      </c>
      <c r="R1261">
        <v>2</v>
      </c>
      <c r="T1261" s="5">
        <f>((Q1261*316)+(R1261*26.3)+(S1261*2.2))/10</f>
        <v>163.26</v>
      </c>
      <c r="U1261" t="s">
        <v>538</v>
      </c>
      <c r="AP1261" s="54"/>
      <c r="AQ1261" s="6">
        <v>1</v>
      </c>
      <c r="AR1261" s="7">
        <v>1</v>
      </c>
      <c r="BC1261" t="s">
        <v>432</v>
      </c>
      <c r="BD1261" s="7" t="s">
        <v>103</v>
      </c>
      <c r="BE1261" t="s">
        <v>433</v>
      </c>
      <c r="BF1261" s="1" t="s">
        <v>29</v>
      </c>
      <c r="BG1261" s="1">
        <v>1</v>
      </c>
      <c r="BH1261">
        <v>1</v>
      </c>
      <c r="BK1261" s="1"/>
      <c r="BM1261">
        <v>1</v>
      </c>
      <c r="BO1261">
        <v>1</v>
      </c>
      <c r="BR1261">
        <v>1</v>
      </c>
      <c r="CS1261" s="7" t="s">
        <v>520</v>
      </c>
    </row>
    <row r="1262" spans="1:98">
      <c r="B1262" t="s">
        <v>2910</v>
      </c>
      <c r="C1262" s="2" t="s">
        <v>2137</v>
      </c>
      <c r="D1262" s="15"/>
      <c r="F1262" s="8" t="s">
        <v>65</v>
      </c>
      <c r="G1262" s="1">
        <v>1</v>
      </c>
      <c r="H1262" s="1"/>
      <c r="I1262" s="1">
        <f>1811-23</f>
        <v>1788</v>
      </c>
      <c r="J1262" t="s">
        <v>10</v>
      </c>
      <c r="K1262" t="s">
        <v>197</v>
      </c>
      <c r="Q1262">
        <v>5</v>
      </c>
      <c r="R1262">
        <v>2</v>
      </c>
      <c r="T1262" s="5">
        <f>((Q1262*316)+(R1262*26.3)+(S1262*2.2))/10</f>
        <v>163.26</v>
      </c>
      <c r="U1262" t="s">
        <v>2911</v>
      </c>
      <c r="AQ1262" s="6">
        <v>1</v>
      </c>
      <c r="AR1262" s="6">
        <v>1</v>
      </c>
      <c r="AS1262" s="6">
        <v>1</v>
      </c>
      <c r="AT1262" s="6">
        <v>1</v>
      </c>
      <c r="BC1262">
        <v>1812</v>
      </c>
      <c r="BD1262" t="s">
        <v>81</v>
      </c>
      <c r="BE1262" t="s">
        <v>62</v>
      </c>
      <c r="BF1262" s="1" t="s">
        <v>73</v>
      </c>
      <c r="BG1262" s="1">
        <v>3</v>
      </c>
      <c r="BH1262">
        <v>2</v>
      </c>
      <c r="BK1262" s="1">
        <v>1</v>
      </c>
      <c r="BQ1262">
        <v>1</v>
      </c>
      <c r="CL1262">
        <v>1</v>
      </c>
      <c r="CS1262" t="s">
        <v>2487</v>
      </c>
    </row>
    <row r="1263" spans="1:98">
      <c r="B1263" t="s">
        <v>1044</v>
      </c>
      <c r="C1263" s="2" t="s">
        <v>782</v>
      </c>
      <c r="E1263" s="8" t="s">
        <v>393</v>
      </c>
      <c r="F1263" s="8" t="s">
        <v>247</v>
      </c>
      <c r="G1263" s="1">
        <v>1</v>
      </c>
      <c r="H1263" s="1"/>
      <c r="I1263" s="1">
        <f>1809-23</f>
        <v>1786</v>
      </c>
      <c r="J1263" t="s">
        <v>10</v>
      </c>
      <c r="K1263" t="s">
        <v>4556</v>
      </c>
      <c r="T1263" s="5"/>
      <c r="U1263" t="s">
        <v>1045</v>
      </c>
      <c r="AQ1263" s="6">
        <v>1</v>
      </c>
      <c r="BC1263">
        <v>1809</v>
      </c>
      <c r="BD1263" t="s">
        <v>81</v>
      </c>
      <c r="BE1263" s="10" t="s">
        <v>1046</v>
      </c>
      <c r="BF1263" s="1" t="s">
        <v>73</v>
      </c>
      <c r="BG1263" s="1">
        <v>1</v>
      </c>
      <c r="BH1263">
        <v>3</v>
      </c>
      <c r="BK1263" s="1"/>
      <c r="BO1263">
        <v>1</v>
      </c>
      <c r="CC1263">
        <v>1</v>
      </c>
      <c r="CJ1263">
        <v>1</v>
      </c>
      <c r="CL1263" s="10">
        <v>1</v>
      </c>
      <c r="CS1263" s="10" t="s">
        <v>1047</v>
      </c>
    </row>
    <row r="1264" spans="1:98">
      <c r="B1264" t="s">
        <v>3431</v>
      </c>
      <c r="C1264" s="2" t="s">
        <v>3432</v>
      </c>
      <c r="D1264" s="2" t="s">
        <v>3432</v>
      </c>
      <c r="E1264" s="8" t="s">
        <v>3373</v>
      </c>
      <c r="F1264" s="8" t="s">
        <v>218</v>
      </c>
      <c r="G1264" s="1">
        <v>1</v>
      </c>
      <c r="H1264" s="1"/>
      <c r="I1264" s="1">
        <f>1810-23</f>
        <v>1787</v>
      </c>
      <c r="J1264" t="s">
        <v>10</v>
      </c>
      <c r="K1264" t="s">
        <v>12</v>
      </c>
      <c r="Q1264">
        <v>5</v>
      </c>
      <c r="R1264">
        <v>2</v>
      </c>
      <c r="T1264" s="5">
        <f t="shared" ref="T1264" si="59">((Q1264*316)+(R1264*26.3)+(S1264*2.2))/10</f>
        <v>163.26</v>
      </c>
      <c r="U1264" t="s">
        <v>1006</v>
      </c>
      <c r="AQ1264" s="6">
        <v>1</v>
      </c>
      <c r="AR1264" s="6">
        <v>1</v>
      </c>
      <c r="BC1264">
        <v>1810</v>
      </c>
      <c r="BD1264" t="s">
        <v>81</v>
      </c>
      <c r="BE1264" s="10" t="s">
        <v>3430</v>
      </c>
      <c r="BF1264" s="1" t="s">
        <v>73</v>
      </c>
      <c r="BG1264" s="1">
        <v>1</v>
      </c>
      <c r="BH1264">
        <v>2</v>
      </c>
      <c r="BK1264" s="1" t="s">
        <v>72</v>
      </c>
      <c r="BQ1264">
        <v>1</v>
      </c>
      <c r="BX1264">
        <v>1</v>
      </c>
      <c r="CL1264" s="10">
        <v>1</v>
      </c>
      <c r="CS1264" s="10" t="s">
        <v>3433</v>
      </c>
    </row>
    <row r="1265" spans="1:97">
      <c r="B1265" t="s">
        <v>1008</v>
      </c>
      <c r="C1265" s="15" t="s">
        <v>522</v>
      </c>
      <c r="F1265" s="8" t="s">
        <v>218</v>
      </c>
      <c r="G1265" s="1">
        <v>1</v>
      </c>
      <c r="H1265" s="1"/>
      <c r="I1265" s="1">
        <f>1809-28</f>
        <v>1781</v>
      </c>
      <c r="J1265" t="s">
        <v>69</v>
      </c>
      <c r="K1265" t="s">
        <v>12</v>
      </c>
      <c r="T1265" s="5"/>
      <c r="U1265" t="s">
        <v>1006</v>
      </c>
      <c r="AQ1265" s="6">
        <v>1</v>
      </c>
      <c r="BC1265">
        <v>1809</v>
      </c>
      <c r="BD1265" t="s">
        <v>81</v>
      </c>
      <c r="BE1265" s="10" t="s">
        <v>999</v>
      </c>
      <c r="BF1265" s="1" t="s">
        <v>73</v>
      </c>
      <c r="BG1265" s="1">
        <v>1</v>
      </c>
      <c r="BH1265">
        <v>3</v>
      </c>
      <c r="BK1265" s="1" t="s">
        <v>72</v>
      </c>
      <c r="CC1265">
        <v>1</v>
      </c>
      <c r="CL1265" s="10">
        <v>1</v>
      </c>
      <c r="CS1265" s="10" t="s">
        <v>1007</v>
      </c>
    </row>
    <row r="1266" spans="1:97">
      <c r="B1266" t="s">
        <v>1005</v>
      </c>
      <c r="C1266" s="15" t="s">
        <v>522</v>
      </c>
      <c r="F1266" s="8" t="s">
        <v>218</v>
      </c>
      <c r="G1266" s="1">
        <v>1</v>
      </c>
      <c r="H1266" s="1"/>
      <c r="I1266" s="1">
        <f>1809-24</f>
        <v>1785</v>
      </c>
      <c r="J1266" t="s">
        <v>10</v>
      </c>
      <c r="K1266" t="s">
        <v>12</v>
      </c>
      <c r="T1266" s="5"/>
      <c r="U1266" t="s">
        <v>1006</v>
      </c>
      <c r="AQ1266" s="6">
        <v>1</v>
      </c>
      <c r="BC1266">
        <v>1809</v>
      </c>
      <c r="BD1266" t="s">
        <v>81</v>
      </c>
      <c r="BE1266" s="10" t="s">
        <v>999</v>
      </c>
      <c r="BF1266" s="1" t="s">
        <v>73</v>
      </c>
      <c r="BG1266" s="1">
        <v>1</v>
      </c>
      <c r="BH1266">
        <v>3</v>
      </c>
      <c r="BK1266" s="1" t="s">
        <v>72</v>
      </c>
      <c r="CC1266">
        <v>1</v>
      </c>
      <c r="CL1266" s="10">
        <v>1</v>
      </c>
      <c r="CS1266" s="10" t="s">
        <v>1007</v>
      </c>
    </row>
    <row r="1267" spans="1:97">
      <c r="B1267" t="s">
        <v>1009</v>
      </c>
      <c r="C1267" s="15" t="s">
        <v>522</v>
      </c>
      <c r="F1267" s="8" t="s">
        <v>218</v>
      </c>
      <c r="G1267" s="1">
        <v>1</v>
      </c>
      <c r="H1267" s="1"/>
      <c r="I1267" s="1">
        <f>1809-23</f>
        <v>1786</v>
      </c>
      <c r="J1267" t="s">
        <v>10</v>
      </c>
      <c r="K1267" t="s">
        <v>900</v>
      </c>
      <c r="T1267" s="5"/>
      <c r="U1267" t="s">
        <v>1010</v>
      </c>
      <c r="AQ1267" s="6">
        <v>1</v>
      </c>
      <c r="AR1267" s="7">
        <v>1</v>
      </c>
      <c r="AS1267" s="14"/>
      <c r="BC1267" t="s">
        <v>1011</v>
      </c>
      <c r="BD1267" s="7" t="s">
        <v>103</v>
      </c>
      <c r="BE1267" t="s">
        <v>999</v>
      </c>
      <c r="BF1267" s="1" t="s">
        <v>29</v>
      </c>
      <c r="BG1267" s="1">
        <v>1</v>
      </c>
      <c r="BH1267">
        <v>3</v>
      </c>
      <c r="BK1267" s="1">
        <v>1</v>
      </c>
      <c r="BL1267">
        <v>1</v>
      </c>
      <c r="CC1267">
        <v>1</v>
      </c>
      <c r="CL1267">
        <v>1</v>
      </c>
      <c r="CS1267" s="7" t="s">
        <v>1012</v>
      </c>
    </row>
    <row r="1268" spans="1:97">
      <c r="B1268" t="s">
        <v>2958</v>
      </c>
      <c r="C1268" s="2" t="s">
        <v>2959</v>
      </c>
      <c r="D1268" s="2" t="s">
        <v>2960</v>
      </c>
      <c r="E1268" s="8" t="s">
        <v>627</v>
      </c>
      <c r="F1268" s="8" t="s">
        <v>357</v>
      </c>
      <c r="G1268" s="1">
        <v>1</v>
      </c>
      <c r="H1268" s="1"/>
      <c r="I1268" s="1">
        <f>1809-24</f>
        <v>1785</v>
      </c>
      <c r="J1268" t="s">
        <v>69</v>
      </c>
      <c r="K1268" t="s">
        <v>12</v>
      </c>
      <c r="T1268" s="5"/>
      <c r="U1268" t="s">
        <v>600</v>
      </c>
      <c r="AQ1268" s="6">
        <v>1</v>
      </c>
      <c r="BC1268">
        <v>1809</v>
      </c>
      <c r="BD1268" t="s">
        <v>81</v>
      </c>
      <c r="BE1268" t="s">
        <v>1904</v>
      </c>
      <c r="BF1268" s="1" t="s">
        <v>73</v>
      </c>
      <c r="BG1268" s="1">
        <v>2</v>
      </c>
      <c r="BH1268">
        <v>1</v>
      </c>
      <c r="BK1268" s="1">
        <v>1</v>
      </c>
      <c r="BQ1268">
        <v>1</v>
      </c>
      <c r="CS1268" t="s">
        <v>2961</v>
      </c>
    </row>
    <row r="1269" spans="1:97">
      <c r="A1269" t="s">
        <v>72</v>
      </c>
      <c r="B1269" t="s">
        <v>604</v>
      </c>
      <c r="D1269" s="15"/>
      <c r="F1269" t="s">
        <v>7</v>
      </c>
      <c r="G1269" s="1"/>
      <c r="H1269" s="1"/>
      <c r="I1269" s="1"/>
      <c r="T1269" s="5"/>
      <c r="U1269" t="s">
        <v>600</v>
      </c>
      <c r="AP1269" s="54"/>
      <c r="AQ1269" s="7">
        <v>1</v>
      </c>
      <c r="BC1269" t="s">
        <v>607</v>
      </c>
      <c r="BD1269" s="7" t="s">
        <v>163</v>
      </c>
      <c r="BE1269" t="s">
        <v>602</v>
      </c>
      <c r="BF1269" s="1" t="s">
        <v>29</v>
      </c>
      <c r="BG1269" s="1">
        <v>1</v>
      </c>
      <c r="BH1269">
        <v>1</v>
      </c>
      <c r="BK1269" s="1"/>
      <c r="BM1269">
        <v>1</v>
      </c>
      <c r="BO1269">
        <v>1</v>
      </c>
      <c r="BR1269">
        <v>1</v>
      </c>
      <c r="CS1269" s="7" t="s">
        <v>3528</v>
      </c>
    </row>
    <row r="1270" spans="1:97">
      <c r="B1270" t="s">
        <v>598</v>
      </c>
      <c r="C1270" s="15" t="s">
        <v>609</v>
      </c>
      <c r="D1270" s="15"/>
      <c r="E1270" s="8" t="s">
        <v>599</v>
      </c>
      <c r="F1270" s="8" t="s">
        <v>357</v>
      </c>
      <c r="G1270" s="1">
        <v>1</v>
      </c>
      <c r="H1270" s="1"/>
      <c r="I1270" s="1">
        <f>1810-22</f>
        <v>1788</v>
      </c>
      <c r="J1270" t="s">
        <v>10</v>
      </c>
      <c r="K1270" t="s">
        <v>12</v>
      </c>
      <c r="T1270" s="5"/>
      <c r="U1270" t="s">
        <v>600</v>
      </c>
      <c r="AP1270" s="54"/>
      <c r="AQ1270" s="6">
        <v>1</v>
      </c>
      <c r="AR1270" s="7">
        <v>1</v>
      </c>
      <c r="BC1270" t="s">
        <v>601</v>
      </c>
      <c r="BD1270" s="7" t="s">
        <v>103</v>
      </c>
      <c r="BE1270" t="s">
        <v>602</v>
      </c>
      <c r="BF1270" s="1" t="s">
        <v>29</v>
      </c>
      <c r="BG1270" s="1">
        <v>1</v>
      </c>
      <c r="BH1270">
        <v>1</v>
      </c>
      <c r="BK1270" s="1"/>
      <c r="BM1270">
        <v>1</v>
      </c>
      <c r="BO1270">
        <v>1</v>
      </c>
      <c r="BR1270">
        <v>1</v>
      </c>
      <c r="CM1270">
        <v>1</v>
      </c>
      <c r="CS1270" s="7" t="s">
        <v>603</v>
      </c>
    </row>
    <row r="1271" spans="1:97">
      <c r="A1271" t="s">
        <v>72</v>
      </c>
      <c r="B1271" t="s">
        <v>606</v>
      </c>
      <c r="C1271" s="15"/>
      <c r="D1271" s="15"/>
      <c r="F1271" t="s">
        <v>7</v>
      </c>
      <c r="G1271" s="1"/>
      <c r="H1271" s="1"/>
      <c r="I1271" s="1"/>
      <c r="T1271" s="5"/>
      <c r="U1271" t="s">
        <v>600</v>
      </c>
      <c r="AP1271" s="54"/>
      <c r="AQ1271" s="6">
        <v>1</v>
      </c>
      <c r="AR1271" s="7">
        <v>1</v>
      </c>
      <c r="BC1271" t="s">
        <v>601</v>
      </c>
      <c r="BD1271" s="7" t="s">
        <v>103</v>
      </c>
      <c r="BE1271" t="s">
        <v>602</v>
      </c>
      <c r="BF1271" s="1" t="s">
        <v>29</v>
      </c>
      <c r="BG1271" s="1">
        <v>2</v>
      </c>
      <c r="BH1271">
        <v>1</v>
      </c>
      <c r="BK1271" s="1"/>
      <c r="BM1271">
        <v>1</v>
      </c>
      <c r="BO1271">
        <v>1</v>
      </c>
      <c r="BR1271">
        <v>1</v>
      </c>
      <c r="CS1271" s="7" t="s">
        <v>603</v>
      </c>
    </row>
    <row r="1272" spans="1:97">
      <c r="A1272" t="s">
        <v>72</v>
      </c>
      <c r="B1272" t="s">
        <v>608</v>
      </c>
      <c r="C1272" s="15"/>
      <c r="D1272" s="15"/>
      <c r="F1272" t="s">
        <v>7</v>
      </c>
      <c r="G1272" s="1"/>
      <c r="H1272" s="1"/>
      <c r="I1272" s="1"/>
      <c r="T1272" s="5"/>
      <c r="U1272" t="s">
        <v>600</v>
      </c>
      <c r="AP1272" s="54"/>
      <c r="AQ1272" s="6">
        <v>1</v>
      </c>
      <c r="AR1272" s="7">
        <v>1</v>
      </c>
      <c r="BC1272" t="s">
        <v>601</v>
      </c>
      <c r="BD1272" s="7" t="s">
        <v>103</v>
      </c>
      <c r="BE1272" t="s">
        <v>602</v>
      </c>
      <c r="BF1272" s="1" t="s">
        <v>29</v>
      </c>
      <c r="BG1272" s="1">
        <v>2</v>
      </c>
      <c r="BH1272">
        <v>1</v>
      </c>
      <c r="BK1272" s="1"/>
      <c r="BM1272">
        <v>1</v>
      </c>
      <c r="BO1272">
        <v>1</v>
      </c>
      <c r="BR1272">
        <v>1</v>
      </c>
      <c r="CS1272" s="7" t="s">
        <v>603</v>
      </c>
    </row>
    <row r="1273" spans="1:97">
      <c r="B1273" t="s">
        <v>578</v>
      </c>
      <c r="C1273" s="15" t="s">
        <v>579</v>
      </c>
      <c r="D1273" s="34" t="s">
        <v>581</v>
      </c>
      <c r="E1273" s="8" t="s">
        <v>580</v>
      </c>
      <c r="F1273" s="8" t="s">
        <v>218</v>
      </c>
      <c r="G1273" s="1">
        <v>1</v>
      </c>
      <c r="H1273" s="1"/>
      <c r="I1273" s="1">
        <f>1809-23</f>
        <v>1786</v>
      </c>
      <c r="J1273" t="s">
        <v>10</v>
      </c>
      <c r="K1273" t="s">
        <v>12</v>
      </c>
      <c r="Q1273">
        <v>5</v>
      </c>
      <c r="T1273" s="5">
        <f t="shared" ref="T1273:T1282" si="60">((Q1273*316)+(R1273*26.3)+(S1273*2.2))/10</f>
        <v>158</v>
      </c>
      <c r="U1273" t="s">
        <v>597</v>
      </c>
      <c r="AQ1273" s="7">
        <v>1</v>
      </c>
      <c r="BC1273" t="s">
        <v>582</v>
      </c>
      <c r="BD1273" s="7" t="s">
        <v>109</v>
      </c>
      <c r="BE1273" t="s">
        <v>433</v>
      </c>
      <c r="BF1273" s="1" t="s">
        <v>29</v>
      </c>
      <c r="BG1273" s="1">
        <v>1</v>
      </c>
      <c r="BH1273">
        <v>1</v>
      </c>
      <c r="BK1273" s="1"/>
      <c r="BO1273">
        <v>1</v>
      </c>
      <c r="BR1273">
        <v>1</v>
      </c>
      <c r="CS1273" s="7" t="s">
        <v>583</v>
      </c>
    </row>
    <row r="1274" spans="1:97">
      <c r="B1274" t="s">
        <v>1552</v>
      </c>
      <c r="C1274" s="2" t="s">
        <v>1553</v>
      </c>
      <c r="D1274" s="2" t="s">
        <v>1554</v>
      </c>
      <c r="E1274" s="8" t="s">
        <v>1555</v>
      </c>
      <c r="F1274" s="8" t="s">
        <v>218</v>
      </c>
      <c r="G1274" s="1">
        <v>1</v>
      </c>
      <c r="H1274" s="1"/>
      <c r="I1274" s="1">
        <f>1809-23</f>
        <v>1786</v>
      </c>
      <c r="J1274" t="s">
        <v>10</v>
      </c>
      <c r="K1274" t="s">
        <v>12</v>
      </c>
      <c r="Q1274">
        <v>5</v>
      </c>
      <c r="R1274">
        <v>2</v>
      </c>
      <c r="S1274">
        <v>1</v>
      </c>
      <c r="T1274" s="5">
        <f t="shared" si="60"/>
        <v>163.47999999999999</v>
      </c>
      <c r="U1274" t="s">
        <v>1556</v>
      </c>
      <c r="AQ1274" s="6">
        <v>1</v>
      </c>
      <c r="AR1274" s="7">
        <v>1</v>
      </c>
      <c r="BC1274" t="s">
        <v>1557</v>
      </c>
      <c r="BD1274" s="7" t="s">
        <v>959</v>
      </c>
      <c r="BE1274" s="7" t="s">
        <v>1558</v>
      </c>
      <c r="BF1274" s="1" t="s">
        <v>29</v>
      </c>
      <c r="BG1274" s="1">
        <v>4</v>
      </c>
      <c r="BH1274">
        <v>1</v>
      </c>
      <c r="BI1274">
        <v>1</v>
      </c>
      <c r="BJ1274">
        <v>1</v>
      </c>
      <c r="BK1274" s="1">
        <v>1</v>
      </c>
      <c r="BQ1274">
        <v>1</v>
      </c>
      <c r="CB1274" s="7">
        <v>1</v>
      </c>
      <c r="CS1274" s="7" t="s">
        <v>4610</v>
      </c>
    </row>
    <row r="1275" spans="1:97">
      <c r="B1275" t="s">
        <v>676</v>
      </c>
      <c r="C1275" s="15" t="s">
        <v>677</v>
      </c>
      <c r="D1275" s="18"/>
      <c r="F1275" s="8" t="s">
        <v>678</v>
      </c>
      <c r="G1275" s="1"/>
      <c r="H1275" s="1">
        <v>1</v>
      </c>
      <c r="I1275" s="1">
        <f>1809-17</f>
        <v>1792</v>
      </c>
      <c r="J1275" t="s">
        <v>10</v>
      </c>
      <c r="K1275" t="s">
        <v>12</v>
      </c>
      <c r="Q1275">
        <v>5</v>
      </c>
      <c r="R1275">
        <v>0</v>
      </c>
      <c r="S1275">
        <v>1</v>
      </c>
      <c r="T1275" s="5">
        <f t="shared" si="60"/>
        <v>158.22</v>
      </c>
      <c r="U1275" t="s">
        <v>698</v>
      </c>
      <c r="AQ1275" s="6">
        <v>1</v>
      </c>
      <c r="AR1275" s="7">
        <v>1</v>
      </c>
      <c r="BC1275" t="s">
        <v>544</v>
      </c>
      <c r="BD1275" s="7" t="s">
        <v>103</v>
      </c>
      <c r="BE1275" t="s">
        <v>672</v>
      </c>
      <c r="BF1275" s="1" t="s">
        <v>29</v>
      </c>
      <c r="BG1275" s="1">
        <v>1</v>
      </c>
      <c r="BH1275">
        <v>1</v>
      </c>
      <c r="BK1275" s="1"/>
      <c r="BO1275">
        <v>1</v>
      </c>
      <c r="BR1275">
        <v>1</v>
      </c>
      <c r="CS1275" s="7" t="s">
        <v>679</v>
      </c>
    </row>
    <row r="1276" spans="1:97">
      <c r="B1276" t="s">
        <v>4333</v>
      </c>
      <c r="C1276" s="2" t="s">
        <v>3617</v>
      </c>
      <c r="D1276" s="13" t="s">
        <v>4334</v>
      </c>
      <c r="E1276" s="8" t="s">
        <v>627</v>
      </c>
      <c r="F1276" s="8" t="s">
        <v>357</v>
      </c>
      <c r="G1276" s="1">
        <v>1</v>
      </c>
      <c r="H1276" s="1"/>
      <c r="I1276" s="1">
        <f>1811-29</f>
        <v>1782</v>
      </c>
      <c r="J1276" t="s">
        <v>10</v>
      </c>
      <c r="K1276" t="s">
        <v>3775</v>
      </c>
      <c r="Q1276">
        <v>5</v>
      </c>
      <c r="R1276">
        <v>3</v>
      </c>
      <c r="T1276" s="5">
        <f t="shared" si="60"/>
        <v>165.89000000000001</v>
      </c>
      <c r="U1276" t="s">
        <v>702</v>
      </c>
      <c r="AQ1276" s="6">
        <v>1</v>
      </c>
      <c r="AR1276" s="6">
        <v>1</v>
      </c>
      <c r="AS1276" s="6">
        <v>1</v>
      </c>
      <c r="BC1276">
        <v>1811</v>
      </c>
      <c r="BD1276" t="s">
        <v>81</v>
      </c>
      <c r="BE1276" t="s">
        <v>4328</v>
      </c>
      <c r="BF1276" s="1" t="s">
        <v>73</v>
      </c>
      <c r="BG1276" s="1">
        <v>1</v>
      </c>
      <c r="BH1276">
        <v>1</v>
      </c>
      <c r="BK1276" s="1" t="s">
        <v>72</v>
      </c>
      <c r="BQ1276">
        <v>1</v>
      </c>
      <c r="CS1276" t="s">
        <v>4329</v>
      </c>
    </row>
    <row r="1277" spans="1:97">
      <c r="B1277" t="s">
        <v>3282</v>
      </c>
      <c r="C1277" s="2" t="s">
        <v>3283</v>
      </c>
      <c r="D1277" s="2" t="s">
        <v>356</v>
      </c>
      <c r="E1277" s="8" t="s">
        <v>546</v>
      </c>
      <c r="F1277" s="8" t="s">
        <v>357</v>
      </c>
      <c r="G1277" s="1">
        <v>1</v>
      </c>
      <c r="H1277" s="1"/>
      <c r="I1277" s="1">
        <f>1809-19</f>
        <v>1790</v>
      </c>
      <c r="J1277" t="s">
        <v>10</v>
      </c>
      <c r="K1277" t="s">
        <v>197</v>
      </c>
      <c r="Q1277">
        <v>5</v>
      </c>
      <c r="R1277">
        <v>4</v>
      </c>
      <c r="T1277" s="5">
        <f t="shared" si="60"/>
        <v>168.52</v>
      </c>
      <c r="U1277" t="s">
        <v>702</v>
      </c>
      <c r="AQ1277" s="7">
        <v>1</v>
      </c>
      <c r="BC1277" t="s">
        <v>612</v>
      </c>
      <c r="BD1277" s="7" t="s">
        <v>280</v>
      </c>
      <c r="BE1277" t="s">
        <v>2407</v>
      </c>
      <c r="BF1277" s="1" t="s">
        <v>29</v>
      </c>
      <c r="BG1277" s="1">
        <v>2</v>
      </c>
      <c r="BH1277">
        <v>1</v>
      </c>
      <c r="BK1277" s="1">
        <v>1</v>
      </c>
      <c r="BL1277">
        <v>1</v>
      </c>
      <c r="BQ1277">
        <v>1</v>
      </c>
      <c r="CS1277" s="7" t="s">
        <v>3284</v>
      </c>
    </row>
    <row r="1278" spans="1:97">
      <c r="B1278" t="s">
        <v>3498</v>
      </c>
      <c r="C1278" s="2" t="s">
        <v>356</v>
      </c>
      <c r="D1278" s="15"/>
      <c r="F1278" s="8" t="s">
        <v>357</v>
      </c>
      <c r="G1278" s="1">
        <v>1</v>
      </c>
      <c r="H1278" s="1"/>
      <c r="I1278" s="1">
        <f>1811-24</f>
        <v>1787</v>
      </c>
      <c r="J1278" t="s">
        <v>10</v>
      </c>
      <c r="K1278" t="s">
        <v>12</v>
      </c>
      <c r="Q1278">
        <v>5</v>
      </c>
      <c r="R1278">
        <v>6</v>
      </c>
      <c r="T1278" s="5">
        <f t="shared" si="60"/>
        <v>173.78</v>
      </c>
      <c r="U1278" t="s">
        <v>702</v>
      </c>
      <c r="AQ1278" s="6">
        <v>1</v>
      </c>
      <c r="AR1278" s="6">
        <v>1</v>
      </c>
      <c r="AS1278" s="6">
        <v>1</v>
      </c>
      <c r="AT1278" s="6">
        <v>1</v>
      </c>
      <c r="AU1278" s="7">
        <v>1</v>
      </c>
      <c r="BC1278" t="s">
        <v>3499</v>
      </c>
      <c r="BD1278" s="7" t="s">
        <v>103</v>
      </c>
      <c r="BE1278" t="s">
        <v>2407</v>
      </c>
      <c r="BF1278" s="1" t="s">
        <v>29</v>
      </c>
      <c r="BG1278" s="27">
        <v>6</v>
      </c>
      <c r="BH1278">
        <v>1</v>
      </c>
      <c r="BI1278">
        <v>1</v>
      </c>
      <c r="BJ1278">
        <v>1</v>
      </c>
      <c r="BK1278" s="1">
        <v>1</v>
      </c>
      <c r="BQ1278">
        <v>1</v>
      </c>
      <c r="CS1278" s="7" t="s">
        <v>2172</v>
      </c>
    </row>
    <row r="1279" spans="1:97">
      <c r="B1279" t="s">
        <v>4323</v>
      </c>
      <c r="C1279" s="2" t="s">
        <v>4324</v>
      </c>
      <c r="D1279" s="15"/>
      <c r="E1279" s="8" t="s">
        <v>246</v>
      </c>
      <c r="F1279" s="8" t="s">
        <v>247</v>
      </c>
      <c r="G1279" s="1">
        <v>1</v>
      </c>
      <c r="H1279" s="1"/>
      <c r="I1279" s="1">
        <f>1811-21</f>
        <v>1790</v>
      </c>
      <c r="J1279" t="s">
        <v>10</v>
      </c>
      <c r="K1279" t="s">
        <v>12</v>
      </c>
      <c r="Q1279">
        <v>5</v>
      </c>
      <c r="R1279">
        <v>4</v>
      </c>
      <c r="T1279" s="5">
        <f t="shared" si="60"/>
        <v>168.52</v>
      </c>
      <c r="U1279" t="s">
        <v>702</v>
      </c>
      <c r="AQ1279" s="6">
        <v>1</v>
      </c>
      <c r="AR1279" s="6">
        <v>1</v>
      </c>
      <c r="AS1279" s="6">
        <v>1</v>
      </c>
      <c r="BC1279">
        <v>1811</v>
      </c>
      <c r="BD1279" t="s">
        <v>81</v>
      </c>
      <c r="BE1279" t="s">
        <v>4311</v>
      </c>
      <c r="BF1279" s="1" t="s">
        <v>73</v>
      </c>
      <c r="BG1279" s="1">
        <v>1</v>
      </c>
      <c r="BH1279">
        <v>1</v>
      </c>
      <c r="BK1279" s="1">
        <v>1</v>
      </c>
      <c r="BQ1279">
        <v>1</v>
      </c>
      <c r="CS1279" t="s">
        <v>4312</v>
      </c>
    </row>
    <row r="1280" spans="1:97">
      <c r="B1280" t="s">
        <v>3543</v>
      </c>
      <c r="C1280" s="15" t="s">
        <v>700</v>
      </c>
      <c r="D1280" s="15" t="s">
        <v>700</v>
      </c>
      <c r="E1280" s="8" t="s">
        <v>2403</v>
      </c>
      <c r="F1280" s="8" t="s">
        <v>65</v>
      </c>
      <c r="G1280" s="1">
        <v>1</v>
      </c>
      <c r="H1280" s="1"/>
      <c r="I1280" s="1">
        <v>1786</v>
      </c>
      <c r="J1280" t="s">
        <v>10</v>
      </c>
      <c r="K1280" t="s">
        <v>701</v>
      </c>
      <c r="Q1280">
        <v>4</v>
      </c>
      <c r="R1280">
        <v>11</v>
      </c>
      <c r="T1280" s="5">
        <f>((Q1280*316)+(R1280*26.3)+(S1280*2.2))/10</f>
        <v>155.32999999999998</v>
      </c>
      <c r="U1280" t="s">
        <v>1967</v>
      </c>
      <c r="AQ1280" s="6">
        <v>1</v>
      </c>
      <c r="AR1280" s="6">
        <v>1</v>
      </c>
      <c r="AS1280" s="6">
        <v>1</v>
      </c>
      <c r="AT1280" s="6">
        <v>1</v>
      </c>
      <c r="AU1280" s="6">
        <v>1</v>
      </c>
      <c r="AV1280" s="6">
        <v>1</v>
      </c>
      <c r="AW1280" s="6">
        <v>1</v>
      </c>
      <c r="AX1280" s="6">
        <v>1</v>
      </c>
      <c r="AY1280" s="6">
        <v>1</v>
      </c>
      <c r="AZ1280" s="7">
        <v>1</v>
      </c>
      <c r="BC1280" t="s">
        <v>3544</v>
      </c>
      <c r="BD1280" s="7" t="s">
        <v>103</v>
      </c>
      <c r="BE1280" t="s">
        <v>719</v>
      </c>
      <c r="BF1280" s="1" t="s">
        <v>29</v>
      </c>
      <c r="BG1280" s="1">
        <v>6</v>
      </c>
      <c r="BH1280">
        <v>3</v>
      </c>
      <c r="BK1280" s="1"/>
      <c r="BO1280">
        <v>1</v>
      </c>
      <c r="BP1280">
        <v>1</v>
      </c>
      <c r="BQ1280">
        <v>1</v>
      </c>
      <c r="BR1280">
        <v>1</v>
      </c>
      <c r="CF1280">
        <v>1</v>
      </c>
      <c r="CL1280">
        <v>1</v>
      </c>
      <c r="CQ1280">
        <v>1</v>
      </c>
      <c r="CR1280">
        <v>1</v>
      </c>
      <c r="CS1280" s="7" t="s">
        <v>2408</v>
      </c>
    </row>
    <row r="1281" spans="2:98">
      <c r="B1281" t="s">
        <v>3541</v>
      </c>
      <c r="C1281" s="2" t="s">
        <v>3247</v>
      </c>
      <c r="D1281" s="2" t="s">
        <v>3247</v>
      </c>
      <c r="E1281" s="8" t="s">
        <v>565</v>
      </c>
      <c r="F1281" s="8" t="s">
        <v>357</v>
      </c>
      <c r="G1281" s="1">
        <v>1</v>
      </c>
      <c r="H1281" s="1"/>
      <c r="I1281" s="1">
        <f>1809-18</f>
        <v>1791</v>
      </c>
      <c r="J1281" t="s">
        <v>10</v>
      </c>
      <c r="K1281" t="s">
        <v>12</v>
      </c>
      <c r="Q1281">
        <v>5</v>
      </c>
      <c r="R1281">
        <v>5</v>
      </c>
      <c r="S1281">
        <v>3</v>
      </c>
      <c r="T1281" s="5">
        <f t="shared" si="60"/>
        <v>171.81</v>
      </c>
      <c r="U1281" t="s">
        <v>3248</v>
      </c>
      <c r="AQ1281" s="7">
        <v>1</v>
      </c>
      <c r="BC1281" t="s">
        <v>3248</v>
      </c>
      <c r="BD1281" s="7" t="s">
        <v>103</v>
      </c>
      <c r="BE1281" t="s">
        <v>2407</v>
      </c>
      <c r="BF1281" s="1" t="s">
        <v>29</v>
      </c>
      <c r="BG1281" s="1">
        <v>1</v>
      </c>
      <c r="BH1281">
        <v>1</v>
      </c>
      <c r="BK1281" s="1">
        <v>1</v>
      </c>
      <c r="BL1281">
        <v>1</v>
      </c>
      <c r="BQ1281">
        <v>1</v>
      </c>
      <c r="CS1281" s="7" t="s">
        <v>3249</v>
      </c>
    </row>
    <row r="1282" spans="2:98">
      <c r="B1282" t="s">
        <v>3542</v>
      </c>
      <c r="C1282" s="2" t="s">
        <v>564</v>
      </c>
      <c r="D1282" s="2"/>
      <c r="F1282" s="8" t="s">
        <v>357</v>
      </c>
      <c r="G1282" s="1">
        <v>1</v>
      </c>
      <c r="H1282" s="1"/>
      <c r="I1282" s="1">
        <f>1809-18</f>
        <v>1791</v>
      </c>
      <c r="J1282" t="s">
        <v>10</v>
      </c>
      <c r="K1282" t="s">
        <v>12</v>
      </c>
      <c r="Q1282">
        <v>5</v>
      </c>
      <c r="R1282">
        <v>2</v>
      </c>
      <c r="T1282" s="5">
        <f t="shared" si="60"/>
        <v>163.26</v>
      </c>
      <c r="U1282" t="s">
        <v>3248</v>
      </c>
      <c r="AQ1282" s="6">
        <v>1</v>
      </c>
      <c r="AR1282" s="6">
        <v>1</v>
      </c>
      <c r="AS1282" s="6">
        <v>1</v>
      </c>
      <c r="AT1282" s="6">
        <v>1</v>
      </c>
      <c r="AU1282" s="6">
        <v>1</v>
      </c>
      <c r="AV1282" s="7">
        <v>1</v>
      </c>
      <c r="BC1282" t="s">
        <v>1269</v>
      </c>
      <c r="BD1282" s="7" t="s">
        <v>109</v>
      </c>
      <c r="BE1282" t="s">
        <v>2407</v>
      </c>
      <c r="BF1282" s="1" t="s">
        <v>29</v>
      </c>
      <c r="BG1282" s="27">
        <v>5</v>
      </c>
      <c r="BH1282" s="62">
        <v>1</v>
      </c>
      <c r="BK1282" s="1">
        <v>1</v>
      </c>
      <c r="BQ1282">
        <v>1</v>
      </c>
      <c r="CS1282" s="7" t="s">
        <v>1593</v>
      </c>
    </row>
    <row r="1283" spans="2:98">
      <c r="B1283" t="s">
        <v>610</v>
      </c>
      <c r="C1283" s="15" t="s">
        <v>611</v>
      </c>
      <c r="D1283" s="18"/>
      <c r="E1283" s="8" t="s">
        <v>555</v>
      </c>
      <c r="F1283" s="8" t="s">
        <v>218</v>
      </c>
      <c r="G1283" s="1">
        <v>1</v>
      </c>
      <c r="H1283" s="1"/>
      <c r="I1283" s="1">
        <f>1809-28</f>
        <v>1781</v>
      </c>
      <c r="J1283" t="s">
        <v>10</v>
      </c>
      <c r="K1283" t="s">
        <v>12</v>
      </c>
      <c r="T1283" s="5"/>
      <c r="U1283" t="s">
        <v>612</v>
      </c>
      <c r="AQ1283" s="6">
        <v>1</v>
      </c>
      <c r="AR1283" s="7">
        <v>1</v>
      </c>
      <c r="BC1283" t="s">
        <v>613</v>
      </c>
      <c r="BD1283" s="7" t="s">
        <v>103</v>
      </c>
      <c r="BE1283" t="s">
        <v>602</v>
      </c>
      <c r="BF1283" s="1" t="s">
        <v>29</v>
      </c>
      <c r="BG1283" s="1">
        <v>3</v>
      </c>
      <c r="BH1283" s="62">
        <v>1</v>
      </c>
      <c r="BK1283" s="1"/>
      <c r="BO1283">
        <v>1</v>
      </c>
      <c r="BR1283">
        <v>1</v>
      </c>
      <c r="CM1283">
        <v>1</v>
      </c>
      <c r="CS1283" s="7" t="s">
        <v>614</v>
      </c>
    </row>
    <row r="1284" spans="2:98">
      <c r="B1284" t="s">
        <v>4306</v>
      </c>
      <c r="C1284" s="2" t="s">
        <v>191</v>
      </c>
      <c r="D1284" s="18"/>
      <c r="E1284" s="8" t="s">
        <v>193</v>
      </c>
      <c r="F1284" s="8" t="s">
        <v>65</v>
      </c>
      <c r="G1284" s="1">
        <v>1</v>
      </c>
      <c r="H1284" s="1"/>
      <c r="I1284" s="1">
        <f>1811-20</f>
        <v>1791</v>
      </c>
      <c r="J1284" t="s">
        <v>10</v>
      </c>
      <c r="K1284" t="s">
        <v>12</v>
      </c>
      <c r="Q1284">
        <v>5</v>
      </c>
      <c r="R1284">
        <v>5</v>
      </c>
      <c r="T1284" s="5">
        <f>((Q1284*316)+(R1284*26.3)+(S1284*2.2))/10</f>
        <v>171.15</v>
      </c>
      <c r="U1284" t="s">
        <v>612</v>
      </c>
      <c r="AQ1284" s="6">
        <v>1</v>
      </c>
      <c r="AR1284" s="6">
        <v>1</v>
      </c>
      <c r="AS1284" s="6">
        <v>1</v>
      </c>
      <c r="BC1284">
        <v>1811</v>
      </c>
      <c r="BD1284" t="s">
        <v>81</v>
      </c>
      <c r="BE1284" t="s">
        <v>3925</v>
      </c>
      <c r="BF1284" s="1" t="s">
        <v>29</v>
      </c>
      <c r="BG1284" s="27">
        <v>1</v>
      </c>
      <c r="BH1284" s="62">
        <v>1</v>
      </c>
      <c r="BK1284" s="1">
        <v>1</v>
      </c>
      <c r="BQ1284">
        <v>1</v>
      </c>
      <c r="CS1284" t="s">
        <v>2636</v>
      </c>
    </row>
    <row r="1285" spans="2:98">
      <c r="B1285" t="s">
        <v>4387</v>
      </c>
      <c r="C1285" s="2" t="s">
        <v>722</v>
      </c>
      <c r="D1285" s="34" t="s">
        <v>2634</v>
      </c>
      <c r="E1285" s="8" t="s">
        <v>599</v>
      </c>
      <c r="F1285" s="8" t="s">
        <v>357</v>
      </c>
      <c r="G1285" s="1">
        <v>1</v>
      </c>
      <c r="H1285" s="1"/>
      <c r="I1285" s="1">
        <f>1809-18</f>
        <v>1791</v>
      </c>
      <c r="J1285" t="s">
        <v>10</v>
      </c>
      <c r="K1285" t="s">
        <v>12</v>
      </c>
      <c r="Q1285">
        <v>5</v>
      </c>
      <c r="R1285">
        <v>3</v>
      </c>
      <c r="T1285" s="5">
        <f t="shared" ref="T1285" si="61">((Q1285*316)+(R1285*26.3)+(S1285*2.2))/10</f>
        <v>165.89000000000001</v>
      </c>
      <c r="U1285" t="s">
        <v>4388</v>
      </c>
      <c r="AQ1285" s="6">
        <v>1</v>
      </c>
      <c r="AR1285" s="6">
        <v>1</v>
      </c>
      <c r="AS1285" s="6">
        <v>1</v>
      </c>
      <c r="AT1285" s="6">
        <v>1</v>
      </c>
      <c r="AU1285" s="6">
        <v>1</v>
      </c>
      <c r="AV1285" s="6">
        <v>1</v>
      </c>
      <c r="AW1285" s="6">
        <v>1</v>
      </c>
      <c r="AX1285" s="6">
        <v>1</v>
      </c>
      <c r="AY1285" s="6">
        <v>1</v>
      </c>
      <c r="AZ1285" s="6">
        <v>1</v>
      </c>
      <c r="BA1285" s="7">
        <v>1</v>
      </c>
      <c r="BC1285" t="s">
        <v>4389</v>
      </c>
      <c r="BD1285" s="7" t="s">
        <v>103</v>
      </c>
      <c r="BE1285" t="s">
        <v>3925</v>
      </c>
      <c r="BF1285" s="1" t="s">
        <v>29</v>
      </c>
      <c r="BG1285" s="27">
        <v>5</v>
      </c>
      <c r="BH1285" s="62">
        <v>1</v>
      </c>
      <c r="BK1285" s="1">
        <v>1</v>
      </c>
      <c r="BQ1285">
        <v>1</v>
      </c>
      <c r="CF1285">
        <v>1</v>
      </c>
      <c r="CQ1285">
        <v>1</v>
      </c>
      <c r="CS1285" s="7" t="s">
        <v>1226</v>
      </c>
    </row>
    <row r="1286" spans="2:98">
      <c r="B1286" t="s">
        <v>1910</v>
      </c>
      <c r="C1286" s="2" t="s">
        <v>1333</v>
      </c>
      <c r="D1286" s="2" t="s">
        <v>1911</v>
      </c>
      <c r="E1286" s="8" t="s">
        <v>1912</v>
      </c>
      <c r="F1286" s="8" t="s">
        <v>65</v>
      </c>
      <c r="G1286" s="1">
        <v>1</v>
      </c>
      <c r="H1286" s="1"/>
      <c r="I1286" s="1">
        <f>1811-23</f>
        <v>1788</v>
      </c>
      <c r="J1286" t="s">
        <v>10</v>
      </c>
      <c r="K1286" t="s">
        <v>12</v>
      </c>
      <c r="Q1286">
        <v>5</v>
      </c>
      <c r="R1286">
        <v>2</v>
      </c>
      <c r="T1286" s="5">
        <f>((Q1286*316)+(R1286*26.3)+(S1286*2.2))/10</f>
        <v>163.26</v>
      </c>
      <c r="U1286" t="s">
        <v>1913</v>
      </c>
      <c r="AQ1286" s="6">
        <v>1</v>
      </c>
      <c r="AR1286" s="6">
        <v>1</v>
      </c>
      <c r="AS1286" s="6">
        <v>1</v>
      </c>
      <c r="AT1286" s="6">
        <v>1</v>
      </c>
      <c r="AU1286" s="6">
        <v>1</v>
      </c>
      <c r="AV1286" s="6">
        <v>1</v>
      </c>
      <c r="AW1286" s="6">
        <v>1</v>
      </c>
      <c r="AX1286" s="6">
        <v>1</v>
      </c>
      <c r="AY1286" s="6">
        <v>1</v>
      </c>
      <c r="AZ1286" s="6">
        <v>1</v>
      </c>
      <c r="BA1286" s="7">
        <v>1</v>
      </c>
      <c r="BC1286" t="s">
        <v>1914</v>
      </c>
      <c r="BD1286" s="7" t="s">
        <v>103</v>
      </c>
      <c r="BE1286" t="s">
        <v>1915</v>
      </c>
      <c r="BF1286" s="1" t="s">
        <v>29</v>
      </c>
      <c r="BG1286" s="27">
        <v>6</v>
      </c>
      <c r="BH1286" s="42">
        <v>2</v>
      </c>
      <c r="BK1286" s="1">
        <v>1</v>
      </c>
      <c r="BQ1286">
        <v>1</v>
      </c>
      <c r="BY1286">
        <v>1</v>
      </c>
      <c r="CL1286">
        <v>1</v>
      </c>
      <c r="CS1286" s="7" t="s">
        <v>412</v>
      </c>
    </row>
    <row r="1287" spans="2:98">
      <c r="B1287" t="s">
        <v>4294</v>
      </c>
      <c r="C1287" s="2" t="s">
        <v>356</v>
      </c>
      <c r="D1287" s="34" t="s">
        <v>2634</v>
      </c>
      <c r="E1287" s="8" t="s">
        <v>546</v>
      </c>
      <c r="F1287" s="8" t="s">
        <v>357</v>
      </c>
      <c r="G1287" s="1">
        <v>1</v>
      </c>
      <c r="H1287" s="1"/>
      <c r="I1287" s="1">
        <f>1811-28</f>
        <v>1783</v>
      </c>
      <c r="J1287" t="s">
        <v>10</v>
      </c>
      <c r="K1287" t="s">
        <v>12</v>
      </c>
      <c r="Q1287">
        <v>5</v>
      </c>
      <c r="R1287">
        <v>3</v>
      </c>
      <c r="S1287">
        <v>1</v>
      </c>
      <c r="T1287" s="5">
        <f>((Q1287*316)+(R1287*26.3)+(S1287*2.2))/10</f>
        <v>166.11</v>
      </c>
      <c r="U1287" t="s">
        <v>1913</v>
      </c>
      <c r="AQ1287" s="6">
        <v>1</v>
      </c>
      <c r="AR1287" s="6">
        <v>1</v>
      </c>
      <c r="AS1287" s="6">
        <v>1</v>
      </c>
      <c r="BC1287">
        <v>1811</v>
      </c>
      <c r="BD1287" t="s">
        <v>81</v>
      </c>
      <c r="BE1287" t="s">
        <v>3925</v>
      </c>
      <c r="BF1287" s="1" t="s">
        <v>29</v>
      </c>
      <c r="BG1287" s="27">
        <v>1</v>
      </c>
      <c r="BH1287" s="62">
        <v>1</v>
      </c>
      <c r="BK1287" s="1">
        <v>1</v>
      </c>
      <c r="BQ1287">
        <v>1</v>
      </c>
      <c r="CS1287" t="s">
        <v>2636</v>
      </c>
    </row>
    <row r="1288" spans="2:98">
      <c r="B1288" t="s">
        <v>2637</v>
      </c>
      <c r="C1288" s="2" t="s">
        <v>2638</v>
      </c>
      <c r="D1288" s="15"/>
      <c r="E1288" s="8" t="s">
        <v>2639</v>
      </c>
      <c r="F1288" s="8" t="s">
        <v>218</v>
      </c>
      <c r="G1288" s="1">
        <v>1</v>
      </c>
      <c r="H1288" s="1"/>
      <c r="I1288" s="1">
        <f>1809-24</f>
        <v>1785</v>
      </c>
      <c r="J1288" t="s">
        <v>10</v>
      </c>
      <c r="K1288" t="s">
        <v>2640</v>
      </c>
      <c r="Q1288">
        <v>5</v>
      </c>
      <c r="R1288">
        <v>3</v>
      </c>
      <c r="S1288">
        <v>3</v>
      </c>
      <c r="T1288" s="5">
        <f>((Q1288*316)+(R1288*26.3)+(S1288*2.2))/10</f>
        <v>166.55</v>
      </c>
      <c r="U1288" t="s">
        <v>1913</v>
      </c>
      <c r="AQ1288" s="6">
        <v>1</v>
      </c>
      <c r="BC1288">
        <v>1809</v>
      </c>
      <c r="BD1288" t="s">
        <v>81</v>
      </c>
      <c r="BE1288" t="s">
        <v>2635</v>
      </c>
      <c r="BF1288" s="1" t="s">
        <v>29</v>
      </c>
      <c r="BG1288" s="27">
        <v>1</v>
      </c>
      <c r="BH1288" s="42">
        <v>2</v>
      </c>
      <c r="BK1288" s="1">
        <v>1</v>
      </c>
      <c r="BQ1288">
        <v>1</v>
      </c>
      <c r="CS1288" t="s">
        <v>2636</v>
      </c>
    </row>
    <row r="1289" spans="2:98">
      <c r="B1289" t="s">
        <v>1013</v>
      </c>
      <c r="C1289" s="13" t="s">
        <v>1014</v>
      </c>
      <c r="D1289" s="18"/>
      <c r="E1289" s="8" t="s">
        <v>559</v>
      </c>
      <c r="F1289" s="8" t="s">
        <v>218</v>
      </c>
      <c r="G1289" s="1">
        <v>1</v>
      </c>
      <c r="H1289" s="1"/>
      <c r="I1289" s="1">
        <f>1809-17</f>
        <v>1792</v>
      </c>
      <c r="J1289" t="s">
        <v>10</v>
      </c>
      <c r="K1289" t="s">
        <v>4557</v>
      </c>
      <c r="T1289" s="5"/>
      <c r="U1289" t="s">
        <v>619</v>
      </c>
      <c r="AQ1289" s="6">
        <v>1</v>
      </c>
      <c r="AR1289" s="7">
        <v>1</v>
      </c>
      <c r="BC1289" t="s">
        <v>1015</v>
      </c>
      <c r="BD1289" s="7" t="s">
        <v>103</v>
      </c>
      <c r="BE1289" t="s">
        <v>999</v>
      </c>
      <c r="BF1289" s="1" t="s">
        <v>29</v>
      </c>
      <c r="BG1289" s="27">
        <v>1</v>
      </c>
      <c r="BH1289" s="42">
        <v>2</v>
      </c>
      <c r="BK1289" s="1"/>
      <c r="BO1289">
        <v>1</v>
      </c>
      <c r="CC1289">
        <v>1</v>
      </c>
      <c r="CJ1289">
        <v>1</v>
      </c>
      <c r="CL1289">
        <v>1</v>
      </c>
      <c r="CS1289" s="7" t="s">
        <v>1000</v>
      </c>
    </row>
    <row r="1290" spans="2:98">
      <c r="B1290" t="s">
        <v>4316</v>
      </c>
      <c r="C1290" s="2" t="s">
        <v>2989</v>
      </c>
      <c r="D1290" s="2" t="s">
        <v>2989</v>
      </c>
      <c r="E1290" s="8" t="s">
        <v>2991</v>
      </c>
      <c r="F1290" s="8" t="s">
        <v>357</v>
      </c>
      <c r="G1290" s="1">
        <v>1</v>
      </c>
      <c r="H1290" s="1"/>
      <c r="I1290" s="1">
        <f>1811-26</f>
        <v>1785</v>
      </c>
      <c r="J1290" t="s">
        <v>10</v>
      </c>
      <c r="K1290" t="s">
        <v>12</v>
      </c>
      <c r="Q1290">
        <v>5</v>
      </c>
      <c r="R1290">
        <v>2</v>
      </c>
      <c r="S1290">
        <v>1</v>
      </c>
      <c r="T1290" s="5">
        <f t="shared" ref="T1290:T1296" si="62">((Q1290*316)+(R1290*26.3)+(S1290*2.2))/10</f>
        <v>163.47999999999999</v>
      </c>
      <c r="U1290" t="s">
        <v>3316</v>
      </c>
      <c r="AQ1290" s="6">
        <v>1</v>
      </c>
      <c r="AR1290" s="6">
        <v>1</v>
      </c>
      <c r="AS1290" s="6">
        <v>1</v>
      </c>
      <c r="BC1290">
        <v>1811</v>
      </c>
      <c r="BD1290" t="s">
        <v>81</v>
      </c>
      <c r="BE1290" t="s">
        <v>4311</v>
      </c>
      <c r="BF1290" s="1" t="s">
        <v>73</v>
      </c>
      <c r="BG1290" s="27">
        <v>1</v>
      </c>
      <c r="BH1290" s="62">
        <v>1</v>
      </c>
      <c r="BK1290" s="1">
        <v>1</v>
      </c>
      <c r="BQ1290">
        <v>1</v>
      </c>
      <c r="CH1290">
        <v>1</v>
      </c>
      <c r="CS1290" t="s">
        <v>4312</v>
      </c>
    </row>
    <row r="1291" spans="2:98">
      <c r="B1291" t="s">
        <v>3317</v>
      </c>
      <c r="C1291" s="2" t="s">
        <v>3318</v>
      </c>
      <c r="D1291" s="2" t="s">
        <v>3319</v>
      </c>
      <c r="F1291" s="8" t="s">
        <v>357</v>
      </c>
      <c r="G1291" s="1">
        <v>1</v>
      </c>
      <c r="H1291" s="1"/>
      <c r="I1291" s="1">
        <f>1809-22</f>
        <v>1787</v>
      </c>
      <c r="J1291" t="s">
        <v>10</v>
      </c>
      <c r="K1291" t="s">
        <v>12</v>
      </c>
      <c r="Q1291">
        <v>5</v>
      </c>
      <c r="R1291">
        <v>6</v>
      </c>
      <c r="S1291">
        <v>1</v>
      </c>
      <c r="T1291" s="5">
        <f t="shared" si="62"/>
        <v>174</v>
      </c>
      <c r="U1291" t="s">
        <v>3316</v>
      </c>
      <c r="AQ1291" s="7">
        <v>1</v>
      </c>
      <c r="BC1291" t="s">
        <v>1588</v>
      </c>
      <c r="BD1291" s="7" t="s">
        <v>163</v>
      </c>
      <c r="BE1291" t="s">
        <v>2407</v>
      </c>
      <c r="BF1291" s="1" t="s">
        <v>29</v>
      </c>
      <c r="BG1291" s="1">
        <v>2</v>
      </c>
      <c r="BH1291" s="62">
        <v>1</v>
      </c>
      <c r="BK1291" s="1">
        <v>1</v>
      </c>
      <c r="BL1291">
        <v>1</v>
      </c>
      <c r="BQ1291">
        <v>1</v>
      </c>
      <c r="CS1291" s="7" t="s">
        <v>3320</v>
      </c>
    </row>
    <row r="1292" spans="2:98">
      <c r="B1292" t="s">
        <v>4308</v>
      </c>
      <c r="C1292" s="2" t="s">
        <v>4309</v>
      </c>
      <c r="D1292" s="15"/>
      <c r="E1292" s="8" t="s">
        <v>4310</v>
      </c>
      <c r="F1292" s="8" t="s">
        <v>357</v>
      </c>
      <c r="G1292" s="1">
        <v>1</v>
      </c>
      <c r="H1292" s="1"/>
      <c r="I1292" s="1">
        <f>1811-20</f>
        <v>1791</v>
      </c>
      <c r="J1292" t="s">
        <v>10</v>
      </c>
      <c r="K1292" t="s">
        <v>2356</v>
      </c>
      <c r="Q1292">
        <v>5</v>
      </c>
      <c r="R1292">
        <v>2</v>
      </c>
      <c r="S1292">
        <v>3</v>
      </c>
      <c r="T1292" s="5">
        <f t="shared" si="62"/>
        <v>163.92</v>
      </c>
      <c r="U1292" t="s">
        <v>3316</v>
      </c>
      <c r="AQ1292" s="6">
        <v>1</v>
      </c>
      <c r="AR1292" s="6">
        <v>1</v>
      </c>
      <c r="AS1292" s="6">
        <v>1</v>
      </c>
      <c r="BC1292">
        <v>1811</v>
      </c>
      <c r="BD1292" t="s">
        <v>81</v>
      </c>
      <c r="BE1292" t="s">
        <v>4311</v>
      </c>
      <c r="BF1292" s="1" t="s">
        <v>73</v>
      </c>
      <c r="BG1292" s="1">
        <v>1</v>
      </c>
      <c r="BH1292" s="62">
        <v>1</v>
      </c>
      <c r="BK1292" s="1">
        <v>1</v>
      </c>
      <c r="BQ1292">
        <v>1</v>
      </c>
      <c r="CS1292" t="s">
        <v>4312</v>
      </c>
    </row>
    <row r="1293" spans="2:98">
      <c r="B1293" t="s">
        <v>838</v>
      </c>
      <c r="C1293" s="15" t="s">
        <v>839</v>
      </c>
      <c r="D1293" s="15" t="s">
        <v>840</v>
      </c>
      <c r="E1293" s="8" t="s">
        <v>542</v>
      </c>
      <c r="F1293" s="8" t="s">
        <v>218</v>
      </c>
      <c r="G1293" s="1">
        <v>1</v>
      </c>
      <c r="H1293" s="1"/>
      <c r="I1293" s="1">
        <f>1809-28</f>
        <v>1781</v>
      </c>
      <c r="J1293" t="s">
        <v>69</v>
      </c>
      <c r="K1293" t="s">
        <v>12</v>
      </c>
      <c r="Q1293">
        <v>5</v>
      </c>
      <c r="R1293">
        <v>4</v>
      </c>
      <c r="T1293" s="5">
        <f t="shared" si="62"/>
        <v>168.52</v>
      </c>
      <c r="U1293" t="s">
        <v>841</v>
      </c>
      <c r="AQ1293" s="6">
        <v>1</v>
      </c>
      <c r="BC1293">
        <v>1809</v>
      </c>
      <c r="BD1293" t="s">
        <v>81</v>
      </c>
      <c r="BE1293" t="s">
        <v>842</v>
      </c>
      <c r="BF1293" s="1" t="s">
        <v>73</v>
      </c>
      <c r="BG1293" s="1">
        <v>1</v>
      </c>
      <c r="BH1293" s="62">
        <v>2</v>
      </c>
      <c r="BI1293">
        <v>1</v>
      </c>
      <c r="BK1293" s="1">
        <v>1</v>
      </c>
      <c r="BQ1293">
        <v>1</v>
      </c>
      <c r="BW1293">
        <v>1</v>
      </c>
      <c r="CL1293">
        <v>1</v>
      </c>
      <c r="CS1293" t="s">
        <v>843</v>
      </c>
    </row>
    <row r="1294" spans="2:98">
      <c r="B1294" t="s">
        <v>2703</v>
      </c>
      <c r="C1294" s="13" t="s">
        <v>2704</v>
      </c>
      <c r="D1294" s="15"/>
      <c r="F1294" s="8" t="s">
        <v>595</v>
      </c>
      <c r="G1294" s="1"/>
      <c r="H1294" s="1">
        <v>1</v>
      </c>
      <c r="I1294" s="1">
        <f>1809-21</f>
        <v>1788</v>
      </c>
      <c r="J1294" t="s">
        <v>10</v>
      </c>
      <c r="K1294" t="s">
        <v>12</v>
      </c>
      <c r="Q1294">
        <v>5</v>
      </c>
      <c r="R1294">
        <v>5</v>
      </c>
      <c r="T1294" s="5">
        <f t="shared" si="62"/>
        <v>171.15</v>
      </c>
      <c r="U1294" t="s">
        <v>841</v>
      </c>
      <c r="AQ1294" s="7">
        <v>1</v>
      </c>
      <c r="BC1294" t="s">
        <v>2705</v>
      </c>
      <c r="BD1294" s="7" t="s">
        <v>26</v>
      </c>
      <c r="BE1294" t="s">
        <v>1065</v>
      </c>
      <c r="BF1294" s="1" t="s">
        <v>29</v>
      </c>
      <c r="BG1294" s="1">
        <v>2</v>
      </c>
      <c r="BH1294" s="62">
        <v>1</v>
      </c>
      <c r="BK1294" s="30">
        <v>1</v>
      </c>
      <c r="BQ1294">
        <v>1</v>
      </c>
      <c r="CS1294" s="7" t="s">
        <v>4227</v>
      </c>
      <c r="CT1294" s="6" t="s">
        <v>2707</v>
      </c>
    </row>
    <row r="1295" spans="2:98">
      <c r="B1295" t="s">
        <v>1149</v>
      </c>
      <c r="C1295" s="2" t="s">
        <v>1150</v>
      </c>
      <c r="D1295" s="15"/>
      <c r="E1295" s="8" t="s">
        <v>571</v>
      </c>
      <c r="F1295" s="8" t="s">
        <v>218</v>
      </c>
      <c r="G1295" s="1">
        <v>1</v>
      </c>
      <c r="H1295" s="1"/>
      <c r="I1295" s="1">
        <f>1809-24</f>
        <v>1785</v>
      </c>
      <c r="J1295" t="s">
        <v>10</v>
      </c>
      <c r="K1295" t="s">
        <v>12</v>
      </c>
      <c r="Q1295">
        <v>5</v>
      </c>
      <c r="R1295">
        <v>5</v>
      </c>
      <c r="S1295">
        <v>1</v>
      </c>
      <c r="T1295" s="5">
        <f t="shared" si="62"/>
        <v>171.37</v>
      </c>
      <c r="U1295" t="s">
        <v>1151</v>
      </c>
      <c r="AQ1295" s="6">
        <v>1</v>
      </c>
      <c r="BC1295">
        <v>1809</v>
      </c>
      <c r="BD1295" t="s">
        <v>81</v>
      </c>
      <c r="BE1295" t="s">
        <v>1152</v>
      </c>
      <c r="BF1295" s="1" t="s">
        <v>73</v>
      </c>
      <c r="BG1295" s="1">
        <v>1</v>
      </c>
      <c r="BH1295" s="62">
        <v>1</v>
      </c>
      <c r="BK1295" s="1">
        <v>1</v>
      </c>
      <c r="BW1295">
        <v>1</v>
      </c>
      <c r="CS1295" t="s">
        <v>1153</v>
      </c>
    </row>
    <row r="1296" spans="2:98">
      <c r="B1296" t="s">
        <v>4359</v>
      </c>
      <c r="C1296" s="2" t="s">
        <v>626</v>
      </c>
      <c r="D1296" s="2" t="s">
        <v>626</v>
      </c>
      <c r="E1296" s="8" t="s">
        <v>627</v>
      </c>
      <c r="F1296" s="8" t="s">
        <v>357</v>
      </c>
      <c r="G1296" s="1">
        <v>1</v>
      </c>
      <c r="H1296" s="1"/>
      <c r="I1296" s="1">
        <f>1811-37</f>
        <v>1774</v>
      </c>
      <c r="J1296" t="s">
        <v>10</v>
      </c>
      <c r="K1296" t="s">
        <v>12</v>
      </c>
      <c r="Q1296">
        <v>5</v>
      </c>
      <c r="R1296">
        <v>4</v>
      </c>
      <c r="S1296">
        <v>1</v>
      </c>
      <c r="T1296" s="5">
        <f t="shared" si="62"/>
        <v>168.74</v>
      </c>
      <c r="U1296" t="s">
        <v>706</v>
      </c>
      <c r="AQ1296" s="6">
        <v>1</v>
      </c>
      <c r="AR1296" s="6">
        <v>1</v>
      </c>
      <c r="AS1296" s="6">
        <v>1</v>
      </c>
      <c r="BC1296">
        <v>1811</v>
      </c>
      <c r="BD1296" t="s">
        <v>81</v>
      </c>
      <c r="BE1296" t="s">
        <v>4328</v>
      </c>
      <c r="BF1296" s="1" t="s">
        <v>73</v>
      </c>
      <c r="BG1296" s="1">
        <v>1</v>
      </c>
      <c r="BH1296" s="62">
        <v>1</v>
      </c>
      <c r="BK1296" s="1" t="s">
        <v>72</v>
      </c>
      <c r="BQ1296">
        <v>1</v>
      </c>
      <c r="CS1296" t="s">
        <v>4329</v>
      </c>
    </row>
    <row r="1297" spans="2:97">
      <c r="B1297" t="s">
        <v>1016</v>
      </c>
      <c r="C1297" s="2" t="s">
        <v>1017</v>
      </c>
      <c r="D1297" s="15"/>
      <c r="F1297" s="8" t="s">
        <v>218</v>
      </c>
      <c r="G1297" s="1">
        <v>1</v>
      </c>
      <c r="H1297" s="1"/>
      <c r="I1297" s="1">
        <f>1809-36</f>
        <v>1773</v>
      </c>
      <c r="J1297" t="s">
        <v>10</v>
      </c>
      <c r="K1297" t="s">
        <v>4556</v>
      </c>
      <c r="T1297" s="5"/>
      <c r="U1297" t="s">
        <v>706</v>
      </c>
      <c r="AQ1297" s="6">
        <v>1</v>
      </c>
      <c r="AR1297" s="7">
        <v>1</v>
      </c>
      <c r="BC1297" t="s">
        <v>998</v>
      </c>
      <c r="BD1297" s="7" t="s">
        <v>103</v>
      </c>
      <c r="BE1297" t="s">
        <v>999</v>
      </c>
      <c r="BF1297" s="1" t="s">
        <v>29</v>
      </c>
      <c r="BG1297" s="1">
        <v>1</v>
      </c>
      <c r="BH1297">
        <v>2</v>
      </c>
      <c r="BK1297" s="1"/>
      <c r="BO1297">
        <v>1</v>
      </c>
      <c r="CC1297">
        <v>1</v>
      </c>
      <c r="CJ1297">
        <v>1</v>
      </c>
      <c r="CL1297">
        <v>1</v>
      </c>
      <c r="CS1297" s="7" t="s">
        <v>1018</v>
      </c>
    </row>
    <row r="1298" spans="2:97">
      <c r="B1298" t="s">
        <v>703</v>
      </c>
      <c r="C1298" s="15" t="s">
        <v>704</v>
      </c>
      <c r="D1298" s="15"/>
      <c r="F1298" s="8" t="s">
        <v>705</v>
      </c>
      <c r="G1298" s="1"/>
      <c r="H1298" s="1">
        <v>1</v>
      </c>
      <c r="I1298" s="1">
        <f>1809-30</f>
        <v>1779</v>
      </c>
      <c r="J1298" t="s">
        <v>69</v>
      </c>
      <c r="K1298" t="s">
        <v>12</v>
      </c>
      <c r="Q1298">
        <v>5</v>
      </c>
      <c r="R1298">
        <v>4</v>
      </c>
      <c r="T1298" s="5">
        <f>((Q1298*316)+(R1298*26.3)+(S1298*2.2))/10</f>
        <v>168.52</v>
      </c>
      <c r="U1298" t="s">
        <v>706</v>
      </c>
      <c r="AG1298" s="40"/>
      <c r="AH1298" s="40"/>
      <c r="AI1298" s="40"/>
      <c r="AJ1298" s="40"/>
      <c r="AK1298" s="40"/>
      <c r="AL1298" s="40"/>
      <c r="AM1298" s="40"/>
      <c r="AN1298" s="40"/>
      <c r="AO1298" s="40"/>
      <c r="AP1298" s="40"/>
      <c r="AQ1298" s="7">
        <v>1</v>
      </c>
      <c r="BC1298" t="s">
        <v>707</v>
      </c>
      <c r="BD1298" s="7" t="s">
        <v>280</v>
      </c>
      <c r="BE1298" t="s">
        <v>672</v>
      </c>
      <c r="BF1298" s="1" t="s">
        <v>29</v>
      </c>
      <c r="BG1298" s="1">
        <v>1</v>
      </c>
      <c r="BH1298">
        <v>1</v>
      </c>
      <c r="BK1298" s="1"/>
      <c r="BO1298">
        <v>1</v>
      </c>
      <c r="BR1298">
        <v>1</v>
      </c>
      <c r="CN1298">
        <v>1</v>
      </c>
      <c r="CS1298" s="7" t="s">
        <v>328</v>
      </c>
    </row>
    <row r="1299" spans="2:97">
      <c r="B1299" t="s">
        <v>3374</v>
      </c>
      <c r="C1299" s="2" t="s">
        <v>3375</v>
      </c>
      <c r="D1299" s="2" t="s">
        <v>3376</v>
      </c>
      <c r="E1299" s="8" t="s">
        <v>3373</v>
      </c>
      <c r="F1299" s="8" t="s">
        <v>218</v>
      </c>
      <c r="G1299" s="1">
        <v>1</v>
      </c>
      <c r="H1299" s="1"/>
      <c r="I1299" s="1">
        <f>1809-20</f>
        <v>1789</v>
      </c>
      <c r="J1299" t="s">
        <v>10</v>
      </c>
      <c r="K1299" t="s">
        <v>12</v>
      </c>
      <c r="Q1299">
        <v>5</v>
      </c>
      <c r="R1299">
        <v>2</v>
      </c>
      <c r="S1299">
        <v>2</v>
      </c>
      <c r="T1299" s="5">
        <f>((Q1299*316)+(R1299*26.3)+(S1299*2.2))/10</f>
        <v>163.69999999999999</v>
      </c>
      <c r="U1299" t="s">
        <v>706</v>
      </c>
      <c r="AQ1299" s="6">
        <v>1</v>
      </c>
      <c r="BC1299">
        <v>1809</v>
      </c>
      <c r="BD1299" t="s">
        <v>81</v>
      </c>
      <c r="BE1299" s="10" t="s">
        <v>3377</v>
      </c>
      <c r="BF1299" s="1" t="s">
        <v>73</v>
      </c>
      <c r="BG1299" s="1">
        <v>1</v>
      </c>
      <c r="BH1299">
        <v>2</v>
      </c>
      <c r="BK1299" s="1">
        <v>1</v>
      </c>
      <c r="BQ1299">
        <v>1</v>
      </c>
      <c r="BX1299">
        <v>1</v>
      </c>
      <c r="CL1299" s="10">
        <v>1</v>
      </c>
      <c r="CS1299" s="10" t="s">
        <v>3378</v>
      </c>
    </row>
    <row r="1300" spans="2:97">
      <c r="B1300" t="s">
        <v>686</v>
      </c>
      <c r="C1300" s="18" t="s">
        <v>687</v>
      </c>
      <c r="D1300" s="18"/>
      <c r="F1300" s="8" t="s">
        <v>1548</v>
      </c>
      <c r="G1300" s="1"/>
      <c r="H1300" s="1">
        <v>1</v>
      </c>
      <c r="I1300" s="1">
        <f>1809-18</f>
        <v>1791</v>
      </c>
      <c r="J1300" t="s">
        <v>10</v>
      </c>
      <c r="K1300" t="s">
        <v>12</v>
      </c>
      <c r="T1300" s="5"/>
      <c r="U1300" t="s">
        <v>633</v>
      </c>
      <c r="AQ1300" s="7">
        <v>1</v>
      </c>
      <c r="BC1300" t="s">
        <v>688</v>
      </c>
      <c r="BD1300" s="7" t="s">
        <v>280</v>
      </c>
      <c r="BE1300" t="s">
        <v>672</v>
      </c>
      <c r="BF1300" s="1" t="s">
        <v>29</v>
      </c>
      <c r="BG1300" s="1">
        <v>1</v>
      </c>
      <c r="BH1300">
        <v>1</v>
      </c>
      <c r="BK1300" s="1"/>
      <c r="BO1300">
        <v>1</v>
      </c>
      <c r="BR1300">
        <v>1</v>
      </c>
      <c r="CN1300">
        <v>1</v>
      </c>
      <c r="CS1300" s="7" t="s">
        <v>689</v>
      </c>
    </row>
    <row r="1301" spans="2:97">
      <c r="B1301" t="s">
        <v>1440</v>
      </c>
      <c r="C1301" s="2" t="s">
        <v>1441</v>
      </c>
      <c r="D1301" s="18"/>
      <c r="E1301" s="8" t="s">
        <v>1442</v>
      </c>
      <c r="F1301" s="8" t="s">
        <v>65</v>
      </c>
      <c r="G1301" s="1">
        <v>1</v>
      </c>
      <c r="H1301" s="1"/>
      <c r="I1301" s="1">
        <f>1809-31</f>
        <v>1778</v>
      </c>
      <c r="J1301" t="s">
        <v>10</v>
      </c>
      <c r="K1301" t="s">
        <v>12</v>
      </c>
      <c r="Q1301">
        <v>5</v>
      </c>
      <c r="R1301">
        <v>2</v>
      </c>
      <c r="T1301" s="5">
        <f t="shared" ref="T1301:T1315" si="63">((Q1301*316)+(R1301*26.3)+(S1301*2.2))/10</f>
        <v>163.26</v>
      </c>
      <c r="U1301" t="s">
        <v>688</v>
      </c>
      <c r="AQ1301" s="6">
        <v>1</v>
      </c>
      <c r="AR1301" s="7">
        <v>1</v>
      </c>
      <c r="BC1301" t="s">
        <v>1444</v>
      </c>
      <c r="BD1301" s="7" t="s">
        <v>280</v>
      </c>
      <c r="BE1301" t="s">
        <v>1443</v>
      </c>
      <c r="BF1301" s="1" t="s">
        <v>29</v>
      </c>
      <c r="BG1301" s="1">
        <v>2</v>
      </c>
      <c r="BH1301">
        <v>2</v>
      </c>
      <c r="BK1301" s="1">
        <v>1</v>
      </c>
      <c r="BQ1301">
        <v>1</v>
      </c>
      <c r="CL1301">
        <v>1</v>
      </c>
      <c r="CN1301">
        <v>1</v>
      </c>
      <c r="CS1301" s="7" t="s">
        <v>1445</v>
      </c>
    </row>
    <row r="1302" spans="2:97">
      <c r="B1302" t="s">
        <v>4448</v>
      </c>
      <c r="C1302" s="8" t="s">
        <v>4449</v>
      </c>
      <c r="D1302" s="21" t="s">
        <v>4450</v>
      </c>
      <c r="E1302" s="8" t="s">
        <v>740</v>
      </c>
      <c r="F1302" s="8" t="s">
        <v>65</v>
      </c>
      <c r="G1302" s="1">
        <v>1</v>
      </c>
      <c r="H1302" s="1"/>
      <c r="I1302" s="1">
        <f>1811-28</f>
        <v>1783</v>
      </c>
      <c r="J1302" t="s">
        <v>69</v>
      </c>
      <c r="K1302" t="s">
        <v>12</v>
      </c>
      <c r="N1302">
        <v>1</v>
      </c>
      <c r="Q1302">
        <v>5</v>
      </c>
      <c r="R1302">
        <v>1</v>
      </c>
      <c r="S1302">
        <v>2</v>
      </c>
      <c r="T1302" s="5">
        <f t="shared" si="63"/>
        <v>161.07</v>
      </c>
      <c r="U1302" t="s">
        <v>688</v>
      </c>
      <c r="AQ1302" s="6">
        <v>1</v>
      </c>
      <c r="AR1302" s="6">
        <v>1</v>
      </c>
      <c r="AS1302" s="6">
        <v>1</v>
      </c>
      <c r="BC1302">
        <v>1811</v>
      </c>
      <c r="BD1302" t="s">
        <v>81</v>
      </c>
      <c r="BE1302" t="s">
        <v>151</v>
      </c>
      <c r="BF1302" s="1" t="s">
        <v>73</v>
      </c>
      <c r="BG1302" s="1">
        <v>1</v>
      </c>
      <c r="BH1302">
        <v>1</v>
      </c>
      <c r="BK1302" s="1">
        <v>1</v>
      </c>
      <c r="BQ1302">
        <v>1</v>
      </c>
      <c r="CS1302" t="s">
        <v>4198</v>
      </c>
    </row>
    <row r="1303" spans="2:97">
      <c r="B1303" t="s">
        <v>1446</v>
      </c>
      <c r="C1303" s="2" t="s">
        <v>1441</v>
      </c>
      <c r="D1303" s="18"/>
      <c r="E1303" s="8" t="s">
        <v>1442</v>
      </c>
      <c r="F1303" s="8" t="s">
        <v>65</v>
      </c>
      <c r="G1303" s="1">
        <v>1</v>
      </c>
      <c r="H1303" s="1"/>
      <c r="I1303" s="1">
        <f>1809-23</f>
        <v>1786</v>
      </c>
      <c r="J1303" t="s">
        <v>10</v>
      </c>
      <c r="K1303" t="s">
        <v>900</v>
      </c>
      <c r="Q1303">
        <v>5</v>
      </c>
      <c r="R1303">
        <v>1</v>
      </c>
      <c r="T1303" s="5">
        <f t="shared" si="63"/>
        <v>160.63</v>
      </c>
      <c r="U1303" t="s">
        <v>688</v>
      </c>
      <c r="AQ1303" s="6">
        <v>1</v>
      </c>
      <c r="AR1303" s="6">
        <v>1</v>
      </c>
      <c r="AS1303" s="6">
        <v>1</v>
      </c>
      <c r="AT1303" s="6">
        <v>1</v>
      </c>
      <c r="AU1303" s="6">
        <v>1</v>
      </c>
      <c r="AV1303" s="6">
        <v>1</v>
      </c>
      <c r="AW1303" s="6">
        <v>1</v>
      </c>
      <c r="AX1303" s="6">
        <v>1</v>
      </c>
      <c r="AY1303" s="6">
        <v>1</v>
      </c>
      <c r="AZ1303" s="6">
        <v>1</v>
      </c>
      <c r="BC1303">
        <v>1818</v>
      </c>
      <c r="BD1303" t="s">
        <v>81</v>
      </c>
      <c r="BE1303" t="s">
        <v>1447</v>
      </c>
      <c r="BF1303" s="1" t="s">
        <v>73</v>
      </c>
      <c r="BG1303" s="1">
        <v>4</v>
      </c>
      <c r="BH1303">
        <v>4</v>
      </c>
      <c r="BK1303" s="1">
        <v>1</v>
      </c>
      <c r="BQ1303">
        <v>1</v>
      </c>
      <c r="BY1303">
        <v>1</v>
      </c>
      <c r="CL1303">
        <v>1</v>
      </c>
      <c r="CS1303" t="s">
        <v>1448</v>
      </c>
    </row>
    <row r="1304" spans="2:97">
      <c r="B1304" t="s">
        <v>4447</v>
      </c>
      <c r="C1304" s="2" t="s">
        <v>3901</v>
      </c>
      <c r="D1304" s="18"/>
      <c r="E1304" s="8" t="s">
        <v>740</v>
      </c>
      <c r="F1304" s="8" t="s">
        <v>65</v>
      </c>
      <c r="G1304" s="1">
        <v>1</v>
      </c>
      <c r="H1304" s="1"/>
      <c r="I1304" s="1">
        <f>1811-26</f>
        <v>1785</v>
      </c>
      <c r="J1304" t="s">
        <v>69</v>
      </c>
      <c r="K1304" t="s">
        <v>197</v>
      </c>
      <c r="N1304">
        <v>1</v>
      </c>
      <c r="Q1304">
        <v>5</v>
      </c>
      <c r="R1304">
        <v>4</v>
      </c>
      <c r="S1304">
        <v>1</v>
      </c>
      <c r="T1304" s="5">
        <f t="shared" si="63"/>
        <v>168.74</v>
      </c>
      <c r="U1304" t="s">
        <v>688</v>
      </c>
      <c r="AQ1304" s="6">
        <v>1</v>
      </c>
      <c r="AR1304" s="6">
        <v>1</v>
      </c>
      <c r="AS1304" s="6">
        <v>1</v>
      </c>
      <c r="BC1304">
        <v>1811</v>
      </c>
      <c r="BD1304" t="s">
        <v>81</v>
      </c>
      <c r="BE1304" t="s">
        <v>151</v>
      </c>
      <c r="BF1304" s="1" t="s">
        <v>73</v>
      </c>
      <c r="BG1304" s="1">
        <v>1</v>
      </c>
      <c r="BH1304">
        <v>1</v>
      </c>
      <c r="BK1304" s="1">
        <v>1</v>
      </c>
      <c r="BQ1304">
        <v>1</v>
      </c>
      <c r="CS1304" t="s">
        <v>4198</v>
      </c>
    </row>
    <row r="1305" spans="2:97">
      <c r="B1305" t="s">
        <v>135</v>
      </c>
      <c r="C1305" s="8" t="s">
        <v>136</v>
      </c>
      <c r="F1305" s="8" t="s">
        <v>65</v>
      </c>
      <c r="G1305" s="1">
        <v>1</v>
      </c>
      <c r="H1305" s="1"/>
      <c r="I1305" s="1">
        <f>1809-20</f>
        <v>1789</v>
      </c>
      <c r="J1305" t="s">
        <v>69</v>
      </c>
      <c r="K1305" t="s">
        <v>12</v>
      </c>
      <c r="Q1305">
        <v>5</v>
      </c>
      <c r="R1305">
        <v>3</v>
      </c>
      <c r="T1305" s="5">
        <f t="shared" si="63"/>
        <v>165.89000000000001</v>
      </c>
      <c r="U1305" t="s">
        <v>137</v>
      </c>
      <c r="AQ1305" s="6">
        <v>1</v>
      </c>
      <c r="AR1305" s="6">
        <v>1</v>
      </c>
      <c r="AS1305" s="7">
        <v>1</v>
      </c>
      <c r="BC1305" t="s">
        <v>154</v>
      </c>
      <c r="BD1305" s="7" t="s">
        <v>103</v>
      </c>
      <c r="BE1305" t="s">
        <v>151</v>
      </c>
      <c r="BF1305" s="1" t="s">
        <v>29</v>
      </c>
      <c r="BG1305" s="1">
        <v>6</v>
      </c>
      <c r="BH1305">
        <v>3</v>
      </c>
      <c r="BI1305">
        <v>1</v>
      </c>
      <c r="BK1305" s="1">
        <v>1</v>
      </c>
      <c r="BQ1305">
        <v>1</v>
      </c>
      <c r="CL1305">
        <v>1</v>
      </c>
      <c r="CS1305" s="7" t="s">
        <v>361</v>
      </c>
    </row>
    <row r="1306" spans="2:97">
      <c r="B1306" t="s">
        <v>4441</v>
      </c>
      <c r="C1306" s="2" t="s">
        <v>4442</v>
      </c>
      <c r="D1306" s="2" t="s">
        <v>4442</v>
      </c>
      <c r="E1306" s="8" t="s">
        <v>1442</v>
      </c>
      <c r="F1306" s="8" t="s">
        <v>65</v>
      </c>
      <c r="G1306" s="1">
        <v>1</v>
      </c>
      <c r="H1306" s="1"/>
      <c r="I1306" s="1">
        <f>1811-27</f>
        <v>1784</v>
      </c>
      <c r="J1306" t="s">
        <v>10</v>
      </c>
      <c r="K1306" t="s">
        <v>12</v>
      </c>
      <c r="Q1306">
        <v>5</v>
      </c>
      <c r="R1306">
        <v>3</v>
      </c>
      <c r="T1306" s="5">
        <f t="shared" si="63"/>
        <v>165.89000000000001</v>
      </c>
      <c r="U1306" t="s">
        <v>137</v>
      </c>
      <c r="AQ1306" s="6">
        <v>1</v>
      </c>
      <c r="AR1306" s="6">
        <v>1</v>
      </c>
      <c r="AS1306" s="6">
        <v>1</v>
      </c>
      <c r="BC1306">
        <v>1811</v>
      </c>
      <c r="BD1306" t="s">
        <v>81</v>
      </c>
      <c r="BE1306" t="s">
        <v>151</v>
      </c>
      <c r="BF1306" s="1" t="s">
        <v>73</v>
      </c>
      <c r="BG1306" s="1">
        <v>1</v>
      </c>
      <c r="BH1306">
        <v>2</v>
      </c>
      <c r="BK1306" s="1">
        <v>1</v>
      </c>
      <c r="BQ1306">
        <v>1</v>
      </c>
      <c r="CL1306">
        <v>1</v>
      </c>
      <c r="CS1306" t="s">
        <v>4198</v>
      </c>
    </row>
    <row r="1307" spans="2:97">
      <c r="B1307" t="s">
        <v>1979</v>
      </c>
      <c r="C1307" s="2" t="s">
        <v>1911</v>
      </c>
      <c r="D1307" s="2" t="s">
        <v>1911</v>
      </c>
      <c r="E1307" s="8" t="s">
        <v>1912</v>
      </c>
      <c r="F1307" s="8" t="s">
        <v>65</v>
      </c>
      <c r="G1307" s="1">
        <v>1</v>
      </c>
      <c r="H1307" s="1"/>
      <c r="I1307" s="1">
        <f>1809-20</f>
        <v>1789</v>
      </c>
      <c r="J1307" t="s">
        <v>10</v>
      </c>
      <c r="K1307" t="s">
        <v>972</v>
      </c>
      <c r="Q1307">
        <v>5</v>
      </c>
      <c r="R1307">
        <v>1</v>
      </c>
      <c r="S1307">
        <v>1</v>
      </c>
      <c r="T1307" s="5">
        <f t="shared" si="63"/>
        <v>160.85</v>
      </c>
      <c r="U1307" t="s">
        <v>162</v>
      </c>
      <c r="AQ1307" s="7">
        <v>1</v>
      </c>
      <c r="BC1307" t="s">
        <v>162</v>
      </c>
      <c r="BD1307" s="7" t="s">
        <v>103</v>
      </c>
      <c r="BE1307" t="s">
        <v>118</v>
      </c>
      <c r="BF1307" s="1" t="s">
        <v>29</v>
      </c>
      <c r="BG1307" s="1">
        <v>1</v>
      </c>
      <c r="BH1307">
        <v>1</v>
      </c>
      <c r="BK1307" s="1">
        <v>1</v>
      </c>
      <c r="BQ1307">
        <v>1</v>
      </c>
      <c r="CS1307" s="7" t="s">
        <v>1985</v>
      </c>
    </row>
    <row r="1308" spans="2:97">
      <c r="B1308" t="s">
        <v>1980</v>
      </c>
      <c r="C1308" s="2" t="s">
        <v>1984</v>
      </c>
      <c r="D1308" s="2" t="s">
        <v>1984</v>
      </c>
      <c r="E1308" s="8" t="s">
        <v>1912</v>
      </c>
      <c r="F1308" s="8" t="s">
        <v>65</v>
      </c>
      <c r="G1308" s="1">
        <v>1</v>
      </c>
      <c r="H1308" s="1"/>
      <c r="I1308" s="1">
        <f>1809-24</f>
        <v>1785</v>
      </c>
      <c r="J1308" t="s">
        <v>10</v>
      </c>
      <c r="K1308" t="s">
        <v>12</v>
      </c>
      <c r="Q1308">
        <v>5</v>
      </c>
      <c r="R1308">
        <v>4</v>
      </c>
      <c r="S1308">
        <v>2</v>
      </c>
      <c r="T1308" s="5">
        <f t="shared" si="63"/>
        <v>168.96</v>
      </c>
      <c r="U1308" t="s">
        <v>162</v>
      </c>
      <c r="AQ1308" s="7">
        <v>1</v>
      </c>
      <c r="BC1308" t="s">
        <v>162</v>
      </c>
      <c r="BD1308" s="7" t="s">
        <v>103</v>
      </c>
      <c r="BE1308" t="s">
        <v>118</v>
      </c>
      <c r="BF1308" s="1" t="s">
        <v>29</v>
      </c>
      <c r="BG1308" s="1">
        <v>1</v>
      </c>
      <c r="BH1308">
        <v>1</v>
      </c>
      <c r="BK1308" s="1">
        <v>1</v>
      </c>
      <c r="BQ1308">
        <v>1</v>
      </c>
      <c r="CS1308" s="7" t="s">
        <v>1985</v>
      </c>
    </row>
    <row r="1309" spans="2:97">
      <c r="B1309" t="s">
        <v>1981</v>
      </c>
      <c r="C1309" s="2" t="s">
        <v>1911</v>
      </c>
      <c r="D1309" s="2" t="s">
        <v>1911</v>
      </c>
      <c r="E1309" s="8" t="s">
        <v>1912</v>
      </c>
      <c r="F1309" s="8" t="s">
        <v>65</v>
      </c>
      <c r="G1309" s="1">
        <v>1</v>
      </c>
      <c r="H1309" s="1"/>
      <c r="I1309" s="1">
        <f>1809-21</f>
        <v>1788</v>
      </c>
      <c r="J1309" t="s">
        <v>10</v>
      </c>
      <c r="K1309" t="s">
        <v>12</v>
      </c>
      <c r="Q1309">
        <v>5</v>
      </c>
      <c r="R1309">
        <v>3</v>
      </c>
      <c r="S1309">
        <v>2</v>
      </c>
      <c r="T1309" s="5">
        <f t="shared" si="63"/>
        <v>166.33</v>
      </c>
      <c r="U1309" t="s">
        <v>162</v>
      </c>
      <c r="AQ1309" s="7">
        <v>1</v>
      </c>
      <c r="BC1309" t="s">
        <v>162</v>
      </c>
      <c r="BD1309" s="7" t="s">
        <v>103</v>
      </c>
      <c r="BE1309" t="s">
        <v>118</v>
      </c>
      <c r="BF1309" s="1" t="s">
        <v>29</v>
      </c>
      <c r="BG1309" s="1">
        <v>1</v>
      </c>
      <c r="BH1309">
        <v>1</v>
      </c>
      <c r="BK1309" s="1">
        <v>1</v>
      </c>
      <c r="BQ1309">
        <v>1</v>
      </c>
      <c r="CS1309" s="7" t="s">
        <v>1985</v>
      </c>
    </row>
    <row r="1310" spans="2:97">
      <c r="B1310" t="s">
        <v>1982</v>
      </c>
      <c r="C1310" s="2" t="s">
        <v>1984</v>
      </c>
      <c r="D1310" s="2" t="s">
        <v>1984</v>
      </c>
      <c r="E1310" s="8" t="s">
        <v>1912</v>
      </c>
      <c r="F1310" s="8" t="s">
        <v>65</v>
      </c>
      <c r="G1310" s="1">
        <v>1</v>
      </c>
      <c r="H1310" s="1"/>
      <c r="I1310" s="1">
        <f>1809-28</f>
        <v>1781</v>
      </c>
      <c r="J1310" t="s">
        <v>10</v>
      </c>
      <c r="K1310" t="s">
        <v>12</v>
      </c>
      <c r="Q1310">
        <v>5</v>
      </c>
      <c r="R1310">
        <v>5</v>
      </c>
      <c r="T1310" s="5">
        <f t="shared" si="63"/>
        <v>171.15</v>
      </c>
      <c r="U1310" t="s">
        <v>162</v>
      </c>
      <c r="AQ1310" s="7">
        <v>1</v>
      </c>
      <c r="BC1310" t="s">
        <v>162</v>
      </c>
      <c r="BD1310" s="7" t="s">
        <v>103</v>
      </c>
      <c r="BE1310" t="s">
        <v>118</v>
      </c>
      <c r="BF1310" s="1" t="s">
        <v>29</v>
      </c>
      <c r="BG1310" s="1">
        <v>1</v>
      </c>
      <c r="BH1310">
        <v>1</v>
      </c>
      <c r="BK1310" s="1">
        <v>1</v>
      </c>
      <c r="BQ1310">
        <v>1</v>
      </c>
      <c r="CS1310" s="7" t="s">
        <v>1985</v>
      </c>
    </row>
    <row r="1311" spans="2:97">
      <c r="B1311" t="s">
        <v>1983</v>
      </c>
      <c r="C1311" s="2" t="s">
        <v>1984</v>
      </c>
      <c r="D1311" s="2" t="s">
        <v>1984</v>
      </c>
      <c r="E1311" s="8" t="s">
        <v>1912</v>
      </c>
      <c r="F1311" s="8" t="s">
        <v>65</v>
      </c>
      <c r="G1311" s="1">
        <v>1</v>
      </c>
      <c r="H1311" s="1"/>
      <c r="I1311" s="1">
        <f>1809-21</f>
        <v>1788</v>
      </c>
      <c r="J1311" t="s">
        <v>10</v>
      </c>
      <c r="K1311" t="s">
        <v>12</v>
      </c>
      <c r="Q1311">
        <v>5</v>
      </c>
      <c r="R1311">
        <v>3</v>
      </c>
      <c r="S1311">
        <v>2</v>
      </c>
      <c r="T1311" s="5">
        <f t="shared" si="63"/>
        <v>166.33</v>
      </c>
      <c r="U1311" t="s">
        <v>162</v>
      </c>
      <c r="AQ1311" s="7">
        <v>1</v>
      </c>
      <c r="BC1311" t="s">
        <v>162</v>
      </c>
      <c r="BD1311" s="7" t="s">
        <v>103</v>
      </c>
      <c r="BE1311" t="s">
        <v>118</v>
      </c>
      <c r="BF1311" s="1" t="s">
        <v>29</v>
      </c>
      <c r="BG1311" s="1">
        <v>1</v>
      </c>
      <c r="BH1311">
        <v>1</v>
      </c>
      <c r="BK1311" s="1">
        <v>1</v>
      </c>
      <c r="BQ1311">
        <v>1</v>
      </c>
      <c r="CS1311" s="7" t="s">
        <v>1985</v>
      </c>
    </row>
    <row r="1312" spans="2:97">
      <c r="B1312" t="s">
        <v>1976</v>
      </c>
      <c r="C1312" s="2" t="s">
        <v>4307</v>
      </c>
      <c r="D1312" s="2" t="s">
        <v>4307</v>
      </c>
      <c r="E1312" s="8" t="s">
        <v>1912</v>
      </c>
      <c r="F1312" s="8" t="s">
        <v>65</v>
      </c>
      <c r="G1312" s="1">
        <v>1</v>
      </c>
      <c r="H1312" s="1"/>
      <c r="I1312" s="1">
        <f>1809-35</f>
        <v>1774</v>
      </c>
      <c r="J1312" t="s">
        <v>69</v>
      </c>
      <c r="K1312" t="s">
        <v>12</v>
      </c>
      <c r="Q1312">
        <v>5</v>
      </c>
      <c r="T1312" s="5">
        <f t="shared" si="63"/>
        <v>158</v>
      </c>
      <c r="U1312" t="s">
        <v>1975</v>
      </c>
      <c r="AQ1312" s="6">
        <v>1</v>
      </c>
      <c r="BC1312">
        <v>1809</v>
      </c>
      <c r="BD1312" t="s">
        <v>81</v>
      </c>
      <c r="BE1312" s="10" t="s">
        <v>118</v>
      </c>
      <c r="BF1312" s="1" t="s">
        <v>73</v>
      </c>
      <c r="BG1312" s="1">
        <v>1</v>
      </c>
      <c r="BH1312">
        <v>2</v>
      </c>
      <c r="BK1312" s="1">
        <v>1</v>
      </c>
      <c r="BQ1312">
        <v>1</v>
      </c>
      <c r="CL1312" s="10">
        <v>1</v>
      </c>
      <c r="CS1312" s="10" t="s">
        <v>1978</v>
      </c>
    </row>
    <row r="1313" spans="1:98">
      <c r="B1313" t="s">
        <v>1971</v>
      </c>
      <c r="C1313" s="2" t="s">
        <v>1973</v>
      </c>
      <c r="D1313" s="2" t="s">
        <v>1973</v>
      </c>
      <c r="E1313" s="8" t="s">
        <v>1912</v>
      </c>
      <c r="F1313" s="8" t="s">
        <v>65</v>
      </c>
      <c r="G1313" s="1">
        <v>1</v>
      </c>
      <c r="H1313" s="1"/>
      <c r="I1313" s="1">
        <f>1809-24</f>
        <v>1785</v>
      </c>
      <c r="J1313" t="s">
        <v>10</v>
      </c>
      <c r="K1313" t="s">
        <v>12</v>
      </c>
      <c r="Q1313">
        <v>5</v>
      </c>
      <c r="R1313">
        <v>3</v>
      </c>
      <c r="T1313" s="5">
        <f t="shared" si="63"/>
        <v>165.89000000000001</v>
      </c>
      <c r="U1313" t="s">
        <v>1972</v>
      </c>
      <c r="AQ1313" s="7">
        <v>1</v>
      </c>
      <c r="BC1313" t="s">
        <v>1974</v>
      </c>
      <c r="BD1313" s="7" t="s">
        <v>280</v>
      </c>
      <c r="BE1313" t="s">
        <v>118</v>
      </c>
      <c r="BF1313" s="1" t="s">
        <v>29</v>
      </c>
      <c r="BG1313" s="1">
        <v>1</v>
      </c>
      <c r="BH1313">
        <v>1</v>
      </c>
      <c r="BK1313" s="1">
        <v>1</v>
      </c>
      <c r="BQ1313">
        <v>1</v>
      </c>
      <c r="CN1313">
        <v>1</v>
      </c>
      <c r="CS1313" s="7" t="s">
        <v>1970</v>
      </c>
    </row>
    <row r="1314" spans="1:98">
      <c r="B1314" t="s">
        <v>4340</v>
      </c>
      <c r="C1314" s="2" t="s">
        <v>4341</v>
      </c>
      <c r="D1314" s="2" t="s">
        <v>4341</v>
      </c>
      <c r="E1314" s="8" t="s">
        <v>4342</v>
      </c>
      <c r="F1314" s="8" t="s">
        <v>247</v>
      </c>
      <c r="G1314" s="1">
        <v>1</v>
      </c>
      <c r="H1314" s="1"/>
      <c r="I1314" s="1">
        <f>1811-20</f>
        <v>1791</v>
      </c>
      <c r="J1314" t="s">
        <v>10</v>
      </c>
      <c r="K1314" t="s">
        <v>12</v>
      </c>
      <c r="Q1314">
        <v>5</v>
      </c>
      <c r="R1314">
        <v>5</v>
      </c>
      <c r="S1314">
        <v>3</v>
      </c>
      <c r="T1314" s="5">
        <f t="shared" si="63"/>
        <v>171.81</v>
      </c>
      <c r="U1314" t="s">
        <v>1972</v>
      </c>
      <c r="AQ1314" s="6">
        <v>1</v>
      </c>
      <c r="AR1314" s="6">
        <v>1</v>
      </c>
      <c r="AS1314" s="6">
        <v>1</v>
      </c>
      <c r="BC1314">
        <v>1811</v>
      </c>
      <c r="BD1314" t="s">
        <v>81</v>
      </c>
      <c r="BE1314" t="s">
        <v>4328</v>
      </c>
      <c r="BF1314" s="1" t="s">
        <v>73</v>
      </c>
      <c r="BG1314" s="1">
        <v>1</v>
      </c>
      <c r="BH1314">
        <v>1</v>
      </c>
      <c r="BK1314" s="1" t="s">
        <v>72</v>
      </c>
      <c r="BQ1314">
        <v>1</v>
      </c>
      <c r="CS1314" t="s">
        <v>4329</v>
      </c>
    </row>
    <row r="1315" spans="1:98">
      <c r="B1315" t="s">
        <v>4348</v>
      </c>
      <c r="C1315" s="13" t="s">
        <v>4349</v>
      </c>
      <c r="D1315" s="52" t="s">
        <v>3186</v>
      </c>
      <c r="E1315" s="8" t="s">
        <v>1084</v>
      </c>
      <c r="F1315" s="8" t="s">
        <v>65</v>
      </c>
      <c r="G1315" s="1">
        <v>1</v>
      </c>
      <c r="H1315" s="1"/>
      <c r="I1315" s="1">
        <f>1811-27</f>
        <v>1784</v>
      </c>
      <c r="J1315" t="s">
        <v>69</v>
      </c>
      <c r="K1315" t="s">
        <v>12</v>
      </c>
      <c r="N1315">
        <v>1</v>
      </c>
      <c r="Q1315">
        <v>5</v>
      </c>
      <c r="R1315">
        <v>1</v>
      </c>
      <c r="S1315">
        <v>1</v>
      </c>
      <c r="T1315" s="5">
        <f t="shared" si="63"/>
        <v>160.85</v>
      </c>
      <c r="U1315" t="s">
        <v>635</v>
      </c>
      <c r="AQ1315" s="6">
        <v>1</v>
      </c>
      <c r="AR1315" s="6">
        <v>1</v>
      </c>
      <c r="AS1315" s="6">
        <v>1</v>
      </c>
      <c r="BC1315">
        <v>1811</v>
      </c>
      <c r="BD1315" t="s">
        <v>81</v>
      </c>
      <c r="BE1315" t="s">
        <v>4328</v>
      </c>
      <c r="BF1315" s="1" t="s">
        <v>73</v>
      </c>
      <c r="BG1315" s="1">
        <v>1</v>
      </c>
      <c r="BH1315">
        <v>1</v>
      </c>
      <c r="BK1315" s="1" t="s">
        <v>72</v>
      </c>
      <c r="BQ1315">
        <v>1</v>
      </c>
      <c r="CS1315" t="s">
        <v>4329</v>
      </c>
    </row>
    <row r="1316" spans="1:98">
      <c r="B1316" t="s">
        <v>1035</v>
      </c>
      <c r="C1316" s="13" t="s">
        <v>1031</v>
      </c>
      <c r="D1316" s="13" t="s">
        <v>1032</v>
      </c>
      <c r="E1316" s="8" t="s">
        <v>624</v>
      </c>
      <c r="F1316" s="8" t="s">
        <v>218</v>
      </c>
      <c r="G1316" s="1">
        <v>1</v>
      </c>
      <c r="H1316" s="1"/>
      <c r="I1316" s="1">
        <f>1809-22</f>
        <v>1787</v>
      </c>
      <c r="J1316" t="s">
        <v>10</v>
      </c>
      <c r="K1316" t="s">
        <v>116</v>
      </c>
      <c r="T1316" s="5"/>
      <c r="U1316" s="9" t="s">
        <v>1036</v>
      </c>
      <c r="AQ1316" s="9">
        <v>1</v>
      </c>
      <c r="BC1316">
        <v>1809</v>
      </c>
      <c r="BD1316" t="s">
        <v>81</v>
      </c>
      <c r="BE1316" s="10" t="s">
        <v>999</v>
      </c>
      <c r="BF1316" s="1" t="s">
        <v>73</v>
      </c>
      <c r="BG1316" s="1">
        <v>1</v>
      </c>
      <c r="BH1316">
        <v>2</v>
      </c>
      <c r="BK1316" s="1"/>
      <c r="BO1316" s="9"/>
      <c r="CC1316">
        <v>1</v>
      </c>
      <c r="CL1316" s="10">
        <v>1</v>
      </c>
      <c r="CS1316" s="10" t="s">
        <v>1007</v>
      </c>
      <c r="CT1316" s="9" t="s">
        <v>1037</v>
      </c>
    </row>
    <row r="1317" spans="1:98">
      <c r="A1317" t="s">
        <v>72</v>
      </c>
      <c r="B1317" t="s">
        <v>4185</v>
      </c>
      <c r="C1317" s="13"/>
      <c r="D1317" s="13"/>
      <c r="F1317" t="s">
        <v>7</v>
      </c>
      <c r="G1317" s="1"/>
      <c r="H1317" s="1"/>
      <c r="I1317" s="1"/>
      <c r="T1317" s="5"/>
      <c r="U1317" t="s">
        <v>4104</v>
      </c>
      <c r="AQ1317" s="6">
        <v>1</v>
      </c>
      <c r="AR1317" s="7">
        <v>1</v>
      </c>
      <c r="BC1317" t="s">
        <v>2364</v>
      </c>
      <c r="BD1317" s="7" t="s">
        <v>109</v>
      </c>
      <c r="BE1317" t="s">
        <v>1065</v>
      </c>
      <c r="BF1317" s="1" t="s">
        <v>29</v>
      </c>
      <c r="BG1317" s="1">
        <v>2</v>
      </c>
      <c r="BH1317">
        <v>1</v>
      </c>
      <c r="BK1317" s="1">
        <v>1</v>
      </c>
      <c r="BQ1317">
        <v>1</v>
      </c>
      <c r="CS1317" s="7" t="s">
        <v>1593</v>
      </c>
    </row>
    <row r="1318" spans="1:98">
      <c r="A1318" t="s">
        <v>72</v>
      </c>
      <c r="B1318" t="s">
        <v>4229</v>
      </c>
      <c r="C1318" s="13"/>
      <c r="D1318" s="13"/>
      <c r="F1318" t="s">
        <v>7</v>
      </c>
      <c r="G1318" s="1"/>
      <c r="H1318" s="1"/>
      <c r="I1318" s="1"/>
      <c r="T1318" s="5"/>
      <c r="U1318" t="s">
        <v>4104</v>
      </c>
      <c r="AQ1318" s="7">
        <v>1</v>
      </c>
      <c r="BC1318" t="s">
        <v>4230</v>
      </c>
      <c r="BD1318" s="7" t="s">
        <v>26</v>
      </c>
      <c r="BE1318" t="s">
        <v>1065</v>
      </c>
      <c r="BF1318" s="1" t="s">
        <v>29</v>
      </c>
      <c r="BG1318" s="1">
        <v>1</v>
      </c>
      <c r="BH1318">
        <v>1</v>
      </c>
      <c r="BK1318" s="1">
        <v>1</v>
      </c>
      <c r="BQ1318">
        <v>1</v>
      </c>
      <c r="CS1318" s="7" t="s">
        <v>4227</v>
      </c>
    </row>
    <row r="1319" spans="1:98">
      <c r="A1319" t="s">
        <v>72</v>
      </c>
      <c r="B1319" t="s">
        <v>1182</v>
      </c>
      <c r="C1319" s="13"/>
      <c r="D1319" s="13"/>
      <c r="F1319" t="s">
        <v>7</v>
      </c>
      <c r="G1319" s="1"/>
      <c r="H1319" s="1"/>
      <c r="I1319" s="1"/>
      <c r="T1319" s="5"/>
      <c r="U1319" t="s">
        <v>4104</v>
      </c>
      <c r="AQ1319" s="6">
        <v>1</v>
      </c>
      <c r="AR1319" s="7">
        <v>1</v>
      </c>
      <c r="BC1319" t="s">
        <v>4105</v>
      </c>
      <c r="BD1319" s="7" t="s">
        <v>103</v>
      </c>
      <c r="BE1319" t="s">
        <v>1065</v>
      </c>
      <c r="BF1319" s="1" t="s">
        <v>29</v>
      </c>
      <c r="BG1319" s="1">
        <v>2</v>
      </c>
      <c r="BH1319">
        <v>1</v>
      </c>
      <c r="BK1319" s="1">
        <v>1</v>
      </c>
      <c r="BQ1319">
        <v>1</v>
      </c>
      <c r="CS1319" s="7" t="s">
        <v>1949</v>
      </c>
    </row>
    <row r="1320" spans="1:98">
      <c r="A1320" t="s">
        <v>72</v>
      </c>
      <c r="B1320" t="s">
        <v>4228</v>
      </c>
      <c r="C1320" s="13"/>
      <c r="D1320" s="13"/>
      <c r="F1320" s="8" t="s">
        <v>7</v>
      </c>
      <c r="G1320" s="1"/>
      <c r="H1320" s="1"/>
      <c r="I1320" s="1"/>
      <c r="T1320" s="5"/>
      <c r="U1320" t="s">
        <v>4104</v>
      </c>
      <c r="AQ1320" s="7">
        <v>1</v>
      </c>
      <c r="BC1320" t="s">
        <v>658</v>
      </c>
      <c r="BD1320" s="7" t="s">
        <v>26</v>
      </c>
      <c r="BE1320" t="s">
        <v>1065</v>
      </c>
      <c r="BF1320" s="1" t="s">
        <v>29</v>
      </c>
      <c r="BG1320" s="1">
        <v>1</v>
      </c>
      <c r="BH1320">
        <v>1</v>
      </c>
      <c r="BK1320" s="1">
        <v>1</v>
      </c>
      <c r="BQ1320">
        <v>1</v>
      </c>
      <c r="CS1320" s="7" t="s">
        <v>4227</v>
      </c>
    </row>
    <row r="1321" spans="1:98">
      <c r="B1321" t="s">
        <v>2335</v>
      </c>
      <c r="C1321" s="2" t="s">
        <v>2336</v>
      </c>
      <c r="D1321" s="2" t="s">
        <v>2336</v>
      </c>
      <c r="E1321" s="8" t="s">
        <v>1555</v>
      </c>
      <c r="F1321" s="8" t="s">
        <v>218</v>
      </c>
      <c r="G1321" s="1">
        <v>1</v>
      </c>
      <c r="H1321" s="1"/>
      <c r="I1321" s="1">
        <f>1809-20</f>
        <v>1789</v>
      </c>
      <c r="J1321" t="s">
        <v>10</v>
      </c>
      <c r="K1321" t="s">
        <v>12</v>
      </c>
      <c r="Q1321">
        <v>5</v>
      </c>
      <c r="R1321">
        <v>3</v>
      </c>
      <c r="T1321" s="5">
        <f>((Q1321*316)+(R1321*26.3)+(S1321*2.2))/10</f>
        <v>165.89000000000001</v>
      </c>
      <c r="U1321" t="s">
        <v>2337</v>
      </c>
      <c r="AQ1321" s="6">
        <v>1</v>
      </c>
      <c r="AR1321" s="7">
        <v>1</v>
      </c>
      <c r="BC1321" t="s">
        <v>2338</v>
      </c>
      <c r="BD1321" s="7" t="s">
        <v>103</v>
      </c>
      <c r="BE1321" t="s">
        <v>2315</v>
      </c>
      <c r="BF1321" s="1" t="s">
        <v>29</v>
      </c>
      <c r="BG1321" s="1">
        <v>3</v>
      </c>
      <c r="BH1321">
        <v>2</v>
      </c>
      <c r="BI1321">
        <v>1</v>
      </c>
      <c r="BJ1321">
        <v>1</v>
      </c>
      <c r="BK1321" s="1">
        <v>1</v>
      </c>
      <c r="BQ1321">
        <v>1</v>
      </c>
      <c r="CL1321">
        <v>1</v>
      </c>
      <c r="CS1321" s="7" t="s">
        <v>2339</v>
      </c>
    </row>
    <row r="1322" spans="1:98">
      <c r="B1322" t="s">
        <v>1020</v>
      </c>
      <c r="C1322" s="18" t="s">
        <v>1021</v>
      </c>
      <c r="D1322" s="18"/>
      <c r="F1322" s="8" t="s">
        <v>218</v>
      </c>
      <c r="G1322" s="1">
        <v>1</v>
      </c>
      <c r="H1322" s="1"/>
      <c r="I1322" s="1">
        <f>1810-24</f>
        <v>1786</v>
      </c>
      <c r="J1322" t="s">
        <v>10</v>
      </c>
      <c r="K1322" t="s">
        <v>4556</v>
      </c>
      <c r="T1322" s="5"/>
      <c r="U1322" t="s">
        <v>1019</v>
      </c>
      <c r="AQ1322" s="6">
        <v>1</v>
      </c>
      <c r="AR1322" s="7">
        <v>1</v>
      </c>
      <c r="BC1322" t="s">
        <v>1022</v>
      </c>
      <c r="BD1322" s="7" t="s">
        <v>103</v>
      </c>
      <c r="BE1322" t="s">
        <v>999</v>
      </c>
      <c r="BF1322" s="1" t="s">
        <v>29</v>
      </c>
      <c r="BG1322" s="1">
        <v>1</v>
      </c>
      <c r="BH1322">
        <v>1</v>
      </c>
      <c r="BK1322" s="1"/>
      <c r="BO1322">
        <v>1</v>
      </c>
      <c r="CC1322">
        <v>1</v>
      </c>
      <c r="CJ1322">
        <v>1</v>
      </c>
      <c r="CS1322" s="7" t="s">
        <v>1000</v>
      </c>
    </row>
    <row r="1323" spans="1:98">
      <c r="B1323" t="s">
        <v>4357</v>
      </c>
      <c r="C1323" s="13" t="s">
        <v>4358</v>
      </c>
      <c r="D1323" s="18"/>
      <c r="F1323" s="8" t="s">
        <v>2510</v>
      </c>
      <c r="G1323" s="1"/>
      <c r="H1323" s="30">
        <v>1</v>
      </c>
      <c r="I1323" s="1">
        <f>1811-23</f>
        <v>1788</v>
      </c>
      <c r="J1323" t="s">
        <v>10</v>
      </c>
      <c r="K1323" t="s">
        <v>12</v>
      </c>
      <c r="Q1323">
        <v>5</v>
      </c>
      <c r="R1323">
        <v>3</v>
      </c>
      <c r="S1323">
        <v>2</v>
      </c>
      <c r="T1323" s="5">
        <f t="shared" ref="T1323:T1329" si="64">((Q1323*316)+(R1323*26.3)+(S1323*2.2))/10</f>
        <v>166.33</v>
      </c>
      <c r="U1323" t="s">
        <v>3614</v>
      </c>
      <c r="AQ1323" s="6">
        <v>1</v>
      </c>
      <c r="AR1323" s="6">
        <v>1</v>
      </c>
      <c r="AS1323" s="6">
        <v>1</v>
      </c>
      <c r="BC1323">
        <v>1811</v>
      </c>
      <c r="BD1323" t="s">
        <v>81</v>
      </c>
      <c r="BE1323" t="s">
        <v>4328</v>
      </c>
      <c r="BF1323" s="1" t="s">
        <v>73</v>
      </c>
      <c r="BG1323" s="1">
        <v>1</v>
      </c>
      <c r="BH1323">
        <v>1</v>
      </c>
      <c r="BK1323" s="30">
        <v>1</v>
      </c>
      <c r="BQ1323">
        <v>1</v>
      </c>
      <c r="CS1323" t="s">
        <v>4329</v>
      </c>
      <c r="CT1323" s="6" t="s">
        <v>2707</v>
      </c>
    </row>
    <row r="1324" spans="1:98">
      <c r="B1324" t="s">
        <v>3612</v>
      </c>
      <c r="C1324" s="18" t="s">
        <v>3613</v>
      </c>
      <c r="D1324" s="18"/>
      <c r="E1324" s="8" t="s">
        <v>1180</v>
      </c>
      <c r="F1324" s="8" t="s">
        <v>247</v>
      </c>
      <c r="G1324" s="1">
        <v>1</v>
      </c>
      <c r="H1324" s="1"/>
      <c r="I1324" s="1">
        <f>1809-24</f>
        <v>1785</v>
      </c>
      <c r="J1324" t="s">
        <v>10</v>
      </c>
      <c r="K1324" t="s">
        <v>12</v>
      </c>
      <c r="Q1324">
        <v>5</v>
      </c>
      <c r="R1324">
        <v>0</v>
      </c>
      <c r="S1324">
        <v>1</v>
      </c>
      <c r="T1324" s="5">
        <f t="shared" si="64"/>
        <v>158.22</v>
      </c>
      <c r="U1324" t="s">
        <v>3614</v>
      </c>
      <c r="AQ1324" s="6">
        <v>1</v>
      </c>
      <c r="BC1324">
        <v>1809</v>
      </c>
      <c r="BD1324" t="s">
        <v>81</v>
      </c>
      <c r="BE1324" t="s">
        <v>261</v>
      </c>
      <c r="BF1324" s="1" t="s">
        <v>73</v>
      </c>
      <c r="BG1324" s="1">
        <v>1</v>
      </c>
      <c r="BH1324">
        <v>1</v>
      </c>
      <c r="BK1324" s="1">
        <v>1</v>
      </c>
      <c r="BW1324">
        <v>1</v>
      </c>
      <c r="CS1324" t="s">
        <v>3615</v>
      </c>
    </row>
    <row r="1325" spans="1:98">
      <c r="B1325" t="s">
        <v>3500</v>
      </c>
      <c r="C1325" s="2" t="s">
        <v>356</v>
      </c>
      <c r="D1325" s="18"/>
      <c r="F1325" s="8" t="s">
        <v>357</v>
      </c>
      <c r="G1325" s="1">
        <v>1</v>
      </c>
      <c r="H1325" s="1"/>
      <c r="I1325" s="1">
        <f>1809-19</f>
        <v>1790</v>
      </c>
      <c r="J1325" t="s">
        <v>10</v>
      </c>
      <c r="K1325" t="s">
        <v>3501</v>
      </c>
      <c r="Q1325">
        <v>5</v>
      </c>
      <c r="R1325">
        <v>3</v>
      </c>
      <c r="T1325" s="5">
        <f t="shared" si="64"/>
        <v>165.89000000000001</v>
      </c>
      <c r="U1325" t="s">
        <v>417</v>
      </c>
      <c r="AQ1325" s="14">
        <v>1</v>
      </c>
      <c r="AR1325" s="6">
        <v>1</v>
      </c>
      <c r="AS1325" s="6">
        <v>1</v>
      </c>
      <c r="AT1325" s="6">
        <v>1</v>
      </c>
      <c r="AU1325" s="6">
        <v>1</v>
      </c>
      <c r="AV1325" s="6">
        <v>1</v>
      </c>
      <c r="AW1325" s="6">
        <v>1</v>
      </c>
      <c r="AX1325" s="7">
        <v>1</v>
      </c>
      <c r="BC1325" t="s">
        <v>3652</v>
      </c>
      <c r="BD1325" s="7" t="s">
        <v>103</v>
      </c>
      <c r="BE1325" t="s">
        <v>2407</v>
      </c>
      <c r="BF1325" s="1" t="s">
        <v>29</v>
      </c>
      <c r="BG1325" s="1">
        <v>9</v>
      </c>
      <c r="BH1325">
        <v>1</v>
      </c>
      <c r="BK1325" s="1">
        <v>1</v>
      </c>
      <c r="BL1325">
        <v>1</v>
      </c>
      <c r="BQ1325">
        <v>1</v>
      </c>
      <c r="CF1325">
        <v>1</v>
      </c>
      <c r="CS1325" s="7" t="s">
        <v>2172</v>
      </c>
    </row>
    <row r="1326" spans="1:98">
      <c r="B1326" t="s">
        <v>413</v>
      </c>
      <c r="C1326" s="15" t="s">
        <v>414</v>
      </c>
      <c r="D1326" s="15" t="s">
        <v>414</v>
      </c>
      <c r="E1326" s="8" t="s">
        <v>415</v>
      </c>
      <c r="F1326" s="8" t="s">
        <v>416</v>
      </c>
      <c r="G1326" s="1">
        <v>1</v>
      </c>
      <c r="H1326" s="1"/>
      <c r="I1326" s="1">
        <f>1809-18</f>
        <v>1791</v>
      </c>
      <c r="J1326" t="s">
        <v>10</v>
      </c>
      <c r="K1326" t="s">
        <v>12</v>
      </c>
      <c r="T1326" s="5"/>
      <c r="U1326" t="s">
        <v>417</v>
      </c>
      <c r="AQ1326" s="7">
        <v>1</v>
      </c>
      <c r="BC1326" t="s">
        <v>418</v>
      </c>
      <c r="BD1326" s="7" t="s">
        <v>305</v>
      </c>
      <c r="BE1326" t="s">
        <v>419</v>
      </c>
      <c r="BF1326" s="1" t="s">
        <v>29</v>
      </c>
      <c r="BG1326" s="1">
        <v>1</v>
      </c>
      <c r="BH1326">
        <v>1</v>
      </c>
      <c r="BK1326" s="1"/>
      <c r="BO1326">
        <v>1</v>
      </c>
      <c r="BR1326">
        <v>1</v>
      </c>
      <c r="CM1326">
        <v>1</v>
      </c>
      <c r="CS1326" s="7" t="s">
        <v>420</v>
      </c>
    </row>
    <row r="1327" spans="1:98">
      <c r="B1327" t="s">
        <v>4445</v>
      </c>
      <c r="C1327" s="2" t="s">
        <v>4446</v>
      </c>
      <c r="D1327" s="15"/>
      <c r="F1327" s="8" t="s">
        <v>115</v>
      </c>
      <c r="G1327" s="30">
        <v>1</v>
      </c>
      <c r="H1327" s="1"/>
      <c r="I1327" s="1">
        <f>1811-29</f>
        <v>1782</v>
      </c>
      <c r="J1327" t="s">
        <v>10</v>
      </c>
      <c r="K1327" t="s">
        <v>12</v>
      </c>
      <c r="Q1327">
        <v>5</v>
      </c>
      <c r="R1327">
        <v>4</v>
      </c>
      <c r="S1327">
        <v>2</v>
      </c>
      <c r="T1327" s="5">
        <f t="shared" si="64"/>
        <v>168.96</v>
      </c>
      <c r="U1327" s="9" t="s">
        <v>4444</v>
      </c>
      <c r="AQ1327" s="9">
        <v>1</v>
      </c>
      <c r="AR1327" s="9">
        <v>1</v>
      </c>
      <c r="AS1327" s="6">
        <v>1</v>
      </c>
      <c r="BC1327">
        <v>1811</v>
      </c>
      <c r="BD1327" t="s">
        <v>81</v>
      </c>
      <c r="BE1327" t="s">
        <v>151</v>
      </c>
      <c r="BF1327" s="1" t="s">
        <v>73</v>
      </c>
      <c r="BG1327" s="1">
        <v>1</v>
      </c>
      <c r="BH1327">
        <v>2</v>
      </c>
      <c r="BK1327" s="1" t="s">
        <v>72</v>
      </c>
      <c r="BO1327">
        <v>1</v>
      </c>
      <c r="BP1327">
        <v>1</v>
      </c>
      <c r="BQ1327">
        <v>1</v>
      </c>
      <c r="CS1327" t="s">
        <v>4198</v>
      </c>
    </row>
    <row r="1328" spans="1:98">
      <c r="B1328" t="s">
        <v>1050</v>
      </c>
      <c r="C1328" s="15" t="s">
        <v>522</v>
      </c>
      <c r="F1328" s="8" t="s">
        <v>218</v>
      </c>
      <c r="G1328" s="1">
        <v>1</v>
      </c>
      <c r="H1328" s="1"/>
      <c r="I1328" s="1">
        <f>1809-30</f>
        <v>1779</v>
      </c>
      <c r="J1328" t="s">
        <v>10</v>
      </c>
      <c r="K1328" t="s">
        <v>1049</v>
      </c>
      <c r="T1328" s="5"/>
      <c r="U1328" t="s">
        <v>1048</v>
      </c>
      <c r="AQ1328" s="6">
        <v>1</v>
      </c>
      <c r="AR1328" s="6">
        <v>1</v>
      </c>
      <c r="BC1328">
        <v>1810</v>
      </c>
      <c r="BD1328" t="s">
        <v>81</v>
      </c>
      <c r="BE1328" s="10" t="s">
        <v>1046</v>
      </c>
      <c r="BF1328" s="1" t="s">
        <v>73</v>
      </c>
      <c r="BG1328" s="1">
        <v>1</v>
      </c>
      <c r="BH1328">
        <v>3</v>
      </c>
      <c r="BK1328" s="1"/>
      <c r="BO1328" s="9"/>
      <c r="CC1328">
        <v>1</v>
      </c>
      <c r="CL1328" s="10">
        <v>1</v>
      </c>
      <c r="CS1328" s="10" t="s">
        <v>1051</v>
      </c>
      <c r="CT1328" s="9" t="s">
        <v>1067</v>
      </c>
    </row>
    <row r="1329" spans="1:97">
      <c r="B1329" t="s">
        <v>3922</v>
      </c>
      <c r="C1329" s="2" t="s">
        <v>3923</v>
      </c>
      <c r="D1329" s="2" t="s">
        <v>3924</v>
      </c>
      <c r="E1329" s="8" t="s">
        <v>516</v>
      </c>
      <c r="F1329" s="8" t="s">
        <v>218</v>
      </c>
      <c r="G1329" s="1">
        <v>1</v>
      </c>
      <c r="H1329" s="1"/>
      <c r="I1329" s="1">
        <f>1809-27</f>
        <v>1782</v>
      </c>
      <c r="J1329" t="s">
        <v>10</v>
      </c>
      <c r="K1329" t="s">
        <v>12</v>
      </c>
      <c r="Q1329">
        <v>5</v>
      </c>
      <c r="R1329">
        <v>6</v>
      </c>
      <c r="T1329" s="5">
        <f t="shared" si="64"/>
        <v>173.78</v>
      </c>
      <c r="U1329" t="s">
        <v>693</v>
      </c>
      <c r="AQ1329" s="14">
        <v>1</v>
      </c>
      <c r="AR1329" s="7">
        <v>1</v>
      </c>
      <c r="BC1329" t="s">
        <v>841</v>
      </c>
      <c r="BD1329" s="7" t="s">
        <v>26</v>
      </c>
      <c r="BE1329" t="s">
        <v>3925</v>
      </c>
      <c r="BF1329" s="1" t="s">
        <v>29</v>
      </c>
      <c r="BG1329" s="1">
        <v>4</v>
      </c>
      <c r="BH1329">
        <v>2</v>
      </c>
      <c r="BK1329" s="1">
        <v>1</v>
      </c>
      <c r="BL1329">
        <v>1</v>
      </c>
      <c r="CL1329">
        <v>1</v>
      </c>
      <c r="CS1329" s="7" t="s">
        <v>3926</v>
      </c>
    </row>
    <row r="1330" spans="1:97">
      <c r="B1330" t="s">
        <v>4065</v>
      </c>
      <c r="C1330" s="2" t="s">
        <v>4058</v>
      </c>
      <c r="D1330" s="2"/>
      <c r="E1330" s="8" t="s">
        <v>4055</v>
      </c>
      <c r="F1330" s="8" t="s">
        <v>247</v>
      </c>
      <c r="G1330" s="1">
        <v>1</v>
      </c>
      <c r="H1330" s="1"/>
      <c r="I1330" s="1">
        <f>1810-38</f>
        <v>1772</v>
      </c>
      <c r="J1330" t="s">
        <v>69</v>
      </c>
      <c r="K1330" t="s">
        <v>12</v>
      </c>
      <c r="T1330" s="5"/>
      <c r="U1330" t="s">
        <v>4064</v>
      </c>
      <c r="AQ1330" s="6">
        <v>1</v>
      </c>
      <c r="AR1330" s="7">
        <v>1</v>
      </c>
      <c r="BC1330" t="s">
        <v>2729</v>
      </c>
      <c r="BD1330" s="7" t="s">
        <v>103</v>
      </c>
      <c r="BE1330" t="s">
        <v>1854</v>
      </c>
      <c r="BF1330" s="1" t="s">
        <v>29</v>
      </c>
      <c r="BG1330" s="1">
        <v>2</v>
      </c>
      <c r="BH1330">
        <v>2</v>
      </c>
      <c r="BK1330" s="1"/>
      <c r="BO1330" t="s">
        <v>72</v>
      </c>
      <c r="BQ1330">
        <v>2</v>
      </c>
      <c r="CL1330">
        <v>1</v>
      </c>
      <c r="CS1330" s="7" t="s">
        <v>1949</v>
      </c>
    </row>
    <row r="1331" spans="1:97">
      <c r="B1331" t="s">
        <v>1024</v>
      </c>
      <c r="C1331" s="15" t="s">
        <v>1025</v>
      </c>
      <c r="D1331" s="15"/>
      <c r="F1331" s="8" t="s">
        <v>218</v>
      </c>
      <c r="G1331" s="1">
        <v>1</v>
      </c>
      <c r="H1331" s="1"/>
      <c r="I1331" s="1">
        <f>1809-36</f>
        <v>1773</v>
      </c>
      <c r="J1331" t="s">
        <v>10</v>
      </c>
      <c r="K1331" t="s">
        <v>4557</v>
      </c>
      <c r="T1331" s="5"/>
      <c r="U1331" t="s">
        <v>1023</v>
      </c>
      <c r="AQ1331" s="6">
        <v>1</v>
      </c>
      <c r="AR1331" s="6">
        <v>1</v>
      </c>
      <c r="BC1331">
        <v>1810</v>
      </c>
      <c r="BD1331" t="s">
        <v>81</v>
      </c>
      <c r="BE1331" s="10" t="s">
        <v>999</v>
      </c>
      <c r="BF1331" s="1" t="s">
        <v>73</v>
      </c>
      <c r="BG1331" s="1">
        <v>1</v>
      </c>
      <c r="BH1331">
        <v>2</v>
      </c>
      <c r="BK1331" s="1"/>
      <c r="BO1331">
        <v>1</v>
      </c>
      <c r="CC1331">
        <v>1</v>
      </c>
      <c r="CJ1331">
        <v>1</v>
      </c>
      <c r="CL1331" s="10">
        <v>1</v>
      </c>
      <c r="CS1331" s="10" t="s">
        <v>1026</v>
      </c>
    </row>
    <row r="1332" spans="1:97">
      <c r="B1332" t="s">
        <v>1027</v>
      </c>
      <c r="C1332" s="15" t="s">
        <v>1028</v>
      </c>
      <c r="D1332" s="15"/>
      <c r="F1332" s="8" t="s">
        <v>217</v>
      </c>
      <c r="G1332" s="1"/>
      <c r="H1332" s="1">
        <v>1</v>
      </c>
      <c r="I1332" s="1">
        <f>1809-37</f>
        <v>1772</v>
      </c>
      <c r="J1332" t="s">
        <v>69</v>
      </c>
      <c r="K1332" t="s">
        <v>4557</v>
      </c>
      <c r="O1332" s="1"/>
      <c r="T1332" s="5"/>
      <c r="U1332" t="s">
        <v>1023</v>
      </c>
      <c r="AQ1332" s="6">
        <v>1</v>
      </c>
      <c r="BC1332">
        <v>1809</v>
      </c>
      <c r="BD1332" t="s">
        <v>81</v>
      </c>
      <c r="BE1332" s="10" t="s">
        <v>999</v>
      </c>
      <c r="BF1332" s="1" t="s">
        <v>73</v>
      </c>
      <c r="BG1332" s="1">
        <v>1</v>
      </c>
      <c r="BH1332">
        <v>2</v>
      </c>
      <c r="BK1332" s="1"/>
      <c r="BO1332">
        <v>1</v>
      </c>
      <c r="CC1332">
        <v>1</v>
      </c>
      <c r="CJ1332">
        <v>1</v>
      </c>
      <c r="CL1332" s="10">
        <v>1</v>
      </c>
      <c r="CS1332" s="10" t="s">
        <v>1029</v>
      </c>
    </row>
    <row r="1333" spans="1:97">
      <c r="B1333" t="s">
        <v>1342</v>
      </c>
      <c r="C1333" s="2" t="s">
        <v>1083</v>
      </c>
      <c r="D1333" s="26" t="s">
        <v>192</v>
      </c>
      <c r="F1333" s="8" t="s">
        <v>65</v>
      </c>
      <c r="G1333" s="1">
        <v>1</v>
      </c>
      <c r="H1333" s="1"/>
      <c r="I1333" s="1">
        <f>1809-22</f>
        <v>1787</v>
      </c>
      <c r="J1333" t="s">
        <v>69</v>
      </c>
      <c r="O1333" s="1"/>
      <c r="Q1333">
        <v>5</v>
      </c>
      <c r="R1333">
        <v>5</v>
      </c>
      <c r="T1333" s="5">
        <f t="shared" ref="T1333:T1359" si="65">((Q1333*316)+(R1333*26.3)+(S1333*2.2))/10</f>
        <v>171.15</v>
      </c>
      <c r="U1333" t="s">
        <v>1023</v>
      </c>
      <c r="AQ1333" s="7">
        <v>1</v>
      </c>
      <c r="BC1333" t="s">
        <v>1343</v>
      </c>
      <c r="BD1333" s="7" t="s">
        <v>280</v>
      </c>
      <c r="BE1333" t="s">
        <v>1344</v>
      </c>
      <c r="BF1333" s="1" t="s">
        <v>29</v>
      </c>
      <c r="BG1333" s="1">
        <v>1</v>
      </c>
      <c r="BH1333">
        <v>1</v>
      </c>
      <c r="BK1333" s="1">
        <v>1</v>
      </c>
      <c r="BW1333">
        <v>1</v>
      </c>
      <c r="CN1333">
        <v>1</v>
      </c>
      <c r="CS1333" s="7" t="s">
        <v>1345</v>
      </c>
    </row>
    <row r="1334" spans="1:97">
      <c r="B1334" t="s">
        <v>4188</v>
      </c>
      <c r="C1334" s="2" t="s">
        <v>4189</v>
      </c>
      <c r="D1334" s="26" t="s">
        <v>4190</v>
      </c>
      <c r="E1334" s="8" t="s">
        <v>2593</v>
      </c>
      <c r="F1334" s="8" t="s">
        <v>247</v>
      </c>
      <c r="G1334" s="1">
        <v>1</v>
      </c>
      <c r="H1334" s="1"/>
      <c r="I1334" s="1">
        <f>1809-19</f>
        <v>1790</v>
      </c>
      <c r="J1334" t="s">
        <v>10</v>
      </c>
      <c r="K1334" t="s">
        <v>12</v>
      </c>
      <c r="O1334" s="1"/>
      <c r="Q1334">
        <v>5</v>
      </c>
      <c r="R1334">
        <v>2</v>
      </c>
      <c r="S1334">
        <v>2</v>
      </c>
      <c r="T1334" s="5">
        <f>((Q1334*316)+(R1334*26.3)+(S1334*2.2))/10</f>
        <v>163.69999999999999</v>
      </c>
      <c r="U1334" t="s">
        <v>4191</v>
      </c>
      <c r="AQ1334" s="6">
        <v>1</v>
      </c>
      <c r="AR1334" s="7">
        <v>1</v>
      </c>
      <c r="BC1334" t="s">
        <v>2729</v>
      </c>
      <c r="BD1334" s="7" t="s">
        <v>103</v>
      </c>
      <c r="BE1334" t="s">
        <v>1065</v>
      </c>
      <c r="BF1334" s="1" t="s">
        <v>29</v>
      </c>
      <c r="BG1334" s="1">
        <v>2</v>
      </c>
      <c r="BH1334">
        <v>1</v>
      </c>
      <c r="BK1334" s="1">
        <v>1</v>
      </c>
      <c r="BQ1334">
        <v>1</v>
      </c>
      <c r="CS1334" s="7" t="s">
        <v>1949</v>
      </c>
    </row>
    <row r="1335" spans="1:97">
      <c r="B1335" t="s">
        <v>4235</v>
      </c>
      <c r="C1335" s="2" t="s">
        <v>4189</v>
      </c>
      <c r="D1335" s="26" t="s">
        <v>4190</v>
      </c>
      <c r="E1335" s="8" t="s">
        <v>2593</v>
      </c>
      <c r="F1335" s="8" t="s">
        <v>247</v>
      </c>
      <c r="G1335" s="1">
        <v>1</v>
      </c>
      <c r="H1335" s="1"/>
      <c r="I1335" s="1">
        <f>1809-22</f>
        <v>1787</v>
      </c>
      <c r="J1335" t="s">
        <v>10</v>
      </c>
      <c r="K1335" t="s">
        <v>12</v>
      </c>
      <c r="O1335" s="1"/>
      <c r="Q1335">
        <v>5</v>
      </c>
      <c r="R1335">
        <v>1</v>
      </c>
      <c r="S1335">
        <v>3</v>
      </c>
      <c r="T1335" s="5">
        <f>((Q1335*316)+(R1335*26.3)+(S1335*2.2))/10</f>
        <v>161.29</v>
      </c>
      <c r="U1335" t="s">
        <v>4191</v>
      </c>
      <c r="AQ1335" s="14">
        <v>1</v>
      </c>
      <c r="BC1335" s="9" t="s">
        <v>4236</v>
      </c>
      <c r="BD1335" s="14" t="s">
        <v>338</v>
      </c>
      <c r="BE1335" t="s">
        <v>1065</v>
      </c>
      <c r="BF1335" s="1" t="s">
        <v>339</v>
      </c>
      <c r="BG1335" s="1">
        <v>1</v>
      </c>
      <c r="BH1335">
        <v>1</v>
      </c>
      <c r="BK1335" s="1">
        <v>1</v>
      </c>
      <c r="BQ1335">
        <v>1</v>
      </c>
      <c r="CS1335" s="14" t="s">
        <v>4237</v>
      </c>
    </row>
    <row r="1336" spans="1:97">
      <c r="B1336" t="s">
        <v>3621</v>
      </c>
      <c r="C1336" s="2" t="s">
        <v>3269</v>
      </c>
      <c r="D1336" s="2" t="s">
        <v>3269</v>
      </c>
      <c r="E1336" s="8" t="s">
        <v>565</v>
      </c>
      <c r="F1336" s="8" t="s">
        <v>357</v>
      </c>
      <c r="G1336" s="1">
        <v>1</v>
      </c>
      <c r="H1336" s="1"/>
      <c r="I1336" s="1">
        <f>1809-20</f>
        <v>1789</v>
      </c>
      <c r="J1336" t="s">
        <v>10</v>
      </c>
      <c r="K1336" t="s">
        <v>12</v>
      </c>
      <c r="O1336" s="1"/>
      <c r="Q1336">
        <v>5</v>
      </c>
      <c r="R1336">
        <v>3</v>
      </c>
      <c r="T1336" s="5">
        <f t="shared" si="65"/>
        <v>165.89000000000001</v>
      </c>
      <c r="U1336" t="s">
        <v>3620</v>
      </c>
      <c r="AQ1336" s="14">
        <v>1</v>
      </c>
      <c r="AR1336" s="6">
        <v>1</v>
      </c>
      <c r="AS1336" s="6">
        <v>1</v>
      </c>
      <c r="AT1336" s="6">
        <v>1</v>
      </c>
      <c r="AU1336" s="6">
        <v>1</v>
      </c>
      <c r="AV1336" s="6">
        <v>1</v>
      </c>
      <c r="AW1336" s="7">
        <v>1</v>
      </c>
      <c r="BC1336" t="s">
        <v>3619</v>
      </c>
      <c r="BD1336" s="7" t="s">
        <v>103</v>
      </c>
      <c r="BE1336" t="s">
        <v>2407</v>
      </c>
      <c r="BF1336" s="1" t="s">
        <v>29</v>
      </c>
      <c r="BG1336" s="1">
        <v>8</v>
      </c>
      <c r="BH1336">
        <v>2</v>
      </c>
      <c r="BI1336">
        <v>1</v>
      </c>
      <c r="BJ1336">
        <v>1</v>
      </c>
      <c r="BK1336" s="1">
        <v>1</v>
      </c>
      <c r="BL1336">
        <v>1</v>
      </c>
      <c r="BQ1336">
        <v>1</v>
      </c>
      <c r="BX1336">
        <v>1</v>
      </c>
      <c r="CL1336">
        <v>1</v>
      </c>
      <c r="CS1336" s="7" t="s">
        <v>2172</v>
      </c>
    </row>
    <row r="1337" spans="1:97">
      <c r="B1337" t="s">
        <v>4331</v>
      </c>
      <c r="C1337" s="2" t="s">
        <v>3569</v>
      </c>
      <c r="D1337" s="15"/>
      <c r="E1337" s="8" t="s">
        <v>627</v>
      </c>
      <c r="F1337" s="8" t="s">
        <v>357</v>
      </c>
      <c r="G1337" s="1">
        <v>1</v>
      </c>
      <c r="H1337" s="1"/>
      <c r="I1337" s="1">
        <f>1811-25</f>
        <v>1786</v>
      </c>
      <c r="J1337" t="s">
        <v>10</v>
      </c>
      <c r="K1337" t="s">
        <v>12</v>
      </c>
      <c r="O1337" s="1"/>
      <c r="Q1337">
        <v>5</v>
      </c>
      <c r="R1337">
        <v>3</v>
      </c>
      <c r="T1337" s="5">
        <f t="shared" si="65"/>
        <v>165.89000000000001</v>
      </c>
      <c r="U1337" t="s">
        <v>3620</v>
      </c>
      <c r="AQ1337" s="6">
        <v>1</v>
      </c>
      <c r="AR1337" s="6">
        <v>1</v>
      </c>
      <c r="AS1337" s="6">
        <v>1</v>
      </c>
      <c r="BC1337">
        <v>1811</v>
      </c>
      <c r="BD1337" t="s">
        <v>81</v>
      </c>
      <c r="BE1337" t="s">
        <v>4328</v>
      </c>
      <c r="BF1337" s="1" t="s">
        <v>73</v>
      </c>
      <c r="BG1337" s="1">
        <v>1</v>
      </c>
      <c r="BH1337">
        <v>1</v>
      </c>
      <c r="BK1337" s="1" t="s">
        <v>72</v>
      </c>
      <c r="BQ1337">
        <v>1</v>
      </c>
      <c r="CS1337" t="s">
        <v>4329</v>
      </c>
    </row>
    <row r="1338" spans="1:97">
      <c r="B1338" t="s">
        <v>3673</v>
      </c>
      <c r="C1338" s="2" t="s">
        <v>3674</v>
      </c>
      <c r="D1338" s="2" t="s">
        <v>3674</v>
      </c>
      <c r="E1338" s="8" t="s">
        <v>565</v>
      </c>
      <c r="F1338" s="8" t="s">
        <v>357</v>
      </c>
      <c r="G1338" s="1">
        <v>1</v>
      </c>
      <c r="H1338" s="1"/>
      <c r="I1338" s="1">
        <f>1809-19</f>
        <v>1790</v>
      </c>
      <c r="J1338" t="s">
        <v>10</v>
      </c>
      <c r="K1338" t="s">
        <v>12</v>
      </c>
      <c r="O1338" s="1"/>
      <c r="Q1338">
        <v>5</v>
      </c>
      <c r="R1338">
        <v>2</v>
      </c>
      <c r="S1338">
        <v>2</v>
      </c>
      <c r="T1338" s="5">
        <f t="shared" si="65"/>
        <v>163.69999999999999</v>
      </c>
      <c r="U1338" t="s">
        <v>3620</v>
      </c>
      <c r="AQ1338" s="14">
        <v>1</v>
      </c>
      <c r="AR1338" s="6">
        <v>1</v>
      </c>
      <c r="AS1338" s="6">
        <v>1</v>
      </c>
      <c r="AT1338" s="6">
        <v>1</v>
      </c>
      <c r="AU1338" s="6">
        <v>1</v>
      </c>
      <c r="AV1338" s="6">
        <v>1</v>
      </c>
      <c r="AW1338" s="6">
        <v>1</v>
      </c>
      <c r="AX1338" s="6">
        <v>1</v>
      </c>
      <c r="AY1338" s="7">
        <v>1</v>
      </c>
      <c r="BC1338" t="s">
        <v>2419</v>
      </c>
      <c r="BD1338" s="7" t="s">
        <v>109</v>
      </c>
      <c r="BE1338" t="s">
        <v>2407</v>
      </c>
      <c r="BF1338" s="1" t="s">
        <v>29</v>
      </c>
      <c r="BG1338" s="1">
        <v>9</v>
      </c>
      <c r="BH1338">
        <v>1</v>
      </c>
      <c r="BK1338" s="1">
        <v>1</v>
      </c>
      <c r="BL1338">
        <v>1</v>
      </c>
      <c r="BQ1338">
        <v>1</v>
      </c>
      <c r="CS1338" s="7" t="s">
        <v>1593</v>
      </c>
    </row>
    <row r="1339" spans="1:97">
      <c r="B1339" t="s">
        <v>4338</v>
      </c>
      <c r="C1339" s="2" t="s">
        <v>626</v>
      </c>
      <c r="D1339" s="2" t="s">
        <v>626</v>
      </c>
      <c r="E1339" s="8" t="s">
        <v>627</v>
      </c>
      <c r="F1339" s="8" t="s">
        <v>357</v>
      </c>
      <c r="G1339" s="1">
        <v>1</v>
      </c>
      <c r="H1339" s="1"/>
      <c r="I1339" s="1">
        <f>1811-20</f>
        <v>1791</v>
      </c>
      <c r="J1339" t="s">
        <v>10</v>
      </c>
      <c r="K1339" t="s">
        <v>12</v>
      </c>
      <c r="O1339" s="1"/>
      <c r="Q1339">
        <v>5</v>
      </c>
      <c r="R1339">
        <v>4</v>
      </c>
      <c r="S1339">
        <v>1</v>
      </c>
      <c r="T1339" s="5">
        <f t="shared" si="65"/>
        <v>168.74</v>
      </c>
      <c r="U1339" t="s">
        <v>4339</v>
      </c>
      <c r="AQ1339" s="6">
        <v>1</v>
      </c>
      <c r="AR1339" s="6">
        <v>1</v>
      </c>
      <c r="AS1339" s="6">
        <v>1</v>
      </c>
      <c r="BC1339">
        <v>1811</v>
      </c>
      <c r="BD1339" t="s">
        <v>81</v>
      </c>
      <c r="BE1339" t="s">
        <v>4328</v>
      </c>
      <c r="BF1339" s="1" t="s">
        <v>73</v>
      </c>
      <c r="BG1339" s="1">
        <v>1</v>
      </c>
      <c r="BH1339">
        <v>1</v>
      </c>
      <c r="BK1339" s="1" t="s">
        <v>72</v>
      </c>
      <c r="BQ1339">
        <v>1</v>
      </c>
      <c r="CS1339" t="s">
        <v>4329</v>
      </c>
    </row>
    <row r="1340" spans="1:97">
      <c r="B1340" t="s">
        <v>4238</v>
      </c>
      <c r="C1340" s="2" t="s">
        <v>4239</v>
      </c>
      <c r="D1340" s="15"/>
      <c r="E1340" s="8" t="s">
        <v>1933</v>
      </c>
      <c r="F1340" s="8" t="s">
        <v>247</v>
      </c>
      <c r="G1340" s="1">
        <v>1</v>
      </c>
      <c r="H1340" s="1"/>
      <c r="I1340" s="1">
        <f>1809-22</f>
        <v>1787</v>
      </c>
      <c r="J1340" t="s">
        <v>10</v>
      </c>
      <c r="K1340" t="s">
        <v>12</v>
      </c>
      <c r="O1340" s="1"/>
      <c r="Q1340">
        <v>5</v>
      </c>
      <c r="R1340">
        <v>2</v>
      </c>
      <c r="T1340" s="5">
        <f t="shared" si="65"/>
        <v>163.26</v>
      </c>
      <c r="U1340" t="s">
        <v>666</v>
      </c>
      <c r="AQ1340" s="7">
        <v>1</v>
      </c>
      <c r="BC1340" t="s">
        <v>582</v>
      </c>
      <c r="BD1340" s="7" t="s">
        <v>26</v>
      </c>
      <c r="BE1340" t="s">
        <v>1065</v>
      </c>
      <c r="BF1340" s="1" t="s">
        <v>29</v>
      </c>
      <c r="BG1340" s="1">
        <v>2</v>
      </c>
      <c r="BH1340">
        <v>1</v>
      </c>
      <c r="BK1340" s="1">
        <v>1</v>
      </c>
      <c r="BQ1340">
        <v>1</v>
      </c>
      <c r="CS1340" s="7" t="s">
        <v>4107</v>
      </c>
    </row>
    <row r="1341" spans="1:97">
      <c r="B1341" t="s">
        <v>2591</v>
      </c>
      <c r="C1341" s="12" t="s">
        <v>2592</v>
      </c>
      <c r="D1341" s="26"/>
      <c r="E1341" s="8" t="s">
        <v>2593</v>
      </c>
      <c r="F1341" s="8" t="s">
        <v>247</v>
      </c>
      <c r="G1341" s="1">
        <v>1</v>
      </c>
      <c r="H1341" s="1"/>
      <c r="I1341" s="1">
        <f>1809-22</f>
        <v>1787</v>
      </c>
      <c r="J1341" t="s">
        <v>10</v>
      </c>
      <c r="K1341" t="s">
        <v>12</v>
      </c>
      <c r="O1341" s="1"/>
      <c r="Q1341">
        <v>5</v>
      </c>
      <c r="R1341">
        <v>3</v>
      </c>
      <c r="S1341">
        <v>2</v>
      </c>
      <c r="T1341" s="5">
        <f t="shared" si="65"/>
        <v>166.33</v>
      </c>
      <c r="U1341" t="s">
        <v>666</v>
      </c>
      <c r="AQ1341" s="6">
        <v>1</v>
      </c>
      <c r="AR1341" s="7">
        <v>1</v>
      </c>
      <c r="BC1341" t="s">
        <v>4057</v>
      </c>
      <c r="BD1341" s="7" t="s">
        <v>103</v>
      </c>
      <c r="BE1341" t="s">
        <v>1065</v>
      </c>
      <c r="BF1341" s="1" t="s">
        <v>29</v>
      </c>
      <c r="BG1341" s="1">
        <v>3</v>
      </c>
      <c r="BH1341">
        <v>1</v>
      </c>
      <c r="BK1341" s="1">
        <v>1</v>
      </c>
      <c r="BQ1341">
        <v>1</v>
      </c>
      <c r="CS1341" s="7" t="s">
        <v>1949</v>
      </c>
    </row>
    <row r="1342" spans="1:97">
      <c r="B1342" t="s">
        <v>4045</v>
      </c>
      <c r="C1342" s="2" t="s">
        <v>4046</v>
      </c>
      <c r="D1342" s="26"/>
      <c r="E1342" s="8" t="s">
        <v>2036</v>
      </c>
      <c r="F1342" s="8" t="s">
        <v>247</v>
      </c>
      <c r="G1342" s="1">
        <v>1</v>
      </c>
      <c r="H1342" s="1"/>
      <c r="I1342" s="1">
        <f>1810-22</f>
        <v>1788</v>
      </c>
      <c r="J1342" t="s">
        <v>10</v>
      </c>
      <c r="K1342" t="s">
        <v>12</v>
      </c>
      <c r="O1342" s="1"/>
      <c r="T1342" s="5"/>
      <c r="U1342" t="s">
        <v>4047</v>
      </c>
      <c r="AQ1342" s="6">
        <v>1</v>
      </c>
      <c r="AR1342" s="6">
        <v>1</v>
      </c>
      <c r="AS1342" s="7">
        <v>1</v>
      </c>
      <c r="BC1342" t="s">
        <v>4044</v>
      </c>
      <c r="BD1342" s="7" t="s">
        <v>103</v>
      </c>
      <c r="BE1342" t="s">
        <v>1854</v>
      </c>
      <c r="BF1342" s="1" t="s">
        <v>29</v>
      </c>
      <c r="BG1342" s="1">
        <v>3</v>
      </c>
      <c r="BH1342">
        <v>2</v>
      </c>
      <c r="BK1342" s="1">
        <v>1</v>
      </c>
      <c r="BQ1342">
        <v>1</v>
      </c>
      <c r="CL1342">
        <v>1</v>
      </c>
      <c r="CS1342" s="7" t="s">
        <v>1949</v>
      </c>
    </row>
    <row r="1343" spans="1:97">
      <c r="B1343" t="s">
        <v>1039</v>
      </c>
      <c r="C1343" s="2" t="s">
        <v>1040</v>
      </c>
      <c r="D1343" s="15"/>
      <c r="E1343" s="8" t="s">
        <v>1041</v>
      </c>
      <c r="F1343" s="8" t="s">
        <v>247</v>
      </c>
      <c r="G1343" s="1">
        <v>1</v>
      </c>
      <c r="H1343" s="1"/>
      <c r="I1343" s="1">
        <f>1809-22</f>
        <v>1787</v>
      </c>
      <c r="J1343" t="s">
        <v>10</v>
      </c>
      <c r="K1343" t="s">
        <v>12</v>
      </c>
      <c r="O1343" s="1"/>
      <c r="Q1343">
        <v>5</v>
      </c>
      <c r="R1343">
        <v>0</v>
      </c>
      <c r="S1343">
        <v>3</v>
      </c>
      <c r="T1343" s="5">
        <f t="shared" si="65"/>
        <v>158.66</v>
      </c>
      <c r="U1343" t="s">
        <v>1038</v>
      </c>
      <c r="AQ1343" s="6">
        <v>1</v>
      </c>
      <c r="BC1343">
        <v>1809</v>
      </c>
      <c r="BD1343" t="s">
        <v>81</v>
      </c>
      <c r="BE1343" t="s">
        <v>1042</v>
      </c>
      <c r="BF1343" s="1" t="s">
        <v>73</v>
      </c>
      <c r="BG1343" s="1">
        <v>1</v>
      </c>
      <c r="BH1343">
        <v>1</v>
      </c>
      <c r="BK1343" s="1" t="s">
        <v>72</v>
      </c>
      <c r="BW1343">
        <v>1</v>
      </c>
      <c r="CS1343" t="s">
        <v>1043</v>
      </c>
    </row>
    <row r="1344" spans="1:97">
      <c r="A1344" t="s">
        <v>72</v>
      </c>
      <c r="B1344" t="s">
        <v>4170</v>
      </c>
      <c r="C1344" s="2"/>
      <c r="D1344" s="15"/>
      <c r="F1344" t="s">
        <v>7</v>
      </c>
      <c r="G1344" s="1"/>
      <c r="H1344" s="1"/>
      <c r="I1344" s="1"/>
      <c r="O1344" s="1"/>
      <c r="T1344" s="5"/>
      <c r="U1344" t="s">
        <v>4169</v>
      </c>
      <c r="AQ1344" s="6">
        <v>1</v>
      </c>
      <c r="AR1344" s="7">
        <v>1</v>
      </c>
      <c r="BC1344" t="s">
        <v>4150</v>
      </c>
      <c r="BD1344" s="7" t="s">
        <v>103</v>
      </c>
      <c r="BE1344" t="s">
        <v>1065</v>
      </c>
      <c r="BF1344" s="1" t="s">
        <v>29</v>
      </c>
      <c r="BG1344" s="1">
        <v>1</v>
      </c>
      <c r="BH1344">
        <v>1</v>
      </c>
      <c r="BK1344" s="1">
        <v>1</v>
      </c>
      <c r="BQ1344">
        <v>1</v>
      </c>
      <c r="CS1344" s="7" t="s">
        <v>1949</v>
      </c>
    </row>
    <row r="1345" spans="1:97">
      <c r="A1345" t="s">
        <v>72</v>
      </c>
      <c r="B1345" t="s">
        <v>4168</v>
      </c>
      <c r="C1345" s="15"/>
      <c r="D1345" s="15"/>
      <c r="F1345" t="s">
        <v>7</v>
      </c>
      <c r="G1345" s="1"/>
      <c r="H1345" s="1"/>
      <c r="I1345" s="1"/>
      <c r="O1345" s="1"/>
      <c r="T1345" s="5"/>
      <c r="U1345" t="s">
        <v>4169</v>
      </c>
      <c r="AQ1345" s="6">
        <v>1</v>
      </c>
      <c r="AR1345" s="7">
        <v>1</v>
      </c>
      <c r="BC1345" t="s">
        <v>2364</v>
      </c>
      <c r="BD1345" s="7" t="s">
        <v>109</v>
      </c>
      <c r="BE1345" t="s">
        <v>1065</v>
      </c>
      <c r="BF1345" s="1" t="s">
        <v>29</v>
      </c>
      <c r="BG1345" s="1">
        <v>2</v>
      </c>
      <c r="BH1345">
        <v>1</v>
      </c>
      <c r="BK1345" s="1">
        <v>1</v>
      </c>
      <c r="BQ1345">
        <v>1</v>
      </c>
      <c r="CS1345" s="7" t="s">
        <v>1593</v>
      </c>
    </row>
    <row r="1346" spans="1:97">
      <c r="A1346" t="s">
        <v>72</v>
      </c>
      <c r="B1346" t="s">
        <v>4204</v>
      </c>
      <c r="C1346" s="15"/>
      <c r="D1346" s="15"/>
      <c r="F1346" t="s">
        <v>7</v>
      </c>
      <c r="G1346" s="1"/>
      <c r="H1346" s="1"/>
      <c r="I1346" s="1"/>
      <c r="O1346" s="1"/>
      <c r="T1346" s="5"/>
      <c r="U1346" t="s">
        <v>4169</v>
      </c>
      <c r="AQ1346" s="6">
        <v>1</v>
      </c>
      <c r="AR1346" s="7">
        <v>1</v>
      </c>
      <c r="BC1346" t="s">
        <v>4205</v>
      </c>
      <c r="BD1346" s="7" t="s">
        <v>26</v>
      </c>
      <c r="BE1346" t="s">
        <v>1065</v>
      </c>
      <c r="BF1346" s="1" t="s">
        <v>29</v>
      </c>
      <c r="BG1346" s="1">
        <v>2</v>
      </c>
      <c r="BH1346">
        <v>1</v>
      </c>
      <c r="BK1346" s="1">
        <v>1</v>
      </c>
      <c r="BQ1346">
        <v>1</v>
      </c>
      <c r="CS1346" s="7" t="s">
        <v>4206</v>
      </c>
    </row>
    <row r="1347" spans="1:97">
      <c r="B1347" t="s">
        <v>3268</v>
      </c>
      <c r="C1347" s="2" t="s">
        <v>3269</v>
      </c>
      <c r="D1347" s="26" t="s">
        <v>192</v>
      </c>
      <c r="E1347" s="8" t="s">
        <v>565</v>
      </c>
      <c r="F1347" s="8" t="s">
        <v>357</v>
      </c>
      <c r="G1347" s="1">
        <v>1</v>
      </c>
      <c r="H1347" s="1"/>
      <c r="I1347" s="1">
        <f>1809-21</f>
        <v>1788</v>
      </c>
      <c r="J1347" t="s">
        <v>10</v>
      </c>
      <c r="K1347" t="s">
        <v>12</v>
      </c>
      <c r="O1347" s="1"/>
      <c r="Q1347">
        <v>5</v>
      </c>
      <c r="R1347">
        <v>5</v>
      </c>
      <c r="T1347" s="5">
        <f t="shared" si="65"/>
        <v>171.15</v>
      </c>
      <c r="U1347" t="s">
        <v>3270</v>
      </c>
      <c r="AQ1347" s="14">
        <v>1</v>
      </c>
      <c r="AR1347" s="7">
        <v>1</v>
      </c>
      <c r="BC1347" t="s">
        <v>3271</v>
      </c>
      <c r="BD1347" s="7" t="s">
        <v>103</v>
      </c>
      <c r="BE1347" t="s">
        <v>2407</v>
      </c>
      <c r="BF1347" s="1" t="s">
        <v>29</v>
      </c>
      <c r="BG1347" s="1">
        <v>4</v>
      </c>
      <c r="BH1347">
        <v>1</v>
      </c>
      <c r="BK1347" s="1">
        <v>1</v>
      </c>
      <c r="BL1347">
        <v>1</v>
      </c>
      <c r="BQ1347">
        <v>1</v>
      </c>
      <c r="CS1347" s="7" t="s">
        <v>3213</v>
      </c>
    </row>
    <row r="1348" spans="1:97">
      <c r="A1348" t="s">
        <v>72</v>
      </c>
      <c r="B1348" t="s">
        <v>4171</v>
      </c>
      <c r="C1348" s="15"/>
      <c r="D1348" s="26"/>
      <c r="F1348" t="s">
        <v>7</v>
      </c>
      <c r="G1348" s="1"/>
      <c r="H1348" s="1"/>
      <c r="I1348" s="1"/>
      <c r="O1348" s="1"/>
      <c r="T1348" s="5"/>
      <c r="U1348" t="s">
        <v>2705</v>
      </c>
      <c r="AQ1348" s="7">
        <v>1</v>
      </c>
      <c r="BC1348" t="s">
        <v>4172</v>
      </c>
      <c r="BD1348" s="7" t="s">
        <v>26</v>
      </c>
      <c r="BE1348" t="s">
        <v>1065</v>
      </c>
      <c r="BF1348" s="1" t="s">
        <v>29</v>
      </c>
      <c r="BG1348" s="1">
        <v>1</v>
      </c>
      <c r="BH1348">
        <v>1</v>
      </c>
      <c r="BK1348" s="1">
        <v>1</v>
      </c>
      <c r="BQ1348">
        <v>1</v>
      </c>
      <c r="CS1348" s="7" t="s">
        <v>368</v>
      </c>
    </row>
    <row r="1349" spans="1:97">
      <c r="B1349" t="s">
        <v>4059</v>
      </c>
      <c r="C1349" s="2" t="s">
        <v>4058</v>
      </c>
      <c r="D1349" s="26"/>
      <c r="E1349" s="8" t="s">
        <v>4055</v>
      </c>
      <c r="F1349" s="8" t="s">
        <v>247</v>
      </c>
      <c r="G1349" s="1">
        <v>1</v>
      </c>
      <c r="H1349" s="1"/>
      <c r="I1349" s="1">
        <f>1810-18</f>
        <v>1792</v>
      </c>
      <c r="J1349" t="s">
        <v>10</v>
      </c>
      <c r="K1349" t="s">
        <v>12</v>
      </c>
      <c r="O1349" s="1"/>
      <c r="Q1349">
        <v>5</v>
      </c>
      <c r="R1349">
        <v>4</v>
      </c>
      <c r="S1349">
        <v>1</v>
      </c>
      <c r="T1349" s="5">
        <f t="shared" si="65"/>
        <v>168.74</v>
      </c>
      <c r="U1349" t="s">
        <v>2705</v>
      </c>
      <c r="AQ1349" s="6">
        <v>1</v>
      </c>
      <c r="AR1349" s="7">
        <v>1</v>
      </c>
      <c r="BC1349" t="s">
        <v>2729</v>
      </c>
      <c r="BD1349" s="7" t="s">
        <v>103</v>
      </c>
      <c r="BE1349" t="s">
        <v>1854</v>
      </c>
      <c r="BF1349" s="1" t="s">
        <v>29</v>
      </c>
      <c r="BG1349" s="1">
        <v>3</v>
      </c>
      <c r="BH1349">
        <v>2</v>
      </c>
      <c r="BK1349" s="1">
        <v>1</v>
      </c>
      <c r="BQ1349">
        <v>1</v>
      </c>
      <c r="CL1349">
        <v>1</v>
      </c>
      <c r="CS1349" s="7" t="s">
        <v>1949</v>
      </c>
    </row>
    <row r="1350" spans="1:97">
      <c r="A1350" t="s">
        <v>72</v>
      </c>
      <c r="B1350" t="s">
        <v>4103</v>
      </c>
      <c r="C1350" s="2"/>
      <c r="D1350" s="26"/>
      <c r="F1350" t="s">
        <v>7</v>
      </c>
      <c r="G1350" s="1"/>
      <c r="H1350" s="1"/>
      <c r="I1350" s="1"/>
      <c r="O1350" s="1"/>
      <c r="T1350" s="5"/>
      <c r="U1350" t="s">
        <v>2705</v>
      </c>
      <c r="AQ1350" s="6">
        <v>1</v>
      </c>
      <c r="AR1350" s="7">
        <v>1</v>
      </c>
      <c r="BC1350" t="s">
        <v>2364</v>
      </c>
      <c r="BD1350" s="7" t="s">
        <v>109</v>
      </c>
      <c r="BE1350" t="s">
        <v>1065</v>
      </c>
      <c r="BF1350" s="1" t="s">
        <v>29</v>
      </c>
      <c r="BG1350" s="1">
        <v>4</v>
      </c>
      <c r="BH1350">
        <v>1</v>
      </c>
      <c r="BK1350" s="1">
        <v>1</v>
      </c>
      <c r="BQ1350">
        <v>1</v>
      </c>
      <c r="CS1350" s="7" t="s">
        <v>1593</v>
      </c>
    </row>
    <row r="1351" spans="1:97">
      <c r="A1351" t="s">
        <v>72</v>
      </c>
      <c r="B1351" t="s">
        <v>4080</v>
      </c>
      <c r="C1351" s="2"/>
      <c r="D1351" s="26"/>
      <c r="F1351" t="s">
        <v>7</v>
      </c>
      <c r="G1351" s="1"/>
      <c r="H1351" s="1"/>
      <c r="I1351" s="1"/>
      <c r="O1351" s="1"/>
      <c r="T1351" s="5"/>
      <c r="U1351" t="s">
        <v>2705</v>
      </c>
      <c r="AQ1351" s="6">
        <v>1</v>
      </c>
      <c r="AR1351" s="7">
        <v>1</v>
      </c>
      <c r="BC1351" t="s">
        <v>4057</v>
      </c>
      <c r="BD1351" s="7" t="s">
        <v>103</v>
      </c>
      <c r="BE1351" t="s">
        <v>1065</v>
      </c>
      <c r="BF1351" s="1" t="s">
        <v>29</v>
      </c>
      <c r="BG1351" s="1">
        <v>2</v>
      </c>
      <c r="BH1351">
        <v>1</v>
      </c>
      <c r="BK1351" s="1">
        <v>1</v>
      </c>
      <c r="BQ1351">
        <v>1</v>
      </c>
      <c r="CS1351" s="7" t="s">
        <v>1949</v>
      </c>
    </row>
    <row r="1352" spans="1:97">
      <c r="B1352" t="s">
        <v>4049</v>
      </c>
      <c r="C1352" s="2" t="s">
        <v>3288</v>
      </c>
      <c r="D1352" s="26"/>
      <c r="E1352" s="8" t="s">
        <v>1281</v>
      </c>
      <c r="F1352" s="8" t="s">
        <v>247</v>
      </c>
      <c r="G1352" s="1">
        <v>1</v>
      </c>
      <c r="H1352" s="1"/>
      <c r="I1352" s="1">
        <f>1810-18</f>
        <v>1792</v>
      </c>
      <c r="J1352" t="s">
        <v>10</v>
      </c>
      <c r="K1352" t="s">
        <v>12</v>
      </c>
      <c r="O1352" s="1"/>
      <c r="Q1352">
        <v>5</v>
      </c>
      <c r="R1352">
        <v>3</v>
      </c>
      <c r="S1352">
        <v>2</v>
      </c>
      <c r="T1352" s="5">
        <f t="shared" si="65"/>
        <v>166.33</v>
      </c>
      <c r="U1352" t="s">
        <v>4050</v>
      </c>
      <c r="AQ1352" s="6">
        <v>1</v>
      </c>
      <c r="AR1352" s="6">
        <v>1</v>
      </c>
      <c r="AS1352" s="7">
        <v>1</v>
      </c>
      <c r="BC1352" t="s">
        <v>4044</v>
      </c>
      <c r="BD1352" s="7" t="s">
        <v>103</v>
      </c>
      <c r="BE1352" t="s">
        <v>1854</v>
      </c>
      <c r="BF1352" s="1" t="s">
        <v>29</v>
      </c>
      <c r="BG1352" s="1">
        <v>3</v>
      </c>
      <c r="BH1352">
        <v>2</v>
      </c>
      <c r="BK1352" s="1">
        <v>1</v>
      </c>
      <c r="BQ1352">
        <v>1</v>
      </c>
      <c r="CL1352">
        <v>1</v>
      </c>
      <c r="CS1352" s="7" t="s">
        <v>1949</v>
      </c>
    </row>
    <row r="1353" spans="1:97">
      <c r="A1353" t="s">
        <v>72</v>
      </c>
      <c r="B1353" t="s">
        <v>4173</v>
      </c>
      <c r="C1353" s="2"/>
      <c r="D1353" s="26"/>
      <c r="F1353" t="s">
        <v>7</v>
      </c>
      <c r="G1353" s="1"/>
      <c r="H1353" s="1"/>
      <c r="I1353" s="1"/>
      <c r="O1353" s="1"/>
      <c r="T1353" s="5"/>
      <c r="U1353" t="s">
        <v>4050</v>
      </c>
      <c r="AQ1353" s="7">
        <v>1</v>
      </c>
      <c r="BC1353" t="s">
        <v>4174</v>
      </c>
      <c r="BD1353" s="7" t="s">
        <v>26</v>
      </c>
      <c r="BE1353" t="s">
        <v>1065</v>
      </c>
      <c r="BF1353" s="1" t="s">
        <v>29</v>
      </c>
      <c r="BG1353" s="1">
        <v>1</v>
      </c>
      <c r="BH1353">
        <v>1</v>
      </c>
      <c r="BK1353" s="1">
        <v>1</v>
      </c>
      <c r="BQ1353">
        <v>1</v>
      </c>
      <c r="CS1353" s="7" t="s">
        <v>368</v>
      </c>
    </row>
    <row r="1354" spans="1:97">
      <c r="A1354" t="s">
        <v>72</v>
      </c>
      <c r="B1354" t="s">
        <v>4210</v>
      </c>
      <c r="C1354" s="2"/>
      <c r="D1354" s="26"/>
      <c r="F1354" t="s">
        <v>7</v>
      </c>
      <c r="G1354" s="1"/>
      <c r="H1354" s="1"/>
      <c r="I1354" s="1"/>
      <c r="O1354" s="1"/>
      <c r="T1354" s="5"/>
      <c r="U1354" t="s">
        <v>4211</v>
      </c>
      <c r="AQ1354" s="7">
        <v>1</v>
      </c>
      <c r="BC1354" t="s">
        <v>4212</v>
      </c>
      <c r="BD1354" s="7" t="s">
        <v>280</v>
      </c>
      <c r="BE1354" t="s">
        <v>1065</v>
      </c>
      <c r="BF1354" s="1" t="s">
        <v>29</v>
      </c>
      <c r="BG1354" s="1">
        <v>1</v>
      </c>
      <c r="BH1354">
        <v>1</v>
      </c>
      <c r="BK1354" s="1">
        <v>1</v>
      </c>
      <c r="BQ1354">
        <v>1</v>
      </c>
      <c r="CN1354">
        <v>1</v>
      </c>
      <c r="CS1354" s="7" t="s">
        <v>4225</v>
      </c>
    </row>
    <row r="1355" spans="1:97">
      <c r="A1355" t="s">
        <v>72</v>
      </c>
      <c r="B1355" t="s">
        <v>4186</v>
      </c>
      <c r="C1355" s="2"/>
      <c r="D1355" s="26"/>
      <c r="F1355" t="s">
        <v>7</v>
      </c>
      <c r="G1355" s="1"/>
      <c r="H1355" s="1"/>
      <c r="I1355" s="1"/>
      <c r="O1355" s="1"/>
      <c r="T1355" s="5"/>
      <c r="U1355" s="38" t="s">
        <v>4187</v>
      </c>
      <c r="AQ1355" s="6">
        <v>1</v>
      </c>
      <c r="AR1355" s="7">
        <v>1</v>
      </c>
      <c r="BC1355" t="s">
        <v>2364</v>
      </c>
      <c r="BD1355" s="7" t="s">
        <v>109</v>
      </c>
      <c r="BE1355" t="s">
        <v>1065</v>
      </c>
      <c r="BF1355" s="1" t="s">
        <v>29</v>
      </c>
      <c r="BG1355" s="1">
        <v>3</v>
      </c>
      <c r="BH1355">
        <v>1</v>
      </c>
      <c r="BK1355" s="1">
        <v>1</v>
      </c>
      <c r="BQ1355">
        <v>1</v>
      </c>
      <c r="CS1355" s="7" t="s">
        <v>1593</v>
      </c>
    </row>
    <row r="1356" spans="1:97">
      <c r="A1356" t="s">
        <v>72</v>
      </c>
      <c r="B1356" t="s">
        <v>4076</v>
      </c>
      <c r="C1356" s="15"/>
      <c r="D1356" s="26"/>
      <c r="F1356" t="s">
        <v>7</v>
      </c>
      <c r="G1356" s="1"/>
      <c r="H1356" s="1"/>
      <c r="I1356" s="1"/>
      <c r="O1356" s="1"/>
      <c r="T1356" s="5"/>
      <c r="U1356" t="s">
        <v>4077</v>
      </c>
      <c r="AQ1356" s="6">
        <v>1</v>
      </c>
      <c r="AR1356" s="7">
        <v>1</v>
      </c>
      <c r="BC1356" t="s">
        <v>4078</v>
      </c>
      <c r="BD1356" s="7" t="s">
        <v>26</v>
      </c>
      <c r="BE1356" t="s">
        <v>1065</v>
      </c>
      <c r="BF1356" s="1" t="s">
        <v>29</v>
      </c>
      <c r="BG1356" s="1">
        <v>2</v>
      </c>
      <c r="BH1356">
        <v>1</v>
      </c>
      <c r="BK1356" s="1">
        <v>1</v>
      </c>
      <c r="BQ1356">
        <v>1</v>
      </c>
      <c r="CS1356" s="7" t="s">
        <v>4079</v>
      </c>
    </row>
    <row r="1357" spans="1:97">
      <c r="A1357" t="s">
        <v>72</v>
      </c>
      <c r="B1357" t="s">
        <v>4158</v>
      </c>
      <c r="C1357" s="15"/>
      <c r="D1357" s="26"/>
      <c r="F1357" t="s">
        <v>7</v>
      </c>
      <c r="G1357" s="1"/>
      <c r="H1357" s="1"/>
      <c r="I1357" s="1"/>
      <c r="O1357" s="1"/>
      <c r="T1357" s="5"/>
      <c r="U1357" t="s">
        <v>1108</v>
      </c>
      <c r="AQ1357" s="6">
        <v>1</v>
      </c>
      <c r="AR1357" s="7">
        <v>1</v>
      </c>
      <c r="BC1357" t="s">
        <v>2364</v>
      </c>
      <c r="BD1357" s="7" t="s">
        <v>280</v>
      </c>
      <c r="BE1357" t="s">
        <v>1065</v>
      </c>
      <c r="BF1357" s="1" t="s">
        <v>29</v>
      </c>
      <c r="BG1357" s="1">
        <v>2</v>
      </c>
      <c r="BH1357">
        <v>1</v>
      </c>
      <c r="BK1357" s="1">
        <v>1</v>
      </c>
      <c r="BQ1357">
        <v>1</v>
      </c>
      <c r="CN1357">
        <v>1</v>
      </c>
      <c r="CS1357" s="7" t="s">
        <v>4159</v>
      </c>
    </row>
    <row r="1358" spans="1:97">
      <c r="B1358" t="s">
        <v>1104</v>
      </c>
      <c r="C1358" s="12" t="s">
        <v>1106</v>
      </c>
      <c r="D1358" s="26" t="s">
        <v>1107</v>
      </c>
      <c r="E1358" s="8" t="s">
        <v>1105</v>
      </c>
      <c r="F1358" s="8" t="s">
        <v>247</v>
      </c>
      <c r="G1358" s="1">
        <v>1</v>
      </c>
      <c r="H1358" s="1"/>
      <c r="I1358" s="1">
        <f>1809-27</f>
        <v>1782</v>
      </c>
      <c r="J1358" t="s">
        <v>10</v>
      </c>
      <c r="K1358" t="s">
        <v>12</v>
      </c>
      <c r="O1358" s="1"/>
      <c r="Q1358">
        <v>5</v>
      </c>
      <c r="R1358">
        <v>1</v>
      </c>
      <c r="T1358" s="5">
        <f t="shared" si="65"/>
        <v>160.63</v>
      </c>
      <c r="U1358" t="s">
        <v>1108</v>
      </c>
      <c r="AQ1358" s="6">
        <v>1</v>
      </c>
      <c r="BC1358">
        <v>1809</v>
      </c>
      <c r="BD1358" t="s">
        <v>81</v>
      </c>
      <c r="BE1358" t="s">
        <v>1109</v>
      </c>
      <c r="BF1358" s="1" t="s">
        <v>73</v>
      </c>
      <c r="BG1358" s="1">
        <v>1</v>
      </c>
      <c r="BH1358">
        <v>1</v>
      </c>
      <c r="BK1358" s="1">
        <v>1</v>
      </c>
      <c r="BQ1358">
        <v>1</v>
      </c>
      <c r="CS1358" t="s">
        <v>1110</v>
      </c>
    </row>
    <row r="1359" spans="1:97">
      <c r="B1359" t="s">
        <v>4060</v>
      </c>
      <c r="C1359" s="2" t="s">
        <v>1116</v>
      </c>
      <c r="D1359" s="26"/>
      <c r="E1359" s="8" t="s">
        <v>1858</v>
      </c>
      <c r="F1359" s="8" t="s">
        <v>247</v>
      </c>
      <c r="G1359" s="1">
        <v>1</v>
      </c>
      <c r="H1359" s="1"/>
      <c r="I1359" s="1">
        <f>1810-33</f>
        <v>1777</v>
      </c>
      <c r="J1359" t="s">
        <v>69</v>
      </c>
      <c r="K1359" t="s">
        <v>12</v>
      </c>
      <c r="O1359" s="1"/>
      <c r="Q1359">
        <v>5</v>
      </c>
      <c r="R1359">
        <v>4</v>
      </c>
      <c r="S1359">
        <v>1</v>
      </c>
      <c r="T1359" s="5">
        <f t="shared" si="65"/>
        <v>168.74</v>
      </c>
      <c r="U1359" t="s">
        <v>4061</v>
      </c>
      <c r="AQ1359" s="6">
        <v>1</v>
      </c>
      <c r="AR1359" s="7">
        <v>1</v>
      </c>
      <c r="BC1359" t="s">
        <v>4057</v>
      </c>
      <c r="BD1359" s="7" t="s">
        <v>103</v>
      </c>
      <c r="BE1359" t="s">
        <v>1854</v>
      </c>
      <c r="BF1359" s="1" t="s">
        <v>29</v>
      </c>
      <c r="BG1359" s="1">
        <v>4</v>
      </c>
      <c r="BH1359">
        <v>3</v>
      </c>
      <c r="BK1359" s="1">
        <v>1</v>
      </c>
      <c r="BQ1359">
        <v>1</v>
      </c>
      <c r="CC1359">
        <v>1</v>
      </c>
      <c r="CL1359">
        <v>1</v>
      </c>
      <c r="CS1359" s="7" t="s">
        <v>1949</v>
      </c>
    </row>
    <row r="1360" spans="1:97">
      <c r="A1360" t="s">
        <v>72</v>
      </c>
      <c r="B1360" t="s">
        <v>4114</v>
      </c>
      <c r="C1360" s="2"/>
      <c r="D1360" s="26"/>
      <c r="F1360" t="s">
        <v>7</v>
      </c>
      <c r="G1360" s="1"/>
      <c r="H1360" s="1"/>
      <c r="I1360" s="1"/>
      <c r="O1360" s="1"/>
      <c r="T1360" s="5"/>
      <c r="U1360" t="s">
        <v>4061</v>
      </c>
      <c r="AQ1360" s="6">
        <v>1</v>
      </c>
      <c r="AR1360" s="7">
        <v>1</v>
      </c>
      <c r="BC1360" t="s">
        <v>4113</v>
      </c>
      <c r="BD1360" s="7" t="s">
        <v>103</v>
      </c>
      <c r="BE1360" t="s">
        <v>1065</v>
      </c>
      <c r="BF1360" s="1" t="s">
        <v>29</v>
      </c>
      <c r="BG1360" s="1">
        <v>1</v>
      </c>
      <c r="BH1360">
        <v>1</v>
      </c>
      <c r="BK1360" s="1">
        <v>1</v>
      </c>
      <c r="BQ1360">
        <v>1</v>
      </c>
      <c r="CS1360" s="7" t="s">
        <v>1949</v>
      </c>
    </row>
    <row r="1361" spans="1:98">
      <c r="A1361" t="s">
        <v>72</v>
      </c>
      <c r="B1361" t="s">
        <v>4112</v>
      </c>
      <c r="C1361" s="2"/>
      <c r="D1361" s="26"/>
      <c r="F1361" t="s">
        <v>7</v>
      </c>
      <c r="G1361" s="1"/>
      <c r="H1361" s="1"/>
      <c r="I1361" s="1"/>
      <c r="O1361" s="1"/>
      <c r="T1361" s="5"/>
      <c r="U1361" t="s">
        <v>4061</v>
      </c>
      <c r="AQ1361" s="6">
        <v>1</v>
      </c>
      <c r="AR1361" s="7">
        <v>1</v>
      </c>
      <c r="BC1361" t="s">
        <v>4113</v>
      </c>
      <c r="BD1361" s="7" t="s">
        <v>103</v>
      </c>
      <c r="BE1361" t="s">
        <v>1065</v>
      </c>
      <c r="BF1361" s="1" t="s">
        <v>29</v>
      </c>
      <c r="BG1361" s="1">
        <v>2</v>
      </c>
      <c r="BH1361">
        <v>1</v>
      </c>
      <c r="BK1361" s="1">
        <v>1</v>
      </c>
      <c r="BQ1361">
        <v>1</v>
      </c>
      <c r="CS1361" s="7" t="s">
        <v>1949</v>
      </c>
    </row>
    <row r="1362" spans="1:98">
      <c r="A1362" t="s">
        <v>72</v>
      </c>
      <c r="B1362" t="s">
        <v>4108</v>
      </c>
      <c r="C1362" s="15"/>
      <c r="D1362" s="26"/>
      <c r="F1362" t="s">
        <v>7</v>
      </c>
      <c r="G1362" s="1"/>
      <c r="H1362" s="1"/>
      <c r="I1362" s="1"/>
      <c r="O1362" s="1"/>
      <c r="T1362" s="5"/>
      <c r="U1362" t="s">
        <v>4061</v>
      </c>
      <c r="AQ1362" s="6">
        <v>1</v>
      </c>
      <c r="AR1362" s="7">
        <v>1</v>
      </c>
      <c r="BC1362" t="s">
        <v>4109</v>
      </c>
      <c r="BD1362" s="7" t="s">
        <v>26</v>
      </c>
      <c r="BE1362" t="s">
        <v>1065</v>
      </c>
      <c r="BF1362" s="1" t="s">
        <v>29</v>
      </c>
      <c r="BG1362" s="1">
        <v>2</v>
      </c>
      <c r="BH1362">
        <v>1</v>
      </c>
      <c r="BK1362" s="1">
        <v>1</v>
      </c>
      <c r="BQ1362">
        <v>1</v>
      </c>
      <c r="CS1362" s="7" t="s">
        <v>4110</v>
      </c>
    </row>
    <row r="1363" spans="1:98">
      <c r="A1363" t="s">
        <v>72</v>
      </c>
      <c r="B1363" t="s">
        <v>4241</v>
      </c>
      <c r="C1363" s="15"/>
      <c r="D1363" s="26"/>
      <c r="F1363" t="s">
        <v>7</v>
      </c>
      <c r="G1363" s="1"/>
      <c r="H1363" s="1"/>
      <c r="I1363" s="1"/>
      <c r="O1363" s="1"/>
      <c r="T1363" s="5"/>
      <c r="U1363" s="9" t="s">
        <v>4240</v>
      </c>
      <c r="AQ1363" s="9">
        <v>1</v>
      </c>
      <c r="AR1363" s="6">
        <v>1</v>
      </c>
      <c r="AS1363" s="7">
        <v>1</v>
      </c>
      <c r="BC1363" t="s">
        <v>4243</v>
      </c>
      <c r="BD1363" s="7" t="s">
        <v>4242</v>
      </c>
      <c r="BE1363" t="s">
        <v>1065</v>
      </c>
      <c r="BF1363" s="1" t="s">
        <v>29</v>
      </c>
      <c r="BG1363" s="1">
        <v>3</v>
      </c>
      <c r="BH1363">
        <v>1</v>
      </c>
      <c r="BK1363" s="1">
        <v>1</v>
      </c>
      <c r="BQ1363">
        <v>1</v>
      </c>
      <c r="CS1363" s="7" t="s">
        <v>4244</v>
      </c>
    </row>
    <row r="1364" spans="1:98">
      <c r="B1364" t="s">
        <v>1030</v>
      </c>
      <c r="C1364" s="2" t="s">
        <v>1034</v>
      </c>
      <c r="F1364" s="8" t="s">
        <v>218</v>
      </c>
      <c r="G1364" s="1">
        <v>1</v>
      </c>
      <c r="H1364" s="1"/>
      <c r="I1364" s="1">
        <f>1810-21</f>
        <v>1789</v>
      </c>
      <c r="J1364" t="s">
        <v>10</v>
      </c>
      <c r="K1364" t="s">
        <v>4556</v>
      </c>
      <c r="O1364" s="1"/>
      <c r="T1364" s="5"/>
      <c r="U1364" t="s">
        <v>1033</v>
      </c>
      <c r="AQ1364" s="6">
        <v>1</v>
      </c>
      <c r="AR1364" s="7">
        <v>1</v>
      </c>
      <c r="BC1364" t="s">
        <v>1022</v>
      </c>
      <c r="BD1364" s="7" t="s">
        <v>103</v>
      </c>
      <c r="BE1364" t="s">
        <v>999</v>
      </c>
      <c r="BF1364" s="1" t="s">
        <v>29</v>
      </c>
      <c r="BG1364" s="1">
        <v>1</v>
      </c>
      <c r="BH1364">
        <v>1</v>
      </c>
      <c r="BK1364" s="1"/>
      <c r="BO1364">
        <v>1</v>
      </c>
      <c r="CC1364">
        <v>1</v>
      </c>
      <c r="CJ1364">
        <v>1</v>
      </c>
      <c r="CS1364" s="7" t="s">
        <v>1000</v>
      </c>
    </row>
    <row r="1365" spans="1:98">
      <c r="A1365" t="s">
        <v>72</v>
      </c>
      <c r="B1365" t="s">
        <v>4143</v>
      </c>
      <c r="C1365" s="2"/>
      <c r="F1365" t="s">
        <v>7</v>
      </c>
      <c r="G1365" s="1"/>
      <c r="H1365" s="1"/>
      <c r="I1365" s="1"/>
      <c r="O1365" s="1"/>
      <c r="T1365" s="5"/>
      <c r="U1365" t="s">
        <v>1111</v>
      </c>
      <c r="AQ1365" s="6">
        <v>1</v>
      </c>
      <c r="AR1365" s="7">
        <v>1</v>
      </c>
      <c r="BC1365" t="s">
        <v>4141</v>
      </c>
      <c r="BD1365" s="7" t="s">
        <v>103</v>
      </c>
      <c r="BE1365" t="s">
        <v>1065</v>
      </c>
      <c r="BF1365" s="1" t="s">
        <v>29</v>
      </c>
      <c r="BG1365" s="1">
        <v>1</v>
      </c>
      <c r="BH1365">
        <v>1</v>
      </c>
      <c r="BK1365" s="1">
        <v>1</v>
      </c>
      <c r="BQ1365">
        <v>1</v>
      </c>
      <c r="CS1365" s="7" t="s">
        <v>1949</v>
      </c>
    </row>
    <row r="1366" spans="1:98">
      <c r="B1366" t="s">
        <v>1113</v>
      </c>
      <c r="C1366" s="2" t="s">
        <v>1115</v>
      </c>
      <c r="E1366" s="8" t="s">
        <v>1105</v>
      </c>
      <c r="F1366" s="8" t="s">
        <v>247</v>
      </c>
      <c r="G1366" s="1">
        <v>1</v>
      </c>
      <c r="H1366" s="1"/>
      <c r="I1366" s="1">
        <f>1809-30</f>
        <v>1779</v>
      </c>
      <c r="J1366" t="s">
        <v>10</v>
      </c>
      <c r="K1366" t="s">
        <v>12</v>
      </c>
      <c r="O1366" s="1"/>
      <c r="Q1366">
        <v>5</v>
      </c>
      <c r="R1366">
        <v>2</v>
      </c>
      <c r="T1366" s="5">
        <f t="shared" ref="T1366:T1384" si="66">((Q1366*316)+(R1366*26.3)+(S1366*2.2))/10</f>
        <v>163.26</v>
      </c>
      <c r="U1366" t="s">
        <v>1111</v>
      </c>
      <c r="AQ1366" s="6">
        <v>1</v>
      </c>
      <c r="BC1366">
        <v>1809</v>
      </c>
      <c r="BD1366" t="s">
        <v>81</v>
      </c>
      <c r="BE1366" t="s">
        <v>1109</v>
      </c>
      <c r="BF1366" s="1" t="s">
        <v>73</v>
      </c>
      <c r="BG1366" s="1">
        <v>1</v>
      </c>
      <c r="BH1366">
        <v>1</v>
      </c>
      <c r="BK1366" s="1">
        <v>1</v>
      </c>
      <c r="BQ1366">
        <v>1</v>
      </c>
      <c r="CS1366" t="s">
        <v>1110</v>
      </c>
    </row>
    <row r="1367" spans="1:98">
      <c r="B1367" t="s">
        <v>1114</v>
      </c>
      <c r="C1367" s="2" t="s">
        <v>1116</v>
      </c>
      <c r="E1367" s="8" t="s">
        <v>1117</v>
      </c>
      <c r="F1367" s="8" t="s">
        <v>247</v>
      </c>
      <c r="G1367" s="1">
        <v>1</v>
      </c>
      <c r="H1367" s="1"/>
      <c r="I1367" s="1">
        <f>1809-21</f>
        <v>1788</v>
      </c>
      <c r="J1367" t="s">
        <v>10</v>
      </c>
      <c r="K1367" t="s">
        <v>12</v>
      </c>
      <c r="O1367" s="1"/>
      <c r="Q1367">
        <v>5</v>
      </c>
      <c r="T1367" s="5">
        <f t="shared" si="66"/>
        <v>158</v>
      </c>
      <c r="U1367" t="s">
        <v>1112</v>
      </c>
      <c r="AQ1367" s="6">
        <v>1</v>
      </c>
      <c r="BC1367">
        <v>1809</v>
      </c>
      <c r="BD1367" t="s">
        <v>81</v>
      </c>
      <c r="BE1367" t="s">
        <v>1109</v>
      </c>
      <c r="BF1367" s="1" t="s">
        <v>73</v>
      </c>
      <c r="BG1367" s="1">
        <v>1</v>
      </c>
      <c r="BH1367">
        <v>1</v>
      </c>
      <c r="BK1367" s="1">
        <v>1</v>
      </c>
      <c r="BQ1367">
        <v>1</v>
      </c>
      <c r="CS1367" t="s">
        <v>1110</v>
      </c>
    </row>
    <row r="1368" spans="1:98">
      <c r="B1368" t="s">
        <v>1119</v>
      </c>
      <c r="C1368" s="13" t="s">
        <v>1118</v>
      </c>
      <c r="F1368" s="8" t="s">
        <v>247</v>
      </c>
      <c r="G1368" s="1">
        <v>1</v>
      </c>
      <c r="H1368" s="1"/>
      <c r="I1368" s="1">
        <f>1809-18</f>
        <v>1791</v>
      </c>
      <c r="J1368" t="s">
        <v>10</v>
      </c>
      <c r="K1368" t="s">
        <v>12</v>
      </c>
      <c r="O1368" s="1"/>
      <c r="Q1368">
        <v>5</v>
      </c>
      <c r="R1368">
        <v>2</v>
      </c>
      <c r="S1368">
        <v>2</v>
      </c>
      <c r="T1368" s="5">
        <f t="shared" si="66"/>
        <v>163.69999999999999</v>
      </c>
      <c r="U1368" t="s">
        <v>1112</v>
      </c>
      <c r="AQ1368" s="6">
        <v>1</v>
      </c>
      <c r="BC1368">
        <v>1809</v>
      </c>
      <c r="BD1368" t="s">
        <v>81</v>
      </c>
      <c r="BE1368" t="s">
        <v>1109</v>
      </c>
      <c r="BF1368" s="1" t="s">
        <v>73</v>
      </c>
      <c r="BG1368" s="1">
        <v>1</v>
      </c>
      <c r="BH1368">
        <v>1</v>
      </c>
      <c r="BK1368" s="1">
        <v>1</v>
      </c>
      <c r="BQ1368">
        <v>1</v>
      </c>
      <c r="CS1368" t="s">
        <v>1110</v>
      </c>
    </row>
    <row r="1369" spans="1:98">
      <c r="B1369" t="s">
        <v>2469</v>
      </c>
      <c r="C1369" s="2" t="s">
        <v>243</v>
      </c>
      <c r="D1369" s="2"/>
      <c r="E1369" s="8" t="s">
        <v>1381</v>
      </c>
      <c r="F1369" s="8" t="s">
        <v>115</v>
      </c>
      <c r="G1369" s="1">
        <v>1</v>
      </c>
      <c r="H1369" s="1"/>
      <c r="I1369" s="1">
        <f>1819-33</f>
        <v>1786</v>
      </c>
      <c r="J1369" t="s">
        <v>10</v>
      </c>
      <c r="K1369" t="s">
        <v>2470</v>
      </c>
      <c r="Q1369">
        <v>5</v>
      </c>
      <c r="R1369">
        <v>3</v>
      </c>
      <c r="S1369">
        <v>1</v>
      </c>
      <c r="T1369" s="5">
        <f>((Q1369*316)+(R1369*26.3)+(S1369*2.2))/10</f>
        <v>166.11</v>
      </c>
      <c r="U1369" t="s">
        <v>2891</v>
      </c>
      <c r="AQ1369" s="6">
        <v>1</v>
      </c>
      <c r="AR1369" s="6">
        <v>1</v>
      </c>
      <c r="AS1369" s="6">
        <v>1</v>
      </c>
      <c r="AT1369" s="6">
        <v>1</v>
      </c>
      <c r="AU1369" s="6">
        <v>1</v>
      </c>
      <c r="AV1369" s="6">
        <v>1</v>
      </c>
      <c r="AW1369" s="6">
        <v>1</v>
      </c>
      <c r="AX1369" s="6">
        <v>1</v>
      </c>
      <c r="AY1369" s="6">
        <v>1</v>
      </c>
      <c r="AZ1369" s="6">
        <v>1</v>
      </c>
      <c r="BA1369" s="7">
        <v>1</v>
      </c>
      <c r="BC1369" t="s">
        <v>1827</v>
      </c>
      <c r="BD1369" s="7" t="s">
        <v>103</v>
      </c>
      <c r="BE1369" t="s">
        <v>62</v>
      </c>
      <c r="BF1369" s="1" t="s">
        <v>29</v>
      </c>
      <c r="BG1369" s="1">
        <v>7</v>
      </c>
      <c r="BH1369">
        <v>2</v>
      </c>
      <c r="BK1369" s="1">
        <v>1</v>
      </c>
      <c r="BQ1369">
        <v>1</v>
      </c>
      <c r="CF1369" s="6">
        <v>1</v>
      </c>
      <c r="CL1369">
        <v>1</v>
      </c>
      <c r="CQ1369">
        <v>1</v>
      </c>
      <c r="CS1369" s="7" t="s">
        <v>412</v>
      </c>
      <c r="CT1369" s="6" t="s">
        <v>2471</v>
      </c>
    </row>
    <row r="1370" spans="1:98">
      <c r="A1370" t="s">
        <v>72</v>
      </c>
      <c r="B1370" t="s">
        <v>4138</v>
      </c>
      <c r="C1370" s="2"/>
      <c r="D1370" s="2"/>
      <c r="F1370" t="s">
        <v>7</v>
      </c>
      <c r="G1370" s="1"/>
      <c r="H1370" s="1"/>
      <c r="I1370" s="1"/>
      <c r="T1370" s="5"/>
      <c r="U1370" t="s">
        <v>2891</v>
      </c>
      <c r="AQ1370" s="6">
        <v>1</v>
      </c>
      <c r="AR1370" s="7">
        <v>1</v>
      </c>
      <c r="BC1370" t="s">
        <v>4057</v>
      </c>
      <c r="BD1370" s="7" t="s">
        <v>103</v>
      </c>
      <c r="BE1370" t="s">
        <v>1065</v>
      </c>
      <c r="BF1370" s="1" t="s">
        <v>29</v>
      </c>
      <c r="BG1370" s="1">
        <v>1</v>
      </c>
      <c r="BH1370">
        <v>1</v>
      </c>
      <c r="BK1370" s="1">
        <v>1</v>
      </c>
      <c r="BQ1370">
        <v>1</v>
      </c>
      <c r="CS1370" s="7" t="s">
        <v>1949</v>
      </c>
      <c r="CT1370" s="6"/>
    </row>
    <row r="1371" spans="1:98">
      <c r="B1371" t="s">
        <v>3368</v>
      </c>
      <c r="C1371" s="2" t="s">
        <v>3369</v>
      </c>
      <c r="D1371" s="2" t="s">
        <v>3369</v>
      </c>
      <c r="E1371" s="8" t="s">
        <v>624</v>
      </c>
      <c r="F1371" s="8" t="s">
        <v>218</v>
      </c>
      <c r="G1371" s="1">
        <v>1</v>
      </c>
      <c r="H1371" s="1"/>
      <c r="I1371" s="1">
        <f>1811-21</f>
        <v>1790</v>
      </c>
      <c r="J1371" t="s">
        <v>10</v>
      </c>
      <c r="K1371" t="s">
        <v>12</v>
      </c>
      <c r="Q1371">
        <v>5</v>
      </c>
      <c r="R1371">
        <v>3</v>
      </c>
      <c r="T1371" s="5">
        <f>((Q1371*316)+(R1371*26.3)+(S1371*2.2))/10</f>
        <v>165.89000000000001</v>
      </c>
      <c r="U1371" t="s">
        <v>3370</v>
      </c>
      <c r="AQ1371" s="6">
        <v>1</v>
      </c>
      <c r="AR1371" s="6">
        <v>1</v>
      </c>
      <c r="AS1371" s="6">
        <v>1</v>
      </c>
      <c r="AT1371" s="6">
        <v>1</v>
      </c>
      <c r="BC1371">
        <v>1812</v>
      </c>
      <c r="BD1371" t="s">
        <v>81</v>
      </c>
      <c r="BE1371" t="s">
        <v>3371</v>
      </c>
      <c r="BF1371" s="1" t="s">
        <v>73</v>
      </c>
      <c r="BG1371" s="1">
        <v>1</v>
      </c>
      <c r="BH1371">
        <v>1</v>
      </c>
      <c r="BK1371" s="1">
        <v>1</v>
      </c>
      <c r="BT1371">
        <v>1</v>
      </c>
      <c r="CS1371" t="s">
        <v>3372</v>
      </c>
    </row>
    <row r="1372" spans="1:98">
      <c r="A1372" t="s">
        <v>72</v>
      </c>
      <c r="B1372" t="s">
        <v>4111</v>
      </c>
      <c r="C1372" s="2"/>
      <c r="D1372" s="2"/>
      <c r="F1372" t="s">
        <v>7</v>
      </c>
      <c r="G1372" s="1"/>
      <c r="H1372" s="1"/>
      <c r="I1372" s="1"/>
      <c r="T1372" s="5"/>
      <c r="U1372" t="s">
        <v>3293</v>
      </c>
      <c r="AQ1372" s="6">
        <v>1</v>
      </c>
      <c r="AR1372" s="7">
        <v>1</v>
      </c>
      <c r="BC1372" t="s">
        <v>574</v>
      </c>
      <c r="BD1372" s="7" t="s">
        <v>103</v>
      </c>
      <c r="BE1372" t="s">
        <v>1065</v>
      </c>
      <c r="BF1372" s="1" t="s">
        <v>29</v>
      </c>
      <c r="BG1372" s="1">
        <v>1</v>
      </c>
      <c r="BH1372">
        <v>1</v>
      </c>
      <c r="BK1372" s="1">
        <v>1</v>
      </c>
      <c r="BQ1372">
        <v>1</v>
      </c>
      <c r="CS1372" s="7" t="s">
        <v>1949</v>
      </c>
    </row>
    <row r="1373" spans="1:98">
      <c r="A1373" t="s">
        <v>72</v>
      </c>
      <c r="B1373" t="s">
        <v>4142</v>
      </c>
      <c r="C1373" s="2"/>
      <c r="D1373" s="2"/>
      <c r="F1373" t="s">
        <v>7</v>
      </c>
      <c r="G1373" s="1"/>
      <c r="H1373" s="1"/>
      <c r="I1373" s="1"/>
      <c r="T1373" s="5"/>
      <c r="U1373" t="s">
        <v>4068</v>
      </c>
      <c r="AQ1373" s="6">
        <v>1</v>
      </c>
      <c r="AR1373" s="7">
        <v>1</v>
      </c>
      <c r="BC1373" t="s">
        <v>4057</v>
      </c>
      <c r="BD1373" s="7" t="s">
        <v>103</v>
      </c>
      <c r="BE1373" t="s">
        <v>1065</v>
      </c>
      <c r="BF1373" s="1" t="s">
        <v>29</v>
      </c>
      <c r="BG1373" s="1">
        <v>2</v>
      </c>
      <c r="BH1373">
        <v>1</v>
      </c>
      <c r="BK1373" s="1">
        <v>1</v>
      </c>
      <c r="BQ1373">
        <v>1</v>
      </c>
      <c r="CS1373" s="7" t="s">
        <v>1949</v>
      </c>
    </row>
    <row r="1374" spans="1:98">
      <c r="B1374" t="s">
        <v>4067</v>
      </c>
      <c r="C1374" s="2" t="s">
        <v>1253</v>
      </c>
      <c r="D1374" s="15"/>
      <c r="E1374" s="8" t="s">
        <v>1074</v>
      </c>
      <c r="F1374" s="8" t="s">
        <v>247</v>
      </c>
      <c r="G1374" s="1">
        <v>1</v>
      </c>
      <c r="H1374" s="1"/>
      <c r="I1374" s="1">
        <f>1810-17</f>
        <v>1793</v>
      </c>
      <c r="J1374" t="s">
        <v>10</v>
      </c>
      <c r="K1374" t="s">
        <v>12</v>
      </c>
      <c r="T1374" s="5"/>
      <c r="U1374" t="s">
        <v>4068</v>
      </c>
      <c r="AQ1374" s="6">
        <v>1</v>
      </c>
      <c r="AR1374" s="7">
        <v>1</v>
      </c>
      <c r="BC1374" t="s">
        <v>4057</v>
      </c>
      <c r="BD1374" s="7" t="s">
        <v>103</v>
      </c>
      <c r="BE1374" t="s">
        <v>1854</v>
      </c>
      <c r="BF1374" s="1" t="s">
        <v>29</v>
      </c>
      <c r="BG1374" s="1">
        <v>3</v>
      </c>
      <c r="BH1374">
        <v>2</v>
      </c>
      <c r="BK1374" s="1">
        <v>1</v>
      </c>
      <c r="BQ1374">
        <v>1</v>
      </c>
      <c r="CL1374">
        <v>1</v>
      </c>
      <c r="CS1374" s="7" t="s">
        <v>1949</v>
      </c>
    </row>
    <row r="1375" spans="1:98">
      <c r="A1375" t="s">
        <v>72</v>
      </c>
      <c r="B1375" t="s">
        <v>4123</v>
      </c>
      <c r="C1375" s="2"/>
      <c r="D1375" s="15"/>
      <c r="F1375" t="s">
        <v>7</v>
      </c>
      <c r="G1375" s="1"/>
      <c r="H1375" s="1"/>
      <c r="I1375" s="1"/>
      <c r="T1375" s="5"/>
      <c r="U1375" t="s">
        <v>4124</v>
      </c>
      <c r="AQ1375" s="6">
        <v>1</v>
      </c>
      <c r="AR1375" s="7">
        <v>1</v>
      </c>
      <c r="BC1375" t="s">
        <v>4125</v>
      </c>
      <c r="BD1375" s="7" t="s">
        <v>26</v>
      </c>
      <c r="BE1375" t="s">
        <v>1065</v>
      </c>
      <c r="BF1375" s="1" t="s">
        <v>29</v>
      </c>
      <c r="BG1375" s="1">
        <v>2</v>
      </c>
      <c r="BH1375">
        <v>1</v>
      </c>
      <c r="BK1375" s="1">
        <v>1</v>
      </c>
      <c r="BQ1375">
        <v>1</v>
      </c>
      <c r="CS1375" s="7" t="s">
        <v>4126</v>
      </c>
    </row>
    <row r="1376" spans="1:98">
      <c r="A1376" t="s">
        <v>72</v>
      </c>
      <c r="B1376" t="s">
        <v>4184</v>
      </c>
      <c r="C1376" s="2"/>
      <c r="D1376" s="15"/>
      <c r="F1376" t="s">
        <v>7</v>
      </c>
      <c r="G1376" s="1"/>
      <c r="H1376" s="1"/>
      <c r="I1376" s="1"/>
      <c r="T1376" s="5"/>
      <c r="U1376" t="s">
        <v>4124</v>
      </c>
      <c r="AQ1376" s="6">
        <v>1</v>
      </c>
      <c r="AR1376" s="7">
        <v>1</v>
      </c>
      <c r="BC1376" t="s">
        <v>2364</v>
      </c>
      <c r="BD1376" s="7" t="s">
        <v>109</v>
      </c>
      <c r="BE1376" t="s">
        <v>1065</v>
      </c>
      <c r="BF1376" s="1" t="s">
        <v>29</v>
      </c>
      <c r="BG1376" s="1">
        <v>2</v>
      </c>
      <c r="BH1376">
        <v>1</v>
      </c>
      <c r="BK1376" s="1">
        <v>1</v>
      </c>
      <c r="BQ1376">
        <v>1</v>
      </c>
      <c r="CS1376" s="7" t="s">
        <v>1593</v>
      </c>
    </row>
    <row r="1377" spans="1:98">
      <c r="B1377" t="s">
        <v>4127</v>
      </c>
      <c r="C1377" s="2" t="s">
        <v>764</v>
      </c>
      <c r="D1377" s="15"/>
      <c r="E1377" s="8" t="s">
        <v>1094</v>
      </c>
      <c r="F1377" s="8" t="s">
        <v>247</v>
      </c>
      <c r="G1377" s="1">
        <v>1</v>
      </c>
      <c r="H1377" s="1"/>
      <c r="I1377" s="1">
        <f>1809-19</f>
        <v>1790</v>
      </c>
      <c r="J1377" t="s">
        <v>10</v>
      </c>
      <c r="K1377" t="s">
        <v>12</v>
      </c>
      <c r="Q1377">
        <v>5</v>
      </c>
      <c r="R1377">
        <v>2</v>
      </c>
      <c r="T1377" s="5">
        <f t="shared" si="66"/>
        <v>163.26</v>
      </c>
      <c r="U1377" t="s">
        <v>4128</v>
      </c>
      <c r="AQ1377" s="6">
        <v>1</v>
      </c>
      <c r="AR1377" s="7">
        <v>1</v>
      </c>
      <c r="BC1377" t="s">
        <v>4129</v>
      </c>
      <c r="BD1377" s="7" t="s">
        <v>103</v>
      </c>
      <c r="BE1377" t="s">
        <v>1065</v>
      </c>
      <c r="BF1377" s="1" t="s">
        <v>29</v>
      </c>
      <c r="BG1377" s="1">
        <v>2</v>
      </c>
      <c r="BH1377">
        <v>1</v>
      </c>
      <c r="BK1377" s="1">
        <v>1</v>
      </c>
      <c r="BQ1377">
        <v>1</v>
      </c>
      <c r="CS1377" s="7" t="s">
        <v>1949</v>
      </c>
    </row>
    <row r="1378" spans="1:98">
      <c r="B1378" t="s">
        <v>4213</v>
      </c>
      <c r="C1378" s="21" t="s">
        <v>4214</v>
      </c>
      <c r="D1378" s="15"/>
      <c r="E1378" s="8" t="s">
        <v>1094</v>
      </c>
      <c r="F1378" s="8" t="s">
        <v>247</v>
      </c>
      <c r="G1378" s="1">
        <v>1</v>
      </c>
      <c r="H1378" s="1"/>
      <c r="I1378" s="1">
        <f>1809-18</f>
        <v>1791</v>
      </c>
      <c r="J1378" t="s">
        <v>10</v>
      </c>
      <c r="K1378" t="s">
        <v>12</v>
      </c>
      <c r="Q1378">
        <v>5</v>
      </c>
      <c r="R1378">
        <v>1</v>
      </c>
      <c r="S1378">
        <v>1</v>
      </c>
      <c r="T1378" s="5">
        <f t="shared" si="66"/>
        <v>160.85</v>
      </c>
      <c r="U1378" t="s">
        <v>4128</v>
      </c>
      <c r="AQ1378" s="14">
        <v>1</v>
      </c>
      <c r="BC1378" s="9" t="s">
        <v>4215</v>
      </c>
      <c r="BD1378" s="14" t="s">
        <v>338</v>
      </c>
      <c r="BE1378" t="s">
        <v>1065</v>
      </c>
      <c r="BF1378" s="1" t="s">
        <v>29</v>
      </c>
      <c r="BG1378" s="1">
        <v>1</v>
      </c>
      <c r="BH1378">
        <v>1</v>
      </c>
      <c r="BK1378" s="1">
        <v>1</v>
      </c>
      <c r="BQ1378">
        <v>1</v>
      </c>
      <c r="CS1378" s="14" t="s">
        <v>4216</v>
      </c>
    </row>
    <row r="1379" spans="1:98">
      <c r="A1379" t="s">
        <v>72</v>
      </c>
      <c r="B1379" t="s">
        <v>4181</v>
      </c>
      <c r="C1379" s="15"/>
      <c r="D1379" s="15"/>
      <c r="F1379" t="s">
        <v>7</v>
      </c>
      <c r="G1379" s="1"/>
      <c r="H1379" s="1"/>
      <c r="I1379" s="1"/>
      <c r="T1379" s="5"/>
      <c r="U1379" t="s">
        <v>4182</v>
      </c>
      <c r="AQ1379" s="6">
        <v>1</v>
      </c>
      <c r="AR1379" s="7">
        <v>1</v>
      </c>
      <c r="BC1379" t="s">
        <v>529</v>
      </c>
      <c r="BD1379" s="7" t="s">
        <v>26</v>
      </c>
      <c r="BE1379" t="s">
        <v>1065</v>
      </c>
      <c r="BF1379" s="1" t="s">
        <v>29</v>
      </c>
      <c r="BG1379" s="1">
        <v>2</v>
      </c>
      <c r="BH1379">
        <v>1</v>
      </c>
      <c r="BK1379" s="1">
        <v>1</v>
      </c>
      <c r="BQ1379">
        <v>1</v>
      </c>
      <c r="CS1379" s="7" t="s">
        <v>4183</v>
      </c>
    </row>
    <row r="1380" spans="1:98">
      <c r="A1380" t="s">
        <v>72</v>
      </c>
      <c r="B1380" t="s">
        <v>4231</v>
      </c>
      <c r="C1380" s="15"/>
      <c r="D1380" s="15"/>
      <c r="F1380" t="s">
        <v>7</v>
      </c>
      <c r="G1380" s="1">
        <v>1</v>
      </c>
      <c r="H1380" s="1"/>
      <c r="I1380" s="1"/>
      <c r="T1380" s="5"/>
      <c r="U1380" t="s">
        <v>4182</v>
      </c>
      <c r="AQ1380" s="7">
        <v>1</v>
      </c>
      <c r="BC1380" t="s">
        <v>4232</v>
      </c>
      <c r="BD1380" s="7" t="s">
        <v>280</v>
      </c>
      <c r="BE1380" t="s">
        <v>1065</v>
      </c>
      <c r="BF1380" s="1" t="s">
        <v>29</v>
      </c>
      <c r="BG1380" s="1">
        <v>1</v>
      </c>
      <c r="BH1380">
        <v>1</v>
      </c>
      <c r="BK1380" s="1">
        <v>1</v>
      </c>
      <c r="BQ1380">
        <v>1</v>
      </c>
      <c r="CN1380">
        <v>1</v>
      </c>
      <c r="CS1380" s="7" t="s">
        <v>1243</v>
      </c>
    </row>
    <row r="1381" spans="1:98">
      <c r="B1381" t="s">
        <v>4051</v>
      </c>
      <c r="C1381" s="2" t="s">
        <v>1305</v>
      </c>
      <c r="D1381" s="2"/>
      <c r="E1381" s="8" t="s">
        <v>1306</v>
      </c>
      <c r="F1381" s="8" t="s">
        <v>65</v>
      </c>
      <c r="G1381" s="1">
        <v>1</v>
      </c>
      <c r="H1381" s="1"/>
      <c r="I1381" s="1">
        <f>1810-44</f>
        <v>1766</v>
      </c>
      <c r="J1381" t="s">
        <v>69</v>
      </c>
      <c r="K1381" t="s">
        <v>12</v>
      </c>
      <c r="T1381" s="5"/>
      <c r="U1381" t="s">
        <v>647</v>
      </c>
      <c r="AQ1381" s="6">
        <v>1</v>
      </c>
      <c r="AR1381" s="6">
        <v>1</v>
      </c>
      <c r="AS1381" s="7">
        <v>1</v>
      </c>
      <c r="BC1381" t="s">
        <v>4044</v>
      </c>
      <c r="BD1381" s="7" t="s">
        <v>103</v>
      </c>
      <c r="BE1381" t="s">
        <v>1854</v>
      </c>
      <c r="BF1381" s="1" t="s">
        <v>29</v>
      </c>
      <c r="BG1381" s="1">
        <v>3</v>
      </c>
      <c r="BH1381">
        <v>2</v>
      </c>
      <c r="BK1381" s="1">
        <v>1</v>
      </c>
      <c r="BQ1381">
        <v>1</v>
      </c>
      <c r="CL1381">
        <v>1</v>
      </c>
      <c r="CS1381" s="7" t="s">
        <v>1949</v>
      </c>
    </row>
    <row r="1382" spans="1:98">
      <c r="B1382" t="s">
        <v>3523</v>
      </c>
      <c r="C1382" s="15" t="s">
        <v>655</v>
      </c>
      <c r="D1382" s="15" t="s">
        <v>655</v>
      </c>
      <c r="E1382" s="8" t="s">
        <v>654</v>
      </c>
      <c r="F1382" s="8" t="s">
        <v>65</v>
      </c>
      <c r="G1382" s="1">
        <v>1</v>
      </c>
      <c r="H1382" s="1"/>
      <c r="I1382" s="1">
        <f>1809-18</f>
        <v>1791</v>
      </c>
      <c r="J1382" t="s">
        <v>10</v>
      </c>
      <c r="K1382" t="s">
        <v>12</v>
      </c>
      <c r="Q1382">
        <v>5</v>
      </c>
      <c r="R1382">
        <v>2</v>
      </c>
      <c r="T1382" s="5">
        <f t="shared" si="66"/>
        <v>163.26</v>
      </c>
      <c r="U1382" t="s">
        <v>647</v>
      </c>
      <c r="AQ1382" s="6">
        <v>1</v>
      </c>
      <c r="AR1382" s="7">
        <v>1</v>
      </c>
      <c r="BC1382" t="s">
        <v>3524</v>
      </c>
      <c r="BD1382" s="7" t="s">
        <v>103</v>
      </c>
      <c r="BE1382" t="s">
        <v>1529</v>
      </c>
      <c r="BF1382" s="1" t="s">
        <v>29</v>
      </c>
      <c r="BG1382" s="1">
        <v>4</v>
      </c>
      <c r="BH1382">
        <v>2</v>
      </c>
      <c r="BI1382">
        <v>1</v>
      </c>
      <c r="BK1382" s="1">
        <v>1</v>
      </c>
      <c r="BR1382">
        <v>1</v>
      </c>
      <c r="CL1382">
        <v>1</v>
      </c>
      <c r="CS1382" s="7" t="s">
        <v>3529</v>
      </c>
    </row>
    <row r="1383" spans="1:98">
      <c r="B1383" t="s">
        <v>651</v>
      </c>
      <c r="C1383" s="15" t="s">
        <v>237</v>
      </c>
      <c r="D1383" s="15" t="s">
        <v>237</v>
      </c>
      <c r="E1383" s="8" t="s">
        <v>238</v>
      </c>
      <c r="F1383" s="8" t="s">
        <v>65</v>
      </c>
      <c r="G1383" s="1">
        <v>1</v>
      </c>
      <c r="H1383" s="1"/>
      <c r="I1383" s="1">
        <f>1809-23</f>
        <v>1786</v>
      </c>
      <c r="J1383" t="s">
        <v>10</v>
      </c>
      <c r="K1383" t="s">
        <v>12</v>
      </c>
      <c r="Q1383">
        <v>5</v>
      </c>
      <c r="R1383">
        <v>1</v>
      </c>
      <c r="T1383" s="5">
        <f t="shared" si="66"/>
        <v>160.63</v>
      </c>
      <c r="U1383" t="s">
        <v>647</v>
      </c>
      <c r="AQ1383" s="7">
        <v>1</v>
      </c>
      <c r="BC1383" t="s">
        <v>659</v>
      </c>
      <c r="BD1383" s="7" t="s">
        <v>103</v>
      </c>
      <c r="BE1383" t="s">
        <v>668</v>
      </c>
      <c r="BF1383" s="1" t="s">
        <v>29</v>
      </c>
      <c r="BG1383" s="1">
        <v>2</v>
      </c>
      <c r="BH1383">
        <v>1</v>
      </c>
      <c r="BK1383" s="1">
        <v>1</v>
      </c>
      <c r="BR1383">
        <v>1</v>
      </c>
      <c r="CS1383" s="7" t="s">
        <v>662</v>
      </c>
    </row>
    <row r="1384" spans="1:98">
      <c r="B1384" t="s">
        <v>652</v>
      </c>
      <c r="C1384" s="15" t="s">
        <v>656</v>
      </c>
      <c r="D1384" s="15" t="s">
        <v>656</v>
      </c>
      <c r="E1384" s="8" t="s">
        <v>654</v>
      </c>
      <c r="F1384" s="8" t="s">
        <v>65</v>
      </c>
      <c r="G1384" s="1">
        <v>1</v>
      </c>
      <c r="H1384" s="1"/>
      <c r="I1384" s="1">
        <f>1809-21</f>
        <v>1788</v>
      </c>
      <c r="J1384" t="s">
        <v>10</v>
      </c>
      <c r="K1384" t="s">
        <v>12</v>
      </c>
      <c r="Q1384">
        <v>5</v>
      </c>
      <c r="R1384">
        <v>2</v>
      </c>
      <c r="T1384" s="5">
        <f t="shared" si="66"/>
        <v>163.26</v>
      </c>
      <c r="U1384" t="s">
        <v>648</v>
      </c>
      <c r="AQ1384" s="7">
        <v>1</v>
      </c>
      <c r="BC1384" t="s">
        <v>658</v>
      </c>
      <c r="BD1384" s="7" t="s">
        <v>103</v>
      </c>
      <c r="BE1384" t="s">
        <v>668</v>
      </c>
      <c r="BF1384" s="1" t="s">
        <v>29</v>
      </c>
      <c r="BG1384" s="1">
        <v>2</v>
      </c>
      <c r="BH1384">
        <v>1</v>
      </c>
      <c r="BK1384" s="1">
        <v>1</v>
      </c>
      <c r="BR1384">
        <v>1</v>
      </c>
      <c r="CS1384" s="7" t="s">
        <v>662</v>
      </c>
    </row>
    <row r="1385" spans="1:98">
      <c r="A1385" t="s">
        <v>72</v>
      </c>
      <c r="B1385" t="s">
        <v>653</v>
      </c>
      <c r="F1385" t="s">
        <v>7</v>
      </c>
      <c r="G1385" s="1"/>
      <c r="H1385" s="1"/>
      <c r="I1385" s="1"/>
      <c r="T1385" s="5"/>
      <c r="U1385" s="9" t="s">
        <v>649</v>
      </c>
      <c r="AQ1385" s="9">
        <v>1</v>
      </c>
      <c r="AR1385" s="6">
        <v>1</v>
      </c>
      <c r="BC1385">
        <v>1810</v>
      </c>
      <c r="BD1385" t="s">
        <v>81</v>
      </c>
      <c r="BE1385" s="10" t="s">
        <v>70</v>
      </c>
      <c r="BF1385" s="1" t="s">
        <v>73</v>
      </c>
      <c r="BG1385" s="1">
        <v>2</v>
      </c>
      <c r="BH1385">
        <v>1</v>
      </c>
      <c r="BK1385" s="1"/>
      <c r="BZ1385">
        <v>1</v>
      </c>
      <c r="CS1385" t="s">
        <v>111</v>
      </c>
      <c r="CT1385" s="10" t="s">
        <v>660</v>
      </c>
    </row>
    <row r="1386" spans="1:98">
      <c r="B1386" t="s">
        <v>421</v>
      </c>
      <c r="C1386" s="15" t="s">
        <v>422</v>
      </c>
      <c r="D1386" s="15"/>
      <c r="F1386" s="8" t="s">
        <v>416</v>
      </c>
      <c r="G1386" s="1">
        <v>1</v>
      </c>
      <c r="H1386" s="1"/>
      <c r="I1386" s="1">
        <f>1809-18</f>
        <v>1791</v>
      </c>
      <c r="J1386" t="s">
        <v>10</v>
      </c>
      <c r="K1386" t="s">
        <v>12</v>
      </c>
      <c r="T1386" s="5"/>
      <c r="U1386" t="s">
        <v>423</v>
      </c>
      <c r="AQ1386" s="6">
        <v>1</v>
      </c>
      <c r="AR1386" s="7">
        <v>1</v>
      </c>
      <c r="BC1386" t="s">
        <v>424</v>
      </c>
      <c r="BD1386" s="7" t="s">
        <v>103</v>
      </c>
      <c r="BE1386" t="s">
        <v>419</v>
      </c>
      <c r="BF1386" s="1" t="s">
        <v>29</v>
      </c>
      <c r="BG1386" s="1">
        <v>2</v>
      </c>
      <c r="BH1386">
        <v>1</v>
      </c>
      <c r="BK1386" s="1">
        <v>1</v>
      </c>
      <c r="BR1386">
        <v>1</v>
      </c>
      <c r="CS1386" s="7" t="s">
        <v>425</v>
      </c>
    </row>
    <row r="1387" spans="1:98">
      <c r="B1387" t="s">
        <v>2602</v>
      </c>
      <c r="C1387" s="21" t="s">
        <v>4056</v>
      </c>
      <c r="D1387" s="15"/>
      <c r="E1387" s="8" t="s">
        <v>4055</v>
      </c>
      <c r="F1387" s="8" t="s">
        <v>247</v>
      </c>
      <c r="G1387" s="1">
        <v>1</v>
      </c>
      <c r="H1387" s="1"/>
      <c r="I1387" s="1">
        <f>1810-47</f>
        <v>1763</v>
      </c>
      <c r="J1387" t="s">
        <v>69</v>
      </c>
      <c r="K1387" t="s">
        <v>12</v>
      </c>
      <c r="Q1387">
        <v>5</v>
      </c>
      <c r="R1387">
        <v>4</v>
      </c>
      <c r="S1387">
        <v>2</v>
      </c>
      <c r="T1387" s="5">
        <f t="shared" ref="T1387:T1451" si="67">((Q1387*316)+(R1387*26.3)+(S1387*2.2))/10</f>
        <v>168.96</v>
      </c>
      <c r="U1387" t="s">
        <v>4054</v>
      </c>
      <c r="AQ1387" s="6">
        <v>1</v>
      </c>
      <c r="AR1387" s="7">
        <v>1</v>
      </c>
      <c r="BC1387" t="s">
        <v>4057</v>
      </c>
      <c r="BD1387" s="7" t="s">
        <v>103</v>
      </c>
      <c r="BE1387" t="s">
        <v>1854</v>
      </c>
      <c r="BF1387" s="1" t="s">
        <v>29</v>
      </c>
      <c r="BG1387" s="1">
        <v>2</v>
      </c>
      <c r="BH1387">
        <v>2</v>
      </c>
      <c r="BK1387" s="1">
        <v>1</v>
      </c>
      <c r="BQ1387">
        <v>1</v>
      </c>
      <c r="CL1387">
        <v>1</v>
      </c>
      <c r="CS1387" s="7" t="s">
        <v>614</v>
      </c>
    </row>
    <row r="1388" spans="1:98">
      <c r="A1388" t="s">
        <v>72</v>
      </c>
      <c r="B1388" t="s">
        <v>4217</v>
      </c>
      <c r="C1388" s="21"/>
      <c r="D1388" s="15"/>
      <c r="F1388" t="s">
        <v>7</v>
      </c>
      <c r="G1388" s="1"/>
      <c r="H1388" s="1"/>
      <c r="I1388" s="1"/>
      <c r="T1388" s="5"/>
      <c r="U1388" t="s">
        <v>4054</v>
      </c>
      <c r="AQ1388" s="6">
        <v>1</v>
      </c>
      <c r="AR1388" s="7">
        <v>1</v>
      </c>
      <c r="BC1388" t="s">
        <v>4218</v>
      </c>
      <c r="BD1388" s="7" t="s">
        <v>26</v>
      </c>
      <c r="BE1388" t="s">
        <v>1065</v>
      </c>
      <c r="BF1388" s="1" t="s">
        <v>29</v>
      </c>
      <c r="BG1388" s="1">
        <v>1</v>
      </c>
      <c r="BH1388">
        <v>1</v>
      </c>
      <c r="BK1388" s="1">
        <v>1</v>
      </c>
      <c r="BQ1388">
        <v>1</v>
      </c>
      <c r="CS1388" s="7" t="s">
        <v>4219</v>
      </c>
    </row>
    <row r="1389" spans="1:98">
      <c r="A1389" t="s">
        <v>72</v>
      </c>
      <c r="B1389" t="s">
        <v>4221</v>
      </c>
      <c r="C1389" s="21"/>
      <c r="D1389" s="15"/>
      <c r="F1389" s="8" t="s">
        <v>7</v>
      </c>
      <c r="G1389" s="1"/>
      <c r="H1389" s="1"/>
      <c r="I1389" s="1"/>
      <c r="T1389" s="5"/>
      <c r="U1389" t="s">
        <v>4220</v>
      </c>
      <c r="AQ1389" s="7">
        <v>1</v>
      </c>
      <c r="BC1389" t="s">
        <v>4222</v>
      </c>
      <c r="BD1389" s="7" t="s">
        <v>280</v>
      </c>
      <c r="BE1389" t="s">
        <v>1065</v>
      </c>
      <c r="BF1389" s="1" t="s">
        <v>29</v>
      </c>
      <c r="BG1389" s="1">
        <v>1</v>
      </c>
      <c r="BH1389">
        <v>1</v>
      </c>
      <c r="BK1389" s="1">
        <v>1</v>
      </c>
      <c r="BQ1389">
        <v>1</v>
      </c>
      <c r="CN1389">
        <v>1</v>
      </c>
      <c r="CS1389" s="7" t="s">
        <v>4225</v>
      </c>
    </row>
    <row r="1390" spans="1:98">
      <c r="B1390" t="s">
        <v>3676</v>
      </c>
      <c r="C1390" s="2" t="s">
        <v>747</v>
      </c>
      <c r="D1390" s="15"/>
      <c r="F1390" s="8" t="s">
        <v>4274</v>
      </c>
      <c r="G1390" s="1"/>
      <c r="H1390" s="1">
        <v>1</v>
      </c>
      <c r="I1390" s="1">
        <f>1812-22</f>
        <v>1790</v>
      </c>
      <c r="J1390" t="s">
        <v>10</v>
      </c>
      <c r="K1390" t="s">
        <v>12</v>
      </c>
      <c r="Q1390">
        <v>5</v>
      </c>
      <c r="R1390">
        <v>2</v>
      </c>
      <c r="T1390" s="5">
        <f t="shared" si="67"/>
        <v>163.26</v>
      </c>
      <c r="U1390" t="s">
        <v>3675</v>
      </c>
      <c r="AR1390" s="6">
        <v>1</v>
      </c>
      <c r="AS1390" s="6">
        <v>1</v>
      </c>
      <c r="AT1390" s="6">
        <v>1</v>
      </c>
      <c r="AU1390" s="6">
        <v>1</v>
      </c>
      <c r="AV1390" s="6">
        <v>1</v>
      </c>
      <c r="AW1390" s="6">
        <v>1</v>
      </c>
      <c r="AX1390" s="6">
        <v>1</v>
      </c>
      <c r="AY1390" s="7">
        <v>1</v>
      </c>
      <c r="BC1390" t="s">
        <v>2419</v>
      </c>
      <c r="BD1390" s="7" t="s">
        <v>109</v>
      </c>
      <c r="BE1390" t="s">
        <v>2407</v>
      </c>
      <c r="BF1390" s="1" t="s">
        <v>29</v>
      </c>
      <c r="BG1390" s="1">
        <v>7</v>
      </c>
      <c r="BH1390">
        <v>2</v>
      </c>
      <c r="BK1390" s="1"/>
      <c r="BO1390">
        <v>1</v>
      </c>
      <c r="BQ1390">
        <v>1</v>
      </c>
      <c r="CS1390" s="7" t="s">
        <v>1593</v>
      </c>
    </row>
    <row r="1391" spans="1:98">
      <c r="B1391" t="s">
        <v>4330</v>
      </c>
      <c r="C1391" s="2" t="s">
        <v>191</v>
      </c>
      <c r="D1391" s="15"/>
      <c r="E1391" s="8" t="s">
        <v>193</v>
      </c>
      <c r="F1391" s="8" t="s">
        <v>65</v>
      </c>
      <c r="G1391" s="1">
        <v>1</v>
      </c>
      <c r="H1391" s="1"/>
      <c r="I1391" s="1">
        <f>1811-21</f>
        <v>1790</v>
      </c>
      <c r="J1391" t="s">
        <v>10</v>
      </c>
      <c r="K1391" t="s">
        <v>12</v>
      </c>
      <c r="Q1391">
        <v>5</v>
      </c>
      <c r="R1391">
        <v>3</v>
      </c>
      <c r="S1391">
        <v>2</v>
      </c>
      <c r="T1391" s="5">
        <f t="shared" si="67"/>
        <v>166.33</v>
      </c>
      <c r="U1391" t="s">
        <v>4078</v>
      </c>
      <c r="AR1391" s="6">
        <v>1</v>
      </c>
      <c r="AS1391" s="6">
        <v>1</v>
      </c>
      <c r="BC1391">
        <v>1811</v>
      </c>
      <c r="BD1391" t="s">
        <v>81</v>
      </c>
      <c r="BE1391" t="s">
        <v>4328</v>
      </c>
      <c r="BF1391" s="1" t="s">
        <v>73</v>
      </c>
      <c r="BG1391" s="1">
        <v>1</v>
      </c>
      <c r="BH1391">
        <v>1</v>
      </c>
      <c r="BK1391" s="1" t="s">
        <v>72</v>
      </c>
      <c r="BQ1391">
        <v>1</v>
      </c>
      <c r="CS1391" t="s">
        <v>4329</v>
      </c>
    </row>
    <row r="1392" spans="1:98">
      <c r="B1392" t="s">
        <v>3547</v>
      </c>
      <c r="C1392" s="2" t="s">
        <v>3545</v>
      </c>
      <c r="D1392" s="2" t="s">
        <v>3545</v>
      </c>
      <c r="E1392" s="8" t="s">
        <v>271</v>
      </c>
      <c r="F1392" s="8" t="s">
        <v>115</v>
      </c>
      <c r="G1392" s="1">
        <v>1</v>
      </c>
      <c r="H1392" s="1"/>
      <c r="I1392" s="1">
        <f>1810-27</f>
        <v>1783</v>
      </c>
      <c r="J1392" t="s">
        <v>10</v>
      </c>
      <c r="K1392" t="s">
        <v>197</v>
      </c>
      <c r="Q1392">
        <v>5</v>
      </c>
      <c r="R1392">
        <v>4</v>
      </c>
      <c r="S1392">
        <v>2</v>
      </c>
      <c r="T1392" s="5">
        <f>((Q1392*316)+(R1392*26.3)+(S1392*2.2))/10</f>
        <v>168.96</v>
      </c>
      <c r="U1392" t="s">
        <v>3546</v>
      </c>
      <c r="AQ1392" s="9"/>
      <c r="AR1392" s="6">
        <v>1</v>
      </c>
      <c r="BC1392">
        <v>1810</v>
      </c>
      <c r="BD1392" t="s">
        <v>81</v>
      </c>
      <c r="BE1392" t="s">
        <v>3548</v>
      </c>
      <c r="BF1392" s="1" t="s">
        <v>73</v>
      </c>
      <c r="BG1392" s="1">
        <v>1</v>
      </c>
      <c r="BH1392">
        <v>2</v>
      </c>
      <c r="BK1392" s="1" t="s">
        <v>72</v>
      </c>
      <c r="BO1392">
        <v>1</v>
      </c>
      <c r="BP1392">
        <v>1</v>
      </c>
      <c r="BQ1392">
        <v>1</v>
      </c>
      <c r="BW1392">
        <v>1</v>
      </c>
      <c r="CS1392" t="s">
        <v>3677</v>
      </c>
    </row>
    <row r="1393" spans="1:98">
      <c r="A1393" t="s">
        <v>72</v>
      </c>
      <c r="B1393" t="s">
        <v>4484</v>
      </c>
      <c r="C1393" s="2"/>
      <c r="D1393" s="2"/>
      <c r="F1393" t="s">
        <v>7</v>
      </c>
      <c r="G1393" s="1"/>
      <c r="H1393" s="1"/>
      <c r="I1393" s="1"/>
      <c r="T1393" s="5"/>
      <c r="U1393" s="9" t="s">
        <v>4483</v>
      </c>
      <c r="AQ1393" s="9"/>
      <c r="AR1393" s="6">
        <v>1</v>
      </c>
      <c r="AS1393" s="7">
        <v>1</v>
      </c>
      <c r="BC1393">
        <v>1811</v>
      </c>
      <c r="BD1393" s="7" t="s">
        <v>103</v>
      </c>
      <c r="BE1393" t="s">
        <v>151</v>
      </c>
      <c r="BF1393" s="1" t="s">
        <v>29</v>
      </c>
      <c r="BG1393" s="1">
        <v>1</v>
      </c>
      <c r="BH1393">
        <v>1</v>
      </c>
      <c r="BK1393" s="1"/>
      <c r="BQ1393">
        <v>1</v>
      </c>
      <c r="CS1393" s="7" t="s">
        <v>1512</v>
      </c>
    </row>
    <row r="1394" spans="1:98">
      <c r="B1394" t="s">
        <v>4053</v>
      </c>
      <c r="C1394" s="2" t="s">
        <v>1578</v>
      </c>
      <c r="D1394" s="15"/>
      <c r="E1394" s="8" t="s">
        <v>1306</v>
      </c>
      <c r="F1394" s="8" t="s">
        <v>65</v>
      </c>
      <c r="G1394" s="1">
        <v>1</v>
      </c>
      <c r="H1394" s="1"/>
      <c r="I1394" s="1">
        <f>1810-44</f>
        <v>1766</v>
      </c>
      <c r="J1394" t="s">
        <v>69</v>
      </c>
      <c r="K1394" t="s">
        <v>12</v>
      </c>
      <c r="T1394" s="5"/>
      <c r="U1394" s="9" t="s">
        <v>4052</v>
      </c>
      <c r="AQ1394" s="9"/>
      <c r="AR1394" s="6">
        <v>1</v>
      </c>
      <c r="AS1394" s="7">
        <v>1</v>
      </c>
      <c r="BC1394" t="s">
        <v>4044</v>
      </c>
      <c r="BD1394" s="7" t="s">
        <v>103</v>
      </c>
      <c r="BE1394" t="s">
        <v>1854</v>
      </c>
      <c r="BF1394" s="1" t="s">
        <v>29</v>
      </c>
      <c r="BG1394" s="1">
        <v>3</v>
      </c>
      <c r="BH1394">
        <v>2</v>
      </c>
      <c r="BK1394" s="1">
        <v>1</v>
      </c>
      <c r="BQ1394">
        <v>1</v>
      </c>
      <c r="CL1394">
        <v>1</v>
      </c>
      <c r="CS1394" s="7" t="s">
        <v>614</v>
      </c>
    </row>
    <row r="1395" spans="1:98">
      <c r="B1395" t="s">
        <v>1514</v>
      </c>
      <c r="C1395" s="8" t="s">
        <v>1515</v>
      </c>
      <c r="D1395" s="8" t="s">
        <v>1516</v>
      </c>
      <c r="E1395" s="8" t="s">
        <v>1381</v>
      </c>
      <c r="F1395" s="8" t="s">
        <v>115</v>
      </c>
      <c r="G1395" s="1">
        <v>1</v>
      </c>
      <c r="H1395" s="1"/>
      <c r="I1395" s="1">
        <f>1811-29</f>
        <v>1782</v>
      </c>
      <c r="J1395" t="s">
        <v>10</v>
      </c>
      <c r="K1395" t="s">
        <v>12</v>
      </c>
      <c r="Q1395">
        <v>5</v>
      </c>
      <c r="R1395">
        <v>3</v>
      </c>
      <c r="S1395">
        <v>2</v>
      </c>
      <c r="T1395" s="5">
        <f t="shared" si="67"/>
        <v>166.33</v>
      </c>
      <c r="U1395" s="9" t="s">
        <v>1513</v>
      </c>
      <c r="AR1395" s="9">
        <v>1</v>
      </c>
      <c r="AS1395" s="6">
        <v>1</v>
      </c>
      <c r="AT1395" s="6">
        <v>1</v>
      </c>
      <c r="AU1395" s="6">
        <v>1</v>
      </c>
      <c r="AV1395" s="6">
        <v>1</v>
      </c>
      <c r="AW1395" s="6">
        <v>1</v>
      </c>
      <c r="AX1395" s="6">
        <v>1</v>
      </c>
      <c r="AY1395" s="7">
        <v>1</v>
      </c>
      <c r="BC1395" t="s">
        <v>1517</v>
      </c>
      <c r="BD1395" s="7" t="s">
        <v>103</v>
      </c>
      <c r="BE1395" t="s">
        <v>118</v>
      </c>
      <c r="BF1395" s="1" t="s">
        <v>29</v>
      </c>
      <c r="BG1395" s="1">
        <v>2</v>
      </c>
      <c r="BH1395">
        <v>2</v>
      </c>
      <c r="BK1395" s="1" t="s">
        <v>72</v>
      </c>
      <c r="BQ1395">
        <v>1</v>
      </c>
      <c r="CL1395">
        <v>1</v>
      </c>
      <c r="CS1395" s="7" t="s">
        <v>1518</v>
      </c>
      <c r="CT1395" s="9" t="s">
        <v>1519</v>
      </c>
    </row>
    <row r="1396" spans="1:98">
      <c r="B1396" t="s">
        <v>4455</v>
      </c>
      <c r="C1396" s="2" t="s">
        <v>4456</v>
      </c>
      <c r="D1396" s="2" t="s">
        <v>4457</v>
      </c>
      <c r="E1396" s="8" t="s">
        <v>130</v>
      </c>
      <c r="F1396" s="8" t="s">
        <v>65</v>
      </c>
      <c r="G1396" s="1">
        <v>1</v>
      </c>
      <c r="H1396" s="1"/>
      <c r="I1396" s="1">
        <f>1811-27</f>
        <v>1784</v>
      </c>
      <c r="J1396" t="s">
        <v>69</v>
      </c>
      <c r="K1396" t="s">
        <v>12</v>
      </c>
      <c r="N1396">
        <v>1</v>
      </c>
      <c r="Q1396">
        <v>5</v>
      </c>
      <c r="R1396">
        <v>4</v>
      </c>
      <c r="S1396">
        <v>1</v>
      </c>
      <c r="T1396" s="5">
        <f t="shared" si="67"/>
        <v>168.74</v>
      </c>
      <c r="U1396" t="s">
        <v>4454</v>
      </c>
      <c r="AR1396" s="14">
        <v>1</v>
      </c>
      <c r="AS1396" s="6">
        <v>1</v>
      </c>
      <c r="BC1396">
        <v>1811</v>
      </c>
      <c r="BD1396" t="s">
        <v>81</v>
      </c>
      <c r="BE1396" t="s">
        <v>151</v>
      </c>
      <c r="BF1396" s="1" t="s">
        <v>73</v>
      </c>
      <c r="BG1396" s="1">
        <v>1</v>
      </c>
      <c r="BH1396">
        <v>1</v>
      </c>
      <c r="BK1396" s="1">
        <v>1</v>
      </c>
      <c r="BL1396">
        <v>1</v>
      </c>
      <c r="BQ1396">
        <v>1</v>
      </c>
      <c r="CS1396" t="s">
        <v>4198</v>
      </c>
    </row>
    <row r="1397" spans="1:98">
      <c r="B1397" t="s">
        <v>4486</v>
      </c>
      <c r="C1397" s="2" t="s">
        <v>1336</v>
      </c>
      <c r="D1397" s="15"/>
      <c r="E1397" s="8" t="s">
        <v>837</v>
      </c>
      <c r="F1397" s="8" t="s">
        <v>2510</v>
      </c>
      <c r="G1397" s="1"/>
      <c r="H1397" s="1">
        <v>1</v>
      </c>
      <c r="I1397" s="1">
        <f>1811-26</f>
        <v>1785</v>
      </c>
      <c r="J1397" t="s">
        <v>10</v>
      </c>
      <c r="K1397" t="s">
        <v>1351</v>
      </c>
      <c r="Q1397">
        <v>5</v>
      </c>
      <c r="R1397">
        <v>2</v>
      </c>
      <c r="T1397" s="5">
        <f t="shared" si="67"/>
        <v>163.26</v>
      </c>
      <c r="U1397" t="s">
        <v>4487</v>
      </c>
      <c r="AR1397" s="6">
        <v>1</v>
      </c>
      <c r="AS1397" s="6">
        <v>1</v>
      </c>
      <c r="BC1397">
        <v>1811</v>
      </c>
      <c r="BD1397" t="s">
        <v>81</v>
      </c>
      <c r="BE1397" t="s">
        <v>151</v>
      </c>
      <c r="BF1397" s="1" t="s">
        <v>73</v>
      </c>
      <c r="BG1397" s="1">
        <v>1</v>
      </c>
      <c r="BH1397">
        <v>1</v>
      </c>
      <c r="BK1397" s="1"/>
      <c r="BO1397">
        <v>1</v>
      </c>
      <c r="BQ1397">
        <v>1</v>
      </c>
      <c r="CS1397" t="s">
        <v>4198</v>
      </c>
    </row>
    <row r="1398" spans="1:98">
      <c r="B1398" t="s">
        <v>1931</v>
      </c>
      <c r="C1398" s="2" t="s">
        <v>1932</v>
      </c>
      <c r="D1398" s="8"/>
      <c r="E1398" s="8" t="s">
        <v>1933</v>
      </c>
      <c r="F1398" s="8" t="s">
        <v>247</v>
      </c>
      <c r="G1398" s="1">
        <v>1</v>
      </c>
      <c r="H1398" s="1"/>
      <c r="I1398" s="1">
        <f>1811-35</f>
        <v>1776</v>
      </c>
      <c r="J1398" t="s">
        <v>69</v>
      </c>
      <c r="K1398" t="s">
        <v>900</v>
      </c>
      <c r="Q1398">
        <v>5</v>
      </c>
      <c r="R1398">
        <v>2</v>
      </c>
      <c r="S1398">
        <v>2</v>
      </c>
      <c r="T1398" s="5">
        <f t="shared" si="67"/>
        <v>163.69999999999999</v>
      </c>
      <c r="U1398" t="s">
        <v>1934</v>
      </c>
      <c r="AR1398" s="6">
        <v>1</v>
      </c>
      <c r="AS1398" s="7">
        <v>1</v>
      </c>
      <c r="BC1398" t="s">
        <v>1935</v>
      </c>
      <c r="BD1398" s="7" t="s">
        <v>280</v>
      </c>
      <c r="BE1398" t="s">
        <v>1511</v>
      </c>
      <c r="BF1398" s="1" t="s">
        <v>29</v>
      </c>
      <c r="BG1398" s="1">
        <v>2</v>
      </c>
      <c r="BH1398">
        <v>1</v>
      </c>
      <c r="BK1398" s="1"/>
      <c r="BO1398">
        <v>1</v>
      </c>
      <c r="BQ1398">
        <v>1</v>
      </c>
      <c r="CN1398">
        <v>1</v>
      </c>
      <c r="CS1398" s="7" t="s">
        <v>1243</v>
      </c>
    </row>
    <row r="1399" spans="1:98">
      <c r="B1399" t="s">
        <v>2405</v>
      </c>
      <c r="C1399" s="2" t="s">
        <v>932</v>
      </c>
      <c r="D1399" s="2" t="s">
        <v>932</v>
      </c>
      <c r="E1399" s="8" t="s">
        <v>481</v>
      </c>
      <c r="F1399" s="8" t="s">
        <v>65</v>
      </c>
      <c r="G1399" s="1">
        <v>1</v>
      </c>
      <c r="H1399" s="1"/>
      <c r="I1399" s="1">
        <f>1817-39</f>
        <v>1778</v>
      </c>
      <c r="J1399" t="s">
        <v>10</v>
      </c>
      <c r="K1399" t="s">
        <v>12</v>
      </c>
      <c r="Q1399">
        <v>5</v>
      </c>
      <c r="R1399">
        <v>2</v>
      </c>
      <c r="S1399">
        <v>2</v>
      </c>
      <c r="T1399" s="5">
        <f t="shared" si="67"/>
        <v>163.69999999999999</v>
      </c>
      <c r="U1399" t="s">
        <v>2404</v>
      </c>
      <c r="AS1399" s="6">
        <v>1</v>
      </c>
      <c r="AT1399" s="6">
        <v>1</v>
      </c>
      <c r="AU1399" s="6">
        <v>1</v>
      </c>
      <c r="AV1399" s="6">
        <v>1</v>
      </c>
      <c r="AW1399" s="6">
        <v>1</v>
      </c>
      <c r="AX1399" s="6">
        <v>1</v>
      </c>
      <c r="AY1399" s="7">
        <v>1</v>
      </c>
      <c r="BC1399" t="s">
        <v>2406</v>
      </c>
      <c r="BD1399" s="7" t="s">
        <v>103</v>
      </c>
      <c r="BE1399" t="s">
        <v>2407</v>
      </c>
      <c r="BF1399" s="1" t="s">
        <v>29</v>
      </c>
      <c r="BG1399" s="1">
        <v>3</v>
      </c>
      <c r="BH1399">
        <v>2</v>
      </c>
      <c r="BI1399">
        <v>1</v>
      </c>
      <c r="BK1399" s="1"/>
      <c r="BO1399" t="s">
        <v>72</v>
      </c>
      <c r="BQ1399">
        <v>1</v>
      </c>
      <c r="CL1399">
        <v>1</v>
      </c>
      <c r="CS1399" s="7" t="s">
        <v>2408</v>
      </c>
    </row>
    <row r="1400" spans="1:98">
      <c r="B1400" t="s">
        <v>3004</v>
      </c>
      <c r="C1400" s="8" t="s">
        <v>3005</v>
      </c>
      <c r="D1400" s="8" t="s">
        <v>3005</v>
      </c>
      <c r="E1400" s="8" t="s">
        <v>481</v>
      </c>
      <c r="F1400" s="8" t="s">
        <v>65</v>
      </c>
      <c r="G1400" s="1">
        <v>1</v>
      </c>
      <c r="H1400" s="1"/>
      <c r="I1400" s="1">
        <f>1820-28</f>
        <v>1792</v>
      </c>
      <c r="J1400" t="s">
        <v>10</v>
      </c>
      <c r="K1400" t="s">
        <v>12</v>
      </c>
      <c r="Q1400">
        <v>5</v>
      </c>
      <c r="R1400">
        <v>6</v>
      </c>
      <c r="T1400" s="5">
        <f t="shared" si="67"/>
        <v>173.78</v>
      </c>
      <c r="U1400" t="s">
        <v>3006</v>
      </c>
      <c r="AS1400" s="6">
        <v>1</v>
      </c>
      <c r="AT1400" s="6">
        <v>1</v>
      </c>
      <c r="AU1400" s="6">
        <v>1</v>
      </c>
      <c r="AV1400" s="6">
        <v>1</v>
      </c>
      <c r="AW1400" s="6">
        <v>1</v>
      </c>
      <c r="AX1400" s="6">
        <v>1</v>
      </c>
      <c r="AY1400" s="6">
        <v>1</v>
      </c>
      <c r="AZ1400" s="6">
        <v>1</v>
      </c>
      <c r="BA1400" s="6">
        <v>1</v>
      </c>
      <c r="BB1400" s="6">
        <v>1</v>
      </c>
      <c r="BC1400">
        <v>1820</v>
      </c>
      <c r="BD1400" t="s">
        <v>81</v>
      </c>
      <c r="BE1400" t="s">
        <v>1904</v>
      </c>
      <c r="BF1400" s="1" t="s">
        <v>73</v>
      </c>
      <c r="BG1400" s="1">
        <v>4</v>
      </c>
      <c r="BH1400">
        <v>2</v>
      </c>
      <c r="BK1400" s="1">
        <v>1</v>
      </c>
      <c r="BQ1400">
        <v>1</v>
      </c>
      <c r="CL1400">
        <v>1</v>
      </c>
      <c r="CQ1400">
        <v>1</v>
      </c>
      <c r="CS1400" t="s">
        <v>2961</v>
      </c>
    </row>
    <row r="1401" spans="1:98">
      <c r="B1401" t="s">
        <v>1876</v>
      </c>
      <c r="C1401" s="8" t="s">
        <v>1877</v>
      </c>
      <c r="D1401" s="8"/>
      <c r="E1401" s="8" t="s">
        <v>1865</v>
      </c>
      <c r="F1401" s="8" t="s">
        <v>247</v>
      </c>
      <c r="G1401" s="1">
        <v>1</v>
      </c>
      <c r="H1401" s="1"/>
      <c r="I1401" s="1">
        <f>1819-30</f>
        <v>1789</v>
      </c>
      <c r="J1401" t="s">
        <v>10</v>
      </c>
      <c r="K1401" t="s">
        <v>12</v>
      </c>
      <c r="Q1401">
        <v>5</v>
      </c>
      <c r="R1401">
        <v>1</v>
      </c>
      <c r="S1401">
        <v>2</v>
      </c>
      <c r="T1401" s="5">
        <f t="shared" si="67"/>
        <v>161.07</v>
      </c>
      <c r="U1401" t="s">
        <v>1878</v>
      </c>
      <c r="AT1401" s="6">
        <v>1</v>
      </c>
      <c r="AU1401" s="6">
        <v>1</v>
      </c>
      <c r="AV1401" s="6">
        <v>1</v>
      </c>
      <c r="AW1401" s="6">
        <v>1</v>
      </c>
      <c r="AX1401" s="6">
        <v>1</v>
      </c>
      <c r="AY1401" s="6">
        <v>1</v>
      </c>
      <c r="AZ1401" s="6">
        <v>1</v>
      </c>
      <c r="BA1401" s="6">
        <v>1</v>
      </c>
      <c r="BB1401" s="6">
        <v>1</v>
      </c>
      <c r="BC1401">
        <v>1820</v>
      </c>
      <c r="BD1401" t="s">
        <v>81</v>
      </c>
      <c r="BE1401" t="s">
        <v>1854</v>
      </c>
      <c r="BF1401" s="1" t="s">
        <v>73</v>
      </c>
      <c r="BG1401" s="1">
        <v>3</v>
      </c>
      <c r="BH1401">
        <v>1</v>
      </c>
      <c r="BK1401" s="1"/>
      <c r="BO1401">
        <v>1</v>
      </c>
      <c r="BQ1401">
        <v>1</v>
      </c>
      <c r="CI1401">
        <v>1</v>
      </c>
      <c r="CS1401" t="s">
        <v>1879</v>
      </c>
    </row>
    <row r="1402" spans="1:98">
      <c r="B1402" t="s">
        <v>2449</v>
      </c>
      <c r="C1402" s="2" t="s">
        <v>2902</v>
      </c>
      <c r="D1402" s="2" t="s">
        <v>2902</v>
      </c>
      <c r="E1402" s="8" t="s">
        <v>238</v>
      </c>
      <c r="F1402" s="8" t="s">
        <v>65</v>
      </c>
      <c r="G1402" s="1">
        <v>1</v>
      </c>
      <c r="H1402" s="1"/>
      <c r="I1402" s="1">
        <f>1812-36</f>
        <v>1776</v>
      </c>
      <c r="J1402" t="s">
        <v>69</v>
      </c>
      <c r="K1402" t="s">
        <v>12</v>
      </c>
      <c r="T1402" s="5"/>
      <c r="U1402" s="9" t="s">
        <v>2448</v>
      </c>
      <c r="AT1402" s="7">
        <v>1</v>
      </c>
      <c r="BC1402" t="s">
        <v>1908</v>
      </c>
      <c r="BD1402" s="7" t="s">
        <v>280</v>
      </c>
      <c r="BE1402" t="s">
        <v>70</v>
      </c>
      <c r="BF1402" s="1" t="s">
        <v>29</v>
      </c>
      <c r="BG1402" s="1">
        <v>1</v>
      </c>
      <c r="BH1402">
        <v>1</v>
      </c>
      <c r="BK1402" s="1" t="s">
        <v>72</v>
      </c>
      <c r="BZ1402">
        <v>1</v>
      </c>
      <c r="CN1402">
        <v>1</v>
      </c>
      <c r="CS1402" s="7" t="s">
        <v>1909</v>
      </c>
    </row>
    <row r="1403" spans="1:98">
      <c r="B1403" t="s">
        <v>1906</v>
      </c>
      <c r="C1403" s="2" t="s">
        <v>1907</v>
      </c>
      <c r="D1403" s="2" t="s">
        <v>1907</v>
      </c>
      <c r="E1403" s="8" t="s">
        <v>238</v>
      </c>
      <c r="F1403" s="8" t="s">
        <v>65</v>
      </c>
      <c r="G1403" s="1">
        <v>1</v>
      </c>
      <c r="H1403" s="1"/>
      <c r="I1403" s="1">
        <f>1812-22</f>
        <v>1790</v>
      </c>
      <c r="J1403" t="s">
        <v>10</v>
      </c>
      <c r="K1403" t="s">
        <v>12</v>
      </c>
      <c r="T1403" s="5"/>
      <c r="U1403" s="9" t="s">
        <v>1905</v>
      </c>
      <c r="AT1403" s="7">
        <v>1</v>
      </c>
      <c r="BC1403" t="s">
        <v>1908</v>
      </c>
      <c r="BD1403" s="7" t="s">
        <v>280</v>
      </c>
      <c r="BE1403" t="s">
        <v>70</v>
      </c>
      <c r="BF1403" s="1" t="s">
        <v>29</v>
      </c>
      <c r="BG1403" s="1">
        <v>1</v>
      </c>
      <c r="BH1403">
        <v>1</v>
      </c>
      <c r="BK1403" s="1" t="s">
        <v>72</v>
      </c>
      <c r="BZ1403">
        <v>1</v>
      </c>
      <c r="CN1403">
        <v>1</v>
      </c>
      <c r="CS1403" s="7" t="s">
        <v>1909</v>
      </c>
    </row>
    <row r="1404" spans="1:98">
      <c r="B1404" t="s">
        <v>386</v>
      </c>
      <c r="C1404" s="8" t="s">
        <v>387</v>
      </c>
      <c r="E1404" s="8" t="s">
        <v>4085</v>
      </c>
      <c r="F1404" s="8" t="s">
        <v>247</v>
      </c>
      <c r="G1404" s="1">
        <v>1</v>
      </c>
      <c r="H1404" s="1"/>
      <c r="I1404" s="1">
        <f>1817-26</f>
        <v>1791</v>
      </c>
      <c r="J1404" t="s">
        <v>10</v>
      </c>
      <c r="K1404" t="s">
        <v>12</v>
      </c>
      <c r="Q1404">
        <v>5</v>
      </c>
      <c r="R1404">
        <v>3</v>
      </c>
      <c r="S1404">
        <v>1</v>
      </c>
      <c r="T1404" s="5">
        <f t="shared" si="67"/>
        <v>166.11</v>
      </c>
      <c r="U1404" t="s">
        <v>385</v>
      </c>
      <c r="AT1404" s="6">
        <v>1</v>
      </c>
      <c r="AU1404" s="6">
        <v>1</v>
      </c>
      <c r="AV1404" s="6">
        <v>1</v>
      </c>
      <c r="AW1404" s="6">
        <v>1</v>
      </c>
      <c r="AX1404" s="6">
        <v>1</v>
      </c>
      <c r="AY1404" s="6">
        <v>1</v>
      </c>
      <c r="BC1404">
        <v>1817</v>
      </c>
      <c r="BD1404" t="s">
        <v>81</v>
      </c>
      <c r="BE1404" t="s">
        <v>389</v>
      </c>
      <c r="BF1404" s="1" t="s">
        <v>73</v>
      </c>
      <c r="BG1404" s="1">
        <v>1</v>
      </c>
      <c r="BH1404">
        <v>1</v>
      </c>
      <c r="BK1404" s="1" t="s">
        <v>72</v>
      </c>
      <c r="BW1404">
        <v>1</v>
      </c>
      <c r="CQ1404">
        <v>1</v>
      </c>
      <c r="CS1404" t="s">
        <v>390</v>
      </c>
    </row>
    <row r="1405" spans="1:98">
      <c r="B1405" t="s">
        <v>3512</v>
      </c>
      <c r="C1405" s="2" t="s">
        <v>1305</v>
      </c>
      <c r="D1405" s="3" t="s">
        <v>3001</v>
      </c>
      <c r="E1405" s="8" t="s">
        <v>1306</v>
      </c>
      <c r="F1405" s="8" t="s">
        <v>65</v>
      </c>
      <c r="G1405" s="1">
        <v>1</v>
      </c>
      <c r="H1405" s="1"/>
      <c r="I1405" s="1">
        <f>1812-22</f>
        <v>1790</v>
      </c>
      <c r="J1405" t="s">
        <v>10</v>
      </c>
      <c r="K1405" t="s">
        <v>12</v>
      </c>
      <c r="T1405" s="5"/>
      <c r="U1405" t="s">
        <v>3513</v>
      </c>
      <c r="AT1405" s="6">
        <v>1</v>
      </c>
      <c r="AU1405" s="7">
        <v>1</v>
      </c>
      <c r="BC1405" t="s">
        <v>2507</v>
      </c>
      <c r="BD1405" s="7" t="s">
        <v>109</v>
      </c>
      <c r="BE1405" t="s">
        <v>70</v>
      </c>
      <c r="BF1405" s="1" t="s">
        <v>29</v>
      </c>
      <c r="BG1405" s="1">
        <v>3</v>
      </c>
      <c r="BH1405">
        <v>1</v>
      </c>
      <c r="BK1405" s="1" t="s">
        <v>72</v>
      </c>
      <c r="BZ1405">
        <v>1</v>
      </c>
      <c r="CS1405" s="7" t="s">
        <v>1593</v>
      </c>
      <c r="CT1405" t="s">
        <v>2400</v>
      </c>
    </row>
    <row r="1406" spans="1:98">
      <c r="B1406" t="s">
        <v>391</v>
      </c>
      <c r="C1406" s="8" t="s">
        <v>392</v>
      </c>
      <c r="E1406" s="8" t="s">
        <v>393</v>
      </c>
      <c r="F1406" s="8" t="s">
        <v>247</v>
      </c>
      <c r="G1406" s="1">
        <v>1</v>
      </c>
      <c r="H1406" s="1"/>
      <c r="I1406" s="1">
        <f>1817-29</f>
        <v>1788</v>
      </c>
      <c r="J1406" t="s">
        <v>10</v>
      </c>
      <c r="K1406" t="s">
        <v>12</v>
      </c>
      <c r="Q1406">
        <v>5</v>
      </c>
      <c r="R1406">
        <v>3</v>
      </c>
      <c r="S1406">
        <v>1</v>
      </c>
      <c r="T1406" s="5">
        <f t="shared" si="67"/>
        <v>166.11</v>
      </c>
      <c r="U1406" t="s">
        <v>394</v>
      </c>
      <c r="AT1406" s="6">
        <v>1</v>
      </c>
      <c r="AU1406" s="6">
        <v>1</v>
      </c>
      <c r="AV1406" s="6">
        <v>1</v>
      </c>
      <c r="AW1406" s="6">
        <v>1</v>
      </c>
      <c r="AX1406" s="6">
        <v>1</v>
      </c>
      <c r="AY1406" s="6">
        <v>1</v>
      </c>
      <c r="BC1406">
        <v>1817</v>
      </c>
      <c r="BD1406" t="s">
        <v>81</v>
      </c>
      <c r="BE1406" t="s">
        <v>389</v>
      </c>
      <c r="BF1406" s="1" t="s">
        <v>73</v>
      </c>
      <c r="BG1406" s="1">
        <v>1</v>
      </c>
      <c r="BH1406">
        <v>1</v>
      </c>
      <c r="BK1406" s="1" t="s">
        <v>72</v>
      </c>
      <c r="BW1406">
        <v>1</v>
      </c>
      <c r="CQ1406">
        <v>1</v>
      </c>
      <c r="CS1406" t="s">
        <v>390</v>
      </c>
    </row>
    <row r="1407" spans="1:98">
      <c r="B1407" t="s">
        <v>2692</v>
      </c>
      <c r="C1407" s="2" t="s">
        <v>1069</v>
      </c>
      <c r="E1407" s="8" t="s">
        <v>1117</v>
      </c>
      <c r="F1407" s="8" t="s">
        <v>247</v>
      </c>
      <c r="G1407" s="1">
        <v>1</v>
      </c>
      <c r="H1407" s="1"/>
      <c r="I1407" s="1">
        <f>1814-20</f>
        <v>1794</v>
      </c>
      <c r="J1407" t="s">
        <v>10</v>
      </c>
      <c r="K1407" t="s">
        <v>12</v>
      </c>
      <c r="Q1407">
        <v>5</v>
      </c>
      <c r="R1407">
        <v>4</v>
      </c>
      <c r="S1407">
        <v>1</v>
      </c>
      <c r="T1407" s="5">
        <f t="shared" si="67"/>
        <v>168.74</v>
      </c>
      <c r="U1407" t="s">
        <v>2693</v>
      </c>
      <c r="AT1407" s="6">
        <v>1</v>
      </c>
      <c r="AU1407" s="6">
        <v>1</v>
      </c>
      <c r="AV1407" s="6">
        <v>1</v>
      </c>
      <c r="AW1407" s="6">
        <v>1</v>
      </c>
      <c r="BC1407">
        <v>1815</v>
      </c>
      <c r="BD1407" t="s">
        <v>81</v>
      </c>
      <c r="BE1407" s="10" t="s">
        <v>999</v>
      </c>
      <c r="BF1407" s="1" t="s">
        <v>29</v>
      </c>
      <c r="BG1407" s="1">
        <v>2</v>
      </c>
      <c r="BH1407">
        <v>4</v>
      </c>
      <c r="BI1407">
        <v>1</v>
      </c>
      <c r="BJ1407">
        <v>1</v>
      </c>
      <c r="BK1407" s="1">
        <v>1</v>
      </c>
      <c r="BQ1407">
        <v>1</v>
      </c>
      <c r="CC1407">
        <v>1</v>
      </c>
      <c r="CL1407" s="10">
        <v>1</v>
      </c>
      <c r="CS1407" s="10" t="s">
        <v>2694</v>
      </c>
    </row>
    <row r="1408" spans="1:98">
      <c r="B1408" t="s">
        <v>3656</v>
      </c>
      <c r="C1408" s="2" t="s">
        <v>3666</v>
      </c>
      <c r="D1408" s="2" t="s">
        <v>3666</v>
      </c>
      <c r="E1408" s="8" t="s">
        <v>1084</v>
      </c>
      <c r="F1408" s="8" t="s">
        <v>65</v>
      </c>
      <c r="G1408" s="1">
        <v>1</v>
      </c>
      <c r="H1408" s="1"/>
      <c r="I1408" s="1">
        <f>1812-22</f>
        <v>1790</v>
      </c>
      <c r="J1408" t="s">
        <v>10</v>
      </c>
      <c r="K1408" t="s">
        <v>12</v>
      </c>
      <c r="Q1408">
        <v>5</v>
      </c>
      <c r="R1408">
        <v>3</v>
      </c>
      <c r="S1408">
        <v>1</v>
      </c>
      <c r="T1408" s="5">
        <f>((Q1408*316)+(R1408*26.3)+(S1408*2.2))/10</f>
        <v>166.11</v>
      </c>
      <c r="U1408" t="s">
        <v>3659</v>
      </c>
      <c r="AT1408" s="14">
        <v>1</v>
      </c>
      <c r="BC1408" s="9" t="s">
        <v>3663</v>
      </c>
      <c r="BD1408" s="14" t="s">
        <v>338</v>
      </c>
      <c r="BE1408" t="s">
        <v>2407</v>
      </c>
      <c r="BF1408" s="1" t="s">
        <v>339</v>
      </c>
      <c r="BG1408" s="1">
        <v>1</v>
      </c>
      <c r="BH1408">
        <v>1</v>
      </c>
      <c r="BK1408" s="1">
        <v>1</v>
      </c>
      <c r="BL1408">
        <v>1</v>
      </c>
      <c r="BQ1408">
        <v>1</v>
      </c>
      <c r="CS1408" s="14" t="s">
        <v>3326</v>
      </c>
    </row>
    <row r="1409" spans="2:97">
      <c r="B1409" t="s">
        <v>3657</v>
      </c>
      <c r="C1409" s="2" t="s">
        <v>1083</v>
      </c>
      <c r="D1409" s="26" t="s">
        <v>192</v>
      </c>
      <c r="E1409" s="8" t="s">
        <v>1084</v>
      </c>
      <c r="F1409" s="8" t="s">
        <v>65</v>
      </c>
      <c r="G1409" s="1">
        <v>1</v>
      </c>
      <c r="H1409" s="1"/>
      <c r="I1409" s="1">
        <f>1812-30</f>
        <v>1782</v>
      </c>
      <c r="J1409" t="s">
        <v>10</v>
      </c>
      <c r="K1409" t="s">
        <v>12</v>
      </c>
      <c r="Q1409">
        <v>5</v>
      </c>
      <c r="R1409">
        <v>2</v>
      </c>
      <c r="T1409" s="5">
        <f>((Q1409*316)+(R1409*26.3)+(S1409*2.2))/10</f>
        <v>163.26</v>
      </c>
      <c r="U1409" t="s">
        <v>3660</v>
      </c>
      <c r="AT1409" s="14">
        <v>1</v>
      </c>
      <c r="BC1409" s="9" t="s">
        <v>3663</v>
      </c>
      <c r="BD1409" s="14" t="s">
        <v>338</v>
      </c>
      <c r="BE1409" t="s">
        <v>2407</v>
      </c>
      <c r="BF1409" s="1" t="s">
        <v>339</v>
      </c>
      <c r="BG1409" s="1">
        <v>1</v>
      </c>
      <c r="BH1409">
        <v>1</v>
      </c>
      <c r="BK1409" s="1">
        <v>1</v>
      </c>
      <c r="BL1409">
        <v>1</v>
      </c>
      <c r="BQ1409">
        <v>1</v>
      </c>
      <c r="CS1409" s="14" t="s">
        <v>3326</v>
      </c>
    </row>
    <row r="1410" spans="2:97">
      <c r="B1410" t="s">
        <v>3658</v>
      </c>
      <c r="C1410" s="2" t="s">
        <v>1083</v>
      </c>
      <c r="D1410" s="26" t="s">
        <v>192</v>
      </c>
      <c r="E1410" s="8" t="s">
        <v>1084</v>
      </c>
      <c r="F1410" s="8" t="s">
        <v>65</v>
      </c>
      <c r="G1410" s="1">
        <v>1</v>
      </c>
      <c r="H1410" s="1"/>
      <c r="I1410" s="1">
        <f>1812-39</f>
        <v>1773</v>
      </c>
      <c r="J1410" t="s">
        <v>69</v>
      </c>
      <c r="K1410" t="s">
        <v>197</v>
      </c>
      <c r="Q1410">
        <v>5</v>
      </c>
      <c r="R1410">
        <v>6</v>
      </c>
      <c r="T1410" s="5">
        <f>((Q1410*316)+(R1410*26.3)+(S1410*2.2))/10</f>
        <v>173.78</v>
      </c>
      <c r="U1410" t="s">
        <v>3660</v>
      </c>
      <c r="AT1410" s="14">
        <v>1</v>
      </c>
      <c r="BC1410" s="9" t="s">
        <v>3663</v>
      </c>
      <c r="BD1410" s="14" t="s">
        <v>338</v>
      </c>
      <c r="BE1410" t="s">
        <v>2407</v>
      </c>
      <c r="BF1410" s="1" t="s">
        <v>339</v>
      </c>
      <c r="BG1410" s="1">
        <v>1</v>
      </c>
      <c r="BH1410">
        <v>1</v>
      </c>
      <c r="BK1410" s="1">
        <v>1</v>
      </c>
      <c r="BL1410">
        <v>1</v>
      </c>
      <c r="BQ1410">
        <v>1</v>
      </c>
      <c r="CS1410" s="14" t="s">
        <v>3326</v>
      </c>
    </row>
    <row r="1411" spans="2:97">
      <c r="B1411" t="s">
        <v>453</v>
      </c>
      <c r="C1411" s="2" t="s">
        <v>3667</v>
      </c>
      <c r="D1411" s="2" t="s">
        <v>3667</v>
      </c>
      <c r="F1411" s="8" t="s">
        <v>218</v>
      </c>
      <c r="G1411" s="1">
        <v>1</v>
      </c>
      <c r="H1411" s="1"/>
      <c r="I1411" s="1">
        <f>1812-24</f>
        <v>1788</v>
      </c>
      <c r="J1411" t="s">
        <v>10</v>
      </c>
      <c r="K1411" t="s">
        <v>12</v>
      </c>
      <c r="Q1411">
        <v>5</v>
      </c>
      <c r="R1411">
        <v>5</v>
      </c>
      <c r="S1411">
        <v>2</v>
      </c>
      <c r="T1411" s="5">
        <f>((Q1411*316)+(R1411*26.3)+(S1411*2.2))/10</f>
        <v>171.59</v>
      </c>
      <c r="U1411" t="s">
        <v>3661</v>
      </c>
      <c r="AT1411" s="14">
        <v>1</v>
      </c>
      <c r="BC1411" s="9" t="s">
        <v>3663</v>
      </c>
      <c r="BD1411" s="14" t="s">
        <v>338</v>
      </c>
      <c r="BE1411" t="s">
        <v>2407</v>
      </c>
      <c r="BF1411" s="1" t="s">
        <v>339</v>
      </c>
      <c r="BG1411" s="1">
        <v>1</v>
      </c>
      <c r="BH1411">
        <v>1</v>
      </c>
      <c r="BK1411" s="1">
        <v>1</v>
      </c>
      <c r="BL1411">
        <v>1</v>
      </c>
      <c r="BQ1411">
        <v>1</v>
      </c>
      <c r="CS1411" s="14" t="s">
        <v>3326</v>
      </c>
    </row>
    <row r="1412" spans="2:97">
      <c r="B1412" t="s">
        <v>3618</v>
      </c>
      <c r="C1412" s="2" t="s">
        <v>3617</v>
      </c>
      <c r="D1412" s="2" t="s">
        <v>3617</v>
      </c>
      <c r="E1412" s="8" t="s">
        <v>627</v>
      </c>
      <c r="F1412" s="8" t="s">
        <v>357</v>
      </c>
      <c r="G1412" s="1">
        <v>1</v>
      </c>
      <c r="H1412" s="1"/>
      <c r="I1412" s="1">
        <f>1812-20</f>
        <v>1792</v>
      </c>
      <c r="J1412" t="s">
        <v>10</v>
      </c>
      <c r="K1412" t="s">
        <v>12</v>
      </c>
      <c r="Q1412">
        <v>5</v>
      </c>
      <c r="R1412">
        <v>4</v>
      </c>
      <c r="T1412" s="5">
        <f t="shared" si="67"/>
        <v>168.52</v>
      </c>
      <c r="U1412" t="s">
        <v>3616</v>
      </c>
      <c r="AT1412" s="14">
        <v>1</v>
      </c>
      <c r="AU1412" s="6">
        <v>1</v>
      </c>
      <c r="AV1412" s="6">
        <v>1</v>
      </c>
      <c r="AW1412" s="7">
        <v>1</v>
      </c>
      <c r="BC1412" t="s">
        <v>3619</v>
      </c>
      <c r="BD1412" s="7" t="s">
        <v>103</v>
      </c>
      <c r="BE1412" t="s">
        <v>2407</v>
      </c>
      <c r="BF1412" s="1" t="s">
        <v>29</v>
      </c>
      <c r="BG1412" s="1">
        <v>3</v>
      </c>
      <c r="BH1412">
        <v>2</v>
      </c>
      <c r="BI1412">
        <v>1</v>
      </c>
      <c r="BJ1412">
        <v>1</v>
      </c>
      <c r="BK1412" s="1">
        <v>1</v>
      </c>
      <c r="BL1412">
        <v>1</v>
      </c>
      <c r="BQ1412">
        <v>1</v>
      </c>
      <c r="CL1412">
        <v>1</v>
      </c>
      <c r="CS1412" s="7" t="s">
        <v>2172</v>
      </c>
    </row>
    <row r="1413" spans="2:97">
      <c r="B1413" t="s">
        <v>3672</v>
      </c>
      <c r="C1413" s="2" t="s">
        <v>626</v>
      </c>
      <c r="D1413" s="2"/>
      <c r="E1413" s="8" t="s">
        <v>627</v>
      </c>
      <c r="F1413" s="8" t="s">
        <v>357</v>
      </c>
      <c r="G1413" s="1">
        <v>1</v>
      </c>
      <c r="H1413" s="1"/>
      <c r="I1413" s="1">
        <f>1812-20</f>
        <v>1792</v>
      </c>
      <c r="J1413" t="s">
        <v>10</v>
      </c>
      <c r="K1413" t="s">
        <v>12</v>
      </c>
      <c r="Q1413">
        <v>5</v>
      </c>
      <c r="R1413">
        <v>4</v>
      </c>
      <c r="T1413" s="5">
        <f t="shared" si="67"/>
        <v>168.52</v>
      </c>
      <c r="U1413" t="s">
        <v>3750</v>
      </c>
      <c r="AT1413" s="14">
        <v>1</v>
      </c>
      <c r="AU1413" s="6">
        <v>1</v>
      </c>
      <c r="AV1413" s="6">
        <v>1</v>
      </c>
      <c r="AW1413" s="6">
        <v>1</v>
      </c>
      <c r="AX1413" s="6">
        <v>1</v>
      </c>
      <c r="AY1413" s="7">
        <v>1</v>
      </c>
      <c r="BC1413" t="s">
        <v>2419</v>
      </c>
      <c r="BD1413" s="7" t="s">
        <v>109</v>
      </c>
      <c r="BE1413" t="s">
        <v>2407</v>
      </c>
      <c r="BF1413" s="1" t="s">
        <v>29</v>
      </c>
      <c r="BG1413" s="1">
        <v>7</v>
      </c>
      <c r="BH1413">
        <v>2</v>
      </c>
      <c r="BI1413">
        <v>1</v>
      </c>
      <c r="BK1413" s="1">
        <v>1</v>
      </c>
      <c r="BL1413">
        <v>1</v>
      </c>
      <c r="BQ1413">
        <v>1</v>
      </c>
      <c r="CL1413">
        <v>1</v>
      </c>
      <c r="CS1413" s="7" t="s">
        <v>1593</v>
      </c>
    </row>
    <row r="1414" spans="2:97">
      <c r="B1414" t="s">
        <v>2695</v>
      </c>
      <c r="C1414" s="2" t="s">
        <v>1616</v>
      </c>
      <c r="F1414" s="8" t="s">
        <v>65</v>
      </c>
      <c r="G1414" s="1">
        <v>1</v>
      </c>
      <c r="H1414" s="1"/>
      <c r="I1414" s="1">
        <f>1814-26</f>
        <v>1788</v>
      </c>
      <c r="J1414" t="s">
        <v>10</v>
      </c>
      <c r="K1414" t="s">
        <v>1736</v>
      </c>
      <c r="Q1414">
        <v>5</v>
      </c>
      <c r="R1414">
        <v>2</v>
      </c>
      <c r="S1414">
        <v>2</v>
      </c>
      <c r="T1414" s="5">
        <f t="shared" si="67"/>
        <v>163.69999999999999</v>
      </c>
      <c r="U1414" t="s">
        <v>2696</v>
      </c>
      <c r="AU1414" s="6">
        <v>1</v>
      </c>
      <c r="AV1414" s="6">
        <v>1</v>
      </c>
      <c r="AW1414" s="6">
        <v>1</v>
      </c>
      <c r="BC1414">
        <v>1815</v>
      </c>
      <c r="BD1414" t="s">
        <v>81</v>
      </c>
      <c r="BE1414" s="10" t="s">
        <v>999</v>
      </c>
      <c r="BF1414" s="1" t="s">
        <v>29</v>
      </c>
      <c r="BG1414" s="1">
        <v>2</v>
      </c>
      <c r="BH1414">
        <v>3</v>
      </c>
      <c r="BI1414">
        <v>1</v>
      </c>
      <c r="BJ1414">
        <v>1</v>
      </c>
      <c r="BK1414" s="1">
        <v>1</v>
      </c>
      <c r="BQ1414">
        <v>1</v>
      </c>
      <c r="CC1414">
        <v>1</v>
      </c>
      <c r="CL1414" s="10">
        <v>1</v>
      </c>
      <c r="CS1414" s="10" t="s">
        <v>2697</v>
      </c>
    </row>
    <row r="1415" spans="2:97">
      <c r="B1415" t="s">
        <v>3664</v>
      </c>
      <c r="C1415" s="2" t="s">
        <v>1083</v>
      </c>
      <c r="D1415" s="26" t="s">
        <v>192</v>
      </c>
      <c r="E1415" s="8" t="s">
        <v>1084</v>
      </c>
      <c r="F1415" s="8" t="s">
        <v>65</v>
      </c>
      <c r="G1415" s="1">
        <v>1</v>
      </c>
      <c r="H1415" s="1"/>
      <c r="I1415" s="1">
        <f>1813-20</f>
        <v>1793</v>
      </c>
      <c r="J1415" t="s">
        <v>69</v>
      </c>
      <c r="K1415" t="s">
        <v>12</v>
      </c>
      <c r="Q1415">
        <v>5</v>
      </c>
      <c r="R1415">
        <v>3</v>
      </c>
      <c r="S1415">
        <v>1</v>
      </c>
      <c r="T1415" s="5">
        <f>((Q1415*316)+(R1415*26.3)+(S1415*2.2))/10</f>
        <v>166.11</v>
      </c>
      <c r="U1415" t="s">
        <v>3665</v>
      </c>
      <c r="AU1415" s="14">
        <v>1</v>
      </c>
      <c r="BC1415" s="9" t="s">
        <v>3662</v>
      </c>
      <c r="BD1415" s="14" t="s">
        <v>338</v>
      </c>
      <c r="BE1415" t="s">
        <v>2407</v>
      </c>
      <c r="BF1415" s="1" t="s">
        <v>339</v>
      </c>
      <c r="BG1415" s="1">
        <v>1</v>
      </c>
      <c r="BH1415">
        <v>1</v>
      </c>
      <c r="BK1415" s="1">
        <v>1</v>
      </c>
      <c r="BL1415">
        <v>1</v>
      </c>
      <c r="BQ1415">
        <v>1</v>
      </c>
      <c r="CS1415" s="14" t="s">
        <v>3326</v>
      </c>
    </row>
    <row r="1416" spans="2:97">
      <c r="B1416" t="s">
        <v>2488</v>
      </c>
      <c r="C1416" s="2" t="s">
        <v>2489</v>
      </c>
      <c r="D1416" s="2" t="s">
        <v>2489</v>
      </c>
      <c r="E1416" s="8" t="s">
        <v>1630</v>
      </c>
      <c r="F1416" s="8" t="s">
        <v>65</v>
      </c>
      <c r="G1416" s="1">
        <v>1</v>
      </c>
      <c r="H1416" s="1"/>
      <c r="I1416" s="1">
        <f>1820-26</f>
        <v>1794</v>
      </c>
      <c r="J1416" t="s">
        <v>69</v>
      </c>
      <c r="K1416" t="s">
        <v>12</v>
      </c>
      <c r="N1416">
        <v>1</v>
      </c>
      <c r="Q1416">
        <v>5</v>
      </c>
      <c r="R1416">
        <v>3</v>
      </c>
      <c r="S1416">
        <v>2</v>
      </c>
      <c r="T1416" s="5">
        <f t="shared" si="67"/>
        <v>166.33</v>
      </c>
      <c r="U1416" t="s">
        <v>2490</v>
      </c>
      <c r="AT1416" s="14"/>
      <c r="AU1416" s="6">
        <v>1</v>
      </c>
      <c r="AV1416" s="6">
        <v>1</v>
      </c>
      <c r="AW1416" s="6">
        <v>1</v>
      </c>
      <c r="AX1416" s="6">
        <v>1</v>
      </c>
      <c r="AY1416" s="6">
        <v>1</v>
      </c>
      <c r="AZ1416" s="6">
        <v>1</v>
      </c>
      <c r="BA1416" s="6">
        <v>1</v>
      </c>
      <c r="BB1416" s="6">
        <v>1</v>
      </c>
      <c r="BC1416">
        <v>1820</v>
      </c>
      <c r="BD1416" t="s">
        <v>81</v>
      </c>
      <c r="BE1416" t="s">
        <v>62</v>
      </c>
      <c r="BF1416" s="1" t="s">
        <v>73</v>
      </c>
      <c r="BG1416" s="1">
        <v>3</v>
      </c>
      <c r="BH1416">
        <v>1</v>
      </c>
      <c r="BK1416" s="1">
        <v>1</v>
      </c>
      <c r="BL1416">
        <v>1</v>
      </c>
      <c r="BQ1416">
        <v>1</v>
      </c>
      <c r="CF1416">
        <v>1</v>
      </c>
      <c r="CQ1416">
        <v>1</v>
      </c>
      <c r="CS1416" t="s">
        <v>2483</v>
      </c>
    </row>
    <row r="1417" spans="2:97">
      <c r="B1417" t="s">
        <v>2505</v>
      </c>
      <c r="C1417" s="2" t="s">
        <v>2506</v>
      </c>
      <c r="D1417" s="2"/>
      <c r="E1417" s="8" t="s">
        <v>1630</v>
      </c>
      <c r="F1417" s="8" t="s">
        <v>65</v>
      </c>
      <c r="G1417" s="1">
        <v>1</v>
      </c>
      <c r="H1417" s="1"/>
      <c r="I1417" s="1">
        <f>1820-31</f>
        <v>1789</v>
      </c>
      <c r="J1417" t="s">
        <v>10</v>
      </c>
      <c r="K1417" t="s">
        <v>12</v>
      </c>
      <c r="Q1417">
        <v>5</v>
      </c>
      <c r="R1417">
        <v>2</v>
      </c>
      <c r="S1417">
        <v>1</v>
      </c>
      <c r="T1417" s="5">
        <f t="shared" si="67"/>
        <v>163.47999999999999</v>
      </c>
      <c r="U1417" t="s">
        <v>2507</v>
      </c>
      <c r="AT1417" s="14"/>
      <c r="AU1417" s="6">
        <v>1</v>
      </c>
      <c r="AV1417" s="6">
        <v>1</v>
      </c>
      <c r="AW1417" s="6">
        <v>1</v>
      </c>
      <c r="AX1417" s="6">
        <v>1</v>
      </c>
      <c r="AY1417" s="6">
        <v>1</v>
      </c>
      <c r="AZ1417" s="6">
        <v>1</v>
      </c>
      <c r="BA1417" s="6">
        <v>1</v>
      </c>
      <c r="BB1417" s="6">
        <v>1</v>
      </c>
      <c r="BC1417">
        <v>1820</v>
      </c>
      <c r="BD1417" t="s">
        <v>81</v>
      </c>
      <c r="BE1417" t="s">
        <v>62</v>
      </c>
      <c r="BF1417" s="1" t="s">
        <v>73</v>
      </c>
      <c r="BG1417" s="1">
        <v>3</v>
      </c>
      <c r="BH1417">
        <v>1</v>
      </c>
      <c r="BK1417" s="1">
        <v>1</v>
      </c>
      <c r="BL1417">
        <v>1</v>
      </c>
      <c r="BQ1417">
        <v>1</v>
      </c>
      <c r="CF1417">
        <v>1</v>
      </c>
      <c r="CQ1417">
        <v>1</v>
      </c>
      <c r="CS1417" t="s">
        <v>2483</v>
      </c>
    </row>
    <row r="1418" spans="2:97">
      <c r="B1418" t="s">
        <v>3354</v>
      </c>
      <c r="C1418" s="2" t="s">
        <v>3353</v>
      </c>
      <c r="D1418" s="2" t="s">
        <v>3353</v>
      </c>
      <c r="E1418" s="8" t="s">
        <v>869</v>
      </c>
      <c r="F1418" s="8" t="s">
        <v>65</v>
      </c>
      <c r="G1418" s="1">
        <v>1</v>
      </c>
      <c r="H1418" s="1"/>
      <c r="I1418" s="1">
        <f>1813-26</f>
        <v>1787</v>
      </c>
      <c r="J1418" t="s">
        <v>69</v>
      </c>
      <c r="K1418" t="s">
        <v>12</v>
      </c>
      <c r="Q1418">
        <v>5</v>
      </c>
      <c r="R1418">
        <v>6</v>
      </c>
      <c r="T1418" s="5">
        <f t="shared" si="67"/>
        <v>173.78</v>
      </c>
      <c r="U1418" t="s">
        <v>3352</v>
      </c>
      <c r="AT1418" s="14"/>
      <c r="AU1418" s="7">
        <v>1</v>
      </c>
      <c r="BC1418" t="s">
        <v>3355</v>
      </c>
      <c r="BD1418" s="7" t="s">
        <v>280</v>
      </c>
      <c r="BE1418" t="s">
        <v>3356</v>
      </c>
      <c r="BF1418" s="1" t="s">
        <v>29</v>
      </c>
      <c r="BG1418" s="1">
        <v>1</v>
      </c>
      <c r="BH1418">
        <v>1</v>
      </c>
      <c r="BK1418" s="1">
        <v>1</v>
      </c>
      <c r="BL1418">
        <v>1</v>
      </c>
      <c r="BQ1418">
        <v>1</v>
      </c>
      <c r="CN1418">
        <v>1</v>
      </c>
      <c r="CS1418" s="7" t="s">
        <v>328</v>
      </c>
    </row>
    <row r="1419" spans="2:97">
      <c r="B1419" t="s">
        <v>3516</v>
      </c>
      <c r="C1419" s="2" t="s">
        <v>3517</v>
      </c>
      <c r="D1419" s="2" t="s">
        <v>1624</v>
      </c>
      <c r="E1419" s="8" t="s">
        <v>869</v>
      </c>
      <c r="F1419" s="8" t="s">
        <v>65</v>
      </c>
      <c r="G1419" s="1">
        <v>1</v>
      </c>
      <c r="H1419" s="1"/>
      <c r="I1419" s="1">
        <f>1813-26</f>
        <v>1787</v>
      </c>
      <c r="J1419" t="s">
        <v>69</v>
      </c>
      <c r="K1419" t="s">
        <v>197</v>
      </c>
      <c r="Q1419">
        <v>5</v>
      </c>
      <c r="R1419">
        <v>3</v>
      </c>
      <c r="S1419">
        <v>3</v>
      </c>
      <c r="T1419" s="5">
        <f t="shared" si="67"/>
        <v>166.55</v>
      </c>
      <c r="U1419" t="s">
        <v>3352</v>
      </c>
      <c r="AT1419" s="14"/>
      <c r="AU1419" s="6">
        <v>1</v>
      </c>
      <c r="BC1419">
        <v>1813</v>
      </c>
      <c r="BD1419" t="s">
        <v>81</v>
      </c>
      <c r="BE1419" s="10" t="s">
        <v>2407</v>
      </c>
      <c r="BF1419" s="1" t="s">
        <v>73</v>
      </c>
      <c r="BG1419" s="1">
        <v>3</v>
      </c>
      <c r="BH1419">
        <v>3</v>
      </c>
      <c r="BK1419" s="1">
        <v>1</v>
      </c>
      <c r="BL1419">
        <v>1</v>
      </c>
      <c r="BQ1419">
        <v>1</v>
      </c>
      <c r="CL1419" s="10">
        <v>1</v>
      </c>
      <c r="CS1419" s="10" t="s">
        <v>3518</v>
      </c>
    </row>
    <row r="1420" spans="2:97">
      <c r="B1420" t="s">
        <v>3515</v>
      </c>
      <c r="C1420" s="2" t="s">
        <v>3514</v>
      </c>
      <c r="D1420" s="2" t="s">
        <v>3514</v>
      </c>
      <c r="E1420" s="8" t="s">
        <v>869</v>
      </c>
      <c r="F1420" s="8" t="s">
        <v>65</v>
      </c>
      <c r="G1420" s="1">
        <v>1</v>
      </c>
      <c r="H1420" s="1"/>
      <c r="I1420" s="1">
        <f>1813-18</f>
        <v>1795</v>
      </c>
      <c r="J1420" t="s">
        <v>10</v>
      </c>
      <c r="K1420" t="s">
        <v>12</v>
      </c>
      <c r="Q1420">
        <v>5</v>
      </c>
      <c r="R1420">
        <v>5</v>
      </c>
      <c r="T1420" s="5">
        <f t="shared" si="67"/>
        <v>171.15</v>
      </c>
      <c r="U1420" t="s">
        <v>3352</v>
      </c>
      <c r="AT1420" s="14"/>
      <c r="AU1420" s="6">
        <v>1</v>
      </c>
      <c r="BC1420">
        <v>1813</v>
      </c>
      <c r="BD1420" t="s">
        <v>81</v>
      </c>
      <c r="BE1420" s="10" t="s">
        <v>2407</v>
      </c>
      <c r="BF1420" s="1" t="s">
        <v>73</v>
      </c>
      <c r="BG1420" s="1">
        <v>3</v>
      </c>
      <c r="BH1420">
        <v>3</v>
      </c>
      <c r="BK1420" s="1">
        <v>1</v>
      </c>
      <c r="BL1420">
        <v>1</v>
      </c>
      <c r="BQ1420">
        <v>1</v>
      </c>
      <c r="CL1420" s="10">
        <v>1</v>
      </c>
      <c r="CS1420" s="10" t="s">
        <v>3518</v>
      </c>
    </row>
    <row r="1421" spans="2:97">
      <c r="B1421" t="s">
        <v>3599</v>
      </c>
      <c r="C1421" s="2" t="s">
        <v>356</v>
      </c>
      <c r="D1421" s="2" t="s">
        <v>3146</v>
      </c>
      <c r="E1421" s="8" t="s">
        <v>546</v>
      </c>
      <c r="F1421" s="8" t="s">
        <v>357</v>
      </c>
      <c r="G1421" s="1">
        <v>1</v>
      </c>
      <c r="H1421" s="1"/>
      <c r="I1421" s="1">
        <f>1813-21</f>
        <v>1792</v>
      </c>
      <c r="J1421" t="s">
        <v>10</v>
      </c>
      <c r="K1421" t="s">
        <v>12</v>
      </c>
      <c r="Q1421">
        <v>5</v>
      </c>
      <c r="R1421">
        <v>5</v>
      </c>
      <c r="T1421" s="5">
        <f t="shared" si="67"/>
        <v>171.15</v>
      </c>
      <c r="U1421" t="s">
        <v>3511</v>
      </c>
      <c r="AT1421" s="14"/>
      <c r="AU1421" s="6">
        <v>1</v>
      </c>
      <c r="AV1421" s="7">
        <v>1</v>
      </c>
      <c r="BC1421" t="s">
        <v>3600</v>
      </c>
      <c r="BD1421" s="7" t="s">
        <v>103</v>
      </c>
      <c r="BE1421" t="s">
        <v>2407</v>
      </c>
      <c r="BF1421" s="1" t="s">
        <v>29</v>
      </c>
      <c r="BG1421" s="1">
        <v>5</v>
      </c>
      <c r="BH1421">
        <v>1</v>
      </c>
      <c r="BK1421" s="1">
        <v>1</v>
      </c>
      <c r="BL1421">
        <v>1</v>
      </c>
      <c r="BQ1421">
        <v>1</v>
      </c>
      <c r="CS1421" s="7" t="s">
        <v>2172</v>
      </c>
    </row>
    <row r="1422" spans="2:97">
      <c r="B1422" t="s">
        <v>3710</v>
      </c>
      <c r="C1422" s="2" t="s">
        <v>3269</v>
      </c>
      <c r="D1422" s="2" t="s">
        <v>3269</v>
      </c>
      <c r="E1422" s="8" t="s">
        <v>565</v>
      </c>
      <c r="F1422" s="8" t="s">
        <v>357</v>
      </c>
      <c r="G1422" s="1">
        <v>1</v>
      </c>
      <c r="H1422" s="1"/>
      <c r="I1422" s="1">
        <f>1812-18</f>
        <v>1794</v>
      </c>
      <c r="J1422" t="s">
        <v>10</v>
      </c>
      <c r="K1422" t="s">
        <v>197</v>
      </c>
      <c r="Q1422">
        <v>5</v>
      </c>
      <c r="R1422">
        <v>3</v>
      </c>
      <c r="S1422">
        <v>2</v>
      </c>
      <c r="T1422" s="5">
        <f t="shared" si="67"/>
        <v>166.33</v>
      </c>
      <c r="U1422" t="s">
        <v>3511</v>
      </c>
      <c r="AT1422" s="14"/>
      <c r="AU1422" s="6">
        <v>1</v>
      </c>
      <c r="AV1422" s="6">
        <v>1</v>
      </c>
      <c r="AW1422" s="6">
        <v>1</v>
      </c>
      <c r="AX1422" s="6">
        <v>1</v>
      </c>
      <c r="AY1422" s="6">
        <v>1</v>
      </c>
      <c r="AZ1422" s="6">
        <v>1</v>
      </c>
      <c r="BA1422" s="6">
        <v>1</v>
      </c>
      <c r="BB1422" s="6">
        <v>1</v>
      </c>
      <c r="BC1422">
        <v>1820</v>
      </c>
      <c r="BD1422" t="s">
        <v>81</v>
      </c>
      <c r="BE1422" t="s">
        <v>2407</v>
      </c>
      <c r="BF1422" s="1" t="s">
        <v>29</v>
      </c>
      <c r="BG1422" s="1">
        <v>8</v>
      </c>
      <c r="BH1422">
        <v>1</v>
      </c>
      <c r="BK1422" s="1">
        <v>1</v>
      </c>
      <c r="BL1422">
        <v>1</v>
      </c>
      <c r="BQ1422">
        <v>1</v>
      </c>
      <c r="CF1422">
        <v>1</v>
      </c>
      <c r="CQ1422">
        <v>1</v>
      </c>
      <c r="CR1422">
        <v>1</v>
      </c>
      <c r="CS1422" t="s">
        <v>3711</v>
      </c>
    </row>
    <row r="1423" spans="2:97">
      <c r="B1423" t="s">
        <v>3508</v>
      </c>
      <c r="C1423" s="2" t="s">
        <v>3509</v>
      </c>
      <c r="D1423" s="2" t="s">
        <v>3510</v>
      </c>
      <c r="E1423" s="8" t="s">
        <v>565</v>
      </c>
      <c r="F1423" s="8" t="s">
        <v>357</v>
      </c>
      <c r="G1423" s="1">
        <v>1</v>
      </c>
      <c r="H1423" s="1"/>
      <c r="I1423" s="1">
        <f>1813-21</f>
        <v>1792</v>
      </c>
      <c r="J1423" t="s">
        <v>10</v>
      </c>
      <c r="K1423" t="s">
        <v>12</v>
      </c>
      <c r="Q1423">
        <v>5</v>
      </c>
      <c r="R1423">
        <v>2</v>
      </c>
      <c r="S1423">
        <v>2</v>
      </c>
      <c r="T1423" s="5">
        <f t="shared" si="67"/>
        <v>163.69999999999999</v>
      </c>
      <c r="U1423" t="s">
        <v>3511</v>
      </c>
      <c r="AT1423" s="14"/>
      <c r="AU1423" s="6">
        <v>1</v>
      </c>
      <c r="BC1423">
        <v>1813</v>
      </c>
      <c r="BD1423" t="s">
        <v>81</v>
      </c>
      <c r="BE1423" s="10" t="s">
        <v>2407</v>
      </c>
      <c r="BF1423" s="1" t="s">
        <v>73</v>
      </c>
      <c r="BG1423" s="1">
        <v>3</v>
      </c>
      <c r="BH1423">
        <v>2</v>
      </c>
      <c r="BK1423" s="1">
        <v>1</v>
      </c>
      <c r="BL1423">
        <v>1</v>
      </c>
      <c r="BQ1423">
        <v>1</v>
      </c>
      <c r="CL1423" s="10">
        <v>1</v>
      </c>
      <c r="CS1423" s="10" t="s">
        <v>3497</v>
      </c>
    </row>
    <row r="1424" spans="2:97">
      <c r="B1424" t="s">
        <v>3700</v>
      </c>
      <c r="C1424" s="2" t="s">
        <v>3701</v>
      </c>
      <c r="D1424" s="2" t="s">
        <v>3701</v>
      </c>
      <c r="E1424" s="8" t="s">
        <v>565</v>
      </c>
      <c r="F1424" s="8" t="s">
        <v>357</v>
      </c>
      <c r="G1424" s="1">
        <v>1</v>
      </c>
      <c r="H1424" s="1"/>
      <c r="I1424" s="1">
        <f>1819-36</f>
        <v>1783</v>
      </c>
      <c r="J1424" t="s">
        <v>69</v>
      </c>
      <c r="K1424" t="s">
        <v>12</v>
      </c>
      <c r="Q1424">
        <v>5</v>
      </c>
      <c r="R1424">
        <v>2</v>
      </c>
      <c r="S1424">
        <v>3</v>
      </c>
      <c r="T1424" s="5">
        <f t="shared" si="67"/>
        <v>163.92</v>
      </c>
      <c r="U1424" t="s">
        <v>3702</v>
      </c>
      <c r="AU1424" s="6">
        <v>1</v>
      </c>
      <c r="AV1424" s="6">
        <v>1</v>
      </c>
      <c r="AW1424" s="6">
        <v>1</v>
      </c>
      <c r="AX1424" s="6">
        <v>1</v>
      </c>
      <c r="AY1424" s="6">
        <v>1</v>
      </c>
      <c r="AZ1424" s="6">
        <v>1</v>
      </c>
      <c r="BA1424" s="6">
        <v>1</v>
      </c>
      <c r="BB1424" s="6">
        <v>1</v>
      </c>
      <c r="BC1424">
        <v>1820</v>
      </c>
      <c r="BD1424" t="s">
        <v>81</v>
      </c>
      <c r="BE1424" t="s">
        <v>2407</v>
      </c>
      <c r="BF1424" s="1" t="s">
        <v>29</v>
      </c>
      <c r="BG1424" s="1">
        <v>4</v>
      </c>
      <c r="BH1424">
        <v>2</v>
      </c>
      <c r="BK1424" s="1">
        <v>1</v>
      </c>
      <c r="BQ1424">
        <v>1</v>
      </c>
      <c r="CI1424">
        <v>1</v>
      </c>
      <c r="CL1424">
        <v>1</v>
      </c>
      <c r="CN1424">
        <v>1</v>
      </c>
      <c r="CP1424">
        <v>1</v>
      </c>
      <c r="CQ1424">
        <v>1</v>
      </c>
      <c r="CS1424" t="s">
        <v>3705</v>
      </c>
    </row>
    <row r="1425" spans="1:97">
      <c r="B1425" t="s">
        <v>3495</v>
      </c>
      <c r="C1425" s="2" t="s">
        <v>564</v>
      </c>
      <c r="D1425" s="2" t="s">
        <v>564</v>
      </c>
      <c r="E1425" s="8" t="s">
        <v>565</v>
      </c>
      <c r="F1425" s="8" t="s">
        <v>357</v>
      </c>
      <c r="G1425" s="1">
        <v>1</v>
      </c>
      <c r="H1425" s="1"/>
      <c r="I1425" s="1">
        <f>1813-19</f>
        <v>1794</v>
      </c>
      <c r="J1425" t="s">
        <v>10</v>
      </c>
      <c r="K1425" t="s">
        <v>12</v>
      </c>
      <c r="Q1425">
        <v>5</v>
      </c>
      <c r="R1425">
        <v>4</v>
      </c>
      <c r="S1425">
        <v>3</v>
      </c>
      <c r="T1425" s="5">
        <f t="shared" si="67"/>
        <v>169.18</v>
      </c>
      <c r="U1425" t="s">
        <v>3496</v>
      </c>
      <c r="AT1425" s="14"/>
      <c r="AU1425" s="6">
        <v>1</v>
      </c>
      <c r="BC1425">
        <v>1813</v>
      </c>
      <c r="BD1425" t="s">
        <v>81</v>
      </c>
      <c r="BE1425" s="10" t="s">
        <v>2407</v>
      </c>
      <c r="BF1425" s="1" t="s">
        <v>73</v>
      </c>
      <c r="BG1425" s="1">
        <v>2</v>
      </c>
      <c r="BH1425">
        <v>2</v>
      </c>
      <c r="BI1425">
        <v>1</v>
      </c>
      <c r="BK1425" s="1">
        <v>1</v>
      </c>
      <c r="BL1425">
        <v>1</v>
      </c>
      <c r="BQ1425">
        <v>1</v>
      </c>
      <c r="CL1425" s="10">
        <v>1</v>
      </c>
      <c r="CS1425" s="10" t="s">
        <v>3497</v>
      </c>
    </row>
    <row r="1426" spans="1:97">
      <c r="B1426" t="s">
        <v>3379</v>
      </c>
      <c r="C1426" s="8" t="s">
        <v>3380</v>
      </c>
      <c r="D1426" s="15"/>
      <c r="F1426" s="8" t="s">
        <v>218</v>
      </c>
      <c r="G1426" s="1">
        <v>1</v>
      </c>
      <c r="H1426" s="1"/>
      <c r="I1426" s="1">
        <f>1819-24</f>
        <v>1795</v>
      </c>
      <c r="J1426" t="s">
        <v>10</v>
      </c>
      <c r="K1426" t="s">
        <v>12</v>
      </c>
      <c r="Q1426">
        <v>5</v>
      </c>
      <c r="R1426">
        <v>5</v>
      </c>
      <c r="S1426">
        <v>1</v>
      </c>
      <c r="T1426" s="5">
        <f t="shared" si="67"/>
        <v>171.37</v>
      </c>
      <c r="U1426" t="s">
        <v>3381</v>
      </c>
      <c r="AU1426" s="6">
        <v>1</v>
      </c>
      <c r="AV1426" s="6">
        <v>1</v>
      </c>
      <c r="AW1426" s="6">
        <v>1</v>
      </c>
      <c r="AX1426" s="6">
        <v>1</v>
      </c>
      <c r="AY1426" s="6">
        <v>1</v>
      </c>
      <c r="AZ1426" s="6">
        <v>1</v>
      </c>
      <c r="BA1426" s="6">
        <v>1</v>
      </c>
      <c r="BB1426" s="6">
        <v>1</v>
      </c>
      <c r="BC1426">
        <v>1820</v>
      </c>
      <c r="BD1426" t="s">
        <v>81</v>
      </c>
      <c r="BE1426" t="s">
        <v>3382</v>
      </c>
      <c r="BF1426" s="1" t="s">
        <v>73</v>
      </c>
      <c r="BG1426" s="1">
        <v>2</v>
      </c>
      <c r="BH1426">
        <v>1</v>
      </c>
      <c r="BK1426" s="1">
        <v>1</v>
      </c>
      <c r="BT1426">
        <v>1</v>
      </c>
      <c r="CF1426">
        <v>1</v>
      </c>
      <c r="CQ1426">
        <v>1</v>
      </c>
      <c r="CS1426" t="s">
        <v>3383</v>
      </c>
    </row>
    <row r="1427" spans="1:97">
      <c r="B1427" t="s">
        <v>3585</v>
      </c>
      <c r="C1427" s="8" t="s">
        <v>3587</v>
      </c>
      <c r="D1427" s="8" t="s">
        <v>3587</v>
      </c>
      <c r="E1427" s="8" t="s">
        <v>130</v>
      </c>
      <c r="F1427" s="8" t="s">
        <v>65</v>
      </c>
      <c r="G1427" s="1">
        <v>1</v>
      </c>
      <c r="H1427" s="1"/>
      <c r="I1427" s="1">
        <f>1813-17</f>
        <v>1796</v>
      </c>
      <c r="J1427" t="s">
        <v>10</v>
      </c>
      <c r="K1427" t="s">
        <v>12</v>
      </c>
      <c r="Q1427">
        <v>5</v>
      </c>
      <c r="R1427">
        <v>1</v>
      </c>
      <c r="S1427">
        <v>1</v>
      </c>
      <c r="T1427" s="5">
        <f t="shared" si="67"/>
        <v>160.85</v>
      </c>
      <c r="U1427" t="s">
        <v>3584</v>
      </c>
      <c r="AT1427" s="14"/>
      <c r="AU1427" s="6">
        <v>1</v>
      </c>
      <c r="BC1427">
        <v>1813</v>
      </c>
      <c r="BD1427" t="s">
        <v>81</v>
      </c>
      <c r="BE1427" s="10" t="s">
        <v>2407</v>
      </c>
      <c r="BF1427" s="1" t="s">
        <v>73</v>
      </c>
      <c r="BG1427" s="1">
        <v>2</v>
      </c>
      <c r="BH1427">
        <v>4</v>
      </c>
      <c r="BK1427" s="1">
        <v>1</v>
      </c>
      <c r="BL1427">
        <v>1</v>
      </c>
      <c r="BQ1427">
        <v>1</v>
      </c>
      <c r="CL1427" s="10">
        <v>1</v>
      </c>
      <c r="CS1427" s="10" t="s">
        <v>2966</v>
      </c>
    </row>
    <row r="1428" spans="1:97">
      <c r="B1428" t="s">
        <v>3586</v>
      </c>
      <c r="C1428" s="2" t="s">
        <v>191</v>
      </c>
      <c r="D1428" s="2" t="s">
        <v>191</v>
      </c>
      <c r="E1428" s="8" t="s">
        <v>193</v>
      </c>
      <c r="F1428" s="8" t="s">
        <v>65</v>
      </c>
      <c r="G1428" s="1">
        <v>1</v>
      </c>
      <c r="H1428" s="1"/>
      <c r="I1428" s="1">
        <f>1813-30</f>
        <v>1783</v>
      </c>
      <c r="J1428" t="s">
        <v>10</v>
      </c>
      <c r="K1428" t="s">
        <v>2517</v>
      </c>
      <c r="Q1428">
        <v>5</v>
      </c>
      <c r="R1428">
        <v>1</v>
      </c>
      <c r="S1428">
        <v>1</v>
      </c>
      <c r="T1428" s="5">
        <f t="shared" si="67"/>
        <v>160.85</v>
      </c>
      <c r="U1428" t="s">
        <v>3584</v>
      </c>
      <c r="AT1428" s="14"/>
      <c r="AU1428" s="6">
        <v>1</v>
      </c>
      <c r="BC1428">
        <v>1813</v>
      </c>
      <c r="BD1428" t="s">
        <v>81</v>
      </c>
      <c r="BE1428" s="10" t="s">
        <v>2407</v>
      </c>
      <c r="BF1428" s="1" t="s">
        <v>73</v>
      </c>
      <c r="BG1428" s="1">
        <v>2</v>
      </c>
      <c r="BH1428">
        <v>4</v>
      </c>
      <c r="BK1428" s="1">
        <v>1</v>
      </c>
      <c r="BL1428">
        <v>1</v>
      </c>
      <c r="BQ1428">
        <v>1</v>
      </c>
      <c r="CL1428" s="10">
        <v>1</v>
      </c>
      <c r="CS1428" s="10" t="s">
        <v>2966</v>
      </c>
    </row>
    <row r="1429" spans="1:97">
      <c r="B1429" t="s">
        <v>3568</v>
      </c>
      <c r="C1429" s="2" t="s">
        <v>3569</v>
      </c>
      <c r="D1429" s="26" t="s">
        <v>3570</v>
      </c>
      <c r="E1429" s="8" t="s">
        <v>627</v>
      </c>
      <c r="F1429" s="8" t="s">
        <v>357</v>
      </c>
      <c r="G1429" s="1">
        <v>1</v>
      </c>
      <c r="H1429" s="1"/>
      <c r="I1429" s="1">
        <f>1820-28</f>
        <v>1792</v>
      </c>
      <c r="J1429" t="s">
        <v>69</v>
      </c>
      <c r="K1429" t="s">
        <v>12</v>
      </c>
      <c r="N1429">
        <v>1</v>
      </c>
      <c r="Q1429">
        <v>5</v>
      </c>
      <c r="R1429">
        <v>5</v>
      </c>
      <c r="S1429">
        <v>2</v>
      </c>
      <c r="T1429" s="5">
        <f t="shared" si="67"/>
        <v>171.59</v>
      </c>
      <c r="U1429" t="s">
        <v>3571</v>
      </c>
      <c r="AU1429" s="6">
        <v>1</v>
      </c>
      <c r="AV1429" s="6">
        <v>1</v>
      </c>
      <c r="AW1429" s="6">
        <v>1</v>
      </c>
      <c r="AX1429" s="6">
        <v>1</v>
      </c>
      <c r="AY1429" s="6">
        <v>1</v>
      </c>
      <c r="AZ1429" s="6">
        <v>1</v>
      </c>
      <c r="BA1429" s="6">
        <v>1</v>
      </c>
      <c r="BB1429" s="6">
        <v>1</v>
      </c>
      <c r="BC1429">
        <v>1820</v>
      </c>
      <c r="BD1429" t="s">
        <v>81</v>
      </c>
      <c r="BE1429" t="s">
        <v>3572</v>
      </c>
      <c r="BF1429" s="1" t="s">
        <v>73</v>
      </c>
      <c r="BG1429" s="1">
        <v>2</v>
      </c>
      <c r="BH1429">
        <v>3</v>
      </c>
      <c r="BK1429" s="1">
        <v>1</v>
      </c>
      <c r="BQ1429">
        <v>1</v>
      </c>
      <c r="BT1429">
        <v>1</v>
      </c>
      <c r="CL1429">
        <v>1</v>
      </c>
      <c r="CR1429">
        <v>1</v>
      </c>
      <c r="CS1429" t="s">
        <v>3573</v>
      </c>
    </row>
    <row r="1430" spans="1:97">
      <c r="B1430" t="s">
        <v>3721</v>
      </c>
      <c r="C1430" s="2" t="s">
        <v>356</v>
      </c>
      <c r="D1430" s="2" t="s">
        <v>3146</v>
      </c>
      <c r="E1430" s="8" t="s">
        <v>546</v>
      </c>
      <c r="F1430" s="8" t="s">
        <v>357</v>
      </c>
      <c r="G1430" s="1">
        <v>1</v>
      </c>
      <c r="H1430" s="1"/>
      <c r="I1430" s="1">
        <f>1819-41</f>
        <v>1778</v>
      </c>
      <c r="J1430" t="s">
        <v>10</v>
      </c>
      <c r="K1430" t="s">
        <v>12</v>
      </c>
      <c r="Q1430">
        <v>5</v>
      </c>
      <c r="R1430">
        <v>4</v>
      </c>
      <c r="T1430" s="5">
        <f t="shared" si="67"/>
        <v>168.52</v>
      </c>
      <c r="U1430" t="s">
        <v>3641</v>
      </c>
      <c r="AU1430" s="6">
        <v>1</v>
      </c>
      <c r="AV1430" s="6">
        <v>1</v>
      </c>
      <c r="AW1430" s="6">
        <v>1</v>
      </c>
      <c r="AX1430" s="6">
        <v>1</v>
      </c>
      <c r="AY1430" s="6">
        <v>1</v>
      </c>
      <c r="AZ1430" s="6">
        <v>1</v>
      </c>
      <c r="BA1430" s="6">
        <v>1</v>
      </c>
      <c r="BB1430" s="6">
        <v>1</v>
      </c>
      <c r="BC1430">
        <v>1820</v>
      </c>
      <c r="BD1430" t="s">
        <v>81</v>
      </c>
      <c r="BE1430" t="s">
        <v>2407</v>
      </c>
      <c r="BF1430" s="1" t="s">
        <v>73</v>
      </c>
      <c r="BG1430" s="1">
        <v>8</v>
      </c>
      <c r="BH1430">
        <v>2</v>
      </c>
      <c r="BK1430" s="1">
        <v>1</v>
      </c>
      <c r="BL1430">
        <v>1</v>
      </c>
      <c r="BQ1430">
        <v>1</v>
      </c>
      <c r="BX1430">
        <v>1</v>
      </c>
      <c r="CL1430">
        <v>1</v>
      </c>
      <c r="CR1430" t="s">
        <v>72</v>
      </c>
      <c r="CS1430" t="s">
        <v>3705</v>
      </c>
    </row>
    <row r="1431" spans="1:97">
      <c r="A1431" t="s">
        <v>72</v>
      </c>
      <c r="B1431" t="s">
        <v>3645</v>
      </c>
      <c r="C1431" s="15"/>
      <c r="D1431" s="26"/>
      <c r="F1431" t="s">
        <v>7</v>
      </c>
      <c r="G1431" s="1"/>
      <c r="H1431" s="1"/>
      <c r="I1431" s="1"/>
      <c r="J1431" t="s">
        <v>69</v>
      </c>
      <c r="T1431" s="5"/>
      <c r="U1431" t="s">
        <v>3641</v>
      </c>
      <c r="AU1431" s="54">
        <v>1</v>
      </c>
      <c r="AV1431" s="54">
        <v>1</v>
      </c>
      <c r="AW1431" s="54">
        <v>1</v>
      </c>
      <c r="AX1431" s="7">
        <v>1</v>
      </c>
      <c r="BC1431" t="s">
        <v>3643</v>
      </c>
      <c r="BD1431" s="7" t="s">
        <v>103</v>
      </c>
      <c r="BE1431" t="s">
        <v>2407</v>
      </c>
      <c r="BF1431" s="1" t="s">
        <v>29</v>
      </c>
      <c r="BG1431" s="1">
        <v>3</v>
      </c>
      <c r="BH1431">
        <v>1</v>
      </c>
      <c r="BK1431" s="1">
        <v>1</v>
      </c>
      <c r="BM1431">
        <v>1</v>
      </c>
      <c r="BQ1431">
        <v>1</v>
      </c>
      <c r="CS1431" s="7" t="s">
        <v>3644</v>
      </c>
    </row>
    <row r="1432" spans="1:97">
      <c r="A1432" t="s">
        <v>72</v>
      </c>
      <c r="B1432" t="s">
        <v>3640</v>
      </c>
      <c r="C1432" s="15"/>
      <c r="D1432" s="26"/>
      <c r="F1432" t="s">
        <v>7</v>
      </c>
      <c r="G1432" s="1"/>
      <c r="H1432" s="1"/>
      <c r="I1432" s="1"/>
      <c r="J1432" t="s">
        <v>69</v>
      </c>
      <c r="T1432" s="5"/>
      <c r="U1432" t="s">
        <v>3641</v>
      </c>
      <c r="AU1432" s="54">
        <v>1</v>
      </c>
      <c r="AV1432" s="54">
        <v>1</v>
      </c>
      <c r="AW1432" s="54">
        <v>1</v>
      </c>
      <c r="AX1432" s="7">
        <v>1</v>
      </c>
      <c r="BC1432" t="s">
        <v>3643</v>
      </c>
      <c r="BD1432" s="7" t="s">
        <v>103</v>
      </c>
      <c r="BE1432" t="s">
        <v>2407</v>
      </c>
      <c r="BF1432" s="1" t="s">
        <v>29</v>
      </c>
      <c r="BG1432" s="1">
        <v>4</v>
      </c>
      <c r="BH1432">
        <v>1</v>
      </c>
      <c r="BK1432" s="1">
        <v>1</v>
      </c>
      <c r="BM1432">
        <v>1</v>
      </c>
      <c r="BQ1432">
        <v>1</v>
      </c>
      <c r="CS1432" s="7" t="s">
        <v>3644</v>
      </c>
    </row>
    <row r="1433" spans="1:97">
      <c r="B1433" t="s">
        <v>3596</v>
      </c>
      <c r="C1433" s="2" t="s">
        <v>356</v>
      </c>
      <c r="D1433" s="2" t="s">
        <v>3146</v>
      </c>
      <c r="E1433" s="8" t="s">
        <v>546</v>
      </c>
      <c r="F1433" s="8" t="s">
        <v>357</v>
      </c>
      <c r="G1433" s="1">
        <v>1</v>
      </c>
      <c r="H1433" s="1"/>
      <c r="I1433" s="1">
        <f>1814-23</f>
        <v>1791</v>
      </c>
      <c r="J1433" t="s">
        <v>10</v>
      </c>
      <c r="K1433" t="s">
        <v>12</v>
      </c>
      <c r="T1433" s="5"/>
      <c r="U1433" t="s">
        <v>3641</v>
      </c>
      <c r="AU1433" s="54">
        <v>1</v>
      </c>
      <c r="AV1433" s="7">
        <v>1</v>
      </c>
      <c r="BC1433" t="s">
        <v>3597</v>
      </c>
      <c r="BD1433" s="7" t="s">
        <v>103</v>
      </c>
      <c r="BE1433" t="s">
        <v>2407</v>
      </c>
      <c r="BF1433" s="1" t="s">
        <v>29</v>
      </c>
      <c r="BG1433" s="1">
        <v>3</v>
      </c>
      <c r="BH1433">
        <v>1</v>
      </c>
      <c r="BI1433">
        <v>1</v>
      </c>
      <c r="BK1433" s="1">
        <v>1</v>
      </c>
      <c r="BM1433">
        <v>1</v>
      </c>
      <c r="BQ1433">
        <v>1</v>
      </c>
      <c r="CS1433" s="7" t="s">
        <v>2172</v>
      </c>
    </row>
    <row r="1434" spans="1:97">
      <c r="A1434" t="s">
        <v>72</v>
      </c>
      <c r="B1434" t="s">
        <v>3650</v>
      </c>
      <c r="C1434" s="2"/>
      <c r="D1434" s="2"/>
      <c r="F1434" t="s">
        <v>7</v>
      </c>
      <c r="G1434" s="1"/>
      <c r="H1434" s="1"/>
      <c r="I1434" s="1"/>
      <c r="J1434" t="s">
        <v>69</v>
      </c>
      <c r="T1434" s="5"/>
      <c r="U1434" t="s">
        <v>3651</v>
      </c>
      <c r="AU1434" s="54">
        <v>1</v>
      </c>
      <c r="AV1434" s="54">
        <v>1</v>
      </c>
      <c r="AW1434" s="54">
        <v>1</v>
      </c>
      <c r="AX1434" s="7">
        <v>1</v>
      </c>
      <c r="BC1434" t="s">
        <v>3643</v>
      </c>
      <c r="BD1434" s="7" t="s">
        <v>103</v>
      </c>
      <c r="BE1434" t="s">
        <v>2407</v>
      </c>
      <c r="BF1434" s="1" t="s">
        <v>29</v>
      </c>
      <c r="BG1434" s="1">
        <v>4</v>
      </c>
      <c r="BH1434">
        <v>1</v>
      </c>
      <c r="BK1434" s="1">
        <v>1</v>
      </c>
      <c r="BM1434">
        <v>1</v>
      </c>
      <c r="BQ1434">
        <v>1</v>
      </c>
      <c r="CS1434" s="7" t="s">
        <v>3644</v>
      </c>
    </row>
    <row r="1435" spans="1:97">
      <c r="A1435" t="s">
        <v>72</v>
      </c>
      <c r="B1435" t="s">
        <v>3649</v>
      </c>
      <c r="C1435" s="15"/>
      <c r="D1435" s="15"/>
      <c r="F1435" t="s">
        <v>7</v>
      </c>
      <c r="G1435" s="1"/>
      <c r="H1435" s="1"/>
      <c r="I1435" s="1"/>
      <c r="J1435" t="s">
        <v>69</v>
      </c>
      <c r="T1435" s="5"/>
      <c r="U1435" t="s">
        <v>3642</v>
      </c>
      <c r="AU1435" s="54">
        <v>1</v>
      </c>
      <c r="AV1435" s="54">
        <v>1</v>
      </c>
      <c r="AW1435" s="54">
        <v>1</v>
      </c>
      <c r="AX1435" s="7">
        <v>1</v>
      </c>
      <c r="BC1435" t="s">
        <v>3643</v>
      </c>
      <c r="BD1435" s="7" t="s">
        <v>103</v>
      </c>
      <c r="BE1435" t="s">
        <v>2407</v>
      </c>
      <c r="BF1435" s="1" t="s">
        <v>29</v>
      </c>
      <c r="BG1435" s="1">
        <v>2</v>
      </c>
      <c r="BH1435">
        <v>1</v>
      </c>
      <c r="BK1435" s="1">
        <v>1</v>
      </c>
      <c r="BM1435">
        <v>1</v>
      </c>
      <c r="BQ1435">
        <v>1</v>
      </c>
      <c r="CS1435" s="7" t="s">
        <v>3644</v>
      </c>
    </row>
    <row r="1436" spans="1:97">
      <c r="B1436" t="s">
        <v>3629</v>
      </c>
      <c r="C1436" s="2" t="s">
        <v>3630</v>
      </c>
      <c r="D1436" s="2"/>
      <c r="F1436" s="8" t="s">
        <v>357</v>
      </c>
      <c r="G1436" s="1">
        <v>1</v>
      </c>
      <c r="H1436" s="1"/>
      <c r="I1436" s="1">
        <f>1815-42</f>
        <v>1773</v>
      </c>
      <c r="J1436" t="s">
        <v>10</v>
      </c>
      <c r="K1436" t="s">
        <v>12</v>
      </c>
      <c r="T1436" s="5"/>
      <c r="U1436" t="s">
        <v>3642</v>
      </c>
      <c r="AS1436" s="54"/>
      <c r="AT1436" s="54"/>
      <c r="AU1436" s="54">
        <v>1</v>
      </c>
      <c r="AV1436" s="54">
        <v>1</v>
      </c>
      <c r="AW1436" s="7">
        <v>1</v>
      </c>
      <c r="BC1436" t="s">
        <v>3631</v>
      </c>
      <c r="BD1436" s="7" t="s">
        <v>103</v>
      </c>
      <c r="BE1436" t="s">
        <v>2407</v>
      </c>
      <c r="BF1436" s="1" t="s">
        <v>29</v>
      </c>
      <c r="BG1436" s="1">
        <v>5</v>
      </c>
      <c r="BH1436">
        <v>2</v>
      </c>
      <c r="BI1436">
        <v>1</v>
      </c>
      <c r="BJ1436">
        <v>1</v>
      </c>
      <c r="BK1436" s="1" t="s">
        <v>72</v>
      </c>
      <c r="BM1436">
        <v>1</v>
      </c>
      <c r="BQ1436">
        <v>1</v>
      </c>
      <c r="CS1436" s="7" t="s">
        <v>2172</v>
      </c>
    </row>
    <row r="1437" spans="1:97">
      <c r="B1437" t="s">
        <v>1883</v>
      </c>
      <c r="C1437" s="8" t="s">
        <v>1884</v>
      </c>
      <c r="E1437" s="8" t="s">
        <v>1885</v>
      </c>
      <c r="F1437" s="8" t="s">
        <v>805</v>
      </c>
      <c r="G1437" s="1">
        <v>1</v>
      </c>
      <c r="H1437" s="1"/>
      <c r="I1437" s="1">
        <f>1819-25</f>
        <v>1794</v>
      </c>
      <c r="J1437" t="s">
        <v>10</v>
      </c>
      <c r="K1437" t="s">
        <v>12</v>
      </c>
      <c r="Q1437">
        <v>5</v>
      </c>
      <c r="R1437">
        <v>4</v>
      </c>
      <c r="S1437">
        <v>2</v>
      </c>
      <c r="T1437" s="5">
        <f t="shared" si="67"/>
        <v>168.96</v>
      </c>
      <c r="U1437" t="s">
        <v>1886</v>
      </c>
      <c r="AU1437" s="6">
        <v>1</v>
      </c>
      <c r="AV1437" s="6">
        <v>1</v>
      </c>
      <c r="AW1437" s="6">
        <v>1</v>
      </c>
      <c r="AX1437" s="6">
        <v>1</v>
      </c>
      <c r="AY1437" s="6">
        <v>1</v>
      </c>
      <c r="AZ1437" s="6">
        <v>1</v>
      </c>
      <c r="BA1437" s="6">
        <v>1</v>
      </c>
      <c r="BB1437" s="6">
        <v>1</v>
      </c>
      <c r="BC1437">
        <v>1820</v>
      </c>
      <c r="BD1437" t="s">
        <v>81</v>
      </c>
      <c r="BE1437" t="s">
        <v>1854</v>
      </c>
      <c r="BF1437" s="1" t="s">
        <v>73</v>
      </c>
      <c r="BG1437" s="1">
        <v>3</v>
      </c>
      <c r="BH1437">
        <v>1</v>
      </c>
      <c r="BK1437" s="1">
        <v>1</v>
      </c>
      <c r="BQ1437">
        <v>1</v>
      </c>
      <c r="CF1437">
        <v>1</v>
      </c>
      <c r="CQ1437">
        <v>1</v>
      </c>
      <c r="CS1437" t="s">
        <v>1887</v>
      </c>
    </row>
    <row r="1438" spans="1:97">
      <c r="B1438" t="s">
        <v>2996</v>
      </c>
      <c r="C1438" s="8" t="s">
        <v>2997</v>
      </c>
      <c r="F1438" s="8" t="s">
        <v>218</v>
      </c>
      <c r="G1438" s="1">
        <v>1</v>
      </c>
      <c r="H1438" s="1"/>
      <c r="I1438" s="1">
        <f>1820-27</f>
        <v>1793</v>
      </c>
      <c r="J1438" t="s">
        <v>10</v>
      </c>
      <c r="K1438" t="s">
        <v>4557</v>
      </c>
      <c r="T1438" s="5"/>
      <c r="U1438" t="s">
        <v>2998</v>
      </c>
      <c r="AU1438" s="6">
        <v>1</v>
      </c>
      <c r="AV1438" s="6">
        <v>1</v>
      </c>
      <c r="AW1438" s="6">
        <v>1</v>
      </c>
      <c r="AX1438" s="6">
        <v>1</v>
      </c>
      <c r="AY1438" s="6">
        <v>1</v>
      </c>
      <c r="AZ1438" s="6">
        <v>1</v>
      </c>
      <c r="BA1438" s="6">
        <v>1</v>
      </c>
      <c r="BB1438" s="6">
        <v>1</v>
      </c>
      <c r="BC1438">
        <v>1820</v>
      </c>
      <c r="BD1438" t="s">
        <v>81</v>
      </c>
      <c r="BE1438" t="s">
        <v>1904</v>
      </c>
      <c r="BF1438" s="1" t="s">
        <v>73</v>
      </c>
      <c r="BG1438" s="1">
        <v>4</v>
      </c>
      <c r="BH1438">
        <v>2</v>
      </c>
      <c r="BK1438" s="1"/>
      <c r="BO1438">
        <v>1</v>
      </c>
      <c r="BQ1438">
        <v>1</v>
      </c>
      <c r="CC1438">
        <v>1</v>
      </c>
      <c r="CJ1438">
        <v>1</v>
      </c>
      <c r="CL1438">
        <v>1</v>
      </c>
      <c r="CS1438" t="s">
        <v>2999</v>
      </c>
    </row>
    <row r="1439" spans="1:97">
      <c r="B1439" t="s">
        <v>3716</v>
      </c>
      <c r="C1439" s="2" t="s">
        <v>356</v>
      </c>
      <c r="D1439" s="2" t="s">
        <v>356</v>
      </c>
      <c r="E1439" s="8" t="s">
        <v>546</v>
      </c>
      <c r="F1439" s="8" t="s">
        <v>357</v>
      </c>
      <c r="G1439" s="1">
        <v>1</v>
      </c>
      <c r="H1439" s="1"/>
      <c r="I1439" s="1">
        <f>1819-25</f>
        <v>1794</v>
      </c>
      <c r="J1439" t="s">
        <v>10</v>
      </c>
      <c r="K1439" t="s">
        <v>197</v>
      </c>
      <c r="Q1439">
        <v>5</v>
      </c>
      <c r="R1439">
        <v>0</v>
      </c>
      <c r="S1439">
        <v>2</v>
      </c>
      <c r="T1439" s="5">
        <f>((Q1439*316)+(R1439*26.3)+(S1439*2.2))/10</f>
        <v>158.44</v>
      </c>
      <c r="U1439" t="s">
        <v>3717</v>
      </c>
      <c r="AU1439" s="6">
        <v>1</v>
      </c>
      <c r="AV1439" s="6">
        <v>1</v>
      </c>
      <c r="AW1439" s="6">
        <v>1</v>
      </c>
      <c r="AX1439" s="6">
        <v>1</v>
      </c>
      <c r="AY1439" s="6">
        <v>1</v>
      </c>
      <c r="AZ1439" s="6">
        <v>1</v>
      </c>
      <c r="BA1439" s="6">
        <v>1</v>
      </c>
      <c r="BB1439" s="6">
        <v>1</v>
      </c>
      <c r="BC1439">
        <v>1820</v>
      </c>
      <c r="BD1439" t="s">
        <v>81</v>
      </c>
      <c r="BE1439" t="s">
        <v>2407</v>
      </c>
      <c r="BF1439" s="1" t="s">
        <v>73</v>
      </c>
      <c r="BG1439" s="1">
        <v>7</v>
      </c>
      <c r="BH1439">
        <v>1</v>
      </c>
      <c r="BK1439" s="1">
        <v>1</v>
      </c>
      <c r="BQ1439">
        <v>1</v>
      </c>
      <c r="CN1439">
        <v>1</v>
      </c>
      <c r="CP1439">
        <v>1</v>
      </c>
      <c r="CS1439" t="s">
        <v>3705</v>
      </c>
    </row>
    <row r="1440" spans="1:97">
      <c r="B1440" t="s">
        <v>3592</v>
      </c>
      <c r="C1440" s="2" t="s">
        <v>1083</v>
      </c>
      <c r="D1440" s="26" t="s">
        <v>192</v>
      </c>
      <c r="E1440" s="8" t="s">
        <v>1084</v>
      </c>
      <c r="F1440" s="8" t="s">
        <v>65</v>
      </c>
      <c r="G1440" s="1">
        <v>1</v>
      </c>
      <c r="H1440" s="1"/>
      <c r="I1440" s="1">
        <f>1813-26</f>
        <v>1787</v>
      </c>
      <c r="J1440" t="s">
        <v>69</v>
      </c>
      <c r="K1440" t="s">
        <v>12</v>
      </c>
      <c r="Q1440">
        <v>5</v>
      </c>
      <c r="R1440">
        <v>3</v>
      </c>
      <c r="T1440" s="5">
        <f>((Q1440*316)+(R1440*26.3)+(S1440*2.2))/10</f>
        <v>165.89000000000001</v>
      </c>
      <c r="U1440" t="s">
        <v>3593</v>
      </c>
      <c r="AU1440" s="6">
        <v>1</v>
      </c>
      <c r="AV1440" s="7">
        <v>1</v>
      </c>
      <c r="BC1440" t="s">
        <v>3594</v>
      </c>
      <c r="BD1440" s="7" t="s">
        <v>280</v>
      </c>
      <c r="BE1440" t="s">
        <v>2407</v>
      </c>
      <c r="BF1440" s="1" t="s">
        <v>29</v>
      </c>
      <c r="BG1440" s="1">
        <v>3</v>
      </c>
      <c r="BH1440">
        <v>1</v>
      </c>
      <c r="BK1440" s="1">
        <v>1</v>
      </c>
      <c r="BQ1440">
        <v>1</v>
      </c>
      <c r="CN1440">
        <v>1</v>
      </c>
      <c r="CS1440" s="7" t="s">
        <v>3595</v>
      </c>
    </row>
    <row r="1441" spans="1:98">
      <c r="B1441" t="s">
        <v>3588</v>
      </c>
      <c r="C1441" s="2" t="s">
        <v>3589</v>
      </c>
      <c r="D1441" s="2" t="s">
        <v>3150</v>
      </c>
      <c r="E1441" s="8" t="s">
        <v>2991</v>
      </c>
      <c r="F1441" s="8" t="s">
        <v>357</v>
      </c>
      <c r="G1441" s="1">
        <v>1</v>
      </c>
      <c r="H1441" s="1"/>
      <c r="I1441" s="1">
        <f>1813-18</f>
        <v>1795</v>
      </c>
      <c r="J1441" t="s">
        <v>10</v>
      </c>
      <c r="K1441" t="s">
        <v>12</v>
      </c>
      <c r="T1441" s="5"/>
      <c r="U1441" t="s">
        <v>3590</v>
      </c>
      <c r="AT1441" s="54"/>
      <c r="AU1441" s="7">
        <v>1</v>
      </c>
      <c r="BC1441" t="s">
        <v>3591</v>
      </c>
      <c r="BD1441" s="7" t="s">
        <v>26</v>
      </c>
      <c r="BE1441" t="s">
        <v>2407</v>
      </c>
      <c r="BF1441" s="1" t="s">
        <v>29</v>
      </c>
      <c r="BG1441" s="1">
        <v>3</v>
      </c>
      <c r="BH1441">
        <v>1</v>
      </c>
      <c r="BK1441" s="1">
        <v>1</v>
      </c>
      <c r="BM1441">
        <v>1</v>
      </c>
      <c r="BQ1441">
        <v>1</v>
      </c>
      <c r="CS1441" s="7" t="s">
        <v>368</v>
      </c>
    </row>
    <row r="1442" spans="1:98">
      <c r="B1442" t="s">
        <v>1272</v>
      </c>
      <c r="C1442" s="2" t="s">
        <v>1273</v>
      </c>
      <c r="D1442" s="2" t="s">
        <v>1273</v>
      </c>
      <c r="F1442" s="8" t="s">
        <v>65</v>
      </c>
      <c r="G1442" s="1">
        <v>1</v>
      </c>
      <c r="H1442" s="1"/>
      <c r="I1442" s="1">
        <f>1815-25</f>
        <v>1790</v>
      </c>
      <c r="J1442" t="s">
        <v>10</v>
      </c>
      <c r="K1442" t="s">
        <v>12</v>
      </c>
      <c r="Q1442">
        <v>5</v>
      </c>
      <c r="R1442">
        <v>3</v>
      </c>
      <c r="T1442" s="5">
        <f t="shared" si="67"/>
        <v>165.89000000000001</v>
      </c>
      <c r="U1442" t="s">
        <v>1274</v>
      </c>
      <c r="AU1442" s="6">
        <v>1</v>
      </c>
      <c r="AV1442" s="6">
        <v>1</v>
      </c>
      <c r="AW1442" s="6">
        <v>1</v>
      </c>
      <c r="AX1442" s="6">
        <v>1</v>
      </c>
      <c r="BC1442">
        <v>1816</v>
      </c>
      <c r="BD1442" t="s">
        <v>81</v>
      </c>
      <c r="BE1442" s="10" t="s">
        <v>1275</v>
      </c>
      <c r="BF1442" s="1" t="s">
        <v>73</v>
      </c>
      <c r="BG1442" s="1">
        <v>2</v>
      </c>
      <c r="BH1442">
        <v>2</v>
      </c>
      <c r="BI1442">
        <v>1</v>
      </c>
      <c r="BK1442" s="1">
        <v>1</v>
      </c>
      <c r="BV1442">
        <v>1</v>
      </c>
      <c r="CC1442">
        <v>1</v>
      </c>
      <c r="CL1442" s="10">
        <v>1</v>
      </c>
      <c r="CS1442" s="10" t="s">
        <v>1276</v>
      </c>
    </row>
    <row r="1443" spans="1:98">
      <c r="B1443" t="s">
        <v>3668</v>
      </c>
      <c r="C1443" s="2" t="s">
        <v>3669</v>
      </c>
      <c r="D1443" s="2" t="s">
        <v>1083</v>
      </c>
      <c r="E1443" s="8" t="s">
        <v>1084</v>
      </c>
      <c r="F1443" s="8" t="s">
        <v>65</v>
      </c>
      <c r="G1443" s="1">
        <v>1</v>
      </c>
      <c r="H1443" s="1"/>
      <c r="I1443" s="1">
        <f>1813-26</f>
        <v>1787</v>
      </c>
      <c r="J1443" t="s">
        <v>69</v>
      </c>
      <c r="K1443" t="s">
        <v>12</v>
      </c>
      <c r="Q1443">
        <v>5</v>
      </c>
      <c r="R1443">
        <v>3</v>
      </c>
      <c r="T1443" s="5">
        <f t="shared" si="67"/>
        <v>165.89000000000001</v>
      </c>
      <c r="U1443" t="s">
        <v>3670</v>
      </c>
      <c r="AU1443" s="14">
        <v>1</v>
      </c>
      <c r="BC1443" s="55" t="s">
        <v>3671</v>
      </c>
      <c r="BD1443" s="14" t="s">
        <v>338</v>
      </c>
      <c r="BE1443" t="s">
        <v>2407</v>
      </c>
      <c r="BF1443" s="1" t="s">
        <v>339</v>
      </c>
      <c r="BG1443" s="1">
        <v>2</v>
      </c>
      <c r="BH1443">
        <v>1</v>
      </c>
      <c r="BK1443" s="1">
        <v>1</v>
      </c>
      <c r="BM1443">
        <v>1</v>
      </c>
      <c r="BQ1443">
        <v>1</v>
      </c>
      <c r="CS1443" s="14" t="s">
        <v>1786</v>
      </c>
    </row>
    <row r="1444" spans="1:98">
      <c r="A1444" t="s">
        <v>72</v>
      </c>
      <c r="B1444" t="s">
        <v>3646</v>
      </c>
      <c r="C1444" s="15"/>
      <c r="D1444" s="15"/>
      <c r="F1444" t="s">
        <v>7</v>
      </c>
      <c r="G1444" s="1"/>
      <c r="H1444" s="1"/>
      <c r="I1444" s="1"/>
      <c r="J1444" t="s">
        <v>10</v>
      </c>
      <c r="T1444" s="5"/>
      <c r="U1444" t="s">
        <v>3647</v>
      </c>
      <c r="AU1444" s="54">
        <v>1</v>
      </c>
      <c r="AV1444" s="54">
        <v>1</v>
      </c>
      <c r="AW1444" s="54">
        <v>1</v>
      </c>
      <c r="AX1444" s="7">
        <v>1</v>
      </c>
      <c r="BC1444" t="s">
        <v>3643</v>
      </c>
      <c r="BD1444" s="7" t="s">
        <v>103</v>
      </c>
      <c r="BE1444" t="s">
        <v>2407</v>
      </c>
      <c r="BF1444" s="1" t="s">
        <v>29</v>
      </c>
      <c r="BG1444" s="1">
        <v>4</v>
      </c>
      <c r="BH1444">
        <v>1</v>
      </c>
      <c r="BK1444" s="1">
        <v>1</v>
      </c>
      <c r="BM1444">
        <v>1</v>
      </c>
      <c r="BQ1444">
        <v>1</v>
      </c>
      <c r="CS1444" s="7" t="s">
        <v>3644</v>
      </c>
    </row>
    <row r="1445" spans="1:98">
      <c r="A1445" t="s">
        <v>72</v>
      </c>
      <c r="B1445" t="s">
        <v>487</v>
      </c>
      <c r="C1445" s="15"/>
      <c r="D1445" s="15"/>
      <c r="F1445" t="s">
        <v>7</v>
      </c>
      <c r="G1445" s="1"/>
      <c r="H1445" s="1"/>
      <c r="I1445" s="1"/>
      <c r="J1445" t="s">
        <v>10</v>
      </c>
      <c r="T1445" s="5"/>
      <c r="U1445" t="s">
        <v>3648</v>
      </c>
      <c r="AU1445" s="54">
        <v>1</v>
      </c>
      <c r="AV1445" s="54">
        <v>1</v>
      </c>
      <c r="AW1445" s="54">
        <v>1</v>
      </c>
      <c r="AX1445" s="7">
        <v>1</v>
      </c>
      <c r="BC1445" t="s">
        <v>3643</v>
      </c>
      <c r="BD1445" s="7" t="s">
        <v>103</v>
      </c>
      <c r="BE1445" t="s">
        <v>2407</v>
      </c>
      <c r="BF1445" s="1" t="s">
        <v>29</v>
      </c>
      <c r="BG1445" s="1">
        <v>4</v>
      </c>
      <c r="BH1445">
        <v>1</v>
      </c>
      <c r="BK1445" s="1">
        <v>1</v>
      </c>
      <c r="BM1445">
        <v>1</v>
      </c>
      <c r="BQ1445">
        <v>1</v>
      </c>
      <c r="CS1445" s="7" t="s">
        <v>3644</v>
      </c>
    </row>
    <row r="1446" spans="1:98">
      <c r="B1446" t="s">
        <v>3720</v>
      </c>
      <c r="C1446" s="2" t="s">
        <v>3589</v>
      </c>
      <c r="D1446" s="2" t="s">
        <v>3150</v>
      </c>
      <c r="E1446" s="8" t="s">
        <v>2991</v>
      </c>
      <c r="F1446" s="8" t="s">
        <v>357</v>
      </c>
      <c r="G1446" s="1">
        <v>1</v>
      </c>
      <c r="H1446" s="1"/>
      <c r="I1446" s="1"/>
      <c r="J1446" t="s">
        <v>10</v>
      </c>
      <c r="K1446" t="s">
        <v>12</v>
      </c>
      <c r="Q1446">
        <v>5</v>
      </c>
      <c r="R1446">
        <v>6</v>
      </c>
      <c r="S1446">
        <v>3</v>
      </c>
      <c r="T1446" s="5">
        <f t="shared" si="67"/>
        <v>174.44</v>
      </c>
      <c r="U1446" t="s">
        <v>3648</v>
      </c>
      <c r="AU1446" s="6">
        <v>1</v>
      </c>
      <c r="AV1446" s="6">
        <v>1</v>
      </c>
      <c r="AW1446" s="6">
        <v>1</v>
      </c>
      <c r="AX1446" s="6">
        <v>1</v>
      </c>
      <c r="AY1446" s="6">
        <v>1</v>
      </c>
      <c r="AZ1446" s="6">
        <v>1</v>
      </c>
      <c r="BA1446" s="6">
        <v>1</v>
      </c>
      <c r="BB1446" s="6">
        <v>1</v>
      </c>
      <c r="BC1446">
        <v>1820</v>
      </c>
      <c r="BD1446" s="7" t="s">
        <v>81</v>
      </c>
      <c r="BE1446" t="s">
        <v>2407</v>
      </c>
      <c r="BF1446" s="1" t="s">
        <v>73</v>
      </c>
      <c r="BG1446" s="1">
        <v>5</v>
      </c>
      <c r="BH1446">
        <v>2</v>
      </c>
      <c r="BK1446" s="1">
        <v>1</v>
      </c>
      <c r="BQ1446">
        <v>1</v>
      </c>
      <c r="CL1446">
        <v>1</v>
      </c>
      <c r="CS1446" t="s">
        <v>3705</v>
      </c>
    </row>
    <row r="1447" spans="1:98">
      <c r="B1447" t="s">
        <v>3678</v>
      </c>
      <c r="C1447" s="8" t="s">
        <v>3679</v>
      </c>
      <c r="D1447" s="2" t="s">
        <v>3680</v>
      </c>
      <c r="E1447" s="8" t="s">
        <v>869</v>
      </c>
      <c r="F1447" s="8" t="s">
        <v>65</v>
      </c>
      <c r="G1447" s="1">
        <v>1</v>
      </c>
      <c r="H1447" s="1"/>
      <c r="I1447" s="1">
        <f>1813-26</f>
        <v>1787</v>
      </c>
      <c r="J1447" t="s">
        <v>10</v>
      </c>
      <c r="K1447" t="s">
        <v>12</v>
      </c>
      <c r="Q1447">
        <v>5</v>
      </c>
      <c r="R1447">
        <v>3</v>
      </c>
      <c r="T1447" s="5">
        <f t="shared" si="67"/>
        <v>165.89000000000001</v>
      </c>
      <c r="U1447" t="s">
        <v>3681</v>
      </c>
      <c r="AU1447" s="6">
        <v>1</v>
      </c>
      <c r="AV1447" s="6">
        <v>1</v>
      </c>
      <c r="AW1447" s="6">
        <v>1</v>
      </c>
      <c r="AX1447" s="6">
        <v>1</v>
      </c>
      <c r="AY1447" s="6">
        <v>1</v>
      </c>
      <c r="BC1447">
        <v>1817</v>
      </c>
      <c r="BD1447" t="s">
        <v>81</v>
      </c>
      <c r="BE1447" s="10" t="s">
        <v>2407</v>
      </c>
      <c r="BF1447" s="1" t="s">
        <v>73</v>
      </c>
      <c r="BG1447" s="1">
        <v>7</v>
      </c>
      <c r="BH1447">
        <v>2</v>
      </c>
      <c r="BK1447" s="1">
        <v>1</v>
      </c>
      <c r="BQ1447">
        <v>1</v>
      </c>
      <c r="CL1447" s="10">
        <v>1</v>
      </c>
      <c r="CS1447" s="10" t="s">
        <v>3437</v>
      </c>
    </row>
    <row r="1448" spans="1:98">
      <c r="B1448" t="s">
        <v>3502</v>
      </c>
      <c r="C1448" s="8" t="s">
        <v>3503</v>
      </c>
      <c r="D1448" s="15"/>
      <c r="F1448" s="8" t="s">
        <v>88</v>
      </c>
      <c r="G1448" s="1"/>
      <c r="H1448" s="1">
        <v>1</v>
      </c>
      <c r="I1448" s="1">
        <f>1818-34</f>
        <v>1784</v>
      </c>
      <c r="J1448" t="s">
        <v>10</v>
      </c>
      <c r="K1448" s="8" t="s">
        <v>3504</v>
      </c>
      <c r="Q1448">
        <v>5</v>
      </c>
      <c r="R1448">
        <v>3</v>
      </c>
      <c r="T1448" s="5">
        <f t="shared" si="67"/>
        <v>165.89000000000001</v>
      </c>
      <c r="U1448" t="s">
        <v>3505</v>
      </c>
      <c r="AU1448" s="6">
        <v>1</v>
      </c>
      <c r="AV1448" s="6">
        <v>1</v>
      </c>
      <c r="AW1448" s="6">
        <v>1</v>
      </c>
      <c r="AX1448" s="6">
        <v>1</v>
      </c>
      <c r="AY1448" s="6">
        <v>1</v>
      </c>
      <c r="AZ1448" s="6">
        <v>1</v>
      </c>
      <c r="BA1448" s="7">
        <v>1</v>
      </c>
      <c r="BC1448" t="s">
        <v>3506</v>
      </c>
      <c r="BD1448" s="7" t="s">
        <v>26</v>
      </c>
      <c r="BE1448" t="s">
        <v>3507</v>
      </c>
      <c r="BF1448" s="1" t="s">
        <v>29</v>
      </c>
      <c r="BG1448" s="1">
        <v>3</v>
      </c>
      <c r="BH1448">
        <v>1</v>
      </c>
      <c r="BK1448" s="1"/>
      <c r="BO1448">
        <v>1</v>
      </c>
      <c r="BT1448">
        <v>1</v>
      </c>
      <c r="CS1448" s="7" t="s">
        <v>1326</v>
      </c>
    </row>
    <row r="1449" spans="1:98">
      <c r="B1449" t="s">
        <v>3252</v>
      </c>
      <c r="C1449" s="2" t="s">
        <v>3253</v>
      </c>
      <c r="D1449" s="2" t="s">
        <v>3254</v>
      </c>
      <c r="E1449" s="8" t="s">
        <v>430</v>
      </c>
      <c r="F1449" s="8" t="s">
        <v>218</v>
      </c>
      <c r="G1449" s="1">
        <v>1</v>
      </c>
      <c r="H1449" s="1"/>
      <c r="I1449" s="1">
        <f>1819-25</f>
        <v>1794</v>
      </c>
      <c r="J1449" t="s">
        <v>10</v>
      </c>
      <c r="K1449" t="s">
        <v>12</v>
      </c>
      <c r="Q1449">
        <v>5</v>
      </c>
      <c r="R1449">
        <v>2</v>
      </c>
      <c r="S1449">
        <v>2</v>
      </c>
      <c r="T1449" s="5">
        <f t="shared" si="67"/>
        <v>163.69999999999999</v>
      </c>
      <c r="U1449" t="s">
        <v>3255</v>
      </c>
      <c r="AU1449" s="6">
        <v>1</v>
      </c>
      <c r="AV1449" s="6">
        <v>1</v>
      </c>
      <c r="AW1449" s="6">
        <v>1</v>
      </c>
      <c r="AX1449" s="6">
        <v>1</v>
      </c>
      <c r="AY1449" s="6">
        <v>1</v>
      </c>
      <c r="AZ1449" s="6">
        <v>1</v>
      </c>
      <c r="BA1449" s="6">
        <v>1</v>
      </c>
      <c r="BB1449" s="6">
        <v>1</v>
      </c>
      <c r="BC1449">
        <v>1820</v>
      </c>
      <c r="BD1449" t="s">
        <v>81</v>
      </c>
      <c r="BE1449" t="s">
        <v>3256</v>
      </c>
      <c r="BF1449" s="1" t="s">
        <v>73</v>
      </c>
      <c r="BG1449" s="1">
        <v>3</v>
      </c>
      <c r="BH1449">
        <v>2</v>
      </c>
      <c r="BK1449" s="1">
        <v>1</v>
      </c>
      <c r="BQ1449">
        <v>1</v>
      </c>
      <c r="BT1449">
        <v>1</v>
      </c>
      <c r="CL1449">
        <v>1</v>
      </c>
      <c r="CS1449" t="s">
        <v>3257</v>
      </c>
    </row>
    <row r="1450" spans="1:98">
      <c r="B1450" t="s">
        <v>1198</v>
      </c>
      <c r="C1450" s="2" t="s">
        <v>1199</v>
      </c>
      <c r="D1450" s="2" t="s">
        <v>1199</v>
      </c>
      <c r="E1450" s="8" t="s">
        <v>1200</v>
      </c>
      <c r="F1450" s="8" t="s">
        <v>218</v>
      </c>
      <c r="G1450" s="1">
        <v>1</v>
      </c>
      <c r="H1450" s="1"/>
      <c r="I1450" s="1">
        <f>1819-28</f>
        <v>1791</v>
      </c>
      <c r="J1450" t="s">
        <v>10</v>
      </c>
      <c r="K1450" t="s">
        <v>12</v>
      </c>
      <c r="Q1450">
        <v>5</v>
      </c>
      <c r="R1450">
        <v>7</v>
      </c>
      <c r="S1450">
        <v>1</v>
      </c>
      <c r="T1450" s="5">
        <f t="shared" si="67"/>
        <v>176.63</v>
      </c>
      <c r="U1450" t="s">
        <v>1201</v>
      </c>
      <c r="AQ1450" s="40"/>
      <c r="AR1450" s="40"/>
      <c r="AS1450" s="40"/>
      <c r="AT1450" s="40"/>
      <c r="AU1450" s="6">
        <v>1</v>
      </c>
      <c r="AV1450" s="6">
        <v>1</v>
      </c>
      <c r="AW1450" s="6">
        <v>1</v>
      </c>
      <c r="AX1450" s="6">
        <v>1</v>
      </c>
      <c r="AY1450" s="6">
        <v>1</v>
      </c>
      <c r="AZ1450" s="6">
        <v>1</v>
      </c>
      <c r="BA1450" s="6">
        <v>1</v>
      </c>
      <c r="BB1450" s="6">
        <v>1</v>
      </c>
      <c r="BC1450">
        <v>1820</v>
      </c>
      <c r="BD1450" t="s">
        <v>81</v>
      </c>
      <c r="BE1450" t="s">
        <v>1202</v>
      </c>
      <c r="BF1450" s="1" t="s">
        <v>73</v>
      </c>
      <c r="BG1450" s="1">
        <v>2</v>
      </c>
      <c r="BH1450">
        <v>2</v>
      </c>
      <c r="BK1450" s="1" t="s">
        <v>72</v>
      </c>
      <c r="BQ1450">
        <v>1</v>
      </c>
      <c r="CF1450">
        <v>1</v>
      </c>
      <c r="CL1450">
        <v>1</v>
      </c>
      <c r="CS1450" t="s">
        <v>1203</v>
      </c>
      <c r="CT1450" s="9" t="s">
        <v>1204</v>
      </c>
    </row>
    <row r="1451" spans="1:98">
      <c r="B1451" t="s">
        <v>763</v>
      </c>
      <c r="C1451" s="15" t="s">
        <v>764</v>
      </c>
      <c r="E1451" s="8" t="s">
        <v>765</v>
      </c>
      <c r="F1451" s="8" t="s">
        <v>247</v>
      </c>
      <c r="G1451" s="1">
        <v>1</v>
      </c>
      <c r="H1451" s="1"/>
      <c r="I1451" s="1">
        <f>1814-28</f>
        <v>1786</v>
      </c>
      <c r="J1451" t="s">
        <v>10</v>
      </c>
      <c r="K1451" t="s">
        <v>12</v>
      </c>
      <c r="Q1451">
        <v>5</v>
      </c>
      <c r="R1451">
        <v>3</v>
      </c>
      <c r="S1451">
        <v>2</v>
      </c>
      <c r="T1451" s="5">
        <f t="shared" si="67"/>
        <v>166.33</v>
      </c>
      <c r="U1451" t="s">
        <v>766</v>
      </c>
      <c r="AV1451" s="6">
        <v>1</v>
      </c>
      <c r="BC1451">
        <v>1814</v>
      </c>
      <c r="BD1451" t="s">
        <v>81</v>
      </c>
      <c r="BE1451" t="s">
        <v>767</v>
      </c>
      <c r="BF1451" s="1" t="s">
        <v>73</v>
      </c>
      <c r="BG1451" s="1">
        <v>1</v>
      </c>
      <c r="BH1451">
        <v>1</v>
      </c>
      <c r="BK1451" s="1">
        <v>1</v>
      </c>
      <c r="BW1451">
        <v>1</v>
      </c>
      <c r="CS1451" t="s">
        <v>768</v>
      </c>
    </row>
    <row r="1452" spans="1:98">
      <c r="B1452" t="s">
        <v>1267</v>
      </c>
      <c r="C1452" s="2" t="s">
        <v>1266</v>
      </c>
      <c r="F1452" s="8" t="s">
        <v>218</v>
      </c>
      <c r="G1452" s="1">
        <v>1</v>
      </c>
      <c r="H1452" s="1"/>
      <c r="I1452" s="1">
        <f>1815-27</f>
        <v>1788</v>
      </c>
      <c r="J1452" t="s">
        <v>10</v>
      </c>
      <c r="K1452" t="s">
        <v>4557</v>
      </c>
      <c r="T1452" s="5"/>
      <c r="U1452" s="9" t="s">
        <v>1265</v>
      </c>
      <c r="AV1452" s="9">
        <v>1</v>
      </c>
      <c r="AW1452" s="6">
        <v>1</v>
      </c>
      <c r="AX1452" s="7">
        <v>1</v>
      </c>
      <c r="BC1452" t="s">
        <v>1262</v>
      </c>
      <c r="BD1452" s="7" t="s">
        <v>103</v>
      </c>
      <c r="BE1452" t="s">
        <v>1263</v>
      </c>
      <c r="BF1452" s="1" t="s">
        <v>29</v>
      </c>
      <c r="BG1452" s="1">
        <v>1</v>
      </c>
      <c r="BH1452">
        <v>2</v>
      </c>
      <c r="BK1452" s="1"/>
      <c r="BO1452">
        <v>1</v>
      </c>
      <c r="BP1452">
        <v>1</v>
      </c>
      <c r="CC1452">
        <v>1</v>
      </c>
      <c r="CJ1452">
        <v>1</v>
      </c>
      <c r="CS1452" s="7" t="s">
        <v>1000</v>
      </c>
      <c r="CT1452" s="9" t="s">
        <v>1264</v>
      </c>
    </row>
    <row r="1453" spans="1:98">
      <c r="B1453" t="s">
        <v>1304</v>
      </c>
      <c r="C1453" s="2" t="s">
        <v>1305</v>
      </c>
      <c r="D1453" s="2" t="s">
        <v>1305</v>
      </c>
      <c r="E1453" s="8" t="s">
        <v>1306</v>
      </c>
      <c r="F1453" s="8" t="s">
        <v>65</v>
      </c>
      <c r="G1453" s="1">
        <v>1</v>
      </c>
      <c r="H1453" s="1"/>
      <c r="I1453" s="1">
        <f>1817-43</f>
        <v>1774</v>
      </c>
      <c r="J1453" t="s">
        <v>69</v>
      </c>
      <c r="K1453" t="s">
        <v>12</v>
      </c>
      <c r="N1453">
        <v>1</v>
      </c>
      <c r="Q1453">
        <v>5</v>
      </c>
      <c r="R1453">
        <v>1</v>
      </c>
      <c r="T1453" s="5">
        <f t="shared" ref="T1453:T1465" si="68">((Q1453*316)+(R1453*26.3)+(S1453*2.2))/10</f>
        <v>160.63</v>
      </c>
      <c r="U1453" t="s">
        <v>1303</v>
      </c>
      <c r="AV1453" s="6">
        <v>1</v>
      </c>
      <c r="AW1453" s="6">
        <v>1</v>
      </c>
      <c r="AX1453" s="6">
        <v>1</v>
      </c>
      <c r="AY1453" s="6">
        <v>1</v>
      </c>
      <c r="AZ1453" s="6">
        <v>1</v>
      </c>
      <c r="BA1453" s="6">
        <v>1</v>
      </c>
      <c r="BB1453" s="6">
        <v>1</v>
      </c>
      <c r="BC1453">
        <v>1820</v>
      </c>
      <c r="BD1453" t="s">
        <v>81</v>
      </c>
      <c r="BE1453" t="s">
        <v>1307</v>
      </c>
      <c r="BF1453" s="1" t="s">
        <v>73</v>
      </c>
      <c r="BG1453" s="1">
        <v>5</v>
      </c>
      <c r="BH1453">
        <v>3</v>
      </c>
      <c r="BI1453">
        <v>1</v>
      </c>
      <c r="BK1453" s="29" t="s">
        <v>72</v>
      </c>
      <c r="BQ1453">
        <v>1</v>
      </c>
      <c r="CL1453">
        <v>1</v>
      </c>
      <c r="CS1453" t="s">
        <v>1308</v>
      </c>
      <c r="CT1453" s="9" t="s">
        <v>1309</v>
      </c>
    </row>
    <row r="1454" spans="1:98">
      <c r="B1454" t="s">
        <v>1143</v>
      </c>
      <c r="C1454" s="2" t="s">
        <v>1144</v>
      </c>
      <c r="D1454" s="2" t="s">
        <v>1144</v>
      </c>
      <c r="E1454" s="8" t="s">
        <v>1145</v>
      </c>
      <c r="F1454" s="8" t="s">
        <v>218</v>
      </c>
      <c r="G1454" s="1">
        <v>1</v>
      </c>
      <c r="H1454" s="1"/>
      <c r="I1454" s="1">
        <f>1817-24</f>
        <v>1793</v>
      </c>
      <c r="J1454" t="s">
        <v>10</v>
      </c>
      <c r="K1454" t="s">
        <v>1146</v>
      </c>
      <c r="Q1454">
        <v>5</v>
      </c>
      <c r="R1454">
        <v>2</v>
      </c>
      <c r="S1454">
        <v>2</v>
      </c>
      <c r="T1454" s="5">
        <f t="shared" si="68"/>
        <v>163.69999999999999</v>
      </c>
      <c r="U1454" t="s">
        <v>1271</v>
      </c>
      <c r="AV1454" s="6">
        <v>1</v>
      </c>
      <c r="AW1454" s="6">
        <v>1</v>
      </c>
      <c r="AX1454" s="6">
        <v>1</v>
      </c>
      <c r="AY1454" s="6">
        <v>1</v>
      </c>
      <c r="AZ1454" s="6">
        <v>1</v>
      </c>
      <c r="BA1454" s="6">
        <v>1</v>
      </c>
      <c r="BB1454" s="6">
        <v>1</v>
      </c>
      <c r="BC1454">
        <v>1820</v>
      </c>
      <c r="BD1454" t="s">
        <v>81</v>
      </c>
      <c r="BE1454" t="s">
        <v>1147</v>
      </c>
      <c r="BF1454" s="1" t="s">
        <v>73</v>
      </c>
      <c r="BG1454" s="1">
        <v>5</v>
      </c>
      <c r="BH1454">
        <v>2</v>
      </c>
      <c r="BK1454" s="1">
        <v>1</v>
      </c>
      <c r="BQ1454">
        <v>1</v>
      </c>
      <c r="CL1454">
        <v>1</v>
      </c>
      <c r="CS1454" t="s">
        <v>1148</v>
      </c>
    </row>
    <row r="1455" spans="1:98">
      <c r="B1455" t="s">
        <v>1298</v>
      </c>
      <c r="C1455" s="2" t="s">
        <v>1299</v>
      </c>
      <c r="D1455" s="15"/>
      <c r="E1455" s="8" t="s">
        <v>4085</v>
      </c>
      <c r="F1455" s="8" t="s">
        <v>247</v>
      </c>
      <c r="G1455" s="1">
        <v>1</v>
      </c>
      <c r="H1455" s="1"/>
      <c r="I1455" s="1">
        <f>1817-20</f>
        <v>1797</v>
      </c>
      <c r="J1455" t="s">
        <v>10</v>
      </c>
      <c r="K1455" t="s">
        <v>12</v>
      </c>
      <c r="Q1455">
        <v>5</v>
      </c>
      <c r="R1455">
        <v>3</v>
      </c>
      <c r="S1455">
        <v>3</v>
      </c>
      <c r="T1455" s="5">
        <f t="shared" si="68"/>
        <v>166.55</v>
      </c>
      <c r="U1455" t="s">
        <v>1300</v>
      </c>
      <c r="AV1455" s="6">
        <v>1</v>
      </c>
      <c r="AW1455" s="6">
        <v>1</v>
      </c>
      <c r="AX1455" s="6">
        <v>1</v>
      </c>
      <c r="AY1455" s="6">
        <v>1</v>
      </c>
      <c r="AZ1455" s="6">
        <v>1</v>
      </c>
      <c r="BA1455" s="6">
        <v>1</v>
      </c>
      <c r="BB1455" s="6">
        <v>1</v>
      </c>
      <c r="BC1455">
        <v>1820</v>
      </c>
      <c r="BD1455" t="s">
        <v>81</v>
      </c>
      <c r="BE1455" t="s">
        <v>1301</v>
      </c>
      <c r="BF1455" s="1" t="s">
        <v>73</v>
      </c>
      <c r="BG1455" s="1">
        <v>5</v>
      </c>
      <c r="BH1455">
        <v>1</v>
      </c>
      <c r="BI1455">
        <v>1</v>
      </c>
      <c r="BJ1455">
        <v>1</v>
      </c>
      <c r="BK1455" s="1">
        <v>1</v>
      </c>
      <c r="BQ1455">
        <v>1</v>
      </c>
      <c r="CI1455">
        <v>1</v>
      </c>
      <c r="CS1455" t="s">
        <v>1302</v>
      </c>
    </row>
    <row r="1456" spans="1:98">
      <c r="B1456" t="s">
        <v>769</v>
      </c>
      <c r="C1456" s="15" t="s">
        <v>770</v>
      </c>
      <c r="F1456" s="8" t="s">
        <v>247</v>
      </c>
      <c r="G1456" s="1">
        <v>1</v>
      </c>
      <c r="H1456" s="1"/>
      <c r="I1456" s="1">
        <f>1814-25</f>
        <v>1789</v>
      </c>
      <c r="J1456" t="s">
        <v>69</v>
      </c>
      <c r="K1456" t="s">
        <v>771</v>
      </c>
      <c r="Q1456">
        <v>5</v>
      </c>
      <c r="R1456">
        <v>3</v>
      </c>
      <c r="S1456">
        <v>1</v>
      </c>
      <c r="T1456" s="5">
        <f t="shared" si="68"/>
        <v>166.11</v>
      </c>
      <c r="U1456" t="s">
        <v>772</v>
      </c>
      <c r="AV1456" s="6">
        <v>1</v>
      </c>
      <c r="BC1456">
        <v>1814</v>
      </c>
      <c r="BD1456" t="s">
        <v>81</v>
      </c>
      <c r="BE1456" t="s">
        <v>773</v>
      </c>
      <c r="BF1456" s="1" t="s">
        <v>73</v>
      </c>
      <c r="BG1456" s="1">
        <v>1</v>
      </c>
      <c r="BH1456">
        <v>1</v>
      </c>
      <c r="BK1456" s="1">
        <v>1</v>
      </c>
      <c r="BQ1456">
        <v>1</v>
      </c>
      <c r="CS1456" t="s">
        <v>774</v>
      </c>
    </row>
    <row r="1457" spans="2:98">
      <c r="B1457" t="s">
        <v>3000</v>
      </c>
      <c r="C1457" s="2" t="s">
        <v>1305</v>
      </c>
      <c r="D1457" s="3" t="s">
        <v>3001</v>
      </c>
      <c r="E1457" s="8" t="s">
        <v>1306</v>
      </c>
      <c r="F1457" s="8" t="s">
        <v>65</v>
      </c>
      <c r="G1457" s="1">
        <v>1</v>
      </c>
      <c r="H1457" s="1"/>
      <c r="I1457" s="1">
        <f>1820-25</f>
        <v>1795</v>
      </c>
      <c r="J1457" t="s">
        <v>10</v>
      </c>
      <c r="K1457" t="s">
        <v>12</v>
      </c>
      <c r="Q1457">
        <v>5</v>
      </c>
      <c r="R1457">
        <v>1</v>
      </c>
      <c r="S1457">
        <v>2</v>
      </c>
      <c r="T1457" s="5">
        <f t="shared" si="68"/>
        <v>161.07</v>
      </c>
      <c r="U1457" t="s">
        <v>3002</v>
      </c>
      <c r="AV1457" s="6">
        <v>1</v>
      </c>
      <c r="AW1457" s="6">
        <v>1</v>
      </c>
      <c r="AX1457" s="6">
        <v>1</v>
      </c>
      <c r="AY1457" s="6">
        <v>1</v>
      </c>
      <c r="AZ1457" s="6">
        <v>1</v>
      </c>
      <c r="BA1457" s="6">
        <v>1</v>
      </c>
      <c r="BB1457" s="6">
        <v>1</v>
      </c>
      <c r="BC1457">
        <v>1820</v>
      </c>
      <c r="BD1457" t="s">
        <v>81</v>
      </c>
      <c r="BE1457" t="s">
        <v>1904</v>
      </c>
      <c r="BF1457" s="1" t="s">
        <v>73</v>
      </c>
      <c r="BG1457" s="1">
        <v>4</v>
      </c>
      <c r="BH1457">
        <v>1</v>
      </c>
      <c r="BK1457" s="1">
        <v>1</v>
      </c>
      <c r="BQ1457">
        <v>1</v>
      </c>
      <c r="CF1457">
        <v>1</v>
      </c>
      <c r="CQ1457">
        <v>1</v>
      </c>
      <c r="CS1457" t="s">
        <v>3003</v>
      </c>
    </row>
    <row r="1458" spans="2:98">
      <c r="B1458" t="s">
        <v>395</v>
      </c>
      <c r="C1458" s="2" t="s">
        <v>4088</v>
      </c>
      <c r="E1458" s="8" t="s">
        <v>397</v>
      </c>
      <c r="F1458" s="8" t="s">
        <v>247</v>
      </c>
      <c r="G1458" s="1">
        <v>1</v>
      </c>
      <c r="H1458" s="1"/>
      <c r="I1458" s="1">
        <f>1819-26</f>
        <v>1793</v>
      </c>
      <c r="J1458" t="s">
        <v>10</v>
      </c>
      <c r="K1458" t="s">
        <v>12</v>
      </c>
      <c r="Q1458">
        <v>5</v>
      </c>
      <c r="R1458">
        <v>1</v>
      </c>
      <c r="S1458">
        <v>2</v>
      </c>
      <c r="T1458" s="5">
        <f t="shared" si="68"/>
        <v>161.07</v>
      </c>
      <c r="U1458" t="s">
        <v>398</v>
      </c>
      <c r="AV1458" s="6">
        <v>1</v>
      </c>
      <c r="AW1458" s="6">
        <v>1</v>
      </c>
      <c r="AX1458" s="6">
        <v>1</v>
      </c>
      <c r="AY1458" s="6">
        <v>1</v>
      </c>
      <c r="AZ1458" s="6">
        <v>1</v>
      </c>
      <c r="BA1458" s="6">
        <v>1</v>
      </c>
      <c r="BB1458" s="6">
        <v>1</v>
      </c>
      <c r="BC1458">
        <v>1820</v>
      </c>
      <c r="BD1458" t="s">
        <v>81</v>
      </c>
      <c r="BE1458" t="s">
        <v>399</v>
      </c>
      <c r="BF1458" s="1" t="s">
        <v>73</v>
      </c>
      <c r="BG1458" s="1">
        <v>2</v>
      </c>
      <c r="BH1458">
        <v>1</v>
      </c>
      <c r="BK1458" s="1">
        <v>1</v>
      </c>
      <c r="BW1458">
        <v>1</v>
      </c>
      <c r="CQ1458">
        <v>1</v>
      </c>
      <c r="CS1458" t="s">
        <v>400</v>
      </c>
    </row>
    <row r="1459" spans="2:98">
      <c r="B1459" t="s">
        <v>757</v>
      </c>
      <c r="C1459" s="8" t="s">
        <v>758</v>
      </c>
      <c r="E1459" s="8" t="s">
        <v>759</v>
      </c>
      <c r="F1459" s="8" t="s">
        <v>247</v>
      </c>
      <c r="G1459" s="1">
        <v>1</v>
      </c>
      <c r="H1459" s="1"/>
      <c r="I1459" s="1">
        <f>1817-28</f>
        <v>1789</v>
      </c>
      <c r="J1459" t="s">
        <v>10</v>
      </c>
      <c r="K1459" t="s">
        <v>12</v>
      </c>
      <c r="Q1459">
        <v>5</v>
      </c>
      <c r="R1459">
        <v>3</v>
      </c>
      <c r="S1459">
        <v>2</v>
      </c>
      <c r="T1459" s="5">
        <f t="shared" si="68"/>
        <v>166.33</v>
      </c>
      <c r="U1459" t="s">
        <v>760</v>
      </c>
      <c r="AV1459" s="6">
        <v>1</v>
      </c>
      <c r="AW1459" s="6">
        <v>1</v>
      </c>
      <c r="AX1459" s="6">
        <v>1</v>
      </c>
      <c r="AY1459" s="6">
        <v>1</v>
      </c>
      <c r="BC1459">
        <v>1817</v>
      </c>
      <c r="BD1459" t="s">
        <v>81</v>
      </c>
      <c r="BE1459" t="s">
        <v>761</v>
      </c>
      <c r="BF1459" s="1" t="s">
        <v>73</v>
      </c>
      <c r="BG1459" s="1">
        <v>2</v>
      </c>
      <c r="BH1459">
        <v>1</v>
      </c>
      <c r="BK1459" s="1">
        <v>1</v>
      </c>
      <c r="BQ1459">
        <v>1</v>
      </c>
      <c r="CS1459" t="s">
        <v>762</v>
      </c>
    </row>
    <row r="1460" spans="2:98">
      <c r="B1460" t="s">
        <v>776</v>
      </c>
      <c r="C1460" s="2" t="s">
        <v>777</v>
      </c>
      <c r="E1460" s="8" t="s">
        <v>778</v>
      </c>
      <c r="F1460" s="8" t="s">
        <v>247</v>
      </c>
      <c r="G1460" s="1">
        <v>1</v>
      </c>
      <c r="H1460" s="1"/>
      <c r="I1460" s="1">
        <f>1814-17</f>
        <v>1797</v>
      </c>
      <c r="J1460" t="s">
        <v>10</v>
      </c>
      <c r="K1460" t="s">
        <v>12</v>
      </c>
      <c r="Q1460">
        <v>5</v>
      </c>
      <c r="R1460">
        <v>2</v>
      </c>
      <c r="S1460">
        <v>2</v>
      </c>
      <c r="T1460" s="5">
        <f t="shared" si="68"/>
        <v>163.69999999999999</v>
      </c>
      <c r="U1460" t="s">
        <v>775</v>
      </c>
      <c r="AV1460" s="6">
        <v>1</v>
      </c>
      <c r="BC1460">
        <v>1814</v>
      </c>
      <c r="BD1460" t="s">
        <v>81</v>
      </c>
      <c r="BE1460" t="s">
        <v>779</v>
      </c>
      <c r="BF1460" s="1" t="s">
        <v>73</v>
      </c>
      <c r="BG1460" s="1">
        <v>1</v>
      </c>
      <c r="BH1460">
        <v>1</v>
      </c>
      <c r="BK1460" s="1">
        <v>1</v>
      </c>
      <c r="BW1460">
        <v>1</v>
      </c>
      <c r="CS1460" t="s">
        <v>780</v>
      </c>
    </row>
    <row r="1461" spans="2:98">
      <c r="B1461" t="s">
        <v>1869</v>
      </c>
      <c r="C1461" s="15" t="s">
        <v>1870</v>
      </c>
      <c r="E1461" s="8" t="s">
        <v>1105</v>
      </c>
      <c r="F1461" s="8" t="s">
        <v>247</v>
      </c>
      <c r="G1461" s="1">
        <v>1</v>
      </c>
      <c r="H1461" s="1"/>
      <c r="I1461" s="1">
        <f>1818-30</f>
        <v>1788</v>
      </c>
      <c r="J1461" t="s">
        <v>69</v>
      </c>
      <c r="K1461" t="s">
        <v>12</v>
      </c>
      <c r="M1461">
        <v>1</v>
      </c>
      <c r="Q1461">
        <v>5</v>
      </c>
      <c r="R1461">
        <v>3</v>
      </c>
      <c r="S1461">
        <v>3</v>
      </c>
      <c r="T1461" s="5">
        <f>((Q1461*316)+(R1461*26.3)+(S1461*2.2))/10</f>
        <v>166.55</v>
      </c>
      <c r="U1461" t="s">
        <v>2378</v>
      </c>
      <c r="AV1461" s="6">
        <v>1</v>
      </c>
      <c r="AW1461" s="6">
        <v>1</v>
      </c>
      <c r="AX1461" s="6">
        <v>1</v>
      </c>
      <c r="AY1461" s="6">
        <v>1</v>
      </c>
      <c r="AZ1461" s="6">
        <v>1</v>
      </c>
      <c r="BA1461" s="7">
        <v>1</v>
      </c>
      <c r="BC1461" t="s">
        <v>946</v>
      </c>
      <c r="BD1461" s="7" t="s">
        <v>280</v>
      </c>
      <c r="BE1461" t="s">
        <v>1854</v>
      </c>
      <c r="BF1461" s="1" t="s">
        <v>29</v>
      </c>
      <c r="BG1461" s="1">
        <v>3</v>
      </c>
      <c r="BH1461">
        <v>2</v>
      </c>
      <c r="BK1461" s="1">
        <v>1</v>
      </c>
      <c r="BQ1461">
        <v>1</v>
      </c>
      <c r="CL1461">
        <v>1</v>
      </c>
      <c r="CN1461">
        <v>1</v>
      </c>
      <c r="CS1461" s="7" t="s">
        <v>947</v>
      </c>
    </row>
    <row r="1462" spans="2:98">
      <c r="B1462" t="s">
        <v>781</v>
      </c>
      <c r="C1462" s="2" t="s">
        <v>782</v>
      </c>
      <c r="E1462" s="8" t="s">
        <v>393</v>
      </c>
      <c r="F1462" s="8" t="s">
        <v>247</v>
      </c>
      <c r="G1462" s="1">
        <v>1</v>
      </c>
      <c r="H1462" s="1"/>
      <c r="I1462" s="1">
        <f>1814-18</f>
        <v>1796</v>
      </c>
      <c r="J1462" t="s">
        <v>10</v>
      </c>
      <c r="K1462" t="s">
        <v>12</v>
      </c>
      <c r="Q1462">
        <v>5</v>
      </c>
      <c r="R1462">
        <v>5</v>
      </c>
      <c r="S1462">
        <v>2</v>
      </c>
      <c r="T1462" s="5">
        <f t="shared" si="68"/>
        <v>171.59</v>
      </c>
      <c r="U1462" t="s">
        <v>783</v>
      </c>
      <c r="AV1462" s="6">
        <v>1</v>
      </c>
      <c r="BC1462">
        <v>1814</v>
      </c>
      <c r="BD1462" t="s">
        <v>81</v>
      </c>
      <c r="BE1462" t="s">
        <v>773</v>
      </c>
      <c r="BF1462" s="1" t="s">
        <v>73</v>
      </c>
      <c r="BG1462" s="1">
        <v>1</v>
      </c>
      <c r="BH1462">
        <v>1</v>
      </c>
      <c r="BK1462" s="1"/>
      <c r="BO1462">
        <v>1</v>
      </c>
      <c r="BQ1462">
        <v>1</v>
      </c>
      <c r="CS1462" t="s">
        <v>774</v>
      </c>
    </row>
    <row r="1463" spans="2:98">
      <c r="B1463" t="s">
        <v>788</v>
      </c>
      <c r="C1463" s="12" t="s">
        <v>789</v>
      </c>
      <c r="E1463" s="8" t="s">
        <v>787</v>
      </c>
      <c r="F1463" s="8" t="s">
        <v>247</v>
      </c>
      <c r="G1463" s="1">
        <v>1</v>
      </c>
      <c r="H1463" s="1"/>
      <c r="I1463" s="1">
        <f>1814-34</f>
        <v>1780</v>
      </c>
      <c r="J1463" t="s">
        <v>69</v>
      </c>
      <c r="K1463" t="s">
        <v>790</v>
      </c>
      <c r="Q1463">
        <v>5</v>
      </c>
      <c r="R1463">
        <v>5</v>
      </c>
      <c r="S1463">
        <v>2</v>
      </c>
      <c r="T1463" s="5">
        <f t="shared" si="68"/>
        <v>171.59</v>
      </c>
      <c r="U1463" t="s">
        <v>784</v>
      </c>
      <c r="AV1463" s="6">
        <v>1</v>
      </c>
      <c r="BC1463">
        <v>1814</v>
      </c>
      <c r="BD1463" t="s">
        <v>81</v>
      </c>
      <c r="BE1463" t="s">
        <v>773</v>
      </c>
      <c r="BF1463" s="1" t="s">
        <v>73</v>
      </c>
      <c r="BG1463" s="1">
        <v>1</v>
      </c>
      <c r="BH1463">
        <v>1</v>
      </c>
      <c r="BK1463" s="1">
        <v>1</v>
      </c>
      <c r="BQ1463">
        <v>1</v>
      </c>
      <c r="CS1463" t="s">
        <v>774</v>
      </c>
    </row>
    <row r="1464" spans="2:98">
      <c r="B1464" t="s">
        <v>785</v>
      </c>
      <c r="C1464" s="2" t="s">
        <v>786</v>
      </c>
      <c r="E1464" s="8" t="s">
        <v>787</v>
      </c>
      <c r="F1464" s="8" t="s">
        <v>247</v>
      </c>
      <c r="G1464" s="1">
        <v>1</v>
      </c>
      <c r="H1464" s="1"/>
      <c r="I1464" s="1">
        <f>1814-20</f>
        <v>1794</v>
      </c>
      <c r="J1464" t="s">
        <v>10</v>
      </c>
      <c r="K1464" t="s">
        <v>12</v>
      </c>
      <c r="Q1464">
        <v>5</v>
      </c>
      <c r="T1464" s="5">
        <f t="shared" si="68"/>
        <v>158</v>
      </c>
      <c r="U1464" t="s">
        <v>784</v>
      </c>
      <c r="AV1464" s="6">
        <v>1</v>
      </c>
      <c r="BC1464">
        <v>1814</v>
      </c>
      <c r="BD1464" t="s">
        <v>81</v>
      </c>
      <c r="BE1464" t="s">
        <v>773</v>
      </c>
      <c r="BF1464" s="1" t="s">
        <v>73</v>
      </c>
      <c r="BG1464" s="1">
        <v>1</v>
      </c>
      <c r="BH1464">
        <v>1</v>
      </c>
      <c r="BK1464" s="1">
        <v>1</v>
      </c>
      <c r="BQ1464">
        <v>1</v>
      </c>
      <c r="CS1464" t="s">
        <v>774</v>
      </c>
    </row>
    <row r="1465" spans="2:98">
      <c r="B1465" t="s">
        <v>1268</v>
      </c>
      <c r="C1465" s="2" t="s">
        <v>166</v>
      </c>
      <c r="E1465" s="8" t="s">
        <v>481</v>
      </c>
      <c r="F1465" s="8" t="s">
        <v>65</v>
      </c>
      <c r="G1465" s="1">
        <v>1</v>
      </c>
      <c r="H1465" s="1"/>
      <c r="I1465" s="1">
        <f>1815-21</f>
        <v>1794</v>
      </c>
      <c r="J1465" t="s">
        <v>10</v>
      </c>
      <c r="K1465" t="s">
        <v>12</v>
      </c>
      <c r="Q1465">
        <v>5</v>
      </c>
      <c r="T1465" s="5">
        <f t="shared" si="68"/>
        <v>158</v>
      </c>
      <c r="U1465" t="s">
        <v>1269</v>
      </c>
      <c r="AV1465" s="6">
        <v>1</v>
      </c>
      <c r="AW1465" s="6">
        <v>1</v>
      </c>
      <c r="AX1465" s="6">
        <v>1</v>
      </c>
      <c r="BC1465">
        <v>1816</v>
      </c>
      <c r="BD1465" t="s">
        <v>81</v>
      </c>
      <c r="BE1465" s="10" t="s">
        <v>1263</v>
      </c>
      <c r="BF1465" s="1" t="s">
        <v>73</v>
      </c>
      <c r="BG1465" s="1">
        <v>1</v>
      </c>
      <c r="BH1465">
        <v>5</v>
      </c>
      <c r="BI1465">
        <v>1</v>
      </c>
      <c r="BJ1465">
        <v>1</v>
      </c>
      <c r="BK1465" s="1">
        <v>1</v>
      </c>
      <c r="BQ1465">
        <v>1</v>
      </c>
      <c r="BV1465">
        <v>1</v>
      </c>
      <c r="CC1465">
        <v>1</v>
      </c>
      <c r="CL1465" s="10">
        <v>1</v>
      </c>
      <c r="CS1465" s="10" t="s">
        <v>1270</v>
      </c>
    </row>
    <row r="1466" spans="2:98">
      <c r="B1466" t="s">
        <v>1259</v>
      </c>
      <c r="C1466" s="8" t="s">
        <v>1261</v>
      </c>
      <c r="F1466" s="8" t="s">
        <v>218</v>
      </c>
      <c r="G1466" s="1">
        <v>1</v>
      </c>
      <c r="H1466" s="1"/>
      <c r="I1466" s="1">
        <f>1815-19</f>
        <v>1796</v>
      </c>
      <c r="J1466" t="s">
        <v>10</v>
      </c>
      <c r="K1466" t="s">
        <v>4557</v>
      </c>
      <c r="T1466" s="5"/>
      <c r="U1466" s="9" t="s">
        <v>1260</v>
      </c>
      <c r="AV1466" s="9">
        <v>1</v>
      </c>
      <c r="AW1466" s="6">
        <v>1</v>
      </c>
      <c r="AX1466" s="7">
        <v>1</v>
      </c>
      <c r="BC1466" t="s">
        <v>1262</v>
      </c>
      <c r="BD1466" s="7" t="s">
        <v>103</v>
      </c>
      <c r="BE1466" t="s">
        <v>1263</v>
      </c>
      <c r="BF1466" s="1" t="s">
        <v>29</v>
      </c>
      <c r="BG1466" s="1">
        <v>1</v>
      </c>
      <c r="BH1466">
        <v>2</v>
      </c>
      <c r="BK1466" s="1"/>
      <c r="BO1466">
        <v>1</v>
      </c>
      <c r="BP1466">
        <v>1</v>
      </c>
      <c r="CC1466">
        <v>1</v>
      </c>
      <c r="CJ1466">
        <v>1</v>
      </c>
      <c r="CS1466" s="7" t="s">
        <v>1000</v>
      </c>
      <c r="CT1466" s="9" t="s">
        <v>1264</v>
      </c>
    </row>
    <row r="1467" spans="2:98">
      <c r="B1467" t="s">
        <v>3718</v>
      </c>
      <c r="C1467" s="2" t="s">
        <v>3322</v>
      </c>
      <c r="E1467" s="8" t="s">
        <v>2991</v>
      </c>
      <c r="F1467" s="8" t="s">
        <v>357</v>
      </c>
      <c r="G1467" s="1">
        <v>1</v>
      </c>
      <c r="H1467" s="1"/>
      <c r="I1467" s="1">
        <f>1819-32</f>
        <v>1787</v>
      </c>
      <c r="J1467" t="s">
        <v>10</v>
      </c>
      <c r="K1467" t="s">
        <v>12</v>
      </c>
      <c r="Q1467">
        <v>5</v>
      </c>
      <c r="R1467">
        <v>2</v>
      </c>
      <c r="S1467">
        <v>3</v>
      </c>
      <c r="T1467" s="5">
        <f t="shared" ref="T1467:T1504" si="69">((Q1467*316)+(R1467*26.3)+(S1467*2.2))/10</f>
        <v>163.92</v>
      </c>
      <c r="U1467" t="s">
        <v>3719</v>
      </c>
      <c r="AV1467" s="6">
        <v>1</v>
      </c>
      <c r="AW1467" s="6">
        <v>1</v>
      </c>
      <c r="AX1467" s="6">
        <v>1</v>
      </c>
      <c r="AY1467" s="6">
        <v>1</v>
      </c>
      <c r="AZ1467" s="6">
        <v>1</v>
      </c>
      <c r="BA1467" s="6">
        <v>1</v>
      </c>
      <c r="BB1467" s="6">
        <v>1</v>
      </c>
      <c r="BC1467">
        <v>1820</v>
      </c>
      <c r="BD1467" t="s">
        <v>81</v>
      </c>
      <c r="BE1467" t="s">
        <v>2407</v>
      </c>
      <c r="BF1467" s="1" t="s">
        <v>73</v>
      </c>
      <c r="BG1467" s="1">
        <v>4</v>
      </c>
      <c r="BH1467">
        <v>2</v>
      </c>
      <c r="BI1467">
        <v>1</v>
      </c>
      <c r="BK1467" s="30">
        <v>1</v>
      </c>
      <c r="BQ1467">
        <v>1</v>
      </c>
      <c r="CL1467">
        <v>1</v>
      </c>
      <c r="CS1467" t="s">
        <v>3705</v>
      </c>
      <c r="CT1467" s="6" t="s">
        <v>3177</v>
      </c>
    </row>
    <row r="1468" spans="2:98">
      <c r="B1468" t="s">
        <v>791</v>
      </c>
      <c r="C1468" s="2" t="s">
        <v>792</v>
      </c>
      <c r="F1468" s="8" t="s">
        <v>793</v>
      </c>
      <c r="G1468" s="1">
        <v>1</v>
      </c>
      <c r="H1468" s="1"/>
      <c r="I1468" s="1">
        <f>1814-18</f>
        <v>1796</v>
      </c>
      <c r="J1468" t="s">
        <v>10</v>
      </c>
      <c r="K1468" t="s">
        <v>12</v>
      </c>
      <c r="Q1468">
        <v>5</v>
      </c>
      <c r="R1468">
        <v>1</v>
      </c>
      <c r="T1468" s="5">
        <f t="shared" si="69"/>
        <v>160.63</v>
      </c>
      <c r="U1468" t="s">
        <v>794</v>
      </c>
      <c r="AV1468" s="6">
        <v>1</v>
      </c>
      <c r="BC1468">
        <v>1814</v>
      </c>
      <c r="BD1468" t="s">
        <v>81</v>
      </c>
      <c r="BE1468" t="s">
        <v>773</v>
      </c>
      <c r="BF1468" s="1" t="s">
        <v>73</v>
      </c>
      <c r="BG1468" s="1">
        <v>1</v>
      </c>
      <c r="BH1468">
        <v>1</v>
      </c>
      <c r="BK1468" s="1">
        <v>1</v>
      </c>
      <c r="BQ1468">
        <v>1</v>
      </c>
      <c r="CS1468" t="s">
        <v>774</v>
      </c>
    </row>
    <row r="1469" spans="2:98">
      <c r="B1469" t="s">
        <v>795</v>
      </c>
      <c r="C1469" s="12" t="s">
        <v>796</v>
      </c>
      <c r="F1469" s="8" t="s">
        <v>218</v>
      </c>
      <c r="G1469" s="1">
        <v>1</v>
      </c>
      <c r="H1469" s="1"/>
      <c r="I1469" s="1">
        <f>1814-22</f>
        <v>1792</v>
      </c>
      <c r="J1469" t="s">
        <v>10</v>
      </c>
      <c r="K1469" t="s">
        <v>797</v>
      </c>
      <c r="Q1469">
        <v>5</v>
      </c>
      <c r="R1469">
        <v>2</v>
      </c>
      <c r="S1469">
        <v>2</v>
      </c>
      <c r="T1469" s="5">
        <f t="shared" si="69"/>
        <v>163.69999999999999</v>
      </c>
      <c r="U1469" t="s">
        <v>798</v>
      </c>
      <c r="AV1469" s="6">
        <v>1</v>
      </c>
      <c r="BC1469">
        <v>1814</v>
      </c>
      <c r="BD1469" t="s">
        <v>81</v>
      </c>
      <c r="BE1469" t="s">
        <v>773</v>
      </c>
      <c r="BF1469" s="1" t="s">
        <v>73</v>
      </c>
      <c r="BG1469" s="1">
        <v>1</v>
      </c>
      <c r="BH1469">
        <v>1</v>
      </c>
      <c r="BK1469" s="1">
        <v>1</v>
      </c>
      <c r="BQ1469">
        <v>1</v>
      </c>
      <c r="CS1469" t="s">
        <v>774</v>
      </c>
    </row>
    <row r="1470" spans="2:98">
      <c r="B1470" t="s">
        <v>799</v>
      </c>
      <c r="C1470" s="2" t="s">
        <v>800</v>
      </c>
      <c r="D1470" s="2" t="s">
        <v>800</v>
      </c>
      <c r="F1470" s="8" t="s">
        <v>793</v>
      </c>
      <c r="G1470" s="1">
        <v>1</v>
      </c>
      <c r="H1470" s="1"/>
      <c r="I1470" s="1">
        <f>1814-19</f>
        <v>1795</v>
      </c>
      <c r="J1470" t="s">
        <v>10</v>
      </c>
      <c r="K1470" t="s">
        <v>12</v>
      </c>
      <c r="Q1470">
        <v>5</v>
      </c>
      <c r="R1470">
        <v>0</v>
      </c>
      <c r="S1470">
        <v>1</v>
      </c>
      <c r="T1470" s="5">
        <f t="shared" si="69"/>
        <v>158.22</v>
      </c>
      <c r="U1470" t="s">
        <v>801</v>
      </c>
      <c r="AV1470" s="6">
        <v>1</v>
      </c>
      <c r="BC1470">
        <v>1814</v>
      </c>
      <c r="BD1470" t="s">
        <v>81</v>
      </c>
      <c r="BE1470" t="s">
        <v>773</v>
      </c>
      <c r="BF1470" s="1" t="s">
        <v>73</v>
      </c>
      <c r="BG1470" s="1">
        <v>1</v>
      </c>
      <c r="BH1470">
        <v>1</v>
      </c>
      <c r="BK1470" s="1">
        <v>1</v>
      </c>
      <c r="BQ1470">
        <v>1</v>
      </c>
      <c r="CS1470" t="s">
        <v>774</v>
      </c>
    </row>
    <row r="1471" spans="2:98">
      <c r="B1471" t="s">
        <v>811</v>
      </c>
      <c r="C1471" s="2" t="s">
        <v>812</v>
      </c>
      <c r="E1471" s="64"/>
      <c r="F1471" s="8" t="s">
        <v>247</v>
      </c>
      <c r="G1471" s="1">
        <v>1</v>
      </c>
      <c r="H1471" s="1"/>
      <c r="I1471" s="1">
        <f>1814-21</f>
        <v>1793</v>
      </c>
      <c r="J1471" t="s">
        <v>10</v>
      </c>
      <c r="K1471" t="s">
        <v>790</v>
      </c>
      <c r="Q1471">
        <v>5</v>
      </c>
      <c r="R1471">
        <v>3</v>
      </c>
      <c r="T1471" s="5">
        <f t="shared" si="69"/>
        <v>165.89000000000001</v>
      </c>
      <c r="U1471" t="s">
        <v>813</v>
      </c>
      <c r="AV1471" s="6">
        <v>1</v>
      </c>
      <c r="BC1471">
        <v>1814</v>
      </c>
      <c r="BD1471" t="s">
        <v>81</v>
      </c>
      <c r="BE1471" t="s">
        <v>773</v>
      </c>
      <c r="BF1471" s="1" t="s">
        <v>73</v>
      </c>
      <c r="BG1471" s="1">
        <v>1</v>
      </c>
      <c r="BH1471">
        <v>1</v>
      </c>
      <c r="BK1471" s="1"/>
      <c r="BN1471">
        <v>1</v>
      </c>
      <c r="BO1471">
        <v>1</v>
      </c>
      <c r="BQ1471">
        <v>1</v>
      </c>
      <c r="CS1471" t="s">
        <v>774</v>
      </c>
    </row>
    <row r="1472" spans="2:98">
      <c r="B1472" t="s">
        <v>3565</v>
      </c>
      <c r="C1472" s="2" t="s">
        <v>547</v>
      </c>
      <c r="D1472" s="2" t="s">
        <v>547</v>
      </c>
      <c r="E1472" s="12" t="s">
        <v>2991</v>
      </c>
      <c r="F1472" s="8" t="s">
        <v>357</v>
      </c>
      <c r="G1472" s="1">
        <v>1</v>
      </c>
      <c r="H1472" s="1"/>
      <c r="I1472" s="1">
        <f>1819-27</f>
        <v>1792</v>
      </c>
      <c r="J1472" t="s">
        <v>10</v>
      </c>
      <c r="K1472" t="s">
        <v>3566</v>
      </c>
      <c r="Q1472">
        <v>5</v>
      </c>
      <c r="R1472">
        <v>3</v>
      </c>
      <c r="T1472" s="5">
        <f t="shared" si="69"/>
        <v>165.89000000000001</v>
      </c>
      <c r="U1472" s="9" t="s">
        <v>3563</v>
      </c>
      <c r="AV1472" s="9">
        <v>1</v>
      </c>
      <c r="AW1472" s="9">
        <v>1</v>
      </c>
      <c r="AX1472" s="9">
        <v>1</v>
      </c>
      <c r="AY1472" s="6">
        <v>1</v>
      </c>
      <c r="AZ1472" s="6">
        <v>1</v>
      </c>
      <c r="BA1472" s="6">
        <v>1</v>
      </c>
      <c r="BB1472" s="6">
        <v>1</v>
      </c>
      <c r="BC1472">
        <v>1820</v>
      </c>
      <c r="BD1472" t="s">
        <v>81</v>
      </c>
      <c r="BE1472" t="s">
        <v>3564</v>
      </c>
      <c r="BF1472" s="1" t="s">
        <v>73</v>
      </c>
      <c r="BG1472" s="1">
        <v>1</v>
      </c>
      <c r="BH1472">
        <v>2</v>
      </c>
      <c r="BK1472" s="1">
        <v>1</v>
      </c>
      <c r="BP1472">
        <v>1</v>
      </c>
      <c r="BT1472">
        <v>1</v>
      </c>
      <c r="CQ1472">
        <v>1</v>
      </c>
      <c r="CS1472" t="s">
        <v>3567</v>
      </c>
    </row>
    <row r="1473" spans="2:98">
      <c r="B1473" t="s">
        <v>1816</v>
      </c>
      <c r="C1473" s="2" t="s">
        <v>1817</v>
      </c>
      <c r="F1473" s="8" t="s">
        <v>1818</v>
      </c>
      <c r="G1473" s="1"/>
      <c r="H1473" s="1">
        <v>1</v>
      </c>
      <c r="I1473" s="1">
        <f>1814-29</f>
        <v>1785</v>
      </c>
      <c r="J1473" t="s">
        <v>69</v>
      </c>
      <c r="K1473" t="s">
        <v>1819</v>
      </c>
      <c r="Q1473">
        <v>5</v>
      </c>
      <c r="R1473">
        <v>3</v>
      </c>
      <c r="S1473">
        <v>3</v>
      </c>
      <c r="T1473" s="5">
        <f t="shared" si="69"/>
        <v>166.55</v>
      </c>
      <c r="U1473" t="s">
        <v>1820</v>
      </c>
      <c r="AJ1473" s="40"/>
      <c r="AK1473" s="40"/>
      <c r="AL1473" s="40"/>
      <c r="AM1473" s="40"/>
      <c r="AN1473" s="40"/>
      <c r="AO1473" s="40"/>
      <c r="AP1473" s="40"/>
      <c r="AQ1473" s="40"/>
      <c r="AR1473" s="40"/>
      <c r="AS1473" s="40"/>
      <c r="AT1473" s="40"/>
      <c r="AU1473" s="40"/>
      <c r="AV1473" s="6">
        <v>1</v>
      </c>
      <c r="AW1473" s="6">
        <v>1</v>
      </c>
      <c r="AX1473" s="6">
        <v>1</v>
      </c>
      <c r="AY1473" s="6">
        <v>1</v>
      </c>
      <c r="AZ1473" s="6">
        <v>1</v>
      </c>
      <c r="BA1473" s="6">
        <v>1</v>
      </c>
      <c r="BB1473" s="6">
        <v>1</v>
      </c>
      <c r="BC1473">
        <v>1820</v>
      </c>
      <c r="BD1473" t="s">
        <v>81</v>
      </c>
      <c r="BE1473" t="s">
        <v>125</v>
      </c>
      <c r="BF1473" s="1" t="s">
        <v>73</v>
      </c>
      <c r="BG1473" s="1">
        <v>7</v>
      </c>
      <c r="BH1473">
        <v>1</v>
      </c>
      <c r="BK1473" s="1"/>
      <c r="BO1473">
        <v>1</v>
      </c>
      <c r="BQ1473">
        <v>1</v>
      </c>
      <c r="CF1473">
        <v>1</v>
      </c>
      <c r="CS1473" t="s">
        <v>1821</v>
      </c>
    </row>
    <row r="1474" spans="2:98">
      <c r="B1474" t="s">
        <v>1434</v>
      </c>
      <c r="C1474" s="2" t="s">
        <v>1435</v>
      </c>
      <c r="E1474" s="65"/>
      <c r="F1474" s="8" t="s">
        <v>65</v>
      </c>
      <c r="G1474" s="1">
        <v>1</v>
      </c>
      <c r="H1474" s="1"/>
      <c r="I1474" s="1">
        <f>1814-20</f>
        <v>1794</v>
      </c>
      <c r="J1474" t="s">
        <v>10</v>
      </c>
      <c r="K1474" t="s">
        <v>12</v>
      </c>
      <c r="Q1474">
        <v>5</v>
      </c>
      <c r="R1474">
        <v>3</v>
      </c>
      <c r="T1474" s="5">
        <f t="shared" si="69"/>
        <v>165.89000000000001</v>
      </c>
      <c r="U1474" t="s">
        <v>1436</v>
      </c>
      <c r="AV1474" s="6">
        <v>1</v>
      </c>
      <c r="BC1474">
        <v>1814</v>
      </c>
      <c r="BD1474" t="s">
        <v>81</v>
      </c>
      <c r="BE1474" t="s">
        <v>1437</v>
      </c>
      <c r="BF1474" s="1" t="s">
        <v>73</v>
      </c>
      <c r="BG1474" s="1">
        <v>1</v>
      </c>
      <c r="BH1474">
        <v>1</v>
      </c>
      <c r="BK1474" s="1"/>
      <c r="BO1474">
        <v>1</v>
      </c>
      <c r="BT1474">
        <v>1</v>
      </c>
      <c r="CS1474" t="s">
        <v>1438</v>
      </c>
      <c r="CT1474" s="9" t="s">
        <v>1439</v>
      </c>
    </row>
    <row r="1475" spans="2:98">
      <c r="B1475" t="s">
        <v>803</v>
      </c>
      <c r="C1475" s="2" t="s">
        <v>804</v>
      </c>
      <c r="E1475" s="64"/>
      <c r="F1475" s="8" t="s">
        <v>805</v>
      </c>
      <c r="G1475" s="1">
        <v>1</v>
      </c>
      <c r="H1475" s="1"/>
      <c r="I1475" s="1">
        <f>1814-28</f>
        <v>1786</v>
      </c>
      <c r="J1475" t="s">
        <v>69</v>
      </c>
      <c r="K1475" t="s">
        <v>12</v>
      </c>
      <c r="Q1475">
        <v>5</v>
      </c>
      <c r="R1475">
        <v>3</v>
      </c>
      <c r="S1475">
        <v>2</v>
      </c>
      <c r="T1475" s="5">
        <f t="shared" si="69"/>
        <v>166.33</v>
      </c>
      <c r="U1475" t="s">
        <v>806</v>
      </c>
      <c r="AV1475" s="6">
        <v>1</v>
      </c>
      <c r="BC1475">
        <v>1814</v>
      </c>
      <c r="BD1475" t="s">
        <v>81</v>
      </c>
      <c r="BE1475" t="s">
        <v>773</v>
      </c>
      <c r="BF1475" s="1" t="s">
        <v>73</v>
      </c>
      <c r="BG1475" s="1">
        <v>1</v>
      </c>
      <c r="BH1475">
        <v>1</v>
      </c>
      <c r="BK1475" s="1">
        <v>1</v>
      </c>
      <c r="BQ1475">
        <v>1</v>
      </c>
      <c r="CS1475" t="s">
        <v>774</v>
      </c>
    </row>
    <row r="1476" spans="2:98">
      <c r="B1476" t="s">
        <v>3688</v>
      </c>
      <c r="C1476" s="12" t="s">
        <v>3689</v>
      </c>
      <c r="E1476" s="56" t="s">
        <v>3690</v>
      </c>
      <c r="F1476" s="8" t="s">
        <v>357</v>
      </c>
      <c r="G1476" s="1">
        <v>1</v>
      </c>
      <c r="H1476" s="1"/>
      <c r="I1476" s="1">
        <f>1819-24</f>
        <v>1795</v>
      </c>
      <c r="J1476" t="s">
        <v>10</v>
      </c>
      <c r="K1476" t="s">
        <v>116</v>
      </c>
      <c r="Q1476">
        <v>5</v>
      </c>
      <c r="R1476">
        <v>4</v>
      </c>
      <c r="S1476">
        <v>2</v>
      </c>
      <c r="T1476" s="5">
        <f t="shared" si="69"/>
        <v>168.96</v>
      </c>
      <c r="U1476" t="s">
        <v>806</v>
      </c>
      <c r="AV1476" s="6">
        <v>1</v>
      </c>
      <c r="AW1476" s="6">
        <v>1</v>
      </c>
      <c r="AX1476" s="6">
        <v>1</v>
      </c>
      <c r="AY1476" s="6">
        <v>1</v>
      </c>
      <c r="AZ1476" s="6">
        <v>1</v>
      </c>
      <c r="BA1476" s="7">
        <v>1</v>
      </c>
      <c r="BC1476" t="s">
        <v>3691</v>
      </c>
      <c r="BD1476" s="7" t="s">
        <v>280</v>
      </c>
      <c r="BE1476" t="s">
        <v>2407</v>
      </c>
      <c r="BF1476" s="1" t="s">
        <v>29</v>
      </c>
      <c r="BG1476" s="1">
        <v>2</v>
      </c>
      <c r="BH1476">
        <v>2</v>
      </c>
      <c r="BK1476" s="30">
        <v>1</v>
      </c>
      <c r="BQ1476">
        <v>1</v>
      </c>
      <c r="CL1476">
        <v>1</v>
      </c>
      <c r="CN1476">
        <v>1</v>
      </c>
      <c r="CS1476" s="7" t="s">
        <v>3693</v>
      </c>
      <c r="CT1476" s="6" t="s">
        <v>3177</v>
      </c>
    </row>
    <row r="1477" spans="2:98">
      <c r="B1477" t="s">
        <v>802</v>
      </c>
      <c r="C1477" s="12" t="s">
        <v>808</v>
      </c>
      <c r="E1477" s="8" t="s">
        <v>807</v>
      </c>
      <c r="F1477" s="8" t="s">
        <v>247</v>
      </c>
      <c r="G1477" s="1">
        <v>1</v>
      </c>
      <c r="H1477" s="1"/>
      <c r="I1477" s="1">
        <f>1814-25</f>
        <v>1789</v>
      </c>
      <c r="J1477" t="s">
        <v>10</v>
      </c>
      <c r="K1477" t="s">
        <v>12</v>
      </c>
      <c r="Q1477">
        <v>5</v>
      </c>
      <c r="R1477">
        <v>5</v>
      </c>
      <c r="S1477">
        <v>1</v>
      </c>
      <c r="T1477" s="5">
        <f t="shared" si="69"/>
        <v>171.37</v>
      </c>
      <c r="U1477" t="s">
        <v>806</v>
      </c>
      <c r="AV1477" s="6">
        <v>1</v>
      </c>
      <c r="BC1477">
        <v>1814</v>
      </c>
      <c r="BD1477" t="s">
        <v>81</v>
      </c>
      <c r="BE1477" t="s">
        <v>773</v>
      </c>
      <c r="BF1477" s="1" t="s">
        <v>73</v>
      </c>
      <c r="BG1477" s="1">
        <v>1</v>
      </c>
      <c r="BH1477">
        <v>1</v>
      </c>
      <c r="BK1477" s="1">
        <v>1</v>
      </c>
      <c r="BQ1477">
        <v>1</v>
      </c>
      <c r="CS1477" t="s">
        <v>774</v>
      </c>
    </row>
    <row r="1478" spans="2:98">
      <c r="B1478" t="s">
        <v>809</v>
      </c>
      <c r="C1478" s="2" t="s">
        <v>810</v>
      </c>
      <c r="E1478" s="8" t="s">
        <v>393</v>
      </c>
      <c r="F1478" s="8" t="s">
        <v>247</v>
      </c>
      <c r="G1478" s="1">
        <v>1</v>
      </c>
      <c r="H1478" s="1"/>
      <c r="I1478" s="1">
        <f>1814-25</f>
        <v>1789</v>
      </c>
      <c r="J1478" t="s">
        <v>10</v>
      </c>
      <c r="K1478" t="s">
        <v>12</v>
      </c>
      <c r="Q1478">
        <v>5</v>
      </c>
      <c r="R1478">
        <v>1</v>
      </c>
      <c r="T1478" s="5">
        <f t="shared" si="69"/>
        <v>160.63</v>
      </c>
      <c r="U1478" t="s">
        <v>806</v>
      </c>
      <c r="AV1478" s="6">
        <v>1</v>
      </c>
      <c r="BC1478">
        <v>1815</v>
      </c>
      <c r="BD1478" t="s">
        <v>81</v>
      </c>
      <c r="BE1478" t="s">
        <v>773</v>
      </c>
      <c r="BF1478" s="1" t="s">
        <v>73</v>
      </c>
      <c r="BG1478" s="1">
        <v>1</v>
      </c>
      <c r="BH1478">
        <v>1</v>
      </c>
      <c r="BK1478" s="1">
        <v>1</v>
      </c>
      <c r="BQ1478">
        <v>1</v>
      </c>
      <c r="CS1478" t="s">
        <v>774</v>
      </c>
    </row>
    <row r="1479" spans="2:98">
      <c r="B1479" t="s">
        <v>1863</v>
      </c>
      <c r="C1479" s="2" t="s">
        <v>1864</v>
      </c>
      <c r="E1479" s="8" t="s">
        <v>1865</v>
      </c>
      <c r="F1479" s="8" t="s">
        <v>805</v>
      </c>
      <c r="G1479" s="1">
        <v>1</v>
      </c>
      <c r="H1479" s="1"/>
      <c r="I1479" s="1">
        <f>1818-27</f>
        <v>1791</v>
      </c>
      <c r="J1479" t="s">
        <v>1866</v>
      </c>
      <c r="K1479" t="s">
        <v>12</v>
      </c>
      <c r="Q1479">
        <v>5</v>
      </c>
      <c r="R1479">
        <v>4</v>
      </c>
      <c r="T1479" s="5">
        <f t="shared" si="69"/>
        <v>168.52</v>
      </c>
      <c r="U1479" t="s">
        <v>1862</v>
      </c>
      <c r="AW1479" s="6">
        <v>1</v>
      </c>
      <c r="AX1479" s="6">
        <v>1</v>
      </c>
      <c r="AY1479" s="6">
        <v>1</v>
      </c>
      <c r="AZ1479" s="6">
        <v>1</v>
      </c>
      <c r="BA1479" s="7">
        <v>1</v>
      </c>
      <c r="BC1479" t="s">
        <v>1867</v>
      </c>
      <c r="BD1479" s="7" t="s">
        <v>103</v>
      </c>
      <c r="BE1479" t="s">
        <v>1854</v>
      </c>
      <c r="BF1479" s="1" t="s">
        <v>29</v>
      </c>
      <c r="BG1479" s="1">
        <v>2</v>
      </c>
      <c r="BH1479">
        <v>2</v>
      </c>
      <c r="BK1479" s="1" t="s">
        <v>72</v>
      </c>
      <c r="BQ1479">
        <v>1</v>
      </c>
      <c r="CI1479">
        <v>1</v>
      </c>
      <c r="CL1479">
        <v>1</v>
      </c>
      <c r="CR1479">
        <v>1</v>
      </c>
      <c r="CS1479" s="7" t="s">
        <v>1868</v>
      </c>
    </row>
    <row r="1480" spans="2:98">
      <c r="B1480" t="s">
        <v>3725</v>
      </c>
      <c r="C1480" s="2" t="s">
        <v>3322</v>
      </c>
      <c r="D1480" s="2" t="s">
        <v>3322</v>
      </c>
      <c r="E1480" s="8" t="s">
        <v>2991</v>
      </c>
      <c r="F1480" s="8" t="s">
        <v>357</v>
      </c>
      <c r="G1480" s="1">
        <v>1</v>
      </c>
      <c r="H1480" s="1"/>
      <c r="I1480" s="1">
        <f>1819-30</f>
        <v>1789</v>
      </c>
      <c r="J1480" t="s">
        <v>10</v>
      </c>
      <c r="K1480" t="s">
        <v>12</v>
      </c>
      <c r="Q1480">
        <v>5</v>
      </c>
      <c r="R1480">
        <v>3</v>
      </c>
      <c r="S1480">
        <v>2</v>
      </c>
      <c r="T1480" s="5">
        <f t="shared" si="69"/>
        <v>166.33</v>
      </c>
      <c r="U1480" s="9" t="s">
        <v>3724</v>
      </c>
      <c r="AW1480" s="9">
        <v>1</v>
      </c>
      <c r="AX1480" s="6">
        <v>1</v>
      </c>
      <c r="AY1480" s="6">
        <v>1</v>
      </c>
      <c r="AZ1480" s="6">
        <v>1</v>
      </c>
      <c r="BA1480" s="6">
        <v>1</v>
      </c>
      <c r="BB1480" s="6">
        <v>1</v>
      </c>
      <c r="BC1480">
        <v>1820</v>
      </c>
      <c r="BD1480" t="s">
        <v>81</v>
      </c>
      <c r="BE1480" t="s">
        <v>2407</v>
      </c>
      <c r="BF1480" s="1" t="s">
        <v>73</v>
      </c>
      <c r="BG1480" s="1">
        <v>4</v>
      </c>
      <c r="BH1480">
        <v>3</v>
      </c>
      <c r="BK1480" s="1">
        <v>1</v>
      </c>
      <c r="BQ1480">
        <v>1</v>
      </c>
      <c r="BT1480">
        <v>1</v>
      </c>
      <c r="CL1480">
        <v>1</v>
      </c>
      <c r="CQ1480">
        <v>1</v>
      </c>
      <c r="CS1480" t="s">
        <v>3705</v>
      </c>
    </row>
    <row r="1481" spans="2:98">
      <c r="B1481" t="s">
        <v>4391</v>
      </c>
      <c r="C1481" s="2" t="s">
        <v>1932</v>
      </c>
      <c r="D1481" s="2"/>
      <c r="E1481" s="8" t="s">
        <v>1933</v>
      </c>
      <c r="F1481" s="8" t="s">
        <v>247</v>
      </c>
      <c r="G1481" s="1">
        <v>1</v>
      </c>
      <c r="H1481" s="1"/>
      <c r="I1481" s="1">
        <f>1819-21</f>
        <v>1798</v>
      </c>
      <c r="J1481" t="s">
        <v>10</v>
      </c>
      <c r="K1481" t="s">
        <v>12</v>
      </c>
      <c r="Q1481">
        <v>5</v>
      </c>
      <c r="R1481">
        <v>2</v>
      </c>
      <c r="S1481">
        <v>3</v>
      </c>
      <c r="T1481" s="5">
        <f t="shared" si="69"/>
        <v>163.92</v>
      </c>
      <c r="U1481" t="s">
        <v>4390</v>
      </c>
      <c r="AW1481" s="6">
        <v>1</v>
      </c>
      <c r="AX1481" s="6">
        <v>1</v>
      </c>
      <c r="AY1481" s="6">
        <v>1</v>
      </c>
      <c r="AZ1481" s="6">
        <v>1</v>
      </c>
      <c r="BA1481" s="7">
        <v>1</v>
      </c>
      <c r="BC1481" t="s">
        <v>4392</v>
      </c>
      <c r="BD1481" s="7" t="s">
        <v>26</v>
      </c>
      <c r="BE1481" t="s">
        <v>2635</v>
      </c>
      <c r="BF1481" s="1" t="s">
        <v>29</v>
      </c>
      <c r="BG1481" s="1">
        <v>4</v>
      </c>
      <c r="BH1481">
        <v>2</v>
      </c>
      <c r="BK1481" s="1"/>
      <c r="BN1481" s="6">
        <v>1</v>
      </c>
      <c r="BO1481" s="6">
        <v>1</v>
      </c>
      <c r="BQ1481">
        <v>1</v>
      </c>
      <c r="CL1481">
        <v>1</v>
      </c>
      <c r="CS1481" s="7" t="s">
        <v>4393</v>
      </c>
      <c r="CT1481" s="6" t="s">
        <v>4401</v>
      </c>
    </row>
    <row r="1482" spans="2:98">
      <c r="B1482" t="s">
        <v>1871</v>
      </c>
      <c r="C1482" s="2" t="s">
        <v>1872</v>
      </c>
      <c r="E1482" s="8" t="s">
        <v>1873</v>
      </c>
      <c r="F1482" s="8" t="s">
        <v>805</v>
      </c>
      <c r="G1482" s="1">
        <v>1</v>
      </c>
      <c r="H1482" s="1"/>
      <c r="I1482" s="1">
        <f>1819-23</f>
        <v>1796</v>
      </c>
      <c r="J1482" t="s">
        <v>10</v>
      </c>
      <c r="K1482" t="s">
        <v>12</v>
      </c>
      <c r="Q1482">
        <v>5</v>
      </c>
      <c r="R1482">
        <v>2</v>
      </c>
      <c r="S1482">
        <v>2</v>
      </c>
      <c r="T1482" s="5">
        <f t="shared" si="69"/>
        <v>163.69999999999999</v>
      </c>
      <c r="U1482" t="s">
        <v>1874</v>
      </c>
      <c r="AW1482" s="6">
        <v>1</v>
      </c>
      <c r="AX1482" s="6">
        <v>1</v>
      </c>
      <c r="AY1482" s="6">
        <v>1</v>
      </c>
      <c r="AZ1482" s="6">
        <v>1</v>
      </c>
      <c r="BA1482" s="6">
        <v>1</v>
      </c>
      <c r="BB1482" s="6">
        <v>1</v>
      </c>
      <c r="BC1482">
        <v>1820</v>
      </c>
      <c r="BD1482" t="s">
        <v>81</v>
      </c>
      <c r="BE1482" t="s">
        <v>1854</v>
      </c>
      <c r="BF1482" s="1" t="s">
        <v>73</v>
      </c>
      <c r="BG1482" s="1">
        <v>3</v>
      </c>
      <c r="BH1482">
        <v>2</v>
      </c>
      <c r="BK1482" s="1">
        <v>1</v>
      </c>
      <c r="BQ1482">
        <v>1</v>
      </c>
      <c r="CL1482">
        <v>1</v>
      </c>
      <c r="CS1482" t="s">
        <v>1875</v>
      </c>
    </row>
    <row r="1483" spans="2:98">
      <c r="B1483" t="s">
        <v>1880</v>
      </c>
      <c r="C1483" s="12" t="s">
        <v>1881</v>
      </c>
      <c r="E1483" s="8" t="s">
        <v>1865</v>
      </c>
      <c r="F1483" s="8" t="s">
        <v>805</v>
      </c>
      <c r="G1483" s="1">
        <v>1</v>
      </c>
      <c r="H1483" s="1"/>
      <c r="I1483" s="1">
        <f>1818-21</f>
        <v>1797</v>
      </c>
      <c r="J1483" t="s">
        <v>10</v>
      </c>
      <c r="K1483" t="s">
        <v>12</v>
      </c>
      <c r="Q1483">
        <v>5</v>
      </c>
      <c r="T1483" s="5">
        <f t="shared" si="69"/>
        <v>158</v>
      </c>
      <c r="U1483" t="s">
        <v>1882</v>
      </c>
      <c r="AW1483" s="6">
        <v>1</v>
      </c>
      <c r="AX1483" s="6">
        <v>1</v>
      </c>
      <c r="AY1483" s="6">
        <v>1</v>
      </c>
      <c r="AZ1483" s="6">
        <v>1</v>
      </c>
      <c r="BA1483" s="6">
        <v>1</v>
      </c>
      <c r="BB1483" s="6">
        <v>1</v>
      </c>
      <c r="BC1483">
        <v>1820</v>
      </c>
      <c r="BD1483" t="s">
        <v>81</v>
      </c>
      <c r="BE1483" t="s">
        <v>1854</v>
      </c>
      <c r="BF1483" s="1" t="s">
        <v>73</v>
      </c>
      <c r="BG1483" s="1">
        <v>3</v>
      </c>
      <c r="BH1483">
        <v>2</v>
      </c>
      <c r="BK1483" s="1" t="s">
        <v>72</v>
      </c>
      <c r="BQ1483">
        <v>1</v>
      </c>
      <c r="CL1483">
        <v>1</v>
      </c>
      <c r="CN1483">
        <v>1</v>
      </c>
      <c r="CP1483">
        <v>1</v>
      </c>
      <c r="CS1483" t="s">
        <v>1855</v>
      </c>
    </row>
    <row r="1484" spans="2:98">
      <c r="B1484" t="s">
        <v>995</v>
      </c>
      <c r="C1484" s="2" t="s">
        <v>937</v>
      </c>
      <c r="D1484" s="8" t="s">
        <v>938</v>
      </c>
      <c r="E1484" s="8" t="s">
        <v>939</v>
      </c>
      <c r="F1484" s="8" t="s">
        <v>940</v>
      </c>
      <c r="G1484" s="1">
        <v>1</v>
      </c>
      <c r="H1484" s="1"/>
      <c r="I1484" s="1">
        <f>1817-22</f>
        <v>1795</v>
      </c>
      <c r="J1484" t="s">
        <v>10</v>
      </c>
      <c r="K1484" t="s">
        <v>12</v>
      </c>
      <c r="Q1484">
        <v>5</v>
      </c>
      <c r="R1484">
        <v>5</v>
      </c>
      <c r="S1484">
        <v>2</v>
      </c>
      <c r="T1484" s="5">
        <f t="shared" si="69"/>
        <v>171.59</v>
      </c>
      <c r="U1484" t="s">
        <v>941</v>
      </c>
      <c r="AW1484" s="6">
        <v>1</v>
      </c>
      <c r="AX1484" s="6">
        <v>1</v>
      </c>
      <c r="AY1484" s="6">
        <v>1</v>
      </c>
      <c r="AZ1484" s="6">
        <v>1</v>
      </c>
      <c r="BA1484" s="6">
        <v>1</v>
      </c>
      <c r="BB1484" s="6">
        <v>1</v>
      </c>
      <c r="BC1484" t="s">
        <v>942</v>
      </c>
      <c r="BD1484" s="7" t="s">
        <v>103</v>
      </c>
      <c r="BE1484" t="s">
        <v>943</v>
      </c>
      <c r="BF1484" s="1" t="s">
        <v>29</v>
      </c>
      <c r="BG1484" s="1">
        <v>9</v>
      </c>
      <c r="BH1484">
        <v>2</v>
      </c>
      <c r="BK1484" s="1"/>
      <c r="BO1484">
        <v>1</v>
      </c>
      <c r="BT1484">
        <v>1</v>
      </c>
      <c r="CF1484">
        <v>1</v>
      </c>
      <c r="CL1484">
        <v>1</v>
      </c>
      <c r="CS1484" s="7" t="s">
        <v>614</v>
      </c>
    </row>
    <row r="1485" spans="2:98">
      <c r="B1485" t="s">
        <v>2509</v>
      </c>
      <c r="C1485" s="2" t="s">
        <v>1996</v>
      </c>
      <c r="D1485" s="8"/>
      <c r="F1485" s="8" t="s">
        <v>2510</v>
      </c>
      <c r="G1485" s="1"/>
      <c r="H1485" s="30">
        <v>1</v>
      </c>
      <c r="I1485" s="1">
        <f>1820-29</f>
        <v>1791</v>
      </c>
      <c r="J1485" t="s">
        <v>10</v>
      </c>
      <c r="K1485" t="s">
        <v>12</v>
      </c>
      <c r="Q1485">
        <v>5</v>
      </c>
      <c r="R1485">
        <v>2</v>
      </c>
      <c r="T1485" s="5">
        <f t="shared" si="69"/>
        <v>163.26</v>
      </c>
      <c r="U1485" t="s">
        <v>2508</v>
      </c>
      <c r="AW1485" s="6">
        <v>1</v>
      </c>
      <c r="AX1485" s="6">
        <v>1</v>
      </c>
      <c r="AY1485" s="6">
        <v>1</v>
      </c>
      <c r="AZ1485" s="6">
        <v>1</v>
      </c>
      <c r="BA1485" s="6">
        <v>1</v>
      </c>
      <c r="BB1485" s="6">
        <v>1</v>
      </c>
      <c r="BC1485">
        <v>1820</v>
      </c>
      <c r="BD1485" t="s">
        <v>81</v>
      </c>
      <c r="BE1485" t="s">
        <v>62</v>
      </c>
      <c r="BF1485" s="1" t="s">
        <v>73</v>
      </c>
      <c r="BG1485" s="1">
        <v>3</v>
      </c>
      <c r="BH1485">
        <v>1</v>
      </c>
      <c r="BK1485" s="30">
        <v>1</v>
      </c>
      <c r="BQ1485">
        <v>1</v>
      </c>
      <c r="CR1485" t="s">
        <v>72</v>
      </c>
      <c r="CS1485" t="s">
        <v>2487</v>
      </c>
      <c r="CT1485" s="6" t="s">
        <v>2307</v>
      </c>
    </row>
    <row r="1486" spans="2:98">
      <c r="B1486" t="s">
        <v>3685</v>
      </c>
      <c r="C1486" s="2" t="s">
        <v>3686</v>
      </c>
      <c r="D1486" s="2" t="s">
        <v>3686</v>
      </c>
      <c r="E1486" s="8" t="s">
        <v>869</v>
      </c>
      <c r="F1486" s="8" t="s">
        <v>65</v>
      </c>
      <c r="G1486" s="1">
        <v>1</v>
      </c>
      <c r="H1486" s="1"/>
      <c r="I1486" s="1">
        <f>1817-22</f>
        <v>1795</v>
      </c>
      <c r="J1486" t="s">
        <v>10</v>
      </c>
      <c r="K1486" t="s">
        <v>12</v>
      </c>
      <c r="Q1486">
        <v>5</v>
      </c>
      <c r="R1486">
        <v>2</v>
      </c>
      <c r="S1486">
        <v>1</v>
      </c>
      <c r="T1486" s="5">
        <f t="shared" si="69"/>
        <v>163.47999999999999</v>
      </c>
      <c r="U1486" t="s">
        <v>3687</v>
      </c>
      <c r="AW1486" s="6">
        <v>1</v>
      </c>
      <c r="AX1486" s="6">
        <v>1</v>
      </c>
      <c r="AY1486" s="6">
        <v>1</v>
      </c>
      <c r="BC1486">
        <v>1817</v>
      </c>
      <c r="BD1486" t="s">
        <v>81</v>
      </c>
      <c r="BE1486" s="10" t="s">
        <v>2407</v>
      </c>
      <c r="BF1486" s="1" t="s">
        <v>73</v>
      </c>
      <c r="BG1486" s="1">
        <v>4</v>
      </c>
      <c r="BH1486">
        <v>2</v>
      </c>
      <c r="BI1486">
        <v>1</v>
      </c>
      <c r="BK1486" s="1">
        <v>1</v>
      </c>
      <c r="BQ1486">
        <v>1</v>
      </c>
      <c r="CL1486" s="10">
        <v>1</v>
      </c>
      <c r="CS1486" s="10" t="s">
        <v>3437</v>
      </c>
    </row>
    <row r="1487" spans="2:98">
      <c r="B1487" t="s">
        <v>3715</v>
      </c>
      <c r="C1487" s="2" t="s">
        <v>1083</v>
      </c>
      <c r="D1487" s="2" t="s">
        <v>1083</v>
      </c>
      <c r="E1487" s="8" t="s">
        <v>1084</v>
      </c>
      <c r="F1487" s="8" t="s">
        <v>65</v>
      </c>
      <c r="G1487" s="1">
        <v>1</v>
      </c>
      <c r="H1487" s="1"/>
      <c r="I1487" s="1">
        <f>1815-23</f>
        <v>1792</v>
      </c>
      <c r="J1487" t="s">
        <v>1866</v>
      </c>
      <c r="K1487" t="s">
        <v>197</v>
      </c>
      <c r="N1487">
        <v>1</v>
      </c>
      <c r="Q1487">
        <v>5</v>
      </c>
      <c r="R1487">
        <v>4</v>
      </c>
      <c r="S1487">
        <v>1</v>
      </c>
      <c r="T1487" s="5">
        <f t="shared" si="69"/>
        <v>168.74</v>
      </c>
      <c r="U1487" t="s">
        <v>3684</v>
      </c>
      <c r="AW1487" s="6">
        <v>1</v>
      </c>
      <c r="AX1487" s="6">
        <v>1</v>
      </c>
      <c r="AY1487" s="6">
        <v>1</v>
      </c>
      <c r="AZ1487" s="6">
        <v>1</v>
      </c>
      <c r="BA1487" s="6">
        <v>1</v>
      </c>
      <c r="BB1487" s="6">
        <v>1</v>
      </c>
      <c r="BC1487">
        <v>1820</v>
      </c>
      <c r="BD1487" t="s">
        <v>81</v>
      </c>
      <c r="BE1487" t="s">
        <v>2407</v>
      </c>
      <c r="BF1487" s="1" t="s">
        <v>73</v>
      </c>
      <c r="BG1487" s="1">
        <v>8</v>
      </c>
      <c r="BH1487">
        <v>1</v>
      </c>
      <c r="BK1487" s="1">
        <v>1</v>
      </c>
      <c r="BQ1487">
        <v>1</v>
      </c>
      <c r="CR1487">
        <v>1</v>
      </c>
      <c r="CS1487" t="s">
        <v>3705</v>
      </c>
    </row>
    <row r="1488" spans="2:98">
      <c r="B1488" t="s">
        <v>3682</v>
      </c>
      <c r="C1488" s="2" t="s">
        <v>3683</v>
      </c>
      <c r="D1488" s="2" t="s">
        <v>3683</v>
      </c>
      <c r="E1488" s="8" t="s">
        <v>869</v>
      </c>
      <c r="F1488" s="8" t="s">
        <v>65</v>
      </c>
      <c r="G1488" s="1">
        <v>1</v>
      </c>
      <c r="H1488" s="1"/>
      <c r="I1488" s="1">
        <f>1817-26</f>
        <v>1791</v>
      </c>
      <c r="J1488" t="s">
        <v>69</v>
      </c>
      <c r="K1488" t="s">
        <v>12</v>
      </c>
      <c r="N1488">
        <v>1</v>
      </c>
      <c r="Q1488">
        <v>5</v>
      </c>
      <c r="R1488">
        <v>2</v>
      </c>
      <c r="S1488">
        <v>1</v>
      </c>
      <c r="T1488" s="5">
        <f t="shared" si="69"/>
        <v>163.47999999999999</v>
      </c>
      <c r="U1488" t="s">
        <v>3684</v>
      </c>
      <c r="AW1488" s="6">
        <v>1</v>
      </c>
      <c r="AX1488" s="6">
        <v>1</v>
      </c>
      <c r="AY1488" s="6">
        <v>1</v>
      </c>
      <c r="BC1488">
        <v>1817</v>
      </c>
      <c r="BD1488" t="s">
        <v>81</v>
      </c>
      <c r="BE1488" s="10" t="s">
        <v>2407</v>
      </c>
      <c r="BF1488" s="1" t="s">
        <v>73</v>
      </c>
      <c r="BG1488" s="1">
        <v>3</v>
      </c>
      <c r="BH1488">
        <v>2</v>
      </c>
      <c r="BI1488">
        <v>1</v>
      </c>
      <c r="BK1488" s="1">
        <v>1</v>
      </c>
      <c r="BQ1488">
        <v>1</v>
      </c>
      <c r="CL1488" s="10">
        <v>1</v>
      </c>
      <c r="CS1488" s="10" t="s">
        <v>3437</v>
      </c>
    </row>
    <row r="1489" spans="1:98">
      <c r="B1489" t="s">
        <v>3722</v>
      </c>
      <c r="C1489" s="2" t="s">
        <v>3322</v>
      </c>
      <c r="D1489" s="2" t="s">
        <v>3322</v>
      </c>
      <c r="E1489" s="8" t="s">
        <v>2991</v>
      </c>
      <c r="F1489" s="8" t="s">
        <v>357</v>
      </c>
      <c r="G1489" s="1">
        <v>1</v>
      </c>
      <c r="H1489" s="1"/>
      <c r="I1489" s="1">
        <f>1819-24</f>
        <v>1795</v>
      </c>
      <c r="J1489" t="s">
        <v>10</v>
      </c>
      <c r="K1489" t="s">
        <v>12</v>
      </c>
      <c r="Q1489">
        <v>5</v>
      </c>
      <c r="R1489">
        <v>3</v>
      </c>
      <c r="T1489" s="5">
        <f>((Q1489*316)+(R1489*26.3)+(S1489*2.2))/10</f>
        <v>165.89000000000001</v>
      </c>
      <c r="U1489" t="s">
        <v>3723</v>
      </c>
      <c r="AW1489" s="6">
        <v>1</v>
      </c>
      <c r="AX1489" s="6">
        <v>1</v>
      </c>
      <c r="AY1489" s="6">
        <v>1</v>
      </c>
      <c r="AZ1489" s="6">
        <v>1</v>
      </c>
      <c r="BA1489" s="6">
        <v>1</v>
      </c>
      <c r="BB1489" s="6">
        <v>1</v>
      </c>
      <c r="BC1489">
        <v>1820</v>
      </c>
      <c r="BD1489" t="s">
        <v>81</v>
      </c>
      <c r="BE1489" t="s">
        <v>2407</v>
      </c>
      <c r="BF1489" s="1" t="s">
        <v>73</v>
      </c>
      <c r="BG1489" s="1">
        <v>4</v>
      </c>
      <c r="BH1489">
        <v>2</v>
      </c>
      <c r="BK1489" s="1">
        <v>1</v>
      </c>
      <c r="BQ1489">
        <v>1</v>
      </c>
      <c r="CL1489">
        <v>1</v>
      </c>
      <c r="CS1489" t="s">
        <v>3705</v>
      </c>
    </row>
    <row r="1490" spans="1:98">
      <c r="B1490" t="s">
        <v>4404</v>
      </c>
      <c r="C1490" s="2" t="s">
        <v>4403</v>
      </c>
      <c r="D1490" s="2"/>
      <c r="E1490" s="8" t="s">
        <v>571</v>
      </c>
      <c r="F1490" s="8" t="s">
        <v>218</v>
      </c>
      <c r="G1490" s="1">
        <v>1</v>
      </c>
      <c r="H1490" s="1"/>
      <c r="I1490" s="1">
        <f>1819-29</f>
        <v>1790</v>
      </c>
      <c r="J1490" t="s">
        <v>10</v>
      </c>
      <c r="K1490" t="s">
        <v>715</v>
      </c>
      <c r="Q1490">
        <v>5</v>
      </c>
      <c r="R1490">
        <v>1</v>
      </c>
      <c r="S1490">
        <v>2</v>
      </c>
      <c r="T1490" s="5">
        <f>((Q1490*316)+(R1490*26.3)+(S1490*2.2))/10</f>
        <v>161.07</v>
      </c>
      <c r="U1490" t="s">
        <v>4402</v>
      </c>
      <c r="AW1490" s="6">
        <v>1</v>
      </c>
      <c r="AX1490" s="6">
        <v>1</v>
      </c>
      <c r="AY1490" s="6">
        <v>1</v>
      </c>
      <c r="AZ1490" s="6">
        <v>1</v>
      </c>
      <c r="BA1490" s="6">
        <v>1</v>
      </c>
      <c r="BB1490" s="6">
        <v>1</v>
      </c>
      <c r="BC1490">
        <v>1820</v>
      </c>
      <c r="BD1490" t="s">
        <v>81</v>
      </c>
      <c r="BE1490" t="s">
        <v>2635</v>
      </c>
      <c r="BF1490" s="1" t="s">
        <v>73</v>
      </c>
      <c r="BG1490" s="1">
        <v>5</v>
      </c>
      <c r="BH1490">
        <v>1</v>
      </c>
      <c r="BK1490" s="1">
        <v>1</v>
      </c>
      <c r="BQ1490">
        <v>1</v>
      </c>
      <c r="CL1490">
        <v>1</v>
      </c>
      <c r="CR1490" t="s">
        <v>72</v>
      </c>
      <c r="CS1490" t="s">
        <v>2636</v>
      </c>
    </row>
    <row r="1491" spans="1:98">
      <c r="B1491" t="s">
        <v>4405</v>
      </c>
      <c r="C1491" s="2" t="s">
        <v>4406</v>
      </c>
      <c r="D1491" s="3" t="s">
        <v>2634</v>
      </c>
      <c r="E1491" s="8" t="s">
        <v>571</v>
      </c>
      <c r="F1491" s="8" t="s">
        <v>218</v>
      </c>
      <c r="G1491" s="1">
        <v>1</v>
      </c>
      <c r="H1491" s="1"/>
      <c r="I1491" s="1">
        <f>1819-24</f>
        <v>1795</v>
      </c>
      <c r="J1491" t="s">
        <v>10</v>
      </c>
      <c r="K1491" t="s">
        <v>12</v>
      </c>
      <c r="Q1491">
        <v>5</v>
      </c>
      <c r="R1491">
        <v>1</v>
      </c>
      <c r="T1491" s="5">
        <f>((Q1491*316)+(R1491*26.3)+(S1491*2.2))/10</f>
        <v>160.63</v>
      </c>
      <c r="U1491" t="s">
        <v>4407</v>
      </c>
      <c r="AW1491" s="6">
        <v>1</v>
      </c>
      <c r="AX1491" s="6">
        <v>1</v>
      </c>
      <c r="AY1491" s="6">
        <v>1</v>
      </c>
      <c r="AZ1491" s="6">
        <v>1</v>
      </c>
      <c r="BA1491" s="6">
        <v>1</v>
      </c>
      <c r="BB1491" s="6">
        <v>1</v>
      </c>
      <c r="BC1491">
        <v>1820</v>
      </c>
      <c r="BD1491" t="s">
        <v>81</v>
      </c>
      <c r="BE1491" t="s">
        <v>2635</v>
      </c>
      <c r="BF1491" s="1" t="s">
        <v>73</v>
      </c>
      <c r="BG1491" s="1">
        <v>4</v>
      </c>
      <c r="BH1491">
        <v>1</v>
      </c>
      <c r="BK1491" s="1">
        <v>1</v>
      </c>
      <c r="BQ1491">
        <v>1</v>
      </c>
      <c r="CL1491">
        <v>1</v>
      </c>
      <c r="CS1491" t="s">
        <v>2636</v>
      </c>
    </row>
    <row r="1492" spans="1:98">
      <c r="A1492" t="s">
        <v>72</v>
      </c>
      <c r="B1492" t="s">
        <v>1829</v>
      </c>
      <c r="C1492" s="2" t="s">
        <v>1830</v>
      </c>
      <c r="D1492" s="2" t="s">
        <v>1831</v>
      </c>
      <c r="E1492" s="8" t="s">
        <v>1832</v>
      </c>
      <c r="F1492" s="8" t="s">
        <v>1824</v>
      </c>
      <c r="G1492" s="1">
        <v>1</v>
      </c>
      <c r="H1492" s="1"/>
      <c r="I1492" s="1">
        <f>1809-20</f>
        <v>1789</v>
      </c>
      <c r="J1492" t="s">
        <v>10</v>
      </c>
      <c r="K1492" t="s">
        <v>12</v>
      </c>
      <c r="T1492" s="5"/>
      <c r="U1492" t="s">
        <v>1833</v>
      </c>
      <c r="AW1492" s="6">
        <v>1</v>
      </c>
      <c r="AX1492" s="6">
        <v>1</v>
      </c>
      <c r="AY1492" s="6">
        <v>1</v>
      </c>
      <c r="AZ1492" s="6">
        <v>1</v>
      </c>
      <c r="BA1492" s="7">
        <v>1</v>
      </c>
      <c r="BC1492" t="s">
        <v>1827</v>
      </c>
      <c r="BD1492" s="7" t="s">
        <v>103</v>
      </c>
      <c r="BE1492" t="s">
        <v>125</v>
      </c>
      <c r="BF1492" s="1" t="s">
        <v>29</v>
      </c>
      <c r="BG1492" s="1">
        <v>7</v>
      </c>
      <c r="BH1492">
        <v>1</v>
      </c>
      <c r="BI1492">
        <v>1</v>
      </c>
      <c r="BJ1492">
        <v>1</v>
      </c>
      <c r="BK1492" s="1">
        <v>1</v>
      </c>
      <c r="BQ1492">
        <v>1</v>
      </c>
      <c r="CR1492" t="s">
        <v>72</v>
      </c>
      <c r="CS1492" s="7" t="s">
        <v>1828</v>
      </c>
    </row>
    <row r="1493" spans="1:98">
      <c r="B1493" t="s">
        <v>3726</v>
      </c>
      <c r="C1493" s="2" t="s">
        <v>2989</v>
      </c>
      <c r="D1493" s="2" t="s">
        <v>2989</v>
      </c>
      <c r="E1493" s="8" t="s">
        <v>2991</v>
      </c>
      <c r="F1493" s="8" t="s">
        <v>357</v>
      </c>
      <c r="G1493" s="1">
        <v>1</v>
      </c>
      <c r="H1493" s="1"/>
      <c r="I1493" s="1">
        <f>1818-22</f>
        <v>1796</v>
      </c>
      <c r="J1493" t="s">
        <v>10</v>
      </c>
      <c r="K1493" t="s">
        <v>12</v>
      </c>
      <c r="Q1493">
        <v>5</v>
      </c>
      <c r="R1493">
        <v>2</v>
      </c>
      <c r="S1493">
        <v>2</v>
      </c>
      <c r="T1493" s="5">
        <f t="shared" si="69"/>
        <v>163.69999999999999</v>
      </c>
      <c r="U1493" t="s">
        <v>3727</v>
      </c>
      <c r="AW1493" s="6">
        <v>1</v>
      </c>
      <c r="AX1493" s="6">
        <v>1</v>
      </c>
      <c r="AY1493" s="6">
        <v>1</v>
      </c>
      <c r="AZ1493" s="6">
        <v>1</v>
      </c>
      <c r="BA1493" s="6">
        <v>1</v>
      </c>
      <c r="BB1493" s="6">
        <v>1</v>
      </c>
      <c r="BC1493">
        <v>1820</v>
      </c>
      <c r="BD1493" t="s">
        <v>81</v>
      </c>
      <c r="BE1493" t="s">
        <v>2407</v>
      </c>
      <c r="BF1493" s="1" t="s">
        <v>73</v>
      </c>
      <c r="BG1493" s="1">
        <v>5</v>
      </c>
      <c r="BH1493">
        <v>2</v>
      </c>
      <c r="BK1493" s="1">
        <v>1</v>
      </c>
      <c r="BQ1493">
        <v>1</v>
      </c>
      <c r="CL1493">
        <v>1</v>
      </c>
      <c r="CS1493" t="s">
        <v>3705</v>
      </c>
    </row>
    <row r="1494" spans="1:98">
      <c r="B1494" t="s">
        <v>1822</v>
      </c>
      <c r="C1494" s="2" t="s">
        <v>1823</v>
      </c>
      <c r="F1494" s="8" t="s">
        <v>1824</v>
      </c>
      <c r="G1494" s="1">
        <v>1</v>
      </c>
      <c r="H1494" s="1"/>
      <c r="I1494" s="1">
        <f>1815-20</f>
        <v>1795</v>
      </c>
      <c r="J1494" t="s">
        <v>10</v>
      </c>
      <c r="K1494" t="s">
        <v>1825</v>
      </c>
      <c r="Q1494">
        <v>5</v>
      </c>
      <c r="R1494">
        <v>2</v>
      </c>
      <c r="T1494" s="5">
        <f t="shared" si="69"/>
        <v>163.26</v>
      </c>
      <c r="U1494" t="s">
        <v>1826</v>
      </c>
      <c r="AW1494" s="6">
        <v>1</v>
      </c>
      <c r="AX1494" s="6">
        <v>1</v>
      </c>
      <c r="AY1494" s="6">
        <v>1</v>
      </c>
      <c r="AZ1494" s="6">
        <v>1</v>
      </c>
      <c r="BA1494" s="7">
        <v>1</v>
      </c>
      <c r="BC1494" t="s">
        <v>1827</v>
      </c>
      <c r="BD1494" s="7" t="s">
        <v>103</v>
      </c>
      <c r="BE1494" t="s">
        <v>125</v>
      </c>
      <c r="BF1494" s="1" t="s">
        <v>29</v>
      </c>
      <c r="BG1494" s="1">
        <v>7</v>
      </c>
      <c r="BH1494">
        <v>1</v>
      </c>
      <c r="BK1494" s="1">
        <v>1</v>
      </c>
      <c r="BQ1494">
        <v>1</v>
      </c>
      <c r="CS1494" s="7" t="s">
        <v>1828</v>
      </c>
    </row>
    <row r="1495" spans="1:98">
      <c r="B1495" t="s">
        <v>2484</v>
      </c>
      <c r="C1495" s="2" t="s">
        <v>2485</v>
      </c>
      <c r="E1495" s="8" t="s">
        <v>1630</v>
      </c>
      <c r="F1495" s="8" t="s">
        <v>65</v>
      </c>
      <c r="G1495" s="1">
        <v>1</v>
      </c>
      <c r="H1495" s="1"/>
      <c r="I1495" s="1">
        <f>1820-23</f>
        <v>1797</v>
      </c>
      <c r="J1495" t="s">
        <v>10</v>
      </c>
      <c r="K1495" t="s">
        <v>12</v>
      </c>
      <c r="Q1495">
        <v>5</v>
      </c>
      <c r="R1495">
        <v>3</v>
      </c>
      <c r="T1495" s="5">
        <f t="shared" si="69"/>
        <v>165.89000000000001</v>
      </c>
      <c r="U1495" t="s">
        <v>2486</v>
      </c>
      <c r="AW1495" s="6">
        <v>1</v>
      </c>
      <c r="AX1495" s="6">
        <v>1</v>
      </c>
      <c r="AY1495" s="6">
        <v>1</v>
      </c>
      <c r="AZ1495" s="6">
        <v>1</v>
      </c>
      <c r="BA1495" s="6">
        <v>1</v>
      </c>
      <c r="BB1495" s="6">
        <v>1</v>
      </c>
      <c r="BC1495">
        <v>1820</v>
      </c>
      <c r="BD1495" t="s">
        <v>81</v>
      </c>
      <c r="BE1495" t="s">
        <v>62</v>
      </c>
      <c r="BF1495" s="1" t="s">
        <v>73</v>
      </c>
      <c r="BG1495" s="1">
        <v>3</v>
      </c>
      <c r="BH1495">
        <v>1</v>
      </c>
      <c r="BK1495" s="1">
        <v>1</v>
      </c>
      <c r="BQ1495">
        <v>1</v>
      </c>
      <c r="CS1495" t="s">
        <v>2487</v>
      </c>
    </row>
    <row r="1496" spans="1:98">
      <c r="B1496" t="s">
        <v>2484</v>
      </c>
      <c r="C1496" s="2" t="s">
        <v>504</v>
      </c>
      <c r="D1496" s="3" t="s">
        <v>2634</v>
      </c>
      <c r="E1496" s="8" t="s">
        <v>4409</v>
      </c>
      <c r="F1496" s="8" t="s">
        <v>505</v>
      </c>
      <c r="G1496" s="1">
        <v>1</v>
      </c>
      <c r="H1496" s="1"/>
      <c r="I1496" s="1">
        <f>1819-22</f>
        <v>1797</v>
      </c>
      <c r="J1496" t="s">
        <v>10</v>
      </c>
      <c r="K1496" t="s">
        <v>12</v>
      </c>
      <c r="Q1496">
        <v>5</v>
      </c>
      <c r="R1496">
        <v>3</v>
      </c>
      <c r="S1496">
        <v>2</v>
      </c>
      <c r="T1496" s="5">
        <f t="shared" si="69"/>
        <v>166.33</v>
      </c>
      <c r="U1496" t="s">
        <v>4408</v>
      </c>
      <c r="AX1496" s="6">
        <v>1</v>
      </c>
      <c r="AY1496" s="6">
        <v>1</v>
      </c>
      <c r="AZ1496" s="6">
        <v>1</v>
      </c>
      <c r="BA1496" s="6">
        <v>1</v>
      </c>
      <c r="BB1496" s="6">
        <v>1</v>
      </c>
      <c r="BC1496">
        <v>1820</v>
      </c>
      <c r="BD1496" t="s">
        <v>81</v>
      </c>
      <c r="BE1496" t="s">
        <v>2635</v>
      </c>
      <c r="BF1496" s="1" t="s">
        <v>73</v>
      </c>
      <c r="BG1496" s="1">
        <v>5</v>
      </c>
      <c r="BH1496">
        <v>1</v>
      </c>
      <c r="BK1496" s="1"/>
    </row>
    <row r="1497" spans="1:98">
      <c r="B1497" t="s">
        <v>944</v>
      </c>
      <c r="C1497" s="2" t="s">
        <v>937</v>
      </c>
      <c r="D1497" s="2" t="s">
        <v>937</v>
      </c>
      <c r="E1497" s="8" t="s">
        <v>939</v>
      </c>
      <c r="F1497" s="8" t="s">
        <v>940</v>
      </c>
      <c r="G1497" s="1">
        <v>1</v>
      </c>
      <c r="H1497" s="1"/>
      <c r="I1497" s="1">
        <f>1817-22</f>
        <v>1795</v>
      </c>
      <c r="J1497" t="s">
        <v>10</v>
      </c>
      <c r="K1497" t="s">
        <v>12</v>
      </c>
      <c r="Q1497">
        <v>5</v>
      </c>
      <c r="R1497">
        <v>3</v>
      </c>
      <c r="S1497">
        <v>1</v>
      </c>
      <c r="T1497" s="5">
        <f t="shared" si="69"/>
        <v>166.11</v>
      </c>
      <c r="U1497" t="s">
        <v>945</v>
      </c>
      <c r="AX1497" s="6">
        <v>1</v>
      </c>
      <c r="AY1497" s="6">
        <v>1</v>
      </c>
      <c r="AZ1497" s="6">
        <v>1</v>
      </c>
      <c r="BA1497" s="7">
        <v>1</v>
      </c>
      <c r="BC1497" t="s">
        <v>946</v>
      </c>
      <c r="BD1497" s="7" t="s">
        <v>280</v>
      </c>
      <c r="BE1497" t="s">
        <v>943</v>
      </c>
      <c r="BF1497" s="1" t="s">
        <v>29</v>
      </c>
      <c r="BG1497" s="1">
        <v>6</v>
      </c>
      <c r="BH1497">
        <v>1</v>
      </c>
      <c r="BK1497" s="1"/>
      <c r="BO1497">
        <v>1</v>
      </c>
      <c r="BT1497">
        <v>1</v>
      </c>
      <c r="CN1497">
        <v>1</v>
      </c>
      <c r="CS1497" s="7" t="s">
        <v>947</v>
      </c>
    </row>
    <row r="1498" spans="1:98">
      <c r="B1498" t="s">
        <v>2495</v>
      </c>
      <c r="C1498" s="2" t="s">
        <v>2496</v>
      </c>
      <c r="D1498" s="2" t="s">
        <v>2496</v>
      </c>
      <c r="E1498" s="8" t="s">
        <v>1630</v>
      </c>
      <c r="F1498" s="8" t="s">
        <v>65</v>
      </c>
      <c r="G1498" s="1">
        <v>1</v>
      </c>
      <c r="H1498" s="1"/>
      <c r="I1498" s="1">
        <f>1820-22</f>
        <v>1798</v>
      </c>
      <c r="J1498" t="s">
        <v>10</v>
      </c>
      <c r="K1498" t="s">
        <v>12</v>
      </c>
      <c r="Q1498">
        <v>5</v>
      </c>
      <c r="R1498">
        <v>4</v>
      </c>
      <c r="T1498" s="5">
        <f t="shared" si="69"/>
        <v>168.52</v>
      </c>
      <c r="U1498" t="s">
        <v>2497</v>
      </c>
      <c r="AX1498" s="6">
        <v>1</v>
      </c>
      <c r="AY1498" s="6">
        <v>1</v>
      </c>
      <c r="AZ1498" s="6">
        <v>1</v>
      </c>
      <c r="BA1498" s="6">
        <v>1</v>
      </c>
      <c r="BB1498" s="6">
        <v>1</v>
      </c>
      <c r="BC1498">
        <v>1820</v>
      </c>
      <c r="BD1498" t="s">
        <v>81</v>
      </c>
      <c r="BE1498" t="s">
        <v>62</v>
      </c>
      <c r="BF1498" s="1" t="s">
        <v>73</v>
      </c>
      <c r="BG1498" s="1">
        <v>3</v>
      </c>
      <c r="BH1498">
        <v>1</v>
      </c>
      <c r="BK1498" s="1">
        <v>1</v>
      </c>
      <c r="BQ1498">
        <v>1</v>
      </c>
      <c r="CF1498">
        <v>1</v>
      </c>
      <c r="CS1498" t="s">
        <v>2483</v>
      </c>
    </row>
    <row r="1499" spans="1:98">
      <c r="B1499" t="s">
        <v>252</v>
      </c>
      <c r="C1499" s="2" t="s">
        <v>253</v>
      </c>
      <c r="E1499" s="8" t="s">
        <v>4055</v>
      </c>
      <c r="F1499" s="8" t="s">
        <v>247</v>
      </c>
      <c r="G1499" s="1">
        <v>1</v>
      </c>
      <c r="H1499" s="1"/>
      <c r="I1499" s="1">
        <f>1817-21</f>
        <v>1796</v>
      </c>
      <c r="J1499" t="s">
        <v>10</v>
      </c>
      <c r="K1499" t="s">
        <v>12</v>
      </c>
      <c r="Q1499">
        <v>5</v>
      </c>
      <c r="R1499">
        <v>4</v>
      </c>
      <c r="T1499" s="5">
        <f t="shared" si="69"/>
        <v>168.52</v>
      </c>
      <c r="U1499" t="s">
        <v>251</v>
      </c>
      <c r="AX1499" s="6">
        <v>1</v>
      </c>
      <c r="AY1499" s="6">
        <v>1</v>
      </c>
      <c r="BC1499">
        <v>1817</v>
      </c>
      <c r="BD1499" t="s">
        <v>81</v>
      </c>
      <c r="BE1499" t="s">
        <v>255</v>
      </c>
      <c r="BF1499" s="1" t="s">
        <v>73</v>
      </c>
      <c r="BG1499" s="1">
        <v>1</v>
      </c>
      <c r="BH1499">
        <v>1</v>
      </c>
      <c r="BK1499" s="1"/>
      <c r="BN1499">
        <v>1</v>
      </c>
      <c r="BO1499" t="s">
        <v>72</v>
      </c>
      <c r="BW1499">
        <v>1</v>
      </c>
      <c r="CS1499" t="s">
        <v>256</v>
      </c>
    </row>
    <row r="1500" spans="1:98">
      <c r="B1500" t="s">
        <v>3703</v>
      </c>
      <c r="C1500" s="2" t="s">
        <v>1223</v>
      </c>
      <c r="D1500" s="2" t="s">
        <v>1223</v>
      </c>
      <c r="E1500" s="8" t="s">
        <v>130</v>
      </c>
      <c r="F1500" s="8" t="s">
        <v>65</v>
      </c>
      <c r="G1500" s="1">
        <v>1</v>
      </c>
      <c r="H1500" s="1"/>
      <c r="I1500" s="1">
        <f>1820-21</f>
        <v>1799</v>
      </c>
      <c r="J1500" t="s">
        <v>10</v>
      </c>
      <c r="K1500" t="s">
        <v>12</v>
      </c>
      <c r="Q1500">
        <v>5</v>
      </c>
      <c r="R1500">
        <v>6</v>
      </c>
      <c r="S1500">
        <v>1</v>
      </c>
      <c r="T1500" s="5">
        <f t="shared" si="69"/>
        <v>174</v>
      </c>
      <c r="U1500" t="s">
        <v>3704</v>
      </c>
      <c r="AY1500" s="6">
        <v>1</v>
      </c>
      <c r="AZ1500" s="6">
        <v>1</v>
      </c>
      <c r="BA1500" s="6">
        <v>1</v>
      </c>
      <c r="BB1500" s="6">
        <v>1</v>
      </c>
      <c r="BC1500">
        <v>1820</v>
      </c>
      <c r="BD1500" t="s">
        <v>81</v>
      </c>
      <c r="BE1500" t="s">
        <v>2407</v>
      </c>
      <c r="BF1500" s="1" t="s">
        <v>73</v>
      </c>
      <c r="BG1500" s="1">
        <v>2</v>
      </c>
      <c r="BH1500">
        <v>2</v>
      </c>
      <c r="BK1500" s="1">
        <v>1</v>
      </c>
      <c r="BQ1500">
        <v>1</v>
      </c>
      <c r="CL1500">
        <v>1</v>
      </c>
      <c r="CN1500">
        <v>1</v>
      </c>
      <c r="CP1500">
        <v>1</v>
      </c>
      <c r="CS1500" t="s">
        <v>3705</v>
      </c>
    </row>
    <row r="1501" spans="1:98">
      <c r="B1501" t="s">
        <v>401</v>
      </c>
      <c r="C1501" s="2" t="s">
        <v>4086</v>
      </c>
      <c r="E1501" s="8" t="s">
        <v>4085</v>
      </c>
      <c r="F1501" s="8" t="s">
        <v>247</v>
      </c>
      <c r="G1501" s="1">
        <v>1</v>
      </c>
      <c r="H1501" s="1"/>
      <c r="I1501" s="1">
        <f>1819-26</f>
        <v>1793</v>
      </c>
      <c r="J1501" t="s">
        <v>10</v>
      </c>
      <c r="K1501" t="s">
        <v>12</v>
      </c>
      <c r="Q1501">
        <v>5</v>
      </c>
      <c r="R1501">
        <v>5</v>
      </c>
      <c r="T1501" s="5">
        <f t="shared" si="69"/>
        <v>171.15</v>
      </c>
      <c r="U1501" s="9" t="s">
        <v>403</v>
      </c>
      <c r="AY1501" s="9">
        <v>1</v>
      </c>
      <c r="AZ1501" s="6">
        <v>1</v>
      </c>
      <c r="BA1501" s="6">
        <v>1</v>
      </c>
      <c r="BB1501" s="6">
        <v>1</v>
      </c>
      <c r="BC1501">
        <v>1820</v>
      </c>
      <c r="BD1501" t="s">
        <v>81</v>
      </c>
      <c r="BE1501" t="s">
        <v>399</v>
      </c>
      <c r="BF1501" s="1" t="s">
        <v>73</v>
      </c>
      <c r="BG1501" s="1">
        <v>2</v>
      </c>
      <c r="BH1501">
        <v>2</v>
      </c>
      <c r="BK1501" s="1" t="s">
        <v>72</v>
      </c>
      <c r="BW1501">
        <v>1</v>
      </c>
      <c r="BZ1501">
        <v>1</v>
      </c>
      <c r="CL1501">
        <v>1</v>
      </c>
      <c r="CS1501" t="s">
        <v>400</v>
      </c>
      <c r="CT1501" s="9" t="s">
        <v>4087</v>
      </c>
    </row>
    <row r="1502" spans="1:98">
      <c r="B1502" t="s">
        <v>953</v>
      </c>
      <c r="C1502" s="2" t="s">
        <v>952</v>
      </c>
      <c r="D1502" s="8" t="s">
        <v>951</v>
      </c>
      <c r="E1502" s="8" t="s">
        <v>950</v>
      </c>
      <c r="F1502" s="8" t="s">
        <v>949</v>
      </c>
      <c r="G1502" s="1">
        <v>1</v>
      </c>
      <c r="H1502" s="1"/>
      <c r="I1502" s="1">
        <f>1817-27</f>
        <v>1790</v>
      </c>
      <c r="J1502" t="s">
        <v>10</v>
      </c>
      <c r="K1502" t="s">
        <v>790</v>
      </c>
      <c r="Q1502">
        <v>5</v>
      </c>
      <c r="R1502">
        <v>4</v>
      </c>
      <c r="S1502">
        <v>2</v>
      </c>
      <c r="T1502" s="5">
        <f t="shared" si="69"/>
        <v>168.96</v>
      </c>
      <c r="U1502" t="s">
        <v>948</v>
      </c>
      <c r="AY1502" s="6">
        <v>1</v>
      </c>
      <c r="AZ1502" s="6">
        <v>1</v>
      </c>
      <c r="BA1502" s="6">
        <v>1</v>
      </c>
      <c r="BB1502" s="6">
        <v>1</v>
      </c>
      <c r="BC1502" t="s">
        <v>954</v>
      </c>
      <c r="BD1502" s="7" t="s">
        <v>103</v>
      </c>
      <c r="BE1502" t="s">
        <v>943</v>
      </c>
      <c r="BF1502" s="1" t="s">
        <v>29</v>
      </c>
      <c r="BG1502" s="1">
        <v>9</v>
      </c>
      <c r="BH1502">
        <v>1</v>
      </c>
      <c r="BK1502" s="1"/>
      <c r="BO1502">
        <v>1</v>
      </c>
      <c r="BT1502">
        <v>1</v>
      </c>
      <c r="CS1502" s="7" t="s">
        <v>955</v>
      </c>
    </row>
    <row r="1503" spans="1:98">
      <c r="B1503" t="s">
        <v>3712</v>
      </c>
      <c r="C1503" s="2" t="s">
        <v>564</v>
      </c>
      <c r="D1503" s="2" t="s">
        <v>564</v>
      </c>
      <c r="E1503" s="8" t="s">
        <v>565</v>
      </c>
      <c r="F1503" s="8" t="s">
        <v>357</v>
      </c>
      <c r="G1503" s="1">
        <v>1</v>
      </c>
      <c r="H1503" s="1"/>
      <c r="I1503" s="1">
        <f>1820-25</f>
        <v>1795</v>
      </c>
      <c r="J1503" t="s">
        <v>10</v>
      </c>
      <c r="K1503" t="s">
        <v>12</v>
      </c>
      <c r="Q1503">
        <v>5</v>
      </c>
      <c r="R1503">
        <v>8</v>
      </c>
      <c r="S1503">
        <v>3</v>
      </c>
      <c r="T1503" s="5">
        <f t="shared" si="69"/>
        <v>179.7</v>
      </c>
      <c r="U1503" t="s">
        <v>3713</v>
      </c>
      <c r="BA1503" s="14"/>
      <c r="BB1503" s="6">
        <v>1</v>
      </c>
      <c r="BC1503">
        <v>1820</v>
      </c>
      <c r="BD1503" t="s">
        <v>81</v>
      </c>
      <c r="BE1503" t="s">
        <v>2407</v>
      </c>
      <c r="BF1503" s="1" t="s">
        <v>73</v>
      </c>
      <c r="BG1503" s="1">
        <v>2</v>
      </c>
      <c r="BH1503">
        <v>1</v>
      </c>
      <c r="BK1503" s="30">
        <v>1</v>
      </c>
      <c r="BL1503">
        <v>1</v>
      </c>
      <c r="BQ1503">
        <v>1</v>
      </c>
      <c r="CS1503" t="s">
        <v>3705</v>
      </c>
      <c r="CT1503" s="6" t="s">
        <v>3714</v>
      </c>
    </row>
    <row r="1504" spans="1:98">
      <c r="B1504" t="s">
        <v>2511</v>
      </c>
      <c r="C1504" s="2" t="s">
        <v>2512</v>
      </c>
      <c r="D1504" s="8"/>
      <c r="E1504" s="8" t="s">
        <v>2513</v>
      </c>
      <c r="F1504" s="8" t="s">
        <v>2514</v>
      </c>
      <c r="G1504" s="1"/>
      <c r="H1504" s="1">
        <v>1</v>
      </c>
      <c r="I1504" s="1">
        <f>1820-23</f>
        <v>1797</v>
      </c>
      <c r="J1504" t="s">
        <v>10</v>
      </c>
      <c r="K1504" t="s">
        <v>646</v>
      </c>
      <c r="Q1504">
        <v>5</v>
      </c>
      <c r="R1504">
        <v>2</v>
      </c>
      <c r="T1504" s="5">
        <f t="shared" si="69"/>
        <v>163.26</v>
      </c>
      <c r="U1504" t="s">
        <v>2515</v>
      </c>
      <c r="BB1504" s="6">
        <v>1</v>
      </c>
      <c r="BC1504">
        <v>1820</v>
      </c>
      <c r="BD1504" t="s">
        <v>81</v>
      </c>
      <c r="BE1504" t="s">
        <v>62</v>
      </c>
      <c r="BF1504" s="1" t="s">
        <v>73</v>
      </c>
      <c r="BG1504" s="1">
        <v>1</v>
      </c>
      <c r="BH1504">
        <v>1</v>
      </c>
      <c r="BK1504" s="1"/>
      <c r="BO1504">
        <v>1</v>
      </c>
      <c r="BQ1504">
        <v>1</v>
      </c>
      <c r="CS1504" t="s">
        <v>2487</v>
      </c>
    </row>
    <row r="1505" spans="22:54" ht="30" customHeight="1">
      <c r="V1505" s="59">
        <f t="shared" ref="V1505:BA1505" si="70">SUM(V3:V1504)</f>
        <v>13</v>
      </c>
      <c r="W1505" s="59">
        <f t="shared" si="70"/>
        <v>93</v>
      </c>
      <c r="X1505" s="59">
        <f t="shared" si="70"/>
        <v>111</v>
      </c>
      <c r="Y1505" s="59">
        <f t="shared" si="70"/>
        <v>33</v>
      </c>
      <c r="Z1505" s="59">
        <f t="shared" si="70"/>
        <v>11</v>
      </c>
      <c r="AA1505" s="59">
        <f t="shared" si="70"/>
        <v>10</v>
      </c>
      <c r="AB1505" s="59">
        <f t="shared" si="70"/>
        <v>11</v>
      </c>
      <c r="AC1505" s="59">
        <f t="shared" si="70"/>
        <v>14</v>
      </c>
      <c r="AD1505" s="59">
        <f t="shared" si="70"/>
        <v>79</v>
      </c>
      <c r="AE1505" s="59">
        <f t="shared" si="70"/>
        <v>257</v>
      </c>
      <c r="AF1505" s="59">
        <f t="shared" si="70"/>
        <v>264</v>
      </c>
      <c r="AG1505" s="59">
        <f t="shared" si="70"/>
        <v>350</v>
      </c>
      <c r="AH1505" s="59">
        <f t="shared" si="70"/>
        <v>442</v>
      </c>
      <c r="AI1505" s="59">
        <f t="shared" si="70"/>
        <v>462</v>
      </c>
      <c r="AJ1505" s="59">
        <f t="shared" si="70"/>
        <v>392</v>
      </c>
      <c r="AK1505" s="59">
        <f t="shared" si="70"/>
        <v>344</v>
      </c>
      <c r="AL1505" s="59">
        <f t="shared" si="70"/>
        <v>295</v>
      </c>
      <c r="AM1505" s="59">
        <f t="shared" si="70"/>
        <v>452</v>
      </c>
      <c r="AN1505" s="59">
        <f t="shared" si="70"/>
        <v>378</v>
      </c>
      <c r="AO1505" s="59">
        <f t="shared" si="70"/>
        <v>208</v>
      </c>
      <c r="AP1505" s="59">
        <f t="shared" si="70"/>
        <v>251</v>
      </c>
      <c r="AQ1505" s="59">
        <f t="shared" si="70"/>
        <v>437</v>
      </c>
      <c r="AR1505" s="59">
        <f t="shared" si="70"/>
        <v>320</v>
      </c>
      <c r="AS1505" s="59">
        <f t="shared" si="70"/>
        <v>191</v>
      </c>
      <c r="AT1505" s="59">
        <f t="shared" si="70"/>
        <v>114</v>
      </c>
      <c r="AU1505" s="59">
        <f t="shared" si="70"/>
        <v>116</v>
      </c>
      <c r="AV1505" s="59">
        <f t="shared" si="70"/>
        <v>130</v>
      </c>
      <c r="AW1505" s="59">
        <f t="shared" si="70"/>
        <v>125</v>
      </c>
      <c r="AX1505" s="59">
        <f t="shared" si="70"/>
        <v>121</v>
      </c>
      <c r="AY1505" s="59">
        <f t="shared" si="70"/>
        <v>106</v>
      </c>
      <c r="AZ1505" s="59">
        <f t="shared" si="70"/>
        <v>76</v>
      </c>
      <c r="BA1505" s="59">
        <f t="shared" si="70"/>
        <v>68</v>
      </c>
      <c r="BB1505" s="59">
        <f>SUM(BB3:BB1504)</f>
        <v>55</v>
      </c>
    </row>
    <row r="1508" spans="22:54" ht="24">
      <c r="X1508" s="74" t="s">
        <v>4748</v>
      </c>
      <c r="Y1508" s="74"/>
      <c r="Z1508" s="74"/>
      <c r="AA1508" s="74"/>
      <c r="AB1508" s="74"/>
      <c r="AC1508" s="74"/>
      <c r="AD1508" s="74"/>
      <c r="AE1508" s="74"/>
      <c r="AF1508" s="74"/>
      <c r="AG1508" s="74"/>
      <c r="AH1508" s="74"/>
      <c r="AI1508" s="74"/>
      <c r="AJ1508" s="74"/>
      <c r="AK1508" s="74"/>
      <c r="AL1508" s="74"/>
      <c r="AM1508" s="74"/>
      <c r="AN1508" s="74"/>
      <c r="AO1508" s="74"/>
      <c r="AP1508" s="74"/>
      <c r="AQ1508" s="74"/>
      <c r="AR1508" s="74"/>
      <c r="AS1508" s="74"/>
      <c r="AT1508" s="74"/>
      <c r="AU1508" s="74"/>
      <c r="AV1508" s="74"/>
      <c r="AW1508" s="74"/>
      <c r="AX1508" s="74"/>
      <c r="AY1508" s="74"/>
      <c r="AZ1508" s="72"/>
    </row>
    <row r="1509" spans="22:54" ht="24">
      <c r="X1509" s="74"/>
      <c r="Y1509" s="74"/>
      <c r="Z1509" s="74"/>
      <c r="AA1509" s="74"/>
      <c r="AB1509" s="74"/>
      <c r="AC1509" s="74"/>
      <c r="AD1509" s="74"/>
      <c r="AE1509" s="74"/>
      <c r="AF1509" s="74"/>
      <c r="AG1509" s="74"/>
      <c r="AH1509" s="74"/>
      <c r="AI1509" s="74"/>
      <c r="AJ1509" s="74"/>
      <c r="AK1509" s="74"/>
      <c r="AL1509" s="74"/>
      <c r="AM1509" s="74"/>
      <c r="AN1509" s="74"/>
      <c r="AO1509" s="74"/>
      <c r="AP1509" s="74"/>
      <c r="AQ1509" s="74"/>
      <c r="AR1509" s="74"/>
      <c r="AS1509" s="74"/>
      <c r="AT1509" s="74"/>
      <c r="AU1509" s="74"/>
      <c r="AV1509" s="74"/>
      <c r="AW1509" s="74"/>
      <c r="AX1509" s="74"/>
      <c r="AY1509" s="74"/>
      <c r="AZ1509" s="72"/>
    </row>
    <row r="1510" spans="22:54" ht="19">
      <c r="X1510" s="70">
        <v>1</v>
      </c>
      <c r="Z1510" s="75" t="s">
        <v>4754</v>
      </c>
      <c r="AA1510" s="75"/>
      <c r="AB1510" s="75"/>
      <c r="AC1510" s="75"/>
      <c r="AD1510" s="75"/>
      <c r="AE1510" s="75"/>
      <c r="AF1510" s="75"/>
      <c r="AG1510" s="75"/>
      <c r="AH1510" s="75"/>
      <c r="AI1510" s="75"/>
      <c r="AJ1510" s="75"/>
      <c r="AK1510" s="75"/>
      <c r="AL1510" s="75"/>
      <c r="AM1510" s="75"/>
      <c r="AN1510" s="75"/>
      <c r="AO1510" s="75"/>
      <c r="AP1510" s="75"/>
      <c r="AQ1510" s="75"/>
      <c r="AR1510" s="75"/>
      <c r="AS1510" s="75"/>
      <c r="AT1510" s="75"/>
      <c r="AU1510" s="75"/>
      <c r="AV1510" s="75"/>
      <c r="AW1510" s="75"/>
      <c r="AX1510" s="75"/>
      <c r="AY1510" s="75"/>
      <c r="AZ1510" s="70"/>
    </row>
    <row r="1511" spans="22:54" ht="19">
      <c r="X1511" s="71"/>
      <c r="Z1511" s="75" t="s">
        <v>4759</v>
      </c>
      <c r="AA1511" s="75"/>
      <c r="AB1511" s="75"/>
      <c r="AC1511" s="75"/>
      <c r="AD1511" s="75"/>
      <c r="AE1511" s="75"/>
      <c r="AF1511" s="75"/>
      <c r="AG1511" s="75"/>
      <c r="AH1511" s="75"/>
      <c r="AI1511" s="75"/>
      <c r="AJ1511" s="75"/>
      <c r="AK1511" s="75"/>
      <c r="AL1511" s="75"/>
      <c r="AM1511" s="75"/>
      <c r="AN1511" s="75"/>
      <c r="AO1511" s="75"/>
      <c r="AP1511" s="75"/>
      <c r="AQ1511" s="75"/>
      <c r="AR1511" s="75"/>
      <c r="AS1511" s="75"/>
      <c r="AT1511" s="75"/>
      <c r="AU1511" s="75"/>
      <c r="AV1511" s="75"/>
      <c r="AW1511" s="75"/>
      <c r="AX1511" s="75"/>
      <c r="AY1511" s="75"/>
    </row>
    <row r="1512" spans="22:54" ht="19">
      <c r="X1512" s="10"/>
      <c r="Z1512" s="75" t="s">
        <v>4749</v>
      </c>
      <c r="AA1512" s="75"/>
      <c r="AB1512" s="75"/>
      <c r="AC1512" s="75"/>
      <c r="AD1512" s="75"/>
      <c r="AE1512" s="75"/>
      <c r="AF1512" s="75"/>
      <c r="AG1512" s="75"/>
      <c r="AH1512" s="75"/>
      <c r="AI1512" s="75"/>
      <c r="AJ1512" s="75"/>
      <c r="AK1512" s="75"/>
      <c r="AL1512" s="75"/>
      <c r="AM1512" s="75"/>
      <c r="AN1512" s="75"/>
      <c r="AO1512" s="75"/>
      <c r="AP1512" s="75"/>
      <c r="AQ1512" s="75"/>
      <c r="AR1512" s="75"/>
      <c r="AS1512" s="75"/>
      <c r="AT1512" s="75"/>
      <c r="AU1512" s="75"/>
      <c r="AV1512" s="75"/>
      <c r="AW1512" s="75"/>
      <c r="AX1512" s="75"/>
      <c r="AY1512" s="75"/>
    </row>
    <row r="1513" spans="22:54" ht="19">
      <c r="X1513" s="9"/>
      <c r="Z1513" s="75" t="s">
        <v>4753</v>
      </c>
      <c r="AA1513" s="75"/>
      <c r="AB1513" s="75"/>
      <c r="AC1513" s="75"/>
      <c r="AD1513" s="75"/>
      <c r="AE1513" s="75"/>
      <c r="AF1513" s="75"/>
      <c r="AG1513" s="75"/>
      <c r="AH1513" s="75"/>
      <c r="AI1513" s="75"/>
      <c r="AJ1513" s="75"/>
      <c r="AK1513" s="75"/>
      <c r="AL1513" s="75"/>
      <c r="AM1513" s="75"/>
      <c r="AN1513" s="75"/>
      <c r="AO1513" s="75"/>
      <c r="AP1513" s="75"/>
      <c r="AQ1513" s="75"/>
      <c r="AR1513" s="75"/>
      <c r="AS1513" s="75"/>
      <c r="AT1513" s="75"/>
      <c r="AU1513" s="75"/>
      <c r="AV1513" s="75"/>
      <c r="AW1513" s="75"/>
      <c r="AX1513" s="75"/>
      <c r="AY1513" s="75"/>
    </row>
    <row r="1514" spans="22:54" ht="19">
      <c r="X1514" s="7"/>
      <c r="Z1514" s="76" t="s">
        <v>4750</v>
      </c>
      <c r="AA1514" s="76"/>
      <c r="AB1514" s="76"/>
      <c r="AC1514" s="76"/>
      <c r="AD1514" s="76"/>
      <c r="AE1514" s="76"/>
      <c r="AF1514" s="76"/>
      <c r="AG1514" s="76"/>
      <c r="AH1514" s="76"/>
      <c r="AI1514" s="76"/>
      <c r="AJ1514" s="76"/>
      <c r="AK1514" s="76"/>
      <c r="AL1514" s="76"/>
      <c r="AM1514" s="76"/>
      <c r="AN1514" s="76"/>
      <c r="AO1514" s="76"/>
      <c r="AP1514" s="76"/>
      <c r="AQ1514" s="76"/>
      <c r="AR1514" s="76"/>
      <c r="AS1514" s="76"/>
      <c r="AT1514" s="76"/>
      <c r="AU1514" s="76"/>
      <c r="AV1514" s="76"/>
      <c r="AW1514" s="76"/>
      <c r="AX1514" s="76"/>
      <c r="AY1514" s="76"/>
    </row>
    <row r="1515" spans="22:54" ht="19">
      <c r="X1515" s="54"/>
      <c r="Z1515" s="76" t="s">
        <v>4751</v>
      </c>
      <c r="AA1515" s="76"/>
      <c r="AB1515" s="76"/>
      <c r="AC1515" s="76"/>
      <c r="AD1515" s="76"/>
      <c r="AE1515" s="76"/>
      <c r="AF1515" s="76"/>
      <c r="AG1515" s="76"/>
      <c r="AH1515" s="76"/>
      <c r="AI1515" s="76"/>
      <c r="AJ1515" s="76"/>
      <c r="AK1515" s="76"/>
      <c r="AL1515" s="76"/>
      <c r="AM1515" s="76"/>
      <c r="AN1515" s="76"/>
      <c r="AO1515" s="76"/>
      <c r="AP1515" s="76"/>
      <c r="AQ1515" s="76"/>
      <c r="AR1515" s="76"/>
      <c r="AS1515" s="76"/>
      <c r="AT1515" s="76"/>
      <c r="AU1515" s="76"/>
      <c r="AV1515" s="76"/>
      <c r="AW1515" s="76"/>
      <c r="AX1515" s="76"/>
      <c r="AY1515" s="76"/>
    </row>
    <row r="1516" spans="22:54" ht="19">
      <c r="X1516" s="14"/>
      <c r="Z1516" s="76" t="s">
        <v>4752</v>
      </c>
      <c r="AA1516" s="76"/>
      <c r="AB1516" s="76"/>
      <c r="AC1516" s="76"/>
      <c r="AD1516" s="76"/>
      <c r="AE1516" s="76"/>
      <c r="AF1516" s="76"/>
      <c r="AG1516" s="76"/>
      <c r="AH1516" s="76"/>
      <c r="AI1516" s="76"/>
      <c r="AJ1516" s="76"/>
      <c r="AK1516" s="76"/>
      <c r="AL1516" s="76"/>
      <c r="AM1516" s="76"/>
      <c r="AN1516" s="76"/>
      <c r="AO1516" s="76"/>
      <c r="AP1516" s="76"/>
      <c r="AQ1516" s="76"/>
      <c r="AR1516" s="76"/>
      <c r="AS1516" s="76"/>
      <c r="AT1516" s="76"/>
      <c r="AU1516" s="76"/>
      <c r="AV1516" s="76"/>
      <c r="AW1516" s="76"/>
      <c r="AX1516" s="76"/>
      <c r="AY1516" s="76"/>
    </row>
    <row r="1517" spans="22:54" ht="19">
      <c r="X1517" s="40"/>
      <c r="Z1517" s="76" t="s">
        <v>4755</v>
      </c>
      <c r="AA1517" s="76"/>
      <c r="AB1517" s="76"/>
      <c r="AC1517" s="76"/>
      <c r="AD1517" s="76"/>
      <c r="AE1517" s="76"/>
      <c r="AF1517" s="76"/>
      <c r="AG1517" s="76"/>
      <c r="AH1517" s="76"/>
      <c r="AI1517" s="76"/>
      <c r="AJ1517" s="76"/>
      <c r="AK1517" s="76"/>
      <c r="AL1517" s="76"/>
      <c r="AM1517" s="76"/>
      <c r="AN1517" s="76"/>
      <c r="AO1517" s="76"/>
      <c r="AP1517" s="76"/>
      <c r="AQ1517" s="76"/>
      <c r="AR1517" s="76"/>
      <c r="AS1517" s="76"/>
      <c r="AT1517" s="76"/>
      <c r="AU1517" s="76"/>
      <c r="AV1517" s="76"/>
      <c r="AW1517" s="76"/>
      <c r="AX1517" s="76"/>
      <c r="AY1517" s="76"/>
    </row>
  </sheetData>
  <mergeCells count="97">
    <mergeCell ref="A1:A2"/>
    <mergeCell ref="U1:U2"/>
    <mergeCell ref="CN1:CN2"/>
    <mergeCell ref="CO1:CO2"/>
    <mergeCell ref="CP1:CP2"/>
    <mergeCell ref="CA1:CA2"/>
    <mergeCell ref="BN1:BN2"/>
    <mergeCell ref="BO1:BO2"/>
    <mergeCell ref="BP1:BP2"/>
    <mergeCell ref="BQ1:BQ2"/>
    <mergeCell ref="BR1:BT1"/>
    <mergeCell ref="BU1:BU2"/>
    <mergeCell ref="BV1:BV2"/>
    <mergeCell ref="BW1:BW2"/>
    <mergeCell ref="BX1:BX2"/>
    <mergeCell ref="BY1:BY2"/>
    <mergeCell ref="CQ1:CQ2"/>
    <mergeCell ref="CR1:CR2"/>
    <mergeCell ref="CM1:CM2"/>
    <mergeCell ref="CB1:CB2"/>
    <mergeCell ref="CC1:CC2"/>
    <mergeCell ref="CD1:CD2"/>
    <mergeCell ref="CE1:CE2"/>
    <mergeCell ref="CF1:CF2"/>
    <mergeCell ref="CG1:CG2"/>
    <mergeCell ref="CH1:CH2"/>
    <mergeCell ref="CI1:CI2"/>
    <mergeCell ref="CJ1:CJ2"/>
    <mergeCell ref="CK1:CK2"/>
    <mergeCell ref="CL1:CL2"/>
    <mergeCell ref="BZ1:BZ2"/>
    <mergeCell ref="BM1:BM2"/>
    <mergeCell ref="BB1:BB2"/>
    <mergeCell ref="BC1:BC2"/>
    <mergeCell ref="BD1:BD2"/>
    <mergeCell ref="BE1:BE2"/>
    <mergeCell ref="BF1:BF2"/>
    <mergeCell ref="BG1:BG2"/>
    <mergeCell ref="BH1:BH2"/>
    <mergeCell ref="BI1:BI2"/>
    <mergeCell ref="BJ1:BJ2"/>
    <mergeCell ref="BK1:BK2"/>
    <mergeCell ref="BL1:BL2"/>
    <mergeCell ref="BA1:BA2"/>
    <mergeCell ref="AP1:AP2"/>
    <mergeCell ref="AQ1:AQ2"/>
    <mergeCell ref="AR1:AR2"/>
    <mergeCell ref="AS1:AS2"/>
    <mergeCell ref="AT1:AT2"/>
    <mergeCell ref="AU1:AU2"/>
    <mergeCell ref="AV1:AV2"/>
    <mergeCell ref="AW1:AW2"/>
    <mergeCell ref="AX1:AX2"/>
    <mergeCell ref="AY1:AY2"/>
    <mergeCell ref="AZ1:AZ2"/>
    <mergeCell ref="AJ1:AJ2"/>
    <mergeCell ref="AK1:AK2"/>
    <mergeCell ref="AL1:AL2"/>
    <mergeCell ref="AM1:AM2"/>
    <mergeCell ref="AN1:AN2"/>
    <mergeCell ref="Z1516:AY1516"/>
    <mergeCell ref="Z1517:AY1517"/>
    <mergeCell ref="J1:J2"/>
    <mergeCell ref="B1:B2"/>
    <mergeCell ref="C1:F1"/>
    <mergeCell ref="G1:G2"/>
    <mergeCell ref="H1:H2"/>
    <mergeCell ref="I1:I2"/>
    <mergeCell ref="AC1:AC2"/>
    <mergeCell ref="K1:K2"/>
    <mergeCell ref="L1:N1"/>
    <mergeCell ref="O1:P1"/>
    <mergeCell ref="Q1:T1"/>
    <mergeCell ref="V1:V2"/>
    <mergeCell ref="W1:W2"/>
    <mergeCell ref="X1:X2"/>
    <mergeCell ref="Z1511:AY1511"/>
    <mergeCell ref="Z1512:AY1512"/>
    <mergeCell ref="Z1513:AY1513"/>
    <mergeCell ref="Z1514:AY1514"/>
    <mergeCell ref="Z1515:AY1515"/>
    <mergeCell ref="CS1:CS2"/>
    <mergeCell ref="CT1:CT2"/>
    <mergeCell ref="CU1:CU2"/>
    <mergeCell ref="X1508:AY1509"/>
    <mergeCell ref="Z1510:AY1510"/>
    <mergeCell ref="Y1:Y2"/>
    <mergeCell ref="Z1:Z2"/>
    <mergeCell ref="AA1:AA2"/>
    <mergeCell ref="AB1:AB2"/>
    <mergeCell ref="AO1:AO2"/>
    <mergeCell ref="AD1:AD2"/>
    <mergeCell ref="AE1:AE2"/>
    <mergeCell ref="AF1:AF2"/>
    <mergeCell ref="AG1:AG2"/>
    <mergeCell ref="AH1:AH2"/>
    <mergeCell ref="AI1:AI2"/>
  </mergeCells>
  <phoneticPr fontId="54" type="noConversion"/>
  <hyperlinks>
    <hyperlink ref="C446" r:id="rId1" xr:uid="{0F1560D6-2E83-014B-B963-91832BD05641}"/>
    <hyperlink ref="C447" r:id="rId2" xr:uid="{FC2A533C-D347-4B49-A2BA-49258D6A024F}"/>
    <hyperlink ref="C1063" r:id="rId3" xr:uid="{B6EE02F5-E4C7-D648-86D8-158462C5DB63}"/>
    <hyperlink ref="C760" r:id="rId4" xr:uid="{06C850EA-46F5-7E48-B7E3-BEB84D2B4134}"/>
    <hyperlink ref="C540" r:id="rId5" xr:uid="{CCFB8892-7D6B-3643-B14C-B0D374E5635C}"/>
    <hyperlink ref="C5" r:id="rId6" xr:uid="{85C1AC23-CF78-8F42-90DC-21FF3CB82ABF}"/>
    <hyperlink ref="C699" r:id="rId7" xr:uid="{2569F3D5-99F7-0044-9ADA-D951095CECF6}"/>
    <hyperlink ref="C579" r:id="rId8" xr:uid="{0319B0BF-87B7-5B44-8943-758046F55984}"/>
    <hyperlink ref="D579" r:id="rId9" xr:uid="{73CC3A73-CBB1-2F46-8970-86F5F36D856B}"/>
    <hyperlink ref="C571" r:id="rId10" xr:uid="{92F2A8E1-4A49-3144-AC77-40F55B1F4178}"/>
    <hyperlink ref="C703" r:id="rId11" xr:uid="{37C994DC-EBBC-344C-AA6F-44AB9CAF3719}"/>
    <hyperlink ref="C782" r:id="rId12" xr:uid="{A1DB5235-2CAA-644A-A1C8-DBE46A970DFA}"/>
    <hyperlink ref="C355" r:id="rId13" xr:uid="{337935D6-320B-7542-BB94-324CBAC1126B}"/>
    <hyperlink ref="C363" r:id="rId14" xr:uid="{22CAFCD0-F2C3-C549-9569-2D5C604AEE45}"/>
    <hyperlink ref="C905" r:id="rId15" xr:uid="{8C4D2694-34D7-C043-830D-C38DBEB9464F}"/>
    <hyperlink ref="C580" r:id="rId16" xr:uid="{4ADAF5EC-23C7-E341-8120-BCB8493150A4}"/>
    <hyperlink ref="D580" r:id="rId17" xr:uid="{113E205E-81F2-C644-91F8-D1BC9A4B6DD7}"/>
    <hyperlink ref="C300" r:id="rId18" xr:uid="{0D09C760-9BD7-4D4A-BA54-10EF05ED90BD}"/>
    <hyperlink ref="C781" r:id="rId19" xr:uid="{CF8DB05C-92B7-6D41-BBA2-17F2B0BD69F8}"/>
    <hyperlink ref="C709" r:id="rId20" xr:uid="{5CCC327B-B8D3-2043-A0EC-80EA31AC220C}"/>
    <hyperlink ref="C727" r:id="rId21" xr:uid="{03E45409-525F-6F44-8494-D44C7B621404}"/>
    <hyperlink ref="D727" r:id="rId22" xr:uid="{408C0B3B-DEEA-1942-B236-4A5B52EE9D84}"/>
    <hyperlink ref="C539" r:id="rId23" xr:uid="{0A9C5691-6FE2-0846-93F6-483A5A7EA3AB}"/>
    <hyperlink ref="C541" r:id="rId24" xr:uid="{474B76CD-7537-9C4D-BDD8-0A11FB192FE1}"/>
    <hyperlink ref="C1204" r:id="rId25" xr:uid="{2AA88EEA-1E44-8A42-9357-70ABC7E34097}"/>
    <hyperlink ref="C1499" r:id="rId26" xr:uid="{FC5BDF3C-AE90-5543-B964-B84F5CC45CB1}"/>
    <hyperlink ref="C569" r:id="rId27" xr:uid="{E202180B-72B8-EA4C-83B1-1F85D45D9EA8}"/>
    <hyperlink ref="C359" r:id="rId28" xr:uid="{F11212FA-8D40-EA44-8A27-AA2061CBC1A7}"/>
    <hyperlink ref="C400" r:id="rId29" xr:uid="{81A2BF04-1475-2449-B6DF-5269B5B2399D}"/>
    <hyperlink ref="D400" r:id="rId30" xr:uid="{0608EA2F-5E8D-A841-AE84-5D6DE11BA810}"/>
    <hyperlink ref="C354" r:id="rId31" xr:uid="{34618802-2B36-C949-93B0-659DF24B530C}"/>
    <hyperlink ref="C181" r:id="rId32" xr:uid="{7C5A3E64-690D-9D4D-B129-85FD94193FCE}"/>
    <hyperlink ref="C519" r:id="rId33" xr:uid="{2330F610-86F0-3A42-90C8-7DFEA4A19593}"/>
    <hyperlink ref="C233" r:id="rId34" xr:uid="{B46C9732-5F8F-3041-AA72-2E8F9774F08B}"/>
    <hyperlink ref="C241" r:id="rId35" xr:uid="{CAD016F8-03B2-5D4E-A218-3EF43D18E2B1}"/>
    <hyperlink ref="C819" r:id="rId36" xr:uid="{F8E51B3B-F759-6E4B-9415-C2FA3F6AB1A4}"/>
    <hyperlink ref="C870" r:id="rId37" xr:uid="{15E18754-D3C5-D244-9E4A-25F06B524963}"/>
    <hyperlink ref="C578" r:id="rId38" xr:uid="{ADBCC08E-4DF1-E347-B52C-55AE12032E09}"/>
    <hyperlink ref="C575" r:id="rId39" xr:uid="{A47E2877-9E2B-624E-8B0A-FEA5175594E2}"/>
    <hyperlink ref="C1326" r:id="rId40" xr:uid="{1645CE08-50E9-154B-8762-8576096B2456}"/>
    <hyperlink ref="D1326" r:id="rId41" xr:uid="{C53DEC46-6AF8-BB4D-90FB-3C1C219EA343}"/>
    <hyperlink ref="C1386" r:id="rId42" xr:uid="{74BF2CCE-1D77-9E4E-814B-A8B1FC4246A8}"/>
    <hyperlink ref="C1246" r:id="rId43" xr:uid="{EA902F4F-1CD3-9448-A3D0-329998B61FFC}"/>
    <hyperlink ref="D1246" r:id="rId44" xr:uid="{D5193B01-FB1B-7C4C-A0D1-B13CD1DBBA87}"/>
    <hyperlink ref="C4" r:id="rId45" xr:uid="{94F50B75-B1A9-DD42-AFB1-504662D1331C}"/>
    <hyperlink ref="C657" r:id="rId46" xr:uid="{F8A81492-A279-9642-9E81-3A7098036B62}"/>
    <hyperlink ref="C622" r:id="rId47" xr:uid="{4FAF7F34-4D35-C649-B864-FA1FDE664AE1}"/>
    <hyperlink ref="C370" r:id="rId48" xr:uid="{C35DE677-20A1-AE4E-8909-E47F75E66C20}"/>
    <hyperlink ref="C1206" r:id="rId49" xr:uid="{1C9A9351-7C59-614E-93F2-E0358CA63D48}"/>
    <hyperlink ref="D1206" r:id="rId50" xr:uid="{3A369A92-9061-DF40-BCDD-9E379B51F59C}"/>
    <hyperlink ref="C1209" r:id="rId51" xr:uid="{9051529B-6F7E-784C-A428-DC85530FFF1A}"/>
    <hyperlink ref="C1232" r:id="rId52" xr:uid="{CEDBB5BB-3413-3847-84AF-E5513D658BBD}"/>
    <hyperlink ref="D1232" r:id="rId53" xr:uid="{F6E7D385-1A53-3A47-8A13-8EDA1F7869CC}"/>
    <hyperlink ref="D1231" r:id="rId54" xr:uid="{8D9CBDFC-F8FB-894C-A382-D54CF2CA26A1}"/>
    <hyperlink ref="C1205" r:id="rId55" xr:uid="{2D18928C-2330-A842-B7DA-6A40A2B2343E}"/>
    <hyperlink ref="C1261" r:id="rId56" xr:uid="{70FAB7C6-CDE0-A047-9017-7F4B9BBCB6D4}"/>
    <hyperlink ref="C1239" r:id="rId57" xr:uid="{796AEAF9-253A-5E41-8AFE-AF1CD68867F9}"/>
    <hyperlink ref="D1239" r:id="rId58" xr:uid="{84DF5E75-D244-6B4D-8F24-F5DD22DFB183}"/>
    <hyperlink ref="C1251" r:id="rId59" xr:uid="{20C1221E-DCDC-8145-9F27-FAB2F5A4A870}"/>
    <hyperlink ref="C906" r:id="rId60" xr:uid="{E745F3C1-5CCA-A548-A9CD-D8685AB38C21}"/>
    <hyperlink ref="D906" r:id="rId61" xr:uid="{EAA6EB03-A8BE-6D48-8BA2-77EA25359820}"/>
    <hyperlink ref="C1254" r:id="rId62" xr:uid="{03567D4F-D179-7340-9A74-52EDCDE80C51}"/>
    <hyperlink ref="D1254" r:id="rId63" xr:uid="{5C99D2C0-5C53-A743-B6AD-83C80E061BD2}"/>
    <hyperlink ref="C1212" r:id="rId64" xr:uid="{0DB48AAF-9377-7647-9280-41D763258860}"/>
    <hyperlink ref="D1212" r:id="rId65" xr:uid="{5254ED26-4B46-714F-AE90-89FAFC41920D}"/>
    <hyperlink ref="C1240" r:id="rId66" xr:uid="{FB1A04C9-6CBC-2F4F-954A-F12637924AA3}"/>
    <hyperlink ref="C1273" r:id="rId67" xr:uid="{C639BF7E-E529-934C-8A6D-23010A59C921}"/>
    <hyperlink ref="C659" r:id="rId68" xr:uid="{7274CDD3-D56E-CF45-96DB-6BF748DEEBEB}"/>
    <hyperlink ref="C607" r:id="rId69" xr:uid="{9A923406-0FB4-7A4E-B60F-7F6484A50831}"/>
    <hyperlink ref="C616" r:id="rId70" xr:uid="{295AAB70-BFDB-954C-9F75-8895CE7B9FF0}"/>
    <hyperlink ref="C1270" r:id="rId71" display="Brno-Starý Lískovec, Slovakia" xr:uid="{439E2277-9632-0643-8204-33DC1004633F}"/>
    <hyperlink ref="C1283" r:id="rId72" xr:uid="{82256D2B-60A3-5D47-9E81-64061A02A682}"/>
    <hyperlink ref="D1200" r:id="rId73" xr:uid="{87FAA53B-7868-9F46-82F2-CAD136FFB960}"/>
    <hyperlink ref="C1252" r:id="rId74" xr:uid="{1B6E5AED-8628-E140-9094-B31CE86A72A5}"/>
    <hyperlink ref="D1252" r:id="rId75" xr:uid="{66175A65-170D-734F-B771-B0A3EBBD3637}"/>
    <hyperlink ref="C1253" r:id="rId76" xr:uid="{1671E7C3-BE55-8F44-97E0-27236EB6A645}"/>
    <hyperlink ref="D1253" r:id="rId77" xr:uid="{4309D9D8-8698-5A45-9B66-B0689D838E42}"/>
    <hyperlink ref="C1260" r:id="rId78" xr:uid="{65013DE6-1774-AF40-9148-95E15913F6CC}"/>
    <hyperlink ref="C1383" r:id="rId79" xr:uid="{8AE86E18-8C26-8B44-9C98-44D067715EA0}"/>
    <hyperlink ref="D1383" r:id="rId80" xr:uid="{4E5D5190-F18A-354C-A4C5-D8D506E50719}"/>
    <hyperlink ref="C1382" r:id="rId81" xr:uid="{8B7E09BA-B7C9-2745-852E-06B980318158}"/>
    <hyperlink ref="D1382" r:id="rId82" xr:uid="{2AB9FEE5-D705-EF4D-8A26-91E89E0B4D50}"/>
    <hyperlink ref="C1384" r:id="rId83" xr:uid="{169CC301-5635-FE4F-8922-B981E0E3A864}"/>
    <hyperlink ref="C1202" r:id="rId84" xr:uid="{09C1433F-710A-A74C-B78E-37FA6E9CA007}"/>
    <hyperlink ref="C982" r:id="rId85" xr:uid="{95F47F4D-3C58-C04F-9335-EBC9842BBF00}"/>
    <hyperlink ref="D982" r:id="rId86" xr:uid="{21264458-677A-4840-B083-6138D4FC1CC8}"/>
    <hyperlink ref="C1159" r:id="rId87" xr:uid="{3919AE08-8458-5047-93A4-23D6A2D0EFE7}"/>
    <hyperlink ref="C1275" r:id="rId88" xr:uid="{2FC44A59-CCC4-DD4D-86BE-0DBBC78E8E41}"/>
    <hyperlink ref="C910" r:id="rId89" xr:uid="{EDC7EE23-4D0D-984E-B473-102661BE5416}"/>
    <hyperlink ref="D910" r:id="rId90" xr:uid="{14F954B3-D8F5-3946-811D-23970B141FDF}"/>
    <hyperlink ref="C885" r:id="rId91" xr:uid="{32A346F6-86AA-F046-B3DD-94618595BF69}"/>
    <hyperlink ref="D1280" r:id="rId92" xr:uid="{D2888627-D135-4849-ACF2-282E650B233A}"/>
    <hyperlink ref="C1298" r:id="rId93" xr:uid="{880496C3-E831-6F45-932D-CEEBE20BE0D5}"/>
    <hyperlink ref="C465" r:id="rId94" display="https://www.geonames.org/3073371/" xr:uid="{057E4394-1C43-7C4C-A80C-0C24D4BE0658}"/>
    <hyperlink ref="C248" r:id="rId95" xr:uid="{D77F7CD6-2AE5-2345-A6F7-92980642F857}"/>
    <hyperlink ref="C432" r:id="rId96" xr:uid="{C532127C-62B1-BF4C-B545-0C03BC235DD0}"/>
    <hyperlink ref="C423" r:id="rId97" xr:uid="{DBD702CC-D1DD-3C4C-A3B8-A909443D7518}"/>
    <hyperlink ref="D423" r:id="rId98" xr:uid="{E3A703CE-CDFB-894D-908E-86585F23A0D1}"/>
    <hyperlink ref="C197" r:id="rId99" xr:uid="{205D18BA-BCAC-D94A-AAE7-7E79ABD3169A}"/>
    <hyperlink ref="C190" r:id="rId100" display="https://www.geonames.org/711416/" xr:uid="{00AC0AFC-B543-BE40-B49B-89638F542361}"/>
    <hyperlink ref="C194" r:id="rId101" xr:uid="{0753E6F0-703F-1742-9B7E-3DD014E05555}"/>
    <hyperlink ref="C1451" r:id="rId102" xr:uid="{1FE2FFBA-FFCA-F74B-82E8-2BC08DEC54FC}"/>
    <hyperlink ref="C1456" r:id="rId103" xr:uid="{153ACD61-1102-C748-A164-8DBE5E38D28B}"/>
    <hyperlink ref="C1460" r:id="rId104" xr:uid="{68CE51D9-4112-9943-B199-D90FD082543F}"/>
    <hyperlink ref="C1462" r:id="rId105" xr:uid="{1F5B8B08-D0FE-8247-984F-51CF8B7B69C5}"/>
    <hyperlink ref="C1464" r:id="rId106" xr:uid="{6D783F55-33A9-754D-BFDF-0E31C579A7B3}"/>
    <hyperlink ref="C1468" r:id="rId107" xr:uid="{637D1D2A-596D-F34D-ABF2-BA14391E9F0E}"/>
    <hyperlink ref="C1470" r:id="rId108" xr:uid="{036765A6-CAB5-8040-902E-71F24C0CC6DC}"/>
    <hyperlink ref="D1470" r:id="rId109" xr:uid="{23AD4A29-4DFB-F048-9AFC-7F270B10BF2D}"/>
    <hyperlink ref="C1475" r:id="rId110" xr:uid="{474BED52-2D08-A145-B1EC-256ACF2651DA}"/>
    <hyperlink ref="C1478" r:id="rId111" xr:uid="{2E6A9F28-3794-FB41-8286-F1E3FC3CFD27}"/>
    <hyperlink ref="C1471" r:id="rId112" xr:uid="{D7495A86-5378-3B43-8B5B-E93C9C37E4B3}"/>
    <hyperlink ref="C1190" r:id="rId113" xr:uid="{64F0FA80-6043-AE44-9A90-C7FE09D29833}"/>
    <hyperlink ref="C349" r:id="rId114" xr:uid="{43B7A658-A524-5147-9F72-E4B88DB056B6}"/>
    <hyperlink ref="C1073" r:id="rId115" xr:uid="{AADF249C-DC25-CA41-B629-B04637F1DFBD}"/>
    <hyperlink ref="C1076" r:id="rId116" xr:uid="{D789620B-BC43-E046-9CF4-D5797B7A4AC0}"/>
    <hyperlink ref="C1173" r:id="rId117" xr:uid="{7EC9A3E1-FDB8-1F46-9705-BF178353842D}"/>
    <hyperlink ref="C1194" r:id="rId118" xr:uid="{74BAA1C4-8EBF-5746-964D-5C5754F0636C}"/>
    <hyperlink ref="C532" r:id="rId119" xr:uid="{5FF59965-0E6B-7D47-8A51-FCD3BBF75774}"/>
    <hyperlink ref="C1293" r:id="rId120" xr:uid="{E468FF4A-92F5-6C4C-96F5-B357D4C5A705}"/>
    <hyperlink ref="D1293" r:id="rId121" xr:uid="{A9328F8D-E523-ED44-8591-E4F64F7D6565}"/>
    <hyperlink ref="D1067" r:id="rId122" display="https://www.geonames.org/762390/" xr:uid="{4D0E6A60-B02A-5F4E-B3BF-2BC495890515}"/>
    <hyperlink ref="C191" r:id="rId123" display="https://www.geonames.org/711416/" xr:uid="{2946E00D-79DE-9D45-99F0-9DF557AD1971}"/>
    <hyperlink ref="C198" r:id="rId124" display="https://www.geonames.org/693700/" xr:uid="{F5262138-D030-4A41-8A21-4907ABA773B2}"/>
    <hyperlink ref="C440" r:id="rId125" xr:uid="{5C551DD3-2B9A-2147-BE68-543C5588D97F}"/>
    <hyperlink ref="C199" r:id="rId126" xr:uid="{E64F9D1C-647A-2644-8814-CB894037DAB7}"/>
    <hyperlink ref="C201" r:id="rId127" xr:uid="{208793DB-086C-C54D-922B-F1E6E5429538}"/>
    <hyperlink ref="C206" r:id="rId128" xr:uid="{8C89D8F0-69D6-A34F-8BAF-1E76ECBBE2D7}"/>
    <hyperlink ref="C249" r:id="rId129" display="https://www.geonames.org/627904/" xr:uid="{EDE58FA3-CDA5-FF4E-8ADA-9BD824145F10}"/>
    <hyperlink ref="C461" r:id="rId130" display="https://www.geonames.org/756046/" xr:uid="{5024949F-A104-E248-B325-4C7DCF0A85A9}"/>
    <hyperlink ref="C192" r:id="rId131" display="https://www.geonames.org/711416/" xr:uid="{3D2CAD62-F69A-C442-8079-BC08AC9C6678}"/>
    <hyperlink ref="D192" r:id="rId132" display="https://www.geonames.org/711416/" xr:uid="{0868BC2D-4789-B544-B434-BC74C3399451}"/>
    <hyperlink ref="C1484" r:id="rId133" display="https://www.geonames.org/2775220/" xr:uid="{33395304-E1FE-D24D-BB40-A49044D8C7D4}"/>
    <hyperlink ref="C1497:D1497" r:id="rId134" display="https://www.geonames.org/2775220/" xr:uid="{3A8818FD-6764-C84F-9BFE-14106430BEC4}"/>
    <hyperlink ref="C1502" r:id="rId135" display="https://www.geonames.org/2775742/" xr:uid="{69FE0309-74A9-184B-A124-A70B106FD9D2}"/>
    <hyperlink ref="C252" r:id="rId136" display="https://www.geonames.org/702550+I12:J13" xr:uid="{1183B0DD-D5EB-9246-BE02-37A24D8747D0}"/>
    <hyperlink ref="C203" r:id="rId137" xr:uid="{6333C496-AD95-C74A-A3C3-826DC35EAB7E}"/>
    <hyperlink ref="C320" r:id="rId138" display="https://www.geonames.org/756377/" xr:uid="{E3920823-B94A-7A45-829B-CE4FB852ED41}"/>
    <hyperlink ref="C193" r:id="rId139" display="https://www.geonames.org/711416/" xr:uid="{D3BAF14E-2F1A-7541-81DE-EBB689B90FB7}"/>
    <hyperlink ref="D193" r:id="rId140" display="https://www.geonames.org/711416/" xr:uid="{B07C136C-ABF0-B94A-AF18-5CF035CBDF6E}"/>
    <hyperlink ref="C195" r:id="rId141" display="https://www.geonames.org/711416/" xr:uid="{F793FAAE-CB90-4C4C-8898-0761BA45B335}"/>
    <hyperlink ref="D195" r:id="rId142" display="https://www.geonames.org/711416/" xr:uid="{A7882F52-C30F-8843-8308-35B854DF22E1}"/>
    <hyperlink ref="C208" r:id="rId143" display="https://www.geonames.org/711416/" xr:uid="{55AE826B-DA8B-D44E-BA7A-75C32388C064}"/>
    <hyperlink ref="C1250" r:id="rId144" display="https://www.geonames.org/3075053/" xr:uid="{C3915C11-2B6A-BB4C-A163-5D646D797576}"/>
    <hyperlink ref="C1266" r:id="rId145" xr:uid="{5DC970D4-2575-D848-925E-DE477C6D89B6}"/>
    <hyperlink ref="C1265" r:id="rId146" xr:uid="{A3C7A480-47E4-0A4A-859C-9FD5B7FE1CC4}"/>
    <hyperlink ref="C1267" r:id="rId147" xr:uid="{C5F3B973-2928-FC41-A2FE-A3B7888A8E0A}"/>
    <hyperlink ref="C1297" r:id="rId148" display="https://www.geonames.org/3075493/" xr:uid="{588E0C02-6930-7242-B130-EBEB1416DBB3}"/>
    <hyperlink ref="C1364" r:id="rId149" display="https://www.geonames.org/3061750/" xr:uid="{98C7A824-1D2E-684C-8553-0630DF9AECE6}"/>
    <hyperlink ref="C1343" r:id="rId150" display="https://www.geonames.org/3049880/" xr:uid="{973FF252-56E4-7D4D-9F01-F15D75F40A8B}"/>
    <hyperlink ref="C1263" r:id="rId151" xr:uid="{AF0972F2-36B7-944B-84FD-41D91D7BDF3A}"/>
    <hyperlink ref="C1328" r:id="rId152" xr:uid="{E091B64A-091E-4D46-8966-3D2C6021F59D}"/>
    <hyperlink ref="C500" r:id="rId153" xr:uid="{74A8293A-D26B-5646-94B5-F77E2E249CBC}"/>
    <hyperlink ref="C818" r:id="rId154" display="https://www.geonames.org/690548/" xr:uid="{5F8029F9-250C-A04B-BEE0-4E256A6B6D74}"/>
    <hyperlink ref="C681" r:id="rId155" display="https://www.google.com/maps/place/094+31+Hanu%C5%A1ovce+nad+Top%C4%BEou,+Slovakia/@49.0268087,21.4693221,12.55z/data=!4m5!3m4!1s0x473e9576d66b6307:0x400f7d1c6977d40!8m2!3d49.0273908!4d21.5022433" xr:uid="{F6AF37A9-D114-D744-A686-6CC91B1C5D6E}"/>
    <hyperlink ref="C957" r:id="rId156" display="https://www.geonames.org/763534/" xr:uid="{2153A440-9FCE-0342-B86F-5B0A5AD678B2}"/>
    <hyperlink ref="C963" r:id="rId157" display="https://www.geonames.org/720059/" xr:uid="{0CE600E5-DFFA-574E-A1CD-8B023AC6C51C}"/>
    <hyperlink ref="C965" r:id="rId158" display="https://www.geonames.org/717980/" xr:uid="{EB9214E8-E4EE-5D43-B3AF-3DC7D8A1B935}"/>
    <hyperlink ref="C1060" r:id="rId159" display="https://www.geonames.org/723731/" xr:uid="{C80F43D4-34A4-D240-99CE-D6508DA621EE}"/>
    <hyperlink ref="C1059" r:id="rId160" display="https://www.geonames.org/724468/" xr:uid="{8459F917-F159-AF4B-A4DA-B4A1A53BA2A2}"/>
    <hyperlink ref="C1366" r:id="rId161" display="https://www.geonames.org/671768/" xr:uid="{632A1AC2-80AE-2F4D-917A-AB06C00FA46B}"/>
    <hyperlink ref="C1367" r:id="rId162" display="https://www.geonames.org/700646/" xr:uid="{60767BF1-AAED-A340-81BE-CCA2DDC8E192}"/>
    <hyperlink ref="C1029" r:id="rId163" display="https://www.geonames.org/723087/" xr:uid="{8A34504E-9582-2D4F-92A6-1D564600AA8A}"/>
    <hyperlink ref="C1033" r:id="rId164" display="https://www.geonames.org/723698/" xr:uid="{0D7F23C4-1DD1-1148-A76F-0C5175B692E7}"/>
    <hyperlink ref="C954" r:id="rId165" display="https://www.geonames.org/724741/" xr:uid="{30203483-EFD8-5C42-9B6A-EFF831D16BE1}"/>
    <hyperlink ref="C952" r:id="rId166" display="https://www.geonames.org/724181/" xr:uid="{FAD3A936-AA5D-654E-8A05-553D8549AE2E}"/>
    <hyperlink ref="C944" r:id="rId167" display="https://www.geonames.org/723246/" xr:uid="{9C970A79-B5E3-0045-B2F3-9CB86593FA81}"/>
    <hyperlink ref="C942" r:id="rId168" display="https://www.geonames.org/723526/" xr:uid="{2939F487-E690-B949-BB1D-429E6FDA4A48}"/>
    <hyperlink ref="C1454" r:id="rId169" display="https://www.geonames.org/3064373/" xr:uid="{5278843E-9985-2C4B-B21E-052BD66ACF6C}"/>
    <hyperlink ref="D1454" r:id="rId170" display="https://www.geonames.org/3064373/" xr:uid="{F1A38CA5-2478-5747-A793-74D411D19212}"/>
    <hyperlink ref="C1295" r:id="rId171" display="https://www.geonames.org/3071194/" xr:uid="{96892192-9998-EA45-A36C-BA0D93C596DE}"/>
    <hyperlink ref="C668" r:id="rId172" display="https://www.geonames.org/723400/" xr:uid="{4C55941B-6FC6-AB48-ACA8-4F5F12B2E469}"/>
    <hyperlink ref="C945" r:id="rId173" display="https://www.geonames.org/724579/" xr:uid="{EE1E7088-8984-3044-BAEC-EB02E186A4F0}"/>
    <hyperlink ref="C1062" r:id="rId174" display="https://www.geonames.org/724144/" xr:uid="{EB0F4114-8FE5-3D49-8BBC-1FB66BD1A815}"/>
    <hyperlink ref="C958" r:id="rId175" display="https://www.geonames.org/12057721/" xr:uid="{1C8D5643-3812-C14D-B3DF-CC8198017C92}"/>
    <hyperlink ref="C953" r:id="rId176" display="https://www.geonames.org/724392/" xr:uid="{02862D86-8C73-8246-9E39-4ABAEB62478D}"/>
    <hyperlink ref="C969" r:id="rId177" display="https://www.geonames.org/3056437/" xr:uid="{7661B37D-54FE-0B4C-BE45-272FE7F676E5}"/>
    <hyperlink ref="C841" r:id="rId178" xr:uid="{8BBA1414-B221-2C47-A20C-27B5145A1002}"/>
    <hyperlink ref="C964" r:id="rId179" display="https://www.geonames.org/763519/" xr:uid="{6BA63A94-E810-E84B-A4C3-B8F76B741B4C}"/>
    <hyperlink ref="C949" r:id="rId180" display="https://www.geonames.org/724632" xr:uid="{7936DCAC-F82D-A244-94E3-9BF44CBB2B6D}"/>
    <hyperlink ref="C1030" r:id="rId181" display="https://www.geonames.org/723195/" xr:uid="{4DC3837D-5B80-6D4F-B2EC-4D443AD8D078}"/>
    <hyperlink ref="C962" r:id="rId182" display="https://www.geonames.org/720533/" xr:uid="{F3594C96-E07C-674F-B09A-543EA5E56E1F}"/>
    <hyperlink ref="C1450" r:id="rId183" display="https://www.geonames.org/3076573/" xr:uid="{B8D23382-9010-0B49-89A0-ADC158E3B4EF}"/>
    <hyperlink ref="D1450" r:id="rId184" display="https://www.geonames.org/3076573/" xr:uid="{89D3111D-AFF1-1648-AB2C-D3243F793686}"/>
    <hyperlink ref="C1035" r:id="rId185" display="https://www.geonames.org/723087/" xr:uid="{2EF1296E-D29D-9C4C-8AD7-E1A8D2D31B7F}"/>
    <hyperlink ref="C961" r:id="rId186" display="https://www.geonames.org/766980/" xr:uid="{F8118B70-F2DB-314F-9384-36906B31F864}"/>
    <hyperlink ref="C1058" r:id="rId187" display="https://www.geonames.org/3047211/" xr:uid="{38C180B8-F237-354D-855F-743C0970F39F}"/>
    <hyperlink ref="C1036" r:id="rId188" display="https://www.geonames.org/776458/" xr:uid="{BEE68705-7756-1F45-82D3-E48196921433}"/>
    <hyperlink ref="C960" r:id="rId189" display="https://www.geonames.org/770380/" xr:uid="{D4A6F575-D0C1-1C40-8C15-DA3D70B72938}"/>
    <hyperlink ref="D960" r:id="rId190" display="https://www.geonames.org/770380/" xr:uid="{638719F4-BE61-CB4F-87EA-62613845E21E}"/>
    <hyperlink ref="C1032" r:id="rId191" display="https://www.geonames.org/724107/" xr:uid="{25F64551-7079-4C42-9840-934CFC0019E1}"/>
    <hyperlink ref="C968" r:id="rId192" display="https://www.geonames.org/723980/" xr:uid="{4F017A19-3B1C-E047-A486-16325376362F}"/>
    <hyperlink ref="C943" r:id="rId193" display="https://www.geonames.org/724443/" xr:uid="{9BE7B212-D4BE-B145-9995-F2294C4F1E60}"/>
    <hyperlink ref="C956" r:id="rId194" display="https://www.geonames.org/725166/" xr:uid="{9A5250E0-411B-7243-B4C5-030DF220D939}"/>
    <hyperlink ref="C1061" r:id="rId195" display="https://www.geonames.org/720059/" xr:uid="{DE68EFA4-8D4C-174E-8965-90E95878FCCB}"/>
    <hyperlink ref="C1040" r:id="rId196" display="https://www.geonames.org/766452/" xr:uid="{96D92B59-09B3-844C-8206-CCF0A6ABF7BB}"/>
    <hyperlink ref="C1041" r:id="rId197" display="https://www.geonames.org/766452/" xr:uid="{38918930-E0BC-DD44-A53B-DB97316B3631}"/>
    <hyperlink ref="C947" r:id="rId198" display="https://www.geonames.org/776331/" xr:uid="{B16C3426-E2A9-2B4B-B773-6FD88BADDEDC}"/>
    <hyperlink ref="C946" r:id="rId199" display="https://www.geonames.org/758314/" xr:uid="{77FB341B-C3DD-7549-8756-05E0E8B95D75}"/>
    <hyperlink ref="C951" r:id="rId200" display="https://www.geonames.org/723311/" xr:uid="{F2725A6A-01A9-604E-8E9A-DE55B16A7621}"/>
    <hyperlink ref="C1043" r:id="rId201" display="https://www.geonames.org/725168/" xr:uid="{E44B2BD8-A543-D049-84D3-424F5A9E2E88}"/>
    <hyperlink ref="C584" r:id="rId202" xr:uid="{53FC2F93-8ACF-9C48-87D2-2ED1201AA782}"/>
    <hyperlink ref="D584" r:id="rId203" xr:uid="{DF799B21-54AA-F042-B554-ADE8D20DAC93}"/>
    <hyperlink ref="C1452" r:id="rId204" display="https://www.geonames.org/3066727/" xr:uid="{B5CA23E9-E1DE-0D40-B9BE-66A19A35278C}"/>
    <hyperlink ref="C1465" r:id="rId205" display="https://www.geonames.org/711416/" xr:uid="{51280D27-13C3-1141-9A8E-01ECE870C3EC}"/>
    <hyperlink ref="C1442" r:id="rId206" display="https://www.geonames.org/700696/" xr:uid="{4222FD7F-36A6-9242-9E33-147B2C3DDDD1}"/>
    <hyperlink ref="D1442" r:id="rId207" display="https://www.geonames.org/700696/" xr:uid="{A5C784E0-BE20-034F-BE4B-668231DC4BFC}"/>
    <hyperlink ref="C1248" r:id="rId208" display="https://www.geonames.org/709808/" xr:uid="{6F7C54D7-3E0E-284C-9E94-9624D39D2B1E}"/>
    <hyperlink ref="C1249" r:id="rId209" display="https://www.geonames.org/680366/" xr:uid="{8804BF3B-9FA3-9B41-A200-0B45C601E5C9}"/>
    <hyperlink ref="C845" r:id="rId210" display="https://www.geonames.org/3064989/" xr:uid="{BF319440-213B-404B-B235-66757FF93F24}"/>
    <hyperlink ref="D845" r:id="rId211" display="https://www.geonames.org/3078287/" xr:uid="{D1F364EB-84C1-DC4D-B79C-068CDAB259EF}"/>
    <hyperlink ref="C1084" r:id="rId212" display="https://www.geonames.org/3077594/" xr:uid="{2A11C1CE-74C8-4043-BB96-C9BE9510055D}"/>
    <hyperlink ref="D1084" r:id="rId213" display="https://www.geonames.org/3078838/" xr:uid="{C2EE5EB0-CD07-0642-894F-2CF06FE86E0B}"/>
    <hyperlink ref="C1455" r:id="rId214" display="https://www.geonames.org/723909/" xr:uid="{A4FF3B23-964B-BD44-BE05-29D93C26DD23}"/>
    <hyperlink ref="C1453" r:id="rId215" display="https://www.geonames.org/759734/" xr:uid="{9DA8237B-F9F8-0046-8F95-745038AD6052}"/>
    <hyperlink ref="D1453" r:id="rId216" display="https://www.geonames.org/759734/" xr:uid="{B91A24C3-90F7-5742-9099-B3D03968656F}"/>
    <hyperlink ref="C664" r:id="rId217" xr:uid="{C2166507-7FE2-5F4E-9761-686C3A9AF5BA}"/>
    <hyperlink ref="C425" r:id="rId218" display="https://www.geonames.org/3085867/" xr:uid="{475310E5-EB1B-9D44-BDE5-609A2166174C}"/>
    <hyperlink ref="C785" r:id="rId219" display="https://www.geonames.org/770966/" xr:uid="{386C1CA8-7A53-D74F-82A1-080A57FB5003}"/>
    <hyperlink ref="C800" r:id="rId220" display="https://www.geonames.org/756438/" xr:uid="{D1B54BB5-D456-EB47-8164-77EF398B61DA}"/>
    <hyperlink ref="C715" r:id="rId221" display="https://www.geonames.org/696966/" xr:uid="{31551701-60F2-9044-BF52-C0B1680FDE9E}"/>
    <hyperlink ref="C270" r:id="rId222" display="https://www.geonames.org/765876/" xr:uid="{5C43025D-CB08-DA47-AAA3-7A6C2CD81E78}"/>
    <hyperlink ref="C790" r:id="rId223" display="https://www.geonames.org/707099/" xr:uid="{C9303336-4E27-3845-AB3D-4321E6FB37CA}"/>
    <hyperlink ref="C1333" r:id="rId224" display="https://www.geonames.org/763534/" xr:uid="{8964B068-8B8C-1343-AE8B-69DF4C477D19}"/>
    <hyperlink ref="C581" r:id="rId225" display="https://www.geonames.org/756624/" xr:uid="{6919DAD9-06B4-B441-A8DF-D44EEC2DBC34}"/>
    <hyperlink ref="D581" r:id="rId226" display="https://www.geonames.org/756624/" xr:uid="{99185022-57E5-F34E-9DE3-8EFD3FFE2B89}"/>
    <hyperlink ref="C674" r:id="rId227" display="https://www.google.com/maps/place/27-400+Ostrowiec,+Poland/@50.9493601,21.336445,12z/data=!4m5!3m4!1s0x4718090859a93061:0x9d6c98b21ad8f8f3!8m2!3d50.9295479!4d21.385231" xr:uid="{B62AE286-4010-0D40-B9F4-22204BB5BBE8}"/>
    <hyperlink ref="C460" r:id="rId228" display="https://www.geonames.org/770425/" xr:uid="{CB569EE5-182E-7544-9036-15ED101323D6}"/>
    <hyperlink ref="C679" r:id="rId229" xr:uid="{E5731F18-2171-0045-913B-B639E4A1415D}"/>
    <hyperlink ref="C326" r:id="rId230" xr:uid="{B738420D-3B4A-3946-A896-2AC1CABAC87A}"/>
    <hyperlink ref="C647" r:id="rId231" display="https://www.geonames.org/770005/" xr:uid="{56643CAF-A318-754B-BEB6-4BAABCDD344A}"/>
    <hyperlink ref="C850" r:id="rId232" display="https://www.geonames.org/763121/" xr:uid="{5B0DD1EA-882B-D345-8F44-93AA8B39C978}"/>
    <hyperlink ref="D850" r:id="rId233" display="https://www.geonames.org/763121/" xr:uid="{5F15043E-3C76-B541-9B78-FA60C8782386}"/>
    <hyperlink ref="C849" r:id="rId234" display="https://www.geonames.org/763121/" xr:uid="{83C4F29B-EE50-3447-ACE0-BFF866496C9D}"/>
    <hyperlink ref="C563" r:id="rId235" display="https://www.geonames.org/759734/" xr:uid="{A4CF7E34-9206-8141-9E45-A084ABE07EC8}"/>
    <hyperlink ref="C512" r:id="rId236" display="https://www.geonames.org/767623/" xr:uid="{131B7642-8548-254A-9686-FE879057D616}"/>
    <hyperlink ref="C367" r:id="rId237" display="https://www.geonames.org/766980/" xr:uid="{D71D4C94-F973-E047-903E-83493B8E90AF}"/>
    <hyperlink ref="D367" r:id="rId238" display="https://www.geonames.org/766980/" xr:uid="{2AC1948A-E92A-9D4A-B2FB-A2FCF988E005}"/>
    <hyperlink ref="C484" r:id="rId239" display="https://www.geonames.org/711850/" xr:uid="{1530F909-6495-C54A-B823-4404583BB4EF}"/>
    <hyperlink ref="C470" r:id="rId240" display="https://www.geonames.org/707099/" xr:uid="{40A74606-C065-8D47-9985-0016CFCE4A89}"/>
    <hyperlink ref="C717" r:id="rId241" display="https://www.geonames.org/708082/" xr:uid="{5D125BC2-AA34-2D42-9CE8-87602FEA93C6}"/>
    <hyperlink ref="C742" r:id="rId242" display="https://www.geonames.org/2925533/" xr:uid="{AFC1C50B-AD64-E547-A88A-94C43EA8B75B}"/>
    <hyperlink ref="C700" r:id="rId243" display="https://www.geonames.org/775922/" xr:uid="{C4371ED3-7C11-AF4E-833B-7081AAF51EA0}"/>
    <hyperlink ref="C520" r:id="rId244" xr:uid="{7149B9CB-67C2-6A4F-8FF2-6B3838102DC4}"/>
    <hyperlink ref="C778" r:id="rId245" display="https://www.geonames.org/710554/" xr:uid="{B186F3D4-16BF-CE43-8A30-5CEFF2FA092D}"/>
    <hyperlink ref="C1474" r:id="rId246" display="https://www.geonames.org/772857/" xr:uid="{F985EAF5-B2D9-EF44-B5AD-0F10A288AA29}"/>
    <hyperlink ref="C1301" r:id="rId247" display="https://www.geonames.org/693376/" xr:uid="{77D3B1B7-9FB5-0C44-960B-373892145914}"/>
    <hyperlink ref="C1303" r:id="rId248" display="https://www.geonames.org/693376/" xr:uid="{A0622180-0770-5845-A27F-FAE3E4AD70DD}"/>
    <hyperlink ref="C556" r:id="rId249" xr:uid="{E63966C9-4657-2F41-911A-9AFA9C860939}"/>
    <hyperlink ref="C714" r:id="rId250" display="https://www.geonames.org/691650/" xr:uid="{28F72D76-F207-FD4C-A934-E3A5E463FACA}"/>
    <hyperlink ref="C798" r:id="rId251" display="https://www.geonames.org/711416/" xr:uid="{E82000B5-87FD-1445-AFC6-EB1E31E48312}"/>
    <hyperlink ref="C459" r:id="rId252" display="https://www.geonames.org/554234/" xr:uid="{A9CA96E8-93F5-8741-BDF4-0E050592DCAF}"/>
    <hyperlink ref="C522" r:id="rId253" display="https://www.geonames.org/768217/" xr:uid="{52A660DF-4CA1-264B-8F21-C1C1AD141C54}"/>
    <hyperlink ref="C577" r:id="rId254" xr:uid="{B5DBE6C1-608B-8E4B-84F6-6B630EB12470}"/>
    <hyperlink ref="D577" r:id="rId255" xr:uid="{4458BC0F-5421-824A-9DB7-0A0D2AC4ECAB}"/>
    <hyperlink ref="D566" r:id="rId256" display="https://www.geonames.org/758252/" xr:uid="{CEF80CCC-E1E0-C146-ABF1-EDAB0DE8B65F}"/>
    <hyperlink ref="C711" r:id="rId257" display="https://www.geonames.org/705392/" xr:uid="{7C08CE83-919D-BD4C-B06A-F92959369F76}"/>
    <hyperlink ref="D711" r:id="rId258" display="https://www.geonames.org/705392/" xr:uid="{602AB4F4-524F-1D4E-86DA-56117C1609FA}"/>
    <hyperlink ref="C722" r:id="rId259" xr:uid="{96A0126C-FC37-1B40-B986-57E50A1677A0}"/>
    <hyperlink ref="C588" r:id="rId260" display="https://www.geonames.org/754507/" xr:uid="{836207BD-28BB-7546-9662-BD6E7D77E640}"/>
    <hyperlink ref="C784" r:id="rId261" display="https://www.geonames.org/693301/" xr:uid="{2935A762-0E83-2A4D-96CC-1236A45B4CD2}"/>
    <hyperlink ref="D784" r:id="rId262" display="https://www.geonames.org/693301/" xr:uid="{D37A615C-516E-5640-B82E-85441E2E2F3B}"/>
    <hyperlink ref="C557" r:id="rId263" xr:uid="{188E52A4-DD47-E649-B7BC-7D09EB71E4CF}"/>
    <hyperlink ref="C779" r:id="rId264" xr:uid="{E5C3EE52-C1D8-B946-9EBD-3E0EF3ECF947}"/>
    <hyperlink ref="C550" r:id="rId265" xr:uid="{E91A773D-5107-AE4F-AB84-1690FDD96835}"/>
    <hyperlink ref="C889" r:id="rId266" display="https://www.geonames.org/765876/" xr:uid="{65ECB35C-4FCA-384D-B9A8-15FCA606A0C0}"/>
    <hyperlink ref="D889" r:id="rId267" display="https://www.geonames.org/765876/" xr:uid="{49B9B2A1-E45C-9746-A1BC-92D373046D93}"/>
    <hyperlink ref="C610" r:id="rId268" display="https://www.geonames.org/763410/" xr:uid="{D6E0B3C9-02FA-5443-85A8-E8783FFF606C}"/>
    <hyperlink ref="D595" r:id="rId269" display="Z FULL Service Records/BALDIS:BARTLEL, Victor (1799-1805:6) %5bConvert%3f%5d/Wodzisław, Poland" xr:uid="{57C28A20-8AE5-DE4B-96E7-89FA5CE177A1}"/>
    <hyperlink ref="C116" r:id="rId270" display="https://www.geonames.org/694278/" xr:uid="{71D6FA63-1362-9B43-83BA-0293F7C42446}"/>
    <hyperlink ref="C817" r:id="rId271" display="https://www.geonames.org/2845694/" xr:uid="{F0984AF9-F189-FA4A-B8DB-94585DEB42FA}"/>
    <hyperlink ref="C1274" r:id="rId272" display="https://www.geonames.org/3077769/" xr:uid="{3A39A6E9-B0F4-D548-AEBD-B23146CCAC3E}"/>
    <hyperlink ref="D1274" r:id="rId273" display="https://www.geonames.org/3061350/" xr:uid="{91B6363E-9179-1F41-870C-B8BA321D537E}"/>
    <hyperlink ref="D922" r:id="rId274" display="https://www.geonames.org/708380/" xr:uid="{1E6A3F2C-8F58-7A48-8A60-53BC19EE7B34}"/>
    <hyperlink ref="C997" r:id="rId275" display="https://www.geonames.org/702550+I12:J13" xr:uid="{1C95E562-1987-E445-B6A2-1FDD164054A8}"/>
    <hyperlink ref="D997" r:id="rId276" display="https://www.geonames.org/702550+I12:J13" xr:uid="{D2133856-BE3F-9549-A5BA-08A2D83B7ADC}"/>
    <hyperlink ref="D572" r:id="rId277" display="https://www.geonames.org/762863/" xr:uid="{AD755D05-EAD8-1E47-B1F7-2C0BC2986BF2}"/>
    <hyperlink ref="C209" r:id="rId278" display="https://www.geonames.org/761131/" xr:uid="{AEBC9676-6E2C-0243-B61A-52D8EF387984}"/>
    <hyperlink ref="C837" r:id="rId279" display="https://www.geonames.org/3181633/" xr:uid="{2C76CCD4-15FF-3A4A-A2A7-48085F441D5D}"/>
    <hyperlink ref="C546" r:id="rId280" display="https://www.geonames.org/770001/" xr:uid="{4F89D747-55FE-9946-8A0B-1C694AFC4738}"/>
    <hyperlink ref="C875" r:id="rId281" display="https://www.geonames.org/2618425/" xr:uid="{2FA15256-5BFC-D74C-8930-F48EE041CA27}"/>
    <hyperlink ref="C861" r:id="rId282" display="https://www.geonames.org/629634/" xr:uid="{B907CB6B-0515-9043-AB45-B35DC65A952A}"/>
    <hyperlink ref="C570" r:id="rId283" display="https://www.geonames.org/757050/" xr:uid="{6824AB14-D1D0-1049-8664-7D44E7332B9A}"/>
    <hyperlink ref="D570" r:id="rId284" display="https://www.geonames.org/757050/" xr:uid="{4E1D18AA-3E99-A64C-8C8B-B8381914BA58}"/>
    <hyperlink ref="C507" r:id="rId285" display="https://www.geonames.org/760849/" xr:uid="{FBD81C06-012C-3D48-846A-74DEC12C0BE3}"/>
    <hyperlink ref="C1080" r:id="rId286" display="https://www.geonames.org/760769/" xr:uid="{3E7CF1B2-0BDA-B34B-9F3C-DCA3B27DC018}"/>
    <hyperlink ref="C1074" r:id="rId287" display="https://www.geonames.org/771313/" xr:uid="{0B430985-5FFB-7C49-BBBF-B338A138875C}"/>
    <hyperlink ref="D1074" r:id="rId288" display="https://www.geonames.org/771313/" xr:uid="{BCB67742-222E-BD49-A03B-8F6554625955}"/>
    <hyperlink ref="C445" r:id="rId289" display="https://www.geonames.org/756135/" xr:uid="{7B9BEF53-33CA-164F-92C2-B583739C4FD3}"/>
    <hyperlink ref="C1066" r:id="rId290" display="https://www.geonames.org/763534/" xr:uid="{D815F9C3-D4B6-9440-94D3-2B7EC5D90719}"/>
    <hyperlink ref="C1081" r:id="rId291" display="https://www.geonames.org/767198/" xr:uid="{57B72CB8-300D-F445-BE80-72E9839CFD50}"/>
    <hyperlink ref="D1081" r:id="rId292" display="https://www.geonames.org/757026/" xr:uid="{D0C82F19-5413-6540-B8B4-DB2B6B6449D9}"/>
    <hyperlink ref="C1165" r:id="rId293" display="https://www.geonames.org/692702/" xr:uid="{78A516D9-D01D-5348-AF11-C1FF479D3191}"/>
    <hyperlink ref="D1165" r:id="rId294" display="https://www.geonames.org/694864/" xr:uid="{CB674BDA-B902-FA41-95BB-7B52FD9EA88D}"/>
    <hyperlink ref="C1180" r:id="rId295" display="https://www.geonames.org/771069/" xr:uid="{BC671A9F-26D5-4E41-BE6E-24E4C13A2E08}"/>
    <hyperlink ref="D1180" r:id="rId296" display="https://www.geonames.org/771069/" xr:uid="{66637D47-3B6B-7840-BF34-42234526E8BF}"/>
    <hyperlink ref="C1179" r:id="rId297" display="https://www.geonames.org/770380/" xr:uid="{41CACEFD-6418-4742-8B3E-CBB3D84C9110}"/>
    <hyperlink ref="C518" r:id="rId298" display="https://www.geonames.org/763107/" xr:uid="{B65C1BB5-F12D-034A-B29E-9F1AEC0638A8}"/>
    <hyperlink ref="C729" r:id="rId299" display="https://www.geonames.org/759734/" xr:uid="{16388C2B-9247-AE49-9D56-47EDD14FB210}"/>
    <hyperlink ref="D729" r:id="rId300" display="https://www.geonames.org/759734/" xr:uid="{49CDBA83-0302-5B4B-9216-A10EA562AA4E}"/>
    <hyperlink ref="C406" r:id="rId301" display="https://www.geonames.org/697140/" xr:uid="{67C79933-CF20-DC4E-A3C6-7629D19755DF}"/>
    <hyperlink ref="D406" r:id="rId302" display="https://www.geonames.org/697140/" xr:uid="{677ACD8B-3E0B-8243-93C6-EE9C2A7D11AB}"/>
    <hyperlink ref="C403" r:id="rId303" display="../../../vladimirberkovich/Desktop/Service Record Table/TEMP/MOISES, Herschel (1797-1799)/Łęczna, Poland" xr:uid="{18103444-4F52-AA47-B521-D51038FEE898}"/>
    <hyperlink ref="C402" r:id="rId304" display="https://www.geonames.org/705392/" xr:uid="{475A9BA8-6080-2247-917E-4FFBDB88FFDD}"/>
    <hyperlink ref="D402" r:id="rId305" display="https://www.geonames.org/705392/" xr:uid="{3990EECB-DBE6-B440-9CED-39A48B9D38D7}"/>
    <hyperlink ref="C450" r:id="rId306" display="https://www.geonames.org/762201/" xr:uid="{FB126FEE-984F-6E4B-A268-890FEF1CBD14}"/>
    <hyperlink ref="C567" r:id="rId307" display="https://www.geonames.org/757182/" xr:uid="{8BF27461-1AF6-5045-9C1E-E759DD94DC70}"/>
    <hyperlink ref="D567" r:id="rId308" display="https://www.geonames.org/757182/" xr:uid="{A3F21423-CD8B-7F40-9D98-F33C43F956A1}"/>
    <hyperlink ref="C560" r:id="rId309" display="https://www.geonames.org/762325/" xr:uid="{17F5656F-27B8-0F48-95CE-EBA92B630DD3}"/>
    <hyperlink ref="D560" r:id="rId310" display="https://www.geonames.org/762774/" xr:uid="{2E92B415-AB9E-C449-B0A9-6D2BBCFD6903}"/>
    <hyperlink ref="C503" r:id="rId311" xr:uid="{D901E26B-1924-5D4B-A48A-BEF75DAA565B}"/>
    <hyperlink ref="C533" r:id="rId312" xr:uid="{CDB979E3-280C-6746-8EC8-1BF99259626F}"/>
    <hyperlink ref="C712" r:id="rId313" xr:uid="{45798A86-6288-4648-96DA-9453E477DC32}"/>
    <hyperlink ref="C565" r:id="rId314" display="https://www.geonames.org/758252/" xr:uid="{32E0AA53-4721-C34D-B5C8-B5453A8982C7}"/>
    <hyperlink ref="D565" r:id="rId315" display="https://www.geonames.org/758252/" xr:uid="{3613A2E2-AAFB-B942-A977-2849488C39E6}"/>
    <hyperlink ref="C583" r:id="rId316" display="https://www.geonames.org/766591/" xr:uid="{E8D12836-1CC4-B446-B056-9DA6A0031B45}"/>
    <hyperlink ref="D583" r:id="rId317" display="https://www.geonames.org/763121/" xr:uid="{1D356736-97B3-5D40-B7AF-FEF695259E1A}"/>
    <hyperlink ref="C573" r:id="rId318" display="https://www.geonames.org/759603/" xr:uid="{D6991750-43F7-A348-86BD-3908758DC974}"/>
    <hyperlink ref="D573" r:id="rId319" display="https://www.geonames.org/759603/" xr:uid="{33A8CB07-A983-7049-A671-793252262CE7}"/>
    <hyperlink ref="C543" r:id="rId320" display="https://www.geonames.org/760987/" xr:uid="{91181001-1BFD-1044-90DE-59891E1A6D54}"/>
    <hyperlink ref="D543" r:id="rId321" display="https://www.geonames.org/760987/" xr:uid="{5D71184F-AFFC-5542-8CDC-954ACBB61508}"/>
    <hyperlink ref="C564" r:id="rId322" xr:uid="{5BDCD5D4-AC29-6243-99A8-71B8D6FEA13E}"/>
    <hyperlink ref="C731" r:id="rId323" xr:uid="{61CF18CE-DFD4-1440-B72F-1FCA9E507E01}"/>
    <hyperlink ref="C730" r:id="rId324" display="https://www.geonames.org/709909/" xr:uid="{372AE910-B0D2-CB4F-A9C1-CFE6B56D3DB0}"/>
    <hyperlink ref="D730" r:id="rId325" display="https://www.geonames.org/709909/" xr:uid="{BBE4A933-AE0B-034A-AC6A-F412F45AECCE}"/>
    <hyperlink ref="D562" r:id="rId326" display="https://www.geonames.org/762774/" xr:uid="{9EE98A07-780B-E44D-A237-1A71A9FD8417}"/>
    <hyperlink ref="C734" r:id="rId327" xr:uid="{EC8EFDEC-6F45-3D43-94DD-3348DFE10247}"/>
    <hyperlink ref="C561" r:id="rId328" display="https://www.geonames.org/770772/" xr:uid="{CAB46AE0-F3D0-8E41-8344-D319D0DD27C3}"/>
    <hyperlink ref="D561" r:id="rId329" display="https://www.geonames.org/770772/" xr:uid="{19AB6B78-DE43-D743-AE22-F9E27BD674A7}"/>
    <hyperlink ref="C568" r:id="rId330" xr:uid="{DF310EB5-1757-6740-9715-58AF97931384}"/>
    <hyperlink ref="D568" r:id="rId331" xr:uid="{39754D7B-A0BF-F548-A913-E58493CA584D}"/>
    <hyperlink ref="C1473" r:id="rId332" display="https://www.geonames.org/3173162/" xr:uid="{C06485B4-FC9C-5749-BDBF-AD6ED12F3F48}"/>
    <hyperlink ref="C1494" r:id="rId333" display="https://www.geonames.org/3168752/" xr:uid="{D9EB4445-B0B3-844B-9DF3-89937C70F32C}"/>
    <hyperlink ref="C1492" r:id="rId334" display="https://www.geonames.org/8954925/" xr:uid="{A0DA367A-5653-1846-A77D-442E32DB4BA9}"/>
    <hyperlink ref="D1492" r:id="rId335" display="https://www.geonames.org/3179675/" xr:uid="{05EEC41D-F0BD-5745-8C9E-90C1716A1246}"/>
    <hyperlink ref="C792" r:id="rId336" display="https://www.geonames.org/698598/" xr:uid="{239C81C1-D199-2946-974D-06BDA69C98F0}"/>
    <hyperlink ref="C756" r:id="rId337" xr:uid="{61B737A8-A6A5-0A43-9CD2-CA254C9C08B2}"/>
    <hyperlink ref="C799" r:id="rId338" xr:uid="{F056249D-EE9B-8D4E-B7EA-D14E4A6AC795}"/>
    <hyperlink ref="C1072" r:id="rId339" display="https://www.geonames.org/759734/" xr:uid="{B6751D04-D85B-7942-8CEB-33DDE2C7BFC8}"/>
    <hyperlink ref="D1072" r:id="rId340" display="https://www.geonames.org/759734/" xr:uid="{3254683A-1A6E-6349-92D0-BA43D597200C}"/>
    <hyperlink ref="C1150" r:id="rId341" display="https://www.geonames.org/694864/" xr:uid="{7ACF252D-E819-7F46-9F72-15F628AC9A90}"/>
    <hyperlink ref="D1150" r:id="rId342" display="https://www.geonames.org/694864/" xr:uid="{D4F9A976-5AC6-3145-BED7-981B531307F7}"/>
    <hyperlink ref="C816" r:id="rId343" display="https://www.geonames.org/692779/" xr:uid="{CE4A863C-8ABA-5347-9B08-10E9AB4B514A}"/>
    <hyperlink ref="C1479" r:id="rId344" display="https://www.geonames.org/666916/" xr:uid="{F85C9F82-0D7E-AF48-8430-9E1BF56D2CEE}"/>
    <hyperlink ref="C1482" r:id="rId345" display="https://www.geonames.org/667238/" xr:uid="{FF3EC4E1-D884-D242-B5B0-49093B84E42C}"/>
    <hyperlink ref="C726" r:id="rId346" display="https://www.geonames.org/755439/" xr:uid="{7DCEF75E-2F79-FC48-A9A2-252A1D6EBEBD}"/>
    <hyperlink ref="D726" r:id="rId347" display="https://www.geonames.org/755439/" xr:uid="{729C156E-ED0F-3944-8FAD-93D7F46C0076}"/>
    <hyperlink ref="C323" r:id="rId348" display="https://www.geonames.org/3080156/" xr:uid="{76C7A8FF-C8FB-7748-A7F5-536C52FB544F}"/>
    <hyperlink ref="C1403" r:id="rId349" display="https://www.geonames.org/687093/" xr:uid="{2E402E8B-3C3E-4748-9BCB-628F57CFDA16}"/>
    <hyperlink ref="D1403" r:id="rId350" display="https://www.geonames.org/687093/" xr:uid="{636FEDA2-9116-C548-BD53-1E3EEBAC838B}"/>
    <hyperlink ref="C1286" r:id="rId351" display="https://www.geonames.org/696966/" xr:uid="{DF16980A-4744-F34D-9DB7-19F4B0BCB518}"/>
    <hyperlink ref="D1286" r:id="rId352" display="https://www.geonames.org/712374/" xr:uid="{BDAA7F89-3F14-D84D-8885-A4C30DF0503D}"/>
    <hyperlink ref="C405" r:id="rId353" display="https://www.geonames.org/3070548/" xr:uid="{476F7018-DC07-BC49-AD51-3773355B5F55}"/>
    <hyperlink ref="D405" r:id="rId354" display="https://www.geonames.org/3069873/" xr:uid="{74CFB7B3-BE85-3F44-B15F-CD21F66FFC2C}"/>
    <hyperlink ref="C746" r:id="rId355" display="https://www.geonames.org/767814/" xr:uid="{2A46B00F-1FD1-8D44-9625-8855764D9A37}"/>
    <hyperlink ref="D746" r:id="rId356" display="https://www.geonames.org/767814/" xr:uid="{C169EBD7-2731-1C40-B9EC-C551C46A1DF2}"/>
    <hyperlink ref="C276" r:id="rId357" display="https://www.geonames.org/772896/" xr:uid="{DFCC760A-3F1A-FB43-95C8-55A5FDAC0078}"/>
    <hyperlink ref="D276" r:id="rId358" display="https://www.geonames.org/772896/" xr:uid="{9029E3C8-AF92-8A4D-99BF-D0AA91E26BFA}"/>
    <hyperlink ref="C1398" r:id="rId359" display="https://www.geonames.org/3045991/" xr:uid="{37A7B5D1-1B3B-AF40-9737-8D2E999235A1}"/>
    <hyperlink ref="C924" r:id="rId360" display="https://www.geonames.org/707099/" xr:uid="{57E2F992-2D01-CF4B-9DC3-80F8D63CDC2D}"/>
    <hyperlink ref="D924" r:id="rId361" display="https://www.geonames.org/707099/" xr:uid="{F616B3F8-01DB-AE4C-A21F-F700E50F8E04}"/>
    <hyperlink ref="C728" r:id="rId362" display="https://www.geonames.org/711348/" xr:uid="{90949894-A784-024C-AA59-402E1E7027F4}"/>
    <hyperlink ref="D728" r:id="rId363" display="https://www.geonames.org/711348/" xr:uid="{64D2F8E4-30E2-084E-992C-11282F5D750F}"/>
    <hyperlink ref="C1172" r:id="rId364" display="https://www.geonames.org/712374/" xr:uid="{C08305D8-C8C6-6C44-9204-41A45A5790C5}"/>
    <hyperlink ref="C1157" r:id="rId365" display="https://www.geonames.org/702550+I12:J13" xr:uid="{DACCD56E-8C21-C14F-A36B-2A33CCC82DB3}"/>
    <hyperlink ref="C1237" r:id="rId366" display="https://www.geonames.org/688790/" xr:uid="{6FE5206E-B060-544C-BFFD-B7142CE260ED}"/>
    <hyperlink ref="D1237" r:id="rId367" display="https://www.geonames.org/688790/" xr:uid="{8D6FFC47-C72C-F14A-A9D4-2F1E716D1A45}"/>
    <hyperlink ref="C1313" r:id="rId368" display="https://www.geonames.org/697692/" xr:uid="{07AF66B1-67F6-1142-8BCD-56D705D98F2B}"/>
    <hyperlink ref="D1313" r:id="rId369" display="https://www.geonames.org/697692/" xr:uid="{3F9D4369-EB3D-C748-9D4D-FABF700A42E7}"/>
    <hyperlink ref="C1307" r:id="rId370" display="https://www.geonames.org/712374/" xr:uid="{442435C8-87DA-D84C-9D51-D5F46ED6BD44}"/>
    <hyperlink ref="D1307" r:id="rId371" display="https://www.geonames.org/712374/" xr:uid="{5BFF1C10-EEC4-4941-A2FC-82CAAF4E325E}"/>
    <hyperlink ref="C1309" r:id="rId372" display="https://www.geonames.org/712374/" xr:uid="{1A6C52F7-926A-B64D-9260-3689C2C19F6E}"/>
    <hyperlink ref="D1309" r:id="rId373" display="https://www.geonames.org/712374/" xr:uid="{614AD218-8642-6F41-ACFC-8452E29E4CAA}"/>
    <hyperlink ref="C1308" r:id="rId374" display="https://www.geonames.org/711134/" xr:uid="{D371D956-FEF1-4B45-87CD-DC67F3E24F75}"/>
    <hyperlink ref="D1308" r:id="rId375" display="https://www.geonames.org/711134/" xr:uid="{2519F74C-AC0B-3E4D-B663-04377B8F6225}"/>
    <hyperlink ref="C1310" r:id="rId376" display="https://www.geonames.org/711134/" xr:uid="{004DE1B9-A361-3E47-8279-3AE86AE38994}"/>
    <hyperlink ref="D1310" r:id="rId377" display="https://www.geonames.org/711134/" xr:uid="{E5D81C35-7F80-4449-A904-2AF7DAC7375A}"/>
    <hyperlink ref="C1311" r:id="rId378" display="https://www.geonames.org/711134/" xr:uid="{67BBDC35-47D1-9946-A591-874C973C744F}"/>
    <hyperlink ref="D1311" r:id="rId379" display="https://www.geonames.org/711134/" xr:uid="{BE0C7F37-F58E-E94C-9483-2B8392EFBFA0}"/>
    <hyperlink ref="C890" r:id="rId380" display="https://www.geonames.org/693376/" xr:uid="{DE09408C-9888-FE40-A584-6C50CE33156A}"/>
    <hyperlink ref="D890" r:id="rId381" display="https://www.geonames.org/693376/" xr:uid="{5AD55857-5F67-7741-A305-501D8DB41C04}"/>
    <hyperlink ref="C891" r:id="rId382" display="https://www.geonames.org/700793/" xr:uid="{E8E64A87-7D75-1E48-8779-2DB7B46726DC}"/>
    <hyperlink ref="D891" r:id="rId383" display="https://www.geonames.org/700793/" xr:uid="{17F8B8B0-BBC2-6F4F-94AD-68AE374A972F}"/>
    <hyperlink ref="C126" r:id="rId384" display="https://www.geonames.org/702550+I12:J13" xr:uid="{AF4246A6-B64B-D94D-AF3A-6C09119FC4EF}"/>
    <hyperlink ref="C979" r:id="rId385" display="https://www.google.com/maps/place/Siedlce,+Poland/@52.1616252,22.2066828,12z/data=!3m1!4b1!4m5!3m4!1s0x471f5a4df670f065:0x48cc76a09ee72abe!8m2!3d52.1676031!4d22.2901645" xr:uid="{F49F54FA-C24A-114C-94C0-EEE068B61281}"/>
    <hyperlink ref="C476" r:id="rId386" display="https://www.geonames.org/687093/" xr:uid="{1FEDB3C2-4396-4749-A62F-0D0AE3AF175B}"/>
    <hyperlink ref="D476" r:id="rId387" display="https://www.geonames.org/687093/" xr:uid="{01CD14C9-C0AA-9845-A6E1-906FC94227FD}"/>
    <hyperlink ref="C820" r:id="rId388" display="https://www.geonames.org/687093/" xr:uid="{6F698B26-04ED-C046-A799-2DCE428BACE9}"/>
    <hyperlink ref="C1038" r:id="rId389" display="https://www.geonames.org/776175/" xr:uid="{B0001F16-6ED9-3141-856C-C039C1806668}"/>
    <hyperlink ref="C1100" r:id="rId390" display="https://www.geonames.org/8243842/" xr:uid="{B31CED1D-9BBF-0145-A4D6-55CA643CC864}"/>
    <hyperlink ref="C933" r:id="rId391" display="https://www.google.at/maps/place/Siedlce,+Poland/@52.1616253,22.2068543,12z/data=!3m1!4b1!4m5!3m4!1s0x471f5a4df670f065:0x48cc76a09ee72abe!8m2!3d52.1676031!4d22.2901645" xr:uid="{5E7F1B97-10CC-C542-8237-F647758EAB22}"/>
    <hyperlink ref="D933" r:id="rId392" display="https://www.google.at/maps/place/Siedlce,+Poland/@52.1616253,22.2068543,12z/data=!3m1!4b1!4m5!3m4!1s0x471f5a4df670f065:0x48cc76a09ee72abe!8m2!3d52.1676031!4d22.2901645" xr:uid="{57B42433-08F1-A344-929D-FD224D0D8793}"/>
    <hyperlink ref="C486" r:id="rId393" display="https://www.geonames.org/3101547/" xr:uid="{13359107-36AE-9540-8AC7-9A707494A9F9}"/>
    <hyperlink ref="D486" r:id="rId394" display="https://www.geonames.org/3101547/" xr:uid="{F1ED0BD4-43F9-6841-90D5-DC56E2606FDD}"/>
    <hyperlink ref="C880" r:id="rId395" display="https://www.geonames.org/756046/" xr:uid="{01AAD81C-D458-1E45-9DCD-0ED564AF8704}"/>
    <hyperlink ref="D880" r:id="rId396" display="https://www.geonames.org/754455/" xr:uid="{02B8D6E2-233A-7943-86CA-8A2285518DD2}"/>
    <hyperlink ref="C883" r:id="rId397" display="https://www.geonames.org/11696055/" xr:uid="{84BC3FC9-6561-7F4C-B9BA-8CB57FC61106}"/>
    <hyperlink ref="D883" r:id="rId398" display="https://www.geonames.org/7531570/" xr:uid="{B6CEA818-60A3-C943-9EDD-5134FB2D16FD}"/>
    <hyperlink ref="C1089" r:id="rId399" display="https://www.geonames.org/723609/" xr:uid="{B263E638-7032-EB45-B499-B2080118D130}"/>
    <hyperlink ref="D882" r:id="rId400" display="https://www.google.com/maps/place/Mordy,+Poland/@52.2175401,22.4562294,11.8z/data=!4m5!3m4!1s0x4721e02b32371aef:0x7d82b9a2f81d8473!8m2!3d52.2117091!4d22.517767" xr:uid="{25EC43C5-06CE-E74D-951A-BA30B218946C}"/>
    <hyperlink ref="C931" r:id="rId401" display="https://www.geonames.org/769738/" xr:uid="{A016CCEE-DDAF-9C4A-8BE4-7277D3AC6386}"/>
    <hyperlink ref="D931" r:id="rId402" display="https://www.geonames.org/769738/" xr:uid="{EF977705-ACC5-C644-B2B0-C42A7C582C33}"/>
    <hyperlink ref="C934" r:id="rId403" display="https://www.google.com/maps/place/Ka%C5%82uszyn,+Poland/@52.2139355,21.743758,12z/data=!3m1!4b1!4m5!3m4!1s0x471f3745bb35b963:0xe8ec1c02ee4cf5cc!8m2!3d52.2067049!4d21.808426" xr:uid="{4C19ABBF-3F4A-5A43-87F6-9A8FDDDA9047}"/>
    <hyperlink ref="D934" r:id="rId404" display="https://www.google.com/maps/place/Ka%C5%82uszyn,+Poland/@52.2139355,21.743758,12z/data=!3m1!4b1!4m5!3m4!1s0x471f3745bb35b963:0xe8ec1c02ee4cf5cc!8m2!3d52.2067049!4d21.808426" xr:uid="{E09E5D6C-DAD7-3A48-8C93-AD5DE85BE9E8}"/>
    <hyperlink ref="C936" r:id="rId405" display="https://www.geonames.org/756046/" xr:uid="{44B82DE1-664E-104A-96F2-FB4BF200DDB4}"/>
    <hyperlink ref="D936" r:id="rId406" display="https://www.geonames.org/754455/" xr:uid="{26344006-3571-0B44-AA7D-7E9F2213BA4E}"/>
    <hyperlink ref="C941" r:id="rId407" display="https://www.geonames.org/774184/" xr:uid="{D52BD2C1-4DB5-824B-879A-A18558740643}"/>
    <hyperlink ref="D941" r:id="rId408" display="https://www.geonames.org/774184/" xr:uid="{029A0EE2-BBA4-6646-BFB4-CD8F94F3D923}"/>
    <hyperlink ref="C940" r:id="rId409" display="https://www.geonames.org/769738/" xr:uid="{FCBE492B-ED6A-194D-A528-F90C22804B56}"/>
    <hyperlink ref="D940" r:id="rId410" display="https://www.geonames.org/769738/" xr:uid="{155E5C00-A94B-6646-BD11-C09E81C93801}"/>
    <hyperlink ref="C1047" r:id="rId411" display="https://www.geonames.org/756046/" xr:uid="{E3B27786-F471-0A4E-B5D6-E748A1A7E6CE}"/>
    <hyperlink ref="D1047" r:id="rId412" display="https://www.geonames.org/756046/" xr:uid="{9EDA7CA2-817C-A44B-A64C-FCE2849C9360}"/>
    <hyperlink ref="C1048" r:id="rId413" xr:uid="{CCC02366-D798-9A4F-96B1-F937BECB3DF0}"/>
    <hyperlink ref="D1048" r:id="rId414" display="https://www.geonames.org/776175/" xr:uid="{2756393B-95EF-6F49-947C-B47F9556D130}"/>
    <hyperlink ref="C1052" r:id="rId415" display="https://www.geonames.org/775493/" xr:uid="{465CE983-FD28-D645-911A-450B2220AB78}"/>
    <hyperlink ref="D1052" r:id="rId416" display="https://www.geonames.org/775493/" xr:uid="{261B6CB7-7260-4E44-A2D2-5A24785C7BAA}"/>
    <hyperlink ref="C987" r:id="rId417" display="https://www.geonames.org/765976/" xr:uid="{EA9F29D2-D43C-D748-AD59-C39ECB3A31D5}"/>
    <hyperlink ref="D987" r:id="rId418" display="https://www.geonames.org/765976/" xr:uid="{89FB87FA-5A7B-9249-8964-1045796191F5}"/>
    <hyperlink ref="C1007" r:id="rId419" display="https://www.geonames.org/753394/" xr:uid="{6B9E4A2A-88B3-8A4D-82BA-F0FC277449CC}"/>
    <hyperlink ref="D1007" r:id="rId420" display="https://www.geonames.org/753394/" xr:uid="{2CAA0509-1253-F848-A3E1-146084A4D779}"/>
    <hyperlink ref="C980" r:id="rId421" display="https://www.geonames.org/768218/" xr:uid="{8DBDC0F5-6BBB-A04C-91D3-404E681931ED}"/>
    <hyperlink ref="C981" r:id="rId422" display="https://www.geonames.org/768218/" xr:uid="{A7302C58-5A56-2847-BDCD-96AE27117609}"/>
    <hyperlink ref="C985" r:id="rId423" display="https://www.geonames.org/761008/" xr:uid="{AB0E73AE-2E09-F149-8E95-5714EEDA75BE}"/>
    <hyperlink ref="C996" r:id="rId424" display="https://www.geonames.org/763111/" xr:uid="{5908FA01-7448-EA4F-9F75-502A982BA596}"/>
    <hyperlink ref="D996" r:id="rId425" display="https://www.geonames.org/763111/" xr:uid="{0B2ACF50-A3AB-1A4A-8E8A-DA912DDFFE81}"/>
    <hyperlink ref="C999" r:id="rId426" display="https://www.geonames.org/763111/" xr:uid="{E73F40CA-C7E7-4449-AD24-CD989A01BE47}"/>
    <hyperlink ref="D999" r:id="rId427" display="https://www.geonames.org/763111/" xr:uid="{EE66CE5E-3D02-2646-80C0-7E5D8E3A6D6D}"/>
    <hyperlink ref="D926" r:id="rId428" display="https://www.geonames.org/708380/" xr:uid="{32213260-091E-FF4A-8C04-65BA421A75BD}"/>
    <hyperlink ref="D925" r:id="rId429" display="https://www.geonames.org/708380/" xr:uid="{7ECC56A9-8328-DA4D-88A9-E061C0AB2BE7}"/>
    <hyperlink ref="C921" r:id="rId430" display="https://www.geonames.org/695434/" xr:uid="{DAED60B8-6370-2B49-9BEA-7CDD8D828A72}"/>
    <hyperlink ref="D921" r:id="rId431" display="https://www.geonames.org/693376/" xr:uid="{942F30E2-7935-8247-8347-6D4FCE7B994C}"/>
    <hyperlink ref="C986" r:id="rId432" display="https://www.geonames.org/753787/" xr:uid="{8BC1D228-E1E3-4744-B481-B5141848674A}"/>
    <hyperlink ref="D986" r:id="rId433" display="https://www.geonames.org/753787/" xr:uid="{4E9D2BA8-2D83-0947-BB0C-9162F4A546D9}"/>
    <hyperlink ref="C1016" r:id="rId434" display="https://www.geonames.org/3103644/" xr:uid="{4941358C-1359-E941-BC88-CB612C247B65}"/>
    <hyperlink ref="C1054" r:id="rId435" display="https://www.geonames.org/774730/" xr:uid="{B95A802A-3B86-EE40-B9BE-951954DD336D}"/>
    <hyperlink ref="C983" r:id="rId436" display="https://www.geonames.org/759412/" xr:uid="{B2EDFC3D-A931-864A-9EF4-9F60AEAA9F77}"/>
    <hyperlink ref="D983" r:id="rId437" display="https://www.geonames.org/759412/" xr:uid="{77C2508C-869F-C947-A869-DCC9C09F2034}"/>
    <hyperlink ref="C242" r:id="rId438" display="https://www.geonames.org/759301/" xr:uid="{32B41799-D320-7D48-9BCB-FC69B9057847}"/>
    <hyperlink ref="D242" r:id="rId439" display="https://www.geonames.org/759301/" xr:uid="{2E0A7BF6-13BF-5542-93F2-50B935133451}"/>
    <hyperlink ref="C184" r:id="rId440" display="https://www.geonames.org/758436/" xr:uid="{883E1403-CA29-2C44-821B-02563F5A7D8C}"/>
    <hyperlink ref="D184" r:id="rId441" display="https://www.geonames.org/771069/" xr:uid="{645047D3-945A-8942-BC01-1E7BCF30EE81}"/>
    <hyperlink ref="C267" r:id="rId442" display="https://www.geonames.org/629634/" xr:uid="{9E34DFA1-44D9-334F-9C13-1D2A331B4C3C}"/>
    <hyperlink ref="C992" r:id="rId443" display="https://www.geonames.org/771687/" xr:uid="{C3EF98DA-9E7F-554B-A1CC-9B97C2D06FE4}"/>
    <hyperlink ref="D992" r:id="rId444" display="https://www.geonames.org/771687/" xr:uid="{A9004CF3-370E-A84A-8699-4394BA44050B}"/>
    <hyperlink ref="C990" r:id="rId445" display="https://www.geonames.org/758252/" xr:uid="{369B820B-F834-664B-A38B-506FE9AE149D}"/>
    <hyperlink ref="D990" r:id="rId446" display="https://www.geonames.org/758252/" xr:uid="{712725FD-C694-8E4F-B715-918F2F30D3DD}"/>
    <hyperlink ref="C938" r:id="rId447" display="https://www.geonames.org/756046/" xr:uid="{E0EF9DE0-9379-5A49-97B6-910C515FD616}"/>
    <hyperlink ref="D938" r:id="rId448" display="https://www.geonames.org/754455/" xr:uid="{1AF9270D-A232-1C4E-846B-17F0665D9885}"/>
    <hyperlink ref="C970" r:id="rId449" display="https://www.geonames.org/756046/" xr:uid="{25BFE4CF-6FC0-3B41-BC19-0BEFF36FF337}"/>
    <hyperlink ref="D970" r:id="rId450" display="https://www.geonames.org/754455/" xr:uid="{B74CDDA5-3C3E-A544-B551-AF542E1B4929}"/>
    <hyperlink ref="C858" r:id="rId451" display="https://www.geonames.org/753394/" xr:uid="{98B80538-88A3-A447-A999-F301DBB0A3A0}"/>
    <hyperlink ref="D858" r:id="rId452" display="https://www.geonames.org/753394/" xr:uid="{B997F0EC-9422-AD4C-90CA-2AAEBA700062}"/>
    <hyperlink ref="C877" r:id="rId453" display="https://www.geonames.org/759412/" xr:uid="{A9AA7652-16AC-2145-B5E6-7A0C3B87D597}"/>
    <hyperlink ref="D877" r:id="rId454" display="https://www.geonames.org/759412/" xr:uid="{59B8561D-3CA6-D248-A5A0-1AEC4C1A6A45}"/>
    <hyperlink ref="C939" r:id="rId455" display="https://www.geonames.org/759412/" xr:uid="{E2D7F2AA-58A6-D148-9BC8-5D1914245E72}"/>
    <hyperlink ref="D939" r:id="rId456" display="https://www.geonames.org/759412/" xr:uid="{48996E1B-53B8-7840-8245-729CA1920825}"/>
    <hyperlink ref="C989" r:id="rId457" display="https://www.geonames.org/765876/" xr:uid="{461CED8A-5511-7A45-B817-523C1364B8A7}"/>
    <hyperlink ref="D989" r:id="rId458" display="https://www.geonames.org/765876/" xr:uid="{6C7A3492-EAC4-2943-B53B-A9A984A32D02}"/>
    <hyperlink ref="C932" r:id="rId459" display="https://www.geonames.org/775778/" xr:uid="{8886A058-570A-CE44-96F2-1A26DD1C0B06}"/>
    <hyperlink ref="D932" r:id="rId460" display="https://www.geonames.org/773357/" xr:uid="{8CACF060-706C-394C-9642-B344B37B292B}"/>
    <hyperlink ref="C918" r:id="rId461" display="https://www.geonames.org/769738/" xr:uid="{93628919-B4BF-A145-BA23-34E34A4D1A20}"/>
    <hyperlink ref="D918" r:id="rId462" display="https://www.geonames.org/769738/" xr:uid="{ADC406E6-A9CE-EA46-8EAB-DFB9D89D885B}"/>
    <hyperlink ref="C1034" r:id="rId463" display="https://www.geonames.org/773389/" xr:uid="{D89814A0-6419-8840-B6F8-3DEB04157EC1}"/>
    <hyperlink ref="D1034" r:id="rId464" display="https://www.geonames.org/765736/" xr:uid="{36B66D68-DBF2-594F-A2A5-C8E8F872BCB5}"/>
    <hyperlink ref="C487" r:id="rId465" display="https://www.geonames.org/3101547/" xr:uid="{BF5679AA-3F3B-F240-AB0F-55D83037A4E1}"/>
    <hyperlink ref="D487" r:id="rId466" display="https://www.geonames.org/3101547/" xr:uid="{F7350C4F-4FB3-5F47-8863-2C56FF073C0B}"/>
    <hyperlink ref="D308" r:id="rId467" display="https://www.geonames.org/3096401/" xr:uid="{C47950F0-4B82-F542-9001-950F1DE645CF}"/>
    <hyperlink ref="D313" r:id="rId468" display="https://www.geonames.org/3096401/" xr:uid="{155E897E-2634-6A4A-A5C0-D8D70797686B}"/>
    <hyperlink ref="D605" r:id="rId469" display="https://www.geonames.org/774504/" xr:uid="{1378EA4E-D48E-E34E-A721-80AAB0807A2C}"/>
    <hyperlink ref="C376" r:id="rId470" display="https://www.geonames.org/3096401/" xr:uid="{06D6EC01-1A30-EE4A-A695-BD6805A739B8}"/>
    <hyperlink ref="D376" r:id="rId471" display="https://www.geonames.org/3096401/" xr:uid="{D033B460-1CB1-C744-B379-C8EEE9268C99}"/>
    <hyperlink ref="C448" r:id="rId472" display="https://www.geonames.org/763111/" xr:uid="{9450C438-4C03-064B-B5B3-9055A82E2D73}"/>
    <hyperlink ref="D448" r:id="rId473" display="https://www.geonames.org/763111/" xr:uid="{60C6F71C-D434-7341-B9DE-6C26A7CCE2D3}"/>
    <hyperlink ref="C725" r:id="rId474" display="https://www.geonames.org/759412/" xr:uid="{74860B23-60F0-8F4B-8882-E1C21428CEDB}"/>
    <hyperlink ref="D725" r:id="rId475" display="https://www.geonames.org/759412/" xr:uid="{AF65B2A3-CE56-AE42-85CC-42A493E454A6}"/>
    <hyperlink ref="C303" r:id="rId476" display="https://www.geonames.org/712374/" xr:uid="{BD27B7B9-9CD8-B94D-8F35-AC953E7C66B6}"/>
    <hyperlink ref="D303" r:id="rId477" display="https://www.geonames.org/712374/" xr:uid="{3E44C7CD-F3BF-F147-B8D6-842C597AC122}"/>
    <hyperlink ref="C322" r:id="rId478" display="https://www.geonames.org/3094168/" xr:uid="{3DEFB4D7-4777-4042-9BF7-DF79193AB459}"/>
    <hyperlink ref="C793" r:id="rId479" display="https://www.geonames.org/758177/" xr:uid="{108153E3-16CB-3343-80A3-D1EFC7ABFC4E}"/>
    <hyperlink ref="D793" r:id="rId480" display="https://www.geonames.org/776458/" xr:uid="{8F40A542-BBBD-B54D-89C2-6B45CC5C5BF6}"/>
    <hyperlink ref="C231" r:id="rId481" display="https://www.geonames.org/711887/" xr:uid="{8D2E38B4-D95E-4147-863E-41E798A6DAA5}"/>
    <hyperlink ref="D231" r:id="rId482" display="https://www.geonames.org/711887/" xr:uid="{0DF31B9F-47FA-4442-BD0B-3CD91944C8A2}"/>
    <hyperlink ref="C224" r:id="rId483" display="https://www.geonames.org/770380/" xr:uid="{6E1CFB69-DE91-2541-AF72-A2A8ED1BF296}"/>
    <hyperlink ref="D224" r:id="rId484" display="https://www.geonames.org/770380/" xr:uid="{5A8F4634-297E-B547-B5F2-50F0EF35573B}"/>
    <hyperlink ref="C794" r:id="rId485" display="https://www.geonames.org/770380/" xr:uid="{B2A672FE-DD92-E748-A16F-90A366D1E99D}"/>
    <hyperlink ref="D794" r:id="rId486" display="https://www.geonames.org/770380/" xr:uid="{A51249C6-347A-194F-991B-D4FE39373EB3}"/>
    <hyperlink ref="C735" r:id="rId487" display="https://www.geonames.org/773877/" xr:uid="{567A1C29-C85D-9340-8472-E30A099D7623}"/>
    <hyperlink ref="D735" r:id="rId488" display="https://www.geonames.org/773877/" xr:uid="{58092EB2-46EC-2448-BB53-E649504455BE}"/>
    <hyperlink ref="D738" r:id="rId489" display="https://www.geonames.org/766675/" xr:uid="{41126AD2-73DC-5340-BA5E-83FE1937E22D}"/>
    <hyperlink ref="C753" r:id="rId490" display="https://www.geonames.org/758626/" xr:uid="{9EF2B9A4-FF8D-4246-A041-E07B5B601A01}"/>
    <hyperlink ref="D753" r:id="rId491" display="https://www.geonames.org/758626/" xr:uid="{6E0D77FE-0E20-724B-9EFC-9B3E254A1CD8}"/>
    <hyperlink ref="C904" r:id="rId492" display="https://www.geonames.org/3067978/" xr:uid="{7FD4AB62-0602-8842-AEF0-C6F3B85E2F59}"/>
    <hyperlink ref="C873" r:id="rId493" display="https://www.geonames.org/3065216/" xr:uid="{95CDEC13-5020-904B-8619-123AF454F632}"/>
    <hyperlink ref="D873" r:id="rId494" display="https://www.geonames.org/3068386/" xr:uid="{50D4C51E-8BF7-2445-9186-A16DBF33CAEE}"/>
    <hyperlink ref="C117" r:id="rId495" display="https://www.geonames.org/686762" xr:uid="{DD32C2B0-9B8A-2C4D-B73D-E0863D82BDB3}"/>
    <hyperlink ref="C29" r:id="rId496" display="https://www.geonames.org/772747/" xr:uid="{E6F2A74B-F34A-E04F-B14D-630503D14620}"/>
    <hyperlink ref="C120" r:id="rId497" display="https://www.geonames.org/712471" xr:uid="{6CCE3DDE-A1BE-474E-82A0-1332DFFC38DA}"/>
    <hyperlink ref="C123" r:id="rId498" display="https://www.geonames.org/702550+I12:J13" xr:uid="{18AC53E1-A1BD-A949-B04A-AA24E26DB646}"/>
    <hyperlink ref="C124" r:id="rId499" display="https://www.geonames.org/702550+I12:J13" xr:uid="{2EB12D77-84BA-2445-91E1-A4421D529F27}"/>
    <hyperlink ref="C158" r:id="rId500" display="https://www.geonames.org/702550+I12:J13" xr:uid="{30E4AD92-0ECE-914E-927E-259609B22D8A}"/>
    <hyperlink ref="C119" r:id="rId501" display="https://www.geonames.org/710554/" xr:uid="{A077DAAE-7B9C-BB42-BC0B-542461365500}"/>
    <hyperlink ref="C121" r:id="rId502" display="https://www.geonames.org/702550+I12:J13" xr:uid="{241EF4E0-D699-444A-91A4-D73CBD055A1B}"/>
    <hyperlink ref="C122" r:id="rId503" display="https://www.geonames.org/702550+I12:J13" xr:uid="{6E2F80B3-9001-124D-83F9-B4EF664AE988}"/>
    <hyperlink ref="C127" r:id="rId504" display="https://www.geonames.org/702550+I12:J13" xr:uid="{D635A025-F89D-8345-9A23-6D4F2C07C95F}"/>
    <hyperlink ref="C618" r:id="rId505" display="https://www.geonames.org/687826/" xr:uid="{A857144C-924E-BB4E-9856-BC81A4D74F0D}"/>
    <hyperlink ref="D618" r:id="rId506" display="https://www.geonames.org/687826/" xr:uid="{948A28EB-FAC4-444F-9F3B-54A0668395C5}"/>
    <hyperlink ref="C629" r:id="rId507" display="https://www.geonames.org/705392/" xr:uid="{10206FBD-D24C-DD48-A6EA-5B60F46458F3}"/>
    <hyperlink ref="D629" r:id="rId508" display="https://www.geonames.org/705392/" xr:uid="{DE414A33-8AC5-F140-9A41-D28F818D6766}"/>
    <hyperlink ref="C745" r:id="rId509" display="https://www.geonames.org/753479/" xr:uid="{E2B10298-BA97-DF44-8DC8-139FF1FF8362}"/>
    <hyperlink ref="D745" r:id="rId510" display="https://www.geonames.org/765749/" xr:uid="{0B84ABD4-BD03-474B-97DD-E1A5879A0693}"/>
    <hyperlink ref="C801" r:id="rId511" display="https://www.geonames.org/756135/" xr:uid="{A02A52FD-DD2E-EB4E-8DC0-41BE1E860CB1}"/>
    <hyperlink ref="C744" r:id="rId512" display="https://www.geonames.org/756794/" xr:uid="{302BD55E-D528-204E-9466-F230D249FCC0}"/>
    <hyperlink ref="D744" r:id="rId513" display="https://www.geonames.org/756794/" xr:uid="{7C47779E-091F-154D-AAF8-16112EB68D69}"/>
    <hyperlink ref="D246" r:id="rId514" display="https://www.geonames.org/3079403/" xr:uid="{11611FCA-47D4-1B40-8D4B-736798B87CC1}"/>
    <hyperlink ref="C1000" r:id="rId515" display="https://www.geonames.org/757026/" xr:uid="{785A011B-85E9-DB46-ACDE-36A2039E9A34}"/>
    <hyperlink ref="D1000" r:id="rId516" display="https://www.geonames.org/757026/" xr:uid="{48F426A5-9925-C445-9CB0-AA65B337F9F1}"/>
    <hyperlink ref="D846" r:id="rId517" display="https://www.geonames.org/3071392/" xr:uid="{80EE2F95-49C9-9E42-AF98-4D9A484AAD72}"/>
    <hyperlink ref="C846" r:id="rId518" display="https://www.google.at/maps/place/50%C2%B011'11.0%22N+13%C2%B006'51.5%22E/@50.1816427,13.1023613,2468m/data=!3m1!1e3!4m5!3m4!1s0x0:0x0!8m2!3d50.1864!4d13.1143" xr:uid="{0586EADB-78E2-4A40-B874-EADCA287BB7F}"/>
    <hyperlink ref="C865" r:id="rId519" display="https://www.geonames.org/12128969" xr:uid="{F44D7553-62FD-D247-8459-C1D4C70D6CA6}"/>
    <hyperlink ref="D865" r:id="rId520" display="https://www.geonames.org/3077036/" xr:uid="{4FFF4FC3-476B-FE4A-9F3F-F3D849B0C268}"/>
    <hyperlink ref="C1321" r:id="rId521" display="https://www.geonames.org/3071879/" xr:uid="{5BCD9008-85C0-7344-AC70-168833A22732}"/>
    <hyperlink ref="D1321" r:id="rId522" display="https://www.geonames.org/3071879/" xr:uid="{8B499BFD-7BDC-B748-B748-792C80E1C8BA}"/>
    <hyperlink ref="C398" r:id="rId523" display="https://www.geonames.org/765876/" xr:uid="{4615D951-6FAD-3945-8D35-C0F37BA87FC3}"/>
    <hyperlink ref="D398" r:id="rId524" display="https://www.geonames.org/8426063/" xr:uid="{14E10A7A-329A-764F-B68D-1DAD8D0581E4}"/>
    <hyperlink ref="C1134" r:id="rId525" display="https://www.geonames.org/3071966/" xr:uid="{581CD428-356C-6F4C-B047-DFEDF4D1CAE8}"/>
    <hyperlink ref="C501" r:id="rId526" xr:uid="{0FB8F039-2145-B14B-B289-7CCA7D4C143C}"/>
    <hyperlink ref="D501" r:id="rId527" xr:uid="{DF93936A-8618-864C-BB3C-58070F539CBE}"/>
    <hyperlink ref="C174" r:id="rId528" display="https://www.geonames.org/3075053/" xr:uid="{E499DD87-9C0C-C94E-912A-640ACE31A7F6}"/>
    <hyperlink ref="C654" r:id="rId529" display="https://www.geonames.org/3063762/" xr:uid="{0CBDFFC7-D0E6-E449-AD33-CCBD0FF7C18F}"/>
    <hyperlink ref="C399" r:id="rId530" display="https://www.geonames.org/773808/" xr:uid="{714B78E2-0934-964B-B816-C24AC63A18C3}"/>
    <hyperlink ref="D399" r:id="rId531" display="https://www.geonames.org/773808/" xr:uid="{429EA291-49A1-9C42-A2A8-594022597792}"/>
    <hyperlink ref="C617" r:id="rId532" display="https://www.geonames.org/757050/" xr:uid="{13E3D71F-5990-224E-A65C-E735CAC04742}"/>
    <hyperlink ref="D617" r:id="rId533" display="https://www.geonames.org/757050/" xr:uid="{24051808-9D4F-4F4C-9B98-9B3F5E3FFF71}"/>
    <hyperlink ref="C1053" r:id="rId534" display="https://www.geonames.org/3094802/" xr:uid="{8666F24F-F836-1446-B4EA-B6F1B7834AB4}"/>
    <hyperlink ref="C147" r:id="rId535" display="https://www.geonames.org/3070795/" xr:uid="{F7E62E2B-DC8C-2048-8A4C-EEEA041F4BA5}"/>
    <hyperlink ref="D147" r:id="rId536" display="https://www.geonames.org/3070795/" xr:uid="{43C5D657-8872-314D-B087-4CD4E3A51BA1}"/>
    <hyperlink ref="C1399" r:id="rId537" display="https://www.geonames.org/711416/" xr:uid="{22E1AE7C-1501-F740-A933-E480CD44F06C}"/>
    <hyperlink ref="D1399" r:id="rId538" display="https://www.geonames.org/711416/" xr:uid="{A937F43B-4DBA-434A-BA5A-91862DD41DC8}"/>
    <hyperlink ref="C477" r:id="rId539" display="https://www.geonames.org/687093/" xr:uid="{8DC99B43-7E81-1F4D-98B8-B2211860A5E0}"/>
    <hyperlink ref="D477" r:id="rId540" display="https://www.geonames.org/687093/" xr:uid="{67E9A39C-B24B-BD4B-B14F-6ADF8EA1DCF1}"/>
    <hyperlink ref="C900" r:id="rId541" display="https://www.geonames.org/701119/" xr:uid="{4CCC691B-7DE3-BE4E-9FC3-F54B0F9DB68D}"/>
    <hyperlink ref="D713" r:id="rId542" display="https://www.geonames.org/766452/" xr:uid="{B39F831B-1F68-B74E-B708-67A48F1F11D7}"/>
    <hyperlink ref="C474" r:id="rId543" display="https://www.geonames.org/753866/" xr:uid="{46FB29D1-7B2A-A143-AF59-4F2B37A3BC28}"/>
    <hyperlink ref="C430" r:id="rId544" display="https://www.geonames.org/709909/" xr:uid="{BF462535-0385-1A43-AE3D-5BA6FEDD1F94}"/>
    <hyperlink ref="D598" r:id="rId545" display="https://www.geonames.org/707471/" xr:uid="{C6541938-AB0A-B440-B6B1-C5966EB08AD5}"/>
    <hyperlink ref="C652" r:id="rId546" display="https://www.geonames.org/768024/" xr:uid="{8F2C1365-7B6C-304C-9D0D-9D052189C46A}"/>
    <hyperlink ref="D652" r:id="rId547" display="https://www.geonames.org/768024/" xr:uid="{4051DE84-BABC-BB43-865A-F0C150EE0FDC}"/>
    <hyperlink ref="C302" r:id="rId548" display="https://www.geonames.org/767814/" xr:uid="{4AAF7376-7875-C147-B4D6-4B75A06E6720}"/>
    <hyperlink ref="D302" r:id="rId549" display="https://www.geonames.org/767814/" xr:uid="{76381A51-FE47-AB46-85E3-9C6A287919CE}"/>
    <hyperlink ref="C1168" r:id="rId550" display="https://www.geonames.org/11696055/" xr:uid="{2AB5A451-0199-BA47-8A53-17D62F672A5A}"/>
    <hyperlink ref="C478" r:id="rId551" display="https://www.geonames.org/687093/" xr:uid="{82A8D3FD-3A25-DF40-901B-6AA2992A3D04}"/>
    <hyperlink ref="D478" r:id="rId552" display="https://www.geonames.org/687093/" xr:uid="{1894BED2-9425-B64A-98C9-F1EE5ECE03FF}"/>
    <hyperlink ref="C145" r:id="rId553" display="https://www.geonames.org/3074723/" xr:uid="{102A381D-941D-0D4F-8C4E-431CF6EA8DF0}"/>
    <hyperlink ref="D145" r:id="rId554" display="https://www.geonames.org/3075878/" xr:uid="{20BC5740-9517-0443-A7EE-C6753EE99C59}"/>
    <hyperlink ref="C993" r:id="rId555" display="https://www.geonames.org/761131/" xr:uid="{735685EB-3740-754F-847C-0CAFBA6A4406}"/>
    <hyperlink ref="D1138" r:id="rId556" display="https://www.geonames.org/694864/" xr:uid="{AAA9C27C-9661-E74B-B315-D8221A697C11}"/>
    <hyperlink ref="C1369" r:id="rId557" display="https://www.geonames.org/758252/" xr:uid="{B8BFA4C0-15C2-6A4E-95B7-5408C6B75507}"/>
    <hyperlink ref="C1183" r:id="rId558" display="https://www.geonames.org/709611/" xr:uid="{27C81288-BA31-2F44-A444-ECF0CCB913E8}"/>
    <hyperlink ref="D1183" r:id="rId559" display="https://www.geonames.org/709611/" xr:uid="{72FF122B-87AF-0540-962F-9D0D869FC0BF}"/>
    <hyperlink ref="C1178" r:id="rId560" display="https://www.geonames.org/753866/" xr:uid="{C14936A9-A570-4240-BC70-F283B86E1FB7}"/>
    <hyperlink ref="C1152" r:id="rId561" display="https://www.geonames.org/690960/" xr:uid="{58DF4188-6729-FE41-937B-C8953ACDB31B}"/>
    <hyperlink ref="D1152" r:id="rId562" display="https://www.geonames.org/690960/" xr:uid="{7AE414A7-EF67-9E43-BDAB-066220EB6C33}"/>
    <hyperlink ref="C1181" r:id="rId563" display="https://www.geonames.org/753866/" xr:uid="{F1005352-2A05-914B-AEDF-957001C80CDC}"/>
    <hyperlink ref="C1495" r:id="rId564" display="https://www.geonames.org/776247/" xr:uid="{5F5F6B70-811F-1A44-B2F8-F6379C3CE5CD}"/>
    <hyperlink ref="C1416" r:id="rId565" display="https://www.geonames.org/705265/" xr:uid="{F251F13D-83D1-4D4D-99E7-B7172B15DC1C}"/>
    <hyperlink ref="D1416" r:id="rId566" display="https://www.geonames.org/705265/" xr:uid="{166A299C-6285-1D4A-BC7E-001A6089BA6F}"/>
    <hyperlink ref="C544" r:id="rId567" display="https://www.geonames.org/756036/" xr:uid="{79CFAA97-4343-D948-B824-F1C98F24C183}"/>
    <hyperlink ref="C1498" r:id="rId568" display="https://www.geonames.org/692865/" xr:uid="{9909EB32-36F5-E94C-8D48-B40D2A3D2ADF}"/>
    <hyperlink ref="D1498" r:id="rId569" display="https://www.geonames.org/692865/" xr:uid="{D187E9D8-B626-4645-85DC-C4C2AEC7EE90}"/>
    <hyperlink ref="C1075" r:id="rId570" display="https://www.geonames.org/772086/" xr:uid="{CD1CC3C7-A921-8D4D-9ECA-DF1F5126CE29}"/>
    <hyperlink ref="C815" r:id="rId571" display="https://www.geonames.org/2951825/" xr:uid="{592E639A-5CB0-4840-8B32-FCA785471769}"/>
    <hyperlink ref="C1417" r:id="rId572" display="https://www.geonames.org/712126/" xr:uid="{C99B7E7E-88C3-CD4D-A258-0BAE2278BD10}"/>
    <hyperlink ref="C1485" r:id="rId573" display="https://www.geonames.org/759412/" xr:uid="{396FA7BC-578A-1744-9C5A-2B01F026AD1C}"/>
    <hyperlink ref="C1504" r:id="rId574" display="https://www.geonames.org/3180208/" xr:uid="{334A82F7-08D4-3B4E-8C05-813E3B9AD025}"/>
    <hyperlink ref="C741" r:id="rId575" display="https://www.geonames.org/765876/" xr:uid="{7A5A43A1-28B8-0B44-A4D4-504A21818CDD}"/>
    <hyperlink ref="C14" r:id="rId576" display="https://www.geonames.org/709909/" xr:uid="{915501BD-9C8B-2D41-8AE9-298E09D5C7B8}"/>
    <hyperlink ref="C27" r:id="rId577" display="https://www.geonames.org/3066727/" xr:uid="{C47C8A23-4B07-4D4B-93B6-6C15633A23E8}"/>
    <hyperlink ref="C85" r:id="rId578" display="https://www.geonames.org/3069377/" xr:uid="{F7E5B16E-6960-F242-B226-3C5CE4B9D1CA}"/>
    <hyperlink ref="C11" r:id="rId579" display="https://www.geonames.org/686895/" xr:uid="{D50CC12C-EB3C-3744-B6AB-0073C52DAC34}"/>
    <hyperlink ref="C271" r:id="rId580" display="https://www.geonames.org/763121/" xr:uid="{687E7350-1410-414C-AA96-7F4BD7DE979E}"/>
    <hyperlink ref="D275" r:id="rId581" display="https://www.geonames.org/754090/" xr:uid="{6484F92F-60A1-3F48-B341-9DA4555B9BD3}"/>
    <hyperlink ref="C275" r:id="rId582" display="https://www.geonames.org/754090/" xr:uid="{917CD410-F015-CF46-826B-3AF0FBD7AC6C}"/>
    <hyperlink ref="C1103" r:id="rId583" display="https://www.geonames.org/716860/" xr:uid="{7E897A1E-7B5B-624A-BCF8-ADED1E811F96}"/>
    <hyperlink ref="C1121" r:id="rId584" display="https://www.geonames.org/668076/" xr:uid="{C71E61A3-BB88-4F40-BA42-30375891F126}"/>
    <hyperlink ref="C1085" r:id="rId585" display="https://www.geonames.org/688746/" xr:uid="{C72638DC-465F-2F4C-8D0D-5F69404ADA27}"/>
    <hyperlink ref="C1197" r:id="rId586" display="https://www.geonames.org/3070720/" xr:uid="{C6430BFC-09F1-9E4F-A98C-3DB7162A590E}"/>
    <hyperlink ref="C1199" r:id="rId587" display="https://www.geonames.org/3067696/" xr:uid="{2AE6C1ED-B3F0-9D43-A548-642F349038C8}"/>
    <hyperlink ref="C1288" r:id="rId588" display="https://www.geonames.org/3063853/" xr:uid="{1940A9CD-90C4-0945-B99F-CC4DB017C2D8}"/>
    <hyperlink ref="C1050" r:id="rId589" display="https://www.geonames.org/3047211/" xr:uid="{69C15ECB-B235-9C4E-9281-B977E2D14D3A}"/>
    <hyperlink ref="C1101" r:id="rId590" display="https://www.geonames.org/685985/" xr:uid="{67D1038B-A6B5-E941-8EFB-7247735E9EFF}"/>
    <hyperlink ref="C1091" r:id="rId591" display="https://www.geonames.org/724743/" xr:uid="{84BC245E-7384-014A-A993-C7B94F99DC5C}"/>
    <hyperlink ref="C1123" r:id="rId592" display="https://www.geonames.org/700646/" xr:uid="{E11D54D2-3A6A-A340-8974-279D6DC0320F}"/>
    <hyperlink ref="C214" r:id="rId593" display="https://www.geonames.org/702550+I12:J13" xr:uid="{57CA72D6-46C2-7A41-B9DE-A9C9D94BC60B}"/>
    <hyperlink ref="C1407" r:id="rId594" display="https://www.geonames.org/690548/" xr:uid="{DAD63D20-8425-8A49-8AFD-494C3B32C4F7}"/>
    <hyperlink ref="C1414" r:id="rId595" display="https://www.geonames.org/771313/" xr:uid="{B3A969B6-1239-2F44-A8B7-087D94A4E36E}"/>
    <hyperlink ref="C375" r:id="rId596" display="https://www.geonames.org/759468/" xr:uid="{F2B1ED28-C6BF-4E45-8CE5-A8DBD7A47DB9}"/>
    <hyperlink ref="C118" r:id="rId597" display="https://www.geonames.org/699076/" xr:uid="{C1A3026F-C7A2-8348-AC06-6701A97833DB}"/>
    <hyperlink ref="C1088" r:id="rId598" display="https://www.geonames.org/8243842/" xr:uid="{F433C72E-7D90-F641-BD7D-F7D36E2B48DF}"/>
    <hyperlink ref="C1114" r:id="rId599" display="https://www.geonames.org/724144/" xr:uid="{6740F26B-2E57-8B44-8E0A-7D96251B1A58}"/>
    <hyperlink ref="C1107" r:id="rId600" display="https://www.geonames.org/690548/" xr:uid="{B0B2A217-4BE1-8540-8213-8360D67440D5}"/>
    <hyperlink ref="C1220" r:id="rId601" display="https://www.geonames.org/717825/" xr:uid="{8B1D9A93-F04F-FC42-AD76-738C1A91483F}"/>
    <hyperlink ref="C1098" r:id="rId602" display="https://www.geonames.org/724014/" xr:uid="{BF3F0B45-E453-9D4E-A39C-08BE02E7EB81}"/>
    <hyperlink ref="C1099" r:id="rId603" display="https://www.geonames.org/700646/" xr:uid="{A4FC3201-045F-B143-99DC-5B93AC0EBC38}"/>
    <hyperlink ref="C381" r:id="rId604" display="https://www.geonames.org/771939/" xr:uid="{20479860-8EEA-304A-A3D2-B45A524353AA}"/>
    <hyperlink ref="D381" r:id="rId605" display="https://www.geonames.org/760778/" xr:uid="{430517EA-0B8E-9C47-945D-E0D972392DA7}"/>
    <hyperlink ref="C222" r:id="rId606" display="https://www.geonames.org/695781/" xr:uid="{41A6A83D-3D1D-6249-85FB-34B191102781}"/>
    <hyperlink ref="C755" r:id="rId607" display="https://www.geonames.org/690873/" xr:uid="{D0326B64-25E5-F244-AAD4-B35122DC6C6E}"/>
    <hyperlink ref="D755" r:id="rId608" display="https://www.geonames.org/690873/" xr:uid="{013B248C-C1F2-E344-ACA0-50C66B258C0F}"/>
    <hyperlink ref="C672" r:id="rId609" display="https://www.geonames.org/687093/" xr:uid="{CCB4736C-2142-484A-B4A1-6AB13DCE447B}"/>
    <hyperlink ref="D672" r:id="rId610" display="https://www.geonames.org/687093/" xr:uid="{0F9DE2E2-4F56-9449-BFAD-288D6CDDD0A9}"/>
    <hyperlink ref="C427" r:id="rId611" display="https://www.geonames.org/693301/" xr:uid="{CE83EAAF-B66E-1B4D-9BF3-61A9E134E559}"/>
    <hyperlink ref="D427" r:id="rId612" display="https://www.geonames.org/693301/" xr:uid="{02607CAE-A639-9844-A3A3-EDD31AFC8A2C}"/>
    <hyperlink ref="C720" r:id="rId613" display="https://www.geonames.org/693301/" xr:uid="{E6A45CEC-9FD3-DC4B-91F4-F7C8EC5378C1}"/>
    <hyperlink ref="D720" r:id="rId614" display="https://www.geonames.org/693301/" xr:uid="{EDE5CFE5-BF28-8F40-8E34-6680A2829CBB}"/>
    <hyperlink ref="C479" r:id="rId615" display="https://www.geonames.org/712471" xr:uid="{F560BFC2-4FC1-3147-ACC9-DC3DA4E26073}"/>
    <hyperlink ref="D479" r:id="rId616" display="https://www.geonames.org/712471" xr:uid="{01BD1ECA-F990-AB4D-BB93-35C705C62D84}"/>
    <hyperlink ref="C410" r:id="rId617" display="https://www.geonames.org/703716/" xr:uid="{0E66884D-1D5B-C24C-AEDF-DA73E0D5AC3E}"/>
    <hyperlink ref="D410" r:id="rId618" display="https://www.geonames.org/703716/" xr:uid="{37078AF3-90EE-884E-B8EC-53551FE05FEF}"/>
    <hyperlink ref="C732" r:id="rId619" display="https://www.geonames.org/704540/" xr:uid="{C2033151-C5F6-8E4A-A89D-A0E51260B871}"/>
    <hyperlink ref="D732" r:id="rId620" display="https://www.geonames.org/704540/" xr:uid="{64F8F7CE-4E90-F745-BC3D-64E7F4BE7D5B}"/>
    <hyperlink ref="C777" r:id="rId621" display="https://www.geonames.org/698592/" xr:uid="{7D8AD029-4627-AB47-B0B0-4B7CFC161164}"/>
    <hyperlink ref="D777" r:id="rId622" display="https://www.geonames.org/687826/" xr:uid="{825C1C11-93B8-DF4F-901F-F114530E51C6}"/>
    <hyperlink ref="C346" r:id="rId623" display="https://www.geonames.org/691825/" xr:uid="{80E45FAA-9694-B74E-A16B-44C17E97EAD0}"/>
    <hyperlink ref="D346" r:id="rId624" display="https://www.geonames.org/691825/" xr:uid="{10069726-DEF5-AF44-85B9-50A073D35921}"/>
    <hyperlink ref="C305" r:id="rId625" display="https://www.geonames.org/767814/" xr:uid="{BA7BDC7B-C8D2-A54E-B767-71C21D8EC13C}"/>
    <hyperlink ref="D305" r:id="rId626" display="https://www.geonames.org/767814/" xr:uid="{8511AAB0-6788-4D48-B6CF-2D1EAFF79332}"/>
    <hyperlink ref="C307" r:id="rId627" display="https://www.geonames.org/767814/" xr:uid="{FAEFCC2A-5EF5-8644-938F-A909574A758A}"/>
    <hyperlink ref="D307" r:id="rId628" display="https://www.geonames.org/767814/" xr:uid="{00E84E2F-4A8F-624F-834E-46605D9D06BB}"/>
    <hyperlink ref="C309" r:id="rId629" display="https://www.geonames.org/766137/" xr:uid="{124036E6-17A7-3D4C-8157-6F285BCEDDC2}"/>
    <hyperlink ref="D309" r:id="rId630" display="https://www.geonames.org/766137/" xr:uid="{9BABC6CB-BADC-7146-AF4A-2F4F075AC577}"/>
    <hyperlink ref="C310" r:id="rId631" display="https://www.geonames.org/753004/" xr:uid="{2DB0E798-3813-B84E-84EA-7316F4DE82A9}"/>
    <hyperlink ref="D310" r:id="rId632" display="https://www.geonames.org/753004/" xr:uid="{60CB04BD-4AE2-0342-A511-7A1189B35C3A}"/>
    <hyperlink ref="C314" r:id="rId633" display="https://www.geonames.org/767814/" xr:uid="{2A4E0BCA-126B-A14C-8053-BE5BE794A997}"/>
    <hyperlink ref="D314" r:id="rId634" display="https://www.geonames.org/767814/" xr:uid="{D0D10C77-A361-D240-910F-9243FFE4013B}"/>
    <hyperlink ref="C316" r:id="rId635" display="https://www.geonames.org/771498/" xr:uid="{BBEC412E-D3C3-8A47-B32B-91EC8B9D5E01}"/>
    <hyperlink ref="D316" r:id="rId636" display="https://www.geonames.org/771498/" xr:uid="{DF5BFD00-ADDD-904F-90C5-2FED81BA4AA7}"/>
    <hyperlink ref="C330" r:id="rId637" display="https://www.geonames.org/756438/" xr:uid="{B270A12E-C220-BC44-B713-1A3A3E394DD1}"/>
    <hyperlink ref="D330" r:id="rId638" display="https://www.geonames.org/756438/" xr:uid="{C4C2875D-B4A6-454C-A84D-93E0AD1EDCA7}"/>
    <hyperlink ref="C343" r:id="rId639" display="https://www.geonames.org/757029/" xr:uid="{D7D39DB1-FE04-C640-B1B0-2B7A16BDDBDC}"/>
    <hyperlink ref="D343" r:id="rId640" display="https://www.geonames.org/757029/" xr:uid="{A6B3EB61-4A62-3444-9AE4-2E7C33C32775}"/>
    <hyperlink ref="C240" r:id="rId641" display="https://www.geonames.org/770966/" xr:uid="{1FE5C35D-377F-8540-80F8-EA543649C134}"/>
    <hyperlink ref="D240" r:id="rId642" display="https://www.geonames.org/770966/" xr:uid="{6354E279-A58A-744E-9FB2-672EBB126ED0}"/>
    <hyperlink ref="C414" r:id="rId643" display="https://www.geonames.org/756438/" xr:uid="{5CB18F98-44AF-294F-B144-B0480245BC80}"/>
    <hyperlink ref="D414" r:id="rId644" display="https://www.geonames.org/756438/" xr:uid="{BE80186F-8537-BF4F-828B-FC4753906EC6}"/>
    <hyperlink ref="C419" r:id="rId645" display="https://www.geonames.org/770966/" xr:uid="{18524426-2CE9-A94F-AAB0-16C9CF773FCD}"/>
    <hyperlink ref="D419" r:id="rId646" display="https://www.geonames.org/770966/" xr:uid="{9E10C370-46A3-534E-A218-18E811E5A8AD}"/>
    <hyperlink ref="C418" r:id="rId647" display="https://www.geonames.org/770966/" xr:uid="{A344A941-5531-D144-BCCF-D960240FE3E4}"/>
    <hyperlink ref="D418" r:id="rId648" display="https://www.geonames.org/770966/" xr:uid="{ED435459-E43F-014E-9A26-7FE4FEFCC201}"/>
    <hyperlink ref="C429" r:id="rId649" display="https://www.geonames.org/710554/" xr:uid="{08BDB020-8F99-7046-8CBA-72F5FE5C48BF}"/>
    <hyperlink ref="D429" r:id="rId650" display="https://www.geonames.org/710554/" xr:uid="{045261F6-99FC-CC45-AE79-896F68B8026F}"/>
    <hyperlink ref="C485" r:id="rId651" display="https://www.geonames.org/710554/" xr:uid="{73C7F787-87B6-F64D-9562-98E7287B50DA}"/>
    <hyperlink ref="D485" r:id="rId652" display="https://www.geonames.org/710554/" xr:uid="{DEEDEC9B-A0A6-0445-AE38-D1E357FBC0AE}"/>
    <hyperlink ref="C706" r:id="rId653" display="https://www.geonames.org/3094802/" xr:uid="{26901201-3DB8-514B-9394-6931E4BF14D0}"/>
    <hyperlink ref="D706" r:id="rId654" display="https://www.geonames.org/3094802/" xr:uid="{46FF76A0-5B7F-714D-8B09-315CE79C1DA6}"/>
    <hyperlink ref="C417" r:id="rId655" display="https://www.geonames.org/710554/" xr:uid="{07BEF0DD-92CA-414A-BC1B-030FDFEEC5D4}"/>
    <hyperlink ref="C646" r:id="rId656" display="https://www.geonames.org/11313988/" xr:uid="{B4C8FE43-9F18-D447-90D2-664E0075B7A4}"/>
    <hyperlink ref="D646" r:id="rId657" display="https://www.geonames.org/11287952/" xr:uid="{8EEE3AFB-F0BA-BE40-8FB9-11ED69EBD94D}"/>
    <hyperlink ref="C436" r:id="rId658" display="https://www.geonames.org/764189/" xr:uid="{DE37E05A-D2A6-0F48-AE26-391DCE7403B9}"/>
    <hyperlink ref="D436" r:id="rId659" display="https://www.geonames.org/763829/" xr:uid="{BCBD1C0B-F67B-1641-BD44-8E3EDE78A58C}"/>
    <hyperlink ref="C415" r:id="rId660" display="https://www.geonames.org/756438/" xr:uid="{2C5815A8-CAB7-704A-B20D-7BF93F920A9A}"/>
    <hyperlink ref="D415" r:id="rId661" display="https://www.geonames.org/756438/" xr:uid="{B316C13E-A84A-BF4A-B2C5-6E4A086B0B07}"/>
    <hyperlink ref="C1167" r:id="rId662" display="https://www.geonames.org/3065824/" xr:uid="{F90F47E6-BDBE-824C-9035-DA6B710B1503}"/>
    <hyperlink ref="D1167" r:id="rId663" display="https://www.geonames.org/3065824/" xr:uid="{EAB8553F-1893-9640-856E-B96A6C7C70F3}"/>
    <hyperlink ref="C223" r:id="rId664" display="https://www.geonames.org/703716/" xr:uid="{B8525DD5-EB4D-8441-9382-792218B8F634}"/>
    <hyperlink ref="C226" r:id="rId665" display="https://www.geonames.org/690155/" xr:uid="{3DCAC020-7721-5740-87B8-703CD087E172}"/>
    <hyperlink ref="D226" r:id="rId666" display="https://www.geonames.org/690155/" xr:uid="{E5D16B5B-197F-CB47-8886-66A75937420E}"/>
    <hyperlink ref="C736" r:id="rId667" display="https://www.geonames.org/690155/" xr:uid="{EFA94096-3D97-1545-BACE-CFBD15F4A704}"/>
    <hyperlink ref="D736" r:id="rId668" display="https://www.geonames.org/690155/" xr:uid="{A2AF73DF-FCB8-8944-ABF5-8CA8C8A3C742}"/>
    <hyperlink ref="C838" r:id="rId669" display="https://www.geonames.org/3096401/" xr:uid="{CD88504B-426C-6743-8517-4AE4EC7207DC}"/>
    <hyperlink ref="D838" r:id="rId670" display="https://www.geonames.org/3094802/" xr:uid="{2F6B28E5-3AA9-1840-9E4E-AE602F2F709B}"/>
    <hyperlink ref="C553" r:id="rId671" display="https://www.geonames.org/763545/" xr:uid="{2AF6AB87-4165-954C-9C91-853AB7526400}"/>
    <hyperlink ref="D553" r:id="rId672" display="https://www.geonames.org/763545/" xr:uid="{F0D48BC7-FA9A-0648-8EA2-99F6820EA1D7}"/>
    <hyperlink ref="C480" r:id="rId673" display="https://www.geonames.org/710554/" xr:uid="{6D975242-C55D-1848-8547-56B3F260D634}"/>
    <hyperlink ref="D480" r:id="rId674" display="https://www.geonames.org/710554/" xr:uid="{A412A5C2-E8EB-4F4E-A024-5DE881147582}"/>
    <hyperlink ref="C598" r:id="rId675" display="https://www.geonames.org/707471/" xr:uid="{E3CC6E4D-D895-7D43-B0B2-16685F635BFC}"/>
    <hyperlink ref="C605" r:id="rId676" display="https://www.geonames.org/774504/" xr:uid="{D36D0C8C-A950-F646-8DDB-0A9F406BB959}"/>
    <hyperlink ref="C596" r:id="rId677" display="https://www.geonames.org/2950159/" xr:uid="{236E86FD-908A-4948-A6CF-469DAE38BD89}"/>
    <hyperlink ref="C595" r:id="rId678" display="Z FULL Service Records/BALDIS:BARTLEL, Victor (1799-1805:6) %5bConvert%3f%5d/Wodzisław, Poland" xr:uid="{1234314E-6F71-2843-9CAE-8F3647E2A301}"/>
    <hyperlink ref="C594" r:id="rId679" display="https://www.geonames.org/3186886/" xr:uid="{4664AFA4-0381-B240-9089-858ECC8582AC}"/>
    <hyperlink ref="C547" r:id="rId680" display="https://www.geonames.org/771787/" xr:uid="{D7A9A848-C512-8A45-9774-EE39B712E79B}"/>
    <hyperlink ref="C365" r:id="rId681" display="https://www.geonames.org/687093/" xr:uid="{9139437B-4D10-2C4D-87B5-E0B9DB161FAF}"/>
    <hyperlink ref="D365" r:id="rId682" display="https://www.geonames.org/687093/" xr:uid="{80783314-8BF3-5246-A574-8DCDD38A9AAD}"/>
    <hyperlink ref="C342" r:id="rId683" display="https://www.geonames.org/756377/" xr:uid="{F2DAE9C2-656C-B94E-84C3-F8F11DEAE8EA}"/>
    <hyperlink ref="D342" r:id="rId684" display="https://www.geonames.org/756377/" xr:uid="{A683262D-5F76-5F4A-990B-773034AE3789}"/>
    <hyperlink ref="C666" r:id="rId685" display="https://www.geonames.org/687093/" xr:uid="{198AD124-E565-774E-8862-C5688179911E}"/>
    <hyperlink ref="D666" r:id="rId686" display="https://www.geonames.org/687093/" xr:uid="{A44708A1-D002-944C-8BB2-92946F14E395}"/>
    <hyperlink ref="C551" r:id="rId687" display="https://www.geonames.org/763545/" xr:uid="{1CC67235-7212-A64F-B7FC-B160959AF7BE}"/>
    <hyperlink ref="D551" r:id="rId688" display="https://www.geonames.org/763545/" xr:uid="{938FFDE7-CCC6-D94F-A28F-C88504DD7F93}"/>
    <hyperlink ref="C789" r:id="rId689" display="https://www.geonames.org/711348/" xr:uid="{8E45ADF1-3EA6-6042-8046-96CD693FB631}"/>
    <hyperlink ref="D789" r:id="rId690" display="https://www.geonames.org/711348/" xr:uid="{60B13A5C-961B-B543-A7D5-CF16EADB93E8}"/>
    <hyperlink ref="C708" r:id="rId691" display="https://www.geonames.org/687093/" xr:uid="{C5C8C384-F4B6-3344-9973-2471A0F21711}"/>
    <hyperlink ref="D708" r:id="rId692" display="https://www.geonames.org/687093/" xr:uid="{15AAEECF-CFF6-B74C-A4CF-A6AA7F9F274D}"/>
    <hyperlink ref="C558" r:id="rId693" display="https://www.geonames.org/772067/" xr:uid="{EFBFF667-4F16-9D42-AB09-202857A3DDD9}"/>
    <hyperlink ref="D558" r:id="rId694" display="https://www.geonames.org/760657/" xr:uid="{F2AC8A7C-4437-3249-BEDD-BF2685737AF2}"/>
    <hyperlink ref="C333" r:id="rId695" display="https://www.geonames.org/710554/" xr:uid="{DFAC393E-EA36-6443-BC8C-EF355454B4B4}"/>
    <hyperlink ref="C535" r:id="rId696" display="https://www.geonames.org/3096401/" xr:uid="{019819B5-480E-A846-9E51-8167E31F73EA}"/>
    <hyperlink ref="C634" r:id="rId697" display="https://www.geonames.org/699076/" xr:uid="{359AF814-A99C-0544-8E69-98AFAFE5B197}"/>
    <hyperlink ref="C358" r:id="rId698" display="https://www.geonames.org/753054/" xr:uid="{CF25645B-B2F3-4042-B7AF-C3AABFD837A1}"/>
    <hyperlink ref="D358" r:id="rId699" display="https://www.geonames.org/753054/" xr:uid="{C339E560-45DC-8942-88FB-E24493BCF7C4}"/>
    <hyperlink ref="C552" r:id="rId700" display="https://www.geonames.org/763545/" xr:uid="{BB772FB4-A40F-714C-86AE-DE37F48CA66F}"/>
    <hyperlink ref="C559" r:id="rId701" display="https://www.geonames.org/762753/" xr:uid="{76BF52B7-6818-3C4E-BB63-1E8BCE9D5BE1}"/>
    <hyperlink ref="D559" r:id="rId702" display="https://www.geonames.org/762753/" xr:uid="{6BE775F0-E53C-6D4A-BDBA-6EC779C005DD}"/>
    <hyperlink ref="C341" r:id="rId703" display="https://www.geonames.org/703716/" xr:uid="{E62E778D-7F3C-0143-B84B-5AB98008ADA0}"/>
    <hyperlink ref="D341" r:id="rId704" display="https://www.geonames.org/703716/" xr:uid="{030B523A-9B10-9849-9AE3-113EEC488658}"/>
    <hyperlink ref="C344" r:id="rId705" display="https://www.geonames.org/693301/" xr:uid="{1967437B-2749-4A44-8798-3B226252CD5E}"/>
    <hyperlink ref="D344" r:id="rId706" display="https://www.geonames.org/693301/" xr:uid="{E13DC454-85FD-2140-8383-F05293AE4046}"/>
    <hyperlink ref="C586" r:id="rId707" display="https://www.geonames.org/762059/" xr:uid="{C666E641-6C60-DE4D-B143-DBBCBEA0FBFD}"/>
    <hyperlink ref="D586" r:id="rId708" display="https://www.geonames.org/762059/" xr:uid="{1883F53C-7DB4-1247-B6A0-CEA9D3B68115}"/>
    <hyperlink ref="C608" r:id="rId709" display="https://www.geonames.org/3083410/" xr:uid="{145C23E3-FB50-F248-9F0E-402A395E5BFF}"/>
    <hyperlink ref="D608" r:id="rId710" display="https://www.geonames.org/3083410/" xr:uid="{6A101B70-E84D-F14C-90FB-41413CAC8888}"/>
    <hyperlink ref="C286" r:id="rId711" display="https://www.geonames.org/760987/" xr:uid="{E25A700E-6262-DA44-9B67-F42BE1F21E96}"/>
    <hyperlink ref="D286" r:id="rId712" display="https://www.geonames.org/760987/" xr:uid="{1B52FE56-4C76-2740-A328-0EC25C9B673A}"/>
    <hyperlink ref="C554" r:id="rId713" display="https://www.geonames.org/763545/" xr:uid="{BE7B6FF8-7364-8440-87A7-40FFA3975215}"/>
    <hyperlink ref="D554" r:id="rId714" display="https://www.geonames.org/763545/" xr:uid="{46B3B67D-4DD2-5E49-8113-0DD7F7EA2C7D}"/>
    <hyperlink ref="C253" r:id="rId715" display="https://www.geonames.org/702550+I12:J13" xr:uid="{E27C8E50-5A4E-D341-977C-85A19A9DBB60}"/>
    <hyperlink ref="C475" r:id="rId716" display="https://www.geonames.org/687093/" xr:uid="{269C5D6E-538A-FD4E-8764-1FA24DDA81D2}"/>
    <hyperlink ref="D475" r:id="rId717" display="https://www.geonames.org/687093/" xr:uid="{A78C2B76-B4F9-1742-BCF2-1D61D93334A6}"/>
    <hyperlink ref="C228" r:id="rId718" display="https://www.geonames.org/693301/" xr:uid="{ED2A4D5C-EFAE-224B-982E-9FFB392B4DE6}"/>
    <hyperlink ref="D228" r:id="rId719" display="https://www.geonames.org/693301/" xr:uid="{D1218873-416A-0248-9EA1-6CD039FD2D05}"/>
    <hyperlink ref="C775" r:id="rId720" display="https://www.geonames.org/691825/" xr:uid="{0D8E208D-AD1E-D944-8043-484C4B1A3B42}"/>
    <hyperlink ref="D775" r:id="rId721" display="https://www.geonames.org/691825/" xr:uid="{07E0FA3D-435A-5E41-8539-72B7D7A366E7}"/>
    <hyperlink ref="C1196" r:id="rId722" display="https://www.geonames.org/690814/" xr:uid="{86E2E0D6-47D4-764E-ACB8-C3345C1A68E2}"/>
    <hyperlink ref="D1196" r:id="rId723" display="https://www.geonames.org/690814/" xr:uid="{685E8115-961A-5342-8610-A8A33D1E2E9D}"/>
    <hyperlink ref="C1078" r:id="rId724" display="https://www.geonames.org/760343/" xr:uid="{84FA6C65-5B3C-AF4F-AABA-A3A06358F403}"/>
    <hyperlink ref="C1151" r:id="rId725" display="https://www.geonames.org/705265/" xr:uid="{B01667F7-187F-1944-889C-A19B84010D9A}"/>
    <hyperlink ref="D1151" r:id="rId726" display="https://www.geonames.org/705265/" xr:uid="{31100098-CFAC-F546-8694-9D9EA84FC705}"/>
    <hyperlink ref="C1176" r:id="rId727" display="https://www.geonames.org/753866/" xr:uid="{52C0C606-F847-504C-9E2E-64116921403A}"/>
    <hyperlink ref="C1262" r:id="rId728" display="https://www.geonames.org/759301/" xr:uid="{B93A8071-BF8E-C04B-A9DA-9FB1AB13501E}"/>
    <hyperlink ref="C1065" r:id="rId729" display="https://www.geonames.org/772662/" xr:uid="{5C1E4457-0F2D-564A-A581-965F295BE8BB}"/>
    <hyperlink ref="D1065" r:id="rId730" display="https://www.geonames.org/772662/" xr:uid="{A955DFEC-2A82-2A45-AC61-57B3896EF95E}"/>
    <hyperlink ref="C1156" r:id="rId731" display="https://www.geonames.org/758633/" xr:uid="{93F8E301-1C7D-8846-8D32-A1D76B3C042F}"/>
    <hyperlink ref="C585" r:id="rId732" display="https://www.geonames.org/768067/" xr:uid="{086209E4-E772-9849-B171-3AC95655E982}"/>
    <hyperlink ref="D585" r:id="rId733" display="https://www.geonames.org/768067/" xr:uid="{ECCFD951-0365-C541-93E7-8C0A5DD353B6}"/>
    <hyperlink ref="C490" r:id="rId734" display="https://www.geonames.org/3078910/" xr:uid="{3707B843-A34C-F645-94E7-63503230C3BD}"/>
    <hyperlink ref="D490" r:id="rId735" display="https://www.geonames.org/3078910/" xr:uid="{F2F31E37-39FE-224B-A914-7DDAF02078F9}"/>
    <hyperlink ref="C262" r:id="rId736" display="https://www.geonames.org/3099434/" xr:uid="{7B020302-9317-9546-8862-7F2B3222EB22}"/>
    <hyperlink ref="C268" r:id="rId737" display="https://www.geonames.org/763121/" xr:uid="{82F6C0AA-E646-F843-96EF-46728413BC91}"/>
    <hyperlink ref="D268" r:id="rId738" display="https://www.geonames.org/763121/" xr:uid="{3C50B477-C453-724F-AF92-56298EFA3626}"/>
    <hyperlink ref="C272" r:id="rId739" display="https://www.geonames.org/763121/" xr:uid="{D17039A1-80B2-1D43-9BCA-B9B1B427FF2A}"/>
    <hyperlink ref="D272" r:id="rId740" display="https://www.geonames.org/763121/" xr:uid="{7F3C7341-8C47-1440-A0F7-8E6CBD7F6B39}"/>
    <hyperlink ref="C264" r:id="rId741" display="https://www.geonames.org/770001/" xr:uid="{1F457C93-CE9A-A34C-9166-367A9AEE71FC}"/>
    <hyperlink ref="D264" r:id="rId742" display="https://www.geonames.org/770001/" xr:uid="{C74EF967-0C3A-0A4E-AA27-DA98CF9568BE}"/>
    <hyperlink ref="C281" r:id="rId743" display="https://www.geonames.org/762774/" xr:uid="{ACE4F6AB-0E84-1C46-9D46-D57E1043C707}"/>
    <hyperlink ref="D281" r:id="rId744" display="https://www.geonames.org/762774/" xr:uid="{91EF1241-50A8-D447-9752-E1DFC053E55B}"/>
    <hyperlink ref="C282" r:id="rId745" display="https://www.geonames.org/7532988/" xr:uid="{5771DB9A-FEC3-E447-ACAD-95E7FDCB73E2}"/>
    <hyperlink ref="D282" r:id="rId746" display="https://www.geonames.org/7532988/" xr:uid="{E76A9B93-C06D-ED4E-BD0A-D4F08203B2EE}"/>
    <hyperlink ref="C278" r:id="rId747" display="https://www.geonames.org/770772/" xr:uid="{2233DA4A-4792-364D-AD91-9045942FFFD2}"/>
    <hyperlink ref="D278" r:id="rId748" display="https://www.geonames.org/770772/" xr:uid="{F4BBBED0-A690-DB45-A6F2-C0B44187AF49}"/>
    <hyperlink ref="C385" r:id="rId749" display="https://www.geonames.org/768859/" xr:uid="{46A58F7D-7847-CE41-AD09-F8787C74F3B2}"/>
    <hyperlink ref="D385" r:id="rId750" display="https://www.geonames.org/768859/" xr:uid="{3749F86A-2953-ED43-A009-1C25D6966D2D}"/>
    <hyperlink ref="C383" r:id="rId751" display="https://www.geonames.org/764530/" xr:uid="{721DEB61-54C8-A544-97EA-63F52FA068DD}"/>
    <hyperlink ref="D383" r:id="rId752" display="https://www.geonames.org/764530/" xr:uid="{A8D82A48-B054-0047-86C4-E1B14BA6549E}"/>
    <hyperlink ref="C380" r:id="rId753" display="https://www.geonames.org/769059/" xr:uid="{219DD6E2-60D9-D14D-ACCD-D2D74B276356}"/>
    <hyperlink ref="C386" r:id="rId754" display="https://www.geonames.org/763121/" xr:uid="{0961E9CC-9BA3-2D47-96F4-C24526812AE6}"/>
    <hyperlink ref="D386" r:id="rId755" display="https://www.geonames.org/763121/" xr:uid="{FF44CE82-CF72-2C40-8359-03B1F1B53EDB}"/>
    <hyperlink ref="D388" r:id="rId756" display="https://www.geonames.org/762774/" xr:uid="{88659280-13AA-7F45-A327-AB61BDEE868C}"/>
    <hyperlink ref="C388" r:id="rId757" display="https://www.geonames.org/762774/" xr:uid="{B2A83787-09D7-1545-845C-430E77707754}"/>
    <hyperlink ref="C393" r:id="rId758" display="https://www.geonames.org/763121/" xr:uid="{903D235E-2A31-2148-B65F-790FDF7B867B}"/>
    <hyperlink ref="D393" r:id="rId759" display="https://www.geonames.org/763121/" xr:uid="{A8EA4671-7B33-F14B-8A22-513A36E50789}"/>
    <hyperlink ref="D382" r:id="rId760" display="https://www.geonames.org/762774/" xr:uid="{011CA01B-CB9C-3444-9C64-98166CB67B2D}"/>
    <hyperlink ref="C382" r:id="rId761" display="https://www.geonames.org/762774/" xr:uid="{664C6349-4404-0F46-9A8C-BA143993EA4D}"/>
    <hyperlink ref="C1268" r:id="rId762" display="https://www.geonames.org/3079064/" xr:uid="{D5125D9E-A3F4-4D45-9271-8EAAB5910953}"/>
    <hyperlink ref="D1268" r:id="rId763" display="https://www.geonames.org/3077884" xr:uid="{9E3C7870-FB66-8542-8903-4803BF4A28D8}"/>
    <hyperlink ref="C613" r:id="rId764" display="https://www.geonames.org/3061967/" xr:uid="{8DB98507-9DB3-FB43-ACBE-DB786648921C}"/>
    <hyperlink ref="D613" r:id="rId765" display="https://www.geonames.org/3077596/" xr:uid="{40C0A49B-2384-ED4E-9DA8-A1CCB9D353B7}"/>
    <hyperlink ref="C614" r:id="rId766" display="https://www.geonames.org/702550+I12:J13" xr:uid="{BD45FC49-E901-C440-B30F-24B29821CC89}"/>
    <hyperlink ref="D614" r:id="rId767" display="https://www.geonames.org/702550+I12:J13" xr:uid="{D75F6914-A858-1F47-B264-7359DB7BAC4F}"/>
    <hyperlink ref="C259" r:id="rId768" display="https://www.geonames.org/3074614/" xr:uid="{9CD392D1-53F2-8E44-9905-D2195DB07E96}"/>
    <hyperlink ref="D259" r:id="rId769" display="https://www.geonames.org/3074614/" xr:uid="{98E8F90D-6129-CF4A-8077-F8082ACE1283}"/>
    <hyperlink ref="C675" r:id="rId770" display="https://www.geonames.org/3066738/" xr:uid="{A3B37E02-6CC8-6848-AE99-BD5014C3D9DF}"/>
    <hyperlink ref="D675" r:id="rId771" display="https://www.geonames.org/3063193/" xr:uid="{74186C03-10B2-FE44-9DD9-19B3848D19AE}"/>
    <hyperlink ref="C372" r:id="rId772" display="https://www.geonames.org/3057534/" xr:uid="{79004A12-8070-D542-8A23-4CCE84B2091B}"/>
    <hyperlink ref="D372" r:id="rId773" display="https://www.geonames.org/3057534/" xr:uid="{6CA69E06-8535-4741-91F7-2DE8D712A132}"/>
    <hyperlink ref="C683" r:id="rId774" display="https://www.geonames.org/770966/" xr:uid="{EF46E641-0CBB-284C-8607-0B3F08F5875A}"/>
    <hyperlink ref="D683" r:id="rId775" display="https://www.geonames.org/770966/" xr:uid="{538BE7AC-2A5D-6345-8901-157D3DA40D02}"/>
    <hyperlink ref="C452" r:id="rId776" display="https://www.geonames.org/3072649/" xr:uid="{88780EEB-2044-0F48-BB8A-38849151D756}"/>
    <hyperlink ref="C489" r:id="rId777" display="https://www.geonames.org/3074241/" xr:uid="{F92436FA-5511-F244-974B-7E848FD0B96D}"/>
    <hyperlink ref="D489" r:id="rId778" display="https://www.geonames.org/3063193/" xr:uid="{D17A5C51-53AA-164C-87E7-676DF270A6D1}"/>
    <hyperlink ref="C1457" r:id="rId779" display="https://www.geonames.org/759734/" xr:uid="{11EAEDF1-9CC1-BD4C-BF24-CBD962BE623B}"/>
    <hyperlink ref="C761" r:id="rId780" display="https://www.geonames.org/768805/" xr:uid="{B0A64B03-EE5A-DD4E-9DD7-3A2C2BD8FA48}"/>
    <hyperlink ref="C495" r:id="rId781" display="https://www.geonames.org/708646/" xr:uid="{075EEFBA-B088-E54A-AFE8-260687408B1D}"/>
    <hyperlink ref="C822" r:id="rId782" display="https://www.geonames.org/2761369/" xr:uid="{36F14784-209B-5843-B101-F5C1E21190C9}"/>
    <hyperlink ref="C763" r:id="rId783" display="https://www.geonames.org/760769/" xr:uid="{EA5C659E-0E26-1149-AE4C-359FDE55F2B3}"/>
    <hyperlink ref="C420" r:id="rId784" display="https://www.geonames.org/772772/" xr:uid="{F1A1FBA5-A9E6-924C-A7B7-2AFE09D42758}"/>
    <hyperlink ref="C449" r:id="rId785" display="https://www.geonames.org/11921122/" xr:uid="{758C7A6B-8FDE-144F-9D24-2DC918A1114A}"/>
    <hyperlink ref="D449" r:id="rId786" display="https://www.geonames.org/3062432/" xr:uid="{76C1D821-6DAE-B34F-8C48-28A060B97385}"/>
    <hyperlink ref="C74" r:id="rId787" display="https://www.geonames.org/761584/" xr:uid="{14CC92F0-FCB6-1C4C-87E3-7F02937E8430}"/>
    <hyperlink ref="C75" r:id="rId788" display="https://www.geonames.org/758693/" xr:uid="{9085B691-C971-4545-AA0B-24BA3338F731}"/>
    <hyperlink ref="D493" r:id="rId789" display="https://www.geonames.org/3078910/" xr:uid="{FD51B873-D734-FC4B-AC93-731221BD794C}"/>
    <hyperlink ref="C862" r:id="rId790" display="https://www.geonames.org/712374/" xr:uid="{7DFA3B69-AABE-E145-88C5-75AD6C6AB5C8}"/>
    <hyperlink ref="D862" r:id="rId791" display="https://www.geonames.org/712374/" xr:uid="{72D5C8C7-9660-C44D-BD43-37BF05B27508}"/>
    <hyperlink ref="C991" r:id="rId792" display="https://www.geonames.org/711134/" xr:uid="{0D8CFD88-B48D-9E40-9306-E816CEE7BE0B}"/>
    <hyperlink ref="D991" r:id="rId793" display="https://www.geonames.org/711134/" xr:uid="{28314756-5F77-C14E-B7D0-1F85386B7B8A}"/>
    <hyperlink ref="C71" r:id="rId794" display="https://www.geonames.org/767814/" xr:uid="{610AF583-1A9E-2547-A5FC-E43AD48B434F}"/>
    <hyperlink ref="C72" r:id="rId795" display="https://www.geonames.org/766692" xr:uid="{E825C21A-1F2B-864D-B067-E70B0A857CD9}"/>
    <hyperlink ref="C869" r:id="rId796" display="https://www.geonames.org/3067421/" xr:uid="{A4C66C96-9E64-8249-B058-225E8F408227}"/>
    <hyperlink ref="D869" r:id="rId797" display="https://www.geonames.org/3067421/" xr:uid="{875C6106-425D-1C49-B259-0212857269F2}"/>
    <hyperlink ref="C54" r:id="rId798" display="https://www.geonames.org/3067696/" xr:uid="{72BD769F-E2CB-CC44-8FB9-FBDB9BE11FD0}"/>
    <hyperlink ref="C311" r:id="rId799" display="https://www.geonames.org/769359/" xr:uid="{574483E9-E9D1-D447-845B-7C91D271EA51}"/>
    <hyperlink ref="D311" r:id="rId800" display="https://www.geonames.org/769359/" xr:uid="{314C2AEC-9829-F54B-AD1C-4F7252063A60}"/>
    <hyperlink ref="C315" r:id="rId801" display="https://www.geonames.org/774158/" xr:uid="{93BE9238-005C-0B41-AAC3-13FA7C251B6D}"/>
    <hyperlink ref="D315" r:id="rId802" display="https://www.geonames.org/774158/" xr:uid="{3E8B524D-B410-8840-BF0F-BAF35A80F596}"/>
    <hyperlink ref="C901" r:id="rId803" display="https://www.geonames.org/712374/" xr:uid="{AC28A0D1-FB3D-D14A-9B1C-E5A7D3FF76DE}"/>
    <hyperlink ref="D901" r:id="rId804" display="https://www.geonames.org/712374/" xr:uid="{6B83EB1C-F8B9-F141-BAA5-7C9FC7E8E2FC}"/>
    <hyperlink ref="C975" r:id="rId805" display="https://www.geonames.org/3075606/" xr:uid="{480CC117-041B-F444-8FEC-08227D446C79}"/>
    <hyperlink ref="C911" r:id="rId806" display="https://www.geonames.org/711134/" xr:uid="{4D95D43F-AC11-5040-B8DD-F201B7B39467}"/>
    <hyperlink ref="D911" r:id="rId807" display="https://www.geonames.org/711134/" xr:uid="{C8E171F9-67BE-1D40-8419-EFC8A2EDEAEF}"/>
    <hyperlink ref="C995" r:id="rId808" display="https://www.geonames.org/712374/" xr:uid="{16FC851A-CE2F-674B-A10E-AEE46A45090C}"/>
    <hyperlink ref="D995" r:id="rId809" display="https://www.geonames.org/712374/" xr:uid="{9C60AB99-6493-7246-8F9B-5D2A13472EB6}"/>
    <hyperlink ref="C1002" r:id="rId810" display="https://www.geonames.org/696966/" xr:uid="{508949F4-9C4C-414C-BE5C-5A0B20A7799E}"/>
    <hyperlink ref="D1002" r:id="rId811" display="https://www.geonames.org/696966/" xr:uid="{94B13610-7D1B-1C43-907E-F0AD48B1E231}"/>
    <hyperlink ref="C1001" r:id="rId812" display="https://www.geonames.org/696966/" xr:uid="{E7CA16F4-5DC6-E944-A20B-904FD36262B6}"/>
    <hyperlink ref="D1001" r:id="rId813" display="https://www.geonames.org/696966/" xr:uid="{55A6E720-5FE7-014D-9525-517DAB3AAD21}"/>
    <hyperlink ref="D896" r:id="rId814" display="https://www.geonames.org/712374/" xr:uid="{5C6D3907-1DC4-9F43-87AE-5AA780AC819A}"/>
    <hyperlink ref="C896" r:id="rId815" display="https://www.geonames.org/712374/" xr:uid="{22B6AF41-3A54-8D45-B90C-5C3A9AA22F87}"/>
    <hyperlink ref="C908" r:id="rId816" display="https://www.geonames.org/712374/" xr:uid="{1739C89F-A73A-7646-A990-7382490524C3}"/>
    <hyperlink ref="D908" r:id="rId817" display="https://www.geonames.org/712374/" xr:uid="{ABE256FC-604F-144E-BD36-711F2F80A8F1}"/>
    <hyperlink ref="C913" r:id="rId818" display="https://www.geonames.org/712374/" xr:uid="{CB15D9AE-774C-3F43-AF57-45BD3AE3AB38}"/>
    <hyperlink ref="D913" r:id="rId819" display="https://www.geonames.org/712374/" xr:uid="{3BCE2031-1FE3-D243-96AC-E8F076BB6238}"/>
    <hyperlink ref="C972" r:id="rId820" display="https://www.google.com/maps?ll=49.583618,17.23172&amp;z=15&amp;t=h&amp;hl=en-US&amp;gl=US&amp;mapclient=apiv3" xr:uid="{F90A3FD9-26CD-DD4F-8CA6-E64DE3B51BA0}"/>
    <hyperlink ref="D972" r:id="rId821" display="https://www.geonames.org/3069011/" xr:uid="{BA2F7C48-0600-264B-A63D-BE72C8F63EF0}"/>
    <hyperlink ref="C930" r:id="rId822" display="https://www.geonames.org/3078910/" xr:uid="{DD34B7E6-E1AC-3348-8AF3-8D1D81472CB5}"/>
    <hyperlink ref="D930" r:id="rId823" display="https://www.geonames.org/3078910/" xr:uid="{B8999A51-3DC2-204B-A9F8-A1224A9F81C2}"/>
    <hyperlink ref="C888" r:id="rId824" display="https://www.geonames.org/711134/" xr:uid="{AF38247B-4771-6647-925D-13B5E49CD466}"/>
    <hyperlink ref="D888" r:id="rId825" display="https://www.geonames.org/711134/" xr:uid="{ED203587-3D1D-7F44-AEE3-4E22DB727963}"/>
    <hyperlink ref="D914" r:id="rId826" display="https://www.geonames.org/691714/" xr:uid="{AFE21347-8DBA-D040-A52C-7118D5A5015C}"/>
    <hyperlink ref="C914" r:id="rId827" display="https://www.geonames.org/691714/" xr:uid="{C43CFF36-8511-7E4B-87DC-98D30A0B5748}"/>
    <hyperlink ref="C884" r:id="rId828" display="https://www.geonames.org/712374/" xr:uid="{C264F68C-93F7-F144-B49D-BD7DA99E57AE}"/>
    <hyperlink ref="D884" r:id="rId829" display="https://www.geonames.org/712374/" xr:uid="{BDC752C7-32B2-6448-BD20-12C695F18AC5}"/>
    <hyperlink ref="C407" r:id="rId830" display="https://www.geonames.org/770751/" xr:uid="{351C40BA-4DBB-6347-A5FA-E6A3CEA6EB5F}"/>
    <hyperlink ref="C389" r:id="rId831" display="https://www.geonames.org/758633/" xr:uid="{B200BB6E-DF2E-5D42-8F30-32D1C1F96618}"/>
    <hyperlink ref="D389" r:id="rId832" display="https://www.geonames.org/758633/" xr:uid="{4BE5DA8A-A519-7147-B3E4-0403BDAFA4D2}"/>
    <hyperlink ref="C698" r:id="rId833" display="https://www.geonames.org/3078910/" xr:uid="{B931B09F-53F5-7A4F-9D53-844046D37A2A}"/>
    <hyperlink ref="D698" r:id="rId834" display="https://www.geonames.org/3078910/" xr:uid="{27CBC28D-DE47-AF4C-B38E-B16980AB280A}"/>
    <hyperlink ref="C492" r:id="rId835" display="https://www.geonames.org/3067421/" xr:uid="{8581133E-7EE9-FF40-AC89-4A4814734882}"/>
    <hyperlink ref="D492" r:id="rId836" display="https://www.geonames.org/3068162/" xr:uid="{C2905FAA-7587-A447-A1D2-6DCA1607C59E}"/>
    <hyperlink ref="D499" r:id="rId837" display="https://www.geonames.org/3073407/" xr:uid="{746F4A06-C272-7745-89B8-D18FB4A0DABA}"/>
    <hyperlink ref="C499" r:id="rId838" display="https://www.geonames.org/3073407/" xr:uid="{30A7D383-BE09-BF4E-95AB-8518AE62D68D}"/>
    <hyperlink ref="C590" r:id="rId839" display="https://www.geonames.org/3078910/" xr:uid="{ACADF425-CD98-3B48-9383-9D042F0ABAB9}"/>
    <hyperlink ref="D590" r:id="rId840" display="https://www.geonames.org/3078910/" xr:uid="{CD2CDED9-2FF1-5C46-9AAE-D5A8F2F6D1E8}"/>
    <hyperlink ref="C508" r:id="rId841" display="https://www.geonames.org/3074241/" xr:uid="{D637E34F-9955-9D45-A93B-7393242E8B77}"/>
    <hyperlink ref="D508" r:id="rId842" display="https://www.geonames.org/3063193/" xr:uid="{8129BF13-1D92-EB44-AAE1-17C25CF6FC60}"/>
    <hyperlink ref="C439" r:id="rId843" display="https://www.geonames.org/711416/" xr:uid="{825A869C-F5DC-1742-914B-E947CB2F2098}"/>
    <hyperlink ref="C437" r:id="rId844" display="https://www.geonames.org/3067421/" xr:uid="{AE998317-A119-8A41-BFFB-B7F81378E7D3}"/>
    <hyperlink ref="D437" r:id="rId845" display="https://www.geonames.org/3068162/" xr:uid="{83307565-A751-CD40-9DB3-9745A063BF03}"/>
    <hyperlink ref="C213" r:id="rId846" display="https://www.geonames.org/690960/" xr:uid="{81B09207-D5C4-2B42-95EA-9783D172FFA7}"/>
    <hyperlink ref="C592" r:id="rId847" display="https://www.geonames.org/3067421/" xr:uid="{2810E01E-8B76-C54B-9116-5CBF554EC243}"/>
    <hyperlink ref="D592" r:id="rId848" display="https://www.geonames.org/3067421/" xr:uid="{AB169E9A-4921-6940-A601-51C71DBAEE32}"/>
    <hyperlink ref="C312" r:id="rId849" display="https://www.geonames.org/767814/" xr:uid="{1C940CD5-D515-5247-9909-33E2BE14B8A4}"/>
    <hyperlink ref="D312" r:id="rId850" display="https://www.geonames.org/767814/" xr:uid="{8251BF71-A3F8-DC45-A9C4-4AF9868671BA}"/>
    <hyperlink ref="C334" r:id="rId851" display="https://www.geonames.org/770966/" xr:uid="{1C68980B-786E-1C47-82F6-B655A28FC4CD}"/>
    <hyperlink ref="D334" r:id="rId852" display="https://www.geonames.org/770966/" xr:uid="{BB31B015-E84E-964A-8E6D-D1A6163C7061}"/>
    <hyperlink ref="C256" r:id="rId853" display="https://www.geonames.org/3078910/" xr:uid="{6DC30ECE-B22D-7949-A91C-E89F84A357D6}"/>
    <hyperlink ref="D256" r:id="rId854" display="https://www.geonames.org/3078910/" xr:uid="{4CD1410F-A64A-7743-8135-1EA2C9B6012C}"/>
    <hyperlink ref="C357" r:id="rId855" display="https://www.geonames.org/3078910/" xr:uid="{963555CF-5AA4-2448-8DBD-D9D1D99DCFD4}"/>
    <hyperlink ref="D357" r:id="rId856" display="https://www.geonames.org/3078910/" xr:uid="{2215506E-FF2D-0A42-94C4-C4563467282B}"/>
    <hyperlink ref="C215" r:id="rId857" display="https://www.geonames.org/3078836/" xr:uid="{9A56A12E-6850-7241-B646-402BABADA6B2}"/>
    <hyperlink ref="C304" r:id="rId858" display="https://www.geonames.org/760987/" xr:uid="{0CF2AB24-FBBF-3E40-8BBE-581478919FB1}"/>
    <hyperlink ref="D304" r:id="rId859" display="https://www.geonames.org/760987/" xr:uid="{B7D0A692-9A31-6848-86C7-687D58369797}"/>
    <hyperlink ref="C371" r:id="rId860" display="https://www.geonames.org/3096434/" xr:uid="{E4F624BB-D251-4D40-BEE4-F6603020D20E}"/>
    <hyperlink ref="C331" r:id="rId861" display="https://www.geonames.org/769910/" xr:uid="{C6DDB369-B93A-0946-902F-9A99A7DC42DD}"/>
    <hyperlink ref="D331" r:id="rId862" display="https://www.geonames.org/769910/" xr:uid="{1B5A5AA9-023B-A14E-AD40-15E512C7D95A}"/>
    <hyperlink ref="C345" r:id="rId863" display="https://www.geonames.org/757029/" xr:uid="{973AC063-EF1D-D342-9ED7-905EC8417159}"/>
    <hyperlink ref="D345" r:id="rId864" display="https://www.geonames.org/757029/" xr:uid="{8CF69974-FADA-F744-8D8D-1B0B79BBD072}"/>
    <hyperlink ref="C306" r:id="rId865" display="https://www.geonames.org/767814/" xr:uid="{A070DC90-F3A4-944B-9792-EAFFA7F247E5}"/>
    <hyperlink ref="D306" r:id="rId866" display="https://www.geonames.org/767814/" xr:uid="{D4A7A593-F6B9-8143-92DF-217502C7FA75}"/>
    <hyperlink ref="C254" r:id="rId867" display="https://www.geonames.org/7535720/" xr:uid="{29138BCA-364E-4748-BFC0-A6F1452D77CF}"/>
    <hyperlink ref="C337" r:id="rId868" display="https://www.geonames.org/3078910/" xr:uid="{40E2621A-1B3E-574D-ABDB-A8D7D1FC6853}"/>
    <hyperlink ref="D337" r:id="rId869" display="https://www.geonames.org/3078910/" xr:uid="{F2E20608-0359-BD4B-8625-ED741C686C71}"/>
    <hyperlink ref="C258" r:id="rId870" display="https://www.geonames.org/3067421/" xr:uid="{2B6D1D54-CC15-1743-BCE7-A5D716148220}"/>
    <hyperlink ref="D258" r:id="rId871" display="https://www.geonames.org/3068162/" xr:uid="{F100DF24-AE25-2A4D-A817-9933E9FBCEF1}"/>
    <hyperlink ref="C339" r:id="rId872" display="https://www.geonames.org/3067421/" xr:uid="{0F2DEB14-7038-E549-A661-AE04676C83E9}"/>
    <hyperlink ref="D339" r:id="rId873" display="https://www.geonames.org/3068162/" xr:uid="{ABC693A8-BAEF-A042-BC27-7BB7B9AFF8F7}"/>
    <hyperlink ref="C257:D257" r:id="rId874" display="https://www.geonames.org/3067421/" xr:uid="{2526EE80-B082-2842-A21C-24CE3FD3A4B0}"/>
    <hyperlink ref="C255" r:id="rId875" display="https://www.geonames.org/3078910/" xr:uid="{9AFDBE20-C229-E342-8EEF-30787F41BEE9}"/>
    <hyperlink ref="D255" r:id="rId876" display="https://www.geonames.org/3078910/" xr:uid="{83AEDBD2-A684-4F4E-BB5A-3C5546DDBD11}"/>
    <hyperlink ref="C1025" r:id="rId877" display="https://www.geonames.org/704525/" xr:uid="{24E0B62F-2B2F-A84A-954D-68D81A0C3B8C}"/>
    <hyperlink ref="C998" r:id="rId878" display="https://www.geonames.org/700455/" xr:uid="{420281DA-39FE-2F46-9969-13D9A1CC1A5E}"/>
    <hyperlink ref="D998" r:id="rId879" display="https://www.geonames.org/712374/" xr:uid="{B01B98C1-43CC-D445-A420-FD62973DA75C}"/>
    <hyperlink ref="C362" r:id="rId880" display="https://www.geonames.org/3074614/" xr:uid="{7B3B69F7-5314-8C4C-B418-D6D9EEDB71C4}"/>
    <hyperlink ref="D362" r:id="rId881" display="https://www.geonames.org/3074614/" xr:uid="{27C72FDC-1BD5-BE40-9EC1-A2C19089B365}"/>
    <hyperlink ref="C466" r:id="rId882" display="https://www.geonames.org/3067421/" xr:uid="{307CA7EA-4549-6246-ADF6-BA838EA0F486}"/>
    <hyperlink ref="D466" r:id="rId883" display="https://www.geonames.org/3068162/" xr:uid="{1AEBEA79-B6B4-D848-9F58-9A34666BE5F9}"/>
    <hyperlink ref="C1057" r:id="rId884" display="https://www.geonames.org/712374/" xr:uid="{2AAEC7FF-81CD-0847-B20A-E827D5B641FB}"/>
    <hyperlink ref="D1057" r:id="rId885" display="https://www.geonames.org/712374/" xr:uid="{E111F005-D204-6B46-A6FA-8544E39BCBDE}"/>
    <hyperlink ref="C1003" r:id="rId886" display="https://www.geonames.org/700455/" xr:uid="{FD835737-C7CA-174E-AA4E-9401EC02A4A1}"/>
    <hyperlink ref="D1003" r:id="rId887" display="https://www.geonames.org/712374/" xr:uid="{FC5D7895-30BF-A340-83EC-EFFBC93FD873}"/>
    <hyperlink ref="C1154" r:id="rId888" display="https://www.geonames.org/764849/" xr:uid="{E6889148-FD85-3D40-905D-B9261F2E708C}"/>
    <hyperlink ref="D1154" r:id="rId889" display="https://www.geonames.org/764849/" xr:uid="{778A6C74-8CF8-CD43-B8D0-510099BEABDA}"/>
    <hyperlink ref="C994" r:id="rId890" display="https://www.geonames.org/696966/" xr:uid="{75C9AC9F-9E74-8542-BF18-8D24B7C933B4}"/>
    <hyperlink ref="D994" r:id="rId891" display="https://www.geonames.org/696966/" xr:uid="{2E46BCCD-EC24-0A47-AA5A-7A7DB40FCBFF}"/>
    <hyperlink ref="C1153" r:id="rId892" display="https://www.geonames.org/773380/" xr:uid="{D4120426-F68C-A34E-9864-AAB04C97F35B}"/>
    <hyperlink ref="D1153" r:id="rId893" display="https://www.geonames.org/773380/" xr:uid="{33528AB1-13A8-3041-AF3E-EE77AEFCBEC8}"/>
    <hyperlink ref="C1281" r:id="rId894" display="https://www.geonames.org/3073222/" xr:uid="{7C18CBDB-AFAA-6246-B665-4130CE389633}"/>
    <hyperlink ref="D1281" r:id="rId895" display="https://www.geonames.org/3073222/" xr:uid="{C9AD6C03-CF58-8E4F-8E00-5BEF9A5DE83B}"/>
    <hyperlink ref="D885" r:id="rId896" xr:uid="{FE62FE5D-D8D8-D04F-9ED2-740534744070}"/>
    <hyperlink ref="C1449" r:id="rId897" display="https://www.geonames.org/3076422/" xr:uid="{B829FE60-8779-B842-A3CD-F49AEB2627A9}"/>
    <hyperlink ref="D1449" r:id="rId898" display="https://www.geonames.org/3077024/" xr:uid="{ED864BD3-C233-4845-96C3-8EAF4F8E2180}"/>
    <hyperlink ref="C868" r:id="rId899" display="https://www.geonames.org/3074614/" xr:uid="{E30B5C9B-810D-BF43-A4B9-3F04279E8929}"/>
    <hyperlink ref="C671" r:id="rId900" display="https://www.geonames.org/766692" xr:uid="{54BF687D-F2E6-5948-9939-BE6BFA15838D}"/>
    <hyperlink ref="C852" r:id="rId901" display="https://www.geonames.org/2902199/hohebach.html" xr:uid="{5CA21F73-60B1-DF44-B277-5CE604370D12}"/>
    <hyperlink ref="C1023:D1023" r:id="rId902" display="https://www.geonames.org/704525/" xr:uid="{D7072340-E120-C74A-94AC-2FAE54939821}"/>
    <hyperlink ref="C1347" r:id="rId903" display="https://www.geonames.org/3072407/" xr:uid="{6F607818-B247-CC4A-BDB6-CCC35A9CB1E9}"/>
    <hyperlink ref="C1192" r:id="rId904" display="https://www.geonames.org/757033/" xr:uid="{B9C0682E-BD8F-EB4E-BAAE-1E29B61B86BA}"/>
    <hyperlink ref="D1192" r:id="rId905" display="https://www.geonames.org/757033/" xr:uid="{21AFBCEC-259C-AA4C-B1B3-6C066EC660D9}"/>
    <hyperlink ref="C863" r:id="rId906" display="https://www.geonames.org/712374/" xr:uid="{5F08982B-9118-9141-817B-FF8F9B76F7A0}"/>
    <hyperlink ref="D863" r:id="rId907" display="https://www.geonames.org/712374/" xr:uid="{C2949808-FCFB-014C-9811-B43022E2F7E8}"/>
    <hyperlink ref="C1006" r:id="rId908" display="https://www.geonames.org/712374/" xr:uid="{EB34C6C8-3B52-8E45-947C-C8DEB65447C4}"/>
    <hyperlink ref="D1006" r:id="rId909" display="https://www.geonames.org/712374/" xr:uid="{2A089FD9-FEED-D246-A135-795DF7218B9D}"/>
    <hyperlink ref="C1155" r:id="rId910" display="https://www.geonames.org/755372/" xr:uid="{BD866579-57AA-B64C-A3B2-AE0DEE4CE8F1}"/>
    <hyperlink ref="D1155" r:id="rId911" display="https://www.geonames.org/755372/" xr:uid="{3E9FDD14-3CB7-5544-BDE1-9D24C17F22DF}"/>
    <hyperlink ref="C1277" r:id="rId912" display="https://www.geonames.org/3064143/" xr:uid="{2AE28B9B-D617-E54C-9152-BC295045AE83}"/>
    <hyperlink ref="D1277" r:id="rId913" display="https://www.geonames.org/3067421/" xr:uid="{49C53EB1-DC2A-BD4A-8A4A-CE8F6A738B44}"/>
    <hyperlink ref="C1112" r:id="rId914" display="https://www.geonames.org/717771/" xr:uid="{3529FDD0-8C94-6449-814E-51570F0B9022}"/>
    <hyperlink ref="C1111" r:id="rId915" display="https://www.geonames.org/682718/" xr:uid="{B75F7058-1609-F34C-830C-F28800F6782C}"/>
    <hyperlink ref="C895" r:id="rId916" display="https://www.geonames.org/711752/" xr:uid="{4E6FDCDB-3459-3F4F-BAA8-C3C99FF68B24}"/>
    <hyperlink ref="D895" r:id="rId917" display="https://www.geonames.org/711134/" xr:uid="{783AC3D7-1661-9941-AAE7-1CB597C91809}"/>
    <hyperlink ref="C1186" r:id="rId918" display="https://www.geonames.org/758633/" xr:uid="{12EF6310-F2E3-4548-9931-1E0578F17B28}"/>
    <hyperlink ref="D1186" r:id="rId919" display="https://www.geonames.org/758633/" xr:uid="{F27E5EBA-7CAD-8C48-86DE-F8A101DC9691}"/>
    <hyperlink ref="C1184" r:id="rId920" display="https://www.geonames.org/772086/" xr:uid="{305FAAB6-7593-0840-89C2-60E485FCB8DD}"/>
    <hyperlink ref="D1184" r:id="rId921" display="https://www.geonames.org/772086/" xr:uid="{62F3F0FC-BE69-984F-8A94-D4C52A132B51}"/>
    <hyperlink ref="C1191" r:id="rId922" display="https://www.geonames.org/759504/" xr:uid="{6C9612AE-CF43-F548-B307-5326D058C855}"/>
    <hyperlink ref="D1191" r:id="rId923" display="https://www.geonames.org/759504/" xr:uid="{881422AB-DA82-114B-8C70-E616407E7D2F}"/>
    <hyperlink ref="C155" r:id="rId924" display="https://www.geonames.org/759734/" xr:uid="{C432E1D9-A3B5-C24C-AB32-051CE2F84EA1}"/>
    <hyperlink ref="C1185" r:id="rId925" display="https://www.geonames.org/7534576/" xr:uid="{2CEF23B3-CEEB-4C44-9FC1-D8770D077868}"/>
    <hyperlink ref="C1182" r:id="rId926" display="https://www.geonames.org/755372/" xr:uid="{AE50A939-C885-924A-BD58-B10D2989BB96}"/>
    <hyperlink ref="D1182" r:id="rId927" display="https://www.geonames.org/755372/" xr:uid="{2712BC4B-E0F2-4942-9732-A57FCFE2B690}"/>
    <hyperlink ref="C1187" r:id="rId928" display="https://www.geonames.org/764849/" xr:uid="{29B79105-971A-8D45-B340-85C6B8C6C908}"/>
    <hyperlink ref="D1187" r:id="rId929" display="https://www.geonames.org/764849/" xr:uid="{B6EC32DD-516C-0446-B251-BC45618E20B5}"/>
    <hyperlink ref="C1188" r:id="rId930" display="https://www.geonames.org/756663/" xr:uid="{E0D9EC39-F283-754B-AA08-164D4F87F7B7}"/>
    <hyperlink ref="D1188" r:id="rId931" display="https://www.geonames.org/756663/" xr:uid="{9C821A87-B453-8249-A51C-7193C889297A}"/>
    <hyperlink ref="C1291" r:id="rId932" display="https://www.geonames.org/3064454/" xr:uid="{5D57FCCA-2E1F-3441-9ACD-1FACD24A8400}"/>
    <hyperlink ref="D1291" r:id="rId933" display="https://www.geonames.org/3070576/" xr:uid="{A15AD516-DB26-8147-BEED-236AF98FFC64}"/>
    <hyperlink ref="C582" r:id="rId934" display="https://www.geonames.org/3071791" xr:uid="{084660C0-DDA0-5F40-8745-E36FDC03EA45}"/>
    <hyperlink ref="C1139" r:id="rId935" display="https://www.geonames.org/757033/" xr:uid="{F5F2820B-DEF5-5C47-853B-0CDF8F90B3E1}"/>
    <hyperlink ref="D1139" r:id="rId936" display="https://www.geonames.org/757033/" xr:uid="{7A45E7CF-6103-4D41-962F-71D76E5CB002}"/>
    <hyperlink ref="C1140" r:id="rId937" display="https://www.geonames.org/772086/" xr:uid="{0DB99E22-9353-AB45-9B10-EF88DBA05F76}"/>
    <hyperlink ref="D1140" r:id="rId938" display="https://www.geonames.org/772086/" xr:uid="{0C9B0D0A-A41D-C24A-9195-1B113E14194F}"/>
    <hyperlink ref="C1141" r:id="rId939" display="https://www.geonames.org/757033/" xr:uid="{2BD69425-6EAD-784D-A84A-BB69150AF5B2}"/>
    <hyperlink ref="D1141" r:id="rId940" display="https://www.geonames.org/757033/" xr:uid="{0AFD3899-0ED6-DD4A-A5BA-754FA2B4470A}"/>
    <hyperlink ref="C1143" r:id="rId941" display="https://www.geonames.org/758633/" xr:uid="{B1447C3B-79BB-8B47-9E2E-7E09CE982321}"/>
    <hyperlink ref="D1143" r:id="rId942" display="https://www.geonames.org/758633/" xr:uid="{2487ACCA-851B-4A4A-A88D-879CB20CA09B}"/>
    <hyperlink ref="C886" r:id="rId943" display="https://www.geonames.org/704525/" xr:uid="{88A54938-5E5D-D34C-962D-041181E01686}"/>
    <hyperlink ref="C1174" r:id="rId944" display="https://www.geonames.org/760185/" xr:uid="{F23740C7-D6EC-F249-99AF-73D52E075784}"/>
    <hyperlink ref="D1174" r:id="rId945" display="https://www.geonames.org/760185/" xr:uid="{1A3F8861-508E-954C-9EF4-E3724363606F}"/>
    <hyperlink ref="D1004" r:id="rId946" display="https://www.geonames.org/712374/" xr:uid="{1765ED99-5A59-CE44-8C86-EAD67C026013}"/>
    <hyperlink ref="C1004" r:id="rId947" display="https://www.geonames.org/700455/" xr:uid="{C54C2CC0-A2F2-1240-9B48-7D2BF53FD6F4}"/>
    <hyperlink ref="C73" r:id="rId948" display="https://www.geonames.org/758633/" xr:uid="{2F3B87C5-968E-7D42-91D8-560D11F34645}"/>
    <hyperlink ref="D73" r:id="rId949" display="https://www.geonames.org/758633/" xr:uid="{1FCAC0FC-C161-B142-850A-F6B4F8891FC2}"/>
    <hyperlink ref="C1418" r:id="rId950" display="https://www.geonames.org/762799/" xr:uid="{05137B3D-A37E-4741-8C92-2D706DDABFD9}"/>
    <hyperlink ref="D1418" r:id="rId951" display="https://www.geonames.org/762799/" xr:uid="{E26C2D07-1673-B94D-917E-E69C7545FEDF}"/>
    <hyperlink ref="C12" r:id="rId952" display="https://www.geonames.org/763534/" xr:uid="{632CD8DE-64C9-DD4F-A4D3-851288008D9A}"/>
    <hyperlink ref="C1371" r:id="rId953" display="https://www.geonames.org/3070129/" xr:uid="{BA35DA7E-B06D-964E-8F16-916F6CB0880E}"/>
    <hyperlink ref="D1371" r:id="rId954" display="https://www.geonames.org/3070129/" xr:uid="{14CB826D-7AE5-204E-A1C3-78331836FD30}"/>
    <hyperlink ref="C1299" r:id="rId955" display="https://www.geonames.org/3065744/" xr:uid="{B4F0F233-4AB0-9040-8776-BFECCAB7C45D}"/>
    <hyperlink ref="D1299" r:id="rId956" display="https://www.geonames.org/3077407/" xr:uid="{34A9BE99-AB73-CD46-A01A-603B857D616E}"/>
    <hyperlink ref="C100" r:id="rId957" display="https://www.geonames.org/693301/" xr:uid="{065C7C2B-8555-B245-9298-601E77B89EE0}"/>
    <hyperlink ref="C230" r:id="rId958" display="https://www.geonames.org/702550+I12:J13" xr:uid="{A29062FD-7936-A44F-B844-D6ADB545C845}"/>
    <hyperlink ref="C1071" r:id="rId959" display="https://www.geonames.org/753866/" xr:uid="{E3493AD8-9612-5446-ACF5-018E11F8A432}"/>
    <hyperlink ref="C897" r:id="rId960" display="https://www.geonames.org/770387/" xr:uid="{E74356B0-A3FA-F840-940C-8BB32C3B2C61}"/>
    <hyperlink ref="D897" r:id="rId961" display="https://www.geonames.org/754455/" xr:uid="{D1FA9424-186E-964F-8FD3-CFC46E5638AE}"/>
    <hyperlink ref="C878:D878" r:id="rId962" display="https://www.geonames.org/770387/" xr:uid="{F55B9492-B2ED-7E44-8573-78FD38B7D5B1}"/>
    <hyperlink ref="C879" r:id="rId963" display="https://www.geonames.org/769738/" xr:uid="{95D520D2-E1A8-0748-9C77-AC75F574E72A}"/>
    <hyperlink ref="D879" r:id="rId964" display="https://www.geonames.org/769738/" xr:uid="{7E857551-126B-0546-8591-506BC73D4599}"/>
    <hyperlink ref="C177" r:id="rId965" display="https://www.geonames.org/3074768/" xr:uid="{CB3787C2-60AA-2D4B-829D-3439EB7056C7}"/>
    <hyperlink ref="D177" r:id="rId966" display="https://www.geonames.org/3071675/" xr:uid="{9B0A1388-8E55-A54C-B8D1-072554DCBE1E}"/>
    <hyperlink ref="C232" r:id="rId967" display="https://www.geonames.org/702981/" xr:uid="{C9BC8A06-4B4C-1142-93DD-C6DD60CBBFED}"/>
    <hyperlink ref="D232" r:id="rId968" display="https://www.geonames.org/702981/" xr:uid="{1D0F4A58-3ABD-3547-A1E7-5B79D1ACAF97}"/>
    <hyperlink ref="C1019" r:id="rId969" display="https://www.geonames.org/771394/" xr:uid="{F64F3BFD-A081-E143-8586-2C563F1ED658}"/>
    <hyperlink ref="D1019" r:id="rId970" display="https://www.geonames.org/771394/" xr:uid="{80A2CF34-CE82-6D46-890E-82DE9534606D}"/>
    <hyperlink ref="C1264" r:id="rId971" display="https://www.geonames.org/3068557" xr:uid="{7397BD46-A82D-C449-B5EB-2F054AD3E6EB}"/>
    <hyperlink ref="D1264" r:id="rId972" display="https://www.geonames.org/3068557" xr:uid="{FFC4EF83-C932-8842-A910-E9C51F36B4BE}"/>
    <hyperlink ref="C881" r:id="rId973" display="https://www.geonames.org/753866/" xr:uid="{08F68811-B82D-2A41-BFE4-FD903D09350B}"/>
    <hyperlink ref="C1015" r:id="rId974" display="https://www.geonames.org/765932/" xr:uid="{E225ECD4-DB63-6145-88F8-261F28BB7549}"/>
    <hyperlink ref="D1015" r:id="rId975" display="https://www.geonames.org/765932/" xr:uid="{93F37102-699B-BC47-857A-1B00D021F5A0}"/>
    <hyperlink ref="C1201" r:id="rId976" display="https://www.geonames.org/776458/" xr:uid="{57383657-C8F4-4B4E-9B53-1767137A3B54}"/>
    <hyperlink ref="D1201" r:id="rId977" display="https://www.geonames.org/776458/" xr:uid="{CA5720AF-8A11-4F42-9382-01F70ADD0C34}"/>
    <hyperlink ref="C1207" r:id="rId978" display="https://www.geonames.org/756280/" xr:uid="{E6629269-CA5F-294D-B091-40E98B195903}"/>
    <hyperlink ref="D1207" r:id="rId979" display="https://www.geonames.org/756280/" xr:uid="{4CAEF150-4FAB-164F-8768-E729A1214F67}"/>
    <hyperlink ref="C1208" r:id="rId980" display="https://www.geonames.org/756280/" xr:uid="{BA942FF6-BE0B-CF4C-B0A2-D231D3238449}"/>
    <hyperlink ref="D1208" r:id="rId981" display="https://www.geonames.org/756280/" xr:uid="{EBAB39D2-D091-ED48-B411-FAEB114D11BE}"/>
    <hyperlink ref="C1210" r:id="rId982" display="https://www.geonames.org/775908/" xr:uid="{4B5634C9-6011-3D4A-A6AF-789BD9E9D6B8}"/>
    <hyperlink ref="D1210" r:id="rId983" display="https://www.geonames.org/775908/" xr:uid="{10F8CCFB-E2DD-E04D-B8AE-454339967E8B}"/>
    <hyperlink ref="C1211" r:id="rId984" display="https://www.geonames.org/761655/" xr:uid="{D41739C0-D4D3-0C4E-A5A7-C18EEC7D2B3D}"/>
    <hyperlink ref="D1211" r:id="rId985" display="https://www.geonames.org/761655/" xr:uid="{3A1F2FE8-4308-2446-8559-B49FDC9CC353}"/>
    <hyperlink ref="D1213" r:id="rId986" display="https://www.geonames.org/774348/" xr:uid="{163EC78A-6196-AC4E-880C-B0E574F86DFA}"/>
    <hyperlink ref="C1214" r:id="rId987" display="https://www.geonames.org/700696/" xr:uid="{CFDCC331-4D5B-5C4C-B1B0-F4C72BB56786}"/>
    <hyperlink ref="D1215" r:id="rId988" display="https://www.geonames.org/774348/" xr:uid="{04F13135-4E16-5D4E-A444-AEC451796548}"/>
    <hyperlink ref="C1218" r:id="rId989" display="https://www.geonames.org/692423/" xr:uid="{DB01BFA0-9BE7-5046-A642-B8F7E69091E0}"/>
    <hyperlink ref="D1218" r:id="rId990" display="https://www.geonames.org/692423/" xr:uid="{E37B1131-12FE-7F4F-9543-7497A258E66E}"/>
    <hyperlink ref="C178" r:id="rId991" display="https://www.geonames.org/755094/wola-zaleska" xr:uid="{793075F9-96C8-5A41-981C-71817027FD61}"/>
    <hyperlink ref="D178" r:id="rId992" display="https://www.geonames.org/770380/" xr:uid="{E51081E9-755F-314D-A6AC-C3470CF81276}"/>
    <hyperlink ref="C867" r:id="rId993" display="https://www.geonames.org/763219/" xr:uid="{E2C7D0DD-90EB-8E4F-99EA-DBF793529CB1}"/>
    <hyperlink ref="D867" r:id="rId994" display="https://www.geonames.org/763219/" xr:uid="{DC1D484B-FAFF-FD40-87BC-180425F29B55}"/>
    <hyperlink ref="C1010" r:id="rId995" display="https://www.geonames.org/769738/" xr:uid="{434894E7-E3E9-7C45-8144-38E15085CEDC}"/>
    <hyperlink ref="D1010" r:id="rId996" display="https://www.geonames.org/769738/" xr:uid="{250200F8-67FB-DF4D-B9F0-FF2597BE6B85}"/>
    <hyperlink ref="C182" r:id="rId997" display="https://www.geonames.org/3064256/" xr:uid="{6CAE1188-4BC5-064E-B4F0-3DDA8A12E419}"/>
    <hyperlink ref="D182" r:id="rId998" display="https://www.geonames.org/3064845/" xr:uid="{9581425E-F2AA-1D4A-9375-384169BD0FDB}"/>
    <hyperlink ref="C1039" r:id="rId999" display="https://www.geonames.org/752995/" xr:uid="{7B00F0C5-2104-8C46-874B-8FD54F678133}"/>
    <hyperlink ref="D1039" r:id="rId1000" display="https://www.geonames.org/752995/" xr:uid="{1AC4093D-C27A-2F4E-AA05-2617BB9260BE}"/>
    <hyperlink ref="C966" r:id="rId1001" display="https://www.geonames.org/753394/" xr:uid="{96D81A80-98B5-E647-96FD-539010BA3C20}"/>
    <hyperlink ref="D966" r:id="rId1002" display="https://www.geonames.org/753394/" xr:uid="{6436CC41-8934-A649-957A-D3236852BB15}"/>
    <hyperlink ref="C928" r:id="rId1003" display="https://www.geonames.org/766239/" xr:uid="{43E3ABC0-9625-7344-B224-6B23CA891C0A}"/>
    <hyperlink ref="D928" r:id="rId1004" display="https://www.geonames.org/766239/" xr:uid="{B48C1DAA-DA18-9F41-8A75-A6F522C08FA5}"/>
    <hyperlink ref="C1008" r:id="rId1005" display="https://www.geonames.org/753394/" xr:uid="{3D766F9F-AC2D-AA47-A200-C001918B32F7}"/>
    <hyperlink ref="D1008" r:id="rId1006" display="https://www.geonames.org/753394/" xr:uid="{4FB62632-9136-1A4B-9E01-9BE47E1FA51D}"/>
    <hyperlink ref="C1046" r:id="rId1007" display="https://www.geonames.org/756046/" xr:uid="{A30DB955-D2F3-D94C-A1F9-35C1887958D6}"/>
    <hyperlink ref="D1046" r:id="rId1008" display="https://www.geonames.org/756046/" xr:uid="{5F3530FC-03DA-EE45-83C4-2EC8644B351C}"/>
    <hyperlink ref="C912" r:id="rId1009" display="https://www.geonames.org/767097/" xr:uid="{B69339DD-AD85-FD4A-A171-B4D15DD570E8}"/>
    <hyperlink ref="C916" r:id="rId1010" display="https://www.geonames.org/756046/" xr:uid="{007B057E-91C7-7546-8251-AC9B4500329A}"/>
    <hyperlink ref="D916" r:id="rId1011" display="https://www.geonames.org/754455/" xr:uid="{9AF8A12C-F414-FE4C-9432-4B4F83C79F71}"/>
    <hyperlink ref="C935" r:id="rId1012" display="https://www.geonames.org/756046/" xr:uid="{1CD440DB-B096-CA46-B37D-3617CE15D446}"/>
    <hyperlink ref="D935" r:id="rId1013" display="https://www.geonames.org/754455/" xr:uid="{9146EEF7-719E-D248-A913-4CAE6BE7184C}"/>
    <hyperlink ref="C920" r:id="rId1014" display="https://www.geonames.org/771733/" xr:uid="{75C912BF-0CEA-CF41-9188-5E953B98564C}"/>
    <hyperlink ref="C1145" r:id="rId1015" display="https://www.geonames.org/3067421/" xr:uid="{2E06F52B-7E81-AD4B-80CB-42778C25153F}"/>
    <hyperlink ref="D1145" r:id="rId1016" display="https://www.geonames.org/3068162/" xr:uid="{75ECAE39-2EC5-8D47-A9DA-89BE0FC837A1}"/>
    <hyperlink ref="C1068" r:id="rId1017" display="https://www.geonames.org/3078910/" xr:uid="{14AC558C-EB86-B547-ADF1-A68BE67560EC}"/>
    <hyperlink ref="C1425" r:id="rId1018" display="https://www.geonames.org/3075606/" xr:uid="{28A17B85-C027-834D-90C3-D4B28BDA50F6}"/>
    <hyperlink ref="D1425" r:id="rId1019" display="https://www.geonames.org/3075606/" xr:uid="{88305ACF-C0FA-D649-8407-2C6541A10FCF}"/>
    <hyperlink ref="C1278" r:id="rId1020" display="https://www.geonames.org/3067421/" xr:uid="{D6D6F0E4-339B-1A4C-B96A-5CD1C71FBF0B}"/>
    <hyperlink ref="C1325" r:id="rId1021" display="https://www.geonames.org/3067421/" xr:uid="{F7E14DFF-204E-2843-A803-AADB62DCC2BA}"/>
    <hyperlink ref="C1423" r:id="rId1022" display="https://www.geonames.org/3074620/" xr:uid="{40B830E4-7C5D-DA4B-9CCA-7555CA2A9993}"/>
    <hyperlink ref="D1423" r:id="rId1023" display="https://www.geonames.org/3076764/" xr:uid="{36B98C70-69D4-3F48-8A4E-E27434CCA176}"/>
    <hyperlink ref="C1405" r:id="rId1024" display="https://www.geonames.org/759734/" xr:uid="{8C30D095-4535-F046-84BF-E3D74FA763FC}"/>
    <hyperlink ref="C1420" r:id="rId1025" display="https://www.geonames.org/7534583/" xr:uid="{7BC2A01B-A5D9-0C4F-8556-2144897B52DA}"/>
    <hyperlink ref="D1420" r:id="rId1026" display="https://www.geonames.org/7534583/" xr:uid="{74CE2D4D-A0D2-3D42-A1AC-B9584EB945C3}"/>
    <hyperlink ref="C1419" r:id="rId1027" display="https://pl.wikipedia.org/wiki/Grab%C3%B3wka_(Tarn%C3%B3w)" xr:uid="{8916F927-2C5A-9F4F-B5B2-DE1AC1347FBE}"/>
    <hyperlink ref="D1419" r:id="rId1028" display="https://www.geonames.org/757026/" xr:uid="{53AFB990-C97C-644D-A087-D09B4F8CB527}"/>
    <hyperlink ref="C1005" r:id="rId1029" display="https://www.geonames.org/754090/" xr:uid="{74789C55-AB03-AE4F-B050-89E2800ADE91}"/>
    <hyperlink ref="D1005" r:id="rId1030" display="https://www.geonames.org/754090/" xr:uid="{CA615E4D-7752-C84F-A6B3-EE993B5A3456}"/>
    <hyperlink ref="C606" r:id="rId1031" display="https://www.geonames.org/708224/" xr:uid="{30A2D392-FFAC-C24A-8AFC-07EC8B5C1EE7}"/>
    <hyperlink ref="D606" r:id="rId1032" display="https://www.geonames.org/708224/" xr:uid="{2944C55B-3F36-2846-95D2-3ADFC8E26A3A}"/>
    <hyperlink ref="C34" r:id="rId1033" display="https://www.geonames.org/710400/" xr:uid="{3775BCEE-A960-3442-8274-42416153460F}"/>
    <hyperlink ref="C52" r:id="rId1034" display="https://www.geonames.org/757026/" xr:uid="{DAE7ECEA-99C5-D44B-9626-FEF570C770A8}"/>
    <hyperlink ref="D52" r:id="rId1035" display="https://www.geonames.org/757026/" xr:uid="{12C49764-E240-B943-8721-9DD964D8509E}"/>
    <hyperlink ref="C134" r:id="rId1036" display="https://www.geonames.org/757026/" xr:uid="{972D47CE-398E-884C-877C-04E5EA774979}"/>
    <hyperlink ref="D134" r:id="rId1037" display="https://www.geonames.org/757026/" xr:uid="{0401D7DF-0997-BA47-8AA4-62EDE281BE11}"/>
    <hyperlink ref="C141" r:id="rId1038" display="https://www.geonames.org/755889/" xr:uid="{5699F30F-C96B-C54E-9C99-8E63CBA8A1BD}"/>
    <hyperlink ref="D141" r:id="rId1039" display="https://www.geonames.org/755889/" xr:uid="{DD346D34-5D7B-4B4E-A4C5-4637B3645B4D}"/>
    <hyperlink ref="C1282" r:id="rId1040" display="https://www.geonames.org/3075606/" xr:uid="{A9A1A2C5-114A-5F4D-A8D4-A5EF6C9FCEE6}"/>
    <hyperlink ref="C959" r:id="rId1041" display="https://www.geonames.org/768338/" xr:uid="{26100543-F180-3D45-B2DD-44A03CEFD2BD}"/>
    <hyperlink ref="D959" r:id="rId1042" display="https://www.geonames.org/768338/" xr:uid="{AEF13DC7-AED5-CE4E-96AE-FA524DB93DD6}"/>
    <hyperlink ref="C1392" r:id="rId1043" display="https://www.geonames.org/768338/" xr:uid="{0D7E3455-1390-3A4C-95DB-E4360B80E131}"/>
    <hyperlink ref="D1392" r:id="rId1044" display="https://www.geonames.org/768338/" xr:uid="{6E9B56F1-0906-874D-A7F6-72026AB0A95A}"/>
    <hyperlink ref="C1021" r:id="rId1045" display="https://www.geonames.org/757957/" xr:uid="{C0EB5146-D8B1-C540-A4AC-D236C4D011C9}"/>
    <hyperlink ref="D1021" r:id="rId1046" display="https://www.geonames.org/757957/" xr:uid="{C1BD653B-D812-4C46-B17E-5CBD181F2ECC}"/>
    <hyperlink ref="D1159" r:id="rId1047" xr:uid="{CD08149C-2F06-D24D-913D-46FFD62E37E0}"/>
    <hyperlink ref="C1472" r:id="rId1048" display="https://www.geonames.org/3063561/" xr:uid="{074F0FF5-4D9A-2749-85A0-CCB45E6FEF19}"/>
    <hyperlink ref="D1472" r:id="rId1049" display="https://www.geonames.org/3063561/" xr:uid="{9A453EB1-50CF-224A-8E03-B17146445AC0}"/>
    <hyperlink ref="C1429" r:id="rId1050" display="https://www.geonames.org/3063196/" xr:uid="{70C18256-CA20-5647-905B-2D3CDB11E2F0}"/>
    <hyperlink ref="C1045" r:id="rId1051" display="https://www.geonames.org/772857/" xr:uid="{63EF6139-286D-0641-B3BF-20D7CBF56B05}"/>
    <hyperlink ref="D1045" r:id="rId1052" display="https://www.geonames.org/772857/" xr:uid="{4AD3EBC5-EE90-1D44-A01C-7FC55B79FE08}"/>
    <hyperlink ref="C915" r:id="rId1053" display="https://www.geonames.org/763519/" xr:uid="{3D02233F-8D1B-0843-BC6E-E66FDCDD4EDE}"/>
    <hyperlink ref="D915" r:id="rId1054" display="https://www.geonames.org/763519/" xr:uid="{8472FBAF-DAAB-614F-BE10-E9A7E19133A3}"/>
    <hyperlink ref="C872" r:id="rId1055" display="https://www.geonames.org/3077929/" xr:uid="{4710C28B-D199-5348-8F0B-0752425A50AF}"/>
    <hyperlink ref="C1428" r:id="rId1056" xr:uid="{A59E744C-2362-4949-92BF-9451E77C8538}"/>
    <hyperlink ref="D1428" r:id="rId1057" xr:uid="{451B8174-7FCF-3D49-B595-D39E73303B46}"/>
    <hyperlink ref="C1441" r:id="rId1058" display="https://www.geonames.org/3062949/" xr:uid="{08378DF5-5F47-3A4F-BD70-CBB9883845CD}"/>
    <hyperlink ref="D1441" r:id="rId1059" display="https://www.geonames.org/3073407/" xr:uid="{43EC3FF9-5F51-3848-BEF8-0435289B8034}"/>
    <hyperlink ref="C1440" r:id="rId1060" display="https://www.geonames.org/763534/" xr:uid="{CCC51D16-18A6-0842-8032-B06844EFD6E3}"/>
    <hyperlink ref="C1421" r:id="rId1061" display="https://www.geonames.org/3067421/" xr:uid="{0854014B-7738-1145-ABFF-0C8A743CCF08}"/>
    <hyperlink ref="D1421" r:id="rId1062" display="https://www.geonames.org/3068162/" xr:uid="{424E3C66-7401-A040-BAD7-217C829E4A3B}"/>
    <hyperlink ref="C1198" r:id="rId1063" display="https://www.geonames.org/3067421/" xr:uid="{9F4A0CEE-62B9-504E-8351-5B6B702F5157}"/>
    <hyperlink ref="D1198" r:id="rId1064" display="https://www.geonames.org/3068162/" xr:uid="{8F304DEC-09DC-7349-8C8C-4C1E16FB8A19}"/>
    <hyperlink ref="C1097" r:id="rId1065" display="https://www.geonames.org/3050212/" xr:uid="{9C3EBF98-DED5-0E46-B316-A8299DD35559}"/>
    <hyperlink ref="D1412" r:id="rId1066" display="https://www.geonames.org/3078561/" xr:uid="{3EBEE7B6-7CA0-FF4F-B5F2-34B9F6563E93}"/>
    <hyperlink ref="C1412" r:id="rId1067" display="https://www.geonames.org/3078561/" xr:uid="{A33B32EC-B746-3941-9B5D-068C9F96E0FC}"/>
    <hyperlink ref="C1336" r:id="rId1068" display="https://www.geonames.org/3072407/" xr:uid="{1AAF46EB-6F84-DA4B-9BBA-3E8D8A13BDB6}"/>
    <hyperlink ref="D1336" r:id="rId1069" display="https://www.geonames.org/3072407/" xr:uid="{0D7F8DB6-6458-9B4E-A023-C0EC82A9DA54}"/>
    <hyperlink ref="C1177" r:id="rId1070" display="https://www.geonames.org/756377/" xr:uid="{8AC4423B-D601-6049-A570-577DC0B9936B}"/>
    <hyperlink ref="D1177" r:id="rId1071" display="https://www.geonames.org/756377/" xr:uid="{257DAC56-9052-D147-841F-35E3E2B92097}"/>
    <hyperlink ref="C1161" r:id="rId1072" display="https://www.geonames.org/3075606/" xr:uid="{A1A9E1AE-68C3-6946-8F9A-DAAFF72B4607}"/>
    <hyperlink ref="D1161" r:id="rId1073" display="https://www.geonames.org/3075606/" xr:uid="{C95B0293-B877-A64A-B072-41A29BE34CDF}"/>
    <hyperlink ref="C1436" r:id="rId1074" display="https://www.geonames.org/3078275/" xr:uid="{E8E76170-2A53-9F45-9C12-718D91BEBE2D}"/>
    <hyperlink ref="D1433" r:id="rId1075" display="https://www.geonames.org/3068162/" xr:uid="{42127E93-D317-944B-91EA-08C949F76B5C}"/>
    <hyperlink ref="C1433" r:id="rId1076" display="https://www.geonames.org/3067421/" xr:uid="{C4DA678B-C212-774C-869A-23C613EB6141}"/>
    <hyperlink ref="C1408" r:id="rId1077" display="https://www.geonames.org/7534588/" xr:uid="{B2EA5061-6769-8742-8593-8C3DA7E6AC85}"/>
    <hyperlink ref="D1408" r:id="rId1078" display="https://www.geonames.org/7534588/" xr:uid="{E02D0FD6-7C32-FD4E-A48C-717A06929B6D}"/>
    <hyperlink ref="C1409" r:id="rId1079" display="https://www.geonames.org/763534/" xr:uid="{FCEBA4CE-AABF-ED47-AE3E-FED686F21E93}"/>
    <hyperlink ref="C1410" r:id="rId1080" display="https://www.geonames.org/763534/" xr:uid="{9561985A-4BE8-3641-B2A8-F9403EABAE91}"/>
    <hyperlink ref="C1411" r:id="rId1081" display="https://www.geonames.org/3075119/" xr:uid="{62C7F993-FD0D-6B43-BA64-374984BFA5F9}"/>
    <hyperlink ref="D1411" r:id="rId1082" display="https://www.geonames.org/3075119/" xr:uid="{B3C73C4E-8597-6846-89B3-083D5F4E0B93}"/>
    <hyperlink ref="C1415" r:id="rId1083" display="https://www.geonames.org/763534/" xr:uid="{74B5FDB3-13B3-1242-84D3-69B1C67DA1E7}"/>
    <hyperlink ref="C1443" r:id="rId1084" display="https://www.geonames.org/762371/" xr:uid="{9FD7B1C1-9602-D34B-8B5E-49ECA461625E}"/>
    <hyperlink ref="D1443" r:id="rId1085" display="https://www.geonames.org/763534/" xr:uid="{AB9AC116-50D6-4A4C-BA3F-2D8D4E1C3B79}"/>
    <hyperlink ref="C1413" r:id="rId1086" display="https://www.geonames.org/3064104/" xr:uid="{A06A5D48-50F6-5F4D-B855-5D50010FEB1A}"/>
    <hyperlink ref="C1338" r:id="rId1087" display="https://www.geonames.org/3070640/" xr:uid="{8E0B3A64-2ADB-1D44-9A36-1AF13201CBF1}"/>
    <hyperlink ref="D1338" r:id="rId1088" display="https://www.geonames.org/3070640/" xr:uid="{57FCF3D5-3AFC-C240-8DCA-D373F7BEFDB3}"/>
    <hyperlink ref="C1390" r:id="rId1089" display="https://www.geonames.org/702569/" xr:uid="{9E3AA8D0-0D3E-BD43-B500-943C5E5D6739}"/>
    <hyperlink ref="D1447" r:id="rId1090" display="https://www.geonames.org/771866/" xr:uid="{D111E1D7-A2A8-2245-A6E8-1A5AC68ABC19}"/>
    <hyperlink ref="C1488" r:id="rId1091" display="https://www.geonames.org/755855/" xr:uid="{01EC9711-28E5-5247-930C-4E616F985CBB}"/>
    <hyperlink ref="D1488" r:id="rId1092" display="https://www.geonames.org/755855/" xr:uid="{79989CF6-E624-A041-9487-43F248AFC511}"/>
    <hyperlink ref="C1486" r:id="rId1093" display="https://www.geonames.org/774700/" xr:uid="{EC2D660D-A309-4342-ADBC-A25447186749}"/>
    <hyperlink ref="D1486" r:id="rId1094" display="https://www.geonames.org/774700/" xr:uid="{3145FA86-8884-1748-83A2-04AE5159F11C}"/>
    <hyperlink ref="C1116" r:id="rId1095" display="https://www.geonames.org/3075606/" xr:uid="{13942CFB-4177-B74C-A335-ECC7216F419F}"/>
    <hyperlink ref="D1233" r:id="rId1096" display="https://www.geonames.org/3078275/" xr:uid="{6218B8CC-2073-6C4B-8414-13D470E7A82F}"/>
    <hyperlink ref="C1424" r:id="rId1097" display="https://www.geonames.org/3063736/" xr:uid="{605C5A7E-B341-0C47-A6F3-6BF11EB23010}"/>
    <hyperlink ref="D1424" r:id="rId1098" display="https://www.geonames.org/3063736/" xr:uid="{51233619-4DB4-5E43-B7C2-D56661D1DA3F}"/>
    <hyperlink ref="C1500" r:id="rId1099" display="https://www.geonames.org/770380/" xr:uid="{F72AEAB2-9845-6246-936C-7B19DA012FFE}"/>
    <hyperlink ref="D1500" r:id="rId1100" display="https://www.geonames.org/770380/" xr:uid="{8559D1BE-A099-B94E-8018-47FDA512D982}"/>
    <hyperlink ref="C1189" r:id="rId1101" display="https://www.geonames.org/3066719/" xr:uid="{E1D63483-09A9-E84B-B95A-09CF467EAEA0}"/>
    <hyperlink ref="D1189" r:id="rId1102" display="https://www.geonames.org/3066719/" xr:uid="{0E626802-A908-1D44-B04D-8BD4619B0598}"/>
    <hyperlink ref="C1422" r:id="rId1103" display="https://www.geonames.org/3072407/" xr:uid="{B8FD3CC1-2C09-A149-90DF-C8CD5C3E6F7D}"/>
    <hyperlink ref="D1422" r:id="rId1104" display="https://www.geonames.org/3072407/" xr:uid="{AB4F3C13-310F-AF44-BB5F-758E881F0B0E}"/>
    <hyperlink ref="C1503" r:id="rId1105" display="https://www.geonames.org/3075606/" xr:uid="{10B58DF4-548D-6940-A607-728FABB516CB}"/>
    <hyperlink ref="D1503" r:id="rId1106" display="https://www.geonames.org/3075606/" xr:uid="{0449B474-5868-A743-9341-74A9EEEF8645}"/>
    <hyperlink ref="C1487" r:id="rId1107" display="https://www.geonames.org/763534/" xr:uid="{A89EC729-E8CB-C341-9791-501AB220AE1F}"/>
    <hyperlink ref="D1487" r:id="rId1108" display="https://www.geonames.org/763534/" xr:uid="{22E4B240-C3FD-FA47-B3A7-A71FB43FDF20}"/>
    <hyperlink ref="C1439" r:id="rId1109" display="https://www.geonames.org/3067421/" xr:uid="{3FAFA201-A2FE-FA4F-8293-9AC95C106B73}"/>
    <hyperlink ref="D1439" r:id="rId1110" display="https://www.geonames.org/3067421/" xr:uid="{6EF89FE0-572A-3D4E-8836-19FCA4C7DB2E}"/>
    <hyperlink ref="C1467" r:id="rId1111" display="https://www.geonames.org/3071791" xr:uid="{72C04B13-FFFE-9E49-8B0F-2CC547E0FA7B}"/>
    <hyperlink ref="C1446" r:id="rId1112" display="https://www.geonames.org/3062949/" xr:uid="{8955B8FE-2D87-1643-B142-B7094274BF20}"/>
    <hyperlink ref="D1446" r:id="rId1113" display="https://www.geonames.org/3073407/" xr:uid="{4CB76134-8159-D949-AB6E-AD362A70FCE8}"/>
    <hyperlink ref="C1430" r:id="rId1114" display="https://www.geonames.org/3067421/" xr:uid="{F852C13E-8AAB-4F4D-975B-9E84F31062B4}"/>
    <hyperlink ref="D1430" r:id="rId1115" display="https://www.geonames.org/3068162/" xr:uid="{E5A22BB9-A9FF-0442-B186-0F515AD124B8}"/>
    <hyperlink ref="C1489" r:id="rId1116" display="https://www.geonames.org/3071791" xr:uid="{C971F595-BA68-5F43-A05A-52E9225EF633}"/>
    <hyperlink ref="D1489" r:id="rId1117" display="https://www.geonames.org/3071791" xr:uid="{E1749912-853A-DB46-A2D2-B219EC55A664}"/>
    <hyperlink ref="C1480" r:id="rId1118" display="https://www.geonames.org/3071791" xr:uid="{F4C96791-F891-5D45-A1CE-1E78204D4827}"/>
    <hyperlink ref="D1480" r:id="rId1119" display="https://www.geonames.org/3071791" xr:uid="{28A99976-D36A-C64A-B7CE-8B21B5277017}"/>
    <hyperlink ref="C1493" r:id="rId1120" display="https://www.geonames.org/3072649/" xr:uid="{E61B607D-AE49-6744-AFE2-742F392B5C4D}"/>
    <hyperlink ref="D1493" r:id="rId1121" display="https://www.geonames.org/3072649/" xr:uid="{60AE5BB2-677A-384B-A80B-DB8C391E359C}"/>
    <hyperlink ref="C329" r:id="rId1122" display="https://www.geonames.org/769910/" xr:uid="{5A97844D-4E77-BA46-A119-595AC6460AF0}"/>
    <hyperlink ref="D329" r:id="rId1123" display="https://www.geonames.org/769910/" xr:uid="{17AB9D89-4BC8-3D46-9650-9453E3776C58}"/>
    <hyperlink ref="C7" r:id="rId1124" display="https://www.geonames.org/686895/" xr:uid="{E16E7CD3-AB6E-9847-A4E2-FC475A917A0A}"/>
    <hyperlink ref="D847" r:id="rId1125" display="https://www.geonames.org/3076098/" xr:uid="{0E65970B-0579-9B44-9E41-4745F0EB485D}"/>
    <hyperlink ref="C847" r:id="rId1126" display="https://www.geonames.org/3061307/" xr:uid="{F8B30201-5825-B449-92D4-31B443F4CD14}"/>
    <hyperlink ref="C632" r:id="rId1127" display="https://www.geonames.org/770996/" xr:uid="{1147C935-61DF-3A4A-B17B-297910DBA52F}"/>
    <hyperlink ref="D632" r:id="rId1128" display="https://www.geonames.org/770996/" xr:uid="{A32CCB67-30C4-6C48-B94B-F566CD5BBBC3}"/>
    <hyperlink ref="C443" r:id="rId1129" display="https://www.geonames.org/763121/" xr:uid="{EE766AA9-0F55-904C-A765-B284A36DDE46}"/>
    <hyperlink ref="C453" r:id="rId1130" display="https://www.geonames.org/770380/" xr:uid="{E44CDE4A-A212-B84E-9EAE-ED9854AC87C3}"/>
    <hyperlink ref="D453" r:id="rId1131" display="https://www.geonames.org/770380/" xr:uid="{F8F33144-4E57-B74F-9A23-8F6C6D5EEA04}"/>
    <hyperlink ref="C462" r:id="rId1132" display="https://www.geonames.org/753506/" xr:uid="{82FFBC90-E737-224D-9883-94CC2096DAD5}"/>
    <hyperlink ref="D462" r:id="rId1133" display="https://www.geonames.org/753506/" xr:uid="{B2F6D40B-BE3C-8B42-9AB1-1EF0D30D65DD}"/>
    <hyperlink ref="C463" r:id="rId1134" display="https://www.geonames.org/3101220/" xr:uid="{B2D7F427-2CB6-7249-970F-CA455AEB929C}"/>
    <hyperlink ref="D463" r:id="rId1135" display="https://www.geonames.org/3101220/" xr:uid="{BEAA0F3B-A58B-7C44-B11F-3759D5A6844E}"/>
    <hyperlink ref="C464" r:id="rId1136" display="https://www.geonames.org/3080291/" xr:uid="{915C8ACA-3CA7-A442-92A0-CE12128A8289}"/>
    <hyperlink ref="D464" r:id="rId1137" display="https://www.geonames.org/3080291/" xr:uid="{7875D9C5-47A9-F746-8FDE-AC2AA04532F9}"/>
    <hyperlink ref="C434" r:id="rId1138" display="https://www.geonames.org/699997/" xr:uid="{31865272-7793-6B48-BD6A-45A17883565E}"/>
    <hyperlink ref="D434" r:id="rId1139" display="https://www.geonames.org/699997/" xr:uid="{B3ACDDD6-3DA9-3545-9F29-0B603BB6C2D4}"/>
    <hyperlink ref="C288" r:id="rId1140" display="https://www.geonames.org/755439/" xr:uid="{0468B427-416F-8140-8336-D994D54AE3A5}"/>
    <hyperlink ref="C842" r:id="rId1141" display="https://www.geonames.org/3073369/" xr:uid="{B846C56D-B220-F347-B89A-B9EA1F264A92}"/>
    <hyperlink ref="D842" r:id="rId1142" display="https://www.geonames.org/3073369/" xr:uid="{FB5EB761-549F-164E-AD4F-CFD9A0AE4A63}"/>
    <hyperlink ref="C843" r:id="rId1143" display="https://www.geonames.org/3078415/" xr:uid="{43BEA104-A09C-2C4D-96D6-16B10764160C}"/>
    <hyperlink ref="D843" r:id="rId1144" display="https://www.geonames.org/3068160/" xr:uid="{3B453421-D5C0-E14B-8F96-9E6E769DA3DE}"/>
    <hyperlink ref="C840" r:id="rId1145" display="https://www.geonames.org/3071343/" xr:uid="{3B94AA9E-4E06-5447-B311-0179FC55D02B}"/>
    <hyperlink ref="D840" r:id="rId1146" display="https://www.geonames.org/3071343/" xr:uid="{A8663D21-C961-6247-BF5C-C8F06E68F47F}"/>
    <hyperlink ref="C844" r:id="rId1147" display="https://www.geonames.org/3064989/" xr:uid="{55A40DB9-3823-1E46-9940-283C2E6DA19C}"/>
    <hyperlink ref="D844" r:id="rId1148" display="https://www.geonames.org/3064989/" xr:uid="{ED40A371-D62B-0B4F-BB39-71AEA412E1A1}"/>
    <hyperlink ref="C9" r:id="rId1149" display="https://www.geonames.org/688618/" xr:uid="{04A4D994-7878-664D-93C4-6DF001B70C9D}"/>
    <hyperlink ref="C454" r:id="rId1150" display="https://www.geonames.org/759301/" xr:uid="{FF94561F-39BD-674E-A45C-B4C148FB2A8B}"/>
    <hyperlink ref="C458" r:id="rId1151" display="https://www.geonames.org/766201/" xr:uid="{1021D97B-7A9E-0D46-A399-ACFB78E615E7}"/>
    <hyperlink ref="D458" r:id="rId1152" display="https://www.geonames.org/766201/" xr:uid="{42C23EDC-A3E2-394A-A922-4A8ADA11CB29}"/>
    <hyperlink ref="C416" r:id="rId1153" display="https://www.geonames.org/698142/" xr:uid="{F389FA9B-2948-B040-883C-619E0F1AE9D4}"/>
    <hyperlink ref="D416" r:id="rId1154" display="https://www.geonames.org/698142/" xr:uid="{0F8FFF73-3BEC-244E-A502-6B1706FADFA0}"/>
    <hyperlink ref="D394" r:id="rId1155" display="https://www.geonames.org/762851/" xr:uid="{87460D31-D9A5-A84C-8DFF-D1DBAB37B77B}"/>
    <hyperlink ref="C394" r:id="rId1156" display="https://www.geonames.org/762851/" xr:uid="{6B6E42C8-953D-B241-A74E-B8CCBA091254}"/>
    <hyperlink ref="C455" r:id="rId1157" display="https://www.geonames.org/753140/" xr:uid="{A270E1BA-8B2D-994B-9B2C-9E2A383FB51B}"/>
    <hyperlink ref="D455" r:id="rId1158" display="https://www.geonames.org/753140/" xr:uid="{C4E9164D-DD0F-004B-A405-4B21D98284B8}"/>
    <hyperlink ref="C444" r:id="rId1159" display="https://www.geonames.org/763121/" xr:uid="{728011C4-A3AD-1C4C-8C49-61E4637C395F}"/>
    <hyperlink ref="C369" r:id="rId1160" display="https://www.geonames.org/774558/" xr:uid="{E5BCF571-3F8C-B24F-A479-A60FABEF8A67}"/>
    <hyperlink ref="D369" r:id="rId1161" display="https://www.geonames.org/774558/" xr:uid="{7BD2142B-B54E-2241-B4AB-390CBD42E596}"/>
    <hyperlink ref="D451" r:id="rId1162" display="https://www.geonames.org/702550+I12:J13" xr:uid="{1B1E02EB-B280-BC45-B5B8-926E92A658C9}"/>
    <hyperlink ref="C451" r:id="rId1163" display="https://www.geonames.org/702550+I12:J13" xr:uid="{F9C89899-4886-0943-8B5B-8A03789B020B}"/>
    <hyperlink ref="C413" r:id="rId1164" display="https://www.geonames.org/705265/" xr:uid="{ED499C24-EFEB-6548-A890-A10709C222B3}"/>
    <hyperlink ref="C325" r:id="rId1165" display="https://www.geonames.org/765876/" xr:uid="{1E8EFA1C-9781-A641-81C1-1139505E0CFA}"/>
    <hyperlink ref="D325" r:id="rId1166" display="https://www.geonames.org/765876/" xr:uid="{7A6C5B92-51DE-5E48-A40F-D004901F8D3C}"/>
    <hyperlink ref="C401" r:id="rId1167" display="https://www.geonames.org/765600/" xr:uid="{2EEFAD14-6303-1344-AAFC-D3BDF9B2A897}"/>
    <hyperlink ref="D401" r:id="rId1168" display="https://www.geonames.org/760680/" xr:uid="{D4CCBEB8-01B7-7945-B460-A315088F795E}"/>
    <hyperlink ref="C81" r:id="rId1169" display="https://www.geonames.org/753866/" xr:uid="{7E1118C2-E205-2B47-AE9E-539CA4025D70}"/>
    <hyperlink ref="C70" r:id="rId1170" display="https://www.geonames.org/3089658/" xr:uid="{9D8D46D7-0516-9C42-BD32-CE79C14AED0B}"/>
    <hyperlink ref="D70" r:id="rId1171" display="https://www.geonames.org/3089658/" xr:uid="{5E9CD1B9-6011-9447-815F-9296A67F51B9}"/>
    <hyperlink ref="C91" r:id="rId1172" display="https://www.geonames.org/687787/" xr:uid="{AB0D91B8-5031-2A43-ACDD-B6812C247C07}"/>
    <hyperlink ref="C79" r:id="rId1173" display="https://www.geonames.org/3073401/" xr:uid="{FF788812-E3B4-E944-8355-E4F522A7A5AC}"/>
    <hyperlink ref="D79" r:id="rId1174" display="https://www.geonames.org/3068582/" xr:uid="{B249B6D6-6039-B840-AA23-35A6E0BD57DF}"/>
    <hyperlink ref="C82" r:id="rId1175" display="https://www.geonames.org/3067870/" xr:uid="{A337BF28-E42B-124B-855B-68AA1932CE60}"/>
    <hyperlink ref="D82" r:id="rId1176" display="https://www.geonames.org/3067870/" xr:uid="{24924BC0-B7FD-024E-B37B-E08E725940D3}"/>
    <hyperlink ref="C176" r:id="rId1177" display="https://www.geonames.org/700507/" xr:uid="{61874E57-BBB4-5548-B024-C1093DA66E46}"/>
    <hyperlink ref="C64" r:id="rId1178" display="https://www.geonames.org/763521/" xr:uid="{C5F84480-B501-CC4D-9584-4B211762968B}"/>
    <hyperlink ref="C66" r:id="rId1179" display="https://www.geonames.org/763521/" xr:uid="{93BEE02E-3A6F-0F43-A666-EAA32425F126}"/>
    <hyperlink ref="C65" r:id="rId1180" display="https://www.geonames.org/757026/" xr:uid="{1758B70E-77CA-ED4F-8381-67347CEC3ABB}"/>
    <hyperlink ref="C173" r:id="rId1181" display="https://www.geonames.org/3078071/" xr:uid="{A45BC53A-0D9A-A54F-9C33-FE35A57F608A}"/>
    <hyperlink ref="C41" r:id="rId1182" display="https://www.geonames.org/3073407/" xr:uid="{7A44EB7C-2AAB-7B49-B771-A48CEA71F530}"/>
    <hyperlink ref="C99" r:id="rId1183" display="https://www.geonames.org/774505/" xr:uid="{74F534D1-D3E2-CF42-82EB-83466E5BDD96}"/>
    <hyperlink ref="D99" r:id="rId1184" display="https://www.geonames.org/756485/" xr:uid="{84E11A7D-BCA1-7249-A8D3-685B9BF1D761}"/>
    <hyperlink ref="C38" r:id="rId1185" display="https://www.geonames.org/3078910/" xr:uid="{1E4F5471-C4B7-6F46-829C-9C568B7956C7}"/>
    <hyperlink ref="C39" r:id="rId1186" display="https://www.geonames.org/765681/" xr:uid="{50EA2A7F-0604-6B40-AA82-F2E2A7504413}"/>
    <hyperlink ref="D38" r:id="rId1187" display="https://www.geonames.org/3078910/" xr:uid="{838383C4-536E-4643-A016-A5F55A9589D0}"/>
    <hyperlink ref="C42" r:id="rId1188" display="https://www.geonames.org/758633/" xr:uid="{3CAC83E5-BA95-8048-933D-E75C3F8B8BD3}"/>
    <hyperlink ref="C43" r:id="rId1189" display="https://www.geonames.org/766332/" xr:uid="{0ADF9B0A-E7E1-5D44-B81B-EB40262A3C6F}"/>
    <hyperlink ref="C142" r:id="rId1190" display="https://www.geonames.org/763534/" xr:uid="{42E5D5F5-2423-8241-806C-4E9CF75F2041}"/>
    <hyperlink ref="C10" r:id="rId1191" display="https://www.geonames.org/770380/" xr:uid="{EE5454E7-AC6D-AE48-ADBE-A3A585301ECC}"/>
    <hyperlink ref="C795" r:id="rId1192" display="https://www.geonames.org/756457/" xr:uid="{C097E194-FD33-0347-BD00-80ECF7FF4CB2}"/>
    <hyperlink ref="C677" r:id="rId1193" display="https://www.geonames.org/702550+I12:J13" xr:uid="{815FB88F-A9D7-E541-9460-CCF2E34C8B72}"/>
    <hyperlink ref="C1402" r:id="rId1194" display="https://www.geonames.org/690814/" xr:uid="{1949C7CB-75D2-624D-AAFA-0A0231B63365}"/>
    <hyperlink ref="D1402" r:id="rId1195" display="https://www.geonames.org/690814/" xr:uid="{CF6CA271-9A8F-0C44-8F31-541CA24C978B}"/>
    <hyperlink ref="C1329" r:id="rId1196" display="https://www.geonames.org/3070624/" xr:uid="{F2738603-D609-1B4F-8855-E58814592772}"/>
    <hyperlink ref="D1329" r:id="rId1197" display="https://www.geonames.org/3070226/" xr:uid="{D2885614-528F-6B4A-92AA-22BACF319EED}"/>
    <hyperlink ref="C129" r:id="rId1198" display="https://www.geonames.org/687093/" xr:uid="{0BF12F30-D386-C649-9DAE-D384E52252D9}"/>
    <hyperlink ref="C139" r:id="rId1199" display="https://www.geonames.org/772772/" xr:uid="{7732DE5B-BB09-C84E-BD0E-1F6433006B45}"/>
    <hyperlink ref="C128" r:id="rId1200" display="https://www.geonames.org/691825/" xr:uid="{8A5455DA-0F1E-F341-BE1E-1840A3AB4929}"/>
    <hyperlink ref="C13" r:id="rId1201" display="https://www.geonames.org/704764/" xr:uid="{6A6E8F9A-5AB8-DD44-BF65-C0BE4A1F66DF}"/>
    <hyperlink ref="C340" r:id="rId1202" display="https://www.geonames.org/695781/" xr:uid="{BBB21A58-389F-9C44-AFE5-92D5EBAF9A97}"/>
    <hyperlink ref="C392" r:id="rId1203" display="https://www.geonames.org/760987/" xr:uid="{9AC426C7-0D24-AB40-8C81-A17BA8740998}"/>
    <hyperlink ref="C412" r:id="rId1204" display="https://www.geonames.org/695781/" xr:uid="{3386E213-EF22-B147-AF5A-AB0901859309}"/>
    <hyperlink ref="C336" r:id="rId1205" display="https://www.geonames.org/690814/" xr:uid="{CB35138F-B260-FF44-8641-9F35D0AD1513}"/>
    <hyperlink ref="C364" r:id="rId1206" display="https://www.geonames.org/690814/" xr:uid="{9B7A87FB-C476-544B-85BE-9E425162C785}"/>
    <hyperlink ref="C321" r:id="rId1207" display="https://www.geonames.org/765932/" xr:uid="{0DBF31A3-9B75-2640-9B13-05749A0652E9}"/>
    <hyperlink ref="C411" r:id="rId1208" display="https://www.geonames.org/695781/" xr:uid="{01A2876D-7FBF-814C-991B-967793F7F3FB}"/>
    <hyperlink ref="D411" r:id="rId1209" display="https://www.geonames.org/695781/" xr:uid="{2EF6A00C-19B4-AF4F-8BD0-3B6B6B6258DB}"/>
    <hyperlink ref="C327" r:id="rId1210" display="https://www.geonames.org/760987/" xr:uid="{8B01F7DB-07E8-F64E-B08F-FCC0C5EFEA98}"/>
    <hyperlink ref="C237" r:id="rId1211" display="https://www.geonames.org/765932/" xr:uid="{2632A574-1A85-DE44-A207-356327173335}"/>
    <hyperlink ref="C631" r:id="rId1212" display="https://www.geonames.org/774128/" xr:uid="{8DF0C1CB-2D64-B141-901C-B50F2F47A34D}"/>
    <hyperlink ref="C25" r:id="rId1213" display="https://www.geonames.org/753063/" xr:uid="{7501098C-EDEC-4D4E-89AC-F4E40826B964}"/>
    <hyperlink ref="C676" r:id="rId1214" display="https://www.geonames.org/702350/" xr:uid="{96EEF721-A8B2-934A-B5F6-EEB65A708CC6}"/>
    <hyperlink ref="C786" r:id="rId1215" display="https://www.geonames.org/700321/" xr:uid="{47D544A3-C344-4D4B-BB25-A92E851F5534}"/>
    <hyperlink ref="C783" r:id="rId1216" display="https://www.geonames.org/695781/" xr:uid="{22F9CD3C-52C2-974F-9D63-E967D2C2DF53}"/>
    <hyperlink ref="C482" r:id="rId1217" display="https://www.geonames.org/695781/" xr:uid="{6960EED0-F664-F741-A444-A3010BCC856E}"/>
    <hyperlink ref="C633" r:id="rId1218" display="https://www.geonames.org/700321/" xr:uid="{AD26416B-397C-B04E-A220-5FCFA1B2CDA7}"/>
    <hyperlink ref="C472" r:id="rId1219" display="https://www.geonames.org/765932/" xr:uid="{5DC2AE5A-AFCA-0E4F-B4C9-35E4E6844CBF}"/>
    <hyperlink ref="C3" r:id="rId1220" display="https://www.geonames.org/3061416/" xr:uid="{46441D11-937B-E948-98CA-7281A4B9385E}"/>
    <hyperlink ref="D3" r:id="rId1221" display="https://www.geonames.org/3077751/" xr:uid="{202B6F39-9B78-C04D-9AE0-77EADE61EDBF}"/>
    <hyperlink ref="C160" r:id="rId1222" display="https://www.geonames.org/757026/" xr:uid="{CC6D7E57-67DA-BC40-8A3A-1F3A487CA4A8}"/>
    <hyperlink ref="C96" r:id="rId1223" display="https://www.geonames.org/3060972/" xr:uid="{A6BF210D-6D6A-404E-9157-BBA50A2BB36E}"/>
    <hyperlink ref="C1342" r:id="rId1224" display="https://www.geonames.org/717345/" xr:uid="{54FAFC50-3CA2-6F4B-B776-2653BF219AEB}"/>
    <hyperlink ref="C1352" r:id="rId1225" display="https://www.geonames.org/717771/" xr:uid="{45EB99E9-71FE-F546-852D-E85247AB50C8}"/>
    <hyperlink ref="C1381" r:id="rId1226" display="https://www.geonames.org/759734/" xr:uid="{D54E9101-FF1D-324B-B6BA-27A03EAD19C8}"/>
    <hyperlink ref="C1394" r:id="rId1227" display="https://www.geonames.org/761131/" xr:uid="{D8FAD199-82A2-F743-A273-B1D178C4447B}"/>
    <hyperlink ref="C1349" r:id="rId1228" display="https://www.geonames.org/682685/" xr:uid="{E096D2BE-F5C2-9345-82C6-517B0ADB1D14}"/>
    <hyperlink ref="C1359" r:id="rId1229" display="https://www.geonames.org/700646/" xr:uid="{4BB9A28C-5FA1-E247-A635-4DBEA98FA36E}"/>
    <hyperlink ref="C1238" r:id="rId1230" display="https://www.geonames.org/721789/" xr:uid="{062BC666-90A4-E547-A928-18BDD0E42974}"/>
    <hyperlink ref="C1330" r:id="rId1231" display="https://www.geonames.org/682685/" xr:uid="{F6C22F56-1F5B-4047-A548-3A561DF0158B}"/>
    <hyperlink ref="C1230" r:id="rId1232" display="https://www.geonames.org/723423/" xr:uid="{761FB80D-3916-784F-9B40-ADDF4D4497C7}"/>
    <hyperlink ref="C1374" r:id="rId1233" display="https://www.geonames.org/725168/" xr:uid="{DE7CE034-E601-9A47-A98D-ED89451DCCF4}"/>
    <hyperlink ref="C1234" r:id="rId1234" display="https://www.geonames.org/680342/" xr:uid="{4DD939B1-1C4F-9646-86DD-FA2A04F0667F}"/>
    <hyperlink ref="C1229" r:id="rId1235" display="https://www.geonames.org/773380/" xr:uid="{2BE842DC-2505-3F48-AFEF-2BF4D2FA1F09}"/>
    <hyperlink ref="C1224" r:id="rId1236" display="https://www.geonames.org/716948/" xr:uid="{6F564F18-FDBD-614D-965A-8515EC56BB15}"/>
    <hyperlink ref="C1501" r:id="rId1237" display="https://www.geonames.org/723628/" xr:uid="{386C75F8-AAE1-9B42-B2AA-2B2C1EBF658D}"/>
    <hyperlink ref="C1458" r:id="rId1238" display="https://www.geonames.org/724623/" xr:uid="{22FB035D-6608-A14C-A1B1-E366E752FB25}"/>
    <hyperlink ref="C1087" r:id="rId1239" display="https://www.geonames.org/690548/" xr:uid="{9F75DD1E-4547-2247-ADB6-2440208C3679}"/>
    <hyperlink ref="C1377" r:id="rId1240" display="https://www.geonames.org/715839/" xr:uid="{C06F0B86-6681-7E43-91B2-C52757B11ED5}"/>
    <hyperlink ref="C1129" r:id="rId1241" display="https://www.geonames.org/723698/" xr:uid="{18E732C4-2CE8-014D-8077-C7D9B3CEF178}"/>
    <hyperlink ref="C1117" r:id="rId1242" display="https://www.geonames.org/725111/" xr:uid="{2CC1E222-AD07-DB40-ACA7-27855F95FB04}"/>
    <hyperlink ref="C1132" r:id="rId1243" display="https://www.geonames.org/709503/" xr:uid="{45431D77-4980-954C-879F-88F08D9629F0}"/>
    <hyperlink ref="C1094" r:id="rId1244" display="https://www.geonames.org/724327/" xr:uid="{53954EB7-CCF1-594F-B372-A6D11650A28D}"/>
    <hyperlink ref="C1106" r:id="rId1245" display="https://www.geonames.org/716168/" xr:uid="{6709411C-1030-9D4C-93ED-D0C171D7B902}"/>
    <hyperlink ref="C1108" r:id="rId1246" display="https://www.geonames.org/724592/" xr:uid="{9E6E099A-5159-8A47-A95A-8196888F1EA6}"/>
    <hyperlink ref="C1113" r:id="rId1247" display="https://www.geonames.org/12057721/" xr:uid="{19B1E9CB-8E74-8A4D-9154-73F0F6BB49A7}"/>
    <hyperlink ref="C1115" r:id="rId1248" display="https://www.geonames.org/723386/" xr:uid="{D7544DE1-75B8-6A4B-9770-DC3B1E1E22C4}"/>
    <hyperlink ref="C1086" r:id="rId1249" display="https://www.geonames.org/707559/" xr:uid="{1805B0C7-3D52-F841-9174-449E86E8241B}"/>
    <hyperlink ref="C1109" r:id="rId1250" display="https://www.geonames.org/694654/" xr:uid="{E404AC4E-94E7-8741-9998-4643BB60C600}"/>
    <hyperlink ref="C1042" r:id="rId1251" display="https://www.geonames.org/724181/" xr:uid="{C87C277A-FBBE-3A40-B019-7933141375A6}"/>
    <hyperlink ref="C1242" r:id="rId1252" display="https://www.geonames.org/723279/" xr:uid="{319D5932-A6B1-B84F-AC2D-3E8A0D4146EB}"/>
    <hyperlink ref="C1334" r:id="rId1253" display="https://www.geonames.org/717902/" xr:uid="{FAFAF478-CD20-9C4C-9A67-4A099F28D4F1}"/>
    <hyperlink ref="C1133" r:id="rId1254" display="https://www.geonames.org/693002/" xr:uid="{A15F1DCC-EC26-414C-9E0A-FF122CB0B10E}"/>
    <hyperlink ref="C1090" r:id="rId1255" display="https://www.geonames.org/724412/" xr:uid="{622EB974-F836-9C4E-874F-DF1C92118CF2}"/>
    <hyperlink ref="C1335" r:id="rId1256" display="https://www.geonames.org/717902/" xr:uid="{8C4F35AF-9417-6F47-B671-0204AA640A78}"/>
    <hyperlink ref="C1340" r:id="rId1257" display="https://www.geonames.org/2779324/" xr:uid="{7615F80F-6533-614F-B12B-5FAB44003A0F}"/>
    <hyperlink ref="C1244" r:id="rId1258" display="https://www.geonames.org/668076/" xr:uid="{B1445984-A726-6840-AD6F-75763C8A11C6}"/>
    <hyperlink ref="C1245" r:id="rId1259" display="https://www.geonames.org/691878/" xr:uid="{9062C6FA-B2BB-2342-B830-683B4DF7CFA6}"/>
    <hyperlink ref="C102" r:id="rId1260" display="https://www.geonames.org/769738/" xr:uid="{78182923-5F9C-8546-83AD-C7978AE8E685}"/>
    <hyperlink ref="C379" r:id="rId1261" display="https://www.geonames.org/766980/" xr:uid="{4407B79A-206E-634F-B506-FB35AF51550B}"/>
    <hyperlink ref="C481" r:id="rId1262" display="https://www.geonames.org/764117/" xr:uid="{4A19A4B5-8062-E14F-BC25-080B7103E313}"/>
    <hyperlink ref="C287" r:id="rId1263" display="https://www.geonames.org/762201/" xr:uid="{69D2B652-5953-7944-B466-1A3F94EE3534}"/>
    <hyperlink ref="C467" r:id="rId1264" display="https://www.geonames.org/763619/" xr:uid="{45581593-753C-1A4B-B19D-75B4492A220A}"/>
    <hyperlink ref="D467" r:id="rId1265" display="https://www.geonames.org/770986/horyniec-zdroj.html" xr:uid="{5DF64893-C48F-AE47-87A8-465779AA2285}"/>
    <hyperlink ref="C909" r:id="rId1266" display="https://www.geonames.org/774558/" xr:uid="{FE9B61A2-7F42-6449-8115-F5AFDAFB6C2C}"/>
    <hyperlink ref="C1013" r:id="rId1267" display="https://www.geonames.org/772896/" xr:uid="{1D42E842-931F-DC49-A1B8-AE904A6C1B1F}"/>
    <hyperlink ref="C788" r:id="rId1268" display="https://www.geonames.org/774128/" xr:uid="{F8B7F0EC-E8A2-874F-9C43-4BEC612099EE}"/>
    <hyperlink ref="C1287" r:id="rId1269" display="https://www.geonames.org/3067421/" xr:uid="{69076B1E-3379-6E46-B8AE-6C575CCE317E}"/>
    <hyperlink ref="C431" r:id="rId1270" display="https://www.geonames.org/774558/" xr:uid="{2ECBE194-C430-ED4C-9E2A-EE8D07F3B31A}"/>
    <hyperlink ref="C1027" r:id="rId1271" display="https://www.geonames.org/758116/" xr:uid="{BB163FD3-7020-9A4C-AACB-753FAB9470D3}"/>
    <hyperlink ref="C1009" r:id="rId1272" display="https://www.geonames.org/3096401/" xr:uid="{2C30EC92-3576-8E41-BC3B-80A9C6733570}"/>
    <hyperlink ref="C1284" r:id="rId1273" display="https://www.geonames.org/702550+I12:J13" xr:uid="{09E6C973-F906-EA4B-87B0-87FAC726334C}"/>
    <hyperlink ref="C1312" r:id="rId1274" display="https://www.geonames.org/712381/" xr:uid="{735DD90B-B5B2-E748-9453-2EC0AA31DC69}"/>
    <hyperlink ref="D1312" r:id="rId1275" display="https://www.geonames.org/712381/" xr:uid="{7EB838AF-C6A7-E84E-AB52-A7605454CC61}"/>
    <hyperlink ref="C1292" r:id="rId1276" display="https://www.geonames.org/3070310/" xr:uid="{5F926AEA-9F80-814D-8A79-FC871EAEEB62}"/>
    <hyperlink ref="C1149" r:id="rId1277" display="https://www.geonames.org/757897/" xr:uid="{6FAF0D3F-57CD-8548-9D82-F8C5B4E47DA1}"/>
    <hyperlink ref="D1149" r:id="rId1278" display="https://www.geonames.org/757897/" xr:uid="{519D992F-153E-9740-ACBD-FF39DD79B02E}"/>
    <hyperlink ref="C1290" r:id="rId1279" display="https://www.geonames.org/3072649/" xr:uid="{6EEE1716-12F0-BB49-9404-652A6978C948}"/>
    <hyperlink ref="D1290" r:id="rId1280" display="https://www.geonames.org/3072649/" xr:uid="{70430201-65C9-8742-96BC-271EA432A2AD}"/>
    <hyperlink ref="C1148" r:id="rId1281" display="https://www.geonames.org/758905/" xr:uid="{2FCEB092-C07F-D94F-9239-28493610392C}"/>
    <hyperlink ref="D1148" r:id="rId1282" display="https://www.geonames.org/758905/" xr:uid="{0E46EA6B-8E1D-2841-ACE5-3B1743151DDF}"/>
    <hyperlink ref="C1280" r:id="rId1283" xr:uid="{F34DEE97-F0A8-8D46-BC52-A11E89C799EA}"/>
    <hyperlink ref="C1279" r:id="rId1284" display="https://www.geonames.org/2781024/" xr:uid="{2CE209CE-F58C-6D4B-85C4-6462AB8FA917}"/>
    <hyperlink ref="C1391" r:id="rId1285" display="https://www.geonames.org/702550+I12:J13" xr:uid="{35298B1D-E0E4-7049-8B0A-CB6F1CBF4980}"/>
    <hyperlink ref="C1337" r:id="rId1286" display="https://www.geonames.org/3063196/" xr:uid="{2049C3B4-4EC2-C94E-B4C9-CE17260E547F}"/>
    <hyperlink ref="C1014" r:id="rId1287" display="https://www.geonames.org/697692/" xr:uid="{F45C8A28-F2EF-7A4E-8C96-F02A7D907C92}"/>
    <hyperlink ref="D1014" r:id="rId1288" display="https://www.geonames.org/697692/" xr:uid="{7FAE14F9-5EF7-4140-AF88-B75C6660D769}"/>
    <hyperlink ref="C1276" r:id="rId1289" display="https://www.geonames.org/3078561/" xr:uid="{B4952C9C-B59D-3344-A9D6-875D0953B6DB}"/>
    <hyperlink ref="C851" r:id="rId1290" display="https://www.geonames.org/3079637/" xr:uid="{184C8CE1-1AA0-DE4D-AE14-8D09EA0CBA12}"/>
    <hyperlink ref="D851" r:id="rId1291" display="https://www.geonames.org/3079637/" xr:uid="{F7136FF1-293F-884C-A228-28E578F4D57F}"/>
    <hyperlink ref="C1339" r:id="rId1292" display="https://www.geonames.org/3064104/" xr:uid="{409ADFAB-C081-E641-9B72-FC352DA37D7F}"/>
    <hyperlink ref="D1339" r:id="rId1293" display="https://www.geonames.org/3064104/" xr:uid="{8D9C65D3-DD4F-E346-8919-FF882A961C53}"/>
    <hyperlink ref="C1314" r:id="rId1294" display="https://www.geonames.org/3057691/" xr:uid="{CCE855FF-F726-B748-9649-40BEE1FECA4F}"/>
    <hyperlink ref="D1314" r:id="rId1295" display="https://www.geonames.org/3057691/" xr:uid="{D6B04BC5-41B0-5B48-AE42-415BE0BCA298}"/>
    <hyperlink ref="C894" r:id="rId1296" display="https://www.geonames.org/695342/" xr:uid="{124124B2-98A9-5244-81D3-AB5E131268B5}"/>
    <hyperlink ref="D894" r:id="rId1297" display="https://www.geonames.org/695342/" xr:uid="{815297C4-D1CF-394D-BF3B-D03A24911D15}"/>
    <hyperlink ref="C1195" r:id="rId1298" display="https://www.geonames.org/3063196/" xr:uid="{1EB0A43E-03D1-2447-8F27-39331D32FB79}"/>
    <hyperlink ref="D1195" r:id="rId1299" display="https://www.geonames.org/3063196/" xr:uid="{8A96C92D-B9C6-EE4E-AB59-B2EDB600197F}"/>
    <hyperlink ref="C937" r:id="rId1300" display="https://www.geonames.org/712381/" xr:uid="{77D13ADA-8DC3-264E-A1B5-93611C483C94}"/>
    <hyperlink ref="D937" r:id="rId1301" display="https://www.geonames.org/712381/" xr:uid="{DA1C9816-4A49-564A-B99A-13D663821D60}"/>
    <hyperlink ref="C903" r:id="rId1302" display="https://www.geonames.org/3075220/" xr:uid="{76ABD72E-44F1-4F4A-818C-B0B59D6873A6}"/>
    <hyperlink ref="D903" r:id="rId1303" display="https://www.geonames.org/3075220/" xr:uid="{37D111A3-B7D1-784A-AB6C-9D32CE1F0C47}"/>
    <hyperlink ref="C1166" r:id="rId1304" display="https://www.geonames.org/3064104/" xr:uid="{69051461-D926-7445-8066-346DCD3DB083}"/>
    <hyperlink ref="D1166" r:id="rId1305" display="https://www.geonames.org/3064104/" xr:uid="{ABE8EF1F-FACA-B040-90B4-C4FC87D12ADC}"/>
    <hyperlink ref="D1296" r:id="rId1306" display="https://www.geonames.org/3064104/" xr:uid="{99B7F3B4-649C-8447-9D7E-1791E8C10B47}"/>
    <hyperlink ref="C902" r:id="rId1307" display="https://www.geonames.org/3063196/" xr:uid="{240283D0-C9EB-E043-A6F9-D25F148AAA79}"/>
    <hyperlink ref="D902" r:id="rId1308" display="https://www.geonames.org/3063196/" xr:uid="{E1D9125E-7F4C-144E-9403-6B4FFC2D014E}"/>
    <hyperlink ref="C856" r:id="rId1309" display="https://www.geonames.org/708999/" xr:uid="{29FB6C25-8B06-A648-A38B-F84671C752EA}"/>
    <hyperlink ref="D856" r:id="rId1310" display="https://www.geonames.org/708999/" xr:uid="{F07633C8-3C23-2147-96B0-4DECFE0B1E9B}"/>
    <hyperlink ref="C351" r:id="rId1311" display="https://www.geonames.org/753866/" xr:uid="{748AF8CA-748D-A54A-9BE4-B350047D160B}"/>
    <hyperlink ref="C185" r:id="rId1312" display="https://www.geonames.org/757026/" xr:uid="{6D21FFAF-2218-D748-B87F-5D088CFC42F0}"/>
    <hyperlink ref="C1285" r:id="rId1313" display="https://www.geonames.org/3070720/" xr:uid="{5C4D0501-8C11-F04C-A42C-15CE0F54A757}"/>
    <hyperlink ref="C1481" r:id="rId1314" display="https://www.geonames.org/3045991/" xr:uid="{1FC2635E-6570-2F49-A983-7CC6F68426E6}"/>
    <hyperlink ref="C368" r:id="rId1315" display="https://www.geonames.org/753140/" xr:uid="{8A3DE037-5984-7C4C-9B8F-EC618091CF57}"/>
    <hyperlink ref="C855" r:id="rId1316" display="https://www.geonames.org/3094802/" xr:uid="{53CF1A4C-2071-9341-B2A3-06D7FBA4C550}"/>
    <hyperlink ref="C1022" r:id="rId1317" display="https://www.geonames.org/760518" xr:uid="{614527F2-1A31-7F4E-9E47-3155BDF7F9D8}"/>
    <hyperlink ref="C1491" r:id="rId1318" display="https://www.geonames.org/3061552/" xr:uid="{F8D31AD9-E902-C840-9D65-8E8C0246A836}"/>
    <hyperlink ref="C1496" r:id="rId1319" display="https://www.geonames.org/2761369/" xr:uid="{F194B9C6-29AA-034A-A257-4ECC763EE081}"/>
    <hyperlink ref="C244" r:id="rId1320" display="https://www.google.at/maps/place/Choustn%C3%ADk,+Czechia/@49.3277329,14.803783,13z/data=!3m1!4b1!4m5!3m4!1s0x470cbf10fd206777:0x26d71bffc95755fc!8m2!3d49.3329448!4d14.8383919" xr:uid="{6474EF81-CB1D-BA46-9F54-0C45D9C9F4D8}"/>
    <hyperlink ref="C662" r:id="rId1321" display="https://www.google.at/maps/dir/H%C5%99e%C5%A1ihlavy/@49.9274267,13.6060244,13.73z/data=!4m9!4m8!1m5!1m1!1s0x470a571cd937f7ad:0xe805a4ae8b4d3aba!2m2!1d13.6192242!2d49.9292888!1m0!3e2" xr:uid="{71D4B5EB-38E3-B647-88A5-95E66E81254C}"/>
    <hyperlink ref="C219" r:id="rId1322" display="https://www.geonames.org/3078838/" xr:uid="{60219F70-2000-0449-B05B-576BCF3EB923}"/>
    <hyperlink ref="C221" r:id="rId1323" display="https://www.geonames.org/3064989/" xr:uid="{9EF83318-8CC7-6649-93F0-6476C5CC0E38}"/>
    <hyperlink ref="C269" r:id="rId1324" display="https://www.geonames.org/8426072/" xr:uid="{71E80565-09AD-0A4F-8F73-C89F051E7897}"/>
    <hyperlink ref="C1306" r:id="rId1325" display="https://www.geonames.org/707554/" xr:uid="{1242FE1F-2F61-EA40-967A-8A890AC7613F}"/>
    <hyperlink ref="D1306" r:id="rId1326" display="https://www.geonames.org/707554/" xr:uid="{EFB0B6F2-4083-944E-B0E0-46F4D1B20961}"/>
    <hyperlink ref="C1170" r:id="rId1327" display="https://www.geonames.org/770380/" xr:uid="{62951DD6-6073-5B40-8E33-AFED71B80577}"/>
    <hyperlink ref="D1170" r:id="rId1328" display="https://www.geonames.org/770380/" xr:uid="{1DCE45CF-AB6F-9245-9979-6163C1B694F7}"/>
    <hyperlink ref="C1327" r:id="rId1329" display="https://www.geonames.org/768861/" xr:uid="{1EB4B9C8-9C08-0742-A8A4-1D61A69356BA}"/>
    <hyperlink ref="C1304" r:id="rId1330" display="https://www.geonames.org/765681/" xr:uid="{42A25294-863A-AA43-B277-F7AFDEFEDFBC}"/>
    <hyperlink ref="C1079" r:id="rId1331" display="https://www.geonames.org/709794/" xr:uid="{FD39DF57-BF3B-924A-8323-014F5E77D27F}"/>
    <hyperlink ref="D1079" r:id="rId1332" display="https://www.geonames.org/709794/" xr:uid="{6DDEE250-9C61-FE48-8CE6-8AE599762DCE}"/>
    <hyperlink ref="C1396" r:id="rId1333" display="https://www.geonames.org/760215/" xr:uid="{596206C3-BD42-DA4D-A2EA-A33BEF72092C}"/>
    <hyperlink ref="D1396" r:id="rId1334" display="https://www.geonames.org/761255/" xr:uid="{2E2701F6-0894-1844-9DA4-C7CBDE6A76B9}"/>
    <hyperlink ref="C1146" r:id="rId1335" display="https://www.geonames.org/770380/" xr:uid="{C6182267-3C51-314D-A7B4-B2E31E0782A9}"/>
    <hyperlink ref="D1146" r:id="rId1336" display="https://www.geonames.org/770380/" xr:uid="{D463770B-97EE-054E-AC44-28DCA85535A9}"/>
    <hyperlink ref="C1171" r:id="rId1337" display="https://www.geonames.org/770380/" xr:uid="{A05E5EDC-9186-FD4F-8F53-FA5172630DCF}"/>
    <hyperlink ref="D1171" r:id="rId1338" display="https://www.geonames.org/770380/" xr:uid="{EF04183A-2148-C640-8F33-103FB20583C8}"/>
    <hyperlink ref="C853" r:id="rId1339" display="https://www.geonames.org/702550+I12:J13" xr:uid="{EFB04B4D-9B1C-294F-8DF6-819413186F32}"/>
    <hyperlink ref="C1144" r:id="rId1340" display="https://www.geonames.org/761168/" xr:uid="{D2F82FAD-F09D-B94A-9591-DF8A9E57633E}"/>
    <hyperlink ref="C491" r:id="rId1341" display="https://www.geonames.org/776403/" xr:uid="{57904C66-1B38-BF4B-BB9E-EF8DE2C68179}"/>
    <hyperlink ref="C854" r:id="rId1342" display="https://www.geonames.org/688288/" xr:uid="{5A091F48-6148-ED4B-9944-17F60FE93A38}"/>
    <hyperlink ref="C1147" r:id="rId1343" display="https://www.geonames.org/707934/" xr:uid="{D1A4FC84-D80C-EF44-A9EC-112E76A70081}"/>
    <hyperlink ref="D1147" r:id="rId1344" display="https://www.geonames.org/697748/" xr:uid="{DDE97260-35D4-5B48-8959-CF4E4805D279}"/>
    <hyperlink ref="C1083" r:id="rId1345" display="https://www.geonames.org/770380/" xr:uid="{49C84C00-0248-544D-ACED-F4417F1CA358}"/>
    <hyperlink ref="D1083" r:id="rId1346" display="https://www.geonames.org/770380/" xr:uid="{38B1692C-16C8-FE4E-9025-91EA6647C37E}"/>
    <hyperlink ref="C1082" r:id="rId1347" display="https://www.geonames.org/770380/" xr:uid="{5EA34C23-1CFF-C54D-B46F-24E8B2688173}"/>
    <hyperlink ref="D1082" r:id="rId1348" display="https://www.geonames.org/770380/" xr:uid="{57C0362C-FCD7-424E-9536-C52888CBFD75}"/>
    <hyperlink ref="C1037" r:id="rId1349" display="https://www.geonames.org/704513/" xr:uid="{AE7AF914-4E94-D740-A6E5-778251378625}"/>
    <hyperlink ref="C1158" r:id="rId1350" display="https://www.geonames.org/774558/" xr:uid="{69AF686F-06B9-3746-9626-B0A8B98E97C0}"/>
    <hyperlink ref="C1397" r:id="rId1351" display="https://www.geonames.org/765876/" xr:uid="{0D867C88-DD46-0A4B-85E8-F93CC74E156B}"/>
    <hyperlink ref="C1070" r:id="rId1352" display="https://www.geonames.org/704513/" xr:uid="{135D6E17-8235-2E4E-ACA5-2A34719732AA}"/>
    <hyperlink ref="C324" r:id="rId1353" display="https://www.geonames.org/3067696/" xr:uid="{A50B5485-4F27-1A43-9A19-B1386DA3A0C7}"/>
    <hyperlink ref="C183" r:id="rId1354" display="https://www.geonames.org/772896/" xr:uid="{E3CB05B9-1870-1E49-9ED1-655D6E947C71}"/>
    <hyperlink ref="C347" r:id="rId1355" display="https://www.geonames.org/705392/" xr:uid="{23607794-9A13-E347-9CBF-4B5028689CB4}"/>
    <hyperlink ref="D347" r:id="rId1356" display="https://www.geonames.org/705392/" xr:uid="{16DD5AD3-332C-274B-9BA9-46A80AF7749C}"/>
    <hyperlink ref="C274" r:id="rId1357" display="https://www.geonames.org/3075504/" xr:uid="{DFA0ABC7-4098-6E43-902B-B20D861E570E}"/>
    <hyperlink ref="D274" r:id="rId1358" display="https://www.geonames.org/3075504/" xr:uid="{A3DB75FF-2790-3140-B94E-95C2E7CB64C2}"/>
    <hyperlink ref="D263" r:id="rId1359" display="https://www.geonames.org/759603/" xr:uid="{62B11FBB-EE6A-414C-96AB-C2058DB0B930}"/>
    <hyperlink ref="C733" r:id="rId1360" display="https://www.geonames.org/3062257/" xr:uid="{393D4B43-B0E1-6E43-8090-5512776399A8}"/>
    <hyperlink ref="D292" r:id="rId1361" display="../../../vladimirberkovich/Library/Containers/com.microsoft.Word/Data/Library/Preferences/AutoRecovery/%255BBeurlaubt in Galizien%255D," xr:uid="{A6B52CF1-1DA6-D04A-BDE2-0AB63DF78ED4}"/>
    <hyperlink ref="C348" r:id="rId1362" display="https://www.geonames.org/703514/" xr:uid="{7CE04E4A-A486-7B41-AC6A-EA593E8DEEBE}"/>
    <hyperlink ref="D348" r:id="rId1363" display="https://www.geonames.org/703514/" xr:uid="{4FCA3532-B327-3640-B1CE-CD09C1E9E2DA}"/>
    <hyperlink ref="C813" r:id="rId1364" display="https://www.geonames.org/3047211/" xr:uid="{E7F942EF-E1F5-0744-92F9-6E057378A93E}"/>
    <hyperlink ref="D813" r:id="rId1365" display="https://www.geonames.org/3047211/" xr:uid="{BE87059D-D702-4545-A532-084E817DD8EC}"/>
    <hyperlink ref="C217" r:id="rId1366" display="https://www.geonames.org/3068934/" xr:uid="{F588A87E-E4C3-494C-9BAD-C867D6E12B31}"/>
    <hyperlink ref="D217" r:id="rId1367" display="https://www.geonames.org/3066999/" xr:uid="{A9D76382-D1C9-2B4C-9683-DF10BAEA8F22}"/>
    <hyperlink ref="C663" r:id="rId1368" display="https://www.geonames.org/3079215/" xr:uid="{793FA746-C157-BF40-AB9B-76A3CC2204FE}"/>
    <hyperlink ref="D663" r:id="rId1369" display="https://www.geonames.org/3071587/" xr:uid="{4CF1537F-ACEF-7841-8497-D5C27170A412}"/>
    <hyperlink ref="C338" r:id="rId1370" display="https://www.geonames.org/696065/" xr:uid="{894358BB-6BB6-EE4D-BB84-F117F7DA9140}"/>
    <hyperlink ref="D338" r:id="rId1371" display="https://www.geonames.org/703893/" xr:uid="{3226A3FB-DE01-7E4A-AFF1-68512F6B611D}"/>
    <hyperlink ref="C361" r:id="rId1372" display="https://www.geonames.org/3071966/" xr:uid="{EF81AB30-F774-FF45-97CF-631D57CA3CEF}"/>
    <hyperlink ref="D361" r:id="rId1373" display="https://www.geonames.org/3071966/" xr:uid="{E99551D6-FB9F-5E49-9183-2670F4E2F2D7}"/>
    <hyperlink ref="C266" r:id="rId1374" display="https://www.geonames.org/762390/" xr:uid="{643B8658-D1B3-D649-B3D1-1F949DD13849}"/>
    <hyperlink ref="D266" r:id="rId1375" display="https://www.geonames.org/762390/" xr:uid="{5891B8C1-4A51-734C-B082-E4402A78128F}"/>
    <hyperlink ref="C739" r:id="rId1376" display="https://www.geonames.org/3071966/" xr:uid="{49505C61-0D16-6340-9C5A-F556B4756446}"/>
    <hyperlink ref="D739" r:id="rId1377" display="https://www.geonames.org/3071966/" xr:uid="{50564C5B-1861-AD40-A775-E698DBBFC6EF}"/>
    <hyperlink ref="D328" r:id="rId1378" display="https://www.geonames.org/711850/" xr:uid="{72D440CE-D3F3-3A47-923C-2EF155BB4EA2}"/>
    <hyperlink ref="C328" r:id="rId1379" display="https://www.geonames.org/689443/" xr:uid="{30C3E11A-E523-D74D-826E-1D9FAB526D41}"/>
    <hyperlink ref="C260" r:id="rId1380" display="https://www.geonames.org/3069052/" xr:uid="{4CB93D27-FDF0-D144-B2E3-7E4486216851}"/>
    <hyperlink ref="D260" r:id="rId1381" display="https://www.geonames.org/3073152/" xr:uid="{AB7E09D3-A779-9D4A-8BAE-F667BCE65C9F}"/>
    <hyperlink ref="C576" r:id="rId1382" display="https://www.geonames.org/3067696/" xr:uid="{D5864E8F-E3A4-194B-8560-379D9E6FA84D}"/>
    <hyperlink ref="C866" r:id="rId1383" display="https://www.geonames.org/3068244/" xr:uid="{CDAB9C33-6ED1-BB42-9A8C-EB762138149C}"/>
    <hyperlink ref="D866" r:id="rId1384" display="https://www.geonames.org/3073152/" xr:uid="{DB35CD34-F1D6-3848-A6A9-A89C02A86430}"/>
    <hyperlink ref="C899" r:id="rId1385" display="https://www.geonames.org/757033/" xr:uid="{83985C3A-5B6A-2342-B313-8DDCA7D130F4}"/>
    <hyperlink ref="D899" r:id="rId1386" display="https://www.geonames.org/757033/" xr:uid="{0365CEC5-6816-6E42-9203-C0765570B9F7}"/>
    <hyperlink ref="C216" r:id="rId1387" display="https://www.geonames.org/3067696/" xr:uid="{ED1C22F4-DE02-0945-9733-717023DFB9DB}"/>
    <hyperlink ref="C892" r:id="rId1388" display="https://www.geonames.org/771394/" xr:uid="{1AD3308B-0010-4148-B069-95FE87179818}"/>
    <hyperlink ref="D892" r:id="rId1389" display="https://www.geonames.org/771394/" xr:uid="{8C172DED-7863-E640-BDD4-6274BC644CFF}"/>
    <hyperlink ref="C1024" r:id="rId1390" display="https://www.geonames.org/756377/" xr:uid="{7927B646-1CE1-1F43-BA22-0BF4608D26B1}"/>
    <hyperlink ref="D1024" r:id="rId1391" display="https://www.geonames.org/756377/" xr:uid="{EE3C6BE7-47AE-CB4E-85A0-D6346DFAD199}"/>
    <hyperlink ref="C435" r:id="rId1392" display="https://www.geonames.org/3073371/" xr:uid="{711EAB10-1A56-5347-A703-6C9A94EAF20E}"/>
    <hyperlink ref="D435" r:id="rId1393" display="https://www.geonames.org/3073371/" xr:uid="{CC3644D7-D4F9-624A-9AD9-E7E7FB004653}"/>
    <hyperlink ref="C630" r:id="rId1394" display="https://www.geonames.org/761494/" xr:uid="{22CF52BD-AB9E-7D46-A850-C6F1ECD99A01}"/>
    <hyperlink ref="D630" r:id="rId1395" display="https://www.geonames.org/758282/" xr:uid="{80BA3D13-B49B-9240-BA03-5A0B4B56325D}"/>
    <hyperlink ref="D904" r:id="rId1396" display="https://www.geonames.org/3066999/" xr:uid="{250A7BFD-2013-CF45-A569-342BF931108F}"/>
    <hyperlink ref="C976" r:id="rId1397" display="https://www.geonames.org/3075791/" xr:uid="{B4C3DAE1-6615-D64B-A098-8780A3FA703C}"/>
    <hyperlink ref="D976" r:id="rId1398" display="https://www.geonames.org/3069986/" xr:uid="{7381C54E-95FF-F24C-814F-F6480A681ED0}"/>
    <hyperlink ref="C211" r:id="rId1399" display="https://www.geonames.org/3067696/" xr:uid="{099E9347-E91A-4A43-8592-19AA2CECFE62}"/>
    <hyperlink ref="C212" r:id="rId1400" display="https://www.geonames.org/3065067/" xr:uid="{BA36C8A9-4AC9-5C43-854A-383388BB65D1}"/>
    <hyperlink ref="C498" r:id="rId1401" display="https://www.geonames.org/3067696/" xr:uid="{210F4446-4C73-1D46-A9B7-B5DA90ED4AC0}"/>
    <hyperlink ref="C273" r:id="rId1402" display="https://www.geonames.org/768861/" xr:uid="{029F8C9B-1CAA-134F-BCDF-30746E593442}"/>
    <hyperlink ref="C265" r:id="rId1403" display="https://www.geonames.org/765927/" xr:uid="{486ACD57-9E85-7841-AE84-36C6B2A07DA4}"/>
    <hyperlink ref="C456" r:id="rId1404" display="https://www.geonames.org/3067696/" xr:uid="{54985EB3-E5AA-E843-8968-2594A4F9A465}"/>
    <hyperlink ref="C893" r:id="rId1405" display="https://www.geonames.org/760185/" xr:uid="{39711240-792A-6C46-B9A1-DA11CE98356A}"/>
    <hyperlink ref="D893" r:id="rId1406" display="https://www.geonames.org/774582/" xr:uid="{7D230C5C-ED9E-C440-A040-83722B79B937}"/>
    <hyperlink ref="C874" r:id="rId1407" display="https://www.geonames.org/3078838/" xr:uid="{623D3A0E-9F2E-B740-9BB4-809400AAAE80}"/>
    <hyperlink ref="D874" r:id="rId1408" display="https://www.geonames.org/3078838/" xr:uid="{A8437C4C-B308-FE41-84E2-907850943143}"/>
    <hyperlink ref="C743" r:id="rId1409" display="https://www.geonames.org/3073152/" xr:uid="{180B2C7C-448F-8843-BB3F-7B8DAFCE71A9}"/>
    <hyperlink ref="D743" r:id="rId1410" display="https://www.geonames.org/3073152/" xr:uid="{15B81A2F-8A92-6143-84F0-ED9997DC3AC7}"/>
    <hyperlink ref="C283" r:id="rId1411" display="https://www.geonames.org/765876/" xr:uid="{28D1C1AA-0C0F-C04F-8E44-089A5A1B9CBD}"/>
    <hyperlink ref="D283" r:id="rId1412" display="https://www.geonames.org/765876/" xr:uid="{4F4EA904-09C7-634E-BBA7-AE8C30EB8CBB}"/>
    <hyperlink ref="C225" r:id="rId1413" display="https://www.geonames.org/700507/" xr:uid="{8B43FB7E-9DC2-6041-99D1-F74075C88897}"/>
    <hyperlink ref="C597" r:id="rId1414" display="https://www.geonames.org/765876/" xr:uid="{1E737CC4-6ED9-2F41-9B36-99FD249D7F66}"/>
    <hyperlink ref="C538" r:id="rId1415" display="https://www.geonames.org/756577/" xr:uid="{C1ED1BB6-46F5-9F4B-A6B7-38AFA80E1E42}"/>
    <hyperlink ref="C236" r:id="rId1416" display="https://www.geonames.org/693178/" xr:uid="{D0A4B4A0-48D2-6E42-BA9D-1B6D5AD5DED0}"/>
    <hyperlink ref="D236" r:id="rId1417" display="https://www.geonames.org/693178/" xr:uid="{F4B31B10-9407-DA4B-8C21-46AD6E6C593D}"/>
    <hyperlink ref="C531" r:id="rId1418" display="https://www.geonames.org/753063/" xr:uid="{19C9D6AC-3D22-4F43-84E7-3BFF2210EF85}"/>
    <hyperlink ref="D531" r:id="rId1419" display="https://www.geonames.org/753063/" xr:uid="{CB58ED3D-E69C-3848-938E-4C8B36F831B3}"/>
    <hyperlink ref="C707" r:id="rId1420" display="https://www.geonames.org/765177/" xr:uid="{FA2A562A-C1F6-F840-92C5-CD230B41A4B2}"/>
    <hyperlink ref="D707" r:id="rId1421" display="https://www.geonames.org/765177/" xr:uid="{15133DE9-7271-634B-980D-6C1A86D6AD45}"/>
    <hyperlink ref="C366" r:id="rId1422" display="https://www.geonames.org/765876/" xr:uid="{DE0C6828-2EDB-124E-B3B5-A73055A3548F}"/>
    <hyperlink ref="C229" r:id="rId1423" display="https://www.geonames.org/700507/" xr:uid="{86DAACBB-8CC6-304B-B6A1-A984E6EA3EBB}"/>
    <hyperlink ref="D229" r:id="rId1424" display="https://www.geonames.org/700507/" xr:uid="{5D71B5A9-9BFD-6E43-A1A7-CE520922FFF7}"/>
    <hyperlink ref="C665" r:id="rId1425" display="https://www.geonames.org/757026/" xr:uid="{8CDD6EA3-FA2D-FC41-9327-370E353B10F1}"/>
    <hyperlink ref="C621" r:id="rId1426" display="https://www.geonames.org/757026/" xr:uid="{B9DE4A66-1E72-0549-947F-0B9A8F6C687D}"/>
    <hyperlink ref="C716" r:id="rId1427" display="https://www.geonames.org/707858/" xr:uid="{D7F764EC-4274-A04A-A841-C87E77340ADA}"/>
    <hyperlink ref="D716" r:id="rId1428" display="https://www.geonames.org/707858/" xr:uid="{A7C23CAC-0C0F-984F-902F-3803968CBF03}"/>
    <hyperlink ref="C848" r:id="rId1429" display="https://www.geonames.org/3078275/" xr:uid="{8B5206F2-5E34-034B-AC42-AAA34BDE1DA6}"/>
    <hyperlink ref="D848" r:id="rId1430" display="https://www.geonames.org/3078275/" xr:uid="{29371C75-CA15-8B49-8650-5EA703756465}"/>
    <hyperlink ref="C1012" r:id="rId1431" display="https://www.geonames.org/755881/" xr:uid="{6FA75C13-533F-3C4F-9B7A-FB70B64DCF70}"/>
    <hyperlink ref="D1012" r:id="rId1432" display="https://www.geonames.org/755881/" xr:uid="{EDB8B979-9D43-224A-9580-482E69154EF8}"/>
    <hyperlink ref="C984" r:id="rId1433" display="https://www.geonames.org/761008/" xr:uid="{BE57ADBF-DB05-1146-B4D7-759779A5FB00}"/>
    <hyperlink ref="C988" r:id="rId1434" display="https://www.geonames.org/763111/" xr:uid="{D7D4B431-FA7D-DE4E-8A50-C4BCD1E584E7}"/>
    <hyperlink ref="D988" r:id="rId1435" display="https://www.geonames.org/763111/" xr:uid="{84B05E4D-372E-9A4B-AD31-CD77C7B1DFB1}"/>
    <hyperlink ref="C923" r:id="rId1436" display="https://www.geonames.org/708380/" xr:uid="{7260C22D-9727-0D46-A9A4-783535A95D59}"/>
    <hyperlink ref="D923" r:id="rId1437" display="https://www.geonames.org/708380/" xr:uid="{BE052295-5E17-4D4E-A4C6-57EBE3DBFF59}"/>
    <hyperlink ref="C859" r:id="rId1438" display="https://www.geonames.org/711850/" xr:uid="{DC60CBBD-29DE-6445-A91B-C307C3BFF4B8}"/>
    <hyperlink ref="D859" r:id="rId1439" display="https://www.geonames.org/711850/" xr:uid="{F7D54BDA-E938-6543-9B4B-946F4EC63A55}"/>
    <hyperlink ref="C857" r:id="rId1440" display="https://www.geonames.org/691650/" xr:uid="{73CBE37D-D6D2-F44B-BE54-6DB75FD53443}"/>
    <hyperlink ref="C887" r:id="rId1441" display="https://www.geonames.org/687826/" xr:uid="{8AA56A46-D3E9-FA4F-9DAC-611EB9B75497}"/>
    <hyperlink ref="D887" r:id="rId1442" display="https://www.geonames.org/687826/" xr:uid="{37C7AD52-5124-3F49-A3BD-D432BDAA43D2}"/>
    <hyperlink ref="C929" r:id="rId1443" display="https://www.geonames.org/711850/" xr:uid="{49A65E8A-6AC5-7045-9B47-F778BD321F69}"/>
    <hyperlink ref="D929" r:id="rId1444" display="https://www.geonames.org/711850/" xr:uid="{655C175D-8FDC-E54C-9912-FF2FBD997F63}"/>
    <hyperlink ref="D871" r:id="rId1445" display="https://www.geonames.org/698825/" xr:uid="{B641C1F8-8F99-2F4A-A5A1-9BA9923D36B6}"/>
    <hyperlink ref="C871" r:id="rId1446" display="https://www.geonames.org/698825/" xr:uid="{4165C804-61C7-044F-8876-F3C3A7D34864}"/>
    <hyperlink ref="C919" r:id="rId1447" display="https://www.geonames.org/702550+I12:J13" xr:uid="{94ACC4BB-C301-2943-8F34-3CDC9585EA82}"/>
    <hyperlink ref="D919" r:id="rId1448" display="https://www.geonames.org/702550+I12:J13" xr:uid="{5E8CC6D5-59D8-BE41-BB6F-BEB55E7A00B7}"/>
    <hyperlink ref="C615" r:id="rId1449" display="https://www.geonames.org/705265/" xr:uid="{7CD7B107-F3AE-B145-AEFD-B5846F53E189}"/>
    <hyperlink ref="D615" r:id="rId1450" display="https://www.geonames.org/705265/" xr:uid="{41266D4C-27C8-044A-8E6E-4429B3708DCE}"/>
    <hyperlink ref="C917" r:id="rId1451" display="https://www.geonames.org/689564/" xr:uid="{D83F5B22-4023-0E4E-8AAE-84F407A08889}"/>
    <hyperlink ref="D917" r:id="rId1452" display="https://www.geonames.org/689564/" xr:uid="{28342D7F-5BCC-E743-AE38-1DC140130773}"/>
    <hyperlink ref="C1056" r:id="rId1453" display="https://www.geonames.org/694979/" xr:uid="{101C6C02-5E98-194F-B823-8CF297EE6130}"/>
    <hyperlink ref="D1056" r:id="rId1454" display="https://www.geonames.org/694979/" xr:uid="{56E545BD-0CAF-C746-B436-19D087E89C31}"/>
    <hyperlink ref="C529" r:id="rId1455" display="https://www.geonames.org/776252/" xr:uid="{01C556FC-C378-EB48-91CA-6DE173846EA4}"/>
    <hyperlink ref="D529" r:id="rId1456" display="https://www.geonames.org/776252/" xr:uid="{101A70AB-3BBA-CF41-AC54-945614777633}"/>
    <hyperlink ref="C661" r:id="rId1457" display="https://www.geonames.org/771735/" xr:uid="{EE88EAAA-3835-E348-B2D8-6BD90A89A73F}"/>
    <hyperlink ref="D661" r:id="rId1458" display="https://www.geonames.org/771735/" xr:uid="{0C9A345B-1170-9849-A119-4E805FE330D7}"/>
    <hyperlink ref="C509" r:id="rId1459" display="https://www.geonames.org/774558/" xr:uid="{0DE24913-D4AD-A943-BF01-10470BDE834B}"/>
  </hyperlinks>
  <pageMargins left="0.7" right="0.7" top="0.75" bottom="0.75" header="0.3" footer="0.3"/>
  <ignoredErrors>
    <ignoredError sqref="I343:I344 I224 I1073 I271 I267 I391 I1267 I490 I71 I924 I913 I1168 I399 I404 I927 I938 I944 I316 I1034 I1038 I1044 I1058 I1369 I1185 I578 I885 I959 I957 I745 I732 I737 I1200 I1208 I1220 I916 I1068 I1310 I1322 I1404 I1097 I1336 I1485 I1422 I1438 I839 I192 I119 I7 I389 I330 I387 I1342 I1245 I1108 I1041 I1094 I1334 I1490 I1306 I325 I359 I898 I881 I856" formula="1"/>
  </ignoredErrors>
  <legacyDrawing r:id="rId146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CC355-578A-2E49-B0E2-E7B470191344}">
  <dimension ref="A1:CU1048576"/>
  <sheetViews>
    <sheetView topLeftCell="A333" workbookViewId="0">
      <selection activeCell="A341" sqref="A341:XFD341"/>
    </sheetView>
  </sheetViews>
  <sheetFormatPr baseColWidth="10" defaultRowHeight="16"/>
  <cols>
    <col min="1" max="1" width="2.83203125" customWidth="1"/>
    <col min="2" max="2" width="20.6640625" customWidth="1"/>
    <col min="3" max="3" width="16.1640625" customWidth="1"/>
    <col min="4" max="4" width="15.83203125" customWidth="1"/>
    <col min="6" max="6" width="12.33203125" customWidth="1"/>
    <col min="7" max="7" width="4.1640625" style="1" customWidth="1"/>
    <col min="8" max="8" width="4.33203125" style="1" customWidth="1"/>
    <col min="9" max="9" width="10.83203125" style="1"/>
    <col min="12" max="14" width="3.83203125" customWidth="1"/>
    <col min="15" max="15" width="4" customWidth="1"/>
    <col min="16" max="16" width="4.1640625" customWidth="1"/>
    <col min="17" max="19" width="3.83203125" customWidth="1"/>
    <col min="20" max="20" width="7.6640625" customWidth="1"/>
    <col min="21" max="21" width="12" customWidth="1"/>
    <col min="22" max="54" width="2.83203125" customWidth="1"/>
    <col min="55" max="55" width="12.33203125" customWidth="1"/>
    <col min="56" max="56" width="11.83203125" customWidth="1"/>
    <col min="57" max="57" width="6.6640625" customWidth="1"/>
    <col min="58" max="59" width="4.6640625" customWidth="1"/>
    <col min="60" max="62" width="3.83203125" customWidth="1"/>
    <col min="63" max="63" width="2.83203125" style="1" customWidth="1"/>
    <col min="64" max="96" width="2.83203125" customWidth="1"/>
    <col min="97" max="97" width="19.33203125" customWidth="1"/>
  </cols>
  <sheetData>
    <row r="1" spans="1:99" ht="24" customHeight="1">
      <c r="B1" s="78" t="s">
        <v>0</v>
      </c>
      <c r="C1" s="90" t="s">
        <v>13</v>
      </c>
      <c r="D1" s="90"/>
      <c r="E1" s="90"/>
      <c r="F1" s="90"/>
      <c r="G1" s="87" t="s">
        <v>74</v>
      </c>
      <c r="H1" s="87" t="s">
        <v>75</v>
      </c>
      <c r="I1" s="91" t="s">
        <v>17</v>
      </c>
      <c r="J1" s="78" t="s">
        <v>9</v>
      </c>
      <c r="K1" s="78" t="s">
        <v>11</v>
      </c>
      <c r="L1" s="90" t="s">
        <v>16</v>
      </c>
      <c r="M1" s="90"/>
      <c r="N1" s="90"/>
      <c r="O1" s="90" t="s">
        <v>20</v>
      </c>
      <c r="P1" s="90"/>
      <c r="Q1" s="90" t="s">
        <v>21</v>
      </c>
      <c r="R1" s="90"/>
      <c r="S1" s="90"/>
      <c r="T1" s="90"/>
      <c r="U1" s="3" t="s">
        <v>23</v>
      </c>
      <c r="V1" s="82">
        <v>1788</v>
      </c>
      <c r="W1" s="82">
        <v>1789</v>
      </c>
      <c r="X1" s="82">
        <v>1790</v>
      </c>
      <c r="Y1" s="82">
        <v>1791</v>
      </c>
      <c r="Z1" s="82">
        <v>1792</v>
      </c>
      <c r="AA1" s="82">
        <v>1793</v>
      </c>
      <c r="AB1" s="82">
        <v>1794</v>
      </c>
      <c r="AC1" s="82">
        <v>1795</v>
      </c>
      <c r="AD1" s="82">
        <v>1796</v>
      </c>
      <c r="AE1" s="82">
        <v>1797</v>
      </c>
      <c r="AF1" s="82">
        <v>1798</v>
      </c>
      <c r="AG1" s="82">
        <v>1799</v>
      </c>
      <c r="AH1" s="82">
        <v>1800</v>
      </c>
      <c r="AI1" s="82">
        <v>1801</v>
      </c>
      <c r="AJ1" s="82">
        <v>1802</v>
      </c>
      <c r="AK1" s="82">
        <v>1803</v>
      </c>
      <c r="AL1" s="82">
        <v>1804</v>
      </c>
      <c r="AM1" s="82">
        <v>1805</v>
      </c>
      <c r="AN1" s="82">
        <v>1806</v>
      </c>
      <c r="AO1" s="82">
        <v>1807</v>
      </c>
      <c r="AP1" s="82">
        <v>1808</v>
      </c>
      <c r="AQ1" s="82">
        <v>1809</v>
      </c>
      <c r="AR1" s="82">
        <v>1810</v>
      </c>
      <c r="AS1" s="82">
        <v>1811</v>
      </c>
      <c r="AT1" s="82">
        <v>1812</v>
      </c>
      <c r="AU1" s="82">
        <v>1813</v>
      </c>
      <c r="AV1" s="82">
        <v>1814</v>
      </c>
      <c r="AW1" s="82">
        <v>1815</v>
      </c>
      <c r="AX1" s="82">
        <v>1816</v>
      </c>
      <c r="AY1" s="82">
        <v>1817</v>
      </c>
      <c r="AZ1" s="82">
        <v>1818</v>
      </c>
      <c r="BA1" s="82">
        <v>1819</v>
      </c>
      <c r="BB1" s="82">
        <v>1820</v>
      </c>
      <c r="BC1" s="78" t="s">
        <v>27</v>
      </c>
      <c r="BD1" s="78" t="s">
        <v>28</v>
      </c>
      <c r="BE1" s="92" t="s">
        <v>63</v>
      </c>
      <c r="BF1" s="92" t="s">
        <v>30</v>
      </c>
      <c r="BG1" s="92" t="s">
        <v>31</v>
      </c>
      <c r="BH1" s="92" t="s">
        <v>32</v>
      </c>
      <c r="BI1" s="92" t="s">
        <v>42</v>
      </c>
      <c r="BJ1" s="92" t="s">
        <v>41</v>
      </c>
      <c r="BK1" s="83" t="s">
        <v>34</v>
      </c>
      <c r="BL1" s="83" t="s">
        <v>35</v>
      </c>
      <c r="BM1" s="83" t="s">
        <v>426</v>
      </c>
      <c r="BN1" s="83" t="s">
        <v>204</v>
      </c>
      <c r="BO1" s="83" t="s">
        <v>36</v>
      </c>
      <c r="BP1" s="83" t="s">
        <v>37</v>
      </c>
      <c r="BQ1" s="83" t="s">
        <v>514</v>
      </c>
      <c r="BR1" s="89" t="s">
        <v>513</v>
      </c>
      <c r="BS1" s="89"/>
      <c r="BT1" s="89"/>
      <c r="BU1" s="83" t="s">
        <v>39</v>
      </c>
      <c r="BV1" s="83" t="s">
        <v>40</v>
      </c>
      <c r="BW1" s="83" t="s">
        <v>38</v>
      </c>
      <c r="BX1" s="83" t="s">
        <v>44</v>
      </c>
      <c r="BY1" s="83" t="s">
        <v>43</v>
      </c>
      <c r="BZ1" s="83" t="s">
        <v>45</v>
      </c>
      <c r="CA1" s="83" t="s">
        <v>46</v>
      </c>
      <c r="CB1" s="83" t="s">
        <v>47</v>
      </c>
      <c r="CC1" s="83" t="s">
        <v>48</v>
      </c>
      <c r="CD1" s="83" t="s">
        <v>405</v>
      </c>
      <c r="CE1" s="83" t="s">
        <v>49</v>
      </c>
      <c r="CF1" s="83" t="s">
        <v>50</v>
      </c>
      <c r="CG1" s="83" t="s">
        <v>51</v>
      </c>
      <c r="CH1" s="83" t="s">
        <v>52</v>
      </c>
      <c r="CI1" s="83" t="s">
        <v>53</v>
      </c>
      <c r="CJ1" s="83" t="s">
        <v>1225</v>
      </c>
      <c r="CK1" s="83" t="s">
        <v>54</v>
      </c>
      <c r="CL1" s="83" t="s">
        <v>55</v>
      </c>
      <c r="CM1" s="83" t="s">
        <v>56</v>
      </c>
      <c r="CN1" s="83" t="s">
        <v>57</v>
      </c>
      <c r="CO1" s="83" t="s">
        <v>58</v>
      </c>
      <c r="CP1" s="83" t="s">
        <v>59</v>
      </c>
      <c r="CQ1" s="83" t="s">
        <v>60</v>
      </c>
      <c r="CR1" s="83" t="s">
        <v>61</v>
      </c>
    </row>
    <row r="2" spans="1:99" ht="135" customHeight="1">
      <c r="B2" s="78"/>
      <c r="C2" s="3" t="s">
        <v>2</v>
      </c>
      <c r="D2" s="3" t="s">
        <v>3</v>
      </c>
      <c r="E2" s="3" t="s">
        <v>4</v>
      </c>
      <c r="F2" s="3" t="s">
        <v>5</v>
      </c>
      <c r="G2" s="87"/>
      <c r="H2" s="87"/>
      <c r="I2" s="91"/>
      <c r="J2" s="78"/>
      <c r="K2" s="78"/>
      <c r="L2" s="5" t="s">
        <v>14</v>
      </c>
      <c r="M2" s="5" t="s">
        <v>15</v>
      </c>
      <c r="N2" s="5" t="s">
        <v>6</v>
      </c>
      <c r="O2" s="5" t="s">
        <v>18</v>
      </c>
      <c r="P2" s="5" t="s">
        <v>19</v>
      </c>
      <c r="Q2" s="11" t="s">
        <v>76</v>
      </c>
      <c r="R2" s="11" t="s">
        <v>77</v>
      </c>
      <c r="S2" s="11" t="s">
        <v>78</v>
      </c>
      <c r="T2" s="5" t="s">
        <v>22</v>
      </c>
      <c r="V2" s="82"/>
      <c r="W2" s="82"/>
      <c r="X2" s="82"/>
      <c r="Y2" s="82"/>
      <c r="Z2" s="82"/>
      <c r="AA2" s="82"/>
      <c r="AB2" s="82"/>
      <c r="AC2" s="82"/>
      <c r="AD2" s="82"/>
      <c r="AE2" s="82"/>
      <c r="AF2" s="82"/>
      <c r="AG2" s="82"/>
      <c r="AH2" s="82"/>
      <c r="AI2" s="82"/>
      <c r="AJ2" s="82"/>
      <c r="AK2" s="82"/>
      <c r="AL2" s="82"/>
      <c r="AM2" s="82"/>
      <c r="AN2" s="82"/>
      <c r="AO2" s="82"/>
      <c r="AP2" s="82"/>
      <c r="AQ2" s="82"/>
      <c r="AR2" s="82"/>
      <c r="AS2" s="82"/>
      <c r="AT2" s="82"/>
      <c r="AU2" s="82"/>
      <c r="AV2" s="82"/>
      <c r="AW2" s="82"/>
      <c r="AX2" s="82"/>
      <c r="AY2" s="82"/>
      <c r="AZ2" s="82"/>
      <c r="BA2" s="82"/>
      <c r="BB2" s="82"/>
      <c r="BC2" s="78"/>
      <c r="BD2" s="78"/>
      <c r="BE2" s="92"/>
      <c r="BF2" s="92"/>
      <c r="BG2" s="92"/>
      <c r="BH2" s="92"/>
      <c r="BI2" s="92"/>
      <c r="BJ2" s="92"/>
      <c r="BK2" s="83"/>
      <c r="BL2" s="83"/>
      <c r="BM2" s="83"/>
      <c r="BN2" s="83"/>
      <c r="BO2" s="83"/>
      <c r="BP2" s="83"/>
      <c r="BQ2" s="83"/>
      <c r="BR2" s="20" t="s">
        <v>510</v>
      </c>
      <c r="BS2" s="20" t="s">
        <v>511</v>
      </c>
      <c r="BT2" s="20" t="s">
        <v>512</v>
      </c>
      <c r="BU2" s="83"/>
      <c r="BV2" s="83"/>
      <c r="BW2" s="83"/>
      <c r="BX2" s="83"/>
      <c r="BY2" s="83"/>
      <c r="BZ2" s="83"/>
      <c r="CA2" s="83"/>
      <c r="CB2" s="83"/>
      <c r="CC2" s="83"/>
      <c r="CD2" s="83"/>
      <c r="CE2" s="83"/>
      <c r="CF2" s="83"/>
      <c r="CG2" s="83"/>
      <c r="CH2" s="83"/>
      <c r="CI2" s="83"/>
      <c r="CJ2" s="83"/>
      <c r="CK2" s="83"/>
      <c r="CL2" s="83"/>
      <c r="CM2" s="83"/>
      <c r="CN2" s="83"/>
      <c r="CO2" s="83"/>
      <c r="CP2" s="83"/>
      <c r="CQ2" s="83"/>
      <c r="CR2" s="83"/>
    </row>
    <row r="3" spans="1:99">
      <c r="B3" t="s">
        <v>480</v>
      </c>
      <c r="C3" s="15" t="s">
        <v>230</v>
      </c>
      <c r="D3" s="3"/>
      <c r="E3" s="13" t="s">
        <v>481</v>
      </c>
      <c r="F3" s="13" t="s">
        <v>65</v>
      </c>
      <c r="G3" s="1">
        <v>1</v>
      </c>
      <c r="I3" s="1">
        <v>1765</v>
      </c>
      <c r="J3" t="s">
        <v>10</v>
      </c>
      <c r="K3" s="4" t="s">
        <v>12</v>
      </c>
      <c r="T3" s="5"/>
      <c r="U3" s="9" t="s">
        <v>482</v>
      </c>
      <c r="V3" s="9">
        <v>1</v>
      </c>
      <c r="W3" s="6">
        <v>1</v>
      </c>
      <c r="X3" s="6">
        <v>1</v>
      </c>
      <c r="Y3" s="6">
        <v>1</v>
      </c>
      <c r="Z3" s="6">
        <v>1</v>
      </c>
      <c r="AA3" s="6">
        <v>1</v>
      </c>
      <c r="AB3" s="6">
        <v>1</v>
      </c>
      <c r="AC3" s="6">
        <v>1</v>
      </c>
      <c r="AD3" s="6">
        <v>1</v>
      </c>
      <c r="AE3" s="6">
        <v>1</v>
      </c>
      <c r="AF3" s="6">
        <v>1</v>
      </c>
      <c r="AG3" s="6">
        <v>1</v>
      </c>
      <c r="AH3" s="6">
        <v>1</v>
      </c>
      <c r="AI3" s="6">
        <v>1</v>
      </c>
      <c r="BC3">
        <v>1801</v>
      </c>
      <c r="BD3" t="s">
        <v>81</v>
      </c>
      <c r="BE3" s="10" t="s">
        <v>70</v>
      </c>
      <c r="BF3" s="1" t="s">
        <v>73</v>
      </c>
      <c r="BG3" s="1">
        <v>3</v>
      </c>
      <c r="BH3">
        <v>1</v>
      </c>
      <c r="BZ3">
        <v>1</v>
      </c>
      <c r="CS3" t="s">
        <v>111</v>
      </c>
      <c r="CT3" s="10" t="s">
        <v>479</v>
      </c>
      <c r="CU3" s="9" t="s">
        <v>127</v>
      </c>
    </row>
    <row r="4" spans="1:99">
      <c r="B4" t="s">
        <v>190</v>
      </c>
      <c r="C4" s="2" t="s">
        <v>191</v>
      </c>
      <c r="D4" s="3" t="s">
        <v>192</v>
      </c>
      <c r="E4" s="12" t="s">
        <v>193</v>
      </c>
      <c r="F4" s="12" t="s">
        <v>65</v>
      </c>
      <c r="G4" s="1">
        <v>1</v>
      </c>
      <c r="I4" s="1">
        <f>1800-34</f>
        <v>1766</v>
      </c>
      <c r="J4" t="s">
        <v>69</v>
      </c>
      <c r="K4" s="4" t="s">
        <v>12</v>
      </c>
      <c r="N4">
        <v>1</v>
      </c>
      <c r="Q4">
        <v>5</v>
      </c>
      <c r="R4">
        <v>2</v>
      </c>
      <c r="T4" s="5">
        <f>((Q4*316)+(R4*26.3)+(S4*2.2))/10</f>
        <v>163.26</v>
      </c>
      <c r="U4" s="9" t="s">
        <v>194</v>
      </c>
      <c r="V4" s="9">
        <v>1</v>
      </c>
      <c r="W4" s="9">
        <v>1</v>
      </c>
      <c r="X4" s="6">
        <v>1</v>
      </c>
      <c r="Y4" s="6">
        <v>1</v>
      </c>
      <c r="Z4" s="6">
        <v>1</v>
      </c>
      <c r="AA4" s="6">
        <v>1</v>
      </c>
      <c r="AB4" s="6">
        <v>1</v>
      </c>
      <c r="AC4" s="6">
        <v>1</v>
      </c>
      <c r="AD4" s="6">
        <v>1</v>
      </c>
      <c r="AE4" s="6">
        <v>1</v>
      </c>
      <c r="AF4" s="6">
        <v>1</v>
      </c>
      <c r="AG4" s="6">
        <v>1</v>
      </c>
      <c r="AH4" s="6">
        <v>1</v>
      </c>
      <c r="AI4" s="6">
        <v>1</v>
      </c>
      <c r="AJ4" s="6">
        <v>1</v>
      </c>
      <c r="AK4" s="6">
        <v>1</v>
      </c>
      <c r="AL4" s="6">
        <v>1</v>
      </c>
      <c r="AM4" s="6">
        <v>1</v>
      </c>
      <c r="AN4" s="6">
        <v>1</v>
      </c>
      <c r="AO4" s="7">
        <v>1</v>
      </c>
      <c r="BC4" t="s">
        <v>195</v>
      </c>
      <c r="BD4" s="7" t="s">
        <v>103</v>
      </c>
      <c r="BE4" t="s">
        <v>125</v>
      </c>
      <c r="BF4" s="1" t="s">
        <v>29</v>
      </c>
      <c r="BG4" s="1">
        <v>16</v>
      </c>
      <c r="BH4">
        <v>2</v>
      </c>
      <c r="BK4" s="1">
        <v>1</v>
      </c>
      <c r="BQ4">
        <v>1</v>
      </c>
      <c r="BZ4">
        <v>1</v>
      </c>
      <c r="CS4" s="7" t="s">
        <v>361</v>
      </c>
      <c r="CT4" s="10" t="s">
        <v>220</v>
      </c>
    </row>
    <row r="5" spans="1:99">
      <c r="B5" t="s">
        <v>2546</v>
      </c>
      <c r="C5" s="13" t="s">
        <v>2547</v>
      </c>
      <c r="D5" s="3"/>
      <c r="E5" s="13"/>
      <c r="F5" s="13" t="s">
        <v>88</v>
      </c>
      <c r="H5" s="1">
        <v>1</v>
      </c>
      <c r="I5" s="1">
        <f>1790-24</f>
        <v>1766</v>
      </c>
      <c r="J5" t="s">
        <v>69</v>
      </c>
      <c r="K5" s="4" t="s">
        <v>12</v>
      </c>
      <c r="T5" s="5"/>
      <c r="U5" s="9" t="s">
        <v>2545</v>
      </c>
      <c r="V5" s="9">
        <v>1</v>
      </c>
      <c r="W5" s="6">
        <v>1</v>
      </c>
      <c r="X5" s="6">
        <v>1</v>
      </c>
      <c r="BC5">
        <v>1790</v>
      </c>
      <c r="BD5" t="s">
        <v>81</v>
      </c>
      <c r="BE5" t="s">
        <v>70</v>
      </c>
      <c r="BF5" s="1" t="s">
        <v>73</v>
      </c>
      <c r="BG5" s="1">
        <v>2</v>
      </c>
      <c r="BH5">
        <v>1</v>
      </c>
      <c r="BK5" s="1" t="s">
        <v>72</v>
      </c>
      <c r="BZ5">
        <v>1</v>
      </c>
      <c r="CS5" t="s">
        <v>966</v>
      </c>
      <c r="CT5" t="s">
        <v>2529</v>
      </c>
      <c r="CU5" s="9" t="s">
        <v>127</v>
      </c>
    </row>
    <row r="6" spans="1:99">
      <c r="B6" t="s">
        <v>2551</v>
      </c>
      <c r="C6" s="2" t="s">
        <v>230</v>
      </c>
      <c r="D6" s="3"/>
      <c r="E6" s="13"/>
      <c r="F6" s="13" t="s">
        <v>65</v>
      </c>
      <c r="G6" s="1">
        <v>1</v>
      </c>
      <c r="I6" s="1">
        <f>1790-21</f>
        <v>1769</v>
      </c>
      <c r="J6" t="s">
        <v>10</v>
      </c>
      <c r="K6" s="4" t="s">
        <v>12</v>
      </c>
      <c r="T6" s="5"/>
      <c r="U6" s="9" t="s">
        <v>2550</v>
      </c>
      <c r="V6" s="9">
        <v>1</v>
      </c>
      <c r="W6" s="6">
        <v>1</v>
      </c>
      <c r="X6" s="6">
        <v>1</v>
      </c>
      <c r="BC6">
        <v>1790</v>
      </c>
      <c r="BD6" t="s">
        <v>81</v>
      </c>
      <c r="BE6" t="s">
        <v>70</v>
      </c>
      <c r="BF6" s="1" t="s">
        <v>73</v>
      </c>
      <c r="BG6" s="1">
        <v>3</v>
      </c>
      <c r="BH6">
        <v>1</v>
      </c>
      <c r="BZ6">
        <v>1</v>
      </c>
      <c r="CS6" t="s">
        <v>966</v>
      </c>
      <c r="CT6" t="s">
        <v>2529</v>
      </c>
      <c r="CU6" s="9" t="s">
        <v>127</v>
      </c>
    </row>
    <row r="7" spans="1:99">
      <c r="B7" t="s">
        <v>2521</v>
      </c>
      <c r="C7" s="2" t="s">
        <v>2432</v>
      </c>
      <c r="D7" s="3"/>
      <c r="E7" s="13"/>
      <c r="F7" s="13" t="s">
        <v>65</v>
      </c>
      <c r="G7" s="1">
        <v>1</v>
      </c>
      <c r="I7" s="1">
        <f>1790-43</f>
        <v>1747</v>
      </c>
      <c r="J7" t="s">
        <v>69</v>
      </c>
      <c r="K7" s="4" t="s">
        <v>12</v>
      </c>
      <c r="T7" s="5"/>
      <c r="U7" t="s">
        <v>2522</v>
      </c>
      <c r="V7" s="6">
        <v>1</v>
      </c>
      <c r="W7" s="6">
        <v>1</v>
      </c>
      <c r="X7" s="6">
        <v>1</v>
      </c>
      <c r="Y7" s="6">
        <v>1</v>
      </c>
      <c r="BC7">
        <v>1791</v>
      </c>
      <c r="BD7" t="s">
        <v>81</v>
      </c>
      <c r="BE7" s="10" t="s">
        <v>70</v>
      </c>
      <c r="BF7" s="1" t="s">
        <v>73</v>
      </c>
      <c r="BG7" s="1">
        <v>2</v>
      </c>
      <c r="BH7">
        <v>1</v>
      </c>
      <c r="BZ7">
        <v>1</v>
      </c>
      <c r="CS7" t="s">
        <v>111</v>
      </c>
      <c r="CT7" s="10" t="s">
        <v>2523</v>
      </c>
    </row>
    <row r="8" spans="1:99">
      <c r="B8" t="s">
        <v>2524</v>
      </c>
      <c r="C8" s="13" t="s">
        <v>2525</v>
      </c>
      <c r="D8" s="3"/>
      <c r="E8" s="13"/>
      <c r="F8" s="13" t="s">
        <v>88</v>
      </c>
      <c r="H8" s="1">
        <v>1</v>
      </c>
      <c r="I8" s="1">
        <f>1789-26</f>
        <v>1763</v>
      </c>
      <c r="J8" t="s">
        <v>10</v>
      </c>
      <c r="K8" s="4" t="s">
        <v>12</v>
      </c>
      <c r="T8" s="5"/>
      <c r="U8" t="s">
        <v>2522</v>
      </c>
      <c r="V8" s="6">
        <v>1</v>
      </c>
      <c r="W8" s="6">
        <v>1</v>
      </c>
      <c r="BC8">
        <v>1789</v>
      </c>
      <c r="BD8" t="s">
        <v>81</v>
      </c>
      <c r="BE8" s="10" t="s">
        <v>70</v>
      </c>
      <c r="BF8" s="1" t="s">
        <v>73</v>
      </c>
      <c r="BG8" s="1">
        <v>1</v>
      </c>
      <c r="BH8">
        <v>1</v>
      </c>
      <c r="BZ8">
        <v>1</v>
      </c>
      <c r="CS8" t="s">
        <v>111</v>
      </c>
      <c r="CT8" s="10" t="s">
        <v>2526</v>
      </c>
    </row>
    <row r="9" spans="1:99">
      <c r="B9" t="s">
        <v>2527</v>
      </c>
      <c r="C9" s="2" t="s">
        <v>1266</v>
      </c>
      <c r="D9" s="3"/>
      <c r="E9" s="13"/>
      <c r="F9" s="13" t="s">
        <v>357</v>
      </c>
      <c r="G9" s="1">
        <v>1</v>
      </c>
      <c r="I9" s="1">
        <f>1789-38</f>
        <v>1751</v>
      </c>
      <c r="J9" t="s">
        <v>10</v>
      </c>
      <c r="K9" s="4" t="s">
        <v>12</v>
      </c>
      <c r="T9" s="5"/>
      <c r="U9" t="s">
        <v>2257</v>
      </c>
      <c r="W9" s="6">
        <v>1</v>
      </c>
      <c r="BC9">
        <v>1789</v>
      </c>
      <c r="BD9" t="s">
        <v>81</v>
      </c>
      <c r="BE9" s="10" t="s">
        <v>70</v>
      </c>
      <c r="BF9" s="1" t="s">
        <v>73</v>
      </c>
      <c r="BG9" s="1">
        <v>1</v>
      </c>
      <c r="BH9">
        <v>1</v>
      </c>
      <c r="BZ9">
        <v>1</v>
      </c>
      <c r="CS9" t="s">
        <v>111</v>
      </c>
      <c r="CT9" s="10" t="s">
        <v>2526</v>
      </c>
    </row>
    <row r="10" spans="1:99">
      <c r="B10" t="s">
        <v>2253</v>
      </c>
      <c r="C10" s="13" t="s">
        <v>2256</v>
      </c>
      <c r="D10" s="3"/>
      <c r="E10" s="13"/>
      <c r="F10" s="13" t="s">
        <v>88</v>
      </c>
      <c r="H10" s="1">
        <v>1</v>
      </c>
      <c r="I10" s="1">
        <f>1789-46</f>
        <v>1743</v>
      </c>
      <c r="J10" t="s">
        <v>69</v>
      </c>
      <c r="K10" s="4" t="s">
        <v>12</v>
      </c>
      <c r="T10" s="5"/>
      <c r="U10" t="s">
        <v>2257</v>
      </c>
      <c r="W10" s="14">
        <v>1</v>
      </c>
      <c r="BC10" s="9" t="s">
        <v>2279</v>
      </c>
      <c r="BD10" s="14" t="s">
        <v>338</v>
      </c>
      <c r="BE10" t="s">
        <v>70</v>
      </c>
      <c r="BF10" s="1" t="s">
        <v>73</v>
      </c>
      <c r="BG10" s="1">
        <v>1</v>
      </c>
      <c r="BH10">
        <v>1</v>
      </c>
      <c r="BZ10">
        <v>1</v>
      </c>
      <c r="CS10" s="14" t="s">
        <v>2284</v>
      </c>
      <c r="CT10" t="s">
        <v>2258</v>
      </c>
    </row>
    <row r="11" spans="1:99">
      <c r="B11" t="s">
        <v>2254</v>
      </c>
      <c r="C11" s="2" t="s">
        <v>2255</v>
      </c>
      <c r="D11" s="3"/>
      <c r="E11" s="13"/>
      <c r="F11" s="13" t="s">
        <v>88</v>
      </c>
      <c r="H11" s="1">
        <v>1</v>
      </c>
      <c r="I11" s="1">
        <f>1789-22</f>
        <v>1767</v>
      </c>
      <c r="J11" t="s">
        <v>10</v>
      </c>
      <c r="K11" s="4" t="s">
        <v>12</v>
      </c>
      <c r="T11" s="5"/>
      <c r="U11" t="s">
        <v>2257</v>
      </c>
      <c r="W11" s="14">
        <v>1</v>
      </c>
      <c r="BC11" s="9" t="s">
        <v>2279</v>
      </c>
      <c r="BD11" s="14" t="s">
        <v>338</v>
      </c>
      <c r="BE11" t="s">
        <v>70</v>
      </c>
      <c r="BF11" s="1" t="s">
        <v>73</v>
      </c>
      <c r="BG11" s="1">
        <v>1</v>
      </c>
      <c r="BH11">
        <v>1</v>
      </c>
      <c r="BZ11">
        <v>1</v>
      </c>
      <c r="CS11" s="14" t="s">
        <v>2284</v>
      </c>
      <c r="CT11" t="s">
        <v>2258</v>
      </c>
    </row>
    <row r="12" spans="1:99">
      <c r="A12" t="s">
        <v>7</v>
      </c>
      <c r="B12" t="s">
        <v>79</v>
      </c>
      <c r="C12" s="12"/>
      <c r="F12" t="s">
        <v>7</v>
      </c>
      <c r="K12" s="4"/>
      <c r="T12" s="1"/>
      <c r="U12" s="9" t="s">
        <v>80</v>
      </c>
      <c r="W12" s="9">
        <v>1</v>
      </c>
      <c r="BC12">
        <v>1789</v>
      </c>
      <c r="BD12" t="s">
        <v>81</v>
      </c>
      <c r="BE12" s="10" t="s">
        <v>70</v>
      </c>
      <c r="BF12" s="1" t="s">
        <v>73</v>
      </c>
      <c r="BG12" s="1">
        <v>2</v>
      </c>
      <c r="BH12">
        <v>1</v>
      </c>
      <c r="BZ12">
        <v>1</v>
      </c>
      <c r="CS12" t="s">
        <v>111</v>
      </c>
      <c r="CT12" s="10" t="s">
        <v>82</v>
      </c>
    </row>
    <row r="13" spans="1:99">
      <c r="A13" t="s">
        <v>7</v>
      </c>
      <c r="B13" t="s">
        <v>2542</v>
      </c>
      <c r="C13" s="12"/>
      <c r="F13" s="13" t="s">
        <v>7</v>
      </c>
      <c r="K13" s="4"/>
      <c r="T13" s="1"/>
      <c r="U13" s="9" t="s">
        <v>2541</v>
      </c>
      <c r="W13" s="9">
        <v>1</v>
      </c>
      <c r="X13" s="6">
        <v>1</v>
      </c>
      <c r="BC13">
        <v>1790</v>
      </c>
      <c r="BD13" t="s">
        <v>81</v>
      </c>
      <c r="BE13" s="10" t="s">
        <v>70</v>
      </c>
      <c r="BF13" s="1" t="s">
        <v>73</v>
      </c>
      <c r="BG13" s="1">
        <v>3</v>
      </c>
      <c r="BH13">
        <v>1</v>
      </c>
      <c r="BZ13">
        <v>1</v>
      </c>
      <c r="CS13" t="s">
        <v>111</v>
      </c>
      <c r="CT13" s="10" t="s">
        <v>2526</v>
      </c>
    </row>
    <row r="14" spans="1:99">
      <c r="A14" t="s">
        <v>7</v>
      </c>
      <c r="B14" t="s">
        <v>83</v>
      </c>
      <c r="C14" s="12"/>
      <c r="F14" t="s">
        <v>7</v>
      </c>
      <c r="K14" s="4"/>
      <c r="T14" s="1"/>
      <c r="U14" s="9" t="s">
        <v>84</v>
      </c>
      <c r="W14" s="9">
        <v>1</v>
      </c>
      <c r="BC14">
        <v>1789</v>
      </c>
      <c r="BD14" t="s">
        <v>81</v>
      </c>
      <c r="BE14" s="10" t="s">
        <v>70</v>
      </c>
      <c r="BF14" s="1" t="s">
        <v>73</v>
      </c>
      <c r="BG14" s="1">
        <v>1</v>
      </c>
      <c r="BH14">
        <v>1</v>
      </c>
      <c r="BZ14">
        <v>1</v>
      </c>
      <c r="CS14" t="s">
        <v>111</v>
      </c>
      <c r="CT14" s="10" t="s">
        <v>82</v>
      </c>
    </row>
    <row r="15" spans="1:99">
      <c r="A15" t="s">
        <v>7</v>
      </c>
      <c r="B15" t="s">
        <v>85</v>
      </c>
      <c r="C15" s="12"/>
      <c r="F15" t="s">
        <v>7</v>
      </c>
      <c r="K15" s="4"/>
      <c r="T15" s="1"/>
      <c r="U15" s="9" t="s">
        <v>84</v>
      </c>
      <c r="W15" s="9">
        <v>1</v>
      </c>
      <c r="BC15">
        <v>1789</v>
      </c>
      <c r="BD15" t="s">
        <v>81</v>
      </c>
      <c r="BE15" s="10" t="s">
        <v>70</v>
      </c>
      <c r="BF15" s="1" t="s">
        <v>73</v>
      </c>
      <c r="BG15" s="1">
        <v>1</v>
      </c>
      <c r="BH15">
        <v>1</v>
      </c>
      <c r="BZ15">
        <v>1</v>
      </c>
      <c r="CS15" t="s">
        <v>111</v>
      </c>
      <c r="CT15" s="10" t="s">
        <v>82</v>
      </c>
    </row>
    <row r="16" spans="1:99">
      <c r="B16" t="s">
        <v>2532</v>
      </c>
      <c r="C16" s="13" t="s">
        <v>2533</v>
      </c>
      <c r="F16" s="8" t="s">
        <v>88</v>
      </c>
      <c r="H16" s="1">
        <v>1</v>
      </c>
      <c r="I16" s="1">
        <f>1789-20</f>
        <v>1769</v>
      </c>
      <c r="J16" t="s">
        <v>10</v>
      </c>
      <c r="K16" s="4" t="s">
        <v>12</v>
      </c>
      <c r="T16" s="1"/>
      <c r="U16" s="9" t="s">
        <v>2531</v>
      </c>
      <c r="W16" s="9">
        <v>1</v>
      </c>
      <c r="BC16">
        <v>1789</v>
      </c>
      <c r="BD16" t="s">
        <v>81</v>
      </c>
      <c r="BE16" s="10" t="s">
        <v>70</v>
      </c>
      <c r="BF16" s="1" t="s">
        <v>73</v>
      </c>
      <c r="BG16" s="1">
        <v>2</v>
      </c>
      <c r="BH16">
        <v>1</v>
      </c>
      <c r="BZ16">
        <v>1</v>
      </c>
      <c r="CS16" t="s">
        <v>111</v>
      </c>
      <c r="CT16" s="10" t="s">
        <v>2526</v>
      </c>
    </row>
    <row r="17" spans="1:99">
      <c r="B17" t="s">
        <v>92</v>
      </c>
      <c r="C17" s="13" t="s">
        <v>93</v>
      </c>
      <c r="F17" s="8" t="s">
        <v>88</v>
      </c>
      <c r="H17" s="1">
        <v>1</v>
      </c>
      <c r="I17" s="1">
        <f>1790-16</f>
        <v>1774</v>
      </c>
      <c r="J17" t="s">
        <v>10</v>
      </c>
      <c r="K17" s="4" t="s">
        <v>12</v>
      </c>
      <c r="T17" s="1"/>
      <c r="U17" s="9" t="s">
        <v>94</v>
      </c>
      <c r="W17" s="9">
        <v>1</v>
      </c>
      <c r="X17" s="6">
        <v>1</v>
      </c>
      <c r="BC17">
        <v>1790</v>
      </c>
      <c r="BD17" t="s">
        <v>81</v>
      </c>
      <c r="BE17" s="10" t="s">
        <v>70</v>
      </c>
      <c r="BF17" s="1" t="s">
        <v>73</v>
      </c>
      <c r="BG17" s="1">
        <v>2</v>
      </c>
      <c r="BH17">
        <v>1</v>
      </c>
      <c r="BI17">
        <v>1</v>
      </c>
      <c r="BZ17">
        <v>1</v>
      </c>
      <c r="CS17" t="s">
        <v>111</v>
      </c>
      <c r="CT17" s="10" t="s">
        <v>82</v>
      </c>
    </row>
    <row r="18" spans="1:99">
      <c r="B18" t="s">
        <v>2539</v>
      </c>
      <c r="C18" s="2" t="s">
        <v>2540</v>
      </c>
      <c r="F18" s="8" t="s">
        <v>218</v>
      </c>
      <c r="G18" s="1">
        <v>1</v>
      </c>
      <c r="I18" s="1">
        <f>1790-17</f>
        <v>1773</v>
      </c>
      <c r="J18" t="s">
        <v>10</v>
      </c>
      <c r="K18" s="4" t="s">
        <v>12</v>
      </c>
      <c r="T18" s="1"/>
      <c r="U18" s="9" t="s">
        <v>89</v>
      </c>
      <c r="W18" s="9">
        <v>1</v>
      </c>
      <c r="X18" s="6">
        <v>1</v>
      </c>
      <c r="BC18">
        <v>1790</v>
      </c>
      <c r="BD18" t="s">
        <v>81</v>
      </c>
      <c r="BE18" s="10" t="s">
        <v>70</v>
      </c>
      <c r="BF18" s="1" t="s">
        <v>73</v>
      </c>
      <c r="BG18" s="1">
        <v>3</v>
      </c>
      <c r="BH18">
        <v>1</v>
      </c>
      <c r="BZ18">
        <v>1</v>
      </c>
      <c r="CS18" t="s">
        <v>111</v>
      </c>
      <c r="CT18" s="10" t="s">
        <v>2526</v>
      </c>
    </row>
    <row r="19" spans="1:99">
      <c r="A19" t="s">
        <v>7</v>
      </c>
      <c r="B19" t="s">
        <v>2528</v>
      </c>
      <c r="C19" s="13"/>
      <c r="F19" t="s">
        <v>7</v>
      </c>
      <c r="K19" s="4"/>
      <c r="T19" s="1"/>
      <c r="U19" s="9" t="s">
        <v>89</v>
      </c>
      <c r="W19" s="9">
        <v>1</v>
      </c>
      <c r="X19" s="6">
        <v>1</v>
      </c>
      <c r="BC19">
        <v>1790</v>
      </c>
      <c r="BD19" t="s">
        <v>81</v>
      </c>
      <c r="BE19" s="10" t="s">
        <v>70</v>
      </c>
      <c r="BF19" s="1" t="s">
        <v>73</v>
      </c>
      <c r="BG19" s="1">
        <v>2</v>
      </c>
      <c r="BH19">
        <v>1</v>
      </c>
      <c r="BZ19">
        <v>1</v>
      </c>
      <c r="CS19" t="s">
        <v>966</v>
      </c>
      <c r="CT19" t="s">
        <v>2529</v>
      </c>
    </row>
    <row r="20" spans="1:99">
      <c r="B20" t="s">
        <v>2543</v>
      </c>
      <c r="C20" s="13" t="s">
        <v>2544</v>
      </c>
      <c r="F20" s="8" t="s">
        <v>88</v>
      </c>
      <c r="H20" s="1">
        <v>1</v>
      </c>
      <c r="I20" s="1">
        <f>1790-16</f>
        <v>1774</v>
      </c>
      <c r="J20" t="s">
        <v>10</v>
      </c>
      <c r="K20" s="4" t="s">
        <v>12</v>
      </c>
      <c r="T20" s="1"/>
      <c r="U20" s="9" t="s">
        <v>89</v>
      </c>
      <c r="W20" s="9">
        <v>1</v>
      </c>
      <c r="X20" s="6">
        <v>1</v>
      </c>
      <c r="BC20">
        <v>1790</v>
      </c>
      <c r="BD20" t="s">
        <v>81</v>
      </c>
      <c r="BE20" s="10" t="s">
        <v>70</v>
      </c>
      <c r="BF20" s="1" t="s">
        <v>73</v>
      </c>
      <c r="BG20" s="1">
        <v>3</v>
      </c>
      <c r="BH20">
        <v>1</v>
      </c>
      <c r="BZ20">
        <v>1</v>
      </c>
      <c r="CS20" t="s">
        <v>111</v>
      </c>
      <c r="CT20" s="10" t="s">
        <v>2526</v>
      </c>
    </row>
    <row r="21" spans="1:99">
      <c r="A21" t="s">
        <v>7</v>
      </c>
      <c r="B21" t="s">
        <v>2530</v>
      </c>
      <c r="C21" s="13"/>
      <c r="F21" t="s">
        <v>7</v>
      </c>
      <c r="K21" s="4"/>
      <c r="T21" s="1"/>
      <c r="U21" s="9" t="s">
        <v>89</v>
      </c>
      <c r="W21" s="9">
        <v>1</v>
      </c>
      <c r="X21" s="6">
        <v>1</v>
      </c>
      <c r="BC21">
        <v>1790</v>
      </c>
      <c r="BD21" t="s">
        <v>81</v>
      </c>
      <c r="BE21" s="10" t="s">
        <v>70</v>
      </c>
      <c r="BF21" s="1" t="s">
        <v>73</v>
      </c>
      <c r="BG21" s="1">
        <v>2</v>
      </c>
      <c r="BH21">
        <v>1</v>
      </c>
      <c r="BZ21">
        <v>1</v>
      </c>
      <c r="CS21" t="s">
        <v>966</v>
      </c>
      <c r="CT21" t="s">
        <v>2529</v>
      </c>
    </row>
    <row r="22" spans="1:99">
      <c r="B22" t="s">
        <v>2534</v>
      </c>
      <c r="C22" s="8" t="s">
        <v>2535</v>
      </c>
      <c r="F22" s="8" t="s">
        <v>88</v>
      </c>
      <c r="H22" s="1">
        <v>1</v>
      </c>
      <c r="I22" s="1">
        <f>1789-19</f>
        <v>1770</v>
      </c>
      <c r="J22" t="s">
        <v>10</v>
      </c>
      <c r="K22" s="4" t="s">
        <v>12</v>
      </c>
      <c r="T22" s="1"/>
      <c r="U22" s="9" t="s">
        <v>89</v>
      </c>
      <c r="W22" s="9">
        <v>1</v>
      </c>
      <c r="BC22">
        <v>1789</v>
      </c>
      <c r="BD22" t="s">
        <v>81</v>
      </c>
      <c r="BE22" s="10" t="s">
        <v>70</v>
      </c>
      <c r="BF22" s="1" t="s">
        <v>73</v>
      </c>
      <c r="BG22" s="1">
        <v>2</v>
      </c>
      <c r="BH22">
        <v>1</v>
      </c>
      <c r="BZ22">
        <v>1</v>
      </c>
      <c r="CS22" t="s">
        <v>111</v>
      </c>
      <c r="CT22" s="10" t="s">
        <v>2526</v>
      </c>
    </row>
    <row r="23" spans="1:99">
      <c r="B23" t="s">
        <v>86</v>
      </c>
      <c r="C23" s="8" t="s">
        <v>87</v>
      </c>
      <c r="F23" s="8" t="s">
        <v>88</v>
      </c>
      <c r="H23" s="1">
        <v>1</v>
      </c>
      <c r="I23" s="1">
        <f>1789-20</f>
        <v>1769</v>
      </c>
      <c r="J23" t="s">
        <v>10</v>
      </c>
      <c r="K23" t="s">
        <v>12</v>
      </c>
      <c r="T23" s="1"/>
      <c r="U23" s="9" t="s">
        <v>89</v>
      </c>
      <c r="W23" s="9">
        <v>1</v>
      </c>
      <c r="BC23">
        <v>1789</v>
      </c>
      <c r="BD23" t="s">
        <v>81</v>
      </c>
      <c r="BE23" s="10" t="s">
        <v>70</v>
      </c>
      <c r="BF23" s="1" t="s">
        <v>73</v>
      </c>
      <c r="BG23" s="1">
        <v>2</v>
      </c>
      <c r="BH23">
        <v>1</v>
      </c>
      <c r="BZ23">
        <v>1</v>
      </c>
      <c r="CS23" t="s">
        <v>111</v>
      </c>
      <c r="CT23" s="10" t="s">
        <v>82</v>
      </c>
    </row>
    <row r="24" spans="1:99">
      <c r="B24" t="s">
        <v>2548</v>
      </c>
      <c r="C24" s="8" t="s">
        <v>2549</v>
      </c>
      <c r="F24" s="8" t="s">
        <v>88</v>
      </c>
      <c r="H24" s="1">
        <v>1</v>
      </c>
      <c r="I24" s="1">
        <f>1790-38</f>
        <v>1752</v>
      </c>
      <c r="J24" t="s">
        <v>10</v>
      </c>
      <c r="K24" s="4" t="s">
        <v>12</v>
      </c>
      <c r="T24" s="1"/>
      <c r="U24" s="9" t="s">
        <v>89</v>
      </c>
      <c r="W24" s="9">
        <v>1</v>
      </c>
      <c r="X24" s="6">
        <v>1</v>
      </c>
      <c r="BC24">
        <v>1790</v>
      </c>
      <c r="BD24" t="s">
        <v>81</v>
      </c>
      <c r="BE24" t="s">
        <v>70</v>
      </c>
      <c r="BF24" s="1" t="s">
        <v>73</v>
      </c>
      <c r="BG24" s="1">
        <v>3</v>
      </c>
      <c r="BH24">
        <v>1</v>
      </c>
      <c r="BZ24">
        <v>1</v>
      </c>
      <c r="CS24" t="s">
        <v>966</v>
      </c>
      <c r="CT24" t="s">
        <v>2529</v>
      </c>
      <c r="CU24" s="9" t="s">
        <v>489</v>
      </c>
    </row>
    <row r="25" spans="1:99">
      <c r="A25" t="s">
        <v>7</v>
      </c>
      <c r="B25" t="s">
        <v>90</v>
      </c>
      <c r="C25" s="8"/>
      <c r="F25" t="s">
        <v>7</v>
      </c>
      <c r="T25" s="1"/>
      <c r="U25" s="9" t="s">
        <v>91</v>
      </c>
      <c r="W25" s="9">
        <v>1</v>
      </c>
      <c r="BC25">
        <v>1789</v>
      </c>
      <c r="BD25" t="s">
        <v>81</v>
      </c>
      <c r="BE25" s="10" t="s">
        <v>70</v>
      </c>
      <c r="BF25" s="1" t="s">
        <v>73</v>
      </c>
      <c r="BG25" s="1">
        <v>2</v>
      </c>
      <c r="BH25">
        <v>1</v>
      </c>
      <c r="BZ25">
        <v>1</v>
      </c>
      <c r="CS25" t="s">
        <v>111</v>
      </c>
      <c r="CT25" s="10" t="s">
        <v>82</v>
      </c>
    </row>
    <row r="26" spans="1:99">
      <c r="B26" t="s">
        <v>2397</v>
      </c>
      <c r="C26" s="8" t="s">
        <v>2401</v>
      </c>
      <c r="D26" s="3" t="s">
        <v>2402</v>
      </c>
      <c r="E26" s="8" t="s">
        <v>2403</v>
      </c>
      <c r="F26" s="8" t="s">
        <v>65</v>
      </c>
      <c r="G26" s="1">
        <v>1</v>
      </c>
      <c r="I26" s="1">
        <f>1790-38</f>
        <v>1752</v>
      </c>
      <c r="J26" t="s">
        <v>69</v>
      </c>
      <c r="K26" t="s">
        <v>12</v>
      </c>
      <c r="T26" s="1"/>
      <c r="U26" s="9" t="s">
        <v>2396</v>
      </c>
      <c r="W26" s="9">
        <v>1</v>
      </c>
      <c r="X26" s="6">
        <v>1</v>
      </c>
      <c r="BC26">
        <v>1789</v>
      </c>
      <c r="BD26" t="s">
        <v>81</v>
      </c>
      <c r="BE26" s="10" t="s">
        <v>70</v>
      </c>
      <c r="BF26" s="1" t="s">
        <v>73</v>
      </c>
      <c r="BG26" s="1">
        <v>2</v>
      </c>
      <c r="BH26">
        <v>1</v>
      </c>
      <c r="BZ26">
        <v>1</v>
      </c>
      <c r="CS26" t="s">
        <v>111</v>
      </c>
      <c r="CT26" s="10" t="s">
        <v>2400</v>
      </c>
    </row>
    <row r="27" spans="1:99">
      <c r="B27" t="s">
        <v>2398</v>
      </c>
      <c r="C27" s="8" t="s">
        <v>2399</v>
      </c>
      <c r="F27" s="8" t="s">
        <v>88</v>
      </c>
      <c r="H27" s="1">
        <v>1</v>
      </c>
      <c r="I27" s="1">
        <f>1789-30</f>
        <v>1759</v>
      </c>
      <c r="J27" t="s">
        <v>69</v>
      </c>
      <c r="K27" t="s">
        <v>12</v>
      </c>
      <c r="T27" s="1"/>
      <c r="U27" s="9" t="s">
        <v>2396</v>
      </c>
      <c r="W27" s="9">
        <v>1</v>
      </c>
      <c r="BC27">
        <v>1790</v>
      </c>
      <c r="BD27" t="s">
        <v>81</v>
      </c>
      <c r="BE27" s="10" t="s">
        <v>70</v>
      </c>
      <c r="BF27" s="1" t="s">
        <v>73</v>
      </c>
      <c r="BG27" s="1">
        <v>1</v>
      </c>
      <c r="BH27">
        <v>1</v>
      </c>
      <c r="BZ27">
        <v>1</v>
      </c>
      <c r="CS27" t="s">
        <v>111</v>
      </c>
      <c r="CT27" s="10" t="s">
        <v>2400</v>
      </c>
    </row>
    <row r="28" spans="1:99">
      <c r="B28" t="s">
        <v>2537</v>
      </c>
      <c r="C28" s="8" t="s">
        <v>2538</v>
      </c>
      <c r="F28" s="8" t="s">
        <v>88</v>
      </c>
      <c r="H28" s="1">
        <v>1</v>
      </c>
      <c r="I28" s="1">
        <f>1789-20</f>
        <v>1769</v>
      </c>
      <c r="J28" t="s">
        <v>10</v>
      </c>
      <c r="K28" t="s">
        <v>12</v>
      </c>
      <c r="T28" s="1"/>
      <c r="U28" s="9" t="s">
        <v>2536</v>
      </c>
      <c r="W28" s="9">
        <v>1</v>
      </c>
      <c r="BC28">
        <v>1789</v>
      </c>
      <c r="BD28" t="s">
        <v>81</v>
      </c>
      <c r="BE28" s="10" t="s">
        <v>70</v>
      </c>
      <c r="BF28" s="1" t="s">
        <v>73</v>
      </c>
      <c r="BG28" s="1">
        <v>2</v>
      </c>
      <c r="BH28">
        <v>1</v>
      </c>
      <c r="BZ28">
        <v>1</v>
      </c>
      <c r="CS28" t="s">
        <v>111</v>
      </c>
      <c r="CT28" s="10" t="s">
        <v>2526</v>
      </c>
    </row>
    <row r="29" spans="1:99">
      <c r="A29" t="s">
        <v>7</v>
      </c>
      <c r="B29" t="s">
        <v>95</v>
      </c>
      <c r="F29" t="s">
        <v>7</v>
      </c>
      <c r="T29" s="1"/>
      <c r="U29" s="9" t="s">
        <v>96</v>
      </c>
      <c r="X29" s="9">
        <v>1</v>
      </c>
      <c r="BC29">
        <v>1790</v>
      </c>
      <c r="BD29" t="s">
        <v>81</v>
      </c>
      <c r="BE29" s="10" t="s">
        <v>70</v>
      </c>
      <c r="BF29" s="1" t="s">
        <v>73</v>
      </c>
      <c r="BG29" s="1">
        <v>2</v>
      </c>
      <c r="BH29">
        <v>1</v>
      </c>
      <c r="BK29" s="1">
        <v>1</v>
      </c>
      <c r="BZ29">
        <v>1</v>
      </c>
      <c r="CS29" t="s">
        <v>111</v>
      </c>
      <c r="CT29" s="10" t="s">
        <v>82</v>
      </c>
    </row>
    <row r="30" spans="1:99">
      <c r="A30" t="s">
        <v>7</v>
      </c>
      <c r="B30" t="s">
        <v>97</v>
      </c>
      <c r="F30" t="s">
        <v>7</v>
      </c>
      <c r="T30" s="1"/>
      <c r="U30" s="9" t="s">
        <v>96</v>
      </c>
      <c r="X30" s="9">
        <v>1</v>
      </c>
      <c r="BC30">
        <v>1790</v>
      </c>
      <c r="BD30" t="s">
        <v>81</v>
      </c>
      <c r="BE30" s="10" t="s">
        <v>70</v>
      </c>
      <c r="BF30" s="1" t="s">
        <v>73</v>
      </c>
      <c r="BG30" s="1">
        <v>2</v>
      </c>
      <c r="BH30">
        <v>1</v>
      </c>
      <c r="BK30" s="1">
        <v>1</v>
      </c>
      <c r="BZ30">
        <v>1</v>
      </c>
      <c r="CS30" t="s">
        <v>111</v>
      </c>
      <c r="CT30" s="10" t="s">
        <v>82</v>
      </c>
    </row>
    <row r="31" spans="1:99">
      <c r="A31" t="s">
        <v>7</v>
      </c>
      <c r="B31" t="s">
        <v>98</v>
      </c>
      <c r="F31" t="s">
        <v>7</v>
      </c>
      <c r="T31" s="1"/>
      <c r="U31" s="9" t="s">
        <v>96</v>
      </c>
      <c r="X31" s="9">
        <v>1</v>
      </c>
      <c r="BC31">
        <v>1790</v>
      </c>
      <c r="BD31" t="s">
        <v>81</v>
      </c>
      <c r="BE31" s="10" t="s">
        <v>70</v>
      </c>
      <c r="BF31" s="1" t="s">
        <v>73</v>
      </c>
      <c r="BG31" s="1">
        <v>2</v>
      </c>
      <c r="BH31">
        <v>1</v>
      </c>
      <c r="BK31" s="1">
        <v>1</v>
      </c>
      <c r="BZ31">
        <v>1</v>
      </c>
      <c r="CS31" t="s">
        <v>111</v>
      </c>
      <c r="CT31" s="10" t="s">
        <v>82</v>
      </c>
    </row>
    <row r="32" spans="1:99">
      <c r="A32" t="s">
        <v>7</v>
      </c>
      <c r="B32" t="s">
        <v>99</v>
      </c>
      <c r="F32" t="s">
        <v>7</v>
      </c>
      <c r="T32" s="1"/>
      <c r="U32" s="9" t="s">
        <v>96</v>
      </c>
      <c r="X32" s="9">
        <v>1</v>
      </c>
      <c r="BC32">
        <v>1790</v>
      </c>
      <c r="BD32" t="s">
        <v>81</v>
      </c>
      <c r="BE32" s="10" t="s">
        <v>70</v>
      </c>
      <c r="BF32" s="1" t="s">
        <v>73</v>
      </c>
      <c r="BG32" s="1">
        <v>2</v>
      </c>
      <c r="BH32">
        <v>1</v>
      </c>
      <c r="BZ32">
        <v>1</v>
      </c>
      <c r="CS32" t="s">
        <v>111</v>
      </c>
      <c r="CT32" s="10" t="s">
        <v>82</v>
      </c>
    </row>
    <row r="33" spans="1:98">
      <c r="B33" t="s">
        <v>1534</v>
      </c>
      <c r="C33" s="2" t="s">
        <v>1535</v>
      </c>
      <c r="D33" s="3" t="s">
        <v>1536</v>
      </c>
      <c r="E33" s="8" t="s">
        <v>193</v>
      </c>
      <c r="F33" s="8" t="s">
        <v>65</v>
      </c>
      <c r="G33" s="1">
        <v>1</v>
      </c>
      <c r="I33" s="1">
        <f>1790-20</f>
        <v>1770</v>
      </c>
      <c r="J33" t="s">
        <v>10</v>
      </c>
      <c r="K33" t="s">
        <v>12</v>
      </c>
      <c r="Q33">
        <v>5</v>
      </c>
      <c r="R33">
        <v>1</v>
      </c>
      <c r="S33">
        <v>1</v>
      </c>
      <c r="T33" s="5">
        <f t="shared" ref="T33:T49" si="0">((Q33*316)+(R33*26.3)+(S33*2.2))/10</f>
        <v>160.85</v>
      </c>
      <c r="U33" t="s">
        <v>1537</v>
      </c>
      <c r="X33" s="7">
        <v>1</v>
      </c>
      <c r="BC33" t="s">
        <v>1538</v>
      </c>
      <c r="BD33" s="7" t="s">
        <v>103</v>
      </c>
      <c r="BE33" s="10" t="s">
        <v>70</v>
      </c>
      <c r="BF33" s="1" t="s">
        <v>29</v>
      </c>
      <c r="BG33" s="1">
        <v>2</v>
      </c>
      <c r="BH33">
        <v>1</v>
      </c>
      <c r="BK33" s="1">
        <v>1</v>
      </c>
      <c r="BZ33">
        <v>1</v>
      </c>
      <c r="CS33" s="7" t="s">
        <v>1539</v>
      </c>
      <c r="CT33" s="10" t="s">
        <v>1540</v>
      </c>
    </row>
    <row r="34" spans="1:98">
      <c r="B34" t="s">
        <v>2248</v>
      </c>
      <c r="C34" s="2" t="s">
        <v>2249</v>
      </c>
      <c r="D34" s="3" t="s">
        <v>1536</v>
      </c>
      <c r="E34" s="8" t="s">
        <v>2250</v>
      </c>
      <c r="F34" s="8" t="s">
        <v>65</v>
      </c>
      <c r="G34" s="1">
        <v>1</v>
      </c>
      <c r="I34" s="1">
        <f>1790-20</f>
        <v>1770</v>
      </c>
      <c r="J34" t="s">
        <v>10</v>
      </c>
      <c r="K34" t="s">
        <v>2191</v>
      </c>
      <c r="Q34">
        <v>5</v>
      </c>
      <c r="R34">
        <v>2</v>
      </c>
      <c r="T34" s="5">
        <f t="shared" si="0"/>
        <v>163.26</v>
      </c>
      <c r="U34" t="s">
        <v>1537</v>
      </c>
      <c r="X34" s="7">
        <v>1</v>
      </c>
      <c r="BC34" t="s">
        <v>2251</v>
      </c>
      <c r="BD34" s="7" t="s">
        <v>280</v>
      </c>
      <c r="BE34" s="10" t="s">
        <v>70</v>
      </c>
      <c r="BF34" s="1" t="s">
        <v>29</v>
      </c>
      <c r="BG34" s="1">
        <v>2</v>
      </c>
      <c r="BH34">
        <v>1</v>
      </c>
      <c r="BK34" s="1">
        <v>1</v>
      </c>
      <c r="BZ34">
        <v>1</v>
      </c>
      <c r="CN34">
        <v>1</v>
      </c>
      <c r="CS34" s="7" t="s">
        <v>2252</v>
      </c>
      <c r="CT34" s="10" t="s">
        <v>1540</v>
      </c>
    </row>
    <row r="35" spans="1:98">
      <c r="B35" t="s">
        <v>2259</v>
      </c>
      <c r="C35" s="2" t="s">
        <v>2708</v>
      </c>
      <c r="D35" s="3" t="s">
        <v>2260</v>
      </c>
      <c r="E35" s="8" t="s">
        <v>238</v>
      </c>
      <c r="F35" s="8" t="s">
        <v>65</v>
      </c>
      <c r="G35" s="1">
        <v>1</v>
      </c>
      <c r="I35" s="1">
        <f>1790-20</f>
        <v>1770</v>
      </c>
      <c r="J35" t="s">
        <v>10</v>
      </c>
      <c r="K35" t="s">
        <v>12</v>
      </c>
      <c r="Q35">
        <v>5</v>
      </c>
      <c r="R35">
        <v>2</v>
      </c>
      <c r="T35" s="5">
        <f t="shared" si="0"/>
        <v>163.26</v>
      </c>
      <c r="U35" t="s">
        <v>1537</v>
      </c>
      <c r="X35" s="7">
        <v>1</v>
      </c>
      <c r="BC35" t="s">
        <v>2261</v>
      </c>
      <c r="BD35" s="7" t="s">
        <v>103</v>
      </c>
      <c r="BE35" s="10" t="s">
        <v>70</v>
      </c>
      <c r="BF35" s="1" t="s">
        <v>29</v>
      </c>
      <c r="BG35" s="1">
        <v>2</v>
      </c>
      <c r="BH35">
        <v>1</v>
      </c>
      <c r="BK35" s="1">
        <v>1</v>
      </c>
      <c r="BZ35">
        <v>1</v>
      </c>
      <c r="CS35" s="7" t="s">
        <v>1539</v>
      </c>
      <c r="CT35" s="10" t="s">
        <v>1540</v>
      </c>
    </row>
    <row r="36" spans="1:98">
      <c r="B36" t="s">
        <v>2274</v>
      </c>
      <c r="C36" s="2" t="s">
        <v>1427</v>
      </c>
      <c r="D36" s="13" t="s">
        <v>2275</v>
      </c>
      <c r="E36" s="8" t="s">
        <v>238</v>
      </c>
      <c r="F36" s="8" t="s">
        <v>65</v>
      </c>
      <c r="G36" s="1">
        <v>1</v>
      </c>
      <c r="I36" s="1">
        <f>1790-21</f>
        <v>1769</v>
      </c>
      <c r="J36" t="s">
        <v>10</v>
      </c>
      <c r="K36" t="s">
        <v>12</v>
      </c>
      <c r="Q36">
        <v>5</v>
      </c>
      <c r="R36">
        <v>1</v>
      </c>
      <c r="T36" s="5">
        <f t="shared" si="0"/>
        <v>160.63</v>
      </c>
      <c r="U36" t="s">
        <v>2264</v>
      </c>
      <c r="X36" s="14">
        <v>1</v>
      </c>
      <c r="BC36" s="9" t="s">
        <v>2281</v>
      </c>
      <c r="BD36" s="14" t="s">
        <v>338</v>
      </c>
      <c r="BE36" t="s">
        <v>70</v>
      </c>
      <c r="BF36" s="1" t="s">
        <v>73</v>
      </c>
      <c r="BG36" s="1">
        <v>2</v>
      </c>
      <c r="BH36">
        <v>1</v>
      </c>
      <c r="BK36" s="1">
        <v>1</v>
      </c>
      <c r="BZ36">
        <v>1</v>
      </c>
      <c r="CS36" s="14" t="s">
        <v>2283</v>
      </c>
      <c r="CT36" t="s">
        <v>2276</v>
      </c>
    </row>
    <row r="37" spans="1:98">
      <c r="B37" t="s">
        <v>2262</v>
      </c>
      <c r="C37" s="2" t="s">
        <v>2263</v>
      </c>
      <c r="D37" s="3" t="s">
        <v>1536</v>
      </c>
      <c r="E37" s="8" t="s">
        <v>238</v>
      </c>
      <c r="F37" s="8" t="s">
        <v>65</v>
      </c>
      <c r="G37" s="1">
        <v>1</v>
      </c>
      <c r="I37" s="1">
        <f>1790-20</f>
        <v>1770</v>
      </c>
      <c r="J37" t="s">
        <v>10</v>
      </c>
      <c r="K37" t="s">
        <v>12</v>
      </c>
      <c r="Q37">
        <v>5</v>
      </c>
      <c r="R37">
        <v>2</v>
      </c>
      <c r="T37" s="5">
        <f t="shared" si="0"/>
        <v>163.26</v>
      </c>
      <c r="U37" t="s">
        <v>2264</v>
      </c>
      <c r="X37" s="7">
        <v>1</v>
      </c>
      <c r="BC37" t="s">
        <v>2265</v>
      </c>
      <c r="BD37" s="7" t="s">
        <v>103</v>
      </c>
      <c r="BE37" s="10" t="s">
        <v>70</v>
      </c>
      <c r="BF37" s="1" t="s">
        <v>29</v>
      </c>
      <c r="BG37" s="1">
        <v>2</v>
      </c>
      <c r="BH37">
        <v>1</v>
      </c>
      <c r="BK37" s="1">
        <v>1</v>
      </c>
      <c r="BZ37">
        <v>1</v>
      </c>
      <c r="CS37" s="7" t="s">
        <v>1539</v>
      </c>
      <c r="CT37" s="10" t="s">
        <v>1540</v>
      </c>
    </row>
    <row r="38" spans="1:98">
      <c r="B38" t="s">
        <v>2277</v>
      </c>
      <c r="C38" s="2" t="s">
        <v>191</v>
      </c>
      <c r="D38" s="3" t="s">
        <v>192</v>
      </c>
      <c r="E38" s="8" t="s">
        <v>193</v>
      </c>
      <c r="F38" s="8" t="s">
        <v>65</v>
      </c>
      <c r="G38" s="1">
        <v>1</v>
      </c>
      <c r="I38" s="1">
        <f>1790-20</f>
        <v>1770</v>
      </c>
      <c r="J38" t="s">
        <v>10</v>
      </c>
      <c r="K38" t="s">
        <v>197</v>
      </c>
      <c r="Q38">
        <v>5</v>
      </c>
      <c r="R38">
        <v>1</v>
      </c>
      <c r="S38">
        <v>3</v>
      </c>
      <c r="T38" s="5">
        <f t="shared" si="0"/>
        <v>161.29</v>
      </c>
      <c r="U38" t="s">
        <v>2266</v>
      </c>
      <c r="X38" s="14">
        <v>1</v>
      </c>
      <c r="BC38" s="9" t="s">
        <v>2281</v>
      </c>
      <c r="BD38" s="14" t="s">
        <v>338</v>
      </c>
      <c r="BE38" t="s">
        <v>70</v>
      </c>
      <c r="BF38" s="1" t="s">
        <v>73</v>
      </c>
      <c r="BG38" s="1">
        <v>2</v>
      </c>
      <c r="BH38">
        <v>1</v>
      </c>
      <c r="BK38" s="1">
        <v>1</v>
      </c>
      <c r="BZ38">
        <v>1</v>
      </c>
      <c r="CS38" s="14" t="s">
        <v>2283</v>
      </c>
      <c r="CT38" t="s">
        <v>2276</v>
      </c>
    </row>
    <row r="39" spans="1:98">
      <c r="B39" t="s">
        <v>2278</v>
      </c>
      <c r="C39" s="2" t="s">
        <v>191</v>
      </c>
      <c r="D39" s="3" t="s">
        <v>192</v>
      </c>
      <c r="E39" s="8" t="s">
        <v>193</v>
      </c>
      <c r="F39" s="8" t="s">
        <v>65</v>
      </c>
      <c r="G39" s="1">
        <v>1</v>
      </c>
      <c r="I39" s="1">
        <f>1790-20</f>
        <v>1770</v>
      </c>
      <c r="J39" t="s">
        <v>10</v>
      </c>
      <c r="K39" t="s">
        <v>197</v>
      </c>
      <c r="Q39">
        <v>5</v>
      </c>
      <c r="R39">
        <v>3</v>
      </c>
      <c r="T39" s="5">
        <f t="shared" si="0"/>
        <v>165.89000000000001</v>
      </c>
      <c r="U39" t="s">
        <v>2266</v>
      </c>
      <c r="X39" s="14">
        <v>1</v>
      </c>
      <c r="BC39" s="9" t="s">
        <v>2280</v>
      </c>
      <c r="BD39" s="14" t="s">
        <v>338</v>
      </c>
      <c r="BE39" t="s">
        <v>70</v>
      </c>
      <c r="BF39" s="1" t="s">
        <v>73</v>
      </c>
      <c r="BG39" s="1">
        <v>2</v>
      </c>
      <c r="BH39">
        <v>1</v>
      </c>
      <c r="BK39" s="1">
        <v>1</v>
      </c>
      <c r="BZ39">
        <v>1</v>
      </c>
      <c r="CS39" s="14" t="s">
        <v>2282</v>
      </c>
      <c r="CT39" t="s">
        <v>2258</v>
      </c>
    </row>
    <row r="40" spans="1:98">
      <c r="B40" t="s">
        <v>2267</v>
      </c>
      <c r="C40" s="2" t="s">
        <v>191</v>
      </c>
      <c r="D40" s="3" t="s">
        <v>192</v>
      </c>
      <c r="E40" s="8" t="s">
        <v>193</v>
      </c>
      <c r="F40" s="8" t="s">
        <v>65</v>
      </c>
      <c r="G40" s="1">
        <v>1</v>
      </c>
      <c r="I40" s="1">
        <f>1790-30</f>
        <v>1760</v>
      </c>
      <c r="J40" t="s">
        <v>10</v>
      </c>
      <c r="K40" t="s">
        <v>140</v>
      </c>
      <c r="Q40">
        <v>5</v>
      </c>
      <c r="R40">
        <v>2</v>
      </c>
      <c r="S40">
        <v>1</v>
      </c>
      <c r="T40" s="5">
        <f t="shared" si="0"/>
        <v>163.47999999999999</v>
      </c>
      <c r="U40" t="s">
        <v>2266</v>
      </c>
      <c r="X40" s="7">
        <v>1</v>
      </c>
      <c r="BC40" t="s">
        <v>1994</v>
      </c>
      <c r="BD40" s="7" t="s">
        <v>103</v>
      </c>
      <c r="BE40" s="10" t="s">
        <v>70</v>
      </c>
      <c r="BF40" s="1" t="s">
        <v>29</v>
      </c>
      <c r="BG40" s="1">
        <v>2</v>
      </c>
      <c r="BH40">
        <v>1</v>
      </c>
      <c r="BK40" s="1">
        <v>1</v>
      </c>
      <c r="BZ40">
        <v>1</v>
      </c>
      <c r="CS40" s="7" t="s">
        <v>1539</v>
      </c>
      <c r="CT40" s="10" t="s">
        <v>1540</v>
      </c>
    </row>
    <row r="41" spans="1:98">
      <c r="B41" t="s">
        <v>2268</v>
      </c>
      <c r="C41" s="2" t="s">
        <v>191</v>
      </c>
      <c r="D41" s="3" t="s">
        <v>192</v>
      </c>
      <c r="E41" s="8" t="s">
        <v>193</v>
      </c>
      <c r="F41" s="8" t="s">
        <v>65</v>
      </c>
      <c r="G41" s="1">
        <v>1</v>
      </c>
      <c r="I41" s="1">
        <f>1790-17</f>
        <v>1773</v>
      </c>
      <c r="J41" t="s">
        <v>10</v>
      </c>
      <c r="K41" t="s">
        <v>197</v>
      </c>
      <c r="Q41">
        <v>5</v>
      </c>
      <c r="R41">
        <v>1</v>
      </c>
      <c r="S41">
        <v>3</v>
      </c>
      <c r="T41" s="5">
        <f t="shared" si="0"/>
        <v>161.29</v>
      </c>
      <c r="U41" t="s">
        <v>2266</v>
      </c>
      <c r="X41" s="7">
        <v>1</v>
      </c>
      <c r="BC41" t="s">
        <v>2261</v>
      </c>
      <c r="BD41" s="7" t="s">
        <v>103</v>
      </c>
      <c r="BE41" s="10" t="s">
        <v>70</v>
      </c>
      <c r="BF41" s="1" t="s">
        <v>29</v>
      </c>
      <c r="BG41" s="1">
        <v>2</v>
      </c>
      <c r="BH41">
        <v>1</v>
      </c>
      <c r="BK41" s="1">
        <v>1</v>
      </c>
      <c r="BZ41">
        <v>1</v>
      </c>
      <c r="CS41" s="7" t="s">
        <v>1539</v>
      </c>
      <c r="CT41" s="10" t="s">
        <v>1540</v>
      </c>
    </row>
    <row r="42" spans="1:98">
      <c r="B42" t="s">
        <v>1992</v>
      </c>
      <c r="C42" s="2" t="s">
        <v>191</v>
      </c>
      <c r="D42" s="3" t="s">
        <v>192</v>
      </c>
      <c r="E42" s="8" t="s">
        <v>193</v>
      </c>
      <c r="F42" s="8" t="s">
        <v>65</v>
      </c>
      <c r="G42" s="1">
        <v>1</v>
      </c>
      <c r="I42" s="1">
        <f>1790-24</f>
        <v>1766</v>
      </c>
      <c r="J42" t="s">
        <v>10</v>
      </c>
      <c r="K42" t="s">
        <v>197</v>
      </c>
      <c r="Q42">
        <v>5</v>
      </c>
      <c r="R42">
        <v>2</v>
      </c>
      <c r="T42" s="5">
        <f t="shared" si="0"/>
        <v>163.26</v>
      </c>
      <c r="U42" t="s">
        <v>1993</v>
      </c>
      <c r="X42" s="7">
        <v>1</v>
      </c>
      <c r="BC42" s="9" t="s">
        <v>2280</v>
      </c>
      <c r="BD42" s="7" t="s">
        <v>103</v>
      </c>
      <c r="BE42" s="10" t="s">
        <v>70</v>
      </c>
      <c r="BF42" s="1" t="s">
        <v>29</v>
      </c>
      <c r="BG42" s="1">
        <v>2</v>
      </c>
      <c r="BH42">
        <v>1</v>
      </c>
      <c r="BK42" s="1">
        <v>1</v>
      </c>
      <c r="BZ42">
        <v>1</v>
      </c>
      <c r="CS42" s="7" t="s">
        <v>1539</v>
      </c>
      <c r="CT42" s="10" t="s">
        <v>1540</v>
      </c>
    </row>
    <row r="43" spans="1:98">
      <c r="B43" t="s">
        <v>2287</v>
      </c>
      <c r="C43" s="2" t="s">
        <v>191</v>
      </c>
      <c r="D43" s="3" t="s">
        <v>192</v>
      </c>
      <c r="E43" s="8" t="s">
        <v>193</v>
      </c>
      <c r="F43" s="8" t="s">
        <v>65</v>
      </c>
      <c r="G43" s="1">
        <v>1</v>
      </c>
      <c r="I43" s="1">
        <f>1790-24</f>
        <v>1766</v>
      </c>
      <c r="J43" t="s">
        <v>10</v>
      </c>
      <c r="K43" t="s">
        <v>2290</v>
      </c>
      <c r="T43" s="5"/>
      <c r="U43" t="s">
        <v>2285</v>
      </c>
      <c r="X43" s="14">
        <v>1</v>
      </c>
      <c r="BC43" s="9" t="s">
        <v>2291</v>
      </c>
      <c r="BD43" s="14" t="s">
        <v>338</v>
      </c>
      <c r="BE43" t="s">
        <v>70</v>
      </c>
      <c r="BF43" s="1" t="s">
        <v>73</v>
      </c>
      <c r="BG43" s="1">
        <v>1</v>
      </c>
      <c r="BH43">
        <v>1</v>
      </c>
      <c r="BZ43">
        <v>1</v>
      </c>
      <c r="CS43" s="14" t="s">
        <v>2292</v>
      </c>
      <c r="CT43" t="s">
        <v>2258</v>
      </c>
    </row>
    <row r="44" spans="1:98">
      <c r="B44" t="s">
        <v>2288</v>
      </c>
      <c r="C44" s="8" t="s">
        <v>2289</v>
      </c>
      <c r="D44" s="3"/>
      <c r="E44" s="8"/>
      <c r="F44" s="8" t="s">
        <v>65</v>
      </c>
      <c r="G44" s="1">
        <v>1</v>
      </c>
      <c r="I44" s="1">
        <f>1790-19</f>
        <v>1771</v>
      </c>
      <c r="J44" t="s">
        <v>10</v>
      </c>
      <c r="K44" t="s">
        <v>12</v>
      </c>
      <c r="T44" s="5"/>
      <c r="U44" t="s">
        <v>2286</v>
      </c>
      <c r="X44" s="14">
        <v>1</v>
      </c>
      <c r="BC44" s="9" t="s">
        <v>2291</v>
      </c>
      <c r="BD44" s="14" t="s">
        <v>338</v>
      </c>
      <c r="BE44" t="s">
        <v>70</v>
      </c>
      <c r="BF44" s="1" t="s">
        <v>73</v>
      </c>
      <c r="BG44" s="1">
        <v>1</v>
      </c>
      <c r="BH44">
        <v>1</v>
      </c>
      <c r="BZ44">
        <v>1</v>
      </c>
      <c r="CS44" s="14" t="s">
        <v>2292</v>
      </c>
      <c r="CT44" t="s">
        <v>2258</v>
      </c>
    </row>
    <row r="45" spans="1:98">
      <c r="A45" t="s">
        <v>7</v>
      </c>
      <c r="B45" t="s">
        <v>100</v>
      </c>
      <c r="F45" t="s">
        <v>7</v>
      </c>
      <c r="T45" s="5"/>
      <c r="U45" s="9" t="s">
        <v>101</v>
      </c>
      <c r="X45" s="9">
        <v>1</v>
      </c>
      <c r="BC45" t="s">
        <v>102</v>
      </c>
      <c r="BD45" s="7" t="s">
        <v>103</v>
      </c>
      <c r="BE45" s="10" t="s">
        <v>70</v>
      </c>
      <c r="BF45" s="1" t="s">
        <v>73</v>
      </c>
      <c r="BG45" s="1">
        <v>1</v>
      </c>
      <c r="BH45">
        <v>1</v>
      </c>
      <c r="BK45" s="1">
        <v>1</v>
      </c>
      <c r="BZ45">
        <v>1</v>
      </c>
      <c r="CS45" s="7" t="s">
        <v>1539</v>
      </c>
      <c r="CT45" s="10" t="s">
        <v>82</v>
      </c>
    </row>
    <row r="46" spans="1:98">
      <c r="B46" t="s">
        <v>2458</v>
      </c>
      <c r="C46" s="2" t="s">
        <v>2459</v>
      </c>
      <c r="D46" s="2" t="s">
        <v>2460</v>
      </c>
      <c r="E46" s="8" t="s">
        <v>571</v>
      </c>
      <c r="F46" s="8" t="s">
        <v>218</v>
      </c>
      <c r="G46" s="1">
        <v>1</v>
      </c>
      <c r="I46" s="1">
        <f>1790-20</f>
        <v>1770</v>
      </c>
      <c r="J46" t="s">
        <v>10</v>
      </c>
      <c r="K46" t="s">
        <v>12</v>
      </c>
      <c r="Q46">
        <v>5</v>
      </c>
      <c r="R46">
        <v>3</v>
      </c>
      <c r="S46">
        <v>2</v>
      </c>
      <c r="T46" s="5">
        <f t="shared" si="0"/>
        <v>166.33</v>
      </c>
      <c r="U46" t="s">
        <v>2457</v>
      </c>
      <c r="X46" s="6">
        <v>1</v>
      </c>
      <c r="Y46" s="7">
        <v>1</v>
      </c>
      <c r="BC46" s="9" t="s">
        <v>2461</v>
      </c>
      <c r="BD46" s="7" t="s">
        <v>103</v>
      </c>
      <c r="BE46" t="s">
        <v>1202</v>
      </c>
      <c r="BF46" s="1" t="s">
        <v>29</v>
      </c>
      <c r="BG46" s="1">
        <v>4</v>
      </c>
      <c r="BH46">
        <v>1</v>
      </c>
      <c r="BK46" s="1">
        <v>1</v>
      </c>
      <c r="BQ46">
        <v>1</v>
      </c>
      <c r="CS46" s="7" t="s">
        <v>1539</v>
      </c>
    </row>
    <row r="47" spans="1:98">
      <c r="B47" t="s">
        <v>2393</v>
      </c>
      <c r="C47" s="2" t="s">
        <v>2394</v>
      </c>
      <c r="D47" s="2" t="s">
        <v>2394</v>
      </c>
      <c r="E47" s="8" t="s">
        <v>571</v>
      </c>
      <c r="F47" s="8" t="s">
        <v>218</v>
      </c>
      <c r="G47" s="1">
        <v>1</v>
      </c>
      <c r="I47" s="1">
        <f>1791-20</f>
        <v>1771</v>
      </c>
      <c r="J47" t="s">
        <v>10</v>
      </c>
      <c r="K47" t="s">
        <v>1549</v>
      </c>
      <c r="Q47">
        <v>5</v>
      </c>
      <c r="R47">
        <v>2</v>
      </c>
      <c r="S47">
        <v>1</v>
      </c>
      <c r="T47" s="5">
        <f t="shared" si="0"/>
        <v>163.47999999999999</v>
      </c>
      <c r="U47" t="s">
        <v>2392</v>
      </c>
      <c r="X47" s="6">
        <v>1</v>
      </c>
      <c r="Y47" s="6">
        <v>1</v>
      </c>
      <c r="Z47" s="7">
        <v>1</v>
      </c>
      <c r="BC47" t="s">
        <v>2395</v>
      </c>
      <c r="BD47" s="7" t="s">
        <v>103</v>
      </c>
      <c r="BE47" t="s">
        <v>1202</v>
      </c>
      <c r="BF47" s="1" t="s">
        <v>29</v>
      </c>
      <c r="BG47" s="1">
        <v>6</v>
      </c>
      <c r="BH47">
        <v>1</v>
      </c>
      <c r="BK47" s="1">
        <v>1</v>
      </c>
      <c r="BQ47">
        <v>1</v>
      </c>
      <c r="CS47" s="7" t="s">
        <v>277</v>
      </c>
    </row>
    <row r="48" spans="1:98">
      <c r="B48" t="s">
        <v>2269</v>
      </c>
      <c r="C48" s="2" t="s">
        <v>191</v>
      </c>
      <c r="D48" s="3" t="s">
        <v>192</v>
      </c>
      <c r="E48" s="8" t="s">
        <v>193</v>
      </c>
      <c r="F48" s="8" t="s">
        <v>65</v>
      </c>
      <c r="G48" s="1">
        <v>1</v>
      </c>
      <c r="I48" s="1">
        <f>1790-20</f>
        <v>1770</v>
      </c>
      <c r="J48" t="s">
        <v>10</v>
      </c>
      <c r="K48" t="s">
        <v>2271</v>
      </c>
      <c r="Q48">
        <v>5</v>
      </c>
      <c r="R48">
        <v>2</v>
      </c>
      <c r="T48" s="5">
        <f t="shared" si="0"/>
        <v>163.26</v>
      </c>
      <c r="U48" t="s">
        <v>2270</v>
      </c>
      <c r="X48" s="7">
        <v>1</v>
      </c>
      <c r="BC48" t="s">
        <v>2272</v>
      </c>
      <c r="BD48" s="7" t="s">
        <v>103</v>
      </c>
      <c r="BE48" s="10" t="s">
        <v>70</v>
      </c>
      <c r="BF48" s="1" t="s">
        <v>29</v>
      </c>
      <c r="BG48" s="1">
        <v>2</v>
      </c>
      <c r="BH48">
        <v>1</v>
      </c>
      <c r="BK48" s="1">
        <v>1</v>
      </c>
      <c r="BZ48">
        <v>1</v>
      </c>
      <c r="CS48" s="7" t="s">
        <v>1539</v>
      </c>
      <c r="CT48" s="10" t="s">
        <v>82</v>
      </c>
    </row>
    <row r="49" spans="1:99">
      <c r="B49" t="s">
        <v>2359</v>
      </c>
      <c r="C49" s="2" t="s">
        <v>2360</v>
      </c>
      <c r="D49" s="37" t="s">
        <v>2361</v>
      </c>
      <c r="E49" s="8"/>
      <c r="F49" s="8" t="s">
        <v>218</v>
      </c>
      <c r="G49" s="1">
        <v>1</v>
      </c>
      <c r="I49" s="1">
        <f>1802-39</f>
        <v>1763</v>
      </c>
      <c r="J49" t="s">
        <v>10</v>
      </c>
      <c r="K49" t="s">
        <v>2362</v>
      </c>
      <c r="Q49">
        <v>5</v>
      </c>
      <c r="R49">
        <v>7</v>
      </c>
      <c r="S49">
        <v>2</v>
      </c>
      <c r="T49" s="5">
        <f t="shared" si="0"/>
        <v>176.85</v>
      </c>
      <c r="U49" s="9" t="s">
        <v>2363</v>
      </c>
      <c r="Y49" s="9">
        <v>1</v>
      </c>
      <c r="Z49" s="9">
        <v>1</v>
      </c>
      <c r="AA49" s="9">
        <v>1</v>
      </c>
      <c r="AB49" s="9">
        <v>1</v>
      </c>
      <c r="AC49" s="9">
        <v>1</v>
      </c>
      <c r="AD49" s="9">
        <v>1</v>
      </c>
      <c r="AE49" s="9">
        <v>1</v>
      </c>
      <c r="AF49" s="6">
        <v>1</v>
      </c>
      <c r="AG49" s="6">
        <v>1</v>
      </c>
      <c r="AH49" s="6">
        <v>1</v>
      </c>
      <c r="AI49" s="6">
        <v>1</v>
      </c>
      <c r="AJ49" s="6">
        <v>1</v>
      </c>
      <c r="AK49" s="6">
        <v>1</v>
      </c>
      <c r="AL49" s="6">
        <v>1</v>
      </c>
      <c r="AM49" s="6">
        <v>1</v>
      </c>
      <c r="AN49" s="6">
        <v>1</v>
      </c>
      <c r="AO49" s="6">
        <v>1</v>
      </c>
      <c r="AP49" s="6">
        <v>1</v>
      </c>
      <c r="AQ49" s="6">
        <v>1</v>
      </c>
      <c r="AR49" s="7">
        <v>1</v>
      </c>
      <c r="AS49" s="7">
        <v>1</v>
      </c>
      <c r="BC49" t="s">
        <v>2364</v>
      </c>
      <c r="BD49" s="7" t="s">
        <v>959</v>
      </c>
      <c r="BE49" s="7" t="s">
        <v>1558</v>
      </c>
      <c r="BF49" s="1" t="s">
        <v>29</v>
      </c>
      <c r="BG49" s="1">
        <v>2</v>
      </c>
      <c r="BH49">
        <v>3</v>
      </c>
      <c r="BJ49">
        <v>1</v>
      </c>
      <c r="BK49" s="1">
        <v>1</v>
      </c>
      <c r="BQ49">
        <v>1</v>
      </c>
      <c r="CB49" s="7">
        <v>1</v>
      </c>
      <c r="CG49">
        <v>1</v>
      </c>
      <c r="CS49" s="7" t="s">
        <v>2365</v>
      </c>
    </row>
    <row r="50" spans="1:99">
      <c r="B50" t="s">
        <v>963</v>
      </c>
      <c r="C50" s="8" t="s">
        <v>964</v>
      </c>
      <c r="F50" s="8" t="s">
        <v>88</v>
      </c>
      <c r="H50" s="1">
        <v>1</v>
      </c>
      <c r="I50" s="1">
        <f>1800-46</f>
        <v>1754</v>
      </c>
      <c r="J50" t="s">
        <v>69</v>
      </c>
      <c r="K50" t="s">
        <v>197</v>
      </c>
      <c r="T50" s="5"/>
      <c r="U50" s="9" t="s">
        <v>965</v>
      </c>
      <c r="Z50" s="9">
        <v>1</v>
      </c>
      <c r="AA50" s="6">
        <v>1</v>
      </c>
      <c r="AB50" s="6">
        <v>1</v>
      </c>
      <c r="AC50" s="6">
        <v>1</v>
      </c>
      <c r="AD50" s="6">
        <v>1</v>
      </c>
      <c r="AE50" s="6">
        <v>1</v>
      </c>
      <c r="AF50" s="6">
        <v>1</v>
      </c>
      <c r="AG50" s="6">
        <v>1</v>
      </c>
      <c r="AH50" s="6">
        <v>1</v>
      </c>
      <c r="BC50">
        <v>1800</v>
      </c>
      <c r="BD50" t="s">
        <v>81</v>
      </c>
      <c r="BE50" s="10" t="s">
        <v>70</v>
      </c>
      <c r="BF50" s="1" t="s">
        <v>73</v>
      </c>
      <c r="BG50" s="1">
        <v>1</v>
      </c>
      <c r="BH50">
        <v>1</v>
      </c>
      <c r="BK50" s="1">
        <v>1</v>
      </c>
      <c r="BZ50">
        <v>1</v>
      </c>
      <c r="CN50">
        <v>1</v>
      </c>
      <c r="CP50">
        <v>1</v>
      </c>
      <c r="CS50" t="s">
        <v>966</v>
      </c>
      <c r="CT50" s="10" t="s">
        <v>2273</v>
      </c>
      <c r="CU50" s="9" t="s">
        <v>127</v>
      </c>
    </row>
    <row r="51" spans="1:99">
      <c r="A51" t="s">
        <v>7</v>
      </c>
      <c r="B51" t="s">
        <v>2565</v>
      </c>
      <c r="C51" s="15"/>
      <c r="D51" s="37"/>
      <c r="E51" s="8"/>
      <c r="F51" t="s">
        <v>7</v>
      </c>
      <c r="T51" s="5"/>
      <c r="U51" t="s">
        <v>2566</v>
      </c>
      <c r="AB51" s="6">
        <v>1</v>
      </c>
      <c r="AC51" s="7">
        <v>1</v>
      </c>
      <c r="BC51" t="s">
        <v>2567</v>
      </c>
      <c r="BD51" s="7" t="s">
        <v>280</v>
      </c>
      <c r="BE51" t="s">
        <v>70</v>
      </c>
      <c r="BF51" s="1" t="s">
        <v>29</v>
      </c>
      <c r="BG51" s="1">
        <v>2</v>
      </c>
      <c r="BH51">
        <v>1</v>
      </c>
      <c r="BZ51">
        <v>1</v>
      </c>
      <c r="CN51">
        <v>1</v>
      </c>
      <c r="CS51" s="7" t="s">
        <v>2568</v>
      </c>
    </row>
    <row r="52" spans="1:99">
      <c r="B52" t="s">
        <v>2569</v>
      </c>
      <c r="C52" s="8" t="s">
        <v>2570</v>
      </c>
      <c r="D52" s="37"/>
      <c r="E52" s="8"/>
      <c r="F52" s="8" t="s">
        <v>234</v>
      </c>
      <c r="G52" s="1">
        <v>1</v>
      </c>
      <c r="I52" s="1">
        <f>1794-25</f>
        <v>1769</v>
      </c>
      <c r="J52" t="s">
        <v>10</v>
      </c>
      <c r="K52" t="s">
        <v>12</v>
      </c>
      <c r="T52" s="5"/>
      <c r="U52" t="s">
        <v>2571</v>
      </c>
      <c r="AB52" s="6">
        <v>1</v>
      </c>
      <c r="AC52" s="7">
        <v>1</v>
      </c>
      <c r="BC52" s="38" t="s">
        <v>2567</v>
      </c>
      <c r="BD52" s="7" t="s">
        <v>280</v>
      </c>
      <c r="BE52" t="s">
        <v>70</v>
      </c>
      <c r="BF52" s="1" t="s">
        <v>29</v>
      </c>
      <c r="BG52" s="1">
        <v>3</v>
      </c>
      <c r="BH52">
        <v>1</v>
      </c>
      <c r="BK52" s="1">
        <v>1</v>
      </c>
      <c r="BZ52">
        <v>1</v>
      </c>
      <c r="CN52">
        <v>1</v>
      </c>
      <c r="CS52" s="7" t="s">
        <v>2568</v>
      </c>
      <c r="CT52" s="10" t="s">
        <v>2400</v>
      </c>
    </row>
    <row r="53" spans="1:99">
      <c r="B53" t="s">
        <v>1</v>
      </c>
      <c r="C53" s="2" t="s">
        <v>8</v>
      </c>
      <c r="F53" s="8" t="s">
        <v>33</v>
      </c>
      <c r="H53" s="1">
        <v>1</v>
      </c>
      <c r="I53" s="1">
        <f>1795-20</f>
        <v>1775</v>
      </c>
      <c r="J53" t="s">
        <v>10</v>
      </c>
      <c r="K53" s="4" t="s">
        <v>12</v>
      </c>
      <c r="Q53">
        <v>5</v>
      </c>
      <c r="R53">
        <v>3</v>
      </c>
      <c r="S53">
        <v>3</v>
      </c>
      <c r="T53" s="5">
        <f>((Q53*316)+(R53*26.3)+(S53*2.2))/10</f>
        <v>166.55</v>
      </c>
      <c r="U53" t="s">
        <v>24</v>
      </c>
      <c r="AB53" s="6">
        <v>1</v>
      </c>
      <c r="AC53" s="7">
        <v>1</v>
      </c>
      <c r="BC53" t="s">
        <v>25</v>
      </c>
      <c r="BD53" s="7" t="s">
        <v>26</v>
      </c>
      <c r="BE53" t="s">
        <v>62</v>
      </c>
      <c r="BF53" s="1" t="s">
        <v>29</v>
      </c>
      <c r="BG53" s="1">
        <v>3</v>
      </c>
      <c r="BH53">
        <v>1</v>
      </c>
      <c r="BO53">
        <v>1</v>
      </c>
      <c r="BQ53">
        <v>1</v>
      </c>
      <c r="CS53" s="7" t="s">
        <v>104</v>
      </c>
    </row>
    <row r="54" spans="1:99">
      <c r="B54" t="s">
        <v>2140</v>
      </c>
      <c r="C54" s="2" t="s">
        <v>2141</v>
      </c>
      <c r="D54" s="2" t="s">
        <v>1635</v>
      </c>
      <c r="E54" s="8" t="s">
        <v>130</v>
      </c>
      <c r="F54" s="8" t="s">
        <v>65</v>
      </c>
      <c r="G54" s="1">
        <v>1</v>
      </c>
      <c r="I54" s="1">
        <f>1803-26</f>
        <v>1777</v>
      </c>
      <c r="J54" t="s">
        <v>10</v>
      </c>
      <c r="K54" s="4" t="s">
        <v>12</v>
      </c>
      <c r="Q54">
        <v>5</v>
      </c>
      <c r="R54">
        <v>5</v>
      </c>
      <c r="T54" s="5">
        <f>((Q54*316)+(R54*26.3)+(S54*2.2))/10</f>
        <v>171.15</v>
      </c>
      <c r="U54" t="s">
        <v>2139</v>
      </c>
      <c r="AC54" s="6">
        <v>1</v>
      </c>
      <c r="AD54" s="6">
        <v>1</v>
      </c>
      <c r="AE54" s="6">
        <v>1</v>
      </c>
      <c r="AF54" s="6">
        <v>1</v>
      </c>
      <c r="AG54" s="6">
        <v>1</v>
      </c>
      <c r="AH54" s="6">
        <v>1</v>
      </c>
      <c r="AI54" s="6">
        <v>1</v>
      </c>
      <c r="AJ54" s="6">
        <v>1</v>
      </c>
      <c r="AK54" s="7">
        <v>1</v>
      </c>
      <c r="BC54" t="s">
        <v>1528</v>
      </c>
      <c r="BD54" s="7" t="s">
        <v>280</v>
      </c>
      <c r="BE54" t="s">
        <v>1502</v>
      </c>
      <c r="BF54" s="1" t="s">
        <v>29</v>
      </c>
      <c r="BG54" s="1">
        <v>2</v>
      </c>
      <c r="BH54">
        <v>1</v>
      </c>
      <c r="BK54" s="1">
        <v>1</v>
      </c>
      <c r="BQ54">
        <v>1</v>
      </c>
      <c r="CN54">
        <v>1</v>
      </c>
      <c r="CS54" s="7" t="s">
        <v>947</v>
      </c>
    </row>
    <row r="55" spans="1:99">
      <c r="A55" t="s">
        <v>7</v>
      </c>
      <c r="B55" t="s">
        <v>934</v>
      </c>
      <c r="C55" s="15"/>
      <c r="F55" t="s">
        <v>7</v>
      </c>
      <c r="K55" s="4"/>
      <c r="T55" s="5"/>
      <c r="U55" t="s">
        <v>751</v>
      </c>
      <c r="AD55" s="6">
        <v>1</v>
      </c>
      <c r="AE55" s="6">
        <v>1</v>
      </c>
      <c r="AF55" s="6">
        <v>1</v>
      </c>
      <c r="AG55" s="6">
        <v>1</v>
      </c>
      <c r="AH55" s="7">
        <v>1</v>
      </c>
      <c r="BC55" t="s">
        <v>935</v>
      </c>
      <c r="BD55" s="7" t="s">
        <v>26</v>
      </c>
      <c r="BE55" t="s">
        <v>927</v>
      </c>
      <c r="BF55" s="1" t="s">
        <v>29</v>
      </c>
      <c r="BG55" s="1">
        <v>2</v>
      </c>
      <c r="BH55">
        <v>2</v>
      </c>
      <c r="BO55">
        <v>1</v>
      </c>
      <c r="BR55">
        <v>1</v>
      </c>
      <c r="BS55">
        <v>1</v>
      </c>
      <c r="CL55">
        <v>1</v>
      </c>
      <c r="CS55" s="7" t="s">
        <v>936</v>
      </c>
    </row>
    <row r="56" spans="1:99">
      <c r="B56" t="s">
        <v>752</v>
      </c>
      <c r="C56" s="2" t="s">
        <v>166</v>
      </c>
      <c r="E56" s="8" t="s">
        <v>481</v>
      </c>
      <c r="F56" s="8" t="s">
        <v>65</v>
      </c>
      <c r="G56" s="1">
        <v>1</v>
      </c>
      <c r="I56" s="1">
        <f>1796-19</f>
        <v>1777</v>
      </c>
      <c r="J56" t="s">
        <v>10</v>
      </c>
      <c r="K56" s="4" t="s">
        <v>12</v>
      </c>
      <c r="Q56">
        <v>5</v>
      </c>
      <c r="R56">
        <v>4</v>
      </c>
      <c r="T56" s="5">
        <f t="shared" ref="T56:T63" si="1">((Q56*316)+(R56*26.3)+(S56*2.2))/10</f>
        <v>168.52</v>
      </c>
      <c r="U56" t="s">
        <v>751</v>
      </c>
      <c r="AD56" s="7">
        <v>1</v>
      </c>
      <c r="BC56" t="s">
        <v>756</v>
      </c>
      <c r="BD56" s="7" t="s">
        <v>280</v>
      </c>
      <c r="BE56" t="s">
        <v>744</v>
      </c>
      <c r="BF56" s="1" t="s">
        <v>29</v>
      </c>
      <c r="BG56" s="1">
        <v>2</v>
      </c>
      <c r="BH56">
        <v>1</v>
      </c>
      <c r="BO56">
        <v>1</v>
      </c>
      <c r="BR56">
        <v>1</v>
      </c>
      <c r="CN56">
        <v>1</v>
      </c>
      <c r="CS56" s="7" t="s">
        <v>745</v>
      </c>
    </row>
    <row r="57" spans="1:99">
      <c r="B57" t="s">
        <v>871</v>
      </c>
      <c r="C57" s="2" t="s">
        <v>166</v>
      </c>
      <c r="E57" s="8" t="s">
        <v>481</v>
      </c>
      <c r="F57" s="8" t="s">
        <v>65</v>
      </c>
      <c r="G57" s="1">
        <v>1</v>
      </c>
      <c r="I57" s="1">
        <f>1796-20</f>
        <v>1776</v>
      </c>
      <c r="J57" t="s">
        <v>10</v>
      </c>
      <c r="K57" s="4" t="s">
        <v>12</v>
      </c>
      <c r="Q57">
        <v>5</v>
      </c>
      <c r="R57">
        <v>1</v>
      </c>
      <c r="T57" s="5">
        <f t="shared" si="1"/>
        <v>160.63</v>
      </c>
      <c r="U57" t="s">
        <v>872</v>
      </c>
      <c r="AD57" s="6">
        <v>1</v>
      </c>
      <c r="AE57" s="6">
        <v>1</v>
      </c>
      <c r="AF57" s="6">
        <v>1</v>
      </c>
      <c r="AG57" s="6">
        <v>1</v>
      </c>
      <c r="AH57" s="6">
        <v>1</v>
      </c>
      <c r="AI57" s="6">
        <v>1</v>
      </c>
      <c r="AJ57" s="7">
        <v>1</v>
      </c>
      <c r="BC57" t="s">
        <v>873</v>
      </c>
      <c r="BD57" s="7" t="s">
        <v>280</v>
      </c>
      <c r="BE57" t="s">
        <v>874</v>
      </c>
      <c r="BF57" s="1" t="s">
        <v>29</v>
      </c>
      <c r="BG57" s="1">
        <v>5</v>
      </c>
      <c r="BH57">
        <v>2</v>
      </c>
      <c r="BO57">
        <v>1</v>
      </c>
      <c r="BR57">
        <v>1</v>
      </c>
      <c r="BV57">
        <v>1</v>
      </c>
      <c r="CL57">
        <v>1</v>
      </c>
      <c r="CN57">
        <v>1</v>
      </c>
      <c r="CS57" s="7" t="s">
        <v>875</v>
      </c>
    </row>
    <row r="58" spans="1:99">
      <c r="B58" t="s">
        <v>931</v>
      </c>
      <c r="C58" s="2" t="s">
        <v>932</v>
      </c>
      <c r="D58" s="2" t="s">
        <v>932</v>
      </c>
      <c r="E58" s="8" t="s">
        <v>481</v>
      </c>
      <c r="F58" s="8" t="s">
        <v>65</v>
      </c>
      <c r="G58" s="1">
        <v>1</v>
      </c>
      <c r="I58" s="1">
        <f>1796-16</f>
        <v>1780</v>
      </c>
      <c r="J58" t="s">
        <v>10</v>
      </c>
      <c r="K58" s="4" t="s">
        <v>12</v>
      </c>
      <c r="Q58">
        <v>5</v>
      </c>
      <c r="R58">
        <v>2</v>
      </c>
      <c r="T58" s="5">
        <f t="shared" si="1"/>
        <v>163.26</v>
      </c>
      <c r="U58" t="s">
        <v>872</v>
      </c>
      <c r="AD58" s="6">
        <v>1</v>
      </c>
      <c r="AE58" s="6">
        <v>1</v>
      </c>
      <c r="AF58" s="6">
        <v>1</v>
      </c>
      <c r="AG58" s="7">
        <v>1</v>
      </c>
      <c r="BC58" t="s">
        <v>929</v>
      </c>
      <c r="BD58" s="7" t="s">
        <v>163</v>
      </c>
      <c r="BE58" t="s">
        <v>927</v>
      </c>
      <c r="BF58" s="1" t="s">
        <v>29</v>
      </c>
      <c r="BG58" s="1">
        <v>3</v>
      </c>
      <c r="BH58">
        <v>2</v>
      </c>
      <c r="BO58">
        <v>1</v>
      </c>
      <c r="BR58">
        <v>1</v>
      </c>
      <c r="BS58">
        <v>1</v>
      </c>
      <c r="CL58">
        <v>1</v>
      </c>
      <c r="CN58">
        <v>1</v>
      </c>
      <c r="CO58">
        <v>1</v>
      </c>
      <c r="CS58" s="7" t="s">
        <v>933</v>
      </c>
    </row>
    <row r="59" spans="1:99">
      <c r="B59" t="s">
        <v>981</v>
      </c>
      <c r="C59" s="2" t="s">
        <v>932</v>
      </c>
      <c r="D59" s="2" t="s">
        <v>932</v>
      </c>
      <c r="E59" s="8" t="s">
        <v>481</v>
      </c>
      <c r="F59" s="8" t="s">
        <v>65</v>
      </c>
      <c r="G59" s="1">
        <v>1</v>
      </c>
      <c r="I59" s="1">
        <f>1796-20</f>
        <v>1776</v>
      </c>
      <c r="J59" t="s">
        <v>10</v>
      </c>
      <c r="K59" s="4" t="s">
        <v>12</v>
      </c>
      <c r="Q59">
        <v>5</v>
      </c>
      <c r="R59">
        <v>2</v>
      </c>
      <c r="T59" s="5">
        <f t="shared" si="1"/>
        <v>163.26</v>
      </c>
      <c r="U59" t="s">
        <v>872</v>
      </c>
      <c r="AD59" s="6">
        <v>1</v>
      </c>
      <c r="AE59" s="6">
        <v>1</v>
      </c>
      <c r="AF59" s="6">
        <v>1</v>
      </c>
      <c r="AG59" s="6">
        <v>1</v>
      </c>
      <c r="AH59" s="6">
        <v>1</v>
      </c>
      <c r="AI59" s="6">
        <v>1</v>
      </c>
      <c r="AJ59" s="6">
        <v>1</v>
      </c>
      <c r="AK59" s="6">
        <v>1</v>
      </c>
      <c r="AL59" s="6">
        <v>1</v>
      </c>
      <c r="AM59" s="7">
        <v>1</v>
      </c>
      <c r="BC59" t="s">
        <v>982</v>
      </c>
      <c r="BD59" s="7" t="s">
        <v>103</v>
      </c>
      <c r="BE59" t="s">
        <v>975</v>
      </c>
      <c r="BF59" s="1" t="s">
        <v>29</v>
      </c>
      <c r="BG59" s="1">
        <v>7</v>
      </c>
      <c r="BH59">
        <v>3</v>
      </c>
      <c r="BI59">
        <v>1</v>
      </c>
      <c r="BO59">
        <v>1</v>
      </c>
      <c r="BQ59">
        <v>1</v>
      </c>
      <c r="BR59">
        <v>1</v>
      </c>
      <c r="BS59">
        <v>1</v>
      </c>
      <c r="CL59">
        <v>1</v>
      </c>
      <c r="CS59" s="7" t="s">
        <v>986</v>
      </c>
    </row>
    <row r="60" spans="1:99">
      <c r="B60" t="s">
        <v>753</v>
      </c>
      <c r="C60" s="2" t="s">
        <v>754</v>
      </c>
      <c r="E60" s="8"/>
      <c r="F60" s="8" t="s">
        <v>748</v>
      </c>
      <c r="H60" s="1">
        <v>1</v>
      </c>
      <c r="I60" s="1">
        <f>1796-16</f>
        <v>1780</v>
      </c>
      <c r="J60" t="s">
        <v>10</v>
      </c>
      <c r="K60" s="4" t="s">
        <v>12</v>
      </c>
      <c r="Q60">
        <v>5</v>
      </c>
      <c r="R60">
        <v>4</v>
      </c>
      <c r="T60" s="5">
        <f t="shared" si="1"/>
        <v>168.52</v>
      </c>
      <c r="U60" t="s">
        <v>755</v>
      </c>
      <c r="AD60" s="7">
        <v>1</v>
      </c>
      <c r="BC60" t="s">
        <v>756</v>
      </c>
      <c r="BD60" s="7" t="s">
        <v>280</v>
      </c>
      <c r="BE60" t="s">
        <v>744</v>
      </c>
      <c r="BF60" s="1" t="s">
        <v>29</v>
      </c>
      <c r="BG60" s="1">
        <v>2</v>
      </c>
      <c r="BH60">
        <v>1</v>
      </c>
      <c r="BO60">
        <v>1</v>
      </c>
      <c r="BR60">
        <v>1</v>
      </c>
      <c r="CN60">
        <v>1</v>
      </c>
      <c r="CS60" s="7" t="s">
        <v>745</v>
      </c>
    </row>
    <row r="61" spans="1:99">
      <c r="B61" t="s">
        <v>987</v>
      </c>
      <c r="C61" s="2" t="s">
        <v>932</v>
      </c>
      <c r="D61" s="2" t="s">
        <v>932</v>
      </c>
      <c r="E61" s="8" t="s">
        <v>481</v>
      </c>
      <c r="F61" s="8" t="s">
        <v>65</v>
      </c>
      <c r="G61" s="1">
        <v>1</v>
      </c>
      <c r="I61" s="1">
        <f>1796-15</f>
        <v>1781</v>
      </c>
      <c r="J61" t="s">
        <v>10</v>
      </c>
      <c r="K61" s="4" t="s">
        <v>12</v>
      </c>
      <c r="Q61">
        <v>5</v>
      </c>
      <c r="R61">
        <v>2</v>
      </c>
      <c r="T61" s="5">
        <f t="shared" si="1"/>
        <v>163.26</v>
      </c>
      <c r="U61" t="s">
        <v>755</v>
      </c>
      <c r="AD61" s="6">
        <v>1</v>
      </c>
      <c r="AE61" s="6">
        <v>1</v>
      </c>
      <c r="AF61" s="6">
        <v>1</v>
      </c>
      <c r="AG61" s="6">
        <v>1</v>
      </c>
      <c r="AH61" s="6">
        <v>1</v>
      </c>
      <c r="AI61" s="6">
        <v>1</v>
      </c>
      <c r="AJ61" s="6">
        <v>1</v>
      </c>
      <c r="AK61" s="6">
        <v>1</v>
      </c>
      <c r="AL61" s="6">
        <v>1</v>
      </c>
      <c r="AM61" s="7">
        <v>1</v>
      </c>
      <c r="BC61" t="s">
        <v>982</v>
      </c>
      <c r="BD61" s="7" t="s">
        <v>103</v>
      </c>
      <c r="BE61" t="s">
        <v>975</v>
      </c>
      <c r="BF61" s="1" t="s">
        <v>29</v>
      </c>
      <c r="BG61" s="1">
        <v>7</v>
      </c>
      <c r="BH61">
        <v>3</v>
      </c>
      <c r="BI61">
        <v>1</v>
      </c>
      <c r="BO61">
        <v>1</v>
      </c>
      <c r="BQ61">
        <v>1</v>
      </c>
      <c r="BR61">
        <v>1</v>
      </c>
      <c r="BS61">
        <v>1</v>
      </c>
      <c r="CL61">
        <v>1</v>
      </c>
      <c r="CS61" s="7" t="s">
        <v>986</v>
      </c>
    </row>
    <row r="62" spans="1:99">
      <c r="B62" t="s">
        <v>983</v>
      </c>
      <c r="C62" s="13" t="s">
        <v>984</v>
      </c>
      <c r="E62" s="8"/>
      <c r="F62" s="8" t="s">
        <v>234</v>
      </c>
      <c r="G62" s="1">
        <v>1</v>
      </c>
      <c r="I62" s="1">
        <f>1796-24</f>
        <v>1772</v>
      </c>
      <c r="J62" t="s">
        <v>10</v>
      </c>
      <c r="K62" s="4" t="s">
        <v>12</v>
      </c>
      <c r="Q62">
        <v>5</v>
      </c>
      <c r="R62">
        <v>4</v>
      </c>
      <c r="T62" s="5">
        <f t="shared" si="1"/>
        <v>168.52</v>
      </c>
      <c r="U62" t="s">
        <v>985</v>
      </c>
      <c r="AD62" s="6">
        <v>1</v>
      </c>
      <c r="AE62" s="6">
        <v>1</v>
      </c>
      <c r="AF62" s="6">
        <v>1</v>
      </c>
      <c r="AG62" s="6">
        <v>1</v>
      </c>
      <c r="AH62" s="6">
        <v>1</v>
      </c>
      <c r="AI62" s="6">
        <v>1</v>
      </c>
      <c r="AJ62" s="6">
        <v>1</v>
      </c>
      <c r="AK62" s="6">
        <v>1</v>
      </c>
      <c r="AL62" s="6">
        <v>1</v>
      </c>
      <c r="AM62" s="7">
        <v>1</v>
      </c>
      <c r="BC62" t="s">
        <v>982</v>
      </c>
      <c r="BD62" s="7" t="s">
        <v>103</v>
      </c>
      <c r="BE62" t="s">
        <v>975</v>
      </c>
      <c r="BF62" s="1" t="s">
        <v>29</v>
      </c>
      <c r="BG62" s="1">
        <v>7</v>
      </c>
      <c r="BH62">
        <v>3</v>
      </c>
      <c r="BI62">
        <v>1</v>
      </c>
      <c r="BO62">
        <v>1</v>
      </c>
      <c r="BQ62">
        <v>1</v>
      </c>
      <c r="BR62">
        <v>1</v>
      </c>
      <c r="BS62">
        <v>1</v>
      </c>
      <c r="CL62">
        <v>1</v>
      </c>
      <c r="CS62" s="7" t="s">
        <v>986</v>
      </c>
    </row>
    <row r="63" spans="1:99">
      <c r="B63" t="s">
        <v>746</v>
      </c>
      <c r="C63" s="15" t="s">
        <v>747</v>
      </c>
      <c r="F63" s="8" t="s">
        <v>748</v>
      </c>
      <c r="H63" s="1">
        <v>1</v>
      </c>
      <c r="I63" s="1">
        <f>1796-33</f>
        <v>1763</v>
      </c>
      <c r="J63" t="s">
        <v>10</v>
      </c>
      <c r="K63" s="4" t="s">
        <v>12</v>
      </c>
      <c r="Q63">
        <v>5</v>
      </c>
      <c r="R63">
        <v>1</v>
      </c>
      <c r="T63" s="5">
        <f t="shared" si="1"/>
        <v>160.63</v>
      </c>
      <c r="U63" t="s">
        <v>750</v>
      </c>
      <c r="AD63" s="7">
        <v>1</v>
      </c>
      <c r="BC63" t="s">
        <v>749</v>
      </c>
      <c r="BD63" s="7" t="s">
        <v>280</v>
      </c>
      <c r="BE63" t="s">
        <v>744</v>
      </c>
      <c r="BF63" s="1" t="s">
        <v>29</v>
      </c>
      <c r="BG63" s="1">
        <v>2</v>
      </c>
      <c r="BH63">
        <v>1</v>
      </c>
      <c r="BO63">
        <v>1</v>
      </c>
      <c r="BR63">
        <v>1</v>
      </c>
      <c r="CN63">
        <v>1</v>
      </c>
      <c r="CS63" s="7" t="s">
        <v>745</v>
      </c>
    </row>
    <row r="64" spans="1:99">
      <c r="B64" t="s">
        <v>882</v>
      </c>
      <c r="C64" s="2" t="s">
        <v>883</v>
      </c>
      <c r="F64" s="8" t="s">
        <v>65</v>
      </c>
      <c r="G64" s="1">
        <v>1</v>
      </c>
      <c r="I64" s="1">
        <f>1799-23</f>
        <v>1776</v>
      </c>
      <c r="J64" t="s">
        <v>10</v>
      </c>
      <c r="K64" s="4" t="s">
        <v>12</v>
      </c>
      <c r="T64" s="5"/>
      <c r="U64" t="s">
        <v>855</v>
      </c>
      <c r="AD64" s="6">
        <v>1</v>
      </c>
      <c r="AE64" s="6">
        <v>1</v>
      </c>
      <c r="AF64" s="6">
        <v>1</v>
      </c>
      <c r="AG64" s="6">
        <v>1</v>
      </c>
      <c r="AH64" s="7">
        <v>1</v>
      </c>
      <c r="BC64" t="s">
        <v>884</v>
      </c>
      <c r="BD64" s="7" t="s">
        <v>26</v>
      </c>
      <c r="BE64" t="s">
        <v>849</v>
      </c>
      <c r="BF64" s="1" t="s">
        <v>29</v>
      </c>
      <c r="BG64" s="1">
        <v>3</v>
      </c>
      <c r="BH64">
        <v>2</v>
      </c>
      <c r="BO64">
        <v>1</v>
      </c>
      <c r="BR64">
        <v>1</v>
      </c>
      <c r="BS64">
        <v>1</v>
      </c>
      <c r="CL64">
        <v>1</v>
      </c>
      <c r="CN64">
        <v>1</v>
      </c>
      <c r="CO64">
        <v>1</v>
      </c>
      <c r="CS64" s="7" t="s">
        <v>885</v>
      </c>
    </row>
    <row r="65" spans="1:99">
      <c r="A65" t="s">
        <v>7</v>
      </c>
      <c r="B65" t="s">
        <v>854</v>
      </c>
      <c r="C65" s="15" t="s">
        <v>349</v>
      </c>
      <c r="F65" t="s">
        <v>7</v>
      </c>
      <c r="K65" s="4"/>
      <c r="T65" s="5"/>
      <c r="U65" t="s">
        <v>855</v>
      </c>
      <c r="AD65" s="6">
        <v>1</v>
      </c>
      <c r="AE65" s="6">
        <v>1</v>
      </c>
      <c r="AF65" s="6">
        <v>1</v>
      </c>
      <c r="AG65" s="7">
        <v>1</v>
      </c>
      <c r="BC65" t="s">
        <v>856</v>
      </c>
      <c r="BD65" s="7" t="s">
        <v>305</v>
      </c>
      <c r="BE65" t="s">
        <v>849</v>
      </c>
      <c r="BF65" s="1" t="s">
        <v>29</v>
      </c>
      <c r="BG65" s="1">
        <v>2</v>
      </c>
      <c r="BH65">
        <v>2</v>
      </c>
      <c r="BO65">
        <v>1</v>
      </c>
      <c r="BR65">
        <v>1</v>
      </c>
      <c r="BS65">
        <v>1</v>
      </c>
      <c r="CL65">
        <v>1</v>
      </c>
      <c r="CM65">
        <v>1</v>
      </c>
      <c r="CS65" s="7" t="s">
        <v>857</v>
      </c>
    </row>
    <row r="66" spans="1:99">
      <c r="B66" t="s">
        <v>879</v>
      </c>
      <c r="C66" s="15"/>
      <c r="F66" t="s">
        <v>7</v>
      </c>
      <c r="K66" s="4"/>
      <c r="T66" s="5"/>
      <c r="U66" t="s">
        <v>855</v>
      </c>
      <c r="AD66" s="6">
        <v>1</v>
      </c>
      <c r="AE66" s="6">
        <v>1</v>
      </c>
      <c r="AF66" s="6">
        <v>1</v>
      </c>
      <c r="AG66" s="7">
        <v>1</v>
      </c>
      <c r="BC66" t="s">
        <v>880</v>
      </c>
      <c r="BD66" s="7" t="s">
        <v>26</v>
      </c>
      <c r="BE66" t="s">
        <v>849</v>
      </c>
      <c r="BF66" s="1" t="s">
        <v>29</v>
      </c>
      <c r="BG66" s="1">
        <v>3</v>
      </c>
      <c r="BH66">
        <v>2</v>
      </c>
      <c r="BO66">
        <v>1</v>
      </c>
      <c r="BR66">
        <v>1</v>
      </c>
      <c r="BS66">
        <v>1</v>
      </c>
      <c r="CL66">
        <v>1</v>
      </c>
      <c r="CR66">
        <v>1</v>
      </c>
      <c r="CS66" s="7" t="s">
        <v>881</v>
      </c>
    </row>
    <row r="67" spans="1:99">
      <c r="B67" t="s">
        <v>894</v>
      </c>
      <c r="C67" s="15" t="s">
        <v>349</v>
      </c>
      <c r="F67" s="8" t="s">
        <v>65</v>
      </c>
      <c r="G67" s="1">
        <v>1</v>
      </c>
      <c r="I67" s="1">
        <f>1799-23</f>
        <v>1776</v>
      </c>
      <c r="J67" t="s">
        <v>10</v>
      </c>
      <c r="K67" s="4" t="s">
        <v>895</v>
      </c>
      <c r="Q67">
        <v>5</v>
      </c>
      <c r="R67">
        <v>0</v>
      </c>
      <c r="S67">
        <v>2</v>
      </c>
      <c r="T67" s="5">
        <f>((Q67*316)+(R67*26.3)+(S67*2.2))/10</f>
        <v>158.44</v>
      </c>
      <c r="U67" t="s">
        <v>749</v>
      </c>
      <c r="AD67" s="6">
        <v>1</v>
      </c>
      <c r="AE67" s="6">
        <v>1</v>
      </c>
      <c r="AF67" s="6">
        <v>1</v>
      </c>
      <c r="AG67" s="6">
        <v>1</v>
      </c>
      <c r="AH67" s="6">
        <v>1</v>
      </c>
      <c r="AI67" s="6">
        <v>1</v>
      </c>
      <c r="AJ67" s="7">
        <v>1</v>
      </c>
      <c r="BC67" t="s">
        <v>896</v>
      </c>
      <c r="BD67" s="7" t="s">
        <v>103</v>
      </c>
      <c r="BE67" t="s">
        <v>62</v>
      </c>
      <c r="BF67" s="1" t="s">
        <v>29</v>
      </c>
      <c r="BG67" s="1">
        <v>7</v>
      </c>
      <c r="BH67">
        <v>3</v>
      </c>
      <c r="BI67">
        <v>1</v>
      </c>
      <c r="BO67">
        <v>1</v>
      </c>
      <c r="BQ67">
        <v>1</v>
      </c>
      <c r="BR67">
        <v>1</v>
      </c>
      <c r="BS67">
        <v>1</v>
      </c>
      <c r="CL67">
        <v>1</v>
      </c>
      <c r="CS67" s="7" t="s">
        <v>897</v>
      </c>
    </row>
    <row r="68" spans="1:99">
      <c r="A68" t="s">
        <v>7</v>
      </c>
      <c r="B68" t="s">
        <v>928</v>
      </c>
      <c r="C68" s="15"/>
      <c r="F68" t="s">
        <v>7</v>
      </c>
      <c r="K68" s="4"/>
      <c r="T68" s="5"/>
      <c r="U68" t="s">
        <v>749</v>
      </c>
      <c r="AD68" s="6">
        <v>1</v>
      </c>
      <c r="AE68" s="6">
        <v>1</v>
      </c>
      <c r="AF68" s="6">
        <v>1</v>
      </c>
      <c r="AG68" s="7">
        <v>1</v>
      </c>
      <c r="BC68" t="s">
        <v>929</v>
      </c>
      <c r="BD68" s="7" t="s">
        <v>305</v>
      </c>
      <c r="BE68" t="s">
        <v>927</v>
      </c>
      <c r="BF68" s="1" t="s">
        <v>29</v>
      </c>
      <c r="BG68" s="1">
        <v>3</v>
      </c>
      <c r="BH68">
        <v>2</v>
      </c>
      <c r="BO68">
        <v>1</v>
      </c>
      <c r="BR68">
        <v>1</v>
      </c>
      <c r="BS68">
        <v>1</v>
      </c>
      <c r="CL68">
        <v>1</v>
      </c>
      <c r="CM68">
        <v>1</v>
      </c>
      <c r="CS68" s="7" t="s">
        <v>930</v>
      </c>
    </row>
    <row r="69" spans="1:99">
      <c r="B69" t="s">
        <v>971</v>
      </c>
      <c r="C69" s="15" t="s">
        <v>349</v>
      </c>
      <c r="F69" s="8" t="s">
        <v>65</v>
      </c>
      <c r="G69" s="1">
        <v>1</v>
      </c>
      <c r="I69" s="1">
        <f>1802-25</f>
        <v>1777</v>
      </c>
      <c r="J69" t="s">
        <v>10</v>
      </c>
      <c r="K69" s="4" t="s">
        <v>972</v>
      </c>
      <c r="Q69">
        <v>5</v>
      </c>
      <c r="R69">
        <v>1</v>
      </c>
      <c r="T69" s="5">
        <f>((Q69*316)+(R69*26.3)+(S69*2.2))/10</f>
        <v>160.63</v>
      </c>
      <c r="U69" t="s">
        <v>973</v>
      </c>
      <c r="AD69" s="6">
        <v>1</v>
      </c>
      <c r="AE69" s="6">
        <v>1</v>
      </c>
      <c r="AF69" s="6">
        <v>1</v>
      </c>
      <c r="AG69" s="6">
        <v>1</v>
      </c>
      <c r="AH69" s="6">
        <v>1</v>
      </c>
      <c r="AI69" s="6">
        <v>1</v>
      </c>
      <c r="AJ69" s="6">
        <v>1</v>
      </c>
      <c r="AK69" s="7">
        <v>1</v>
      </c>
      <c r="BC69" t="s">
        <v>974</v>
      </c>
      <c r="BD69" s="7" t="s">
        <v>280</v>
      </c>
      <c r="BE69" t="s">
        <v>975</v>
      </c>
      <c r="BF69" s="1" t="s">
        <v>29</v>
      </c>
      <c r="BG69" s="1">
        <v>5</v>
      </c>
      <c r="BH69">
        <v>3</v>
      </c>
      <c r="BI69">
        <v>1</v>
      </c>
      <c r="BO69">
        <v>1</v>
      </c>
      <c r="BQ69">
        <v>1</v>
      </c>
      <c r="BR69">
        <v>1</v>
      </c>
      <c r="BS69">
        <v>1</v>
      </c>
      <c r="CL69">
        <v>1</v>
      </c>
      <c r="CM69">
        <v>1</v>
      </c>
      <c r="CN69">
        <v>1</v>
      </c>
      <c r="CS69" s="7" t="s">
        <v>947</v>
      </c>
    </row>
    <row r="70" spans="1:99">
      <c r="B70" t="s">
        <v>890</v>
      </c>
      <c r="C70" s="15"/>
      <c r="F70" t="s">
        <v>7</v>
      </c>
      <c r="K70" s="4"/>
      <c r="T70" s="5"/>
      <c r="U70" t="s">
        <v>891</v>
      </c>
      <c r="AD70" s="6">
        <v>1</v>
      </c>
      <c r="AE70" s="6">
        <v>1</v>
      </c>
      <c r="AF70" s="6">
        <v>1</v>
      </c>
      <c r="AG70" s="6">
        <v>1</v>
      </c>
      <c r="AH70" s="6">
        <v>1</v>
      </c>
      <c r="AI70" s="7">
        <v>1</v>
      </c>
      <c r="BC70" t="s">
        <v>892</v>
      </c>
      <c r="BD70" s="7" t="s">
        <v>109</v>
      </c>
      <c r="BE70" t="s">
        <v>849</v>
      </c>
      <c r="BF70" s="1" t="s">
        <v>29</v>
      </c>
      <c r="BG70" s="1">
        <v>3</v>
      </c>
      <c r="BH70">
        <v>2</v>
      </c>
      <c r="BR70">
        <v>1</v>
      </c>
      <c r="BS70">
        <v>1</v>
      </c>
      <c r="CL70">
        <v>1</v>
      </c>
      <c r="CN70">
        <v>1</v>
      </c>
      <c r="CR70">
        <v>1</v>
      </c>
      <c r="CS70" s="7" t="s">
        <v>893</v>
      </c>
    </row>
    <row r="71" spans="1:99">
      <c r="B71" t="s">
        <v>903</v>
      </c>
      <c r="C71" s="15" t="s">
        <v>349</v>
      </c>
      <c r="F71" s="8" t="s">
        <v>65</v>
      </c>
      <c r="G71" s="1">
        <v>1</v>
      </c>
      <c r="J71" t="s">
        <v>69</v>
      </c>
      <c r="K71" s="4" t="s">
        <v>904</v>
      </c>
      <c r="Q71">
        <v>5</v>
      </c>
      <c r="R71">
        <v>2</v>
      </c>
      <c r="S71">
        <v>1</v>
      </c>
      <c r="T71" s="5">
        <f>((Q71*316)+(R71*26.3)+(S71*2.2))/10</f>
        <v>163.47999999999999</v>
      </c>
      <c r="U71" t="s">
        <v>905</v>
      </c>
      <c r="AD71" s="6">
        <v>1</v>
      </c>
      <c r="AE71" s="6">
        <v>1</v>
      </c>
      <c r="AF71" s="6">
        <v>1</v>
      </c>
      <c r="AG71" s="6">
        <v>1</v>
      </c>
      <c r="AH71" s="6">
        <v>1</v>
      </c>
      <c r="AI71" s="6">
        <v>1</v>
      </c>
      <c r="AJ71" s="7">
        <v>1</v>
      </c>
      <c r="BC71" t="s">
        <v>896</v>
      </c>
      <c r="BD71" s="7" t="s">
        <v>103</v>
      </c>
      <c r="BE71" t="s">
        <v>62</v>
      </c>
      <c r="BF71" s="1" t="s">
        <v>29</v>
      </c>
      <c r="BG71" s="1">
        <v>6</v>
      </c>
      <c r="BH71">
        <v>3</v>
      </c>
      <c r="BI71">
        <v>1</v>
      </c>
      <c r="BO71">
        <v>1</v>
      </c>
      <c r="BQ71">
        <v>1</v>
      </c>
      <c r="BR71">
        <v>1</v>
      </c>
      <c r="BS71">
        <v>1</v>
      </c>
      <c r="CL71">
        <v>1</v>
      </c>
      <c r="CS71" s="7" t="s">
        <v>897</v>
      </c>
    </row>
    <row r="72" spans="1:99">
      <c r="B72" t="s">
        <v>845</v>
      </c>
      <c r="C72" s="13" t="s">
        <v>846</v>
      </c>
      <c r="F72" s="8" t="s">
        <v>409</v>
      </c>
      <c r="H72" s="1">
        <v>1</v>
      </c>
      <c r="I72" s="1">
        <f>1796-30</f>
        <v>1766</v>
      </c>
      <c r="J72" t="s">
        <v>69</v>
      </c>
      <c r="K72" s="4" t="s">
        <v>12</v>
      </c>
      <c r="Q72">
        <v>5</v>
      </c>
      <c r="R72">
        <v>4</v>
      </c>
      <c r="T72" s="5">
        <f>((Q72*316)+(R72*26.3)+(S72*2.2))/10</f>
        <v>168.52</v>
      </c>
      <c r="U72" t="s">
        <v>844</v>
      </c>
      <c r="AD72" s="6">
        <v>1</v>
      </c>
      <c r="AE72" s="6">
        <v>1</v>
      </c>
      <c r="AF72" s="7">
        <v>1</v>
      </c>
      <c r="BC72" t="s">
        <v>847</v>
      </c>
      <c r="BD72" s="7" t="s">
        <v>848</v>
      </c>
      <c r="BE72" t="s">
        <v>849</v>
      </c>
      <c r="BF72" s="1" t="s">
        <v>29</v>
      </c>
      <c r="BG72" s="1">
        <v>3</v>
      </c>
      <c r="BH72">
        <v>2</v>
      </c>
      <c r="BO72">
        <v>1</v>
      </c>
      <c r="BR72">
        <v>1</v>
      </c>
      <c r="BS72">
        <v>1</v>
      </c>
      <c r="CL72">
        <v>1</v>
      </c>
      <c r="CS72" s="7" t="s">
        <v>850</v>
      </c>
    </row>
    <row r="73" spans="1:99">
      <c r="B73" t="s">
        <v>988</v>
      </c>
      <c r="C73" s="2" t="s">
        <v>932</v>
      </c>
      <c r="F73" s="8" t="s">
        <v>65</v>
      </c>
      <c r="G73" s="1">
        <v>1</v>
      </c>
      <c r="I73" s="1">
        <f>1802-21</f>
        <v>1781</v>
      </c>
      <c r="J73" t="s">
        <v>10</v>
      </c>
      <c r="K73" s="4" t="s">
        <v>197</v>
      </c>
      <c r="Q73">
        <v>5</v>
      </c>
      <c r="R73">
        <v>1</v>
      </c>
      <c r="S73">
        <v>1</v>
      </c>
      <c r="T73" s="5">
        <f>((Q73*316)+(R73*26.3)+(S73*2.2))/10</f>
        <v>160.85</v>
      </c>
      <c r="U73" t="s">
        <v>989</v>
      </c>
      <c r="AD73" s="6">
        <v>1</v>
      </c>
      <c r="AE73" s="6">
        <v>1</v>
      </c>
      <c r="AF73" s="6">
        <v>1</v>
      </c>
      <c r="AG73" s="6">
        <v>1</v>
      </c>
      <c r="AH73" s="6">
        <v>1</v>
      </c>
      <c r="AI73" s="6">
        <v>1</v>
      </c>
      <c r="AJ73" s="6">
        <v>1</v>
      </c>
      <c r="AK73" s="6">
        <v>1</v>
      </c>
      <c r="AL73" s="6">
        <v>1</v>
      </c>
      <c r="AM73" s="6">
        <v>1</v>
      </c>
      <c r="AN73" s="6">
        <v>1</v>
      </c>
      <c r="AO73" s="6">
        <v>1</v>
      </c>
      <c r="AP73" s="6">
        <v>1</v>
      </c>
      <c r="AQ73" s="7">
        <v>1</v>
      </c>
      <c r="BC73" t="s">
        <v>688</v>
      </c>
      <c r="BD73" s="7" t="s">
        <v>163</v>
      </c>
      <c r="BE73" t="s">
        <v>990</v>
      </c>
      <c r="BF73" s="1" t="s">
        <v>29</v>
      </c>
      <c r="BG73" s="1">
        <v>10</v>
      </c>
      <c r="BH73">
        <v>5</v>
      </c>
      <c r="BO73">
        <v>1</v>
      </c>
      <c r="BQ73">
        <v>1</v>
      </c>
      <c r="BR73">
        <v>1</v>
      </c>
      <c r="BS73">
        <v>1</v>
      </c>
      <c r="BY73">
        <v>1</v>
      </c>
      <c r="CC73">
        <v>1</v>
      </c>
      <c r="CL73">
        <v>1</v>
      </c>
      <c r="CM73">
        <v>1</v>
      </c>
      <c r="CN73">
        <v>1</v>
      </c>
      <c r="CP73">
        <v>1</v>
      </c>
      <c r="CR73">
        <v>1</v>
      </c>
      <c r="CS73" s="7" t="s">
        <v>991</v>
      </c>
    </row>
    <row r="74" spans="1:99">
      <c r="B74" t="s">
        <v>1579</v>
      </c>
      <c r="C74" s="2" t="s">
        <v>1578</v>
      </c>
      <c r="F74" s="8" t="s">
        <v>65</v>
      </c>
      <c r="G74" s="1">
        <v>1</v>
      </c>
      <c r="I74" s="1">
        <f>1796-19</f>
        <v>1777</v>
      </c>
      <c r="J74" t="s">
        <v>10</v>
      </c>
      <c r="K74" s="4" t="s">
        <v>12</v>
      </c>
      <c r="Q74">
        <v>5</v>
      </c>
      <c r="R74">
        <v>2</v>
      </c>
      <c r="S74">
        <v>3</v>
      </c>
      <c r="T74" s="5">
        <f>((Q74*316)+(R74*26.3)+(S74*2.2))/10</f>
        <v>163.92</v>
      </c>
      <c r="U74" t="s">
        <v>1580</v>
      </c>
      <c r="AD74" s="6">
        <v>1</v>
      </c>
      <c r="BC74">
        <v>1796</v>
      </c>
      <c r="BD74" t="s">
        <v>81</v>
      </c>
      <c r="BE74" t="s">
        <v>1581</v>
      </c>
      <c r="BF74" s="1" t="s">
        <v>73</v>
      </c>
      <c r="BG74" s="1">
        <v>1</v>
      </c>
      <c r="BH74">
        <v>1</v>
      </c>
      <c r="BO74">
        <v>1</v>
      </c>
      <c r="BR74">
        <v>1</v>
      </c>
      <c r="CS74" t="s">
        <v>1582</v>
      </c>
    </row>
    <row r="75" spans="1:99">
      <c r="B75" t="s">
        <v>1572</v>
      </c>
      <c r="C75" s="13" t="s">
        <v>1573</v>
      </c>
      <c r="F75" s="8" t="s">
        <v>748</v>
      </c>
      <c r="H75" s="1">
        <v>1</v>
      </c>
      <c r="I75" s="1">
        <f>1796-22</f>
        <v>1774</v>
      </c>
      <c r="J75" t="s">
        <v>69</v>
      </c>
      <c r="K75" s="4" t="s">
        <v>12</v>
      </c>
      <c r="Q75">
        <v>5</v>
      </c>
      <c r="R75">
        <v>4</v>
      </c>
      <c r="T75" s="5">
        <f>((Q75*316)+(R75*26.3)+(S75*2.2))/10</f>
        <v>168.52</v>
      </c>
      <c r="U75" t="s">
        <v>1574</v>
      </c>
      <c r="AD75" s="6">
        <v>1</v>
      </c>
      <c r="AE75" s="6">
        <v>1</v>
      </c>
      <c r="AF75" s="6">
        <v>1</v>
      </c>
      <c r="AG75" s="7">
        <v>1</v>
      </c>
      <c r="BC75" t="s">
        <v>1575</v>
      </c>
      <c r="BD75" s="7" t="s">
        <v>305</v>
      </c>
      <c r="BE75" t="s">
        <v>1576</v>
      </c>
      <c r="BF75" s="1" t="s">
        <v>29</v>
      </c>
      <c r="BG75" s="1">
        <v>2</v>
      </c>
      <c r="BH75">
        <v>2</v>
      </c>
      <c r="BO75">
        <v>1</v>
      </c>
      <c r="BR75">
        <v>1</v>
      </c>
      <c r="BS75">
        <v>1</v>
      </c>
      <c r="CL75">
        <v>1</v>
      </c>
      <c r="CM75">
        <v>1</v>
      </c>
      <c r="CS75" s="7" t="s">
        <v>1577</v>
      </c>
    </row>
    <row r="76" spans="1:99">
      <c r="B76" t="s">
        <v>2691</v>
      </c>
      <c r="C76" s="2" t="s">
        <v>191</v>
      </c>
      <c r="F76" s="8" t="s">
        <v>65</v>
      </c>
      <c r="G76" s="1">
        <v>1</v>
      </c>
      <c r="I76" s="1">
        <f>1796-20</f>
        <v>1776</v>
      </c>
      <c r="J76" t="s">
        <v>10</v>
      </c>
      <c r="K76" s="4" t="s">
        <v>12</v>
      </c>
      <c r="T76" s="5"/>
      <c r="U76" s="9" t="s">
        <v>2690</v>
      </c>
      <c r="AC76" s="9">
        <v>1</v>
      </c>
      <c r="AD76" s="6">
        <v>1</v>
      </c>
      <c r="BC76">
        <v>1796</v>
      </c>
      <c r="BD76" t="s">
        <v>81</v>
      </c>
      <c r="BE76" s="10" t="s">
        <v>70</v>
      </c>
      <c r="BF76" s="1" t="s">
        <v>73</v>
      </c>
      <c r="BG76" s="1">
        <v>2</v>
      </c>
      <c r="BH76">
        <v>1</v>
      </c>
      <c r="BZ76">
        <v>1</v>
      </c>
      <c r="CS76" t="s">
        <v>966</v>
      </c>
      <c r="CT76" s="10" t="s">
        <v>2400</v>
      </c>
      <c r="CU76" s="9" t="s">
        <v>489</v>
      </c>
    </row>
    <row r="77" spans="1:99">
      <c r="A77" t="s">
        <v>7</v>
      </c>
      <c r="B77" t="s">
        <v>335</v>
      </c>
      <c r="F77" t="s">
        <v>7</v>
      </c>
      <c r="T77" s="5"/>
      <c r="U77" t="s">
        <v>336</v>
      </c>
      <c r="AD77" s="6">
        <v>1</v>
      </c>
      <c r="AE77" s="6">
        <v>1</v>
      </c>
      <c r="AF77" s="14">
        <v>1</v>
      </c>
      <c r="BC77" s="9" t="s">
        <v>337</v>
      </c>
      <c r="BD77" s="14" t="s">
        <v>338</v>
      </c>
      <c r="BE77" t="s">
        <v>125</v>
      </c>
      <c r="BF77" s="1" t="s">
        <v>339</v>
      </c>
      <c r="BG77" s="1">
        <v>3</v>
      </c>
      <c r="BH77">
        <v>1</v>
      </c>
      <c r="BK77" s="1">
        <v>1</v>
      </c>
      <c r="BQ77">
        <v>1</v>
      </c>
      <c r="CS77" s="14" t="s">
        <v>340</v>
      </c>
    </row>
    <row r="78" spans="1:99">
      <c r="B78" t="s">
        <v>2749</v>
      </c>
      <c r="C78" s="2" t="s">
        <v>237</v>
      </c>
      <c r="E78" s="8" t="s">
        <v>238</v>
      </c>
      <c r="F78" s="8" t="s">
        <v>65</v>
      </c>
      <c r="G78" s="1">
        <v>1</v>
      </c>
      <c r="I78" s="1">
        <f>1802-26</f>
        <v>1776</v>
      </c>
      <c r="J78" t="s">
        <v>10</v>
      </c>
      <c r="K78" s="4" t="s">
        <v>197</v>
      </c>
      <c r="Q78">
        <v>5</v>
      </c>
      <c r="R78">
        <v>3</v>
      </c>
      <c r="S78">
        <v>2</v>
      </c>
      <c r="T78" s="5">
        <f t="shared" ref="T78:T83" si="2">((Q78*316)+(R78*26.3)+(S78*2.2))/10</f>
        <v>166.33</v>
      </c>
      <c r="U78" t="s">
        <v>2750</v>
      </c>
      <c r="AD78" s="6">
        <v>1</v>
      </c>
      <c r="AE78" s="6">
        <v>1</v>
      </c>
      <c r="AF78" s="6">
        <v>1</v>
      </c>
      <c r="AG78" s="6">
        <v>1</v>
      </c>
      <c r="AH78" s="6">
        <v>1</v>
      </c>
      <c r="AI78" s="6">
        <v>1</v>
      </c>
      <c r="AJ78" s="6">
        <v>1</v>
      </c>
      <c r="AK78" s="7">
        <v>1</v>
      </c>
      <c r="BC78" t="s">
        <v>2751</v>
      </c>
      <c r="BD78" s="7" t="s">
        <v>103</v>
      </c>
      <c r="BE78" t="s">
        <v>2005</v>
      </c>
      <c r="BF78" s="1" t="s">
        <v>29</v>
      </c>
      <c r="BG78" s="1">
        <v>2</v>
      </c>
      <c r="BH78">
        <v>1</v>
      </c>
      <c r="BK78" s="1">
        <v>1</v>
      </c>
      <c r="BQ78">
        <v>1</v>
      </c>
      <c r="CS78" s="7" t="s">
        <v>2752</v>
      </c>
    </row>
    <row r="79" spans="1:99">
      <c r="B79" t="s">
        <v>2827</v>
      </c>
      <c r="C79" s="2" t="s">
        <v>2766</v>
      </c>
      <c r="E79" s="8" t="s">
        <v>238</v>
      </c>
      <c r="F79" s="8" t="s">
        <v>65</v>
      </c>
      <c r="G79" s="1">
        <v>1</v>
      </c>
      <c r="I79" s="1">
        <f>1804-27</f>
        <v>1777</v>
      </c>
      <c r="J79" t="s">
        <v>10</v>
      </c>
      <c r="K79" s="4" t="s">
        <v>12</v>
      </c>
      <c r="Q79">
        <v>5</v>
      </c>
      <c r="R79">
        <v>2</v>
      </c>
      <c r="S79">
        <v>2</v>
      </c>
      <c r="T79" s="5">
        <f t="shared" si="2"/>
        <v>163.69999999999999</v>
      </c>
      <c r="U79" t="s">
        <v>2750</v>
      </c>
      <c r="AD79" s="6">
        <v>1</v>
      </c>
      <c r="AE79" s="6">
        <v>1</v>
      </c>
      <c r="AF79" s="6">
        <v>1</v>
      </c>
      <c r="AG79" s="6">
        <v>1</v>
      </c>
      <c r="AH79" s="6">
        <v>1</v>
      </c>
      <c r="AI79" s="6">
        <v>1</v>
      </c>
      <c r="AJ79" s="6">
        <v>1</v>
      </c>
      <c r="AK79" s="6">
        <v>1</v>
      </c>
      <c r="AL79" s="6">
        <v>1</v>
      </c>
      <c r="AM79" s="7">
        <v>1</v>
      </c>
      <c r="BC79" t="s">
        <v>1889</v>
      </c>
      <c r="BD79" s="7" t="s">
        <v>103</v>
      </c>
      <c r="BE79" t="s">
        <v>2005</v>
      </c>
      <c r="BF79" s="1" t="s">
        <v>29</v>
      </c>
      <c r="BG79" s="1">
        <v>4</v>
      </c>
      <c r="BH79">
        <v>1</v>
      </c>
      <c r="BK79" s="1">
        <v>1</v>
      </c>
      <c r="BQ79">
        <v>1</v>
      </c>
      <c r="CS79" s="7" t="s">
        <v>412</v>
      </c>
    </row>
    <row r="80" spans="1:99">
      <c r="B80" t="s">
        <v>2207</v>
      </c>
      <c r="C80" s="2" t="s">
        <v>1223</v>
      </c>
      <c r="D80" s="2" t="s">
        <v>1223</v>
      </c>
      <c r="E80" s="8" t="s">
        <v>130</v>
      </c>
      <c r="F80" s="8" t="s">
        <v>65</v>
      </c>
      <c r="G80" s="1">
        <v>1</v>
      </c>
      <c r="I80" s="1">
        <f>1803-26</f>
        <v>1777</v>
      </c>
      <c r="J80" t="s">
        <v>10</v>
      </c>
      <c r="K80" s="4" t="s">
        <v>12</v>
      </c>
      <c r="T80" s="5"/>
      <c r="U80" t="s">
        <v>2208</v>
      </c>
      <c r="AD80" s="6">
        <v>1</v>
      </c>
      <c r="AE80" s="6">
        <v>1</v>
      </c>
      <c r="AF80" s="6">
        <v>1</v>
      </c>
      <c r="AG80" s="6">
        <v>1</v>
      </c>
      <c r="AH80" s="6">
        <v>1</v>
      </c>
      <c r="AI80" s="6">
        <v>1</v>
      </c>
      <c r="AJ80" s="6">
        <v>1</v>
      </c>
      <c r="AK80" s="7">
        <v>1</v>
      </c>
      <c r="BC80" t="s">
        <v>1528</v>
      </c>
      <c r="BD80" s="7" t="s">
        <v>280</v>
      </c>
      <c r="BE80" t="s">
        <v>1502</v>
      </c>
      <c r="BF80" s="1" t="s">
        <v>29</v>
      </c>
      <c r="BG80" s="1">
        <v>2</v>
      </c>
      <c r="BH80">
        <v>1</v>
      </c>
      <c r="BK80" s="1">
        <v>1</v>
      </c>
      <c r="BQ80">
        <v>1</v>
      </c>
      <c r="CM80">
        <v>1</v>
      </c>
      <c r="CN80">
        <v>1</v>
      </c>
      <c r="CS80" s="7" t="s">
        <v>947</v>
      </c>
    </row>
    <row r="81" spans="1:97">
      <c r="B81" t="s">
        <v>2828</v>
      </c>
      <c r="C81" s="2" t="s">
        <v>2829</v>
      </c>
      <c r="D81" s="2" t="s">
        <v>2829</v>
      </c>
      <c r="E81" s="8" t="s">
        <v>238</v>
      </c>
      <c r="F81" s="8" t="s">
        <v>65</v>
      </c>
      <c r="G81" s="1">
        <v>1</v>
      </c>
      <c r="I81" s="1">
        <f>1804-27</f>
        <v>1777</v>
      </c>
      <c r="J81" t="s">
        <v>10</v>
      </c>
      <c r="K81" s="4" t="s">
        <v>12</v>
      </c>
      <c r="Q81">
        <v>5</v>
      </c>
      <c r="R81">
        <v>3</v>
      </c>
      <c r="T81" s="5">
        <f>((Q81*316)+(R81*26.3)+(S81*2.2))/10</f>
        <v>165.89000000000001</v>
      </c>
      <c r="U81" t="s">
        <v>2203</v>
      </c>
      <c r="AD81" s="6">
        <v>1</v>
      </c>
      <c r="AE81" s="6">
        <v>1</v>
      </c>
      <c r="AF81" s="6">
        <v>1</v>
      </c>
      <c r="AG81" s="6">
        <v>1</v>
      </c>
      <c r="AH81" s="6">
        <v>1</v>
      </c>
      <c r="AI81" s="6">
        <v>1</v>
      </c>
      <c r="AJ81" s="6">
        <v>1</v>
      </c>
      <c r="AK81" s="6">
        <v>1</v>
      </c>
      <c r="AL81" s="6">
        <v>1</v>
      </c>
      <c r="AM81" s="6">
        <v>1</v>
      </c>
      <c r="AN81" s="7">
        <v>1</v>
      </c>
      <c r="BC81" t="s">
        <v>2830</v>
      </c>
      <c r="BD81" s="7" t="s">
        <v>109</v>
      </c>
      <c r="BE81" t="s">
        <v>2005</v>
      </c>
      <c r="BF81" s="1" t="s">
        <v>29</v>
      </c>
      <c r="BG81" s="1">
        <v>5</v>
      </c>
      <c r="BH81">
        <v>1</v>
      </c>
      <c r="BK81" s="1">
        <v>1</v>
      </c>
      <c r="BQ81">
        <v>1</v>
      </c>
      <c r="CS81" s="7" t="s">
        <v>354</v>
      </c>
    </row>
    <row r="82" spans="1:97">
      <c r="B82" t="s">
        <v>1950</v>
      </c>
      <c r="C82" s="15" t="s">
        <v>1223</v>
      </c>
      <c r="D82" s="3" t="s">
        <v>192</v>
      </c>
      <c r="E82" s="8" t="s">
        <v>130</v>
      </c>
      <c r="F82" s="8" t="s">
        <v>65</v>
      </c>
      <c r="G82" s="1">
        <v>1</v>
      </c>
      <c r="I82" s="1">
        <f>1803-30</f>
        <v>1773</v>
      </c>
      <c r="J82" t="s">
        <v>69</v>
      </c>
      <c r="K82" t="s">
        <v>12</v>
      </c>
      <c r="Q82">
        <v>5</v>
      </c>
      <c r="R82">
        <v>4</v>
      </c>
      <c r="S82">
        <v>1</v>
      </c>
      <c r="T82" s="5">
        <f>((Q82*316)+(R82*26.3)+(S82*2.2))/10</f>
        <v>168.74</v>
      </c>
      <c r="U82" t="s">
        <v>2203</v>
      </c>
      <c r="AD82" s="6">
        <v>1</v>
      </c>
      <c r="AE82" s="6">
        <v>1</v>
      </c>
      <c r="AF82" s="6">
        <v>1</v>
      </c>
      <c r="AG82" s="6">
        <v>1</v>
      </c>
      <c r="AH82" s="6">
        <v>1</v>
      </c>
      <c r="AI82" s="6">
        <v>1</v>
      </c>
      <c r="AJ82" s="6">
        <v>1</v>
      </c>
      <c r="AK82" s="7">
        <v>1</v>
      </c>
      <c r="BC82" t="s">
        <v>1412</v>
      </c>
      <c r="BD82" s="7" t="s">
        <v>280</v>
      </c>
      <c r="BE82" t="s">
        <v>1502</v>
      </c>
      <c r="BF82" s="1" t="s">
        <v>29</v>
      </c>
      <c r="BG82" s="1">
        <v>2</v>
      </c>
      <c r="BH82">
        <v>1</v>
      </c>
      <c r="BK82" s="1">
        <v>1</v>
      </c>
      <c r="BQ82">
        <v>1</v>
      </c>
      <c r="CN82">
        <v>1</v>
      </c>
      <c r="CS82" s="7" t="s">
        <v>1951</v>
      </c>
    </row>
    <row r="83" spans="1:97">
      <c r="B83" t="s">
        <v>2204</v>
      </c>
      <c r="C83" s="2" t="s">
        <v>2205</v>
      </c>
      <c r="D83" s="2" t="s">
        <v>2205</v>
      </c>
      <c r="E83" s="8" t="s">
        <v>654</v>
      </c>
      <c r="F83" s="8" t="s">
        <v>65</v>
      </c>
      <c r="G83" s="1">
        <v>1</v>
      </c>
      <c r="I83" s="1">
        <f>1803-25</f>
        <v>1778</v>
      </c>
      <c r="J83" t="s">
        <v>10</v>
      </c>
      <c r="K83" s="4" t="s">
        <v>197</v>
      </c>
      <c r="Q83">
        <v>5</v>
      </c>
      <c r="R83">
        <v>2</v>
      </c>
      <c r="S83">
        <v>3</v>
      </c>
      <c r="T83" s="5">
        <f t="shared" si="2"/>
        <v>163.92</v>
      </c>
      <c r="U83" t="s">
        <v>2203</v>
      </c>
      <c r="AD83" s="6">
        <v>1</v>
      </c>
      <c r="AE83" s="6">
        <v>1</v>
      </c>
      <c r="AF83" s="6">
        <v>1</v>
      </c>
      <c r="AG83" s="6">
        <v>1</v>
      </c>
      <c r="AH83" s="6">
        <v>1</v>
      </c>
      <c r="AI83" s="6">
        <v>1</v>
      </c>
      <c r="AJ83" s="6">
        <v>1</v>
      </c>
      <c r="AK83" s="7">
        <v>1</v>
      </c>
      <c r="BC83" t="s">
        <v>2206</v>
      </c>
      <c r="BD83" s="7" t="s">
        <v>103</v>
      </c>
      <c r="BE83" t="s">
        <v>1502</v>
      </c>
      <c r="BF83" s="1" t="s">
        <v>29</v>
      </c>
      <c r="BG83" s="1">
        <v>2</v>
      </c>
      <c r="BH83">
        <v>1</v>
      </c>
      <c r="BK83" s="1">
        <v>1</v>
      </c>
      <c r="BQ83">
        <v>1</v>
      </c>
      <c r="CM83">
        <v>1</v>
      </c>
      <c r="CS83" s="7" t="s">
        <v>203</v>
      </c>
    </row>
    <row r="84" spans="1:97">
      <c r="B84" t="s">
        <v>348</v>
      </c>
      <c r="C84" s="15" t="s">
        <v>349</v>
      </c>
      <c r="F84" s="8" t="s">
        <v>65</v>
      </c>
      <c r="G84" s="1">
        <v>1</v>
      </c>
      <c r="I84" s="1">
        <f>1802-26</f>
        <v>1776</v>
      </c>
      <c r="J84" t="s">
        <v>10</v>
      </c>
      <c r="K84" t="s">
        <v>12</v>
      </c>
      <c r="T84" s="1"/>
      <c r="U84" t="s">
        <v>303</v>
      </c>
      <c r="AD84" s="6">
        <v>1</v>
      </c>
      <c r="AE84" s="6">
        <v>1</v>
      </c>
      <c r="AF84" s="6">
        <v>1</v>
      </c>
      <c r="AG84" s="6">
        <v>1</v>
      </c>
      <c r="AH84" s="6">
        <v>1</v>
      </c>
      <c r="AI84" s="6">
        <v>1</v>
      </c>
      <c r="AJ84" s="6">
        <v>1</v>
      </c>
      <c r="AK84" s="6">
        <v>1</v>
      </c>
      <c r="AL84" s="6">
        <v>1</v>
      </c>
      <c r="AM84" s="6">
        <v>1</v>
      </c>
      <c r="AN84" s="7">
        <v>1</v>
      </c>
      <c r="BC84" t="s">
        <v>350</v>
      </c>
      <c r="BD84" s="7" t="s">
        <v>280</v>
      </c>
      <c r="BE84" t="s">
        <v>125</v>
      </c>
      <c r="BF84" s="1" t="s">
        <v>29</v>
      </c>
      <c r="BG84" s="1">
        <v>3</v>
      </c>
      <c r="BH84">
        <v>1</v>
      </c>
      <c r="BK84" s="1">
        <v>1</v>
      </c>
      <c r="BQ84">
        <v>1</v>
      </c>
      <c r="CF84">
        <v>1</v>
      </c>
      <c r="CN84">
        <v>1</v>
      </c>
      <c r="CS84" s="7" t="s">
        <v>351</v>
      </c>
    </row>
    <row r="85" spans="1:97">
      <c r="A85" t="s">
        <v>7</v>
      </c>
      <c r="B85" t="s">
        <v>302</v>
      </c>
      <c r="F85" t="s">
        <v>7</v>
      </c>
      <c r="T85" s="1"/>
      <c r="U85" t="s">
        <v>303</v>
      </c>
      <c r="AD85" s="6">
        <v>1</v>
      </c>
      <c r="AE85" s="6">
        <v>1</v>
      </c>
      <c r="AF85" s="6">
        <v>1</v>
      </c>
      <c r="AG85" s="6">
        <v>1</v>
      </c>
      <c r="AH85" s="7">
        <v>1</v>
      </c>
      <c r="BC85" t="s">
        <v>304</v>
      </c>
      <c r="BD85" s="7" t="s">
        <v>305</v>
      </c>
      <c r="BE85" t="s">
        <v>125</v>
      </c>
      <c r="BF85" s="1" t="s">
        <v>29</v>
      </c>
      <c r="BG85" s="1">
        <v>5</v>
      </c>
      <c r="BH85">
        <v>1</v>
      </c>
      <c r="BK85" s="1">
        <v>1</v>
      </c>
      <c r="BQ85">
        <v>1</v>
      </c>
      <c r="CM85">
        <v>1</v>
      </c>
      <c r="CS85" s="7" t="s">
        <v>306</v>
      </c>
    </row>
    <row r="86" spans="1:97">
      <c r="A86" t="s">
        <v>7</v>
      </c>
      <c r="B86" t="s">
        <v>341</v>
      </c>
      <c r="F86" t="s">
        <v>7</v>
      </c>
      <c r="T86" s="1"/>
      <c r="U86" t="s">
        <v>303</v>
      </c>
      <c r="AD86" s="6">
        <v>1</v>
      </c>
      <c r="AE86" s="6">
        <v>1</v>
      </c>
      <c r="AF86" s="14">
        <v>1</v>
      </c>
      <c r="BC86" s="9" t="s">
        <v>342</v>
      </c>
      <c r="BD86" s="14" t="s">
        <v>338</v>
      </c>
      <c r="BE86" t="s">
        <v>125</v>
      </c>
      <c r="BF86" s="1" t="s">
        <v>339</v>
      </c>
      <c r="BG86" s="1">
        <v>3</v>
      </c>
      <c r="BH86">
        <v>1</v>
      </c>
      <c r="BK86" s="1">
        <v>1</v>
      </c>
      <c r="BQ86">
        <v>1</v>
      </c>
      <c r="CS86" s="14" t="s">
        <v>340</v>
      </c>
    </row>
    <row r="87" spans="1:97">
      <c r="A87" t="s">
        <v>7</v>
      </c>
      <c r="B87" t="s">
        <v>329</v>
      </c>
      <c r="F87" t="s">
        <v>7</v>
      </c>
      <c r="T87" s="1"/>
      <c r="U87" t="s">
        <v>330</v>
      </c>
      <c r="AD87" s="6">
        <v>1</v>
      </c>
      <c r="AE87" s="6">
        <v>1</v>
      </c>
      <c r="AF87" s="7">
        <v>1</v>
      </c>
      <c r="BC87" t="s">
        <v>331</v>
      </c>
      <c r="BD87" s="7" t="s">
        <v>26</v>
      </c>
      <c r="BE87" t="s">
        <v>125</v>
      </c>
      <c r="BF87" s="1" t="s">
        <v>29</v>
      </c>
      <c r="BG87" s="1">
        <v>3</v>
      </c>
      <c r="BH87">
        <v>1</v>
      </c>
      <c r="BK87" s="1">
        <v>1</v>
      </c>
      <c r="BQ87">
        <v>1</v>
      </c>
      <c r="CS87" s="7" t="s">
        <v>332</v>
      </c>
    </row>
    <row r="88" spans="1:97">
      <c r="A88" t="s">
        <v>7</v>
      </c>
      <c r="B88" t="s">
        <v>343</v>
      </c>
      <c r="F88" t="s">
        <v>7</v>
      </c>
      <c r="T88" s="1"/>
      <c r="U88" t="s">
        <v>330</v>
      </c>
      <c r="AD88" s="6">
        <v>1</v>
      </c>
      <c r="AE88" s="6">
        <v>1</v>
      </c>
      <c r="AF88" s="14">
        <v>1</v>
      </c>
      <c r="BC88" s="9" t="s">
        <v>337</v>
      </c>
      <c r="BD88" s="14" t="s">
        <v>338</v>
      </c>
      <c r="BE88" t="s">
        <v>125</v>
      </c>
      <c r="BF88" s="1" t="s">
        <v>339</v>
      </c>
      <c r="BG88" s="1">
        <v>2</v>
      </c>
      <c r="BH88">
        <v>1</v>
      </c>
      <c r="BK88" s="1">
        <v>1</v>
      </c>
      <c r="BQ88">
        <v>1</v>
      </c>
      <c r="CS88" s="14" t="s">
        <v>338</v>
      </c>
    </row>
    <row r="89" spans="1:97">
      <c r="B89" t="s">
        <v>2794</v>
      </c>
      <c r="C89" s="2" t="s">
        <v>1328</v>
      </c>
      <c r="D89" s="2" t="s">
        <v>1328</v>
      </c>
      <c r="E89" t="s">
        <v>832</v>
      </c>
      <c r="F89" t="s">
        <v>65</v>
      </c>
      <c r="G89" s="1">
        <v>1</v>
      </c>
      <c r="I89" s="1">
        <f>1796-21</f>
        <v>1775</v>
      </c>
      <c r="J89" t="s">
        <v>10</v>
      </c>
      <c r="K89" t="s">
        <v>12</v>
      </c>
      <c r="Q89">
        <v>5</v>
      </c>
      <c r="R89">
        <v>2</v>
      </c>
      <c r="T89" s="5">
        <f>((Q89*316)+(R89*26.3)+(S89*2.2))/10</f>
        <v>163.26</v>
      </c>
      <c r="U89" t="s">
        <v>330</v>
      </c>
      <c r="AD89" s="6">
        <v>1</v>
      </c>
      <c r="AE89" s="6">
        <v>1</v>
      </c>
      <c r="BC89">
        <v>1797</v>
      </c>
      <c r="BD89" t="s">
        <v>81</v>
      </c>
      <c r="BE89" s="10" t="s">
        <v>2407</v>
      </c>
      <c r="BF89" s="1" t="s">
        <v>73</v>
      </c>
      <c r="BG89" s="1">
        <v>2</v>
      </c>
      <c r="BH89">
        <v>1</v>
      </c>
      <c r="BK89" s="1">
        <v>1</v>
      </c>
      <c r="BQ89">
        <v>1</v>
      </c>
      <c r="CL89" s="10">
        <v>1</v>
      </c>
      <c r="CS89" s="10" t="s">
        <v>2778</v>
      </c>
    </row>
    <row r="90" spans="1:97">
      <c r="B90" t="s">
        <v>352</v>
      </c>
      <c r="C90" s="15" t="s">
        <v>353</v>
      </c>
      <c r="F90" s="8" t="s">
        <v>65</v>
      </c>
      <c r="G90" s="1">
        <v>1</v>
      </c>
      <c r="I90" s="1">
        <f>1802-24</f>
        <v>1778</v>
      </c>
      <c r="J90" t="s">
        <v>10</v>
      </c>
      <c r="K90" t="s">
        <v>12</v>
      </c>
      <c r="Q90">
        <v>5</v>
      </c>
      <c r="R90">
        <v>4</v>
      </c>
      <c r="T90" s="5">
        <f>((Q90*316)+(R90*26.3)+(S90*2.2))/10</f>
        <v>168.52</v>
      </c>
      <c r="U90" t="s">
        <v>330</v>
      </c>
      <c r="AD90" s="6">
        <v>1</v>
      </c>
      <c r="AE90" s="6">
        <v>1</v>
      </c>
      <c r="AF90" s="6">
        <v>1</v>
      </c>
      <c r="AG90" s="6">
        <v>1</v>
      </c>
      <c r="AH90" s="6">
        <v>1</v>
      </c>
      <c r="AI90" s="6">
        <v>1</v>
      </c>
      <c r="AJ90" s="6">
        <v>1</v>
      </c>
      <c r="AK90" s="6">
        <v>1</v>
      </c>
      <c r="AL90" s="6">
        <v>1</v>
      </c>
      <c r="AM90" s="6">
        <v>1</v>
      </c>
      <c r="AN90" s="7">
        <v>1</v>
      </c>
      <c r="BC90" t="s">
        <v>198</v>
      </c>
      <c r="BD90" s="7" t="s">
        <v>109</v>
      </c>
      <c r="BE90" t="s">
        <v>125</v>
      </c>
      <c r="BF90" s="1" t="s">
        <v>29</v>
      </c>
      <c r="BG90" s="1">
        <v>10</v>
      </c>
      <c r="BH90">
        <v>1</v>
      </c>
      <c r="BK90" s="1">
        <v>1</v>
      </c>
      <c r="BQ90">
        <v>1</v>
      </c>
      <c r="CM90">
        <v>1</v>
      </c>
      <c r="CS90" s="7" t="s">
        <v>354</v>
      </c>
    </row>
    <row r="91" spans="1:97">
      <c r="B91" t="s">
        <v>2136</v>
      </c>
      <c r="C91" s="2" t="s">
        <v>2137</v>
      </c>
      <c r="D91" s="2" t="s">
        <v>2137</v>
      </c>
      <c r="E91" s="8" t="s">
        <v>130</v>
      </c>
      <c r="F91" s="8" t="s">
        <v>65</v>
      </c>
      <c r="G91" s="1">
        <v>1</v>
      </c>
      <c r="I91" s="1">
        <f>1803-25</f>
        <v>1778</v>
      </c>
      <c r="J91" t="s">
        <v>10</v>
      </c>
      <c r="K91" t="s">
        <v>197</v>
      </c>
      <c r="Q91">
        <v>5</v>
      </c>
      <c r="R91">
        <v>1</v>
      </c>
      <c r="S91">
        <v>2</v>
      </c>
      <c r="T91" s="5">
        <f>((Q91*316)+(R91*26.3)+(S91*2.2))/10</f>
        <v>161.07</v>
      </c>
      <c r="U91" t="s">
        <v>330</v>
      </c>
      <c r="AD91" s="6">
        <v>1</v>
      </c>
      <c r="AE91" s="6">
        <v>1</v>
      </c>
      <c r="AF91" s="6">
        <v>1</v>
      </c>
      <c r="AG91" s="6">
        <v>1</v>
      </c>
      <c r="AH91" s="6">
        <v>1</v>
      </c>
      <c r="AI91" s="6">
        <v>1</v>
      </c>
      <c r="AJ91" s="6">
        <v>1</v>
      </c>
      <c r="AK91" s="6">
        <v>1</v>
      </c>
      <c r="AL91" s="6">
        <v>1</v>
      </c>
      <c r="AM91" s="7">
        <v>1</v>
      </c>
      <c r="BC91" t="s">
        <v>2138</v>
      </c>
      <c r="BD91" s="7" t="s">
        <v>103</v>
      </c>
      <c r="BE91" t="s">
        <v>1502</v>
      </c>
      <c r="BF91" s="1" t="s">
        <v>29</v>
      </c>
      <c r="BG91" s="1">
        <v>3</v>
      </c>
      <c r="BH91">
        <v>1</v>
      </c>
      <c r="BK91" s="1">
        <v>1</v>
      </c>
      <c r="BQ91">
        <v>1</v>
      </c>
      <c r="CS91" s="7" t="s">
        <v>475</v>
      </c>
    </row>
    <row r="92" spans="1:97">
      <c r="A92" t="s">
        <v>7</v>
      </c>
      <c r="B92" t="s">
        <v>298</v>
      </c>
      <c r="F92" t="s">
        <v>7</v>
      </c>
      <c r="T92" s="5"/>
      <c r="U92" t="s">
        <v>299</v>
      </c>
      <c r="AD92" s="7">
        <v>1</v>
      </c>
      <c r="BC92" t="s">
        <v>300</v>
      </c>
      <c r="BD92" s="7" t="s">
        <v>26</v>
      </c>
      <c r="BE92" t="s">
        <v>125</v>
      </c>
      <c r="BF92" s="1" t="s">
        <v>29</v>
      </c>
      <c r="BG92" s="1">
        <v>1</v>
      </c>
      <c r="BH92">
        <v>1</v>
      </c>
      <c r="BK92" s="1">
        <v>1</v>
      </c>
      <c r="BQ92">
        <v>1</v>
      </c>
      <c r="CS92" s="7" t="s">
        <v>301</v>
      </c>
    </row>
    <row r="93" spans="1:97">
      <c r="A93" t="s">
        <v>7</v>
      </c>
      <c r="B93" t="s">
        <v>741</v>
      </c>
      <c r="F93" t="s">
        <v>7</v>
      </c>
      <c r="T93" s="5"/>
      <c r="U93" t="s">
        <v>742</v>
      </c>
      <c r="AD93" s="7">
        <v>1</v>
      </c>
      <c r="BC93" t="s">
        <v>743</v>
      </c>
      <c r="BD93" s="7" t="s">
        <v>280</v>
      </c>
      <c r="BE93" t="s">
        <v>744</v>
      </c>
      <c r="BF93" s="1" t="s">
        <v>29</v>
      </c>
      <c r="BG93" s="1">
        <v>1</v>
      </c>
      <c r="BH93">
        <v>1</v>
      </c>
      <c r="BO93">
        <v>1</v>
      </c>
      <c r="BR93">
        <v>1</v>
      </c>
      <c r="CN93">
        <v>1</v>
      </c>
      <c r="CS93" s="7" t="s">
        <v>745</v>
      </c>
    </row>
    <row r="94" spans="1:97">
      <c r="B94" t="s">
        <v>2316</v>
      </c>
      <c r="C94" s="15" t="s">
        <v>2317</v>
      </c>
      <c r="D94" s="2" t="s">
        <v>2318</v>
      </c>
      <c r="E94" s="8" t="s">
        <v>1145</v>
      </c>
      <c r="F94" s="8" t="s">
        <v>218</v>
      </c>
      <c r="G94" s="1">
        <v>1</v>
      </c>
      <c r="I94" s="1">
        <f>1806-23</f>
        <v>1783</v>
      </c>
      <c r="J94" t="s">
        <v>10</v>
      </c>
      <c r="K94" t="s">
        <v>12</v>
      </c>
      <c r="Q94">
        <v>5</v>
      </c>
      <c r="R94">
        <v>6</v>
      </c>
      <c r="T94" s="5">
        <f>((Q94*316)+(R94*26.3)+(S94*2.2))/10</f>
        <v>173.78</v>
      </c>
      <c r="U94" t="s">
        <v>2319</v>
      </c>
      <c r="AD94" s="6">
        <v>1</v>
      </c>
      <c r="AE94" s="6">
        <v>1</v>
      </c>
      <c r="AF94" s="6">
        <v>1</v>
      </c>
      <c r="AG94" s="6">
        <v>1</v>
      </c>
      <c r="AH94" s="6">
        <v>1</v>
      </c>
      <c r="AI94" s="6">
        <v>1</v>
      </c>
      <c r="AJ94" s="6">
        <v>1</v>
      </c>
      <c r="AK94" s="6">
        <v>1</v>
      </c>
      <c r="AL94" s="6">
        <v>1</v>
      </c>
      <c r="AM94" s="6">
        <v>1</v>
      </c>
      <c r="AN94" s="6">
        <v>1</v>
      </c>
      <c r="AO94" s="7">
        <v>1</v>
      </c>
      <c r="BC94" t="s">
        <v>2320</v>
      </c>
      <c r="BD94" s="7" t="s">
        <v>959</v>
      </c>
      <c r="BE94" t="s">
        <v>2315</v>
      </c>
      <c r="BF94" s="1" t="s">
        <v>29</v>
      </c>
      <c r="BG94" s="1">
        <v>3</v>
      </c>
      <c r="BH94">
        <v>2</v>
      </c>
      <c r="BI94">
        <v>1</v>
      </c>
      <c r="BJ94">
        <v>1</v>
      </c>
      <c r="BK94" s="1">
        <v>1</v>
      </c>
      <c r="BQ94">
        <v>1</v>
      </c>
      <c r="CB94" s="7">
        <v>1</v>
      </c>
      <c r="CG94">
        <v>1</v>
      </c>
      <c r="CM94">
        <v>1</v>
      </c>
      <c r="CS94" s="7" t="s">
        <v>2314</v>
      </c>
    </row>
    <row r="95" spans="1:97">
      <c r="A95" t="s">
        <v>72</v>
      </c>
      <c r="B95" t="s">
        <v>925</v>
      </c>
      <c r="F95" t="s">
        <v>7</v>
      </c>
      <c r="J95" s="8"/>
      <c r="K95" s="8"/>
      <c r="T95" s="5"/>
      <c r="U95" t="s">
        <v>924</v>
      </c>
      <c r="AD95" s="6">
        <v>1</v>
      </c>
      <c r="AE95" s="6">
        <v>1</v>
      </c>
      <c r="AF95" s="6">
        <v>1</v>
      </c>
      <c r="AG95" s="7">
        <v>1</v>
      </c>
      <c r="BC95" t="s">
        <v>926</v>
      </c>
      <c r="BD95" s="7" t="s">
        <v>109</v>
      </c>
      <c r="BE95" t="s">
        <v>927</v>
      </c>
      <c r="BF95" s="1" t="s">
        <v>29</v>
      </c>
      <c r="BG95" s="1">
        <v>3</v>
      </c>
      <c r="BH95">
        <v>2</v>
      </c>
      <c r="BK95"/>
      <c r="BO95">
        <v>1</v>
      </c>
      <c r="BR95">
        <v>1</v>
      </c>
      <c r="BS95">
        <v>1</v>
      </c>
      <c r="CL95">
        <v>1</v>
      </c>
      <c r="CS95" s="7" t="s">
        <v>893</v>
      </c>
    </row>
    <row r="96" spans="1:97">
      <c r="B96" t="s">
        <v>721</v>
      </c>
      <c r="C96" s="2" t="s">
        <v>722</v>
      </c>
      <c r="E96" s="8" t="s">
        <v>599</v>
      </c>
      <c r="F96" s="8" t="s">
        <v>357</v>
      </c>
      <c r="G96" s="1">
        <v>1</v>
      </c>
      <c r="I96" s="1">
        <f>1796-26</f>
        <v>1770</v>
      </c>
      <c r="J96" t="s">
        <v>10</v>
      </c>
      <c r="K96" t="s">
        <v>723</v>
      </c>
      <c r="Q96">
        <v>5</v>
      </c>
      <c r="R96">
        <v>2</v>
      </c>
      <c r="T96" s="5">
        <f>((Q96*316)+(R96*26.3)+(S96*2.2))/10</f>
        <v>163.26</v>
      </c>
      <c r="U96" t="s">
        <v>724</v>
      </c>
      <c r="AD96" s="6">
        <v>1</v>
      </c>
      <c r="AE96" s="6">
        <v>1</v>
      </c>
      <c r="AF96" s="7">
        <v>1</v>
      </c>
      <c r="BC96" t="s">
        <v>725</v>
      </c>
      <c r="BD96" s="7" t="s">
        <v>103</v>
      </c>
      <c r="BE96" t="s">
        <v>726</v>
      </c>
      <c r="BF96" s="1" t="s">
        <v>29</v>
      </c>
      <c r="BG96" s="1">
        <v>2</v>
      </c>
      <c r="BH96">
        <v>1</v>
      </c>
      <c r="BO96">
        <v>1</v>
      </c>
      <c r="BR96">
        <v>1</v>
      </c>
      <c r="CF96">
        <v>1</v>
      </c>
      <c r="CM96">
        <v>1</v>
      </c>
      <c r="CS96" s="7" t="s">
        <v>727</v>
      </c>
    </row>
    <row r="97" spans="1:98">
      <c r="B97" t="s">
        <v>906</v>
      </c>
      <c r="C97" s="2" t="s">
        <v>907</v>
      </c>
      <c r="E97" s="8"/>
      <c r="F97" s="8" t="s">
        <v>908</v>
      </c>
      <c r="H97" s="1">
        <v>1</v>
      </c>
      <c r="I97" s="1">
        <f>1806-31</f>
        <v>1775</v>
      </c>
      <c r="J97" t="s">
        <v>10</v>
      </c>
      <c r="K97" t="s">
        <v>12</v>
      </c>
      <c r="Q97">
        <v>5</v>
      </c>
      <c r="R97">
        <v>2</v>
      </c>
      <c r="S97">
        <v>3</v>
      </c>
      <c r="T97" s="5">
        <f>((Q97*316)+(R97*26.3)+(S97*2.2))/10</f>
        <v>163.92</v>
      </c>
      <c r="U97" t="s">
        <v>909</v>
      </c>
      <c r="AD97" s="6">
        <v>1</v>
      </c>
      <c r="AE97" s="6">
        <v>1</v>
      </c>
      <c r="AF97" s="6">
        <v>1</v>
      </c>
      <c r="AG97" s="6">
        <v>1</v>
      </c>
      <c r="AH97" s="6">
        <v>1</v>
      </c>
      <c r="AI97" s="6">
        <v>1</v>
      </c>
      <c r="AJ97" s="6">
        <v>1</v>
      </c>
      <c r="AK97" s="6">
        <v>1</v>
      </c>
      <c r="AL97" s="6">
        <v>1</v>
      </c>
      <c r="AM97" s="6">
        <v>1</v>
      </c>
      <c r="AN97" s="7">
        <v>1</v>
      </c>
      <c r="BC97" t="s">
        <v>910</v>
      </c>
      <c r="BD97" s="7" t="s">
        <v>280</v>
      </c>
      <c r="BE97" t="s">
        <v>62</v>
      </c>
      <c r="BF97" s="1" t="s">
        <v>29</v>
      </c>
      <c r="BG97" s="1">
        <v>9</v>
      </c>
      <c r="BH97">
        <v>3</v>
      </c>
      <c r="BO97">
        <v>1</v>
      </c>
      <c r="BP97">
        <v>1</v>
      </c>
      <c r="BQ97">
        <v>1</v>
      </c>
      <c r="BR97">
        <v>1</v>
      </c>
      <c r="BS97">
        <v>1</v>
      </c>
      <c r="CF97">
        <v>1</v>
      </c>
      <c r="CL97">
        <v>1</v>
      </c>
      <c r="CN97">
        <v>1</v>
      </c>
      <c r="CO97">
        <v>1</v>
      </c>
      <c r="CR97">
        <v>1</v>
      </c>
      <c r="CS97" s="7" t="s">
        <v>911</v>
      </c>
    </row>
    <row r="98" spans="1:98">
      <c r="B98" t="s">
        <v>2046</v>
      </c>
      <c r="C98" s="13" t="s">
        <v>2044</v>
      </c>
      <c r="E98" s="8"/>
      <c r="F98" s="8" t="s">
        <v>908</v>
      </c>
      <c r="H98" s="1">
        <v>1</v>
      </c>
      <c r="I98" s="1">
        <f>1803-30</f>
        <v>1773</v>
      </c>
      <c r="J98" t="s">
        <v>69</v>
      </c>
      <c r="K98" t="s">
        <v>12</v>
      </c>
      <c r="T98" s="5"/>
      <c r="U98" t="s">
        <v>2045</v>
      </c>
      <c r="AD98" s="6">
        <v>1</v>
      </c>
      <c r="AE98" s="6">
        <v>1</v>
      </c>
      <c r="AF98" s="6">
        <v>1</v>
      </c>
      <c r="AG98" s="6">
        <v>1</v>
      </c>
      <c r="AH98" s="6">
        <v>1</v>
      </c>
      <c r="AI98" s="6">
        <v>1</v>
      </c>
      <c r="AJ98" s="6">
        <v>1</v>
      </c>
      <c r="AK98" s="7">
        <v>1</v>
      </c>
      <c r="BC98" t="s">
        <v>1528</v>
      </c>
      <c r="BD98" s="7" t="s">
        <v>280</v>
      </c>
      <c r="BE98" t="s">
        <v>1502</v>
      </c>
      <c r="BF98" s="1" t="s">
        <v>29</v>
      </c>
      <c r="BG98" s="1">
        <v>2</v>
      </c>
      <c r="BH98">
        <v>1</v>
      </c>
      <c r="BK98" s="1">
        <v>1</v>
      </c>
      <c r="BQ98">
        <v>1</v>
      </c>
      <c r="CN98">
        <v>1</v>
      </c>
      <c r="CS98" s="7" t="s">
        <v>947</v>
      </c>
    </row>
    <row r="99" spans="1:98">
      <c r="B99" t="s">
        <v>887</v>
      </c>
      <c r="C99" s="15" t="s">
        <v>888</v>
      </c>
      <c r="E99" s="8"/>
      <c r="F99" s="8" t="s">
        <v>748</v>
      </c>
      <c r="H99" s="1">
        <v>1</v>
      </c>
      <c r="I99" s="1">
        <f>1799-22</f>
        <v>1777</v>
      </c>
      <c r="J99" t="s">
        <v>10</v>
      </c>
      <c r="K99" t="s">
        <v>197</v>
      </c>
      <c r="T99" s="5"/>
      <c r="U99" t="s">
        <v>886</v>
      </c>
      <c r="AD99" s="6">
        <v>1</v>
      </c>
      <c r="AE99" s="6">
        <v>1</v>
      </c>
      <c r="AF99" s="6">
        <v>1</v>
      </c>
      <c r="AG99" s="6">
        <v>1</v>
      </c>
      <c r="AH99" s="7">
        <v>1</v>
      </c>
      <c r="BC99" t="s">
        <v>889</v>
      </c>
      <c r="BD99" s="7" t="s">
        <v>26</v>
      </c>
      <c r="BE99" t="s">
        <v>849</v>
      </c>
      <c r="BF99" s="1" t="s">
        <v>29</v>
      </c>
      <c r="BG99" s="1">
        <v>4</v>
      </c>
      <c r="BH99">
        <v>2</v>
      </c>
      <c r="BO99">
        <v>1</v>
      </c>
      <c r="BR99">
        <v>1</v>
      </c>
      <c r="BS99">
        <v>1</v>
      </c>
      <c r="CL99">
        <v>1</v>
      </c>
      <c r="CS99" s="7" t="s">
        <v>179</v>
      </c>
    </row>
    <row r="100" spans="1:98">
      <c r="B100" t="s">
        <v>967</v>
      </c>
      <c r="C100" s="2" t="s">
        <v>191</v>
      </c>
      <c r="E100" s="8"/>
      <c r="F100" s="8" t="s">
        <v>65</v>
      </c>
      <c r="G100" s="1">
        <v>1</v>
      </c>
      <c r="I100" s="1">
        <f>1801-25</f>
        <v>1776</v>
      </c>
      <c r="J100" t="s">
        <v>10</v>
      </c>
      <c r="K100" t="s">
        <v>12</v>
      </c>
      <c r="Q100">
        <v>5</v>
      </c>
      <c r="R100">
        <v>4</v>
      </c>
      <c r="T100" s="5">
        <f t="shared" ref="T100:T105" si="3">((Q100*316)+(R100*26.3)+(S100*2.2))/10</f>
        <v>168.52</v>
      </c>
      <c r="U100" t="s">
        <v>968</v>
      </c>
      <c r="AD100" s="6">
        <v>1</v>
      </c>
      <c r="AE100" s="6">
        <v>1</v>
      </c>
      <c r="AF100" s="6">
        <v>1</v>
      </c>
      <c r="AG100" s="6">
        <v>1</v>
      </c>
      <c r="AH100" s="6">
        <v>1</v>
      </c>
      <c r="AI100" s="6">
        <v>1</v>
      </c>
      <c r="AJ100" s="7">
        <v>1</v>
      </c>
      <c r="BC100" t="s">
        <v>970</v>
      </c>
      <c r="BD100" s="7" t="s">
        <v>103</v>
      </c>
      <c r="BE100" t="s">
        <v>969</v>
      </c>
      <c r="BF100" s="1" t="s">
        <v>29</v>
      </c>
      <c r="BG100" s="1">
        <v>5</v>
      </c>
      <c r="BH100">
        <v>3</v>
      </c>
      <c r="BI100">
        <v>1</v>
      </c>
      <c r="BO100">
        <v>1</v>
      </c>
      <c r="BQ100">
        <v>1</v>
      </c>
      <c r="BR100">
        <v>1</v>
      </c>
      <c r="BS100">
        <v>1</v>
      </c>
      <c r="CF100">
        <v>1</v>
      </c>
      <c r="CL100">
        <v>1</v>
      </c>
      <c r="CS100" s="7" t="s">
        <v>614</v>
      </c>
    </row>
    <row r="101" spans="1:98">
      <c r="B101" t="s">
        <v>2142</v>
      </c>
      <c r="C101" s="2" t="s">
        <v>1601</v>
      </c>
      <c r="E101" s="8"/>
      <c r="F101" s="8" t="s">
        <v>107</v>
      </c>
      <c r="H101" s="30">
        <v>1</v>
      </c>
      <c r="I101" s="1">
        <f>1804-26</f>
        <v>1778</v>
      </c>
      <c r="J101" t="s">
        <v>10</v>
      </c>
      <c r="K101" t="s">
        <v>12</v>
      </c>
      <c r="Q101">
        <v>5</v>
      </c>
      <c r="R101">
        <v>5</v>
      </c>
      <c r="S101">
        <v>2</v>
      </c>
      <c r="T101" s="5">
        <f t="shared" si="3"/>
        <v>171.59</v>
      </c>
      <c r="U101" t="s">
        <v>1900</v>
      </c>
      <c r="AE101" s="6">
        <v>1</v>
      </c>
      <c r="AF101" s="6">
        <v>1</v>
      </c>
      <c r="AG101" s="6">
        <v>1</v>
      </c>
      <c r="AH101" s="6">
        <v>1</v>
      </c>
      <c r="AI101" s="6">
        <v>1</v>
      </c>
      <c r="AJ101" s="6">
        <v>1</v>
      </c>
      <c r="AK101" s="14">
        <v>1</v>
      </c>
      <c r="BC101" s="9" t="s">
        <v>2143</v>
      </c>
      <c r="BD101" s="14" t="s">
        <v>338</v>
      </c>
      <c r="BE101" t="s">
        <v>1502</v>
      </c>
      <c r="BF101" s="1" t="s">
        <v>29</v>
      </c>
      <c r="BG101" s="1">
        <v>3</v>
      </c>
      <c r="BH101">
        <v>1</v>
      </c>
      <c r="BK101" s="1">
        <v>1</v>
      </c>
      <c r="BQ101">
        <v>1</v>
      </c>
      <c r="CS101" s="14" t="s">
        <v>338</v>
      </c>
      <c r="CT101" s="6" t="s">
        <v>2175</v>
      </c>
    </row>
    <row r="102" spans="1:98">
      <c r="B102" t="s">
        <v>1335</v>
      </c>
      <c r="C102" s="2" t="s">
        <v>1336</v>
      </c>
      <c r="D102" s="15"/>
      <c r="E102" s="8"/>
      <c r="F102" t="s">
        <v>115</v>
      </c>
      <c r="G102" s="1">
        <v>1</v>
      </c>
      <c r="I102" s="1">
        <f>1797-20</f>
        <v>1777</v>
      </c>
      <c r="J102" t="s">
        <v>10</v>
      </c>
      <c r="K102" t="s">
        <v>12</v>
      </c>
      <c r="Q102">
        <v>5</v>
      </c>
      <c r="R102">
        <v>3</v>
      </c>
      <c r="S102">
        <v>1</v>
      </c>
      <c r="T102" s="5">
        <f t="shared" si="3"/>
        <v>166.11</v>
      </c>
      <c r="U102" t="s">
        <v>1900</v>
      </c>
      <c r="AE102" s="6">
        <v>1</v>
      </c>
      <c r="AF102" s="6">
        <v>1</v>
      </c>
      <c r="AG102" s="6">
        <v>1</v>
      </c>
      <c r="AH102" s="6">
        <v>1</v>
      </c>
      <c r="AI102" s="6">
        <v>1</v>
      </c>
      <c r="AJ102" s="6">
        <v>1</v>
      </c>
      <c r="AK102" s="6">
        <v>1</v>
      </c>
      <c r="AL102" s="6">
        <v>1</v>
      </c>
      <c r="AM102" s="7">
        <v>1</v>
      </c>
      <c r="BC102" t="s">
        <v>1076</v>
      </c>
      <c r="BD102" s="7" t="s">
        <v>280</v>
      </c>
      <c r="BE102" t="s">
        <v>125</v>
      </c>
      <c r="BF102" s="1" t="s">
        <v>29</v>
      </c>
      <c r="BG102" s="1">
        <v>12</v>
      </c>
      <c r="BH102">
        <v>2</v>
      </c>
      <c r="BK102" s="1">
        <v>1</v>
      </c>
      <c r="BQ102">
        <v>1</v>
      </c>
      <c r="CL102">
        <v>1</v>
      </c>
      <c r="CN102">
        <v>1</v>
      </c>
      <c r="CS102" s="7" t="s">
        <v>1337</v>
      </c>
    </row>
    <row r="103" spans="1:98">
      <c r="B103" t="s">
        <v>2575</v>
      </c>
      <c r="C103" s="2" t="s">
        <v>224</v>
      </c>
      <c r="D103" s="2"/>
      <c r="E103" s="8" t="s">
        <v>122</v>
      </c>
      <c r="F103" t="s">
        <v>115</v>
      </c>
      <c r="G103" s="1">
        <v>1</v>
      </c>
      <c r="I103" s="1">
        <f>1797-18</f>
        <v>1779</v>
      </c>
      <c r="J103" t="s">
        <v>10</v>
      </c>
      <c r="K103" t="s">
        <v>12</v>
      </c>
      <c r="Q103">
        <v>5</v>
      </c>
      <c r="R103">
        <v>1</v>
      </c>
      <c r="T103" s="5">
        <f t="shared" si="3"/>
        <v>160.63</v>
      </c>
      <c r="U103" t="s">
        <v>1900</v>
      </c>
      <c r="AE103" s="6">
        <v>1</v>
      </c>
      <c r="AF103" s="6">
        <v>1</v>
      </c>
      <c r="AG103" s="6">
        <v>1</v>
      </c>
      <c r="AH103" s="6">
        <v>1</v>
      </c>
      <c r="AI103" s="6">
        <v>1</v>
      </c>
      <c r="AJ103" s="7">
        <v>1</v>
      </c>
      <c r="BC103" t="s">
        <v>2576</v>
      </c>
      <c r="BD103" s="7" t="s">
        <v>103</v>
      </c>
      <c r="BE103" t="s">
        <v>124</v>
      </c>
      <c r="BF103" s="1" t="s">
        <v>29</v>
      </c>
      <c r="BG103" s="1">
        <v>2</v>
      </c>
      <c r="BH103">
        <v>2</v>
      </c>
      <c r="BI103">
        <v>1</v>
      </c>
      <c r="BK103" s="1">
        <v>1</v>
      </c>
      <c r="BQ103">
        <v>1</v>
      </c>
      <c r="CI103">
        <v>1</v>
      </c>
      <c r="CL103">
        <v>1</v>
      </c>
      <c r="CS103" s="7" t="s">
        <v>2172</v>
      </c>
    </row>
    <row r="104" spans="1:98">
      <c r="B104" t="s">
        <v>1901</v>
      </c>
      <c r="C104" s="2" t="s">
        <v>139</v>
      </c>
      <c r="D104" s="2" t="s">
        <v>139</v>
      </c>
      <c r="E104" s="8" t="s">
        <v>114</v>
      </c>
      <c r="F104" s="8" t="s">
        <v>115</v>
      </c>
      <c r="G104" s="1">
        <v>1</v>
      </c>
      <c r="I104" s="1">
        <f>1797-33</f>
        <v>1764</v>
      </c>
      <c r="J104" t="s">
        <v>69</v>
      </c>
      <c r="K104" t="s">
        <v>12</v>
      </c>
      <c r="Q104">
        <v>5</v>
      </c>
      <c r="R104">
        <v>2</v>
      </c>
      <c r="S104">
        <v>2</v>
      </c>
      <c r="T104" s="5">
        <f t="shared" si="3"/>
        <v>163.69999999999999</v>
      </c>
      <c r="U104" t="s">
        <v>1902</v>
      </c>
      <c r="AE104" s="7">
        <v>1</v>
      </c>
      <c r="BC104" t="s">
        <v>1903</v>
      </c>
      <c r="BD104" s="7" t="s">
        <v>280</v>
      </c>
      <c r="BE104" t="s">
        <v>1904</v>
      </c>
      <c r="BF104" s="1" t="s">
        <v>29</v>
      </c>
      <c r="BG104" s="1">
        <v>1</v>
      </c>
      <c r="BH104">
        <v>1</v>
      </c>
      <c r="BK104" s="1">
        <v>1</v>
      </c>
      <c r="BQ104">
        <v>1</v>
      </c>
      <c r="CN104">
        <v>1</v>
      </c>
      <c r="CS104" s="7" t="s">
        <v>328</v>
      </c>
    </row>
    <row r="105" spans="1:98">
      <c r="B105" t="s">
        <v>1928</v>
      </c>
      <c r="C105" s="2" t="s">
        <v>1929</v>
      </c>
      <c r="D105" s="2" t="s">
        <v>1929</v>
      </c>
      <c r="E105" s="8" t="s">
        <v>710</v>
      </c>
      <c r="F105" s="8" t="s">
        <v>115</v>
      </c>
      <c r="G105" s="1">
        <v>1</v>
      </c>
      <c r="I105" s="1">
        <f>1803-32</f>
        <v>1771</v>
      </c>
      <c r="J105" t="s">
        <v>10</v>
      </c>
      <c r="K105" t="s">
        <v>12</v>
      </c>
      <c r="Q105">
        <v>5</v>
      </c>
      <c r="R105">
        <v>0</v>
      </c>
      <c r="S105">
        <v>1</v>
      </c>
      <c r="T105" s="5">
        <f t="shared" si="3"/>
        <v>158.22</v>
      </c>
      <c r="U105" t="s">
        <v>1902</v>
      </c>
      <c r="AE105" s="6">
        <v>1</v>
      </c>
      <c r="AF105" s="6">
        <v>1</v>
      </c>
      <c r="AG105" s="6">
        <v>1</v>
      </c>
      <c r="AH105" s="6">
        <v>1</v>
      </c>
      <c r="AI105" s="6">
        <v>1</v>
      </c>
      <c r="AJ105" s="6">
        <v>1</v>
      </c>
      <c r="AK105" s="7">
        <v>1</v>
      </c>
      <c r="BC105" t="s">
        <v>1930</v>
      </c>
      <c r="BD105" s="7" t="s">
        <v>103</v>
      </c>
      <c r="BE105" t="s">
        <v>118</v>
      </c>
      <c r="BF105" s="1" t="s">
        <v>29</v>
      </c>
      <c r="BG105" s="1">
        <v>2</v>
      </c>
      <c r="BH105">
        <v>2</v>
      </c>
      <c r="BK105" s="1">
        <v>1</v>
      </c>
      <c r="BQ105">
        <v>1</v>
      </c>
      <c r="CN105">
        <v>1</v>
      </c>
      <c r="CO105">
        <v>1</v>
      </c>
      <c r="CP105">
        <v>1</v>
      </c>
      <c r="CS105" s="7" t="s">
        <v>1754</v>
      </c>
    </row>
    <row r="106" spans="1:98">
      <c r="A106" t="s">
        <v>7</v>
      </c>
      <c r="B106" t="s">
        <v>307</v>
      </c>
      <c r="F106" t="s">
        <v>7</v>
      </c>
      <c r="T106" s="1"/>
      <c r="U106" t="s">
        <v>228</v>
      </c>
      <c r="AE106" s="6">
        <v>1</v>
      </c>
      <c r="AF106" s="6">
        <v>1</v>
      </c>
      <c r="AG106" s="9">
        <v>1</v>
      </c>
      <c r="AH106" s="9"/>
      <c r="AI106" s="7">
        <v>1</v>
      </c>
      <c r="BC106" t="s">
        <v>308</v>
      </c>
      <c r="BD106" s="7" t="s">
        <v>103</v>
      </c>
      <c r="BE106" t="s">
        <v>125</v>
      </c>
      <c r="BF106" s="1" t="s">
        <v>29</v>
      </c>
      <c r="BG106" s="1">
        <v>5</v>
      </c>
      <c r="BH106">
        <v>1</v>
      </c>
      <c r="BK106" s="1">
        <v>1</v>
      </c>
      <c r="BQ106">
        <v>1</v>
      </c>
      <c r="CS106" s="7" t="s">
        <v>309</v>
      </c>
    </row>
    <row r="107" spans="1:98">
      <c r="A107" t="s">
        <v>7</v>
      </c>
      <c r="B107" t="s">
        <v>320</v>
      </c>
      <c r="F107" t="s">
        <v>7</v>
      </c>
      <c r="T107" s="1"/>
      <c r="U107" t="s">
        <v>228</v>
      </c>
      <c r="AE107" s="6">
        <v>1</v>
      </c>
      <c r="AF107" s="6">
        <v>1</v>
      </c>
      <c r="AG107" s="7">
        <v>1</v>
      </c>
      <c r="BC107" t="s">
        <v>321</v>
      </c>
      <c r="BD107" s="7" t="s">
        <v>26</v>
      </c>
      <c r="BE107" t="s">
        <v>125</v>
      </c>
      <c r="BF107" s="1" t="s">
        <v>29</v>
      </c>
      <c r="BG107" s="1">
        <v>3</v>
      </c>
      <c r="BH107">
        <v>1</v>
      </c>
      <c r="BK107" s="1">
        <v>1</v>
      </c>
      <c r="BQ107">
        <v>1</v>
      </c>
      <c r="CS107" s="7" t="s">
        <v>322</v>
      </c>
    </row>
    <row r="108" spans="1:98">
      <c r="A108" t="s">
        <v>7</v>
      </c>
      <c r="B108" t="s">
        <v>310</v>
      </c>
      <c r="F108" t="s">
        <v>7</v>
      </c>
      <c r="T108" s="1"/>
      <c r="U108" t="s">
        <v>228</v>
      </c>
      <c r="AE108" s="6">
        <v>1</v>
      </c>
      <c r="AF108" s="6">
        <v>1</v>
      </c>
      <c r="AG108" s="6">
        <v>1</v>
      </c>
      <c r="AH108" s="6">
        <v>1</v>
      </c>
      <c r="AI108" s="6">
        <v>1</v>
      </c>
      <c r="AJ108" s="7">
        <v>1</v>
      </c>
      <c r="BC108" t="s">
        <v>311</v>
      </c>
      <c r="BD108" s="7" t="s">
        <v>26</v>
      </c>
      <c r="BE108" t="s">
        <v>125</v>
      </c>
      <c r="BF108" s="1" t="s">
        <v>29</v>
      </c>
      <c r="BG108" s="1">
        <v>4</v>
      </c>
      <c r="BH108">
        <v>1</v>
      </c>
      <c r="BK108" s="1">
        <v>1</v>
      </c>
      <c r="BQ108">
        <v>1</v>
      </c>
      <c r="CS108" s="7" t="s">
        <v>297</v>
      </c>
    </row>
    <row r="109" spans="1:98">
      <c r="A109" t="s">
        <v>7</v>
      </c>
      <c r="B109" t="s">
        <v>344</v>
      </c>
      <c r="C109" s="15"/>
      <c r="F109" t="s">
        <v>7</v>
      </c>
      <c r="T109" s="5"/>
      <c r="U109" t="s">
        <v>228</v>
      </c>
      <c r="AE109" s="6">
        <v>1</v>
      </c>
      <c r="AF109" s="14">
        <v>1</v>
      </c>
      <c r="BC109" s="9" t="s">
        <v>337</v>
      </c>
      <c r="BD109" s="14" t="s">
        <v>338</v>
      </c>
      <c r="BE109" t="s">
        <v>125</v>
      </c>
      <c r="BF109" s="1" t="s">
        <v>339</v>
      </c>
      <c r="BG109" s="1">
        <v>2</v>
      </c>
      <c r="BH109">
        <v>1</v>
      </c>
      <c r="BK109" s="1">
        <v>1</v>
      </c>
      <c r="BQ109">
        <v>1</v>
      </c>
      <c r="CS109" s="14" t="s">
        <v>338</v>
      </c>
    </row>
    <row r="110" spans="1:98">
      <c r="B110" t="s">
        <v>371</v>
      </c>
      <c r="C110" s="13" t="s">
        <v>372</v>
      </c>
      <c r="F110" s="8" t="s">
        <v>65</v>
      </c>
      <c r="G110" s="1">
        <v>1</v>
      </c>
      <c r="I110" s="1">
        <f>1802-23</f>
        <v>1779</v>
      </c>
      <c r="J110" t="s">
        <v>10</v>
      </c>
      <c r="K110" t="s">
        <v>12</v>
      </c>
      <c r="Q110">
        <v>5</v>
      </c>
      <c r="R110">
        <v>2</v>
      </c>
      <c r="T110" s="5">
        <f>((Q110*316)+(R110*26.3)+(S110*2.2))/10</f>
        <v>163.26</v>
      </c>
      <c r="U110" t="s">
        <v>228</v>
      </c>
      <c r="AE110" s="6">
        <v>1</v>
      </c>
      <c r="AF110" s="6">
        <v>1</v>
      </c>
      <c r="AG110" s="6">
        <v>1</v>
      </c>
      <c r="AH110" s="6">
        <v>1</v>
      </c>
      <c r="AI110" s="6">
        <v>1</v>
      </c>
      <c r="AJ110" s="6">
        <v>1</v>
      </c>
      <c r="AK110" s="6">
        <v>1</v>
      </c>
      <c r="AL110" s="6">
        <v>1</v>
      </c>
      <c r="AM110" s="6">
        <v>1</v>
      </c>
      <c r="AN110" s="7">
        <v>1</v>
      </c>
      <c r="BC110" t="s">
        <v>198</v>
      </c>
      <c r="BD110" s="7" t="s">
        <v>109</v>
      </c>
      <c r="BE110" t="s">
        <v>125</v>
      </c>
      <c r="BF110" s="1" t="s">
        <v>29</v>
      </c>
      <c r="BG110" s="1">
        <v>11</v>
      </c>
      <c r="BH110">
        <v>1</v>
      </c>
      <c r="BK110" s="1">
        <v>1</v>
      </c>
      <c r="BQ110">
        <v>1</v>
      </c>
      <c r="CS110" s="7" t="s">
        <v>893</v>
      </c>
    </row>
    <row r="111" spans="1:98">
      <c r="A111" t="s">
        <v>7</v>
      </c>
      <c r="B111" t="s">
        <v>345</v>
      </c>
      <c r="C111" s="15"/>
      <c r="F111" t="s">
        <v>7</v>
      </c>
      <c r="T111" s="5"/>
      <c r="U111" t="s">
        <v>228</v>
      </c>
      <c r="AE111" s="6">
        <v>1</v>
      </c>
      <c r="AF111" s="14">
        <v>1</v>
      </c>
      <c r="BC111" s="9" t="s">
        <v>337</v>
      </c>
      <c r="BD111" s="14" t="s">
        <v>338</v>
      </c>
      <c r="BE111" t="s">
        <v>125</v>
      </c>
      <c r="BF111" s="1" t="s">
        <v>339</v>
      </c>
      <c r="BG111" s="1">
        <v>2</v>
      </c>
      <c r="BH111">
        <v>1</v>
      </c>
      <c r="BK111" s="1">
        <v>1</v>
      </c>
      <c r="BQ111">
        <v>1</v>
      </c>
      <c r="CS111" s="14" t="s">
        <v>338</v>
      </c>
    </row>
    <row r="112" spans="1:98">
      <c r="A112" t="s">
        <v>7</v>
      </c>
      <c r="B112" t="s">
        <v>326</v>
      </c>
      <c r="C112" s="15"/>
      <c r="F112" t="s">
        <v>7</v>
      </c>
      <c r="T112" s="5"/>
      <c r="U112" t="s">
        <v>228</v>
      </c>
      <c r="AE112" s="6">
        <v>1</v>
      </c>
      <c r="AF112" s="6">
        <v>1</v>
      </c>
      <c r="AG112" s="6">
        <v>1</v>
      </c>
      <c r="AH112" s="6">
        <v>1</v>
      </c>
      <c r="AI112" s="7">
        <v>1</v>
      </c>
      <c r="BC112" t="s">
        <v>327</v>
      </c>
      <c r="BD112" s="7" t="s">
        <v>280</v>
      </c>
      <c r="BE112" t="s">
        <v>125</v>
      </c>
      <c r="BF112" s="1" t="s">
        <v>29</v>
      </c>
      <c r="BG112" s="1">
        <v>3</v>
      </c>
      <c r="BH112">
        <v>1</v>
      </c>
      <c r="BK112" s="1">
        <v>1</v>
      </c>
      <c r="BQ112">
        <v>1</v>
      </c>
      <c r="CS112" s="7" t="s">
        <v>328</v>
      </c>
    </row>
    <row r="113" spans="1:97">
      <c r="B113" t="s">
        <v>377</v>
      </c>
      <c r="C113" s="13" t="s">
        <v>378</v>
      </c>
      <c r="F113" s="8" t="s">
        <v>65</v>
      </c>
      <c r="G113" s="1">
        <v>1</v>
      </c>
      <c r="I113" s="1">
        <f>1802-29</f>
        <v>1773</v>
      </c>
      <c r="J113" t="s">
        <v>10</v>
      </c>
      <c r="K113" t="s">
        <v>197</v>
      </c>
      <c r="Q113">
        <v>5</v>
      </c>
      <c r="R113">
        <v>3</v>
      </c>
      <c r="T113" s="5">
        <f>((Q113*316)+(R113*26.3)+(S113*2.2))/10</f>
        <v>165.89000000000001</v>
      </c>
      <c r="U113" t="s">
        <v>228</v>
      </c>
      <c r="AE113" s="6">
        <v>1</v>
      </c>
      <c r="AF113" s="6">
        <v>1</v>
      </c>
      <c r="AG113" s="6">
        <v>1</v>
      </c>
      <c r="AH113" s="6">
        <v>1</v>
      </c>
      <c r="AI113" s="6">
        <v>1</v>
      </c>
      <c r="AJ113" s="6">
        <v>1</v>
      </c>
      <c r="AK113" s="6">
        <v>1</v>
      </c>
      <c r="AL113" s="6">
        <v>1</v>
      </c>
      <c r="AM113" s="6">
        <v>1</v>
      </c>
      <c r="AN113" s="7">
        <v>1</v>
      </c>
      <c r="BC113" t="s">
        <v>198</v>
      </c>
      <c r="BD113" s="7" t="s">
        <v>109</v>
      </c>
      <c r="BE113" t="s">
        <v>125</v>
      </c>
      <c r="BF113" s="1" t="s">
        <v>29</v>
      </c>
      <c r="BG113" s="1">
        <v>12</v>
      </c>
      <c r="BH113">
        <v>1</v>
      </c>
      <c r="BK113" s="1">
        <v>1</v>
      </c>
      <c r="BQ113">
        <v>1</v>
      </c>
      <c r="CS113" s="7" t="s">
        <v>354</v>
      </c>
    </row>
    <row r="114" spans="1:97">
      <c r="A114" t="s">
        <v>7</v>
      </c>
      <c r="B114" t="s">
        <v>312</v>
      </c>
      <c r="C114" s="15"/>
      <c r="F114" t="s">
        <v>7</v>
      </c>
      <c r="T114" s="5"/>
      <c r="U114" t="s">
        <v>228</v>
      </c>
      <c r="AE114" s="6">
        <v>1</v>
      </c>
      <c r="AF114" s="7">
        <v>1</v>
      </c>
      <c r="BC114" t="s">
        <v>313</v>
      </c>
      <c r="BD114" s="7" t="s">
        <v>109</v>
      </c>
      <c r="BE114" t="s">
        <v>125</v>
      </c>
      <c r="BF114" s="1" t="s">
        <v>29</v>
      </c>
      <c r="BG114" s="1">
        <v>2</v>
      </c>
      <c r="BH114">
        <v>1</v>
      </c>
      <c r="BK114" s="1">
        <v>1</v>
      </c>
      <c r="BQ114">
        <v>1</v>
      </c>
      <c r="CS114" s="7" t="s">
        <v>1763</v>
      </c>
    </row>
    <row r="115" spans="1:97">
      <c r="A115" t="s">
        <v>7</v>
      </c>
      <c r="B115" t="s">
        <v>383</v>
      </c>
      <c r="C115" s="15"/>
      <c r="F115" t="s">
        <v>7</v>
      </c>
      <c r="T115" s="5"/>
      <c r="U115" t="s">
        <v>228</v>
      </c>
      <c r="AE115" s="6">
        <v>1</v>
      </c>
      <c r="AF115" s="6">
        <v>1</v>
      </c>
      <c r="AG115" s="6">
        <v>1</v>
      </c>
      <c r="AH115" s="14">
        <v>1</v>
      </c>
      <c r="BC115" s="9" t="s">
        <v>384</v>
      </c>
      <c r="BD115" s="14" t="s">
        <v>338</v>
      </c>
      <c r="BE115" t="s">
        <v>125</v>
      </c>
      <c r="BF115" s="1" t="s">
        <v>339</v>
      </c>
      <c r="BG115" s="1">
        <v>4</v>
      </c>
      <c r="BH115">
        <v>1</v>
      </c>
      <c r="BK115" s="1">
        <v>1</v>
      </c>
      <c r="BQ115">
        <v>1</v>
      </c>
      <c r="CS115" s="14" t="s">
        <v>338</v>
      </c>
    </row>
    <row r="116" spans="1:97">
      <c r="B116" t="s">
        <v>1368</v>
      </c>
      <c r="C116" s="15" t="s">
        <v>211</v>
      </c>
      <c r="F116" s="8" t="s">
        <v>115</v>
      </c>
      <c r="G116" s="1">
        <v>1</v>
      </c>
      <c r="I116" s="1">
        <f>1802-24</f>
        <v>1778</v>
      </c>
      <c r="J116" t="s">
        <v>10</v>
      </c>
      <c r="K116" t="s">
        <v>12</v>
      </c>
      <c r="Q116">
        <v>5</v>
      </c>
      <c r="R116">
        <v>4</v>
      </c>
      <c r="T116" s="5">
        <f>((Q116*316)+(R116*26.3)+(S116*2.2))/10</f>
        <v>168.52</v>
      </c>
      <c r="U116" t="s">
        <v>228</v>
      </c>
      <c r="AE116" s="6">
        <v>1</v>
      </c>
      <c r="AF116" s="6">
        <v>1</v>
      </c>
      <c r="AG116" s="6">
        <v>1</v>
      </c>
      <c r="AH116" s="6">
        <v>1</v>
      </c>
      <c r="AI116" s="6">
        <v>1</v>
      </c>
      <c r="AJ116" s="7">
        <v>1</v>
      </c>
      <c r="BC116" t="s">
        <v>1369</v>
      </c>
      <c r="BD116" s="7" t="s">
        <v>280</v>
      </c>
      <c r="BE116" t="s">
        <v>125</v>
      </c>
      <c r="BF116" s="1" t="s">
        <v>29</v>
      </c>
      <c r="BG116" s="1">
        <v>8</v>
      </c>
      <c r="BH116">
        <v>1</v>
      </c>
      <c r="BK116" s="1">
        <v>1</v>
      </c>
      <c r="BQ116">
        <v>1</v>
      </c>
      <c r="CN116">
        <v>1</v>
      </c>
      <c r="CS116" s="7" t="s">
        <v>1370</v>
      </c>
    </row>
    <row r="117" spans="1:97">
      <c r="A117" t="s">
        <v>7</v>
      </c>
      <c r="B117" t="s">
        <v>295</v>
      </c>
      <c r="C117" s="15"/>
      <c r="F117" t="s">
        <v>7</v>
      </c>
      <c r="T117" s="5"/>
      <c r="U117" t="s">
        <v>228</v>
      </c>
      <c r="AE117" s="6">
        <v>1</v>
      </c>
      <c r="AF117" s="6">
        <v>1</v>
      </c>
      <c r="AG117" s="7">
        <v>1</v>
      </c>
      <c r="BC117" t="s">
        <v>296</v>
      </c>
      <c r="BD117" s="7" t="s">
        <v>26</v>
      </c>
      <c r="BE117" t="s">
        <v>125</v>
      </c>
      <c r="BF117" s="1" t="s">
        <v>29</v>
      </c>
      <c r="BG117" s="1">
        <v>11</v>
      </c>
      <c r="BH117">
        <v>1</v>
      </c>
      <c r="BK117" s="1">
        <v>1</v>
      </c>
      <c r="BQ117">
        <v>1</v>
      </c>
      <c r="CS117" s="7" t="s">
        <v>297</v>
      </c>
    </row>
    <row r="118" spans="1:97">
      <c r="B118" t="s">
        <v>226</v>
      </c>
      <c r="C118" s="15" t="s">
        <v>227</v>
      </c>
      <c r="F118" s="8" t="s">
        <v>115</v>
      </c>
      <c r="G118" s="1">
        <v>1</v>
      </c>
      <c r="I118" s="1">
        <f>1802-26</f>
        <v>1776</v>
      </c>
      <c r="J118" t="s">
        <v>10</v>
      </c>
      <c r="K118" t="s">
        <v>12</v>
      </c>
      <c r="Q118">
        <v>5</v>
      </c>
      <c r="R118">
        <v>4</v>
      </c>
      <c r="S118">
        <v>3</v>
      </c>
      <c r="T118" s="5">
        <f t="shared" ref="T118:T135" si="4">((Q118*316)+(R118*26.3)+(S118*2.2))/10</f>
        <v>169.18</v>
      </c>
      <c r="U118" t="s">
        <v>228</v>
      </c>
      <c r="AE118" s="6">
        <v>1</v>
      </c>
      <c r="AF118" s="6">
        <v>1</v>
      </c>
      <c r="AG118" s="6">
        <v>1</v>
      </c>
      <c r="AH118" s="6">
        <v>1</v>
      </c>
      <c r="AI118" s="6">
        <v>1</v>
      </c>
      <c r="AJ118" s="6">
        <v>1</v>
      </c>
      <c r="AK118" s="6">
        <v>1</v>
      </c>
      <c r="AL118" s="6">
        <v>1</v>
      </c>
      <c r="AM118" s="6">
        <v>1</v>
      </c>
      <c r="AN118" s="7">
        <v>1</v>
      </c>
      <c r="BC118" t="s">
        <v>198</v>
      </c>
      <c r="BD118" s="7" t="s">
        <v>109</v>
      </c>
      <c r="BE118" t="s">
        <v>125</v>
      </c>
      <c r="BF118" s="1" t="s">
        <v>29</v>
      </c>
      <c r="BG118" s="1">
        <v>11</v>
      </c>
      <c r="BH118">
        <v>1</v>
      </c>
      <c r="BK118" s="1">
        <v>1</v>
      </c>
      <c r="BQ118">
        <v>1</v>
      </c>
      <c r="CG118">
        <v>1</v>
      </c>
      <c r="CS118" s="7" t="s">
        <v>354</v>
      </c>
    </row>
    <row r="119" spans="1:97">
      <c r="B119" t="s">
        <v>2181</v>
      </c>
      <c r="C119" s="13" t="s">
        <v>2182</v>
      </c>
      <c r="D119" s="13" t="s">
        <v>2182</v>
      </c>
      <c r="E119" s="8" t="s">
        <v>837</v>
      </c>
      <c r="F119" s="8" t="s">
        <v>115</v>
      </c>
      <c r="G119" s="1">
        <v>1</v>
      </c>
      <c r="I119" s="1">
        <f>1804-31</f>
        <v>1773</v>
      </c>
      <c r="J119" t="s">
        <v>10</v>
      </c>
      <c r="K119" t="s">
        <v>12</v>
      </c>
      <c r="Q119">
        <v>5</v>
      </c>
      <c r="R119">
        <v>4</v>
      </c>
      <c r="T119" s="5">
        <f>((Q119*316)+(R119*26.3)+(S119*2.2))/10</f>
        <v>168.52</v>
      </c>
      <c r="U119" t="s">
        <v>2183</v>
      </c>
      <c r="AE119" s="6">
        <v>1</v>
      </c>
      <c r="AF119" s="6">
        <v>1</v>
      </c>
      <c r="AG119" s="6">
        <v>1</v>
      </c>
      <c r="AH119" s="6">
        <v>1</v>
      </c>
      <c r="AI119" s="6">
        <v>1</v>
      </c>
      <c r="AJ119" s="6">
        <v>1</v>
      </c>
      <c r="AK119" s="6">
        <v>1</v>
      </c>
      <c r="AL119" s="6">
        <v>1</v>
      </c>
      <c r="AM119" s="7">
        <v>1</v>
      </c>
      <c r="BC119" t="s">
        <v>1348</v>
      </c>
      <c r="BD119" s="7" t="s">
        <v>103</v>
      </c>
      <c r="BE119" t="s">
        <v>1502</v>
      </c>
      <c r="BF119" s="1" t="s">
        <v>29</v>
      </c>
      <c r="BG119" s="1">
        <v>3</v>
      </c>
      <c r="BH119">
        <v>1</v>
      </c>
      <c r="BK119" s="1">
        <v>1</v>
      </c>
      <c r="BQ119">
        <v>1</v>
      </c>
      <c r="CM119">
        <v>1</v>
      </c>
      <c r="CS119" s="7" t="s">
        <v>986</v>
      </c>
    </row>
    <row r="120" spans="1:97">
      <c r="B120" t="s">
        <v>2451</v>
      </c>
      <c r="C120" s="2" t="s">
        <v>1925</v>
      </c>
      <c r="D120" s="2" t="s">
        <v>1925</v>
      </c>
      <c r="E120" s="8" t="s">
        <v>1381</v>
      </c>
      <c r="F120" s="8" t="s">
        <v>115</v>
      </c>
      <c r="G120" s="1">
        <v>1</v>
      </c>
      <c r="I120" s="1">
        <f>1804-32</f>
        <v>1772</v>
      </c>
      <c r="J120" t="s">
        <v>69</v>
      </c>
      <c r="K120" t="s">
        <v>197</v>
      </c>
      <c r="Q120">
        <v>5</v>
      </c>
      <c r="R120">
        <v>5</v>
      </c>
      <c r="S120">
        <v>2</v>
      </c>
      <c r="T120" s="5">
        <f>((Q120*316)+(R120*26.3)+(S120*2.2))/10</f>
        <v>171.59</v>
      </c>
      <c r="U120" t="s">
        <v>2183</v>
      </c>
      <c r="AE120" s="6">
        <v>1</v>
      </c>
      <c r="AF120" s="6">
        <v>1</v>
      </c>
      <c r="AG120" s="6">
        <v>1</v>
      </c>
      <c r="AH120" s="6">
        <v>1</v>
      </c>
      <c r="AI120" s="6">
        <v>1</v>
      </c>
      <c r="AJ120" s="6">
        <v>1</v>
      </c>
      <c r="AK120" s="6">
        <v>1</v>
      </c>
      <c r="AL120" s="6">
        <v>1</v>
      </c>
      <c r="AM120" s="6">
        <v>1</v>
      </c>
      <c r="AN120" s="6">
        <v>1</v>
      </c>
      <c r="AO120" s="6">
        <v>1</v>
      </c>
      <c r="AP120" s="6">
        <v>1</v>
      </c>
      <c r="AQ120" s="6">
        <v>1</v>
      </c>
      <c r="AR120" s="6">
        <v>1</v>
      </c>
      <c r="AS120" s="6">
        <v>1</v>
      </c>
      <c r="AT120" s="6">
        <v>1</v>
      </c>
      <c r="AU120" s="6">
        <v>1</v>
      </c>
      <c r="AV120" s="6">
        <v>1</v>
      </c>
      <c r="AW120" s="6">
        <v>1</v>
      </c>
      <c r="AX120" s="6">
        <v>1</v>
      </c>
      <c r="AY120" s="7">
        <v>1</v>
      </c>
      <c r="BC120" t="s">
        <v>2452</v>
      </c>
      <c r="BD120" s="7" t="s">
        <v>103</v>
      </c>
      <c r="BE120" t="s">
        <v>118</v>
      </c>
      <c r="BF120" s="1" t="s">
        <v>29</v>
      </c>
      <c r="BG120" s="1">
        <v>3</v>
      </c>
      <c r="BH120">
        <v>2</v>
      </c>
      <c r="BK120" s="1">
        <v>1</v>
      </c>
      <c r="BQ120">
        <v>1</v>
      </c>
      <c r="CL120">
        <v>1</v>
      </c>
      <c r="CS120" s="7" t="s">
        <v>1518</v>
      </c>
    </row>
    <row r="121" spans="1:97">
      <c r="B121" t="s">
        <v>2194</v>
      </c>
      <c r="C121" s="2" t="s">
        <v>1911</v>
      </c>
      <c r="D121" s="2" t="s">
        <v>1911</v>
      </c>
      <c r="E121" s="8" t="s">
        <v>1912</v>
      </c>
      <c r="F121" s="8" t="s">
        <v>65</v>
      </c>
      <c r="G121" s="1">
        <v>1</v>
      </c>
      <c r="I121" s="1">
        <f>1803-26</f>
        <v>1777</v>
      </c>
      <c r="J121" t="s">
        <v>10</v>
      </c>
      <c r="K121" t="s">
        <v>12</v>
      </c>
      <c r="Q121">
        <v>5</v>
      </c>
      <c r="R121">
        <v>1</v>
      </c>
      <c r="T121" s="5">
        <f>((Q121*316)+(R121*26.3)+(S121*2.2))/10</f>
        <v>160.63</v>
      </c>
      <c r="U121" t="s">
        <v>2183</v>
      </c>
      <c r="AE121" s="6">
        <v>1</v>
      </c>
      <c r="AF121" s="6">
        <v>1</v>
      </c>
      <c r="AG121" s="6">
        <v>1</v>
      </c>
      <c r="AH121" s="6">
        <v>1</v>
      </c>
      <c r="AI121" s="6">
        <v>1</v>
      </c>
      <c r="AJ121" s="6">
        <v>1</v>
      </c>
      <c r="AK121" s="6">
        <v>1</v>
      </c>
      <c r="AL121" s="6">
        <v>1</v>
      </c>
      <c r="AM121" s="6">
        <v>1</v>
      </c>
      <c r="AN121" s="7">
        <v>1</v>
      </c>
      <c r="BC121" t="s">
        <v>1501</v>
      </c>
      <c r="BD121" s="7" t="s">
        <v>109</v>
      </c>
      <c r="BE121" t="s">
        <v>1502</v>
      </c>
      <c r="BF121" s="1" t="s">
        <v>29</v>
      </c>
      <c r="BG121" s="1">
        <v>3</v>
      </c>
      <c r="BH121">
        <v>1</v>
      </c>
      <c r="BK121" s="1">
        <v>1</v>
      </c>
      <c r="BQ121">
        <v>1</v>
      </c>
      <c r="CS121" s="7" t="s">
        <v>354</v>
      </c>
    </row>
    <row r="122" spans="1:97">
      <c r="B122" t="s">
        <v>2777</v>
      </c>
      <c r="C122" s="2" t="s">
        <v>1925</v>
      </c>
      <c r="D122" s="2" t="s">
        <v>1925</v>
      </c>
      <c r="E122" s="8" t="s">
        <v>1381</v>
      </c>
      <c r="F122" s="8" t="s">
        <v>115</v>
      </c>
      <c r="G122" s="1">
        <v>1</v>
      </c>
      <c r="I122" s="1">
        <f>1797-34</f>
        <v>1763</v>
      </c>
      <c r="J122" t="s">
        <v>69</v>
      </c>
      <c r="K122" t="s">
        <v>12</v>
      </c>
      <c r="Q122">
        <v>5</v>
      </c>
      <c r="R122">
        <v>1</v>
      </c>
      <c r="T122" s="5">
        <f>((Q122*316)+(R122*26.3)+(S122*2.2))/10</f>
        <v>160.63</v>
      </c>
      <c r="U122" t="s">
        <v>2179</v>
      </c>
      <c r="AE122" s="6">
        <v>1</v>
      </c>
      <c r="BC122">
        <v>1797</v>
      </c>
      <c r="BD122" t="s">
        <v>81</v>
      </c>
      <c r="BE122" s="10" t="s">
        <v>2407</v>
      </c>
      <c r="BF122" s="1" t="s">
        <v>73</v>
      </c>
      <c r="BG122" s="1">
        <v>1</v>
      </c>
      <c r="BH122">
        <v>1</v>
      </c>
      <c r="BK122" s="1">
        <v>1</v>
      </c>
      <c r="BQ122">
        <v>1</v>
      </c>
      <c r="CL122" s="10">
        <v>1</v>
      </c>
      <c r="CS122" s="10" t="s">
        <v>2778</v>
      </c>
    </row>
    <row r="123" spans="1:97">
      <c r="B123" t="s">
        <v>2779</v>
      </c>
      <c r="C123" s="2" t="s">
        <v>1925</v>
      </c>
      <c r="D123" s="2" t="s">
        <v>1925</v>
      </c>
      <c r="E123" s="8" t="s">
        <v>1381</v>
      </c>
      <c r="F123" s="8" t="s">
        <v>115</v>
      </c>
      <c r="G123" s="1">
        <v>1</v>
      </c>
      <c r="I123" s="1">
        <f>1797-38</f>
        <v>1759</v>
      </c>
      <c r="J123" t="s">
        <v>69</v>
      </c>
      <c r="K123" t="s">
        <v>12</v>
      </c>
      <c r="Q123">
        <v>5</v>
      </c>
      <c r="R123">
        <v>2</v>
      </c>
      <c r="T123" s="5">
        <f>((Q123*316)+(R123*26.3)+(S123*2.2))/10</f>
        <v>163.26</v>
      </c>
      <c r="U123" t="s">
        <v>2179</v>
      </c>
      <c r="AE123" s="6">
        <v>1</v>
      </c>
      <c r="BC123">
        <v>1797</v>
      </c>
      <c r="BD123" t="s">
        <v>81</v>
      </c>
      <c r="BE123" s="10" t="s">
        <v>2407</v>
      </c>
      <c r="BF123" s="1" t="s">
        <v>73</v>
      </c>
      <c r="BG123" s="1">
        <v>1</v>
      </c>
      <c r="BH123">
        <v>1</v>
      </c>
      <c r="BK123" s="1">
        <v>1</v>
      </c>
      <c r="BQ123">
        <v>1</v>
      </c>
      <c r="CL123" s="10">
        <v>1</v>
      </c>
      <c r="CS123" s="10" t="s">
        <v>2778</v>
      </c>
    </row>
    <row r="124" spans="1:97">
      <c r="B124" t="s">
        <v>2177</v>
      </c>
      <c r="C124" s="15" t="s">
        <v>2178</v>
      </c>
      <c r="D124" s="2" t="s">
        <v>2178</v>
      </c>
      <c r="E124" s="8" t="s">
        <v>696</v>
      </c>
      <c r="F124" s="8" t="s">
        <v>115</v>
      </c>
      <c r="G124" s="1">
        <v>1</v>
      </c>
      <c r="I124" s="1">
        <f>1803-38</f>
        <v>1765</v>
      </c>
      <c r="J124" t="s">
        <v>69</v>
      </c>
      <c r="K124" t="s">
        <v>12</v>
      </c>
      <c r="N124">
        <v>1</v>
      </c>
      <c r="Q124">
        <v>5</v>
      </c>
      <c r="R124">
        <v>1</v>
      </c>
      <c r="S124">
        <v>2</v>
      </c>
      <c r="T124" s="5">
        <f t="shared" si="4"/>
        <v>161.07</v>
      </c>
      <c r="U124" t="s">
        <v>2179</v>
      </c>
      <c r="AE124" s="6">
        <v>1</v>
      </c>
      <c r="AF124" s="6">
        <v>1</v>
      </c>
      <c r="AG124" s="6">
        <v>1</v>
      </c>
      <c r="AH124" s="6">
        <v>1</v>
      </c>
      <c r="AI124" s="6">
        <v>1</v>
      </c>
      <c r="AJ124" s="6">
        <v>1</v>
      </c>
      <c r="AK124" s="6">
        <v>1</v>
      </c>
      <c r="AL124" s="6">
        <v>1</v>
      </c>
      <c r="AM124" s="7">
        <v>1</v>
      </c>
      <c r="BC124" t="s">
        <v>1889</v>
      </c>
      <c r="BD124" s="7" t="s">
        <v>103</v>
      </c>
      <c r="BE124" t="s">
        <v>1502</v>
      </c>
      <c r="BF124" s="1" t="s">
        <v>29</v>
      </c>
      <c r="BG124" s="1">
        <v>4</v>
      </c>
      <c r="BH124">
        <v>1</v>
      </c>
      <c r="BI124">
        <v>1</v>
      </c>
      <c r="BJ124">
        <v>1</v>
      </c>
      <c r="BK124" s="1">
        <v>1</v>
      </c>
      <c r="BQ124">
        <v>1</v>
      </c>
      <c r="CS124" s="7" t="s">
        <v>2172</v>
      </c>
    </row>
    <row r="125" spans="1:97">
      <c r="B125" t="s">
        <v>2780</v>
      </c>
      <c r="C125" s="2" t="s">
        <v>2781</v>
      </c>
      <c r="D125" s="2" t="s">
        <v>2781</v>
      </c>
      <c r="E125" s="8" t="s">
        <v>1381</v>
      </c>
      <c r="F125" s="8" t="s">
        <v>115</v>
      </c>
      <c r="G125" s="1">
        <v>1</v>
      </c>
      <c r="I125" s="1">
        <f>1797-20</f>
        <v>1777</v>
      </c>
      <c r="J125" t="s">
        <v>10</v>
      </c>
      <c r="K125" t="s">
        <v>197</v>
      </c>
      <c r="Q125">
        <v>5</v>
      </c>
      <c r="R125">
        <v>2</v>
      </c>
      <c r="T125" s="5">
        <f t="shared" si="4"/>
        <v>163.26</v>
      </c>
      <c r="U125" t="s">
        <v>2179</v>
      </c>
      <c r="AE125" s="6">
        <v>1</v>
      </c>
      <c r="BC125">
        <v>1797</v>
      </c>
      <c r="BD125" t="s">
        <v>81</v>
      </c>
      <c r="BE125" s="10" t="s">
        <v>2407</v>
      </c>
      <c r="BF125" s="1" t="s">
        <v>73</v>
      </c>
      <c r="BG125" s="1">
        <v>1</v>
      </c>
      <c r="BH125">
        <v>1</v>
      </c>
      <c r="BK125" s="1">
        <v>1</v>
      </c>
      <c r="BQ125">
        <v>1</v>
      </c>
      <c r="CL125" s="10">
        <v>1</v>
      </c>
      <c r="CS125" s="10" t="s">
        <v>2782</v>
      </c>
    </row>
    <row r="126" spans="1:97">
      <c r="B126" t="s">
        <v>2783</v>
      </c>
      <c r="C126" s="2" t="s">
        <v>2784</v>
      </c>
      <c r="D126" s="2" t="s">
        <v>2784</v>
      </c>
      <c r="E126" s="8" t="s">
        <v>1381</v>
      </c>
      <c r="F126" s="8" t="s">
        <v>115</v>
      </c>
      <c r="G126" s="1">
        <v>1</v>
      </c>
      <c r="I126" s="1">
        <f>1797-18</f>
        <v>1779</v>
      </c>
      <c r="J126" t="s">
        <v>10</v>
      </c>
      <c r="K126" t="s">
        <v>12</v>
      </c>
      <c r="Q126">
        <v>5</v>
      </c>
      <c r="R126">
        <v>1</v>
      </c>
      <c r="T126" s="5">
        <f t="shared" si="4"/>
        <v>160.63</v>
      </c>
      <c r="U126" t="s">
        <v>2179</v>
      </c>
      <c r="AE126" s="6">
        <v>1</v>
      </c>
      <c r="BC126">
        <v>1797</v>
      </c>
      <c r="BD126" t="s">
        <v>81</v>
      </c>
      <c r="BE126" s="10" t="s">
        <v>2407</v>
      </c>
      <c r="BF126" s="1" t="s">
        <v>73</v>
      </c>
      <c r="BG126" s="1">
        <v>1</v>
      </c>
      <c r="BH126">
        <v>1</v>
      </c>
      <c r="BK126" s="1">
        <v>1</v>
      </c>
      <c r="BQ126">
        <v>1</v>
      </c>
      <c r="CL126" s="10">
        <v>1</v>
      </c>
      <c r="CS126" s="10" t="s">
        <v>2778</v>
      </c>
    </row>
    <row r="127" spans="1:97">
      <c r="B127" t="s">
        <v>2180</v>
      </c>
      <c r="C127" s="15" t="s">
        <v>2178</v>
      </c>
      <c r="D127" s="2" t="s">
        <v>2178</v>
      </c>
      <c r="E127" s="8" t="s">
        <v>696</v>
      </c>
      <c r="F127" s="8" t="s">
        <v>115</v>
      </c>
      <c r="G127" s="1">
        <v>1</v>
      </c>
      <c r="I127" s="1">
        <f>1803-31</f>
        <v>1772</v>
      </c>
      <c r="J127" t="s">
        <v>69</v>
      </c>
      <c r="K127" t="s">
        <v>12</v>
      </c>
      <c r="Q127">
        <v>5</v>
      </c>
      <c r="R127">
        <v>1</v>
      </c>
      <c r="S127">
        <v>2</v>
      </c>
      <c r="T127" s="5">
        <f t="shared" si="4"/>
        <v>161.07</v>
      </c>
      <c r="U127" t="s">
        <v>2179</v>
      </c>
      <c r="AE127" s="6">
        <v>1</v>
      </c>
      <c r="AF127" s="6">
        <v>1</v>
      </c>
      <c r="AG127" s="6">
        <v>1</v>
      </c>
      <c r="AH127" s="6">
        <v>1</v>
      </c>
      <c r="AI127" s="6">
        <v>1</v>
      </c>
      <c r="AJ127" s="6">
        <v>1</v>
      </c>
      <c r="AK127" s="6">
        <v>1</v>
      </c>
      <c r="AL127" s="6">
        <v>1</v>
      </c>
      <c r="AM127" s="7">
        <v>1</v>
      </c>
      <c r="BC127" t="s">
        <v>1889</v>
      </c>
      <c r="BD127" s="7" t="s">
        <v>103</v>
      </c>
      <c r="BE127" t="s">
        <v>1502</v>
      </c>
      <c r="BF127" s="1" t="s">
        <v>29</v>
      </c>
      <c r="BG127" s="1">
        <v>4</v>
      </c>
      <c r="BH127">
        <v>1</v>
      </c>
      <c r="BI127">
        <v>1</v>
      </c>
      <c r="BJ127">
        <v>1</v>
      </c>
      <c r="BK127" s="1">
        <v>1</v>
      </c>
      <c r="BQ127">
        <v>1</v>
      </c>
      <c r="CS127" s="7" t="s">
        <v>2172</v>
      </c>
    </row>
    <row r="128" spans="1:97">
      <c r="B128" t="s">
        <v>2785</v>
      </c>
      <c r="C128" s="2" t="s">
        <v>1925</v>
      </c>
      <c r="D128" s="2" t="s">
        <v>1925</v>
      </c>
      <c r="E128" s="8" t="s">
        <v>1381</v>
      </c>
      <c r="F128" s="8" t="s">
        <v>115</v>
      </c>
      <c r="G128" s="1">
        <v>1</v>
      </c>
      <c r="I128" s="1">
        <f>1797-36</f>
        <v>1761</v>
      </c>
      <c r="J128" t="s">
        <v>69</v>
      </c>
      <c r="K128" t="s">
        <v>12</v>
      </c>
      <c r="Q128">
        <v>5</v>
      </c>
      <c r="R128">
        <v>0</v>
      </c>
      <c r="S128">
        <v>2</v>
      </c>
      <c r="T128" s="5">
        <f t="shared" si="4"/>
        <v>158.44</v>
      </c>
      <c r="U128" t="s">
        <v>2179</v>
      </c>
      <c r="AE128" s="6">
        <v>1</v>
      </c>
      <c r="BC128">
        <v>1797</v>
      </c>
      <c r="BD128" t="s">
        <v>81</v>
      </c>
      <c r="BE128" s="10" t="s">
        <v>2407</v>
      </c>
      <c r="BF128" s="1" t="s">
        <v>73</v>
      </c>
      <c r="BG128" s="1">
        <v>1</v>
      </c>
      <c r="BH128">
        <v>1</v>
      </c>
      <c r="BK128" s="1">
        <v>1</v>
      </c>
      <c r="BQ128">
        <v>1</v>
      </c>
      <c r="CL128" s="10">
        <v>1</v>
      </c>
      <c r="CS128" s="10" t="s">
        <v>2778</v>
      </c>
    </row>
    <row r="129" spans="1:98">
      <c r="B129" t="s">
        <v>2786</v>
      </c>
      <c r="C129" s="2" t="s">
        <v>2787</v>
      </c>
      <c r="D129" s="2" t="s">
        <v>2787</v>
      </c>
      <c r="E129" s="8" t="s">
        <v>1381</v>
      </c>
      <c r="F129" s="8" t="s">
        <v>115</v>
      </c>
      <c r="G129" s="1">
        <v>1</v>
      </c>
      <c r="I129" s="1">
        <f>1797-20</f>
        <v>1777</v>
      </c>
      <c r="J129" t="s">
        <v>10</v>
      </c>
      <c r="K129" t="s">
        <v>197</v>
      </c>
      <c r="Q129">
        <v>5</v>
      </c>
      <c r="R129">
        <v>1</v>
      </c>
      <c r="S129">
        <v>1</v>
      </c>
      <c r="T129" s="5">
        <f t="shared" si="4"/>
        <v>160.85</v>
      </c>
      <c r="U129" t="s">
        <v>2788</v>
      </c>
      <c r="AE129" s="6">
        <v>1</v>
      </c>
      <c r="BC129">
        <v>1797</v>
      </c>
      <c r="BD129" t="s">
        <v>81</v>
      </c>
      <c r="BE129" s="10" t="s">
        <v>2407</v>
      </c>
      <c r="BF129" s="1" t="s">
        <v>73</v>
      </c>
      <c r="BG129" s="1">
        <v>1</v>
      </c>
      <c r="BH129">
        <v>1</v>
      </c>
      <c r="BK129" s="1">
        <v>1</v>
      </c>
      <c r="BQ129">
        <v>1</v>
      </c>
      <c r="CL129" s="10">
        <v>1</v>
      </c>
      <c r="CS129" s="10" t="s">
        <v>2778</v>
      </c>
    </row>
    <row r="130" spans="1:98">
      <c r="B130" t="s">
        <v>2789</v>
      </c>
      <c r="C130" s="13" t="s">
        <v>2790</v>
      </c>
      <c r="D130" s="13" t="s">
        <v>2790</v>
      </c>
      <c r="E130" s="8" t="s">
        <v>1381</v>
      </c>
      <c r="F130" s="8" t="s">
        <v>115</v>
      </c>
      <c r="G130" s="1">
        <v>1</v>
      </c>
      <c r="I130" s="1">
        <f>1797-24</f>
        <v>1773</v>
      </c>
      <c r="J130" t="s">
        <v>10</v>
      </c>
      <c r="K130" t="s">
        <v>12</v>
      </c>
      <c r="Q130">
        <v>5</v>
      </c>
      <c r="R130">
        <v>1</v>
      </c>
      <c r="T130" s="5">
        <f t="shared" si="4"/>
        <v>160.63</v>
      </c>
      <c r="U130" t="s">
        <v>2788</v>
      </c>
      <c r="AE130" s="6">
        <v>1</v>
      </c>
      <c r="BC130">
        <v>1797</v>
      </c>
      <c r="BD130" t="s">
        <v>81</v>
      </c>
      <c r="BE130" s="10" t="s">
        <v>2407</v>
      </c>
      <c r="BF130" s="1" t="s">
        <v>73</v>
      </c>
      <c r="BG130" s="1">
        <v>1</v>
      </c>
      <c r="BH130">
        <v>1</v>
      </c>
      <c r="BK130" s="1">
        <v>1</v>
      </c>
      <c r="BQ130">
        <v>1</v>
      </c>
      <c r="CL130" s="10">
        <v>1</v>
      </c>
      <c r="CS130" s="10" t="s">
        <v>2778</v>
      </c>
    </row>
    <row r="131" spans="1:98">
      <c r="B131" t="s">
        <v>979</v>
      </c>
      <c r="C131" s="2" t="s">
        <v>976</v>
      </c>
      <c r="E131" s="8"/>
      <c r="F131" s="8" t="s">
        <v>65</v>
      </c>
      <c r="G131" s="1">
        <v>1</v>
      </c>
      <c r="I131" s="1">
        <f>1802-41</f>
        <v>1761</v>
      </c>
      <c r="J131" t="s">
        <v>69</v>
      </c>
      <c r="K131" t="s">
        <v>140</v>
      </c>
      <c r="M131">
        <v>1</v>
      </c>
      <c r="O131">
        <v>1</v>
      </c>
      <c r="P131">
        <v>1</v>
      </c>
      <c r="Q131">
        <v>5</v>
      </c>
      <c r="T131" s="5">
        <f t="shared" si="4"/>
        <v>158</v>
      </c>
      <c r="U131" t="s">
        <v>977</v>
      </c>
      <c r="AE131" s="6">
        <v>1</v>
      </c>
      <c r="AF131" s="6">
        <v>1</v>
      </c>
      <c r="AG131" s="6">
        <v>1</v>
      </c>
      <c r="AH131" s="6">
        <v>1</v>
      </c>
      <c r="AI131" s="6">
        <v>1</v>
      </c>
      <c r="AJ131" s="7">
        <v>1</v>
      </c>
      <c r="BC131" t="s">
        <v>978</v>
      </c>
      <c r="BD131" s="7" t="s">
        <v>26</v>
      </c>
      <c r="BE131" t="s">
        <v>975</v>
      </c>
      <c r="BF131" s="1" t="s">
        <v>29</v>
      </c>
      <c r="BG131" s="1">
        <v>6</v>
      </c>
      <c r="BH131">
        <v>3</v>
      </c>
      <c r="BI131">
        <v>1</v>
      </c>
      <c r="BO131">
        <v>1</v>
      </c>
      <c r="BQ131">
        <v>1</v>
      </c>
      <c r="BR131">
        <v>1</v>
      </c>
      <c r="BS131">
        <v>1</v>
      </c>
      <c r="CL131">
        <v>1</v>
      </c>
      <c r="CS131" s="7" t="s">
        <v>980</v>
      </c>
    </row>
    <row r="132" spans="1:98">
      <c r="B132" t="s">
        <v>2195</v>
      </c>
      <c r="C132" s="2" t="s">
        <v>2196</v>
      </c>
      <c r="D132" s="26" t="s">
        <v>2197</v>
      </c>
      <c r="E132" s="8" t="s">
        <v>696</v>
      </c>
      <c r="F132" s="8" t="s">
        <v>115</v>
      </c>
      <c r="G132" s="1">
        <v>1</v>
      </c>
      <c r="I132" s="1">
        <f>1803-32</f>
        <v>1771</v>
      </c>
      <c r="J132" t="s">
        <v>69</v>
      </c>
      <c r="K132" t="s">
        <v>12</v>
      </c>
      <c r="N132">
        <v>1</v>
      </c>
      <c r="Q132">
        <v>5</v>
      </c>
      <c r="R132">
        <v>2</v>
      </c>
      <c r="S132">
        <v>3</v>
      </c>
      <c r="T132" s="5">
        <f t="shared" si="4"/>
        <v>163.92</v>
      </c>
      <c r="U132" t="s">
        <v>1898</v>
      </c>
      <c r="AE132" s="6">
        <v>1</v>
      </c>
      <c r="AF132" s="6">
        <v>1</v>
      </c>
      <c r="AG132" s="6">
        <v>1</v>
      </c>
      <c r="AH132" s="6">
        <v>1</v>
      </c>
      <c r="AI132" s="6">
        <v>1</v>
      </c>
      <c r="AJ132" s="6">
        <v>1</v>
      </c>
      <c r="AK132" s="6">
        <v>1</v>
      </c>
      <c r="AL132" s="6">
        <v>1</v>
      </c>
      <c r="AM132" s="7">
        <v>1</v>
      </c>
      <c r="BC132" t="s">
        <v>2198</v>
      </c>
      <c r="BD132" s="7" t="s">
        <v>26</v>
      </c>
      <c r="BE132" t="s">
        <v>1502</v>
      </c>
      <c r="BF132" s="1" t="s">
        <v>29</v>
      </c>
      <c r="BG132" s="1">
        <v>3</v>
      </c>
      <c r="BH132">
        <v>1</v>
      </c>
      <c r="BK132" s="1" t="s">
        <v>72</v>
      </c>
      <c r="BQ132">
        <v>1</v>
      </c>
      <c r="CS132" s="7" t="s">
        <v>2199</v>
      </c>
    </row>
    <row r="133" spans="1:98">
      <c r="B133" t="s">
        <v>1895</v>
      </c>
      <c r="C133" s="2" t="s">
        <v>1896</v>
      </c>
      <c r="E133" s="8" t="s">
        <v>696</v>
      </c>
      <c r="F133" s="8" t="s">
        <v>115</v>
      </c>
      <c r="G133" s="1">
        <v>1</v>
      </c>
      <c r="I133" s="1">
        <f>1803-26</f>
        <v>1777</v>
      </c>
      <c r="J133" t="s">
        <v>10</v>
      </c>
      <c r="K133" t="s">
        <v>1897</v>
      </c>
      <c r="Q133">
        <v>5</v>
      </c>
      <c r="R133">
        <v>8</v>
      </c>
      <c r="S133">
        <v>1</v>
      </c>
      <c r="T133" s="5">
        <f t="shared" si="4"/>
        <v>179.26000000000002</v>
      </c>
      <c r="U133" t="s">
        <v>1898</v>
      </c>
      <c r="AE133" s="6">
        <v>1</v>
      </c>
      <c r="AF133" s="6">
        <v>1</v>
      </c>
      <c r="AG133" s="6">
        <v>1</v>
      </c>
      <c r="AH133" s="6">
        <v>1</v>
      </c>
      <c r="AI133" s="6">
        <v>1</v>
      </c>
      <c r="AJ133" s="6">
        <v>1</v>
      </c>
      <c r="AK133" s="6">
        <v>1</v>
      </c>
      <c r="AL133" s="6">
        <v>1</v>
      </c>
      <c r="AM133" s="6">
        <v>1</v>
      </c>
      <c r="AN133" s="7">
        <v>1</v>
      </c>
      <c r="BC133" t="s">
        <v>1899</v>
      </c>
      <c r="BD133" s="7" t="s">
        <v>280</v>
      </c>
      <c r="BE133" t="s">
        <v>1502</v>
      </c>
      <c r="BF133" s="1" t="s">
        <v>29</v>
      </c>
      <c r="BG133" s="1">
        <v>3</v>
      </c>
      <c r="BH133">
        <v>1</v>
      </c>
      <c r="BK133" s="1">
        <v>1</v>
      </c>
      <c r="BQ133">
        <v>1</v>
      </c>
      <c r="CG133">
        <v>1</v>
      </c>
      <c r="CN133">
        <v>1</v>
      </c>
      <c r="CS133" s="7" t="s">
        <v>351</v>
      </c>
    </row>
    <row r="134" spans="1:98">
      <c r="B134" t="s">
        <v>1362</v>
      </c>
      <c r="C134" s="15" t="s">
        <v>349</v>
      </c>
      <c r="E134" s="8"/>
      <c r="F134" s="8" t="s">
        <v>65</v>
      </c>
      <c r="G134" s="1">
        <v>1</v>
      </c>
      <c r="I134" s="1">
        <f>1802-25</f>
        <v>1777</v>
      </c>
      <c r="J134" t="s">
        <v>69</v>
      </c>
      <c r="K134" t="s">
        <v>197</v>
      </c>
      <c r="N134">
        <v>1</v>
      </c>
      <c r="Q134">
        <v>5</v>
      </c>
      <c r="R134">
        <v>7</v>
      </c>
      <c r="S134">
        <v>3</v>
      </c>
      <c r="T134" s="5">
        <f t="shared" si="4"/>
        <v>177.07</v>
      </c>
      <c r="U134" t="s">
        <v>1363</v>
      </c>
      <c r="AE134" s="6">
        <v>1</v>
      </c>
      <c r="AF134" s="6">
        <v>1</v>
      </c>
      <c r="AG134" s="6">
        <v>1</v>
      </c>
      <c r="AH134" s="6">
        <v>1</v>
      </c>
      <c r="AI134" s="6">
        <v>1</v>
      </c>
      <c r="AJ134" s="6">
        <v>1</v>
      </c>
      <c r="AK134" s="6">
        <v>1</v>
      </c>
      <c r="AL134" s="7">
        <v>1</v>
      </c>
      <c r="BC134" t="s">
        <v>1361</v>
      </c>
      <c r="BD134" s="7" t="s">
        <v>103</v>
      </c>
      <c r="BE134" t="s">
        <v>125</v>
      </c>
      <c r="BF134" s="1" t="s">
        <v>29</v>
      </c>
      <c r="BG134" s="1">
        <v>11</v>
      </c>
      <c r="BH134">
        <v>1</v>
      </c>
      <c r="BK134" s="1">
        <v>1</v>
      </c>
      <c r="BQ134">
        <v>1</v>
      </c>
      <c r="CG134">
        <v>1</v>
      </c>
      <c r="CS134" s="7" t="s">
        <v>1398</v>
      </c>
    </row>
    <row r="135" spans="1:98">
      <c r="B135" t="s">
        <v>2791</v>
      </c>
      <c r="C135" s="2" t="s">
        <v>208</v>
      </c>
      <c r="D135" s="2" t="s">
        <v>208</v>
      </c>
      <c r="E135" s="8" t="s">
        <v>832</v>
      </c>
      <c r="F135" s="8" t="s">
        <v>65</v>
      </c>
      <c r="G135" s="1">
        <v>1</v>
      </c>
      <c r="I135" s="1">
        <f>1797-40</f>
        <v>1757</v>
      </c>
      <c r="J135" t="s">
        <v>10</v>
      </c>
      <c r="K135" t="s">
        <v>12</v>
      </c>
      <c r="Q135">
        <v>5</v>
      </c>
      <c r="R135">
        <v>3</v>
      </c>
      <c r="T135" s="5">
        <f t="shared" si="4"/>
        <v>165.89000000000001</v>
      </c>
      <c r="U135" t="s">
        <v>2792</v>
      </c>
      <c r="AE135" s="6">
        <v>1</v>
      </c>
      <c r="BC135">
        <v>1797</v>
      </c>
      <c r="BD135" t="s">
        <v>81</v>
      </c>
      <c r="BE135" s="10" t="s">
        <v>2407</v>
      </c>
      <c r="BF135" s="1" t="s">
        <v>73</v>
      </c>
      <c r="BG135" s="1">
        <v>1</v>
      </c>
      <c r="BH135">
        <v>1</v>
      </c>
      <c r="BK135" s="1">
        <v>1</v>
      </c>
      <c r="BQ135">
        <v>1</v>
      </c>
      <c r="CL135" s="10">
        <v>1</v>
      </c>
      <c r="CS135" s="10" t="s">
        <v>2778</v>
      </c>
    </row>
    <row r="136" spans="1:98">
      <c r="A136" t="s">
        <v>7</v>
      </c>
      <c r="B136" t="s">
        <v>325</v>
      </c>
      <c r="C136" s="15"/>
      <c r="E136" s="8"/>
      <c r="F136" t="s">
        <v>7</v>
      </c>
      <c r="T136" s="5"/>
      <c r="U136" t="s">
        <v>323</v>
      </c>
      <c r="AE136" s="6">
        <v>1</v>
      </c>
      <c r="AF136" s="6">
        <v>1</v>
      </c>
      <c r="AG136" s="6">
        <v>1</v>
      </c>
      <c r="AH136" s="6">
        <v>1</v>
      </c>
      <c r="AI136" s="7">
        <v>1</v>
      </c>
      <c r="BC136" t="s">
        <v>324</v>
      </c>
      <c r="BD136" s="7" t="s">
        <v>109</v>
      </c>
      <c r="BE136" t="s">
        <v>125</v>
      </c>
      <c r="BF136" s="1" t="s">
        <v>29</v>
      </c>
      <c r="BG136" s="1">
        <v>4</v>
      </c>
      <c r="BH136">
        <v>1</v>
      </c>
      <c r="BK136" s="1">
        <v>1</v>
      </c>
      <c r="BQ136">
        <v>1</v>
      </c>
      <c r="CS136" s="7" t="s">
        <v>1763</v>
      </c>
    </row>
    <row r="137" spans="1:98">
      <c r="B137" t="s">
        <v>2846</v>
      </c>
      <c r="C137" s="2" t="s">
        <v>976</v>
      </c>
      <c r="D137" s="2" t="s">
        <v>976</v>
      </c>
      <c r="E137" s="8" t="s">
        <v>832</v>
      </c>
      <c r="F137" s="8" t="s">
        <v>65</v>
      </c>
      <c r="G137" s="1">
        <v>1</v>
      </c>
      <c r="I137" s="1">
        <f>1804-32</f>
        <v>1772</v>
      </c>
      <c r="J137" t="s">
        <v>10</v>
      </c>
      <c r="K137" t="s">
        <v>12</v>
      </c>
      <c r="Q137">
        <v>5</v>
      </c>
      <c r="T137" s="5">
        <f>((Q137*316)+(R137*26.3)+(S137*2.2))/10</f>
        <v>158</v>
      </c>
      <c r="U137" t="s">
        <v>323</v>
      </c>
      <c r="AE137" s="6">
        <v>1</v>
      </c>
      <c r="AF137" s="6">
        <v>1</v>
      </c>
      <c r="AG137" s="6">
        <v>1</v>
      </c>
      <c r="AH137" s="6">
        <v>1</v>
      </c>
      <c r="AI137" s="6">
        <v>1</v>
      </c>
      <c r="AJ137" s="6">
        <v>1</v>
      </c>
      <c r="AK137" s="6">
        <v>1</v>
      </c>
      <c r="AL137" s="6">
        <v>1</v>
      </c>
      <c r="AM137" s="6">
        <v>1</v>
      </c>
      <c r="AN137" s="7">
        <v>1</v>
      </c>
      <c r="BC137" t="s">
        <v>2847</v>
      </c>
      <c r="BD137" s="7" t="s">
        <v>103</v>
      </c>
      <c r="BE137" t="s">
        <v>2005</v>
      </c>
      <c r="BF137" s="1" t="s">
        <v>29</v>
      </c>
      <c r="BG137" s="1">
        <v>4</v>
      </c>
      <c r="BH137">
        <v>2</v>
      </c>
      <c r="BK137" s="1">
        <v>1</v>
      </c>
      <c r="BQ137">
        <v>1</v>
      </c>
      <c r="CC137">
        <v>1</v>
      </c>
      <c r="CL137">
        <v>1</v>
      </c>
      <c r="CS137" s="7" t="s">
        <v>1747</v>
      </c>
    </row>
    <row r="138" spans="1:98">
      <c r="B138" t="s">
        <v>2793</v>
      </c>
      <c r="C138" s="2" t="s">
        <v>831</v>
      </c>
      <c r="D138" s="2" t="s">
        <v>831</v>
      </c>
      <c r="E138" s="8" t="s">
        <v>832</v>
      </c>
      <c r="F138" s="8" t="s">
        <v>65</v>
      </c>
      <c r="G138" s="1">
        <v>1</v>
      </c>
      <c r="I138" s="1">
        <f>1797-19</f>
        <v>1778</v>
      </c>
      <c r="J138" t="s">
        <v>10</v>
      </c>
      <c r="K138" t="s">
        <v>12</v>
      </c>
      <c r="Q138">
        <v>5</v>
      </c>
      <c r="R138">
        <v>3</v>
      </c>
      <c r="S138">
        <v>1</v>
      </c>
      <c r="T138" s="5">
        <f>((Q138*316)+(R138*26.3)+(S138*2.2))/10</f>
        <v>166.11</v>
      </c>
      <c r="U138" t="s">
        <v>2776</v>
      </c>
      <c r="AE138" s="6">
        <v>1</v>
      </c>
      <c r="BC138">
        <v>1797</v>
      </c>
      <c r="BD138" t="s">
        <v>81</v>
      </c>
      <c r="BE138" s="10" t="s">
        <v>2407</v>
      </c>
      <c r="BF138" s="1" t="s">
        <v>73</v>
      </c>
      <c r="BG138" s="1">
        <v>1</v>
      </c>
      <c r="BH138">
        <v>1</v>
      </c>
      <c r="BK138" s="1">
        <v>1</v>
      </c>
      <c r="BQ138">
        <v>1</v>
      </c>
      <c r="CL138" s="10">
        <v>1</v>
      </c>
      <c r="CS138" s="10" t="s">
        <v>2778</v>
      </c>
    </row>
    <row r="139" spans="1:98">
      <c r="B139" t="s">
        <v>2774</v>
      </c>
      <c r="C139" s="2" t="s">
        <v>2775</v>
      </c>
      <c r="D139" s="2" t="s">
        <v>2775</v>
      </c>
      <c r="E139" s="8" t="s">
        <v>238</v>
      </c>
      <c r="F139" s="8" t="s">
        <v>65</v>
      </c>
      <c r="G139" s="1">
        <v>1</v>
      </c>
      <c r="I139" s="1">
        <f>1802-39</f>
        <v>1763</v>
      </c>
      <c r="J139" t="s">
        <v>69</v>
      </c>
      <c r="K139" t="s">
        <v>12</v>
      </c>
      <c r="N139">
        <v>1</v>
      </c>
      <c r="Q139">
        <v>5</v>
      </c>
      <c r="R139">
        <v>2</v>
      </c>
      <c r="S139">
        <v>2</v>
      </c>
      <c r="T139" s="5">
        <f>((Q139*316)+(R139*26.3)+(S139*2.2))/10</f>
        <v>163.69999999999999</v>
      </c>
      <c r="U139" t="s">
        <v>2776</v>
      </c>
      <c r="AE139" s="6">
        <v>1</v>
      </c>
      <c r="AF139" s="6">
        <v>1</v>
      </c>
      <c r="AG139" s="6">
        <v>1</v>
      </c>
      <c r="AH139" s="6">
        <v>1</v>
      </c>
      <c r="AI139" s="6">
        <v>1</v>
      </c>
      <c r="AJ139" s="6">
        <v>1</v>
      </c>
      <c r="AK139" s="7">
        <v>1</v>
      </c>
      <c r="BC139" t="s">
        <v>1416</v>
      </c>
      <c r="BD139" s="7" t="s">
        <v>280</v>
      </c>
      <c r="BE139" t="s">
        <v>2005</v>
      </c>
      <c r="BF139" s="1" t="s">
        <v>29</v>
      </c>
      <c r="BG139" s="1">
        <v>2</v>
      </c>
      <c r="BH139">
        <v>1</v>
      </c>
      <c r="BK139" s="1">
        <v>1</v>
      </c>
      <c r="BQ139">
        <v>1</v>
      </c>
      <c r="CN139">
        <v>1</v>
      </c>
      <c r="CS139" s="7" t="s">
        <v>2748</v>
      </c>
    </row>
    <row r="140" spans="1:98">
      <c r="B140" t="s">
        <v>817</v>
      </c>
      <c r="C140" s="15" t="s">
        <v>818</v>
      </c>
      <c r="E140" s="8"/>
      <c r="F140" s="8" t="s">
        <v>65</v>
      </c>
      <c r="G140" s="1">
        <v>1</v>
      </c>
      <c r="I140" s="1">
        <f>1810-32</f>
        <v>1778</v>
      </c>
      <c r="J140" t="s">
        <v>10</v>
      </c>
      <c r="K140" t="s">
        <v>12</v>
      </c>
      <c r="Q140">
        <v>5</v>
      </c>
      <c r="R140">
        <v>4</v>
      </c>
      <c r="S140">
        <v>1</v>
      </c>
      <c r="T140" s="5">
        <f>((Q140*316)+(R140*26.3)+(S140*2.2))/10</f>
        <v>168.74</v>
      </c>
      <c r="U140" t="s">
        <v>819</v>
      </c>
      <c r="AE140" s="6">
        <v>1</v>
      </c>
      <c r="AF140" s="6">
        <v>1</v>
      </c>
      <c r="AG140" s="6">
        <v>1</v>
      </c>
      <c r="AH140" s="6">
        <v>1</v>
      </c>
      <c r="AI140" s="6">
        <v>1</v>
      </c>
      <c r="AJ140" s="6">
        <v>1</v>
      </c>
      <c r="AK140" s="6">
        <v>1</v>
      </c>
      <c r="AL140" s="6">
        <v>1</v>
      </c>
      <c r="AM140" s="6">
        <v>1</v>
      </c>
      <c r="AN140" s="6">
        <v>1</v>
      </c>
      <c r="AO140" s="6">
        <v>1</v>
      </c>
      <c r="AP140" s="6">
        <v>1</v>
      </c>
      <c r="AQ140" s="6">
        <v>1</v>
      </c>
      <c r="AR140" s="7">
        <v>1</v>
      </c>
      <c r="BC140" t="s">
        <v>1433</v>
      </c>
      <c r="BD140" s="7" t="s">
        <v>103</v>
      </c>
      <c r="BE140" t="s">
        <v>820</v>
      </c>
      <c r="BF140" s="1" t="s">
        <v>29</v>
      </c>
      <c r="BG140" s="1">
        <v>2</v>
      </c>
      <c r="BH140">
        <v>2</v>
      </c>
      <c r="BK140" s="1">
        <v>1</v>
      </c>
      <c r="BQ140">
        <v>1</v>
      </c>
      <c r="CF140">
        <v>1</v>
      </c>
      <c r="CL140">
        <v>1</v>
      </c>
      <c r="CS140" s="7" t="s">
        <v>412</v>
      </c>
    </row>
    <row r="141" spans="1:98">
      <c r="A141" t="s">
        <v>7</v>
      </c>
      <c r="B141" t="s">
        <v>276</v>
      </c>
      <c r="C141" s="15"/>
      <c r="E141" s="8"/>
      <c r="F141" t="s">
        <v>7</v>
      </c>
      <c r="T141" s="5"/>
      <c r="U141" s="9" t="s">
        <v>212</v>
      </c>
      <c r="AE141" s="7">
        <v>1</v>
      </c>
      <c r="BC141" t="s">
        <v>275</v>
      </c>
      <c r="BD141" s="7" t="s">
        <v>103</v>
      </c>
      <c r="BE141" t="s">
        <v>125</v>
      </c>
      <c r="BF141" s="1" t="s">
        <v>29</v>
      </c>
      <c r="BG141" s="1">
        <v>1</v>
      </c>
      <c r="BH141">
        <v>1</v>
      </c>
      <c r="BK141" s="1">
        <v>1</v>
      </c>
      <c r="BQ141">
        <v>1</v>
      </c>
      <c r="CS141" s="7" t="s">
        <v>277</v>
      </c>
    </row>
    <row r="142" spans="1:98">
      <c r="A142" t="s">
        <v>7</v>
      </c>
      <c r="B142" t="s">
        <v>278</v>
      </c>
      <c r="C142" s="15"/>
      <c r="E142" s="8"/>
      <c r="F142" t="s">
        <v>7</v>
      </c>
      <c r="T142" s="5"/>
      <c r="U142" s="9" t="s">
        <v>212</v>
      </c>
      <c r="AE142" s="9">
        <v>1</v>
      </c>
      <c r="AF142" s="6">
        <v>1</v>
      </c>
      <c r="AG142" s="7">
        <v>1</v>
      </c>
      <c r="BC142" t="s">
        <v>279</v>
      </c>
      <c r="BD142" s="7" t="s">
        <v>280</v>
      </c>
      <c r="BE142" t="s">
        <v>125</v>
      </c>
      <c r="BF142" s="1" t="s">
        <v>29</v>
      </c>
      <c r="BG142" s="1">
        <v>3</v>
      </c>
      <c r="BH142">
        <v>1</v>
      </c>
      <c r="BK142" s="1">
        <v>1</v>
      </c>
      <c r="BQ142">
        <v>1</v>
      </c>
      <c r="CN142">
        <v>1</v>
      </c>
      <c r="CS142" s="7" t="s">
        <v>281</v>
      </c>
    </row>
    <row r="143" spans="1:98">
      <c r="A143" t="s">
        <v>7</v>
      </c>
      <c r="B143" t="s">
        <v>282</v>
      </c>
      <c r="C143" s="15"/>
      <c r="E143" s="8"/>
      <c r="F143" t="s">
        <v>7</v>
      </c>
      <c r="T143" s="5"/>
      <c r="U143" s="9" t="s">
        <v>212</v>
      </c>
      <c r="AE143" s="9">
        <v>1</v>
      </c>
      <c r="AF143" s="6">
        <v>1</v>
      </c>
      <c r="AG143" s="7">
        <v>1</v>
      </c>
      <c r="BC143" t="s">
        <v>283</v>
      </c>
      <c r="BD143" s="7" t="s">
        <v>280</v>
      </c>
      <c r="BE143" t="s">
        <v>125</v>
      </c>
      <c r="BF143" s="1" t="s">
        <v>29</v>
      </c>
      <c r="BG143" s="1">
        <v>3</v>
      </c>
      <c r="BH143">
        <v>1</v>
      </c>
      <c r="BK143" s="1">
        <v>1</v>
      </c>
      <c r="BQ143">
        <v>1</v>
      </c>
      <c r="CN143">
        <v>1</v>
      </c>
      <c r="CS143" s="7" t="s">
        <v>284</v>
      </c>
    </row>
    <row r="144" spans="1:98">
      <c r="B144" t="s">
        <v>285</v>
      </c>
      <c r="C144" s="15" t="s">
        <v>286</v>
      </c>
      <c r="F144" s="8" t="s">
        <v>115</v>
      </c>
      <c r="G144" s="1">
        <v>1</v>
      </c>
      <c r="I144" s="1">
        <f>1802-25</f>
        <v>1777</v>
      </c>
      <c r="J144" t="s">
        <v>10</v>
      </c>
      <c r="K144" t="s">
        <v>12</v>
      </c>
      <c r="Q144">
        <v>5</v>
      </c>
      <c r="R144">
        <v>2</v>
      </c>
      <c r="S144">
        <v>3</v>
      </c>
      <c r="T144" s="5">
        <f>((Q144*316)+(R144*26.3)+(S144*2.2))/10</f>
        <v>163.92</v>
      </c>
      <c r="U144" s="9" t="s">
        <v>212</v>
      </c>
      <c r="AE144" s="9">
        <v>1</v>
      </c>
      <c r="AF144" s="6">
        <v>1</v>
      </c>
      <c r="AG144" s="6">
        <v>1</v>
      </c>
      <c r="AH144" s="6">
        <v>1</v>
      </c>
      <c r="AI144" s="6">
        <v>1</v>
      </c>
      <c r="AJ144" s="6">
        <v>1</v>
      </c>
      <c r="AK144" s="6">
        <v>1</v>
      </c>
      <c r="AL144" s="6">
        <v>1</v>
      </c>
      <c r="AM144" s="6">
        <v>1</v>
      </c>
      <c r="AN144" s="7">
        <v>1</v>
      </c>
      <c r="BC144" t="s">
        <v>198</v>
      </c>
      <c r="BD144" s="7" t="s">
        <v>109</v>
      </c>
      <c r="BE144" t="s">
        <v>125</v>
      </c>
      <c r="BF144" s="1" t="s">
        <v>29</v>
      </c>
      <c r="BG144" s="1">
        <v>11</v>
      </c>
      <c r="BH144">
        <v>1</v>
      </c>
      <c r="BK144" s="1">
        <v>1</v>
      </c>
      <c r="BQ144">
        <v>1</v>
      </c>
      <c r="CF144">
        <v>1</v>
      </c>
      <c r="CS144" s="7" t="s">
        <v>354</v>
      </c>
      <c r="CT144" s="9" t="s">
        <v>127</v>
      </c>
    </row>
    <row r="145" spans="1:98">
      <c r="B145" t="s">
        <v>210</v>
      </c>
      <c r="C145" s="15" t="s">
        <v>211</v>
      </c>
      <c r="F145" s="8" t="s">
        <v>115</v>
      </c>
      <c r="G145" s="1">
        <v>1</v>
      </c>
      <c r="I145" s="1">
        <f>1802-53</f>
        <v>1749</v>
      </c>
      <c r="J145" t="s">
        <v>69</v>
      </c>
      <c r="K145" t="s">
        <v>209</v>
      </c>
      <c r="N145">
        <v>1</v>
      </c>
      <c r="Q145">
        <v>5</v>
      </c>
      <c r="R145">
        <v>6</v>
      </c>
      <c r="S145">
        <v>2</v>
      </c>
      <c r="T145" s="5">
        <f>((Q145*316)+(R145*26.3)+(S145*2.2))/10</f>
        <v>174.22</v>
      </c>
      <c r="U145" s="9" t="s">
        <v>212</v>
      </c>
      <c r="AE145" s="9">
        <v>1</v>
      </c>
      <c r="AF145" s="6">
        <v>1</v>
      </c>
      <c r="AG145" s="6">
        <v>1</v>
      </c>
      <c r="AH145" s="6">
        <v>1</v>
      </c>
      <c r="AI145" s="6">
        <v>1</v>
      </c>
      <c r="AJ145" s="6">
        <v>1</v>
      </c>
      <c r="AK145" s="6">
        <v>1</v>
      </c>
      <c r="AL145" s="6">
        <v>1</v>
      </c>
      <c r="AM145" s="6">
        <v>1</v>
      </c>
      <c r="AN145" s="7">
        <v>1</v>
      </c>
      <c r="BC145" t="s">
        <v>198</v>
      </c>
      <c r="BD145" s="7" t="s">
        <v>109</v>
      </c>
      <c r="BE145" t="s">
        <v>125</v>
      </c>
      <c r="BF145" s="1" t="s">
        <v>29</v>
      </c>
      <c r="BG145" s="1">
        <v>12</v>
      </c>
      <c r="BH145">
        <v>1</v>
      </c>
      <c r="BK145" s="1">
        <v>1</v>
      </c>
      <c r="BQ145">
        <v>1</v>
      </c>
      <c r="CS145" s="7" t="s">
        <v>354</v>
      </c>
      <c r="CT145" s="9" t="s">
        <v>213</v>
      </c>
    </row>
    <row r="146" spans="1:98">
      <c r="A146" t="s">
        <v>7</v>
      </c>
      <c r="B146" t="s">
        <v>274</v>
      </c>
      <c r="F146" t="s">
        <v>7</v>
      </c>
      <c r="U146" s="9" t="s">
        <v>212</v>
      </c>
      <c r="AE146" s="10">
        <v>1</v>
      </c>
      <c r="BC146" t="s">
        <v>275</v>
      </c>
      <c r="BD146" t="s">
        <v>81</v>
      </c>
      <c r="BE146" s="10" t="s">
        <v>125</v>
      </c>
      <c r="BF146" s="1" t="s">
        <v>73</v>
      </c>
      <c r="BG146" s="1">
        <v>1</v>
      </c>
      <c r="BH146">
        <v>1</v>
      </c>
      <c r="BK146" s="1">
        <v>1</v>
      </c>
      <c r="BQ146">
        <v>1</v>
      </c>
      <c r="BZ146">
        <v>1</v>
      </c>
      <c r="CL146">
        <v>1</v>
      </c>
      <c r="CS146" s="10" t="s">
        <v>478</v>
      </c>
      <c r="CT146" s="9" t="s">
        <v>127</v>
      </c>
    </row>
    <row r="147" spans="1:98">
      <c r="B147" t="s">
        <v>267</v>
      </c>
      <c r="C147" s="15" t="s">
        <v>268</v>
      </c>
      <c r="F147" s="8" t="s">
        <v>115</v>
      </c>
      <c r="G147" s="1">
        <v>1</v>
      </c>
      <c r="I147" s="1">
        <f>1802-45</f>
        <v>1757</v>
      </c>
      <c r="J147" t="s">
        <v>69</v>
      </c>
      <c r="K147" t="s">
        <v>12</v>
      </c>
      <c r="N147">
        <v>1</v>
      </c>
      <c r="Q147">
        <v>5</v>
      </c>
      <c r="R147">
        <v>1</v>
      </c>
      <c r="S147">
        <v>2</v>
      </c>
      <c r="T147" s="5">
        <f>((Q147*316)+(R147*26.3)+(S147*2.2))/10</f>
        <v>161.07</v>
      </c>
      <c r="U147" t="s">
        <v>269</v>
      </c>
      <c r="AE147" s="6">
        <v>1</v>
      </c>
      <c r="AF147" s="6">
        <v>1</v>
      </c>
      <c r="AG147" s="6">
        <v>1</v>
      </c>
      <c r="AH147" s="6">
        <v>1</v>
      </c>
      <c r="AI147" s="6">
        <v>1</v>
      </c>
      <c r="AJ147" s="6">
        <v>1</v>
      </c>
      <c r="AK147" s="6">
        <v>1</v>
      </c>
      <c r="AL147" s="6">
        <v>1</v>
      </c>
      <c r="AM147" s="6">
        <v>1</v>
      </c>
      <c r="AN147" s="7">
        <v>1</v>
      </c>
      <c r="BC147" t="s">
        <v>198</v>
      </c>
      <c r="BD147" s="7" t="s">
        <v>109</v>
      </c>
      <c r="BE147" t="s">
        <v>125</v>
      </c>
      <c r="BF147" s="1" t="s">
        <v>29</v>
      </c>
      <c r="BG147" s="1">
        <v>11</v>
      </c>
      <c r="BH147">
        <v>1</v>
      </c>
      <c r="BK147" s="1">
        <v>1</v>
      </c>
      <c r="BQ147">
        <v>1</v>
      </c>
      <c r="CN147">
        <v>1</v>
      </c>
      <c r="CP147">
        <v>1</v>
      </c>
      <c r="CS147" s="7" t="s">
        <v>354</v>
      </c>
    </row>
    <row r="148" spans="1:98">
      <c r="B148" t="s">
        <v>196</v>
      </c>
      <c r="C148" s="15" t="s">
        <v>211</v>
      </c>
      <c r="F148" s="8" t="s">
        <v>115</v>
      </c>
      <c r="G148" s="1">
        <v>1</v>
      </c>
      <c r="I148" s="1">
        <f>1803-50</f>
        <v>1753</v>
      </c>
      <c r="J148" t="s">
        <v>69</v>
      </c>
      <c r="K148" t="s">
        <v>197</v>
      </c>
      <c r="N148">
        <v>1</v>
      </c>
      <c r="Q148">
        <v>5</v>
      </c>
      <c r="R148">
        <v>4</v>
      </c>
      <c r="S148">
        <v>1</v>
      </c>
      <c r="T148" s="5">
        <f>((Q148*316)+(R148*26.3)+(S148*2.2))/10</f>
        <v>168.74</v>
      </c>
      <c r="U148" t="s">
        <v>214</v>
      </c>
      <c r="AE148" s="6">
        <v>1</v>
      </c>
      <c r="AF148" s="6">
        <v>1</v>
      </c>
      <c r="AG148" s="6">
        <v>1</v>
      </c>
      <c r="AH148" s="6">
        <v>1</v>
      </c>
      <c r="AI148" s="6">
        <v>1</v>
      </c>
      <c r="AJ148" s="6">
        <v>1</v>
      </c>
      <c r="AK148" s="6">
        <v>1</v>
      </c>
      <c r="AL148" s="6">
        <v>1</v>
      </c>
      <c r="AM148" s="6">
        <v>1</v>
      </c>
      <c r="AN148" s="7">
        <v>1</v>
      </c>
      <c r="BC148" t="s">
        <v>198</v>
      </c>
      <c r="BD148" s="7" t="s">
        <v>103</v>
      </c>
      <c r="BE148" t="s">
        <v>125</v>
      </c>
      <c r="BF148" s="1" t="s">
        <v>29</v>
      </c>
      <c r="BG148" s="1">
        <v>12</v>
      </c>
      <c r="BH148">
        <v>1</v>
      </c>
      <c r="BK148" s="1">
        <v>1</v>
      </c>
      <c r="BQ148">
        <v>1</v>
      </c>
      <c r="CS148" s="7" t="s">
        <v>199</v>
      </c>
    </row>
    <row r="149" spans="1:98">
      <c r="B149" t="s">
        <v>2843</v>
      </c>
      <c r="C149" s="2" t="s">
        <v>2002</v>
      </c>
      <c r="D149" s="2" t="s">
        <v>2002</v>
      </c>
      <c r="E149" t="s">
        <v>238</v>
      </c>
      <c r="F149" s="8" t="s">
        <v>65</v>
      </c>
      <c r="G149" s="1">
        <v>1</v>
      </c>
      <c r="I149" s="1">
        <f>1804-30</f>
        <v>1774</v>
      </c>
      <c r="J149" t="s">
        <v>69</v>
      </c>
      <c r="K149" t="s">
        <v>12</v>
      </c>
      <c r="N149">
        <v>1</v>
      </c>
      <c r="Q149">
        <v>5</v>
      </c>
      <c r="R149">
        <v>1</v>
      </c>
      <c r="S149">
        <v>2</v>
      </c>
      <c r="T149" s="5">
        <f>((Q149*316)+(R149*26.3)+(S149*2.2))/10</f>
        <v>161.07</v>
      </c>
      <c r="U149" t="s">
        <v>2844</v>
      </c>
      <c r="AE149" s="6">
        <v>1</v>
      </c>
      <c r="AF149" s="6">
        <v>1</v>
      </c>
      <c r="AG149" s="9">
        <v>1</v>
      </c>
      <c r="AH149" s="9"/>
      <c r="AI149" s="9">
        <v>1</v>
      </c>
      <c r="AJ149" s="6">
        <v>1</v>
      </c>
      <c r="AK149" s="6">
        <v>1</v>
      </c>
      <c r="AL149" s="6">
        <v>1</v>
      </c>
      <c r="AM149" s="6">
        <v>1</v>
      </c>
      <c r="AN149" s="7">
        <v>1</v>
      </c>
      <c r="BC149" t="s">
        <v>2830</v>
      </c>
      <c r="BD149" s="7" t="s">
        <v>109</v>
      </c>
      <c r="BE149" t="s">
        <v>2005</v>
      </c>
      <c r="BF149" s="1" t="s">
        <v>29</v>
      </c>
      <c r="BG149" s="1">
        <v>5</v>
      </c>
      <c r="BH149">
        <v>1</v>
      </c>
      <c r="BK149" s="1">
        <v>1</v>
      </c>
      <c r="BQ149">
        <v>1</v>
      </c>
      <c r="CM149">
        <v>1</v>
      </c>
      <c r="CS149" s="7" t="s">
        <v>354</v>
      </c>
      <c r="CT149" s="9" t="s">
        <v>2845</v>
      </c>
    </row>
    <row r="150" spans="1:98">
      <c r="B150" t="s">
        <v>1403</v>
      </c>
      <c r="C150" s="2" t="s">
        <v>1207</v>
      </c>
      <c r="D150" s="2" t="s">
        <v>1207</v>
      </c>
      <c r="E150" s="8" t="s">
        <v>114</v>
      </c>
      <c r="F150" s="8" t="s">
        <v>115</v>
      </c>
      <c r="G150" s="1">
        <v>1</v>
      </c>
      <c r="I150" s="1">
        <f>1797-20</f>
        <v>1777</v>
      </c>
      <c r="J150" t="s">
        <v>10</v>
      </c>
      <c r="K150" t="s">
        <v>197</v>
      </c>
      <c r="Q150">
        <v>5</v>
      </c>
      <c r="R150">
        <v>2</v>
      </c>
      <c r="S150">
        <v>3</v>
      </c>
      <c r="T150" s="5">
        <f>((Q150*316)+(R150*26.3)+(S150*2.2))/10</f>
        <v>163.92</v>
      </c>
      <c r="U150" t="s">
        <v>1405</v>
      </c>
      <c r="AE150" s="6">
        <v>1</v>
      </c>
      <c r="AF150" s="6">
        <v>1</v>
      </c>
      <c r="AG150" s="6">
        <v>1</v>
      </c>
      <c r="AH150" s="6">
        <v>1</v>
      </c>
      <c r="AI150" s="6">
        <v>1</v>
      </c>
      <c r="AJ150" s="6">
        <v>1</v>
      </c>
      <c r="AK150" s="7">
        <v>1</v>
      </c>
      <c r="BC150" t="s">
        <v>1528</v>
      </c>
      <c r="BD150" s="7" t="s">
        <v>103</v>
      </c>
      <c r="BE150" t="s">
        <v>125</v>
      </c>
      <c r="BF150" s="1" t="s">
        <v>29</v>
      </c>
      <c r="BG150" s="1">
        <v>8</v>
      </c>
      <c r="BH150">
        <v>2</v>
      </c>
      <c r="BI150">
        <v>1</v>
      </c>
      <c r="BK150" s="1">
        <v>1</v>
      </c>
      <c r="BQ150">
        <v>1</v>
      </c>
      <c r="CL150">
        <v>1</v>
      </c>
      <c r="CS150" s="7" t="s">
        <v>1404</v>
      </c>
    </row>
    <row r="151" spans="1:98">
      <c r="B151" t="s">
        <v>708</v>
      </c>
      <c r="C151" s="13" t="s">
        <v>709</v>
      </c>
      <c r="E151" s="8" t="s">
        <v>710</v>
      </c>
      <c r="F151" s="8" t="s">
        <v>115</v>
      </c>
      <c r="G151" s="1">
        <v>1</v>
      </c>
      <c r="I151" s="1">
        <f>1797-20</f>
        <v>1777</v>
      </c>
      <c r="J151" t="s">
        <v>10</v>
      </c>
      <c r="K151" t="s">
        <v>12</v>
      </c>
      <c r="Q151">
        <v>5</v>
      </c>
      <c r="R151">
        <v>3</v>
      </c>
      <c r="T151" s="5">
        <f>((Q151*316)+(R151*26.3)+(S151*2.2))/10</f>
        <v>165.89000000000001</v>
      </c>
      <c r="U151" t="s">
        <v>711</v>
      </c>
      <c r="AE151" s="6">
        <v>1</v>
      </c>
      <c r="BC151">
        <v>1797</v>
      </c>
      <c r="BD151" t="s">
        <v>81</v>
      </c>
      <c r="BE151" t="s">
        <v>712</v>
      </c>
      <c r="BF151" s="1" t="s">
        <v>73</v>
      </c>
      <c r="BG151" s="1">
        <v>1</v>
      </c>
      <c r="BH151">
        <v>1</v>
      </c>
      <c r="BK151" s="1">
        <v>1</v>
      </c>
      <c r="BQ151">
        <v>1</v>
      </c>
      <c r="CS151" s="7" t="s">
        <v>713</v>
      </c>
    </row>
    <row r="152" spans="1:98">
      <c r="B152" t="s">
        <v>503</v>
      </c>
      <c r="C152" s="15" t="s">
        <v>504</v>
      </c>
      <c r="F152" s="8" t="s">
        <v>505</v>
      </c>
      <c r="G152" s="1">
        <v>1</v>
      </c>
      <c r="I152" s="1">
        <f>1802-28</f>
        <v>1774</v>
      </c>
      <c r="J152" t="s">
        <v>10</v>
      </c>
      <c r="K152" t="s">
        <v>506</v>
      </c>
      <c r="T152" s="5"/>
      <c r="U152" t="s">
        <v>507</v>
      </c>
      <c r="AE152" s="6">
        <v>1</v>
      </c>
      <c r="AF152" s="6">
        <v>1</v>
      </c>
      <c r="AG152" s="6">
        <v>1</v>
      </c>
      <c r="AH152" s="6">
        <v>1</v>
      </c>
      <c r="AI152" s="6">
        <v>1</v>
      </c>
      <c r="AJ152" s="6">
        <v>1</v>
      </c>
      <c r="BC152">
        <v>1802</v>
      </c>
      <c r="BD152" t="s">
        <v>81</v>
      </c>
      <c r="BE152" s="10" t="s">
        <v>437</v>
      </c>
      <c r="BF152" s="1" t="s">
        <v>73</v>
      </c>
      <c r="BG152" s="1">
        <v>4</v>
      </c>
      <c r="BH152">
        <v>3</v>
      </c>
      <c r="BO152">
        <v>1</v>
      </c>
      <c r="BQ152">
        <v>1</v>
      </c>
      <c r="CE152">
        <v>1</v>
      </c>
      <c r="CL152">
        <v>1</v>
      </c>
      <c r="CM152">
        <v>1</v>
      </c>
      <c r="CS152" s="10" t="s">
        <v>508</v>
      </c>
    </row>
    <row r="153" spans="1:98">
      <c r="A153" t="s">
        <v>7</v>
      </c>
      <c r="B153" t="s">
        <v>851</v>
      </c>
      <c r="C153" s="15"/>
      <c r="F153" t="s">
        <v>7</v>
      </c>
      <c r="T153" s="5"/>
      <c r="U153" t="s">
        <v>852</v>
      </c>
      <c r="AE153" s="6">
        <v>1</v>
      </c>
      <c r="AF153" s="6">
        <v>1</v>
      </c>
      <c r="AG153" s="7">
        <v>1</v>
      </c>
      <c r="BC153" t="s">
        <v>926</v>
      </c>
      <c r="BD153" s="7" t="s">
        <v>109</v>
      </c>
      <c r="BE153" t="s">
        <v>849</v>
      </c>
      <c r="BF153" s="1" t="s">
        <v>29</v>
      </c>
      <c r="BG153" s="1">
        <v>3</v>
      </c>
      <c r="BH153">
        <v>2</v>
      </c>
      <c r="BO153">
        <v>1</v>
      </c>
      <c r="BR153">
        <v>1</v>
      </c>
      <c r="BS153">
        <v>1</v>
      </c>
      <c r="CL153">
        <v>1</v>
      </c>
      <c r="CS153" s="7" t="s">
        <v>853</v>
      </c>
    </row>
    <row r="154" spans="1:98">
      <c r="B154" t="s">
        <v>2698</v>
      </c>
      <c r="C154" s="2" t="s">
        <v>2699</v>
      </c>
      <c r="F154" s="8" t="s">
        <v>115</v>
      </c>
      <c r="G154" s="1">
        <v>1</v>
      </c>
      <c r="I154" s="1">
        <f>1814-37</f>
        <v>1777</v>
      </c>
      <c r="J154" t="s">
        <v>10</v>
      </c>
      <c r="K154" t="s">
        <v>12</v>
      </c>
      <c r="Q154">
        <v>5</v>
      </c>
      <c r="R154">
        <v>4</v>
      </c>
      <c r="T154" s="5">
        <f>((Q154*316)+(R154*26.3)+(S154*2.2))/10</f>
        <v>168.52</v>
      </c>
      <c r="U154" t="s">
        <v>2700</v>
      </c>
      <c r="AE154" s="6">
        <v>1</v>
      </c>
      <c r="AF154" s="6">
        <v>1</v>
      </c>
      <c r="AG154" s="6">
        <v>1</v>
      </c>
      <c r="AH154" s="6">
        <v>1</v>
      </c>
      <c r="AI154" s="6">
        <v>1</v>
      </c>
      <c r="AJ154" s="6">
        <v>1</v>
      </c>
      <c r="AK154" s="6">
        <v>1</v>
      </c>
      <c r="AL154" s="6">
        <v>1</v>
      </c>
      <c r="AM154" s="6">
        <v>1</v>
      </c>
      <c r="AN154" s="6">
        <v>1</v>
      </c>
      <c r="AO154" s="6">
        <v>1</v>
      </c>
      <c r="AP154" s="6">
        <v>1</v>
      </c>
      <c r="AQ154" s="6">
        <v>1</v>
      </c>
      <c r="AR154" s="6">
        <v>1</v>
      </c>
      <c r="AS154" s="6">
        <v>1</v>
      </c>
      <c r="AT154" s="6">
        <v>1</v>
      </c>
      <c r="AU154" s="6">
        <v>1</v>
      </c>
      <c r="AV154" s="6">
        <v>1</v>
      </c>
      <c r="AW154" s="14">
        <v>1</v>
      </c>
      <c r="BC154" s="9" t="s">
        <v>2701</v>
      </c>
      <c r="BD154" s="14" t="s">
        <v>338</v>
      </c>
      <c r="BE154" t="s">
        <v>999</v>
      </c>
      <c r="BF154" s="1" t="s">
        <v>29</v>
      </c>
      <c r="BG154" s="1">
        <v>4</v>
      </c>
      <c r="BH154">
        <v>3</v>
      </c>
      <c r="BJ154">
        <v>1</v>
      </c>
      <c r="BK154" s="1">
        <v>1</v>
      </c>
      <c r="BP154">
        <v>1</v>
      </c>
      <c r="BQ154">
        <v>1</v>
      </c>
      <c r="BT154">
        <v>1</v>
      </c>
      <c r="CC154">
        <v>1</v>
      </c>
      <c r="CI154">
        <v>1</v>
      </c>
      <c r="CS154" s="14" t="s">
        <v>2702</v>
      </c>
    </row>
    <row r="155" spans="1:98">
      <c r="B155" t="s">
        <v>2187</v>
      </c>
      <c r="C155" s="2" t="s">
        <v>2178</v>
      </c>
      <c r="D155" s="2" t="s">
        <v>2178</v>
      </c>
      <c r="E155" s="8" t="s">
        <v>696</v>
      </c>
      <c r="F155" s="8" t="s">
        <v>115</v>
      </c>
      <c r="G155" s="1">
        <v>1</v>
      </c>
      <c r="I155" s="1">
        <f>1803-23</f>
        <v>1780</v>
      </c>
      <c r="J155" t="s">
        <v>10</v>
      </c>
      <c r="K155" t="s">
        <v>12</v>
      </c>
      <c r="Q155">
        <v>5</v>
      </c>
      <c r="R155">
        <v>2</v>
      </c>
      <c r="S155">
        <v>2</v>
      </c>
      <c r="T155" s="5">
        <f>((Q155*316)+(R155*26.3)+(S155*2.2))/10</f>
        <v>163.69999999999999</v>
      </c>
      <c r="U155" t="s">
        <v>2188</v>
      </c>
      <c r="AE155" s="6">
        <v>1</v>
      </c>
      <c r="AF155" s="6">
        <v>1</v>
      </c>
      <c r="AG155" s="6">
        <v>1</v>
      </c>
      <c r="AH155" s="6">
        <v>1</v>
      </c>
      <c r="AI155" s="6">
        <v>1</v>
      </c>
      <c r="AJ155" s="6">
        <v>1</v>
      </c>
      <c r="AK155" s="6">
        <v>1</v>
      </c>
      <c r="AL155" s="6">
        <v>1</v>
      </c>
      <c r="AM155" s="7">
        <v>1</v>
      </c>
      <c r="BC155" t="s">
        <v>2189</v>
      </c>
      <c r="BD155" s="7" t="s">
        <v>103</v>
      </c>
      <c r="BE155" t="s">
        <v>1502</v>
      </c>
      <c r="BF155" s="1" t="s">
        <v>29</v>
      </c>
      <c r="BG155" s="1">
        <v>4</v>
      </c>
      <c r="BH155">
        <v>1</v>
      </c>
      <c r="BK155" s="1">
        <v>1</v>
      </c>
      <c r="BQ155">
        <v>1</v>
      </c>
      <c r="CS155" s="7" t="s">
        <v>614</v>
      </c>
    </row>
    <row r="156" spans="1:98">
      <c r="B156" t="s">
        <v>2743</v>
      </c>
      <c r="C156" s="2" t="s">
        <v>2744</v>
      </c>
      <c r="D156" s="2" t="s">
        <v>2745</v>
      </c>
      <c r="E156" s="8" t="s">
        <v>1381</v>
      </c>
      <c r="F156" s="8" t="s">
        <v>115</v>
      </c>
      <c r="G156" s="1">
        <v>1</v>
      </c>
      <c r="I156" s="1">
        <f>1802-25</f>
        <v>1777</v>
      </c>
      <c r="J156" t="s">
        <v>69</v>
      </c>
      <c r="K156" t="s">
        <v>12</v>
      </c>
      <c r="N156">
        <v>1</v>
      </c>
      <c r="Q156">
        <v>5</v>
      </c>
      <c r="R156">
        <v>3</v>
      </c>
      <c r="S156">
        <v>2</v>
      </c>
      <c r="T156" s="5">
        <f>((Q156*316)+(R156*26.3)+(S156*2.2))/10</f>
        <v>166.33</v>
      </c>
      <c r="U156" t="s">
        <v>2746</v>
      </c>
      <c r="AE156" s="6">
        <v>1</v>
      </c>
      <c r="AF156" s="6">
        <v>1</v>
      </c>
      <c r="AG156" s="6">
        <v>1</v>
      </c>
      <c r="AH156" s="6">
        <v>1</v>
      </c>
      <c r="AI156" s="6">
        <v>1</v>
      </c>
      <c r="AJ156" s="7">
        <v>1</v>
      </c>
      <c r="BC156" t="s">
        <v>1420</v>
      </c>
      <c r="BD156" s="7" t="s">
        <v>280</v>
      </c>
      <c r="BE156" t="s">
        <v>2747</v>
      </c>
      <c r="BF156" s="1" t="s">
        <v>29</v>
      </c>
      <c r="BG156" s="1">
        <v>2</v>
      </c>
      <c r="BH156">
        <v>1</v>
      </c>
      <c r="BK156" s="1">
        <v>1</v>
      </c>
      <c r="BQ156">
        <v>1</v>
      </c>
      <c r="CN156">
        <v>1</v>
      </c>
      <c r="CS156" s="7" t="s">
        <v>2748</v>
      </c>
    </row>
    <row r="157" spans="1:98">
      <c r="A157" t="s">
        <v>7</v>
      </c>
      <c r="B157" t="s">
        <v>288</v>
      </c>
      <c r="C157" s="15"/>
      <c r="F157" t="s">
        <v>7</v>
      </c>
      <c r="T157" s="5"/>
      <c r="U157" s="9" t="s">
        <v>289</v>
      </c>
      <c r="AE157" s="9">
        <v>1</v>
      </c>
      <c r="AF157" s="6">
        <v>1</v>
      </c>
      <c r="AG157" s="6">
        <v>1</v>
      </c>
      <c r="AH157" s="6">
        <v>1</v>
      </c>
      <c r="AI157" s="7">
        <v>1</v>
      </c>
      <c r="BC157" t="s">
        <v>290</v>
      </c>
      <c r="BD157" s="7" t="s">
        <v>26</v>
      </c>
      <c r="BE157" t="s">
        <v>125</v>
      </c>
      <c r="BF157" s="1" t="s">
        <v>29</v>
      </c>
      <c r="BG157" s="1">
        <v>7</v>
      </c>
      <c r="BH157">
        <v>1</v>
      </c>
      <c r="BK157" s="1">
        <v>1</v>
      </c>
      <c r="BQ157">
        <v>1</v>
      </c>
      <c r="CS157" s="7" t="s">
        <v>291</v>
      </c>
      <c r="CT157" s="9" t="s">
        <v>127</v>
      </c>
    </row>
    <row r="158" spans="1:98">
      <c r="A158" t="s">
        <v>7</v>
      </c>
      <c r="B158" t="s">
        <v>292</v>
      </c>
      <c r="C158" s="15"/>
      <c r="F158" t="s">
        <v>7</v>
      </c>
      <c r="T158" s="5"/>
      <c r="U158" s="9" t="s">
        <v>289</v>
      </c>
      <c r="AE158" s="9">
        <v>1</v>
      </c>
      <c r="AF158" s="6">
        <v>1</v>
      </c>
      <c r="AG158" s="7">
        <v>1</v>
      </c>
      <c r="BC158" t="s">
        <v>293</v>
      </c>
      <c r="BD158" s="7" t="s">
        <v>26</v>
      </c>
      <c r="BE158" t="s">
        <v>125</v>
      </c>
      <c r="BF158" s="1" t="s">
        <v>29</v>
      </c>
      <c r="BG158" s="1">
        <v>3</v>
      </c>
      <c r="BH158">
        <v>1</v>
      </c>
      <c r="BK158" s="1">
        <v>1</v>
      </c>
      <c r="BQ158">
        <v>1</v>
      </c>
      <c r="CS158" s="7" t="s">
        <v>294</v>
      </c>
      <c r="CT158" s="9" t="s">
        <v>127</v>
      </c>
    </row>
    <row r="159" spans="1:98">
      <c r="B159" t="s">
        <v>2340</v>
      </c>
      <c r="C159" s="2" t="s">
        <v>1336</v>
      </c>
      <c r="D159" s="2" t="s">
        <v>2341</v>
      </c>
      <c r="E159" s="8" t="s">
        <v>837</v>
      </c>
      <c r="F159" s="8" t="s">
        <v>115</v>
      </c>
      <c r="G159" s="1">
        <v>1</v>
      </c>
      <c r="I159" s="1">
        <f>1797-30</f>
        <v>1767</v>
      </c>
      <c r="J159" t="s">
        <v>69</v>
      </c>
      <c r="K159" t="s">
        <v>12</v>
      </c>
      <c r="Q159">
        <v>5</v>
      </c>
      <c r="R159">
        <v>4</v>
      </c>
      <c r="T159" s="5">
        <f t="shared" ref="T159:T174" si="5">((Q159*316)+(R159*26.3)+(S159*2.2))/10</f>
        <v>168.52</v>
      </c>
      <c r="U159" t="s">
        <v>272</v>
      </c>
      <c r="AE159" s="7">
        <v>1</v>
      </c>
      <c r="BC159" t="s">
        <v>2342</v>
      </c>
      <c r="BD159" s="7" t="s">
        <v>103</v>
      </c>
      <c r="BE159" t="s">
        <v>1922</v>
      </c>
      <c r="BF159" s="1" t="s">
        <v>29</v>
      </c>
      <c r="BG159" s="1">
        <v>1</v>
      </c>
      <c r="BH159">
        <v>1</v>
      </c>
      <c r="BK159" s="1">
        <v>1</v>
      </c>
      <c r="BQ159">
        <v>1</v>
      </c>
      <c r="CS159" s="7" t="s">
        <v>2343</v>
      </c>
    </row>
    <row r="160" spans="1:98">
      <c r="B160" t="s">
        <v>2371</v>
      </c>
      <c r="C160" s="2" t="s">
        <v>2372</v>
      </c>
      <c r="D160" s="2" t="s">
        <v>2372</v>
      </c>
      <c r="E160" s="8" t="s">
        <v>837</v>
      </c>
      <c r="F160" s="8" t="s">
        <v>115</v>
      </c>
      <c r="G160" s="1">
        <v>1</v>
      </c>
      <c r="I160" s="1">
        <f>1797-20</f>
        <v>1777</v>
      </c>
      <c r="J160" t="s">
        <v>69</v>
      </c>
      <c r="K160" t="s">
        <v>12</v>
      </c>
      <c r="Q160">
        <v>5</v>
      </c>
      <c r="R160">
        <v>1</v>
      </c>
      <c r="S160">
        <v>1</v>
      </c>
      <c r="T160" s="5">
        <f t="shared" si="5"/>
        <v>160.85</v>
      </c>
      <c r="U160" t="s">
        <v>272</v>
      </c>
      <c r="AE160" s="7">
        <v>1</v>
      </c>
      <c r="BC160" t="s">
        <v>2373</v>
      </c>
      <c r="BD160" s="7" t="s">
        <v>103</v>
      </c>
      <c r="BE160" t="s">
        <v>1922</v>
      </c>
      <c r="BF160" s="1" t="s">
        <v>29</v>
      </c>
      <c r="BG160" s="1">
        <v>1</v>
      </c>
      <c r="BH160">
        <v>1</v>
      </c>
      <c r="BK160" s="1">
        <v>1</v>
      </c>
      <c r="BQ160">
        <v>1</v>
      </c>
      <c r="CS160" s="7" t="s">
        <v>2374</v>
      </c>
    </row>
    <row r="161" spans="1:98">
      <c r="B161" t="s">
        <v>270</v>
      </c>
      <c r="C161" s="15" t="s">
        <v>227</v>
      </c>
      <c r="D161" s="15" t="s">
        <v>227</v>
      </c>
      <c r="E161" s="8" t="s">
        <v>271</v>
      </c>
      <c r="F161" s="8" t="s">
        <v>115</v>
      </c>
      <c r="G161" s="1">
        <v>1</v>
      </c>
      <c r="I161" s="1">
        <f>1797-30</f>
        <v>1767</v>
      </c>
      <c r="J161" t="s">
        <v>69</v>
      </c>
      <c r="K161" t="s">
        <v>12</v>
      </c>
      <c r="N161">
        <v>1</v>
      </c>
      <c r="Q161">
        <v>5</v>
      </c>
      <c r="T161" s="5">
        <f t="shared" si="5"/>
        <v>158</v>
      </c>
      <c r="U161" t="s">
        <v>272</v>
      </c>
      <c r="AE161" s="6">
        <v>1</v>
      </c>
      <c r="BC161" t="s">
        <v>273</v>
      </c>
      <c r="BD161" t="s">
        <v>81</v>
      </c>
      <c r="BE161" s="10" t="s">
        <v>125</v>
      </c>
      <c r="BF161" s="1" t="s">
        <v>73</v>
      </c>
      <c r="BG161" s="1">
        <v>1</v>
      </c>
      <c r="BH161">
        <v>1</v>
      </c>
      <c r="BI161">
        <v>1</v>
      </c>
      <c r="BJ161">
        <v>1</v>
      </c>
      <c r="BK161" s="1">
        <v>1</v>
      </c>
      <c r="BQ161">
        <v>1</v>
      </c>
      <c r="CC161">
        <v>1</v>
      </c>
      <c r="CL161">
        <v>1</v>
      </c>
      <c r="CS161" s="10" t="s">
        <v>902</v>
      </c>
    </row>
    <row r="162" spans="1:98">
      <c r="B162" t="s">
        <v>1683</v>
      </c>
      <c r="C162" s="2" t="s">
        <v>826</v>
      </c>
      <c r="D162" s="2" t="s">
        <v>826</v>
      </c>
      <c r="E162" s="8" t="s">
        <v>654</v>
      </c>
      <c r="F162" s="8" t="s">
        <v>65</v>
      </c>
      <c r="G162" s="1">
        <v>1</v>
      </c>
      <c r="I162" s="1">
        <f>1797-22</f>
        <v>1775</v>
      </c>
      <c r="J162" t="s">
        <v>10</v>
      </c>
      <c r="K162" t="s">
        <v>12</v>
      </c>
      <c r="Q162">
        <v>5</v>
      </c>
      <c r="R162">
        <v>1</v>
      </c>
      <c r="S162">
        <v>2</v>
      </c>
      <c r="T162" s="5">
        <f t="shared" si="5"/>
        <v>161.07</v>
      </c>
      <c r="U162" t="s">
        <v>1686</v>
      </c>
      <c r="AE162" s="6">
        <v>1</v>
      </c>
      <c r="AF162" s="7">
        <v>1</v>
      </c>
      <c r="BC162" t="s">
        <v>1684</v>
      </c>
      <c r="BD162" s="7" t="s">
        <v>280</v>
      </c>
      <c r="BE162" t="s">
        <v>125</v>
      </c>
      <c r="BF162" s="1" t="s">
        <v>29</v>
      </c>
      <c r="BG162" s="1">
        <v>4</v>
      </c>
      <c r="BH162">
        <v>2</v>
      </c>
      <c r="BI162">
        <v>1</v>
      </c>
      <c r="BK162">
        <v>1</v>
      </c>
      <c r="BQ162">
        <v>1</v>
      </c>
      <c r="CL162">
        <v>1</v>
      </c>
      <c r="CN162">
        <v>1</v>
      </c>
      <c r="CS162" s="7" t="s">
        <v>1685</v>
      </c>
    </row>
    <row r="163" spans="1:98">
      <c r="B163" t="s">
        <v>1675</v>
      </c>
      <c r="C163" s="2" t="s">
        <v>1676</v>
      </c>
      <c r="D163" s="8" t="s">
        <v>1677</v>
      </c>
      <c r="E163" s="8" t="s">
        <v>837</v>
      </c>
      <c r="F163" s="8" t="s">
        <v>115</v>
      </c>
      <c r="G163" s="1">
        <v>1</v>
      </c>
      <c r="I163" s="1">
        <f>1797-26</f>
        <v>1771</v>
      </c>
      <c r="J163" t="s">
        <v>69</v>
      </c>
      <c r="K163" t="s">
        <v>197</v>
      </c>
      <c r="Q163">
        <v>5</v>
      </c>
      <c r="R163">
        <v>2</v>
      </c>
      <c r="T163" s="5">
        <f t="shared" si="5"/>
        <v>163.26</v>
      </c>
      <c r="U163" t="s">
        <v>1679</v>
      </c>
      <c r="AE163" s="6">
        <v>1</v>
      </c>
      <c r="AF163" s="6">
        <v>1</v>
      </c>
      <c r="AG163" s="7">
        <v>1</v>
      </c>
      <c r="BC163" t="s">
        <v>1678</v>
      </c>
      <c r="BD163" s="7" t="s">
        <v>26</v>
      </c>
      <c r="BE163" t="s">
        <v>125</v>
      </c>
      <c r="BF163" s="1" t="s">
        <v>29</v>
      </c>
      <c r="BG163" s="1">
        <v>6</v>
      </c>
      <c r="BH163">
        <v>2</v>
      </c>
      <c r="BI163">
        <v>1</v>
      </c>
      <c r="BK163">
        <v>1</v>
      </c>
      <c r="BQ163">
        <v>1</v>
      </c>
      <c r="CL163">
        <v>1</v>
      </c>
      <c r="CS163" s="7" t="s">
        <v>294</v>
      </c>
    </row>
    <row r="164" spans="1:98">
      <c r="B164" t="s">
        <v>1406</v>
      </c>
      <c r="C164" s="15" t="s">
        <v>1680</v>
      </c>
      <c r="D164" s="15"/>
      <c r="E164" s="8" t="s">
        <v>654</v>
      </c>
      <c r="F164" s="8" t="s">
        <v>65</v>
      </c>
      <c r="G164" s="1">
        <v>1</v>
      </c>
      <c r="I164" s="1">
        <f>1797-42</f>
        <v>1755</v>
      </c>
      <c r="J164" t="s">
        <v>69</v>
      </c>
      <c r="K164" t="s">
        <v>197</v>
      </c>
      <c r="M164">
        <v>1</v>
      </c>
      <c r="Q164">
        <v>5</v>
      </c>
      <c r="R164">
        <v>5</v>
      </c>
      <c r="S164">
        <v>1</v>
      </c>
      <c r="T164" s="5">
        <f t="shared" si="5"/>
        <v>171.37</v>
      </c>
      <c r="U164" t="s">
        <v>1920</v>
      </c>
      <c r="AE164" s="6">
        <v>1</v>
      </c>
      <c r="AF164" s="6">
        <v>1</v>
      </c>
      <c r="AG164" s="6">
        <v>1</v>
      </c>
      <c r="AH164" s="6">
        <v>1</v>
      </c>
      <c r="AI164" s="7">
        <v>1</v>
      </c>
      <c r="BC164" t="s">
        <v>1681</v>
      </c>
      <c r="BD164" s="7" t="s">
        <v>26</v>
      </c>
      <c r="BE164" t="s">
        <v>125</v>
      </c>
      <c r="BF164" s="1" t="s">
        <v>29</v>
      </c>
      <c r="BG164" s="1">
        <v>6</v>
      </c>
      <c r="BH164">
        <v>2</v>
      </c>
      <c r="BI164">
        <v>1</v>
      </c>
      <c r="BK164">
        <v>1</v>
      </c>
      <c r="BQ164">
        <v>1</v>
      </c>
      <c r="CL164">
        <v>1</v>
      </c>
      <c r="CS164" s="7" t="s">
        <v>1682</v>
      </c>
    </row>
    <row r="165" spans="1:98">
      <c r="B165" t="s">
        <v>1916</v>
      </c>
      <c r="C165" s="2" t="s">
        <v>1917</v>
      </c>
      <c r="D165" s="2" t="s">
        <v>1918</v>
      </c>
      <c r="E165" s="8" t="s">
        <v>1919</v>
      </c>
      <c r="F165" s="8" t="s">
        <v>218</v>
      </c>
      <c r="G165" s="1">
        <v>1</v>
      </c>
      <c r="I165" s="1">
        <f>1797-26</f>
        <v>1771</v>
      </c>
      <c r="J165" t="s">
        <v>10</v>
      </c>
      <c r="K165" t="s">
        <v>12</v>
      </c>
      <c r="Q165">
        <v>5</v>
      </c>
      <c r="R165">
        <v>3</v>
      </c>
      <c r="S165">
        <v>2</v>
      </c>
      <c r="T165" s="5">
        <f t="shared" si="5"/>
        <v>166.33</v>
      </c>
      <c r="U165" t="s">
        <v>1674</v>
      </c>
      <c r="AE165" s="7">
        <v>1</v>
      </c>
      <c r="BC165" t="s">
        <v>1921</v>
      </c>
      <c r="BD165" s="7" t="s">
        <v>103</v>
      </c>
      <c r="BE165" t="s">
        <v>1922</v>
      </c>
      <c r="BF165" s="1" t="s">
        <v>29</v>
      </c>
      <c r="BG165" s="1">
        <v>1</v>
      </c>
      <c r="BH165">
        <v>1</v>
      </c>
      <c r="BK165">
        <v>1</v>
      </c>
      <c r="BN165">
        <v>1</v>
      </c>
      <c r="BQ165">
        <v>1</v>
      </c>
      <c r="CS165" s="7" t="s">
        <v>1754</v>
      </c>
    </row>
    <row r="166" spans="1:98">
      <c r="B166" t="s">
        <v>1671</v>
      </c>
      <c r="C166" s="2" t="s">
        <v>655</v>
      </c>
      <c r="D166" s="2" t="s">
        <v>655</v>
      </c>
      <c r="E166" s="8" t="s">
        <v>654</v>
      </c>
      <c r="F166" s="8" t="s">
        <v>65</v>
      </c>
      <c r="G166" s="1">
        <v>1</v>
      </c>
      <c r="I166" s="1">
        <f>1797-20</f>
        <v>1777</v>
      </c>
      <c r="J166" t="s">
        <v>10</v>
      </c>
      <c r="K166" t="s">
        <v>12</v>
      </c>
      <c r="Q166">
        <v>5</v>
      </c>
      <c r="R166">
        <v>2</v>
      </c>
      <c r="T166" s="5">
        <f t="shared" si="5"/>
        <v>163.26</v>
      </c>
      <c r="U166" t="s">
        <v>1674</v>
      </c>
      <c r="AE166" s="6">
        <v>1</v>
      </c>
      <c r="AF166" s="6">
        <v>1</v>
      </c>
      <c r="AG166" s="6">
        <v>1</v>
      </c>
      <c r="AH166" s="6">
        <v>1</v>
      </c>
      <c r="AI166" s="7">
        <v>1</v>
      </c>
      <c r="BC166" t="s">
        <v>324</v>
      </c>
      <c r="BD166" s="7" t="s">
        <v>109</v>
      </c>
      <c r="BE166" t="s">
        <v>125</v>
      </c>
      <c r="BF166" s="1" t="s">
        <v>29</v>
      </c>
      <c r="BG166" s="1">
        <v>6</v>
      </c>
      <c r="BH166">
        <v>2</v>
      </c>
      <c r="BI166">
        <v>1</v>
      </c>
      <c r="BK166" s="6">
        <v>1</v>
      </c>
      <c r="BQ166">
        <v>1</v>
      </c>
      <c r="CL166">
        <v>1</v>
      </c>
      <c r="CS166" s="7" t="s">
        <v>1672</v>
      </c>
      <c r="CT166" s="6" t="s">
        <v>1673</v>
      </c>
    </row>
    <row r="167" spans="1:98">
      <c r="B167" t="s">
        <v>1661</v>
      </c>
      <c r="C167" s="15" t="s">
        <v>1662</v>
      </c>
      <c r="D167" s="15"/>
      <c r="E167" s="8"/>
      <c r="F167" s="8" t="s">
        <v>115</v>
      </c>
      <c r="G167" s="1">
        <v>1</v>
      </c>
      <c r="I167" s="1">
        <f>1797-20</f>
        <v>1777</v>
      </c>
      <c r="J167" t="s">
        <v>10</v>
      </c>
      <c r="K167" t="s">
        <v>12</v>
      </c>
      <c r="Q167">
        <v>5</v>
      </c>
      <c r="R167">
        <v>4</v>
      </c>
      <c r="S167">
        <v>2</v>
      </c>
      <c r="T167" s="5">
        <f t="shared" si="5"/>
        <v>168.96</v>
      </c>
      <c r="U167" t="s">
        <v>1665</v>
      </c>
      <c r="AE167" s="6">
        <v>1</v>
      </c>
      <c r="AF167" s="14">
        <v>1</v>
      </c>
      <c r="BC167" s="9" t="s">
        <v>1663</v>
      </c>
      <c r="BD167" s="14" t="s">
        <v>338</v>
      </c>
      <c r="BE167" t="s">
        <v>125</v>
      </c>
      <c r="BF167" s="1" t="s">
        <v>29</v>
      </c>
      <c r="BG167" s="1">
        <v>1</v>
      </c>
      <c r="BH167">
        <v>2</v>
      </c>
      <c r="BI167">
        <v>1</v>
      </c>
      <c r="BK167">
        <v>1</v>
      </c>
      <c r="BQ167">
        <v>1</v>
      </c>
      <c r="CL167">
        <v>1</v>
      </c>
      <c r="CS167" s="14" t="s">
        <v>1664</v>
      </c>
    </row>
    <row r="168" spans="1:98">
      <c r="B168" t="s">
        <v>1546</v>
      </c>
      <c r="C168" s="13" t="s">
        <v>1547</v>
      </c>
      <c r="D168" s="15"/>
      <c r="E168" s="8"/>
      <c r="F168" s="8" t="s">
        <v>1548</v>
      </c>
      <c r="H168" s="1">
        <v>1</v>
      </c>
      <c r="I168" s="1">
        <f>1799-24</f>
        <v>1775</v>
      </c>
      <c r="J168" t="s">
        <v>10</v>
      </c>
      <c r="K168" t="s">
        <v>1549</v>
      </c>
      <c r="T168" s="5"/>
      <c r="U168" t="s">
        <v>1550</v>
      </c>
      <c r="AE168" s="6">
        <v>1</v>
      </c>
      <c r="AF168" s="6">
        <v>1</v>
      </c>
      <c r="AG168" s="6">
        <v>1</v>
      </c>
      <c r="AH168" s="7">
        <v>1</v>
      </c>
      <c r="BC168" t="s">
        <v>496</v>
      </c>
      <c r="BD168" s="7" t="s">
        <v>26</v>
      </c>
      <c r="BE168" t="s">
        <v>849</v>
      </c>
      <c r="BF168" s="1" t="s">
        <v>29</v>
      </c>
      <c r="BG168" s="1">
        <v>4</v>
      </c>
      <c r="BH168">
        <v>2</v>
      </c>
      <c r="BO168">
        <v>1</v>
      </c>
      <c r="BR168">
        <v>1</v>
      </c>
      <c r="BS168">
        <v>1</v>
      </c>
      <c r="CS168" s="7" t="s">
        <v>1551</v>
      </c>
    </row>
    <row r="169" spans="1:98">
      <c r="B169" t="s">
        <v>2765</v>
      </c>
      <c r="C169" s="2" t="s">
        <v>2766</v>
      </c>
      <c r="D169" s="2" t="s">
        <v>2766</v>
      </c>
      <c r="E169" s="8" t="s">
        <v>238</v>
      </c>
      <c r="F169" s="8" t="s">
        <v>65</v>
      </c>
      <c r="G169" s="1">
        <v>1</v>
      </c>
      <c r="I169" s="1">
        <f>1802-21</f>
        <v>1781</v>
      </c>
      <c r="J169" t="s">
        <v>10</v>
      </c>
      <c r="K169" t="s">
        <v>12</v>
      </c>
      <c r="Q169">
        <v>5</v>
      </c>
      <c r="T169" s="5">
        <f t="shared" si="5"/>
        <v>158</v>
      </c>
      <c r="U169" t="s">
        <v>2767</v>
      </c>
      <c r="AE169" s="6">
        <v>1</v>
      </c>
      <c r="AF169" s="6">
        <v>1</v>
      </c>
      <c r="AG169" s="6">
        <v>1</v>
      </c>
      <c r="AH169" s="6">
        <v>1</v>
      </c>
      <c r="AI169" s="6">
        <v>1</v>
      </c>
      <c r="AJ169" s="6">
        <v>1</v>
      </c>
      <c r="AK169" s="7">
        <v>1</v>
      </c>
      <c r="BC169" t="s">
        <v>1948</v>
      </c>
      <c r="BD169" s="7" t="s">
        <v>103</v>
      </c>
      <c r="BE169" t="s">
        <v>2005</v>
      </c>
      <c r="BF169" s="1" t="s">
        <v>29</v>
      </c>
      <c r="BG169" s="1">
        <v>2</v>
      </c>
      <c r="BH169">
        <v>1</v>
      </c>
      <c r="BK169" s="1">
        <v>1</v>
      </c>
      <c r="BQ169">
        <v>1</v>
      </c>
      <c r="CS169" s="7" t="s">
        <v>1066</v>
      </c>
    </row>
    <row r="170" spans="1:98">
      <c r="B170" t="s">
        <v>2795</v>
      </c>
      <c r="C170" s="2" t="s">
        <v>208</v>
      </c>
      <c r="D170" s="2" t="s">
        <v>208</v>
      </c>
      <c r="E170" s="8" t="s">
        <v>832</v>
      </c>
      <c r="F170" s="8" t="s">
        <v>65</v>
      </c>
      <c r="G170" s="1">
        <v>1</v>
      </c>
      <c r="I170" s="1">
        <f>1797-20</f>
        <v>1777</v>
      </c>
      <c r="J170" t="s">
        <v>10</v>
      </c>
      <c r="K170" t="s">
        <v>12</v>
      </c>
      <c r="Q170">
        <v>5</v>
      </c>
      <c r="R170">
        <v>1</v>
      </c>
      <c r="S170">
        <v>2</v>
      </c>
      <c r="T170" s="5">
        <f t="shared" si="5"/>
        <v>161.07</v>
      </c>
      <c r="U170" t="s">
        <v>2796</v>
      </c>
      <c r="AE170" s="6">
        <v>1</v>
      </c>
      <c r="BC170">
        <v>1797</v>
      </c>
      <c r="BD170" t="s">
        <v>81</v>
      </c>
      <c r="BE170" s="10" t="s">
        <v>2407</v>
      </c>
      <c r="BF170" s="1" t="s">
        <v>73</v>
      </c>
      <c r="BG170" s="1">
        <v>1</v>
      </c>
      <c r="BH170">
        <v>2</v>
      </c>
      <c r="BK170" s="1">
        <v>1</v>
      </c>
      <c r="BQ170">
        <v>1</v>
      </c>
      <c r="CL170" s="10">
        <v>1</v>
      </c>
      <c r="CS170" s="10" t="s">
        <v>2782</v>
      </c>
    </row>
    <row r="171" spans="1:98">
      <c r="B171" t="s">
        <v>2819</v>
      </c>
      <c r="C171" s="2" t="s">
        <v>208</v>
      </c>
      <c r="D171" s="2" t="s">
        <v>208</v>
      </c>
      <c r="E171" s="8" t="s">
        <v>832</v>
      </c>
      <c r="F171" s="8" t="s">
        <v>65</v>
      </c>
      <c r="G171" s="1">
        <v>1</v>
      </c>
      <c r="I171" s="1">
        <f>1797-20</f>
        <v>1777</v>
      </c>
      <c r="J171" t="s">
        <v>69</v>
      </c>
      <c r="K171" t="s">
        <v>12</v>
      </c>
      <c r="Q171">
        <v>5</v>
      </c>
      <c r="R171">
        <v>2</v>
      </c>
      <c r="T171" s="5">
        <f t="shared" si="5"/>
        <v>163.26</v>
      </c>
      <c r="U171" t="s">
        <v>2796</v>
      </c>
      <c r="AE171" s="7">
        <v>1</v>
      </c>
      <c r="AF171" s="7">
        <v>1</v>
      </c>
      <c r="BC171" t="s">
        <v>2820</v>
      </c>
      <c r="BD171" s="7" t="s">
        <v>280</v>
      </c>
      <c r="BE171" t="s">
        <v>2407</v>
      </c>
      <c r="BF171" s="1" t="s">
        <v>29</v>
      </c>
      <c r="BG171" s="1">
        <v>2</v>
      </c>
      <c r="BH171">
        <v>1</v>
      </c>
      <c r="BK171" s="1">
        <v>1</v>
      </c>
      <c r="BQ171">
        <v>1</v>
      </c>
      <c r="CN171">
        <v>1</v>
      </c>
      <c r="CS171" s="7" t="s">
        <v>1425</v>
      </c>
    </row>
    <row r="172" spans="1:98">
      <c r="B172" t="s">
        <v>2808</v>
      </c>
      <c r="C172" s="2" t="s">
        <v>1427</v>
      </c>
      <c r="D172" s="3" t="s">
        <v>2809</v>
      </c>
      <c r="E172" s="8" t="s">
        <v>238</v>
      </c>
      <c r="F172" s="8" t="s">
        <v>65</v>
      </c>
      <c r="G172" s="1">
        <v>1</v>
      </c>
      <c r="I172" s="1">
        <f>1803-26</f>
        <v>1777</v>
      </c>
      <c r="J172" t="s">
        <v>10</v>
      </c>
      <c r="K172" t="s">
        <v>12</v>
      </c>
      <c r="Q172">
        <v>5</v>
      </c>
      <c r="R172">
        <v>3</v>
      </c>
      <c r="S172">
        <v>3</v>
      </c>
      <c r="T172" s="5">
        <f t="shared" si="5"/>
        <v>166.55</v>
      </c>
      <c r="U172" t="s">
        <v>2798</v>
      </c>
      <c r="AE172" s="7">
        <v>1</v>
      </c>
      <c r="AF172" s="7">
        <v>1</v>
      </c>
      <c r="AG172" s="7">
        <v>1</v>
      </c>
      <c r="AH172" s="7">
        <v>1</v>
      </c>
      <c r="AI172" s="7">
        <v>1</v>
      </c>
      <c r="AJ172" s="7">
        <v>1</v>
      </c>
      <c r="AK172" s="7">
        <v>1</v>
      </c>
      <c r="AL172" s="7">
        <v>1</v>
      </c>
      <c r="BC172" t="s">
        <v>2810</v>
      </c>
      <c r="BD172" s="7" t="s">
        <v>103</v>
      </c>
      <c r="BE172" t="s">
        <v>2005</v>
      </c>
      <c r="BF172" s="1" t="s">
        <v>29</v>
      </c>
      <c r="BG172" s="1">
        <v>3</v>
      </c>
      <c r="BH172">
        <v>1</v>
      </c>
      <c r="BK172" s="1">
        <v>1</v>
      </c>
      <c r="BQ172">
        <v>1</v>
      </c>
      <c r="CS172" s="7" t="s">
        <v>2758</v>
      </c>
    </row>
    <row r="173" spans="1:98">
      <c r="B173" t="s">
        <v>2799</v>
      </c>
      <c r="C173" s="2" t="s">
        <v>1328</v>
      </c>
      <c r="D173" s="2" t="s">
        <v>1328</v>
      </c>
      <c r="E173" s="8" t="s">
        <v>832</v>
      </c>
      <c r="F173" s="8" t="s">
        <v>65</v>
      </c>
      <c r="G173" s="1">
        <v>1</v>
      </c>
      <c r="I173" s="1">
        <f>1797-18</f>
        <v>1779</v>
      </c>
      <c r="J173" t="s">
        <v>10</v>
      </c>
      <c r="K173" t="s">
        <v>12</v>
      </c>
      <c r="Q173">
        <v>5</v>
      </c>
      <c r="R173">
        <v>2</v>
      </c>
      <c r="S173">
        <v>3</v>
      </c>
      <c r="T173" s="5">
        <f t="shared" si="5"/>
        <v>163.92</v>
      </c>
      <c r="U173" t="s">
        <v>2798</v>
      </c>
      <c r="AE173" s="6">
        <v>1</v>
      </c>
      <c r="BC173">
        <v>1797</v>
      </c>
      <c r="BD173" t="s">
        <v>81</v>
      </c>
      <c r="BE173" s="10" t="s">
        <v>2407</v>
      </c>
      <c r="BF173" s="1" t="s">
        <v>73</v>
      </c>
      <c r="BG173" s="1">
        <v>1</v>
      </c>
      <c r="BH173">
        <v>1</v>
      </c>
      <c r="BK173" s="1">
        <v>1</v>
      </c>
      <c r="BQ173">
        <v>1</v>
      </c>
      <c r="CL173" s="10">
        <v>1</v>
      </c>
      <c r="CS173" s="10" t="s">
        <v>2782</v>
      </c>
    </row>
    <row r="174" spans="1:98">
      <c r="B174" t="s">
        <v>2797</v>
      </c>
      <c r="C174" s="2" t="s">
        <v>1328</v>
      </c>
      <c r="D174" s="2" t="s">
        <v>1328</v>
      </c>
      <c r="E174" s="8" t="s">
        <v>832</v>
      </c>
      <c r="F174" s="8" t="s">
        <v>65</v>
      </c>
      <c r="G174" s="1">
        <v>1</v>
      </c>
      <c r="I174" s="1">
        <f>1797-24</f>
        <v>1773</v>
      </c>
      <c r="J174" t="s">
        <v>10</v>
      </c>
      <c r="K174" t="s">
        <v>12</v>
      </c>
      <c r="Q174">
        <v>5</v>
      </c>
      <c r="R174">
        <v>1</v>
      </c>
      <c r="S174">
        <v>2</v>
      </c>
      <c r="T174" s="5">
        <f t="shared" si="5"/>
        <v>161.07</v>
      </c>
      <c r="U174" t="s">
        <v>2798</v>
      </c>
      <c r="AE174" s="6">
        <v>1</v>
      </c>
      <c r="BC174">
        <v>1797</v>
      </c>
      <c r="BD174" t="s">
        <v>81</v>
      </c>
      <c r="BE174" s="10" t="s">
        <v>2407</v>
      </c>
      <c r="BF174" s="1" t="s">
        <v>73</v>
      </c>
      <c r="BG174" s="1">
        <v>1</v>
      </c>
      <c r="BH174">
        <v>1</v>
      </c>
      <c r="BK174" s="1">
        <v>1</v>
      </c>
      <c r="BQ174">
        <v>1</v>
      </c>
      <c r="CL174" s="10">
        <v>1</v>
      </c>
      <c r="CS174" s="10" t="s">
        <v>2782</v>
      </c>
    </row>
    <row r="175" spans="1:98">
      <c r="A175" t="s">
        <v>7</v>
      </c>
      <c r="B175" t="s">
        <v>333</v>
      </c>
      <c r="C175" s="15"/>
      <c r="D175" s="15"/>
      <c r="E175" s="8"/>
      <c r="F175" t="s">
        <v>7</v>
      </c>
      <c r="T175" s="5"/>
      <c r="U175" t="s">
        <v>334</v>
      </c>
      <c r="AE175" s="6">
        <v>1</v>
      </c>
      <c r="AF175" s="6">
        <v>1</v>
      </c>
      <c r="AG175" s="6">
        <v>1</v>
      </c>
      <c r="AH175" s="6">
        <v>1</v>
      </c>
      <c r="AI175" s="7">
        <v>1</v>
      </c>
      <c r="BC175" t="s">
        <v>308</v>
      </c>
      <c r="BD175" s="7" t="s">
        <v>109</v>
      </c>
      <c r="BE175" t="s">
        <v>125</v>
      </c>
      <c r="BF175" s="1" t="s">
        <v>29</v>
      </c>
      <c r="BG175" s="1">
        <v>5</v>
      </c>
      <c r="BH175">
        <v>1</v>
      </c>
      <c r="BK175" s="1">
        <v>1</v>
      </c>
      <c r="BQ175">
        <v>1</v>
      </c>
      <c r="CS175" s="7" t="s">
        <v>1763</v>
      </c>
    </row>
    <row r="176" spans="1:98">
      <c r="A176" t="s">
        <v>7</v>
      </c>
      <c r="B176" t="s">
        <v>317</v>
      </c>
      <c r="C176" s="15"/>
      <c r="D176" s="15"/>
      <c r="E176" s="8"/>
      <c r="F176" t="s">
        <v>7</v>
      </c>
      <c r="T176" s="5"/>
      <c r="U176" t="s">
        <v>315</v>
      </c>
      <c r="AE176" s="6">
        <v>1</v>
      </c>
      <c r="AF176" s="6">
        <v>1</v>
      </c>
      <c r="AG176" s="7">
        <v>1</v>
      </c>
      <c r="BC176" t="s">
        <v>318</v>
      </c>
      <c r="BD176" s="7" t="s">
        <v>26</v>
      </c>
      <c r="BE176" t="s">
        <v>125</v>
      </c>
      <c r="BF176" s="1" t="s">
        <v>29</v>
      </c>
      <c r="BG176" s="1">
        <v>3</v>
      </c>
      <c r="BH176">
        <v>1</v>
      </c>
      <c r="BK176" s="1">
        <v>1</v>
      </c>
      <c r="BQ176">
        <v>1</v>
      </c>
      <c r="CS176" s="7" t="s">
        <v>319</v>
      </c>
    </row>
    <row r="177" spans="1:98">
      <c r="B177" t="s">
        <v>737</v>
      </c>
      <c r="C177" s="15" t="s">
        <v>738</v>
      </c>
      <c r="D177" s="15" t="s">
        <v>739</v>
      </c>
      <c r="E177" s="8" t="s">
        <v>740</v>
      </c>
      <c r="F177" s="8" t="s">
        <v>65</v>
      </c>
      <c r="G177" s="1">
        <v>1</v>
      </c>
      <c r="I177" s="1">
        <f>1797-19</f>
        <v>1778</v>
      </c>
      <c r="J177" t="s">
        <v>10</v>
      </c>
      <c r="K177" t="s">
        <v>12</v>
      </c>
      <c r="Q177">
        <v>5</v>
      </c>
      <c r="R177">
        <v>2</v>
      </c>
      <c r="S177">
        <v>1</v>
      </c>
      <c r="T177" s="5">
        <f>((Q177*316)+(R177*26.3)+(S177*2.2))/10</f>
        <v>163.47999999999999</v>
      </c>
      <c r="U177" t="s">
        <v>315</v>
      </c>
      <c r="AE177" s="6">
        <v>1</v>
      </c>
      <c r="AF177" s="6">
        <v>1</v>
      </c>
      <c r="AG177" s="6">
        <v>1</v>
      </c>
      <c r="AH177" s="6">
        <v>1</v>
      </c>
      <c r="AI177" s="6">
        <v>1</v>
      </c>
      <c r="AJ177" s="6">
        <v>1</v>
      </c>
      <c r="AK177" s="6">
        <v>1</v>
      </c>
      <c r="AL177" s="6">
        <v>1</v>
      </c>
      <c r="AM177" s="6">
        <v>1</v>
      </c>
      <c r="AN177" s="7">
        <v>1</v>
      </c>
      <c r="BC177" t="s">
        <v>198</v>
      </c>
      <c r="BD177" s="7" t="s">
        <v>109</v>
      </c>
      <c r="BE177" t="s">
        <v>125</v>
      </c>
      <c r="BF177" s="1" t="s">
        <v>29</v>
      </c>
      <c r="BG177" s="1">
        <v>7</v>
      </c>
      <c r="BH177">
        <v>2</v>
      </c>
      <c r="BK177" s="1">
        <v>1</v>
      </c>
      <c r="BQ177">
        <v>1</v>
      </c>
      <c r="CL177">
        <v>1</v>
      </c>
      <c r="CS177" s="7" t="s">
        <v>354</v>
      </c>
    </row>
    <row r="178" spans="1:98">
      <c r="A178" t="s">
        <v>7</v>
      </c>
      <c r="B178" t="s">
        <v>314</v>
      </c>
      <c r="C178" s="15"/>
      <c r="D178" s="15"/>
      <c r="E178" s="8"/>
      <c r="F178" t="s">
        <v>7</v>
      </c>
      <c r="T178" s="5"/>
      <c r="U178" t="s">
        <v>315</v>
      </c>
      <c r="AE178" s="6">
        <v>1</v>
      </c>
      <c r="AF178" s="6">
        <v>1</v>
      </c>
      <c r="AG178" s="7">
        <v>1</v>
      </c>
      <c r="BC178" t="s">
        <v>316</v>
      </c>
      <c r="BD178" s="7" t="s">
        <v>260</v>
      </c>
      <c r="BE178" t="s">
        <v>125</v>
      </c>
      <c r="BF178" s="1" t="s">
        <v>29</v>
      </c>
      <c r="BG178" s="1">
        <v>3</v>
      </c>
      <c r="BH178">
        <v>1</v>
      </c>
      <c r="BK178" s="1">
        <v>1</v>
      </c>
      <c r="BQ178">
        <v>1</v>
      </c>
      <c r="CS178" s="7" t="s">
        <v>509</v>
      </c>
    </row>
    <row r="179" spans="1:98">
      <c r="B179" t="s">
        <v>1323</v>
      </c>
      <c r="C179" s="2" t="s">
        <v>1324</v>
      </c>
      <c r="D179" s="15"/>
      <c r="E179" s="8"/>
      <c r="F179" t="s">
        <v>115</v>
      </c>
      <c r="G179" s="1">
        <v>1</v>
      </c>
      <c r="I179" s="1">
        <f>1802-31</f>
        <v>1771</v>
      </c>
      <c r="J179" t="s">
        <v>10</v>
      </c>
      <c r="K179" t="s">
        <v>12</v>
      </c>
      <c r="Q179">
        <v>5</v>
      </c>
      <c r="R179">
        <v>4</v>
      </c>
      <c r="S179">
        <v>1</v>
      </c>
      <c r="T179" s="5">
        <f>((Q179*316)+(R179*26.3)+(S179*2.2))/10</f>
        <v>168.74</v>
      </c>
      <c r="U179" t="s">
        <v>315</v>
      </c>
      <c r="AE179" s="6">
        <v>1</v>
      </c>
      <c r="AF179" s="6">
        <v>1</v>
      </c>
      <c r="AG179" s="6">
        <v>1</v>
      </c>
      <c r="AH179" s="6">
        <v>1</v>
      </c>
      <c r="AI179" s="6">
        <v>1</v>
      </c>
      <c r="AJ179" s="6">
        <v>1</v>
      </c>
      <c r="AK179" s="6">
        <v>1</v>
      </c>
      <c r="AL179" s="6">
        <v>1</v>
      </c>
      <c r="AM179" s="6">
        <v>1</v>
      </c>
      <c r="AN179" s="7">
        <v>1</v>
      </c>
      <c r="BC179" t="s">
        <v>1325</v>
      </c>
      <c r="BD179" s="7" t="s">
        <v>26</v>
      </c>
      <c r="BE179" t="s">
        <v>125</v>
      </c>
      <c r="BF179" s="1" t="s">
        <v>29</v>
      </c>
      <c r="BG179" s="1">
        <v>12</v>
      </c>
      <c r="BH179">
        <v>1</v>
      </c>
      <c r="BK179" s="1">
        <v>1</v>
      </c>
      <c r="BQ179">
        <v>1</v>
      </c>
      <c r="CS179" s="7" t="s">
        <v>1326</v>
      </c>
    </row>
    <row r="180" spans="1:98">
      <c r="A180" t="s">
        <v>7</v>
      </c>
      <c r="B180" t="s">
        <v>1364</v>
      </c>
      <c r="C180" s="15"/>
      <c r="D180" s="15"/>
      <c r="E180" s="8"/>
      <c r="F180" t="s">
        <v>7</v>
      </c>
      <c r="T180" s="5"/>
      <c r="U180" t="s">
        <v>1365</v>
      </c>
      <c r="AE180" s="6">
        <v>1</v>
      </c>
      <c r="AF180" s="6">
        <v>1</v>
      </c>
      <c r="AG180" s="14">
        <v>1</v>
      </c>
      <c r="BC180" s="9" t="s">
        <v>1366</v>
      </c>
      <c r="BD180" s="14" t="s">
        <v>338</v>
      </c>
      <c r="BE180" t="s">
        <v>125</v>
      </c>
      <c r="BF180" s="1" t="s">
        <v>339</v>
      </c>
      <c r="BG180" s="1">
        <v>3</v>
      </c>
      <c r="BH180">
        <v>1</v>
      </c>
      <c r="BK180" s="1">
        <v>1</v>
      </c>
      <c r="BQ180">
        <v>1</v>
      </c>
      <c r="CS180" s="14" t="s">
        <v>1367</v>
      </c>
    </row>
    <row r="181" spans="1:98">
      <c r="B181" t="s">
        <v>2759</v>
      </c>
      <c r="C181" s="2" t="s">
        <v>1500</v>
      </c>
      <c r="D181" s="2" t="s">
        <v>1500</v>
      </c>
      <c r="E181" s="8" t="s">
        <v>238</v>
      </c>
      <c r="F181" t="s">
        <v>65</v>
      </c>
      <c r="G181" s="1">
        <v>1</v>
      </c>
      <c r="I181" s="1">
        <f>1802-28</f>
        <v>1774</v>
      </c>
      <c r="J181" t="s">
        <v>10</v>
      </c>
      <c r="K181" t="s">
        <v>2517</v>
      </c>
      <c r="Q181">
        <v>5</v>
      </c>
      <c r="R181">
        <v>1</v>
      </c>
      <c r="T181" s="5">
        <f t="shared" ref="T181:T187" si="6">((Q181*316)+(R181*26.3)+(S181*2.2))/10</f>
        <v>160.63</v>
      </c>
      <c r="U181" t="s">
        <v>1365</v>
      </c>
      <c r="AE181" s="6">
        <v>1</v>
      </c>
      <c r="AF181" s="6">
        <v>1</v>
      </c>
      <c r="AG181" s="6">
        <v>1</v>
      </c>
      <c r="AH181" s="6">
        <v>1</v>
      </c>
      <c r="AI181" s="6">
        <v>1</v>
      </c>
      <c r="AJ181" s="6">
        <v>1</v>
      </c>
      <c r="AK181" s="7">
        <v>1</v>
      </c>
      <c r="BC181" t="s">
        <v>1416</v>
      </c>
      <c r="BD181" s="7" t="s">
        <v>280</v>
      </c>
      <c r="BE181" t="s">
        <v>2005</v>
      </c>
      <c r="BF181" s="1" t="s">
        <v>29</v>
      </c>
      <c r="BG181" s="1">
        <v>2</v>
      </c>
      <c r="BH181">
        <v>1</v>
      </c>
      <c r="BK181" s="1">
        <v>1</v>
      </c>
      <c r="BQ181">
        <v>1</v>
      </c>
      <c r="CN181">
        <v>1</v>
      </c>
      <c r="CS181" s="7" t="s">
        <v>2748</v>
      </c>
    </row>
    <row r="182" spans="1:98">
      <c r="B182" t="s">
        <v>2800</v>
      </c>
      <c r="C182" s="2" t="s">
        <v>1427</v>
      </c>
      <c r="D182" s="2" t="s">
        <v>1427</v>
      </c>
      <c r="E182" s="8" t="s">
        <v>238</v>
      </c>
      <c r="F182" t="s">
        <v>65</v>
      </c>
      <c r="G182" s="1">
        <v>1</v>
      </c>
      <c r="I182" s="1">
        <f>1802-26</f>
        <v>1776</v>
      </c>
      <c r="J182" t="s">
        <v>69</v>
      </c>
      <c r="K182" t="s">
        <v>12</v>
      </c>
      <c r="Q182">
        <v>5</v>
      </c>
      <c r="R182">
        <v>0</v>
      </c>
      <c r="S182">
        <v>2</v>
      </c>
      <c r="T182" s="5">
        <f t="shared" si="6"/>
        <v>158.44</v>
      </c>
      <c r="U182" t="s">
        <v>2801</v>
      </c>
      <c r="AE182" s="6">
        <v>1</v>
      </c>
      <c r="AF182" s="6">
        <v>1</v>
      </c>
      <c r="AG182" s="6">
        <v>1</v>
      </c>
      <c r="AH182" s="6">
        <v>1</v>
      </c>
      <c r="AI182" s="6">
        <v>1</v>
      </c>
      <c r="AJ182" s="6">
        <v>1</v>
      </c>
      <c r="AK182" s="7">
        <v>1</v>
      </c>
      <c r="BC182" t="s">
        <v>1416</v>
      </c>
      <c r="BD182" s="7" t="s">
        <v>280</v>
      </c>
      <c r="BE182" t="s">
        <v>2005</v>
      </c>
      <c r="BF182" s="1" t="s">
        <v>29</v>
      </c>
      <c r="BG182" s="1">
        <v>2</v>
      </c>
      <c r="BH182">
        <v>1</v>
      </c>
      <c r="BK182" s="1">
        <v>1</v>
      </c>
      <c r="BQ182">
        <v>1</v>
      </c>
      <c r="CN182">
        <v>1</v>
      </c>
      <c r="CS182" s="7" t="s">
        <v>2748</v>
      </c>
    </row>
    <row r="183" spans="1:98">
      <c r="B183" t="s">
        <v>2431</v>
      </c>
      <c r="C183" s="2" t="s">
        <v>2432</v>
      </c>
      <c r="D183" s="3" t="s">
        <v>2433</v>
      </c>
      <c r="E183" s="8" t="s">
        <v>740</v>
      </c>
      <c r="F183" s="8" t="s">
        <v>65</v>
      </c>
      <c r="G183" s="1">
        <v>1</v>
      </c>
      <c r="I183" s="1">
        <f>1797-40</f>
        <v>1757</v>
      </c>
      <c r="J183" t="s">
        <v>69</v>
      </c>
      <c r="K183" t="s">
        <v>12</v>
      </c>
      <c r="Q183">
        <v>5</v>
      </c>
      <c r="R183">
        <v>4</v>
      </c>
      <c r="S183">
        <v>3</v>
      </c>
      <c r="T183" s="5">
        <f t="shared" si="6"/>
        <v>169.18</v>
      </c>
      <c r="U183" t="s">
        <v>2434</v>
      </c>
      <c r="AE183" s="7">
        <v>1</v>
      </c>
      <c r="BC183" t="s">
        <v>2435</v>
      </c>
      <c r="BD183" s="7" t="s">
        <v>103</v>
      </c>
      <c r="BE183" t="s">
        <v>1922</v>
      </c>
      <c r="BF183" s="1" t="s">
        <v>29</v>
      </c>
      <c r="BG183" s="1">
        <v>1</v>
      </c>
      <c r="BH183">
        <v>1</v>
      </c>
      <c r="BK183" s="1">
        <v>1</v>
      </c>
      <c r="BQ183">
        <v>1</v>
      </c>
      <c r="CS183" s="7" t="s">
        <v>1754</v>
      </c>
    </row>
    <row r="184" spans="1:98">
      <c r="B184" t="s">
        <v>728</v>
      </c>
      <c r="C184" s="15" t="s">
        <v>729</v>
      </c>
      <c r="D184" s="15"/>
      <c r="E184" s="8"/>
      <c r="F184" s="8" t="s">
        <v>218</v>
      </c>
      <c r="G184" s="1">
        <v>1</v>
      </c>
      <c r="I184" s="1">
        <f>1802-25</f>
        <v>1777</v>
      </c>
      <c r="J184" t="s">
        <v>10</v>
      </c>
      <c r="K184" t="s">
        <v>730</v>
      </c>
      <c r="Q184">
        <v>5</v>
      </c>
      <c r="R184">
        <v>4</v>
      </c>
      <c r="T184" s="5">
        <f t="shared" si="6"/>
        <v>168.52</v>
      </c>
      <c r="U184" t="s">
        <v>731</v>
      </c>
      <c r="AE184" s="6">
        <v>1</v>
      </c>
      <c r="AF184" s="6">
        <v>1</v>
      </c>
      <c r="AG184" s="6">
        <v>1</v>
      </c>
      <c r="AH184" s="6">
        <v>1</v>
      </c>
      <c r="AI184" s="6">
        <v>1</v>
      </c>
      <c r="AJ184" s="6">
        <v>1</v>
      </c>
      <c r="AK184" s="6">
        <v>1</v>
      </c>
      <c r="AL184" s="6">
        <v>1</v>
      </c>
      <c r="AM184" s="6">
        <v>1</v>
      </c>
      <c r="AN184" s="7">
        <v>1</v>
      </c>
      <c r="BC184" t="s">
        <v>198</v>
      </c>
      <c r="BD184" s="7" t="s">
        <v>109</v>
      </c>
      <c r="BE184" t="s">
        <v>125</v>
      </c>
      <c r="BF184" s="1" t="s">
        <v>29</v>
      </c>
      <c r="BG184" s="1">
        <v>10</v>
      </c>
      <c r="BH184">
        <v>2</v>
      </c>
      <c r="BK184" s="1">
        <v>1</v>
      </c>
      <c r="BQ184">
        <v>1</v>
      </c>
      <c r="CL184">
        <v>1</v>
      </c>
      <c r="CS184" s="7" t="s">
        <v>354</v>
      </c>
    </row>
    <row r="185" spans="1:98">
      <c r="B185" t="s">
        <v>2815</v>
      </c>
      <c r="C185" s="2" t="s">
        <v>2816</v>
      </c>
      <c r="D185" s="2" t="s">
        <v>2817</v>
      </c>
      <c r="E185" s="8" t="s">
        <v>1306</v>
      </c>
      <c r="F185" s="8" t="s">
        <v>65</v>
      </c>
      <c r="G185" s="1">
        <v>1</v>
      </c>
      <c r="I185" s="1">
        <f>1803-28</f>
        <v>1775</v>
      </c>
      <c r="J185" t="s">
        <v>10</v>
      </c>
      <c r="K185" t="s">
        <v>12</v>
      </c>
      <c r="Q185">
        <v>5</v>
      </c>
      <c r="R185">
        <v>3</v>
      </c>
      <c r="S185">
        <v>1</v>
      </c>
      <c r="T185" s="5">
        <f t="shared" si="6"/>
        <v>166.11</v>
      </c>
      <c r="U185" t="s">
        <v>2818</v>
      </c>
      <c r="AE185" s="6">
        <v>1</v>
      </c>
      <c r="AF185" s="6">
        <v>1</v>
      </c>
      <c r="AG185" s="6">
        <v>1</v>
      </c>
      <c r="AH185" s="6">
        <v>1</v>
      </c>
      <c r="AI185" s="6">
        <v>1</v>
      </c>
      <c r="AJ185" s="6">
        <v>1</v>
      </c>
      <c r="AK185" s="6">
        <v>1</v>
      </c>
      <c r="AL185" s="7">
        <v>1</v>
      </c>
      <c r="BC185" t="s">
        <v>2810</v>
      </c>
      <c r="BD185" s="7" t="s">
        <v>280</v>
      </c>
      <c r="BE185" t="s">
        <v>2005</v>
      </c>
      <c r="BF185" s="1" t="s">
        <v>29</v>
      </c>
      <c r="BG185" s="1">
        <v>4</v>
      </c>
      <c r="BH185">
        <v>1</v>
      </c>
      <c r="BK185" s="1">
        <v>1</v>
      </c>
      <c r="BQ185">
        <v>1</v>
      </c>
      <c r="CN185">
        <v>1</v>
      </c>
      <c r="CS185" s="7" t="s">
        <v>2748</v>
      </c>
    </row>
    <row r="186" spans="1:98">
      <c r="B186" t="s">
        <v>992</v>
      </c>
      <c r="C186" s="2" t="s">
        <v>166</v>
      </c>
      <c r="E186" s="8"/>
      <c r="F186" s="8" t="s">
        <v>65</v>
      </c>
      <c r="G186" s="1">
        <v>1</v>
      </c>
      <c r="I186" s="1">
        <f>1802-29</f>
        <v>1773</v>
      </c>
      <c r="J186" t="s">
        <v>69</v>
      </c>
      <c r="K186" t="s">
        <v>12</v>
      </c>
      <c r="M186">
        <v>1</v>
      </c>
      <c r="Q186">
        <v>5</v>
      </c>
      <c r="R186">
        <v>4</v>
      </c>
      <c r="T186" s="5">
        <f t="shared" si="6"/>
        <v>168.52</v>
      </c>
      <c r="U186" t="s">
        <v>993</v>
      </c>
      <c r="AE186" s="6">
        <v>1</v>
      </c>
      <c r="AF186" s="6">
        <v>1</v>
      </c>
      <c r="AG186" s="6">
        <v>1</v>
      </c>
      <c r="AH186" s="6">
        <v>1</v>
      </c>
      <c r="AI186" s="6">
        <v>1</v>
      </c>
      <c r="AJ186" s="6">
        <v>1</v>
      </c>
      <c r="AK186" s="6">
        <v>1</v>
      </c>
      <c r="AL186" s="7">
        <v>1</v>
      </c>
      <c r="BC186" t="s">
        <v>994</v>
      </c>
      <c r="BD186" s="7" t="s">
        <v>280</v>
      </c>
      <c r="BE186" t="s">
        <v>874</v>
      </c>
      <c r="BF186" s="1" t="s">
        <v>29</v>
      </c>
      <c r="BG186" s="1">
        <v>3</v>
      </c>
      <c r="BH186">
        <v>3</v>
      </c>
      <c r="BO186">
        <v>1</v>
      </c>
      <c r="BR186">
        <v>1</v>
      </c>
      <c r="BS186">
        <v>1</v>
      </c>
      <c r="BV186">
        <v>1</v>
      </c>
      <c r="CL186">
        <v>1</v>
      </c>
      <c r="CN186">
        <v>1</v>
      </c>
      <c r="CS186" s="7" t="s">
        <v>351</v>
      </c>
    </row>
    <row r="187" spans="1:98">
      <c r="B187" t="s">
        <v>898</v>
      </c>
      <c r="C187" s="2" t="s">
        <v>899</v>
      </c>
      <c r="D187" s="15"/>
      <c r="E187" s="8"/>
      <c r="F187" s="8" t="s">
        <v>409</v>
      </c>
      <c r="H187" s="1">
        <v>1</v>
      </c>
      <c r="J187" t="s">
        <v>10</v>
      </c>
      <c r="K187" t="s">
        <v>900</v>
      </c>
      <c r="Q187">
        <v>5</v>
      </c>
      <c r="R187">
        <v>3</v>
      </c>
      <c r="S187">
        <v>3</v>
      </c>
      <c r="T187" s="5">
        <f t="shared" si="6"/>
        <v>166.55</v>
      </c>
      <c r="U187" s="9" t="s">
        <v>901</v>
      </c>
      <c r="AF187" s="9">
        <v>1</v>
      </c>
      <c r="AG187" s="9"/>
      <c r="AH187" s="9"/>
      <c r="AI187" s="6">
        <v>1</v>
      </c>
      <c r="AJ187" s="7">
        <v>1</v>
      </c>
      <c r="BC187" t="s">
        <v>896</v>
      </c>
      <c r="BD187" s="7" t="s">
        <v>103</v>
      </c>
      <c r="BE187" t="s">
        <v>62</v>
      </c>
      <c r="BF187" s="1" t="s">
        <v>29</v>
      </c>
      <c r="BG187" s="1">
        <v>4</v>
      </c>
      <c r="BH187">
        <v>3</v>
      </c>
      <c r="BI187">
        <v>1</v>
      </c>
      <c r="BK187" s="30">
        <v>1</v>
      </c>
      <c r="BQ187">
        <v>1</v>
      </c>
      <c r="BR187">
        <v>1</v>
      </c>
      <c r="BS187">
        <v>1</v>
      </c>
      <c r="CL187">
        <v>1</v>
      </c>
      <c r="CN187">
        <v>1</v>
      </c>
      <c r="CS187" s="7" t="s">
        <v>897</v>
      </c>
      <c r="CT187" s="6" t="s">
        <v>2417</v>
      </c>
    </row>
    <row r="188" spans="1:98">
      <c r="B188" t="s">
        <v>476</v>
      </c>
      <c r="C188" s="8" t="s">
        <v>477</v>
      </c>
      <c r="F188" s="8" t="s">
        <v>65</v>
      </c>
      <c r="G188" s="1">
        <v>1</v>
      </c>
      <c r="I188" s="1">
        <v>1768</v>
      </c>
      <c r="J188" t="s">
        <v>10</v>
      </c>
      <c r="K188" t="s">
        <v>12</v>
      </c>
      <c r="T188" s="5"/>
      <c r="U188" s="9" t="s">
        <v>486</v>
      </c>
      <c r="AF188" s="9">
        <v>1</v>
      </c>
      <c r="AG188" s="6">
        <v>1</v>
      </c>
      <c r="AH188" s="6">
        <v>1</v>
      </c>
      <c r="AI188" s="6">
        <v>1</v>
      </c>
      <c r="BC188">
        <v>1801</v>
      </c>
      <c r="BD188" t="s">
        <v>81</v>
      </c>
      <c r="BE188" s="10" t="s">
        <v>70</v>
      </c>
      <c r="BF188" s="1" t="s">
        <v>73</v>
      </c>
      <c r="BG188" s="1">
        <v>3</v>
      </c>
      <c r="BH188">
        <v>1</v>
      </c>
      <c r="BK188" s="1">
        <v>1</v>
      </c>
      <c r="BZ188">
        <v>1</v>
      </c>
      <c r="CS188" t="s">
        <v>111</v>
      </c>
      <c r="CT188" s="10" t="s">
        <v>479</v>
      </c>
    </row>
    <row r="189" spans="1:98">
      <c r="B189" t="s">
        <v>1619</v>
      </c>
      <c r="C189" s="2" t="s">
        <v>899</v>
      </c>
      <c r="D189" s="15"/>
      <c r="E189" s="8"/>
      <c r="F189" s="8" t="s">
        <v>409</v>
      </c>
      <c r="H189" s="1">
        <v>1</v>
      </c>
      <c r="I189" s="1">
        <f>1811-40</f>
        <v>1771</v>
      </c>
      <c r="J189" t="s">
        <v>69</v>
      </c>
      <c r="K189" t="s">
        <v>12</v>
      </c>
      <c r="M189">
        <v>1</v>
      </c>
      <c r="Q189">
        <v>5</v>
      </c>
      <c r="R189">
        <v>6</v>
      </c>
      <c r="T189" s="5">
        <f>((Q189*316)+(R189*26.3)+(S189*2.2))/10</f>
        <v>173.78</v>
      </c>
      <c r="U189" t="s">
        <v>1687</v>
      </c>
      <c r="AF189" s="6">
        <v>1</v>
      </c>
      <c r="AG189" s="6">
        <v>1</v>
      </c>
      <c r="AH189" s="6">
        <v>1</v>
      </c>
      <c r="AI189" s="6">
        <v>1</v>
      </c>
      <c r="AJ189" s="6">
        <v>1</v>
      </c>
      <c r="AK189" s="6">
        <v>1</v>
      </c>
      <c r="AL189" s="6">
        <v>1</v>
      </c>
      <c r="AM189" s="6">
        <v>1</v>
      </c>
      <c r="AN189" s="6">
        <v>1</v>
      </c>
      <c r="AO189" s="6">
        <v>1</v>
      </c>
      <c r="AP189" s="6">
        <v>1</v>
      </c>
      <c r="AQ189" s="6">
        <v>1</v>
      </c>
      <c r="AR189" s="6">
        <v>1</v>
      </c>
      <c r="AS189" s="6">
        <v>1</v>
      </c>
      <c r="AT189" s="7">
        <v>1</v>
      </c>
      <c r="BC189" t="s">
        <v>1620</v>
      </c>
      <c r="BD189" s="7" t="s">
        <v>103</v>
      </c>
      <c r="BE189" t="s">
        <v>62</v>
      </c>
      <c r="BF189" s="1" t="s">
        <v>29</v>
      </c>
      <c r="BG189" s="1">
        <v>3</v>
      </c>
      <c r="BH189">
        <v>2</v>
      </c>
      <c r="BO189">
        <v>1</v>
      </c>
      <c r="BQ189">
        <v>1</v>
      </c>
      <c r="CL189">
        <v>1</v>
      </c>
      <c r="CS189" s="7" t="s">
        <v>1125</v>
      </c>
    </row>
    <row r="190" spans="1:98">
      <c r="B190" t="s">
        <v>67</v>
      </c>
      <c r="C190" s="2" t="s">
        <v>64</v>
      </c>
      <c r="F190" s="8" t="s">
        <v>65</v>
      </c>
      <c r="G190" s="1">
        <v>1</v>
      </c>
      <c r="I190" s="1">
        <f>1801-42</f>
        <v>1759</v>
      </c>
      <c r="J190" t="s">
        <v>69</v>
      </c>
      <c r="K190" s="4" t="s">
        <v>12</v>
      </c>
      <c r="U190" s="9" t="s">
        <v>66</v>
      </c>
      <c r="AF190" s="9">
        <v>1</v>
      </c>
      <c r="AG190" s="6">
        <v>1</v>
      </c>
      <c r="AH190" s="6">
        <v>1</v>
      </c>
      <c r="AI190" s="6">
        <v>1</v>
      </c>
      <c r="BC190">
        <v>1801</v>
      </c>
      <c r="BD190" t="s">
        <v>81</v>
      </c>
      <c r="BE190" s="10" t="s">
        <v>70</v>
      </c>
      <c r="BF190" s="1" t="s">
        <v>73</v>
      </c>
      <c r="BG190" s="1">
        <v>2</v>
      </c>
      <c r="BH190">
        <v>1</v>
      </c>
      <c r="BK190" s="1" t="s">
        <v>72</v>
      </c>
      <c r="BZ190">
        <v>1</v>
      </c>
      <c r="CS190" t="s">
        <v>111</v>
      </c>
      <c r="CT190" s="10" t="s">
        <v>71</v>
      </c>
    </row>
    <row r="191" spans="1:98">
      <c r="B191" t="s">
        <v>68</v>
      </c>
      <c r="C191" s="2" t="s">
        <v>64</v>
      </c>
      <c r="F191" s="8" t="s">
        <v>65</v>
      </c>
      <c r="G191" s="1">
        <v>1</v>
      </c>
      <c r="I191" s="1">
        <f>1801-30</f>
        <v>1771</v>
      </c>
      <c r="J191" t="s">
        <v>69</v>
      </c>
      <c r="K191" s="4" t="s">
        <v>12</v>
      </c>
      <c r="T191" s="5"/>
      <c r="U191" s="9" t="s">
        <v>66</v>
      </c>
      <c r="AF191" s="9">
        <v>1</v>
      </c>
      <c r="AG191" s="6">
        <v>1</v>
      </c>
      <c r="AH191" s="6">
        <v>1</v>
      </c>
      <c r="AI191" s="6">
        <v>1</v>
      </c>
      <c r="BC191">
        <v>1801</v>
      </c>
      <c r="BD191" t="s">
        <v>81</v>
      </c>
      <c r="BE191" s="10" t="s">
        <v>70</v>
      </c>
      <c r="BF191" s="1" t="s">
        <v>73</v>
      </c>
      <c r="BG191" s="1">
        <v>2</v>
      </c>
      <c r="BH191">
        <v>1</v>
      </c>
      <c r="BK191" s="1" t="s">
        <v>72</v>
      </c>
      <c r="BZ191">
        <v>1</v>
      </c>
      <c r="CS191" t="s">
        <v>111</v>
      </c>
      <c r="CT191" s="10" t="s">
        <v>71</v>
      </c>
    </row>
    <row r="192" spans="1:98">
      <c r="B192" t="s">
        <v>2190</v>
      </c>
      <c r="C192" s="2" t="s">
        <v>2109</v>
      </c>
      <c r="D192" s="2" t="s">
        <v>2109</v>
      </c>
      <c r="F192" s="8" t="s">
        <v>115</v>
      </c>
      <c r="G192" s="1">
        <v>1</v>
      </c>
      <c r="I192" s="1">
        <f>1804-23</f>
        <v>1781</v>
      </c>
      <c r="J192" t="s">
        <v>69</v>
      </c>
      <c r="K192" s="4" t="s">
        <v>2191</v>
      </c>
      <c r="N192">
        <v>1</v>
      </c>
      <c r="Q192">
        <v>5</v>
      </c>
      <c r="R192">
        <v>3</v>
      </c>
      <c r="T192" s="5">
        <f>((Q192*316)+(R192*26.3)+(S192*2.2))/10</f>
        <v>165.89000000000001</v>
      </c>
      <c r="U192" t="s">
        <v>2192</v>
      </c>
      <c r="AF192" s="6">
        <v>1</v>
      </c>
      <c r="AG192" s="6">
        <v>1</v>
      </c>
      <c r="AH192" s="6">
        <v>1</v>
      </c>
      <c r="AI192" s="6">
        <v>1</v>
      </c>
      <c r="AJ192" s="6">
        <v>1</v>
      </c>
      <c r="AK192" s="6">
        <v>1</v>
      </c>
      <c r="AL192" s="6">
        <v>1</v>
      </c>
      <c r="AM192" s="6">
        <v>1</v>
      </c>
      <c r="AN192" s="7">
        <v>1</v>
      </c>
      <c r="BC192" t="s">
        <v>1501</v>
      </c>
      <c r="BD192" s="7" t="s">
        <v>109</v>
      </c>
      <c r="BE192" t="s">
        <v>1502</v>
      </c>
      <c r="BF192" s="1" t="s">
        <v>29</v>
      </c>
      <c r="BG192" s="1">
        <v>2</v>
      </c>
      <c r="BH192">
        <v>1</v>
      </c>
      <c r="BK192" s="1">
        <v>1</v>
      </c>
      <c r="BQ192">
        <v>1</v>
      </c>
      <c r="CS192" s="7" t="s">
        <v>354</v>
      </c>
    </row>
    <row r="193" spans="1:98">
      <c r="B193" t="s">
        <v>1734</v>
      </c>
      <c r="C193" s="2" t="s">
        <v>664</v>
      </c>
      <c r="E193" s="8" t="s">
        <v>1735</v>
      </c>
      <c r="F193" s="8" t="s">
        <v>115</v>
      </c>
      <c r="G193" s="1">
        <v>1</v>
      </c>
      <c r="I193" s="1">
        <f>1799-30</f>
        <v>1769</v>
      </c>
      <c r="J193" t="s">
        <v>69</v>
      </c>
      <c r="K193" t="s">
        <v>1736</v>
      </c>
      <c r="T193" s="5"/>
      <c r="U193" s="9" t="s">
        <v>1737</v>
      </c>
      <c r="AF193" s="6">
        <v>1</v>
      </c>
      <c r="AG193" s="6">
        <v>1</v>
      </c>
      <c r="BC193" t="s">
        <v>1496</v>
      </c>
      <c r="BD193" t="s">
        <v>81</v>
      </c>
      <c r="BE193" s="10" t="s">
        <v>70</v>
      </c>
      <c r="BF193" s="1" t="s">
        <v>73</v>
      </c>
      <c r="BG193" s="1">
        <v>2</v>
      </c>
      <c r="BH193">
        <v>1</v>
      </c>
      <c r="BZ193">
        <v>1</v>
      </c>
      <c r="CS193" t="s">
        <v>111</v>
      </c>
      <c r="CT193" s="10" t="s">
        <v>82</v>
      </c>
    </row>
    <row r="194" spans="1:98">
      <c r="B194" t="s">
        <v>105</v>
      </c>
      <c r="C194" s="8" t="s">
        <v>106</v>
      </c>
      <c r="F194" s="8" t="s">
        <v>107</v>
      </c>
      <c r="H194" s="1">
        <v>1</v>
      </c>
      <c r="I194" s="1">
        <f>1802-25</f>
        <v>1777</v>
      </c>
      <c r="J194" t="s">
        <v>69</v>
      </c>
      <c r="K194" t="s">
        <v>12</v>
      </c>
      <c r="N194">
        <v>1</v>
      </c>
      <c r="Q194">
        <v>5</v>
      </c>
      <c r="R194">
        <v>5</v>
      </c>
      <c r="S194">
        <v>1</v>
      </c>
      <c r="T194" s="5">
        <f>((Q194*316)+(R194*26.3)+(S194*2.2))/10</f>
        <v>171.37</v>
      </c>
      <c r="U194" t="s">
        <v>287</v>
      </c>
      <c r="AF194" s="6">
        <v>1</v>
      </c>
      <c r="AG194" s="6">
        <v>1</v>
      </c>
      <c r="AH194" s="6">
        <v>1</v>
      </c>
      <c r="AI194" s="6">
        <v>1</v>
      </c>
      <c r="AJ194" s="6">
        <v>1</v>
      </c>
      <c r="AK194" s="6">
        <v>1</v>
      </c>
      <c r="AL194" s="6">
        <v>1</v>
      </c>
      <c r="AM194" s="6">
        <v>1</v>
      </c>
      <c r="AN194" s="6">
        <v>1</v>
      </c>
      <c r="AO194" s="6">
        <v>1</v>
      </c>
      <c r="AP194" s="6">
        <v>1</v>
      </c>
      <c r="AQ194" s="6">
        <v>1</v>
      </c>
      <c r="AR194" s="7">
        <v>1</v>
      </c>
      <c r="BC194" t="s">
        <v>108</v>
      </c>
      <c r="BD194" s="7" t="s">
        <v>109</v>
      </c>
      <c r="BE194" t="s">
        <v>125</v>
      </c>
      <c r="BF194" s="1" t="s">
        <v>29</v>
      </c>
      <c r="BG194" s="1">
        <v>13</v>
      </c>
      <c r="BH194">
        <v>1</v>
      </c>
      <c r="BO194">
        <v>1</v>
      </c>
      <c r="BP194">
        <v>1</v>
      </c>
      <c r="BQ194">
        <v>1</v>
      </c>
      <c r="CS194" s="7" t="s">
        <v>110</v>
      </c>
    </row>
    <row r="195" spans="1:98">
      <c r="B195" t="s">
        <v>1465</v>
      </c>
      <c r="C195" s="2" t="s">
        <v>1466</v>
      </c>
      <c r="F195" s="8" t="s">
        <v>595</v>
      </c>
      <c r="H195" s="1">
        <v>1</v>
      </c>
      <c r="I195" s="1">
        <f>1802-34</f>
        <v>1768</v>
      </c>
      <c r="J195" t="s">
        <v>10</v>
      </c>
      <c r="K195" t="s">
        <v>197</v>
      </c>
      <c r="Q195">
        <v>5</v>
      </c>
      <c r="R195">
        <v>5</v>
      </c>
      <c r="T195" s="5">
        <f>((Q195*316)+(R195*26.3)+(S195*2.2))/10</f>
        <v>171.15</v>
      </c>
      <c r="U195" s="9" t="s">
        <v>1357</v>
      </c>
      <c r="AF195" s="6">
        <v>1</v>
      </c>
      <c r="AG195" s="6">
        <v>1</v>
      </c>
      <c r="AH195" s="6">
        <v>1</v>
      </c>
      <c r="AI195" s="6">
        <v>1</v>
      </c>
      <c r="AJ195" s="6">
        <v>1</v>
      </c>
      <c r="AK195" s="6">
        <v>1</v>
      </c>
      <c r="AL195" s="6">
        <v>1</v>
      </c>
      <c r="AM195" s="7">
        <v>1</v>
      </c>
      <c r="BC195" t="s">
        <v>1467</v>
      </c>
      <c r="BD195" s="7" t="s">
        <v>103</v>
      </c>
      <c r="BE195" t="s">
        <v>62</v>
      </c>
      <c r="BF195" s="1" t="s">
        <v>29</v>
      </c>
      <c r="BG195" s="1">
        <v>4</v>
      </c>
      <c r="BH195">
        <v>1</v>
      </c>
      <c r="BI195">
        <v>1</v>
      </c>
      <c r="BK195" s="30">
        <v>1</v>
      </c>
      <c r="BQ195">
        <v>1</v>
      </c>
      <c r="CF195">
        <v>1</v>
      </c>
      <c r="CL195">
        <v>1</v>
      </c>
      <c r="CS195" s="7" t="s">
        <v>1468</v>
      </c>
      <c r="CT195" s="6" t="s">
        <v>1469</v>
      </c>
    </row>
    <row r="196" spans="1:98">
      <c r="B196" t="s">
        <v>1355</v>
      </c>
      <c r="C196" s="2" t="s">
        <v>1356</v>
      </c>
      <c r="F196" s="8" t="s">
        <v>115</v>
      </c>
      <c r="H196" s="1">
        <v>1</v>
      </c>
      <c r="I196" s="1">
        <f>1802-22</f>
        <v>1780</v>
      </c>
      <c r="J196" t="s">
        <v>10</v>
      </c>
      <c r="K196" t="s">
        <v>12</v>
      </c>
      <c r="Q196">
        <v>5</v>
      </c>
      <c r="R196">
        <v>3</v>
      </c>
      <c r="S196">
        <v>3</v>
      </c>
      <c r="T196" s="5">
        <f>((Q196*316)+(R196*26.3)+(S196*2.2))/10</f>
        <v>166.55</v>
      </c>
      <c r="U196" t="s">
        <v>1357</v>
      </c>
      <c r="AF196" s="6">
        <v>1</v>
      </c>
      <c r="AG196" s="6">
        <v>1</v>
      </c>
      <c r="AH196" s="6">
        <v>1</v>
      </c>
      <c r="AI196" s="6">
        <v>1</v>
      </c>
      <c r="AJ196" s="6">
        <v>1</v>
      </c>
      <c r="AK196" s="6">
        <v>1</v>
      </c>
      <c r="AL196" s="6">
        <v>1</v>
      </c>
      <c r="AM196" s="7">
        <v>1</v>
      </c>
      <c r="BC196" t="s">
        <v>1358</v>
      </c>
      <c r="BD196" s="7" t="s">
        <v>26</v>
      </c>
      <c r="BE196" t="s">
        <v>125</v>
      </c>
      <c r="BF196" s="1" t="s">
        <v>29</v>
      </c>
      <c r="BG196" s="1">
        <v>7</v>
      </c>
      <c r="BH196">
        <v>1</v>
      </c>
      <c r="BK196" s="1">
        <v>1</v>
      </c>
      <c r="BQ196">
        <v>1</v>
      </c>
      <c r="CS196" s="7" t="s">
        <v>1359</v>
      </c>
    </row>
    <row r="197" spans="1:98">
      <c r="B197" t="s">
        <v>918</v>
      </c>
      <c r="C197" s="2" t="s">
        <v>919</v>
      </c>
      <c r="E197" s="8" t="s">
        <v>920</v>
      </c>
      <c r="F197" s="8" t="s">
        <v>115</v>
      </c>
      <c r="G197" s="1">
        <v>1</v>
      </c>
      <c r="I197" s="1">
        <f>1802-23</f>
        <v>1779</v>
      </c>
      <c r="J197" t="s">
        <v>10</v>
      </c>
      <c r="K197" t="s">
        <v>12</v>
      </c>
      <c r="Q197">
        <v>5</v>
      </c>
      <c r="R197">
        <v>4</v>
      </c>
      <c r="T197" s="5">
        <f>((Q197*316)+(R197*26.3)+(S197*2.2))/10</f>
        <v>168.52</v>
      </c>
      <c r="U197" t="s">
        <v>921</v>
      </c>
      <c r="AF197" s="6">
        <v>1</v>
      </c>
      <c r="AG197" s="6">
        <v>1</v>
      </c>
      <c r="AH197" s="6">
        <v>1</v>
      </c>
      <c r="AI197" s="6">
        <v>1</v>
      </c>
      <c r="AJ197" s="6">
        <v>1</v>
      </c>
      <c r="AK197" s="7">
        <v>1</v>
      </c>
      <c r="BC197" t="s">
        <v>922</v>
      </c>
      <c r="BD197" s="7" t="s">
        <v>280</v>
      </c>
      <c r="BE197" t="s">
        <v>874</v>
      </c>
      <c r="BF197" s="1" t="s">
        <v>29</v>
      </c>
      <c r="BG197" s="1">
        <v>2</v>
      </c>
      <c r="BH197">
        <v>2</v>
      </c>
      <c r="BK197" s="1" t="s">
        <v>72</v>
      </c>
      <c r="BQ197">
        <v>1</v>
      </c>
      <c r="BV197">
        <v>1</v>
      </c>
      <c r="CL197">
        <v>1</v>
      </c>
      <c r="CN197">
        <v>1</v>
      </c>
      <c r="CS197" s="7" t="s">
        <v>923</v>
      </c>
    </row>
    <row r="198" spans="1:98">
      <c r="B198" t="s">
        <v>714</v>
      </c>
      <c r="C198" s="2" t="s">
        <v>623</v>
      </c>
      <c r="D198" s="2"/>
      <c r="E198" s="21" t="s">
        <v>624</v>
      </c>
      <c r="F198" s="21" t="s">
        <v>218</v>
      </c>
      <c r="G198" s="23">
        <v>1</v>
      </c>
      <c r="I198" s="1">
        <f>1798-19</f>
        <v>1779</v>
      </c>
      <c r="J198" t="s">
        <v>10</v>
      </c>
      <c r="K198" t="s">
        <v>715</v>
      </c>
      <c r="T198" s="5"/>
      <c r="U198" t="s">
        <v>716</v>
      </c>
      <c r="AF198" s="7">
        <v>1</v>
      </c>
      <c r="BC198" t="s">
        <v>717</v>
      </c>
      <c r="BD198" s="7" t="s">
        <v>103</v>
      </c>
      <c r="BE198" t="s">
        <v>712</v>
      </c>
      <c r="BF198" s="1" t="s">
        <v>29</v>
      </c>
      <c r="BG198" s="1">
        <v>1</v>
      </c>
      <c r="BH198">
        <v>1</v>
      </c>
      <c r="BJ198">
        <v>1</v>
      </c>
      <c r="BK198" s="1" t="s">
        <v>72</v>
      </c>
      <c r="BQ198">
        <v>1</v>
      </c>
      <c r="CS198" s="7" t="s">
        <v>718</v>
      </c>
    </row>
    <row r="199" spans="1:98">
      <c r="A199" t="s">
        <v>7</v>
      </c>
      <c r="B199" t="s">
        <v>1688</v>
      </c>
      <c r="C199" s="8"/>
      <c r="F199" t="s">
        <v>7</v>
      </c>
      <c r="T199" s="5"/>
      <c r="U199" t="s">
        <v>1689</v>
      </c>
      <c r="AF199" s="6">
        <v>1</v>
      </c>
      <c r="AG199" s="14">
        <v>1</v>
      </c>
      <c r="BC199" s="9" t="s">
        <v>1366</v>
      </c>
      <c r="BD199" s="14" t="s">
        <v>338</v>
      </c>
      <c r="BE199" t="s">
        <v>125</v>
      </c>
      <c r="BF199" s="1" t="s">
        <v>29</v>
      </c>
      <c r="BG199" s="1">
        <v>1</v>
      </c>
      <c r="BH199">
        <v>1</v>
      </c>
      <c r="BK199">
        <v>1</v>
      </c>
      <c r="BQ199">
        <v>1</v>
      </c>
      <c r="CS199" s="14" t="s">
        <v>1690</v>
      </c>
    </row>
    <row r="200" spans="1:98">
      <c r="A200" t="s">
        <v>7</v>
      </c>
      <c r="B200" t="s">
        <v>1691</v>
      </c>
      <c r="C200" s="8"/>
      <c r="F200" t="s">
        <v>7</v>
      </c>
      <c r="T200" s="5"/>
      <c r="U200" t="s">
        <v>1689</v>
      </c>
      <c r="AF200" s="6">
        <v>1</v>
      </c>
      <c r="AG200" s="7">
        <v>1</v>
      </c>
      <c r="BC200" t="s">
        <v>1692</v>
      </c>
      <c r="BD200" s="7" t="s">
        <v>26</v>
      </c>
      <c r="BE200" t="s">
        <v>125</v>
      </c>
      <c r="BF200" s="1" t="s">
        <v>29</v>
      </c>
      <c r="BG200" s="1">
        <v>1</v>
      </c>
      <c r="BH200">
        <v>1</v>
      </c>
      <c r="BK200">
        <v>1</v>
      </c>
      <c r="BQ200">
        <v>1</v>
      </c>
      <c r="CS200" s="7" t="s">
        <v>1699</v>
      </c>
    </row>
    <row r="201" spans="1:98">
      <c r="B201" t="s">
        <v>1410</v>
      </c>
      <c r="C201" s="2" t="s">
        <v>1339</v>
      </c>
      <c r="F201" s="8" t="s">
        <v>65</v>
      </c>
      <c r="G201" s="1">
        <v>1</v>
      </c>
      <c r="I201" s="1">
        <f>1802-22</f>
        <v>1780</v>
      </c>
      <c r="J201" t="s">
        <v>10</v>
      </c>
      <c r="K201" t="s">
        <v>12</v>
      </c>
      <c r="Q201">
        <v>5</v>
      </c>
      <c r="R201">
        <v>4</v>
      </c>
      <c r="S201">
        <v>3</v>
      </c>
      <c r="T201" s="5">
        <f>((Q201*316)+(R201*26.3)+(S201*2.2))/10</f>
        <v>169.18</v>
      </c>
      <c r="U201" t="s">
        <v>1411</v>
      </c>
      <c r="AF201" s="6">
        <v>1</v>
      </c>
      <c r="AG201" s="6">
        <v>1</v>
      </c>
      <c r="AH201" s="6">
        <v>1</v>
      </c>
      <c r="AI201" s="6">
        <v>1</v>
      </c>
      <c r="AJ201" s="6">
        <v>1</v>
      </c>
      <c r="AK201" s="7">
        <v>1</v>
      </c>
      <c r="BC201" t="s">
        <v>1412</v>
      </c>
      <c r="BD201" s="7" t="s">
        <v>280</v>
      </c>
      <c r="BE201" t="s">
        <v>125</v>
      </c>
      <c r="BF201" s="1" t="s">
        <v>29</v>
      </c>
      <c r="BG201" s="1">
        <v>6</v>
      </c>
      <c r="BH201">
        <v>1</v>
      </c>
      <c r="BK201" s="1">
        <v>1</v>
      </c>
      <c r="BQ201">
        <v>1</v>
      </c>
      <c r="CM201">
        <v>1</v>
      </c>
      <c r="CS201" s="7" t="s">
        <v>1413</v>
      </c>
    </row>
    <row r="202" spans="1:98">
      <c r="A202" t="s">
        <v>7</v>
      </c>
      <c r="B202" t="s">
        <v>1653</v>
      </c>
      <c r="C202" s="8"/>
      <c r="F202" t="s">
        <v>7</v>
      </c>
      <c r="T202" s="5"/>
      <c r="U202" t="s">
        <v>1411</v>
      </c>
      <c r="AF202" s="6">
        <v>1</v>
      </c>
      <c r="AG202" s="6">
        <v>1</v>
      </c>
      <c r="AH202" s="6">
        <v>1</v>
      </c>
      <c r="AI202" s="7">
        <v>1</v>
      </c>
      <c r="BC202" t="s">
        <v>1654</v>
      </c>
      <c r="BD202" s="7" t="s">
        <v>103</v>
      </c>
      <c r="BE202" t="s">
        <v>125</v>
      </c>
      <c r="BF202" s="1" t="s">
        <v>29</v>
      </c>
      <c r="BG202" s="1">
        <v>4</v>
      </c>
      <c r="BH202">
        <v>1</v>
      </c>
      <c r="BK202">
        <v>1</v>
      </c>
      <c r="BQ202">
        <v>1</v>
      </c>
      <c r="CS202" s="7" t="s">
        <v>1655</v>
      </c>
    </row>
    <row r="203" spans="1:98">
      <c r="A203" t="s">
        <v>7</v>
      </c>
      <c r="B203" t="s">
        <v>1656</v>
      </c>
      <c r="C203" s="8"/>
      <c r="F203" t="s">
        <v>7</v>
      </c>
      <c r="T203" s="5"/>
      <c r="U203" t="s">
        <v>1411</v>
      </c>
      <c r="AF203" s="6">
        <v>1</v>
      </c>
      <c r="AG203" s="6">
        <v>1</v>
      </c>
      <c r="AH203" s="6">
        <v>1</v>
      </c>
      <c r="AI203" s="7">
        <v>1</v>
      </c>
      <c r="BC203" t="s">
        <v>1654</v>
      </c>
      <c r="BD203" s="7" t="s">
        <v>103</v>
      </c>
      <c r="BE203" t="s">
        <v>125</v>
      </c>
      <c r="BF203" s="1" t="s">
        <v>29</v>
      </c>
      <c r="BG203" s="1">
        <v>4</v>
      </c>
      <c r="BH203">
        <v>1</v>
      </c>
      <c r="BK203">
        <v>1</v>
      </c>
      <c r="BQ203">
        <v>1</v>
      </c>
      <c r="CS203" s="7" t="s">
        <v>1655</v>
      </c>
    </row>
    <row r="204" spans="1:98">
      <c r="B204" t="s">
        <v>2425</v>
      </c>
      <c r="C204" s="2" t="s">
        <v>2426</v>
      </c>
      <c r="E204" t="s">
        <v>832</v>
      </c>
      <c r="F204" s="8" t="s">
        <v>65</v>
      </c>
      <c r="G204" s="1">
        <v>1</v>
      </c>
      <c r="I204" s="1">
        <f>1817-39</f>
        <v>1778</v>
      </c>
      <c r="J204" t="s">
        <v>69</v>
      </c>
      <c r="K204" t="s">
        <v>12</v>
      </c>
      <c r="M204">
        <v>1</v>
      </c>
      <c r="O204">
        <v>1</v>
      </c>
      <c r="Q204">
        <v>5</v>
      </c>
      <c r="R204">
        <v>2</v>
      </c>
      <c r="T204" s="5">
        <f t="shared" ref="T204:T209" si="7">((Q204*316)+(R204*26.3)+(S204*2.2))/10</f>
        <v>163.26</v>
      </c>
      <c r="U204" t="s">
        <v>2427</v>
      </c>
      <c r="AF204" s="6">
        <v>1</v>
      </c>
      <c r="AG204" s="6">
        <v>1</v>
      </c>
      <c r="AH204" s="6">
        <v>1</v>
      </c>
      <c r="AI204" s="6">
        <v>1</v>
      </c>
      <c r="AJ204" s="6">
        <v>1</v>
      </c>
      <c r="AK204" s="6">
        <v>1</v>
      </c>
      <c r="AL204" s="6">
        <v>1</v>
      </c>
      <c r="AM204" s="6">
        <v>1</v>
      </c>
      <c r="AN204" s="6">
        <v>1</v>
      </c>
      <c r="AO204" s="6">
        <v>1</v>
      </c>
      <c r="AP204" s="6">
        <v>1</v>
      </c>
      <c r="AQ204" s="6">
        <v>1</v>
      </c>
      <c r="AR204" s="6">
        <v>1</v>
      </c>
      <c r="AS204" s="6">
        <v>1</v>
      </c>
      <c r="AT204" s="6">
        <v>1</v>
      </c>
      <c r="AU204" s="6">
        <v>1</v>
      </c>
      <c r="AV204" s="6">
        <v>1</v>
      </c>
      <c r="AW204" s="6">
        <v>1</v>
      </c>
      <c r="AX204" s="6">
        <v>1</v>
      </c>
      <c r="AY204" s="7">
        <v>1</v>
      </c>
      <c r="BC204" t="s">
        <v>2428</v>
      </c>
      <c r="BD204" s="7" t="s">
        <v>959</v>
      </c>
      <c r="BE204" s="7" t="s">
        <v>2429</v>
      </c>
      <c r="BF204" s="1" t="s">
        <v>29</v>
      </c>
      <c r="BG204" s="1">
        <v>2</v>
      </c>
      <c r="BH204">
        <v>3</v>
      </c>
      <c r="BK204">
        <v>1</v>
      </c>
      <c r="BQ204">
        <v>1</v>
      </c>
      <c r="BY204">
        <v>1</v>
      </c>
      <c r="CB204" s="7">
        <v>1</v>
      </c>
      <c r="CL204">
        <v>1</v>
      </c>
      <c r="CM204">
        <v>1</v>
      </c>
      <c r="CS204" s="7" t="s">
        <v>2430</v>
      </c>
    </row>
    <row r="205" spans="1:98">
      <c r="B205" t="s">
        <v>2001</v>
      </c>
      <c r="C205" s="2" t="s">
        <v>2002</v>
      </c>
      <c r="D205" s="2" t="s">
        <v>2002</v>
      </c>
      <c r="E205" t="s">
        <v>238</v>
      </c>
      <c r="F205" s="8" t="s">
        <v>65</v>
      </c>
      <c r="G205" s="1">
        <v>1</v>
      </c>
      <c r="I205" s="1">
        <f>1798-22</f>
        <v>1776</v>
      </c>
      <c r="J205" t="s">
        <v>69</v>
      </c>
      <c r="K205" t="s">
        <v>12</v>
      </c>
      <c r="Q205">
        <v>5</v>
      </c>
      <c r="R205">
        <v>6</v>
      </c>
      <c r="S205">
        <v>2</v>
      </c>
      <c r="T205" s="5">
        <f t="shared" si="7"/>
        <v>174.22</v>
      </c>
      <c r="U205" t="s">
        <v>2003</v>
      </c>
      <c r="AF205" s="6">
        <v>1</v>
      </c>
      <c r="AG205" s="7">
        <v>1</v>
      </c>
      <c r="BC205" t="s">
        <v>2004</v>
      </c>
      <c r="BD205" s="7" t="s">
        <v>103</v>
      </c>
      <c r="BE205" t="s">
        <v>2005</v>
      </c>
      <c r="BF205" s="1" t="s">
        <v>29</v>
      </c>
      <c r="BG205" s="1">
        <v>3</v>
      </c>
      <c r="BH205">
        <v>1</v>
      </c>
      <c r="BK205">
        <v>1</v>
      </c>
      <c r="BQ205">
        <v>1</v>
      </c>
      <c r="CS205" s="7" t="s">
        <v>1341</v>
      </c>
    </row>
    <row r="206" spans="1:98">
      <c r="B206" t="s">
        <v>2409</v>
      </c>
      <c r="C206" s="2" t="s">
        <v>2002</v>
      </c>
      <c r="D206" s="2" t="s">
        <v>2002</v>
      </c>
      <c r="E206" t="s">
        <v>238</v>
      </c>
      <c r="F206" s="8" t="s">
        <v>65</v>
      </c>
      <c r="G206" s="1">
        <v>1</v>
      </c>
      <c r="I206" s="1">
        <f>1798-18</f>
        <v>1780</v>
      </c>
      <c r="J206" t="s">
        <v>69</v>
      </c>
      <c r="K206" t="s">
        <v>12</v>
      </c>
      <c r="Q206">
        <v>5</v>
      </c>
      <c r="R206">
        <v>3</v>
      </c>
      <c r="T206" s="5">
        <f t="shared" si="7"/>
        <v>165.89000000000001</v>
      </c>
      <c r="U206" t="s">
        <v>2003</v>
      </c>
      <c r="AF206" s="7">
        <v>1</v>
      </c>
      <c r="BC206" t="s">
        <v>2410</v>
      </c>
      <c r="BD206" s="7" t="s">
        <v>103</v>
      </c>
      <c r="BE206" t="s">
        <v>2005</v>
      </c>
      <c r="BF206" s="1" t="s">
        <v>29</v>
      </c>
      <c r="BG206" s="1">
        <v>2</v>
      </c>
      <c r="BH206">
        <v>1</v>
      </c>
      <c r="BK206">
        <v>1</v>
      </c>
      <c r="BQ206">
        <v>1</v>
      </c>
      <c r="CS206" s="7" t="s">
        <v>1378</v>
      </c>
    </row>
    <row r="207" spans="1:98">
      <c r="B207" t="s">
        <v>2455</v>
      </c>
      <c r="C207" s="2" t="s">
        <v>2002</v>
      </c>
      <c r="D207" s="2" t="s">
        <v>2002</v>
      </c>
      <c r="E207" t="s">
        <v>238</v>
      </c>
      <c r="F207" s="8" t="s">
        <v>65</v>
      </c>
      <c r="G207" s="1">
        <v>1</v>
      </c>
      <c r="I207" s="1">
        <f>1798-24</f>
        <v>1774</v>
      </c>
      <c r="J207" t="s">
        <v>69</v>
      </c>
      <c r="K207" t="s">
        <v>12</v>
      </c>
      <c r="Q207">
        <v>5</v>
      </c>
      <c r="R207">
        <v>3</v>
      </c>
      <c r="S207">
        <v>1</v>
      </c>
      <c r="T207" s="5">
        <f t="shared" si="7"/>
        <v>166.11</v>
      </c>
      <c r="U207" t="s">
        <v>2003</v>
      </c>
      <c r="AF207" s="7">
        <v>1</v>
      </c>
      <c r="BC207" t="s">
        <v>2456</v>
      </c>
      <c r="BD207" s="7" t="s">
        <v>103</v>
      </c>
      <c r="BE207" t="s">
        <v>2005</v>
      </c>
      <c r="BF207" s="1" t="s">
        <v>29</v>
      </c>
      <c r="BG207" s="1">
        <v>3</v>
      </c>
      <c r="BH207">
        <v>1</v>
      </c>
      <c r="BK207">
        <v>1</v>
      </c>
      <c r="BQ207">
        <v>1</v>
      </c>
      <c r="CS207" s="7" t="s">
        <v>1754</v>
      </c>
    </row>
    <row r="208" spans="1:98">
      <c r="B208" t="s">
        <v>2763</v>
      </c>
      <c r="C208" s="2" t="s">
        <v>2263</v>
      </c>
      <c r="D208" s="2" t="s">
        <v>2263</v>
      </c>
      <c r="E208" t="s">
        <v>238</v>
      </c>
      <c r="F208" s="8" t="s">
        <v>65</v>
      </c>
      <c r="G208" s="1">
        <v>1</v>
      </c>
      <c r="I208" s="1">
        <f>1802-33</f>
        <v>1769</v>
      </c>
      <c r="J208" t="s">
        <v>69</v>
      </c>
      <c r="K208" t="s">
        <v>197</v>
      </c>
      <c r="N208">
        <v>1</v>
      </c>
      <c r="Q208">
        <v>5</v>
      </c>
      <c r="R208">
        <v>1</v>
      </c>
      <c r="S208">
        <v>2</v>
      </c>
      <c r="T208" s="5">
        <f t="shared" si="7"/>
        <v>161.07</v>
      </c>
      <c r="U208" t="s">
        <v>2764</v>
      </c>
      <c r="AF208" s="6">
        <v>1</v>
      </c>
      <c r="AG208" s="6">
        <v>1</v>
      </c>
      <c r="AH208" s="6">
        <v>1</v>
      </c>
      <c r="AI208" s="6">
        <v>1</v>
      </c>
      <c r="AJ208" s="6">
        <v>1</v>
      </c>
      <c r="AK208" s="7">
        <v>1</v>
      </c>
      <c r="BC208" t="s">
        <v>1416</v>
      </c>
      <c r="BD208" s="7" t="s">
        <v>280</v>
      </c>
      <c r="BE208" t="s">
        <v>2005</v>
      </c>
      <c r="BF208" s="1" t="s">
        <v>29</v>
      </c>
      <c r="BG208" s="1">
        <v>4</v>
      </c>
      <c r="BH208">
        <v>1</v>
      </c>
      <c r="BK208">
        <v>1</v>
      </c>
      <c r="BQ208">
        <v>1</v>
      </c>
      <c r="CN208">
        <v>1</v>
      </c>
      <c r="CS208" s="7" t="s">
        <v>2748</v>
      </c>
    </row>
    <row r="209" spans="1:99">
      <c r="B209" t="s">
        <v>2838</v>
      </c>
      <c r="C209" s="2" t="s">
        <v>1427</v>
      </c>
      <c r="D209" s="2" t="s">
        <v>1427</v>
      </c>
      <c r="E209" t="s">
        <v>238</v>
      </c>
      <c r="F209" s="8" t="s">
        <v>65</v>
      </c>
      <c r="G209" s="1">
        <v>1</v>
      </c>
      <c r="I209" s="1">
        <f>1804-35</f>
        <v>1769</v>
      </c>
      <c r="J209" t="s">
        <v>69</v>
      </c>
      <c r="K209" t="s">
        <v>12</v>
      </c>
      <c r="N209">
        <v>1</v>
      </c>
      <c r="Q209">
        <v>5</v>
      </c>
      <c r="R209">
        <v>6</v>
      </c>
      <c r="T209" s="5">
        <f t="shared" si="7"/>
        <v>173.78</v>
      </c>
      <c r="U209" t="s">
        <v>2764</v>
      </c>
      <c r="AF209" s="6">
        <v>1</v>
      </c>
      <c r="AG209" s="6">
        <v>1</v>
      </c>
      <c r="AH209" s="6">
        <v>1</v>
      </c>
      <c r="AI209" s="6">
        <v>1</v>
      </c>
      <c r="AJ209" s="6">
        <v>1</v>
      </c>
      <c r="AK209" s="6">
        <v>1</v>
      </c>
      <c r="AL209" s="6">
        <v>1</v>
      </c>
      <c r="AM209" s="6">
        <v>1</v>
      </c>
      <c r="AN209" s="7">
        <v>1</v>
      </c>
      <c r="BC209" t="s">
        <v>2830</v>
      </c>
      <c r="BD209" s="7" t="s">
        <v>109</v>
      </c>
      <c r="BE209" t="s">
        <v>2005</v>
      </c>
      <c r="BF209" s="1" t="s">
        <v>29</v>
      </c>
      <c r="BG209" s="1">
        <v>6</v>
      </c>
      <c r="BH209">
        <v>1</v>
      </c>
      <c r="BK209">
        <v>1</v>
      </c>
      <c r="BQ209">
        <v>1</v>
      </c>
      <c r="CS209" s="7" t="s">
        <v>354</v>
      </c>
    </row>
    <row r="210" spans="1:99">
      <c r="A210" t="s">
        <v>7</v>
      </c>
      <c r="B210" t="s">
        <v>1657</v>
      </c>
      <c r="C210" s="8"/>
      <c r="F210" t="s">
        <v>7</v>
      </c>
      <c r="T210" s="5"/>
      <c r="U210" t="s">
        <v>1407</v>
      </c>
      <c r="AF210" s="6">
        <v>1</v>
      </c>
      <c r="AG210" s="6">
        <v>1</v>
      </c>
      <c r="AH210" s="6">
        <v>1</v>
      </c>
      <c r="AI210" s="7">
        <v>1</v>
      </c>
      <c r="BC210" t="s">
        <v>1654</v>
      </c>
      <c r="BD210" s="7" t="s">
        <v>103</v>
      </c>
      <c r="BE210" t="s">
        <v>125</v>
      </c>
      <c r="BF210" s="1" t="s">
        <v>29</v>
      </c>
      <c r="BG210" s="1">
        <v>4</v>
      </c>
      <c r="BH210">
        <v>1</v>
      </c>
      <c r="BK210">
        <v>1</v>
      </c>
      <c r="BQ210">
        <v>1</v>
      </c>
      <c r="CS210" s="7" t="s">
        <v>1655</v>
      </c>
    </row>
    <row r="211" spans="1:99">
      <c r="B211" t="s">
        <v>1406</v>
      </c>
      <c r="C211" s="2" t="s">
        <v>145</v>
      </c>
      <c r="F211" s="8" t="s">
        <v>65</v>
      </c>
      <c r="G211" s="1">
        <v>1</v>
      </c>
      <c r="I211" s="1">
        <f>1802-27</f>
        <v>1775</v>
      </c>
      <c r="J211" t="s">
        <v>10</v>
      </c>
      <c r="K211" t="s">
        <v>12</v>
      </c>
      <c r="Q211">
        <v>5</v>
      </c>
      <c r="R211">
        <v>3</v>
      </c>
      <c r="S211">
        <v>2</v>
      </c>
      <c r="T211" s="5">
        <f>((Q211*316)+(R211*26.3)+(S211*2.2))/10</f>
        <v>166.33</v>
      </c>
      <c r="U211" t="s">
        <v>1407</v>
      </c>
      <c r="AF211" s="6">
        <v>1</v>
      </c>
      <c r="AG211" s="6">
        <v>1</v>
      </c>
      <c r="AH211" s="6">
        <v>1</v>
      </c>
      <c r="AI211" s="6">
        <v>1</v>
      </c>
      <c r="AJ211" s="6">
        <v>1</v>
      </c>
      <c r="AK211" s="7">
        <v>1</v>
      </c>
      <c r="BC211" t="s">
        <v>1408</v>
      </c>
      <c r="BD211" s="7" t="s">
        <v>103</v>
      </c>
      <c r="BE211" t="s">
        <v>125</v>
      </c>
      <c r="BF211" s="1" t="s">
        <v>29</v>
      </c>
      <c r="BG211" s="1">
        <v>6</v>
      </c>
      <c r="BH211">
        <v>1</v>
      </c>
      <c r="BK211" s="1">
        <v>1</v>
      </c>
      <c r="BQ211">
        <v>1</v>
      </c>
      <c r="CS211" s="7" t="s">
        <v>1409</v>
      </c>
    </row>
    <row r="212" spans="1:99">
      <c r="B212" t="s">
        <v>2802</v>
      </c>
      <c r="C212" s="2" t="s">
        <v>1427</v>
      </c>
      <c r="D212" s="2" t="s">
        <v>1427</v>
      </c>
      <c r="E212" t="s">
        <v>238</v>
      </c>
      <c r="F212" s="8" t="s">
        <v>65</v>
      </c>
      <c r="G212" s="1">
        <v>1</v>
      </c>
      <c r="I212" s="1">
        <f>1798-19</f>
        <v>1779</v>
      </c>
      <c r="J212" t="s">
        <v>69</v>
      </c>
      <c r="K212" t="s">
        <v>12</v>
      </c>
      <c r="Q212">
        <v>5</v>
      </c>
      <c r="R212">
        <v>2</v>
      </c>
      <c r="T212" s="5">
        <f>((Q212*316)+(R212*26.3)+(S212*2.2))/10</f>
        <v>163.26</v>
      </c>
      <c r="U212" t="s">
        <v>2803</v>
      </c>
      <c r="AF212" s="6">
        <v>1</v>
      </c>
      <c r="AG212" s="6">
        <v>1</v>
      </c>
      <c r="AH212" s="6">
        <v>1</v>
      </c>
      <c r="AI212" s="6">
        <v>1</v>
      </c>
      <c r="AJ212" s="6">
        <v>1</v>
      </c>
      <c r="AK212" s="7">
        <v>1</v>
      </c>
      <c r="BC212" t="s">
        <v>1416</v>
      </c>
      <c r="BD212" s="7" t="s">
        <v>280</v>
      </c>
      <c r="BE212" t="s">
        <v>2005</v>
      </c>
      <c r="BF212" s="1" t="s">
        <v>29</v>
      </c>
      <c r="BG212" s="1">
        <v>4</v>
      </c>
      <c r="BH212">
        <v>1</v>
      </c>
      <c r="BK212" s="1">
        <v>1</v>
      </c>
      <c r="BQ212">
        <v>1</v>
      </c>
      <c r="CN212">
        <v>1</v>
      </c>
      <c r="CS212" s="7" t="s">
        <v>2748</v>
      </c>
    </row>
    <row r="213" spans="1:99">
      <c r="B213" t="s">
        <v>2049</v>
      </c>
      <c r="C213" s="2" t="s">
        <v>2050</v>
      </c>
      <c r="D213" s="2" t="s">
        <v>2050</v>
      </c>
      <c r="E213" s="8" t="s">
        <v>2051</v>
      </c>
      <c r="F213" s="8" t="s">
        <v>115</v>
      </c>
      <c r="G213" s="1">
        <v>1</v>
      </c>
      <c r="I213" s="1">
        <f>1803-34</f>
        <v>1769</v>
      </c>
      <c r="J213" t="s">
        <v>69</v>
      </c>
      <c r="K213" t="s">
        <v>12</v>
      </c>
      <c r="N213">
        <v>1</v>
      </c>
      <c r="Q213">
        <v>5</v>
      </c>
      <c r="R213">
        <v>3</v>
      </c>
      <c r="S213">
        <v>3</v>
      </c>
      <c r="T213" s="5">
        <f>((Q213*316)+(R213*26.3)+(S213*2.2))/10</f>
        <v>166.55</v>
      </c>
      <c r="U213" t="s">
        <v>2052</v>
      </c>
      <c r="AF213" s="6">
        <v>1</v>
      </c>
      <c r="AG213" s="6">
        <v>1</v>
      </c>
      <c r="AH213" s="6">
        <v>1</v>
      </c>
      <c r="AI213" s="6">
        <v>1</v>
      </c>
      <c r="AJ213" s="6">
        <v>1</v>
      </c>
      <c r="AK213" s="6">
        <v>1</v>
      </c>
      <c r="AL213" s="6">
        <v>1</v>
      </c>
      <c r="AM213" s="6">
        <v>1</v>
      </c>
      <c r="AN213" s="7">
        <v>1</v>
      </c>
      <c r="BC213" t="s">
        <v>1501</v>
      </c>
      <c r="BD213" s="7" t="s">
        <v>109</v>
      </c>
      <c r="BE213" t="s">
        <v>1502</v>
      </c>
      <c r="BF213" s="1" t="s">
        <v>29</v>
      </c>
      <c r="BG213" s="1">
        <v>3</v>
      </c>
      <c r="BH213">
        <v>1</v>
      </c>
      <c r="BK213">
        <v>1</v>
      </c>
      <c r="BQ213">
        <v>1</v>
      </c>
      <c r="CS213" s="7" t="s">
        <v>354</v>
      </c>
    </row>
    <row r="214" spans="1:99">
      <c r="B214" t="s">
        <v>2170</v>
      </c>
      <c r="C214" s="2" t="s">
        <v>2050</v>
      </c>
      <c r="D214" s="2" t="s">
        <v>2050</v>
      </c>
      <c r="E214" s="8" t="s">
        <v>2051</v>
      </c>
      <c r="F214" s="8" t="s">
        <v>115</v>
      </c>
      <c r="G214" s="1">
        <v>1</v>
      </c>
      <c r="I214" s="1">
        <f>1803-23</f>
        <v>1780</v>
      </c>
      <c r="J214" t="s">
        <v>10</v>
      </c>
      <c r="K214" t="s">
        <v>12</v>
      </c>
      <c r="Q214">
        <v>5</v>
      </c>
      <c r="R214">
        <v>4</v>
      </c>
      <c r="T214" s="5">
        <f>((Q214*316)+(R214*26.3)+(S214*2.2))/10</f>
        <v>168.52</v>
      </c>
      <c r="U214" t="s">
        <v>2052</v>
      </c>
      <c r="AF214" s="6">
        <v>1</v>
      </c>
      <c r="AG214" s="6">
        <v>1</v>
      </c>
      <c r="AH214" s="6">
        <v>1</v>
      </c>
      <c r="AI214" s="6">
        <v>1</v>
      </c>
      <c r="AJ214" s="6">
        <v>1</v>
      </c>
      <c r="AK214" s="6">
        <v>1</v>
      </c>
      <c r="AL214" s="6">
        <v>1</v>
      </c>
      <c r="AM214" s="7">
        <v>1</v>
      </c>
      <c r="BC214" t="s">
        <v>2171</v>
      </c>
      <c r="BD214" s="7" t="s">
        <v>103</v>
      </c>
      <c r="BE214" t="s">
        <v>1502</v>
      </c>
      <c r="BF214" s="1" t="s">
        <v>29</v>
      </c>
      <c r="BG214" s="1">
        <v>4</v>
      </c>
      <c r="BH214">
        <v>1</v>
      </c>
      <c r="BJ214">
        <v>1</v>
      </c>
      <c r="BK214">
        <v>1</v>
      </c>
      <c r="BQ214">
        <v>1</v>
      </c>
      <c r="CS214" s="7" t="s">
        <v>2172</v>
      </c>
    </row>
    <row r="215" spans="1:99">
      <c r="A215" t="s">
        <v>7</v>
      </c>
      <c r="B215" t="s">
        <v>2736</v>
      </c>
      <c r="C215" s="15"/>
      <c r="D215" s="15"/>
      <c r="E215" s="8"/>
      <c r="F215" s="8" t="s">
        <v>7</v>
      </c>
      <c r="T215" s="5"/>
      <c r="U215" s="9" t="s">
        <v>2737</v>
      </c>
      <c r="AF215" s="19"/>
      <c r="AG215" s="6">
        <v>1</v>
      </c>
      <c r="AH215" s="6">
        <v>1</v>
      </c>
      <c r="AI215" s="6">
        <v>1</v>
      </c>
      <c r="AJ215" s="7">
        <v>1</v>
      </c>
      <c r="BC215" t="s">
        <v>441</v>
      </c>
      <c r="BD215" s="7" t="s">
        <v>109</v>
      </c>
      <c r="BE215" t="s">
        <v>2005</v>
      </c>
      <c r="BF215" s="1" t="s">
        <v>73</v>
      </c>
      <c r="BG215" s="1">
        <v>2</v>
      </c>
      <c r="BH215">
        <v>1</v>
      </c>
      <c r="BK215"/>
      <c r="BQ215">
        <v>1</v>
      </c>
      <c r="CS215" s="7" t="s">
        <v>1473</v>
      </c>
    </row>
    <row r="216" spans="1:99">
      <c r="B216" t="s">
        <v>484</v>
      </c>
      <c r="C216" s="8" t="s">
        <v>485</v>
      </c>
      <c r="F216" s="8" t="s">
        <v>115</v>
      </c>
      <c r="G216" s="1">
        <v>1</v>
      </c>
      <c r="I216" s="1">
        <f>1801-20</f>
        <v>1781</v>
      </c>
      <c r="J216" t="s">
        <v>10</v>
      </c>
      <c r="K216" t="s">
        <v>12</v>
      </c>
      <c r="T216" s="5"/>
      <c r="U216" s="9" t="s">
        <v>483</v>
      </c>
      <c r="AG216" s="9">
        <v>1</v>
      </c>
      <c r="AH216" s="6">
        <v>1</v>
      </c>
      <c r="AI216" s="6">
        <v>1</v>
      </c>
      <c r="BC216">
        <v>1801</v>
      </c>
      <c r="BD216" t="s">
        <v>81</v>
      </c>
      <c r="BE216" s="10" t="s">
        <v>70</v>
      </c>
      <c r="BF216" s="1" t="s">
        <v>73</v>
      </c>
      <c r="BG216" s="1">
        <v>2</v>
      </c>
      <c r="BH216">
        <v>1</v>
      </c>
      <c r="BK216" s="1" t="s">
        <v>72</v>
      </c>
      <c r="BZ216">
        <v>1</v>
      </c>
      <c r="CS216" t="s">
        <v>111</v>
      </c>
      <c r="CT216" s="10" t="s">
        <v>479</v>
      </c>
      <c r="CU216" s="9" t="s">
        <v>127</v>
      </c>
    </row>
    <row r="217" spans="1:99">
      <c r="A217" t="s">
        <v>7</v>
      </c>
      <c r="B217" t="s">
        <v>2573</v>
      </c>
      <c r="C217" s="8"/>
      <c r="F217" s="8" t="s">
        <v>7</v>
      </c>
      <c r="T217" s="5"/>
      <c r="U217" s="9" t="s">
        <v>2572</v>
      </c>
      <c r="AG217" s="7">
        <v>1</v>
      </c>
      <c r="BC217" t="s">
        <v>2574</v>
      </c>
      <c r="BD217" s="7" t="s">
        <v>109</v>
      </c>
      <c r="BE217" t="s">
        <v>124</v>
      </c>
      <c r="BF217" s="1" t="s">
        <v>73</v>
      </c>
      <c r="BG217" s="1">
        <v>1</v>
      </c>
      <c r="BH217">
        <v>1</v>
      </c>
      <c r="BQ217">
        <v>1</v>
      </c>
      <c r="CS217" s="7" t="s">
        <v>620</v>
      </c>
    </row>
    <row r="218" spans="1:99">
      <c r="B218" t="s">
        <v>1053</v>
      </c>
      <c r="C218" s="2" t="s">
        <v>191</v>
      </c>
      <c r="D218" s="3"/>
      <c r="E218" s="12" t="s">
        <v>193</v>
      </c>
      <c r="F218" s="12" t="s">
        <v>65</v>
      </c>
      <c r="G218" s="1">
        <v>1</v>
      </c>
      <c r="I218" s="1">
        <f>1800-18</f>
        <v>1782</v>
      </c>
      <c r="J218" t="s">
        <v>10</v>
      </c>
      <c r="K218" t="s">
        <v>12</v>
      </c>
      <c r="T218" s="5"/>
      <c r="U218" s="9" t="s">
        <v>1052</v>
      </c>
      <c r="AG218" s="9">
        <v>1</v>
      </c>
      <c r="AH218" s="6">
        <v>1</v>
      </c>
      <c r="BC218">
        <v>1800</v>
      </c>
      <c r="BD218" t="s">
        <v>81</v>
      </c>
      <c r="BE218" s="10" t="s">
        <v>70</v>
      </c>
      <c r="BF218" s="1" t="s">
        <v>73</v>
      </c>
      <c r="BG218" s="1">
        <v>1</v>
      </c>
      <c r="BH218">
        <v>1</v>
      </c>
      <c r="BK218" s="1" t="s">
        <v>72</v>
      </c>
      <c r="BZ218">
        <v>1</v>
      </c>
      <c r="CS218" t="s">
        <v>111</v>
      </c>
      <c r="CT218" s="10" t="s">
        <v>1054</v>
      </c>
      <c r="CU218" s="9" t="s">
        <v>127</v>
      </c>
    </row>
    <row r="219" spans="1:99">
      <c r="B219" t="s">
        <v>2347</v>
      </c>
      <c r="C219" s="2" t="s">
        <v>2348</v>
      </c>
      <c r="D219" s="2" t="s">
        <v>2348</v>
      </c>
      <c r="E219" s="13" t="s">
        <v>654</v>
      </c>
      <c r="F219" s="13" t="s">
        <v>65</v>
      </c>
      <c r="G219" s="1">
        <v>1</v>
      </c>
      <c r="I219" s="1">
        <f>1802-23</f>
        <v>1779</v>
      </c>
      <c r="J219" t="s">
        <v>10</v>
      </c>
      <c r="K219" t="s">
        <v>12</v>
      </c>
      <c r="Q219">
        <v>5</v>
      </c>
      <c r="R219">
        <v>4</v>
      </c>
      <c r="S219">
        <v>2</v>
      </c>
      <c r="T219" s="5">
        <f>((Q219*316)+(R219*26.3)+(S219*2.2))/10</f>
        <v>168.96</v>
      </c>
      <c r="U219" t="s">
        <v>2349</v>
      </c>
      <c r="AG219" s="6">
        <v>1</v>
      </c>
      <c r="AH219" s="6">
        <v>1</v>
      </c>
      <c r="AI219" s="6">
        <v>1</v>
      </c>
      <c r="AJ219" s="6">
        <v>1</v>
      </c>
      <c r="AK219" s="6">
        <v>1</v>
      </c>
      <c r="AL219" s="6">
        <v>1</v>
      </c>
      <c r="AM219" s="6">
        <v>1</v>
      </c>
      <c r="AN219" s="6">
        <v>1</v>
      </c>
      <c r="AO219" s="6">
        <v>1</v>
      </c>
      <c r="AP219" s="6">
        <v>1</v>
      </c>
      <c r="AQ219" s="6">
        <v>1</v>
      </c>
      <c r="AR219" s="7">
        <v>1</v>
      </c>
      <c r="AS219" s="7">
        <v>1</v>
      </c>
      <c r="BC219" t="s">
        <v>2350</v>
      </c>
      <c r="BD219" s="7" t="s">
        <v>959</v>
      </c>
      <c r="BE219" s="7" t="s">
        <v>1558</v>
      </c>
      <c r="BF219" s="1" t="s">
        <v>29</v>
      </c>
      <c r="BG219" s="1">
        <v>2</v>
      </c>
      <c r="BH219">
        <v>2</v>
      </c>
      <c r="BJ219">
        <v>1</v>
      </c>
      <c r="BK219" s="1" t="s">
        <v>72</v>
      </c>
      <c r="BQ219">
        <v>1</v>
      </c>
      <c r="CB219" s="7">
        <v>1</v>
      </c>
      <c r="CF219">
        <v>1</v>
      </c>
      <c r="CS219" s="7" t="s">
        <v>2351</v>
      </c>
    </row>
    <row r="220" spans="1:99">
      <c r="B220" t="s">
        <v>1055</v>
      </c>
      <c r="C220" s="12" t="s">
        <v>1056</v>
      </c>
      <c r="D220" s="3"/>
      <c r="E220" s="12"/>
      <c r="F220" s="12" t="s">
        <v>115</v>
      </c>
      <c r="G220" s="1">
        <v>1</v>
      </c>
      <c r="I220" s="1">
        <f>1800-19</f>
        <v>1781</v>
      </c>
      <c r="J220" t="s">
        <v>10</v>
      </c>
      <c r="K220" t="s">
        <v>12</v>
      </c>
      <c r="T220" s="5"/>
      <c r="U220" s="9" t="s">
        <v>1057</v>
      </c>
      <c r="AG220" s="9">
        <v>1</v>
      </c>
      <c r="AH220" s="6">
        <v>1</v>
      </c>
      <c r="BC220">
        <v>1800</v>
      </c>
      <c r="BD220" t="s">
        <v>81</v>
      </c>
      <c r="BE220" s="10" t="s">
        <v>70</v>
      </c>
      <c r="BF220" s="1" t="s">
        <v>73</v>
      </c>
      <c r="BG220" s="1">
        <v>1</v>
      </c>
      <c r="BH220">
        <v>1</v>
      </c>
      <c r="BK220" s="1" t="s">
        <v>72</v>
      </c>
      <c r="BZ220">
        <v>1</v>
      </c>
      <c r="CS220" t="s">
        <v>111</v>
      </c>
      <c r="CT220" s="10" t="s">
        <v>1054</v>
      </c>
      <c r="CU220" s="9" t="s">
        <v>127</v>
      </c>
    </row>
    <row r="221" spans="1:99">
      <c r="B221" t="s">
        <v>126</v>
      </c>
      <c r="C221" s="2" t="s">
        <v>113</v>
      </c>
      <c r="E221" s="8" t="s">
        <v>114</v>
      </c>
      <c r="F221" s="8" t="s">
        <v>115</v>
      </c>
      <c r="G221" s="1">
        <v>1</v>
      </c>
      <c r="I221" s="1">
        <f>1811-29</f>
        <v>1782</v>
      </c>
      <c r="J221" t="s">
        <v>10</v>
      </c>
      <c r="K221" t="s">
        <v>12</v>
      </c>
      <c r="Q221">
        <v>5</v>
      </c>
      <c r="R221">
        <v>3</v>
      </c>
      <c r="S221">
        <v>1</v>
      </c>
      <c r="T221" s="5">
        <f>((Q221*316)+(R221*26.3)+(S221*2.2))/10</f>
        <v>166.11</v>
      </c>
      <c r="U221" s="9" t="s">
        <v>1057</v>
      </c>
      <c r="AG221" s="9">
        <v>1</v>
      </c>
      <c r="AH221" s="6">
        <v>1</v>
      </c>
      <c r="AI221" s="6">
        <v>1</v>
      </c>
      <c r="AJ221" s="6">
        <v>1</v>
      </c>
      <c r="AK221" s="6">
        <v>1</v>
      </c>
      <c r="AL221" s="6">
        <v>1</v>
      </c>
      <c r="AM221" s="6">
        <v>1</v>
      </c>
      <c r="AN221" s="6">
        <v>1</v>
      </c>
      <c r="AO221" s="6">
        <v>1</v>
      </c>
      <c r="AP221" s="6">
        <v>1</v>
      </c>
      <c r="AQ221" s="6">
        <v>1</v>
      </c>
      <c r="AR221" s="6">
        <v>1</v>
      </c>
      <c r="AS221" s="7">
        <v>1</v>
      </c>
      <c r="BC221" t="s">
        <v>1746</v>
      </c>
      <c r="BD221" s="7" t="s">
        <v>103</v>
      </c>
      <c r="BE221" t="s">
        <v>118</v>
      </c>
      <c r="BF221" s="1" t="s">
        <v>73</v>
      </c>
      <c r="BG221" s="1">
        <v>16</v>
      </c>
      <c r="BH221">
        <v>2</v>
      </c>
      <c r="BI221">
        <v>1</v>
      </c>
      <c r="BK221" s="1">
        <v>1</v>
      </c>
      <c r="BQ221">
        <v>1</v>
      </c>
      <c r="CL221">
        <v>1</v>
      </c>
      <c r="CS221" s="7" t="s">
        <v>1747</v>
      </c>
      <c r="CT221" s="9" t="s">
        <v>127</v>
      </c>
    </row>
    <row r="222" spans="1:99">
      <c r="B222" t="s">
        <v>1811</v>
      </c>
      <c r="C222" s="13" t="s">
        <v>1812</v>
      </c>
      <c r="E222" s="8" t="s">
        <v>1813</v>
      </c>
      <c r="F222" s="8" t="s">
        <v>115</v>
      </c>
      <c r="G222" s="1">
        <v>1</v>
      </c>
      <c r="I222" s="1">
        <f>1800-40</f>
        <v>1760</v>
      </c>
      <c r="J222" t="s">
        <v>69</v>
      </c>
      <c r="K222" t="s">
        <v>12</v>
      </c>
      <c r="T222" s="5"/>
      <c r="U222" s="9" t="s">
        <v>1057</v>
      </c>
      <c r="AG222" s="9">
        <v>1</v>
      </c>
      <c r="AH222" s="6">
        <v>1</v>
      </c>
      <c r="AI222" s="6">
        <v>1</v>
      </c>
      <c r="BC222" t="s">
        <v>1807</v>
      </c>
      <c r="BD222" t="s">
        <v>81</v>
      </c>
      <c r="BE222" s="10" t="s">
        <v>70</v>
      </c>
      <c r="BF222" s="1" t="s">
        <v>73</v>
      </c>
      <c r="BG222" s="1">
        <v>2</v>
      </c>
      <c r="BH222">
        <v>1</v>
      </c>
      <c r="BZ222">
        <v>1</v>
      </c>
      <c r="CS222" t="s">
        <v>111</v>
      </c>
      <c r="CT222" s="10" t="s">
        <v>82</v>
      </c>
      <c r="CU222" s="9" t="s">
        <v>127</v>
      </c>
    </row>
    <row r="223" spans="1:99">
      <c r="B223" t="s">
        <v>1814</v>
      </c>
      <c r="C223" s="13" t="s">
        <v>1815</v>
      </c>
      <c r="E223" s="8" t="s">
        <v>654</v>
      </c>
      <c r="F223" s="8" t="s">
        <v>65</v>
      </c>
      <c r="G223" s="1">
        <v>1</v>
      </c>
      <c r="I223" s="1">
        <f>1800-40</f>
        <v>1760</v>
      </c>
      <c r="J223" t="s">
        <v>69</v>
      </c>
      <c r="K223" t="s">
        <v>12</v>
      </c>
      <c r="T223" s="5"/>
      <c r="U223" s="9" t="s">
        <v>1057</v>
      </c>
      <c r="AG223" s="9">
        <v>1</v>
      </c>
      <c r="AH223" s="6">
        <v>1</v>
      </c>
      <c r="AI223" s="6">
        <v>1</v>
      </c>
      <c r="BC223" t="s">
        <v>1807</v>
      </c>
      <c r="BD223" t="s">
        <v>81</v>
      </c>
      <c r="BE223" s="10" t="s">
        <v>70</v>
      </c>
      <c r="BF223" s="1" t="s">
        <v>73</v>
      </c>
      <c r="BG223" s="1">
        <v>2</v>
      </c>
      <c r="BH223">
        <v>1</v>
      </c>
      <c r="BZ223">
        <v>1</v>
      </c>
      <c r="CS223" t="s">
        <v>111</v>
      </c>
      <c r="CT223" s="10" t="s">
        <v>82</v>
      </c>
      <c r="CU223" s="9" t="s">
        <v>127</v>
      </c>
    </row>
    <row r="224" spans="1:99">
      <c r="B224" t="s">
        <v>1476</v>
      </c>
      <c r="C224" s="15" t="s">
        <v>1477</v>
      </c>
      <c r="E224" s="8" t="s">
        <v>114</v>
      </c>
      <c r="F224" s="8" t="s">
        <v>115</v>
      </c>
      <c r="G224" s="1">
        <v>1</v>
      </c>
      <c r="I224" s="1">
        <f>1800-36</f>
        <v>1764</v>
      </c>
      <c r="J224" t="s">
        <v>69</v>
      </c>
      <c r="K224" t="s">
        <v>12</v>
      </c>
      <c r="M224">
        <v>1</v>
      </c>
      <c r="Q224">
        <v>5</v>
      </c>
      <c r="R224">
        <v>1</v>
      </c>
      <c r="S224">
        <v>2</v>
      </c>
      <c r="T224" s="5">
        <f>((Q224*316)+(R224*26.3)+(S224*2.2))/10</f>
        <v>161.07</v>
      </c>
      <c r="U224" t="s">
        <v>1478</v>
      </c>
      <c r="AG224" s="6">
        <v>1</v>
      </c>
      <c r="AH224" s="6">
        <v>1</v>
      </c>
      <c r="AI224" s="6">
        <v>1</v>
      </c>
      <c r="AJ224" s="6">
        <v>1</v>
      </c>
      <c r="AK224" s="6">
        <v>1</v>
      </c>
      <c r="AL224" s="6">
        <v>1</v>
      </c>
      <c r="AM224" s="6">
        <v>1</v>
      </c>
      <c r="AN224" s="7">
        <v>1</v>
      </c>
      <c r="BC224" t="s">
        <v>1472</v>
      </c>
      <c r="BD224" s="7" t="s">
        <v>109</v>
      </c>
      <c r="BE224" t="s">
        <v>62</v>
      </c>
      <c r="BF224" s="1" t="s">
        <v>29</v>
      </c>
      <c r="BG224" s="1">
        <v>8</v>
      </c>
      <c r="BH224">
        <v>2</v>
      </c>
      <c r="BI224">
        <v>1</v>
      </c>
      <c r="BK224">
        <v>1</v>
      </c>
      <c r="BQ224">
        <v>1</v>
      </c>
      <c r="CL224">
        <v>1</v>
      </c>
      <c r="CS224" s="7" t="s">
        <v>1475</v>
      </c>
    </row>
    <row r="225" spans="1:98">
      <c r="B225" t="s">
        <v>1167</v>
      </c>
      <c r="C225" s="2" t="s">
        <v>1607</v>
      </c>
      <c r="E225" s="8"/>
      <c r="F225" s="8" t="s">
        <v>115</v>
      </c>
      <c r="G225" s="1">
        <v>1</v>
      </c>
      <c r="I225" s="1">
        <f>1803-31</f>
        <v>1772</v>
      </c>
      <c r="J225" t="s">
        <v>69</v>
      </c>
      <c r="K225" t="s">
        <v>12</v>
      </c>
      <c r="M225">
        <v>1</v>
      </c>
      <c r="Q225">
        <v>5</v>
      </c>
      <c r="R225">
        <v>1</v>
      </c>
      <c r="S225">
        <v>2</v>
      </c>
      <c r="T225" s="5">
        <f>((Q225*316)+(R225*26.3)+(S225*2.2))/10</f>
        <v>161.07</v>
      </c>
      <c r="U225" t="s">
        <v>1478</v>
      </c>
      <c r="AG225" s="6">
        <v>1</v>
      </c>
      <c r="AH225" s="6">
        <v>1</v>
      </c>
      <c r="AI225" s="6">
        <v>1</v>
      </c>
      <c r="AJ225" s="6">
        <v>1</v>
      </c>
      <c r="AK225" s="6">
        <v>1</v>
      </c>
      <c r="AL225" s="6">
        <v>1</v>
      </c>
      <c r="AM225" s="6">
        <v>1</v>
      </c>
      <c r="AN225" s="6">
        <v>1</v>
      </c>
      <c r="AO225" s="6">
        <v>1</v>
      </c>
      <c r="AP225" s="6">
        <v>1</v>
      </c>
      <c r="AQ225" s="6">
        <v>1</v>
      </c>
      <c r="AR225" s="7">
        <v>1</v>
      </c>
      <c r="BC225" t="s">
        <v>1608</v>
      </c>
      <c r="BD225" s="7" t="s">
        <v>103</v>
      </c>
      <c r="BE225" t="s">
        <v>62</v>
      </c>
      <c r="BF225" s="1" t="s">
        <v>29</v>
      </c>
      <c r="BG225" s="1">
        <v>10</v>
      </c>
      <c r="BH225">
        <v>2</v>
      </c>
      <c r="BI225">
        <v>1</v>
      </c>
      <c r="BK225">
        <v>1</v>
      </c>
      <c r="BQ225">
        <v>1</v>
      </c>
      <c r="CL225">
        <v>1</v>
      </c>
      <c r="CS225" s="7" t="s">
        <v>1609</v>
      </c>
      <c r="CT225" s="9" t="s">
        <v>382</v>
      </c>
    </row>
    <row r="226" spans="1:98">
      <c r="B226" t="s">
        <v>1610</v>
      </c>
      <c r="C226" s="18" t="s">
        <v>370</v>
      </c>
      <c r="E226" s="8"/>
      <c r="F226" s="8" t="s">
        <v>218</v>
      </c>
      <c r="G226" s="1">
        <v>1</v>
      </c>
      <c r="I226" s="1">
        <f>1804-25</f>
        <v>1779</v>
      </c>
      <c r="J226" t="s">
        <v>10</v>
      </c>
      <c r="K226" t="s">
        <v>12</v>
      </c>
      <c r="Q226">
        <v>5</v>
      </c>
      <c r="R226">
        <v>1</v>
      </c>
      <c r="S226">
        <v>3</v>
      </c>
      <c r="T226" s="5">
        <f>((Q226*316)+(R226*26.3)+(S226*2.2))/10</f>
        <v>161.29</v>
      </c>
      <c r="U226" t="s">
        <v>912</v>
      </c>
      <c r="AG226" s="6">
        <v>1</v>
      </c>
      <c r="AH226" s="6">
        <v>1</v>
      </c>
      <c r="AI226" s="6">
        <v>1</v>
      </c>
      <c r="AJ226" s="6">
        <v>1</v>
      </c>
      <c r="AK226" s="6">
        <v>1</v>
      </c>
      <c r="AL226" s="6">
        <v>1</v>
      </c>
      <c r="AM226" s="6">
        <v>1</v>
      </c>
      <c r="AN226" s="6">
        <v>1</v>
      </c>
      <c r="BC226">
        <v>1806</v>
      </c>
      <c r="BD226" t="s">
        <v>81</v>
      </c>
      <c r="BE226" t="s">
        <v>360</v>
      </c>
      <c r="BF226" s="1" t="s">
        <v>73</v>
      </c>
      <c r="BG226" s="1">
        <v>2</v>
      </c>
      <c r="BH226">
        <v>3</v>
      </c>
      <c r="BK226" s="1" t="s">
        <v>72</v>
      </c>
      <c r="BQ226">
        <v>1</v>
      </c>
      <c r="BX226">
        <v>1</v>
      </c>
      <c r="CL226">
        <v>1</v>
      </c>
      <c r="CS226" t="s">
        <v>369</v>
      </c>
    </row>
    <row r="227" spans="1:98">
      <c r="A227" t="s">
        <v>7</v>
      </c>
      <c r="B227" t="s">
        <v>1693</v>
      </c>
      <c r="C227" s="15"/>
      <c r="E227" s="8"/>
      <c r="F227" s="8" t="s">
        <v>7</v>
      </c>
      <c r="T227" s="5"/>
      <c r="U227" s="9" t="s">
        <v>376</v>
      </c>
      <c r="AG227" s="9">
        <v>1</v>
      </c>
      <c r="AH227" s="7">
        <v>1</v>
      </c>
      <c r="BC227" t="s">
        <v>1694</v>
      </c>
      <c r="BD227" s="7" t="s">
        <v>26</v>
      </c>
      <c r="BE227" t="s">
        <v>125</v>
      </c>
      <c r="BF227" s="1" t="s">
        <v>29</v>
      </c>
      <c r="BG227" s="1">
        <v>2</v>
      </c>
      <c r="BH227">
        <v>1</v>
      </c>
      <c r="BK227" t="s">
        <v>72</v>
      </c>
      <c r="BQ227">
        <v>1</v>
      </c>
      <c r="CS227" s="7" t="s">
        <v>1695</v>
      </c>
      <c r="CT227" s="9" t="s">
        <v>382</v>
      </c>
    </row>
    <row r="228" spans="1:98">
      <c r="B228" t="s">
        <v>1400</v>
      </c>
      <c r="C228" s="2" t="s">
        <v>1401</v>
      </c>
      <c r="E228" s="8"/>
      <c r="F228" s="8" t="s">
        <v>115</v>
      </c>
      <c r="G228" s="1">
        <v>1</v>
      </c>
      <c r="I228" s="1">
        <f>1802-32</f>
        <v>1770</v>
      </c>
      <c r="J228" t="s">
        <v>69</v>
      </c>
      <c r="K228" t="s">
        <v>197</v>
      </c>
      <c r="N228">
        <v>1</v>
      </c>
      <c r="Q228">
        <v>5</v>
      </c>
      <c r="R228">
        <v>7</v>
      </c>
      <c r="S228">
        <v>2</v>
      </c>
      <c r="T228" s="5">
        <f>((Q228*316)+(R228*26.3)+(S228*2.2))/10</f>
        <v>176.85</v>
      </c>
      <c r="U228" s="9" t="s">
        <v>376</v>
      </c>
      <c r="AG228" s="9">
        <v>1</v>
      </c>
      <c r="AH228" s="6">
        <v>1</v>
      </c>
      <c r="AI228" s="6">
        <v>1</v>
      </c>
      <c r="AJ228" s="6">
        <v>1</v>
      </c>
      <c r="AK228" s="6">
        <v>1</v>
      </c>
      <c r="AL228" s="7">
        <v>1</v>
      </c>
      <c r="BC228" t="s">
        <v>1402</v>
      </c>
      <c r="BD228" s="7" t="s">
        <v>103</v>
      </c>
      <c r="BE228" t="s">
        <v>125</v>
      </c>
      <c r="BF228" s="1" t="s">
        <v>29</v>
      </c>
      <c r="BG228" s="1">
        <v>9</v>
      </c>
      <c r="BH228">
        <v>1</v>
      </c>
      <c r="BK228" s="1">
        <v>1</v>
      </c>
      <c r="BQ228">
        <v>1</v>
      </c>
      <c r="CS228" s="7" t="s">
        <v>1388</v>
      </c>
      <c r="CT228" s="9" t="s">
        <v>382</v>
      </c>
    </row>
    <row r="229" spans="1:98">
      <c r="A229" t="s">
        <v>7</v>
      </c>
      <c r="B229" t="s">
        <v>1700</v>
      </c>
      <c r="C229" s="15"/>
      <c r="E229" s="8"/>
      <c r="F229" s="8" t="s">
        <v>7</v>
      </c>
      <c r="T229" s="5"/>
      <c r="U229" s="9" t="s">
        <v>376</v>
      </c>
      <c r="AG229" s="9">
        <v>1</v>
      </c>
      <c r="AH229" s="7">
        <v>1</v>
      </c>
      <c r="BC229" t="s">
        <v>1390</v>
      </c>
      <c r="BD229" s="7" t="s">
        <v>103</v>
      </c>
      <c r="BE229" t="s">
        <v>125</v>
      </c>
      <c r="BF229" s="1" t="s">
        <v>29</v>
      </c>
      <c r="BG229" s="1">
        <v>2</v>
      </c>
      <c r="BH229">
        <v>1</v>
      </c>
      <c r="BK229" s="1" t="s">
        <v>72</v>
      </c>
      <c r="BQ229">
        <v>1</v>
      </c>
      <c r="CS229" s="7" t="s">
        <v>1378</v>
      </c>
      <c r="CT229" s="9" t="s">
        <v>382</v>
      </c>
    </row>
    <row r="230" spans="1:98">
      <c r="B230" t="s">
        <v>1764</v>
      </c>
      <c r="C230" s="8" t="s">
        <v>1791</v>
      </c>
      <c r="E230" s="8"/>
      <c r="F230" s="8" t="s">
        <v>115</v>
      </c>
      <c r="G230" s="1">
        <v>1</v>
      </c>
      <c r="I230" s="1">
        <f>1800-20</f>
        <v>1780</v>
      </c>
      <c r="J230" t="s">
        <v>10</v>
      </c>
      <c r="K230" t="s">
        <v>197</v>
      </c>
      <c r="Q230">
        <v>5</v>
      </c>
      <c r="R230">
        <v>2</v>
      </c>
      <c r="S230">
        <v>1</v>
      </c>
      <c r="T230" s="5">
        <f>((Q230*316)+(R230*26.3)+(S230*2.2))/10</f>
        <v>163.47999999999999</v>
      </c>
      <c r="U230" s="9" t="s">
        <v>376</v>
      </c>
      <c r="AG230" s="9">
        <v>1</v>
      </c>
      <c r="AH230" s="14">
        <v>1</v>
      </c>
      <c r="BC230" s="9" t="s">
        <v>1792</v>
      </c>
      <c r="BD230" s="14" t="s">
        <v>338</v>
      </c>
      <c r="BE230" t="s">
        <v>125</v>
      </c>
      <c r="BF230" s="1" t="s">
        <v>29</v>
      </c>
      <c r="BG230" s="1">
        <v>3</v>
      </c>
      <c r="BH230">
        <v>1</v>
      </c>
      <c r="BQ230">
        <v>1</v>
      </c>
      <c r="CS230" s="14" t="s">
        <v>1786</v>
      </c>
      <c r="CT230" s="9" t="s">
        <v>382</v>
      </c>
    </row>
    <row r="231" spans="1:98">
      <c r="B231" t="s">
        <v>1647</v>
      </c>
      <c r="C231" s="8" t="s">
        <v>1648</v>
      </c>
      <c r="E231" s="8"/>
      <c r="F231" s="8" t="s">
        <v>115</v>
      </c>
      <c r="G231" s="1">
        <v>1</v>
      </c>
      <c r="I231" s="1">
        <f>1806-29</f>
        <v>1777</v>
      </c>
      <c r="J231" t="s">
        <v>69</v>
      </c>
      <c r="K231" t="s">
        <v>12</v>
      </c>
      <c r="M231">
        <v>1</v>
      </c>
      <c r="P231">
        <v>1</v>
      </c>
      <c r="T231" s="5"/>
      <c r="U231" s="9" t="s">
        <v>376</v>
      </c>
      <c r="AG231" s="9">
        <v>1</v>
      </c>
      <c r="AH231" s="6">
        <v>1</v>
      </c>
      <c r="AI231" s="6">
        <v>1</v>
      </c>
      <c r="AJ231" s="6">
        <v>1</v>
      </c>
      <c r="AK231" s="6">
        <v>1</v>
      </c>
      <c r="AL231" s="6">
        <v>1</v>
      </c>
      <c r="AM231" s="6">
        <v>1</v>
      </c>
      <c r="AN231" s="6">
        <v>1</v>
      </c>
      <c r="AO231" s="6">
        <v>1</v>
      </c>
      <c r="AP231" s="6">
        <v>1</v>
      </c>
      <c r="AQ231" s="6">
        <v>1</v>
      </c>
      <c r="AR231" s="6">
        <v>1</v>
      </c>
      <c r="AS231" s="6">
        <v>1</v>
      </c>
      <c r="AT231" s="6">
        <v>1</v>
      </c>
      <c r="AU231" s="6">
        <v>1</v>
      </c>
      <c r="AV231" s="6">
        <v>1</v>
      </c>
      <c r="AW231" s="6">
        <v>1</v>
      </c>
      <c r="AX231" s="14">
        <v>1</v>
      </c>
      <c r="BC231" s="9" t="s">
        <v>1649</v>
      </c>
      <c r="BD231" s="14" t="s">
        <v>338</v>
      </c>
      <c r="BE231" t="s">
        <v>1275</v>
      </c>
      <c r="BF231" s="1" t="s">
        <v>29</v>
      </c>
      <c r="BG231" s="1">
        <v>15</v>
      </c>
      <c r="BH231">
        <v>3</v>
      </c>
      <c r="BI231">
        <v>1</v>
      </c>
      <c r="BK231">
        <v>1</v>
      </c>
      <c r="BQ231">
        <v>1</v>
      </c>
      <c r="CC231">
        <v>1</v>
      </c>
      <c r="CI231">
        <v>1</v>
      </c>
      <c r="CL231">
        <v>1</v>
      </c>
      <c r="CS231" s="14" t="s">
        <v>1650</v>
      </c>
      <c r="CT231" s="9" t="s">
        <v>382</v>
      </c>
    </row>
    <row r="232" spans="1:98">
      <c r="A232" t="s">
        <v>7</v>
      </c>
      <c r="B232" t="s">
        <v>1666</v>
      </c>
      <c r="C232" s="15"/>
      <c r="E232" s="8"/>
      <c r="F232" t="s">
        <v>7</v>
      </c>
      <c r="T232" s="5"/>
      <c r="U232" s="9" t="s">
        <v>376</v>
      </c>
      <c r="AG232" s="7">
        <v>1</v>
      </c>
      <c r="BC232" t="s">
        <v>1667</v>
      </c>
      <c r="BD232" s="7" t="s">
        <v>26</v>
      </c>
      <c r="BE232" t="s">
        <v>125</v>
      </c>
      <c r="BF232" s="1" t="s">
        <v>29</v>
      </c>
      <c r="BG232" s="1">
        <v>1</v>
      </c>
      <c r="BH232">
        <v>1</v>
      </c>
      <c r="BK232"/>
      <c r="BQ232">
        <v>1</v>
      </c>
      <c r="CS232" s="7" t="s">
        <v>1668</v>
      </c>
      <c r="CT232" s="9" t="s">
        <v>382</v>
      </c>
    </row>
    <row r="233" spans="1:98">
      <c r="A233" t="s">
        <v>7</v>
      </c>
      <c r="B233" t="s">
        <v>1669</v>
      </c>
      <c r="C233" s="15"/>
      <c r="E233" s="8"/>
      <c r="F233" t="s">
        <v>7</v>
      </c>
      <c r="T233" s="5"/>
      <c r="U233" s="9" t="s">
        <v>376</v>
      </c>
      <c r="AG233" s="7">
        <v>1</v>
      </c>
      <c r="BC233" t="s">
        <v>1670</v>
      </c>
      <c r="BD233" s="7" t="s">
        <v>26</v>
      </c>
      <c r="BE233" t="s">
        <v>125</v>
      </c>
      <c r="BF233" s="1" t="s">
        <v>29</v>
      </c>
      <c r="BG233" s="1">
        <v>1</v>
      </c>
      <c r="BH233">
        <v>1</v>
      </c>
      <c r="BK233"/>
      <c r="BQ233">
        <v>1</v>
      </c>
      <c r="CS233" s="7" t="s">
        <v>1668</v>
      </c>
      <c r="CT233" s="9" t="s">
        <v>382</v>
      </c>
    </row>
    <row r="234" spans="1:98">
      <c r="B234" t="s">
        <v>1643</v>
      </c>
      <c r="C234" s="2" t="s">
        <v>1644</v>
      </c>
      <c r="E234" s="8"/>
      <c r="F234" s="8" t="s">
        <v>115</v>
      </c>
      <c r="G234" s="1">
        <v>1</v>
      </c>
      <c r="I234" s="1">
        <f>1803-28</f>
        <v>1775</v>
      </c>
      <c r="J234" t="s">
        <v>69</v>
      </c>
      <c r="K234" t="s">
        <v>197</v>
      </c>
      <c r="M234">
        <v>1</v>
      </c>
      <c r="Q234">
        <v>5</v>
      </c>
      <c r="R234">
        <v>3</v>
      </c>
      <c r="S234">
        <v>3</v>
      </c>
      <c r="T234" s="5">
        <f>((Q234*316)+(R234*26.3)+(S234*2.2))/10</f>
        <v>166.55</v>
      </c>
      <c r="U234" s="9" t="s">
        <v>376</v>
      </c>
      <c r="AG234" s="9">
        <v>1</v>
      </c>
      <c r="AH234" s="6">
        <v>1</v>
      </c>
      <c r="AI234" s="6">
        <v>1</v>
      </c>
      <c r="AJ234" s="6">
        <v>1</v>
      </c>
      <c r="AK234" s="6">
        <v>1</v>
      </c>
      <c r="AL234" s="6">
        <v>1</v>
      </c>
      <c r="AM234" s="6">
        <v>1</v>
      </c>
      <c r="AN234" s="6">
        <v>1</v>
      </c>
      <c r="AO234" s="6">
        <v>1</v>
      </c>
      <c r="AP234" s="6">
        <v>1</v>
      </c>
      <c r="AQ234" s="6">
        <v>1</v>
      </c>
      <c r="AR234" s="6">
        <v>1</v>
      </c>
      <c r="AS234" s="6">
        <v>1</v>
      </c>
      <c r="AT234" s="6">
        <v>1</v>
      </c>
      <c r="AU234" s="6">
        <v>1</v>
      </c>
      <c r="AV234" s="6">
        <v>1</v>
      </c>
      <c r="AW234" s="6">
        <v>1</v>
      </c>
      <c r="AX234" s="7">
        <v>1</v>
      </c>
      <c r="BC234" t="s">
        <v>1645</v>
      </c>
      <c r="BD234" s="7" t="s">
        <v>103</v>
      </c>
      <c r="BE234" t="s">
        <v>1646</v>
      </c>
      <c r="BF234" s="1" t="s">
        <v>29</v>
      </c>
      <c r="BG234" s="1">
        <v>17</v>
      </c>
      <c r="BH234">
        <v>3</v>
      </c>
      <c r="BJ234">
        <v>1</v>
      </c>
      <c r="BK234">
        <v>1</v>
      </c>
      <c r="BQ234">
        <v>1</v>
      </c>
      <c r="BV234">
        <v>1</v>
      </c>
      <c r="CL234">
        <v>1</v>
      </c>
      <c r="CS234" s="7" t="s">
        <v>1409</v>
      </c>
      <c r="CT234" s="9" t="s">
        <v>382</v>
      </c>
    </row>
    <row r="235" spans="1:98">
      <c r="B235" t="s">
        <v>346</v>
      </c>
      <c r="C235" s="2" t="s">
        <v>113</v>
      </c>
      <c r="E235" s="8" t="s">
        <v>114</v>
      </c>
      <c r="F235" s="8" t="s">
        <v>115</v>
      </c>
      <c r="G235" s="1">
        <v>1</v>
      </c>
      <c r="I235" s="1">
        <f>1800-28</f>
        <v>1772</v>
      </c>
      <c r="J235" t="s">
        <v>69</v>
      </c>
      <c r="K235" t="s">
        <v>347</v>
      </c>
      <c r="N235">
        <v>1</v>
      </c>
      <c r="Q235">
        <v>5</v>
      </c>
      <c r="R235">
        <v>2</v>
      </c>
      <c r="T235" s="5">
        <f>((Q235*316)+(R235*26.3)+(S235*2.2))/10</f>
        <v>163.26</v>
      </c>
      <c r="U235" s="9" t="s">
        <v>376</v>
      </c>
      <c r="AG235" s="9">
        <v>1</v>
      </c>
      <c r="AH235" s="6">
        <v>1</v>
      </c>
      <c r="AI235" s="6">
        <v>1</v>
      </c>
      <c r="AJ235" s="6">
        <v>1</v>
      </c>
      <c r="AK235" s="6">
        <v>1</v>
      </c>
      <c r="AL235" s="6">
        <v>1</v>
      </c>
      <c r="AM235" s="6">
        <v>1</v>
      </c>
      <c r="AN235" s="7">
        <v>1</v>
      </c>
      <c r="BC235" t="s">
        <v>198</v>
      </c>
      <c r="BD235" s="7" t="s">
        <v>103</v>
      </c>
      <c r="BE235" t="s">
        <v>125</v>
      </c>
      <c r="BF235" s="1" t="s">
        <v>29</v>
      </c>
      <c r="BG235" s="1">
        <v>10</v>
      </c>
      <c r="BH235">
        <v>1</v>
      </c>
      <c r="BK235" s="1">
        <v>1</v>
      </c>
      <c r="BQ235">
        <v>1</v>
      </c>
      <c r="CS235" s="7" t="s">
        <v>203</v>
      </c>
      <c r="CT235" s="9" t="s">
        <v>127</v>
      </c>
    </row>
    <row r="236" spans="1:98">
      <c r="B236" t="s">
        <v>1424</v>
      </c>
      <c r="C236" s="2" t="s">
        <v>113</v>
      </c>
      <c r="E236" s="8"/>
      <c r="F236" s="8" t="s">
        <v>115</v>
      </c>
      <c r="G236" s="1">
        <v>1</v>
      </c>
      <c r="I236" s="1">
        <f>1802-22</f>
        <v>1780</v>
      </c>
      <c r="J236" t="s">
        <v>69</v>
      </c>
      <c r="K236" t="s">
        <v>12</v>
      </c>
      <c r="N236">
        <v>1</v>
      </c>
      <c r="Q236">
        <v>5</v>
      </c>
      <c r="R236">
        <v>5</v>
      </c>
      <c r="S236">
        <v>3</v>
      </c>
      <c r="T236" s="5">
        <f>((Q236*316)+(R236*26.3)+(S236*2.2))/10</f>
        <v>171.81</v>
      </c>
      <c r="U236" s="9" t="s">
        <v>376</v>
      </c>
      <c r="AG236" s="9">
        <v>1</v>
      </c>
      <c r="AH236" s="6">
        <v>1</v>
      </c>
      <c r="AI236" s="6">
        <v>1</v>
      </c>
      <c r="AJ236" s="7">
        <v>1</v>
      </c>
      <c r="BC236" t="s">
        <v>1369</v>
      </c>
      <c r="BD236" s="7" t="s">
        <v>280</v>
      </c>
      <c r="BE236" t="s">
        <v>125</v>
      </c>
      <c r="BF236" s="1" t="s">
        <v>29</v>
      </c>
      <c r="BG236" s="1">
        <v>4</v>
      </c>
      <c r="BH236">
        <v>1</v>
      </c>
      <c r="BK236" s="1">
        <v>1</v>
      </c>
      <c r="BQ236">
        <v>1</v>
      </c>
      <c r="CN236">
        <v>1</v>
      </c>
      <c r="CS236" s="7" t="s">
        <v>1425</v>
      </c>
      <c r="CT236" s="9" t="s">
        <v>382</v>
      </c>
    </row>
    <row r="237" spans="1:98">
      <c r="A237" t="s">
        <v>7</v>
      </c>
      <c r="B237" t="s">
        <v>1696</v>
      </c>
      <c r="C237" s="15"/>
      <c r="E237" s="8"/>
      <c r="F237" t="s">
        <v>7</v>
      </c>
      <c r="T237" s="5"/>
      <c r="U237" s="9" t="s">
        <v>376</v>
      </c>
      <c r="AG237" s="9">
        <v>1</v>
      </c>
      <c r="AH237" s="7">
        <v>1</v>
      </c>
      <c r="BC237" t="s">
        <v>1697</v>
      </c>
      <c r="BD237" s="7" t="s">
        <v>26</v>
      </c>
      <c r="BE237" t="s">
        <v>125</v>
      </c>
      <c r="BF237" s="1" t="s">
        <v>29</v>
      </c>
      <c r="BG237" s="1">
        <v>2</v>
      </c>
      <c r="BH237">
        <v>1</v>
      </c>
      <c r="BK237">
        <v>1</v>
      </c>
      <c r="BQ237">
        <v>1</v>
      </c>
      <c r="CS237" s="7" t="s">
        <v>1698</v>
      </c>
      <c r="CT237" s="9" t="s">
        <v>382</v>
      </c>
    </row>
    <row r="238" spans="1:98">
      <c r="B238" t="s">
        <v>1474</v>
      </c>
      <c r="C238" s="2" t="s">
        <v>173</v>
      </c>
      <c r="E238" s="8"/>
      <c r="F238" s="8" t="s">
        <v>115</v>
      </c>
      <c r="G238" s="1">
        <v>1</v>
      </c>
      <c r="I238" s="1">
        <f>1804-34</f>
        <v>1770</v>
      </c>
      <c r="J238" t="s">
        <v>69</v>
      </c>
      <c r="K238" t="s">
        <v>197</v>
      </c>
      <c r="M238">
        <v>1</v>
      </c>
      <c r="Q238">
        <v>5</v>
      </c>
      <c r="R238">
        <v>4</v>
      </c>
      <c r="S238">
        <v>2</v>
      </c>
      <c r="T238" s="5">
        <f>((Q238*316)+(R238*26.3)+(S238*2.2))/10</f>
        <v>168.96</v>
      </c>
      <c r="U238" s="9" t="s">
        <v>376</v>
      </c>
      <c r="AG238" s="9">
        <v>1</v>
      </c>
      <c r="AH238" s="6">
        <v>1</v>
      </c>
      <c r="AI238" s="6">
        <v>1</v>
      </c>
      <c r="AJ238" s="6">
        <v>1</v>
      </c>
      <c r="AK238" s="6">
        <v>1</v>
      </c>
      <c r="AL238" s="6">
        <v>1</v>
      </c>
      <c r="AM238" s="6">
        <v>1</v>
      </c>
      <c r="AN238" s="7">
        <v>1</v>
      </c>
      <c r="BC238" t="s">
        <v>1472</v>
      </c>
      <c r="BD238" s="7" t="s">
        <v>109</v>
      </c>
      <c r="BE238" t="s">
        <v>62</v>
      </c>
      <c r="BF238" s="1" t="s">
        <v>29</v>
      </c>
      <c r="BG238" s="1">
        <v>9</v>
      </c>
      <c r="BH238">
        <v>2</v>
      </c>
      <c r="BI238">
        <v>1</v>
      </c>
      <c r="BK238">
        <v>1</v>
      </c>
      <c r="BQ238">
        <v>1</v>
      </c>
      <c r="CL238">
        <v>1</v>
      </c>
      <c r="CS238" s="7" t="s">
        <v>1475</v>
      </c>
      <c r="CT238" s="9" t="s">
        <v>382</v>
      </c>
    </row>
    <row r="239" spans="1:98">
      <c r="A239" t="s">
        <v>7</v>
      </c>
      <c r="B239" t="s">
        <v>379</v>
      </c>
      <c r="C239" s="15"/>
      <c r="E239" s="8"/>
      <c r="F239" t="s">
        <v>7</v>
      </c>
      <c r="T239" s="5"/>
      <c r="U239" s="9" t="s">
        <v>376</v>
      </c>
      <c r="AG239" s="9">
        <v>1</v>
      </c>
      <c r="AH239" s="6">
        <v>1</v>
      </c>
      <c r="AI239" s="7">
        <v>1</v>
      </c>
      <c r="BC239" t="s">
        <v>380</v>
      </c>
      <c r="BD239" s="7" t="s">
        <v>280</v>
      </c>
      <c r="BE239" t="s">
        <v>125</v>
      </c>
      <c r="BF239" s="1" t="s">
        <v>29</v>
      </c>
      <c r="BG239" s="1">
        <v>3</v>
      </c>
      <c r="BH239">
        <v>1</v>
      </c>
      <c r="BK239" s="1" t="s">
        <v>72</v>
      </c>
      <c r="BQ239">
        <v>1</v>
      </c>
      <c r="CN239">
        <v>1</v>
      </c>
      <c r="CS239" s="7" t="s">
        <v>381</v>
      </c>
      <c r="CT239" s="9" t="s">
        <v>382</v>
      </c>
    </row>
    <row r="240" spans="1:98">
      <c r="A240" t="s">
        <v>7</v>
      </c>
      <c r="B240" t="s">
        <v>1658</v>
      </c>
      <c r="C240" s="15"/>
      <c r="E240" s="8"/>
      <c r="F240" t="s">
        <v>7</v>
      </c>
      <c r="T240" s="5"/>
      <c r="U240" s="9" t="s">
        <v>376</v>
      </c>
      <c r="AG240" s="9">
        <v>1</v>
      </c>
      <c r="AH240" s="6">
        <v>1</v>
      </c>
      <c r="AI240" s="7">
        <v>1</v>
      </c>
      <c r="BC240" t="s">
        <v>1659</v>
      </c>
      <c r="BD240" s="7" t="s">
        <v>26</v>
      </c>
      <c r="BE240" t="s">
        <v>125</v>
      </c>
      <c r="BF240" s="1" t="s">
        <v>29</v>
      </c>
      <c r="BG240" s="1">
        <v>3</v>
      </c>
      <c r="BH240">
        <v>1</v>
      </c>
      <c r="BK240" t="s">
        <v>72</v>
      </c>
      <c r="BQ240">
        <v>1</v>
      </c>
      <c r="CS240" s="7" t="s">
        <v>1660</v>
      </c>
      <c r="CT240" s="9" t="s">
        <v>382</v>
      </c>
    </row>
    <row r="241" spans="1:98">
      <c r="B241" t="s">
        <v>1058</v>
      </c>
      <c r="C241" s="13" t="s">
        <v>1059</v>
      </c>
      <c r="E241" s="8"/>
      <c r="F241" s="8" t="s">
        <v>234</v>
      </c>
      <c r="G241" s="1">
        <v>1</v>
      </c>
      <c r="I241" s="1">
        <f>1800-24</f>
        <v>1776</v>
      </c>
      <c r="J241" t="s">
        <v>10</v>
      </c>
      <c r="K241" t="s">
        <v>12</v>
      </c>
      <c r="T241" s="5"/>
      <c r="U241" s="9" t="s">
        <v>376</v>
      </c>
      <c r="AG241" s="9">
        <v>1</v>
      </c>
      <c r="AH241" s="6">
        <v>1</v>
      </c>
      <c r="BC241">
        <v>1800</v>
      </c>
      <c r="BD241" t="s">
        <v>81</v>
      </c>
      <c r="BE241" s="10" t="s">
        <v>70</v>
      </c>
      <c r="BF241" s="1" t="s">
        <v>73</v>
      </c>
      <c r="BG241" s="1">
        <v>1</v>
      </c>
      <c r="BH241">
        <v>1</v>
      </c>
      <c r="BK241" s="1" t="s">
        <v>72</v>
      </c>
      <c r="BZ241">
        <v>1</v>
      </c>
      <c r="CS241" t="s">
        <v>111</v>
      </c>
      <c r="CT241" s="10" t="s">
        <v>1054</v>
      </c>
    </row>
    <row r="242" spans="1:98">
      <c r="A242" t="s">
        <v>7</v>
      </c>
      <c r="B242" t="s">
        <v>1701</v>
      </c>
      <c r="C242" s="15"/>
      <c r="E242" s="8"/>
      <c r="F242" t="s">
        <v>7</v>
      </c>
      <c r="T242" s="5"/>
      <c r="U242" s="9" t="s">
        <v>376</v>
      </c>
      <c r="AG242" s="9">
        <v>1</v>
      </c>
      <c r="AH242" s="7">
        <v>1</v>
      </c>
      <c r="BC242" t="s">
        <v>1702</v>
      </c>
      <c r="BD242" s="7" t="s">
        <v>103</v>
      </c>
      <c r="BE242" t="s">
        <v>125</v>
      </c>
      <c r="BF242" s="1" t="s">
        <v>29</v>
      </c>
      <c r="BG242" s="1">
        <v>2</v>
      </c>
      <c r="BH242">
        <v>1</v>
      </c>
      <c r="BQ242">
        <v>1</v>
      </c>
      <c r="CS242" s="7" t="s">
        <v>1378</v>
      </c>
      <c r="CT242" s="9" t="s">
        <v>382</v>
      </c>
    </row>
    <row r="243" spans="1:98">
      <c r="A243" t="s">
        <v>7</v>
      </c>
      <c r="B243" t="s">
        <v>1389</v>
      </c>
      <c r="C243" s="15"/>
      <c r="E243" s="8"/>
      <c r="F243" t="s">
        <v>7</v>
      </c>
      <c r="T243" s="5"/>
      <c r="U243" s="9" t="s">
        <v>376</v>
      </c>
      <c r="AG243" s="9">
        <v>1</v>
      </c>
      <c r="AH243" s="7">
        <v>1</v>
      </c>
      <c r="BC243" t="s">
        <v>1390</v>
      </c>
      <c r="BD243" s="7" t="s">
        <v>103</v>
      </c>
      <c r="BE243" t="s">
        <v>125</v>
      </c>
      <c r="BF243" s="1" t="s">
        <v>29</v>
      </c>
      <c r="BG243" s="1">
        <v>2</v>
      </c>
      <c r="BH243">
        <v>1</v>
      </c>
      <c r="BK243" s="1" t="s">
        <v>72</v>
      </c>
      <c r="BQ243">
        <v>1</v>
      </c>
      <c r="CS243" s="7" t="s">
        <v>1391</v>
      </c>
      <c r="CT243" s="9" t="s">
        <v>382</v>
      </c>
    </row>
    <row r="244" spans="1:98">
      <c r="B244" t="s">
        <v>914</v>
      </c>
      <c r="C244" s="8" t="s">
        <v>915</v>
      </c>
      <c r="F244" s="8" t="s">
        <v>115</v>
      </c>
      <c r="G244" s="1">
        <v>1</v>
      </c>
      <c r="I244" s="1">
        <f>1802-30</f>
        <v>1772</v>
      </c>
      <c r="J244" t="s">
        <v>69</v>
      </c>
      <c r="K244" t="s">
        <v>12</v>
      </c>
      <c r="N244">
        <v>1</v>
      </c>
      <c r="Q244">
        <v>5</v>
      </c>
      <c r="R244">
        <v>1</v>
      </c>
      <c r="T244" s="5">
        <f t="shared" ref="T244:T251" si="8">((Q244*316)+(R244*26.3)+(S244*2.2))/10</f>
        <v>160.63</v>
      </c>
      <c r="U244" t="s">
        <v>913</v>
      </c>
      <c r="AG244" s="6">
        <v>1</v>
      </c>
      <c r="AH244" s="6">
        <v>1</v>
      </c>
      <c r="AI244" s="6">
        <v>1</v>
      </c>
      <c r="AJ244" s="7">
        <v>1</v>
      </c>
      <c r="BC244" t="s">
        <v>916</v>
      </c>
      <c r="BD244" s="7" t="s">
        <v>280</v>
      </c>
      <c r="BE244" t="s">
        <v>874</v>
      </c>
      <c r="BF244" s="1" t="s">
        <v>29</v>
      </c>
      <c r="BG244" s="1">
        <v>2</v>
      </c>
      <c r="BH244">
        <v>3</v>
      </c>
      <c r="BK244" s="1" t="s">
        <v>72</v>
      </c>
      <c r="BQ244">
        <v>1</v>
      </c>
      <c r="BV244">
        <v>1</v>
      </c>
      <c r="CL244">
        <v>1</v>
      </c>
      <c r="CN244">
        <v>1</v>
      </c>
      <c r="CS244" s="7" t="s">
        <v>917</v>
      </c>
    </row>
    <row r="245" spans="1:98">
      <c r="B245" t="s">
        <v>835</v>
      </c>
      <c r="C245" s="15" t="s">
        <v>836</v>
      </c>
      <c r="E245" s="8" t="s">
        <v>837</v>
      </c>
      <c r="F245" s="8" t="s">
        <v>115</v>
      </c>
      <c r="G245" s="1">
        <v>1</v>
      </c>
      <c r="I245" s="1">
        <f>1802-37</f>
        <v>1765</v>
      </c>
      <c r="J245" t="s">
        <v>69</v>
      </c>
      <c r="K245" t="s">
        <v>12</v>
      </c>
      <c r="N245">
        <v>1</v>
      </c>
      <c r="O245">
        <v>2</v>
      </c>
      <c r="Q245">
        <v>5</v>
      </c>
      <c r="R245">
        <v>4</v>
      </c>
      <c r="T245" s="5">
        <f t="shared" si="8"/>
        <v>168.52</v>
      </c>
      <c r="U245" t="s">
        <v>174</v>
      </c>
      <c r="AG245" s="6">
        <v>1</v>
      </c>
      <c r="AH245" s="6">
        <v>1</v>
      </c>
      <c r="AI245" s="6">
        <v>1</v>
      </c>
      <c r="AJ245" s="6">
        <v>1</v>
      </c>
      <c r="AK245" s="6">
        <v>1</v>
      </c>
      <c r="AL245" s="6">
        <v>1</v>
      </c>
      <c r="AM245" s="6">
        <v>1</v>
      </c>
      <c r="AN245" s="6">
        <v>1</v>
      </c>
      <c r="AO245" s="6">
        <v>1</v>
      </c>
      <c r="AP245" s="6">
        <v>1</v>
      </c>
      <c r="AQ245" s="6">
        <v>1</v>
      </c>
      <c r="AR245" s="6">
        <v>1</v>
      </c>
      <c r="BC245">
        <v>1810</v>
      </c>
      <c r="BD245" t="s">
        <v>81</v>
      </c>
      <c r="BE245" t="s">
        <v>820</v>
      </c>
      <c r="BF245" s="1" t="s">
        <v>73</v>
      </c>
      <c r="BG245" s="1">
        <v>2</v>
      </c>
      <c r="BH245">
        <v>2</v>
      </c>
      <c r="BK245" s="1">
        <v>1</v>
      </c>
      <c r="BQ245">
        <v>1</v>
      </c>
      <c r="CL245">
        <v>1</v>
      </c>
      <c r="CS245" t="s">
        <v>824</v>
      </c>
    </row>
    <row r="246" spans="1:98">
      <c r="B246" t="s">
        <v>172</v>
      </c>
      <c r="C246" s="15" t="s">
        <v>173</v>
      </c>
      <c r="E246" s="8"/>
      <c r="F246" s="8" t="s">
        <v>115</v>
      </c>
      <c r="G246" s="1">
        <v>1</v>
      </c>
      <c r="I246" s="1">
        <f>1802-25</f>
        <v>1777</v>
      </c>
      <c r="J246" t="s">
        <v>69</v>
      </c>
      <c r="K246" t="s">
        <v>1748</v>
      </c>
      <c r="N246">
        <v>1</v>
      </c>
      <c r="Q246">
        <v>5</v>
      </c>
      <c r="R246">
        <v>3</v>
      </c>
      <c r="S246">
        <v>3</v>
      </c>
      <c r="T246" s="5">
        <f t="shared" si="8"/>
        <v>166.55</v>
      </c>
      <c r="U246" t="s">
        <v>174</v>
      </c>
      <c r="AG246" s="6">
        <v>1</v>
      </c>
      <c r="AH246" s="6">
        <v>1</v>
      </c>
      <c r="AI246" s="6">
        <v>1</v>
      </c>
      <c r="AJ246" s="6">
        <v>1</v>
      </c>
      <c r="AK246" s="6">
        <v>1</v>
      </c>
      <c r="AL246" s="6">
        <v>1</v>
      </c>
      <c r="AM246" s="6">
        <v>1</v>
      </c>
      <c r="AN246" s="6">
        <v>1</v>
      </c>
      <c r="AO246" s="6">
        <v>1</v>
      </c>
      <c r="AP246" s="6">
        <v>1</v>
      </c>
      <c r="AQ246" s="6">
        <v>1</v>
      </c>
      <c r="AR246" s="6">
        <v>1</v>
      </c>
      <c r="AS246" s="6">
        <v>1</v>
      </c>
      <c r="AT246" s="6">
        <v>1</v>
      </c>
      <c r="AU246" s="6">
        <v>1</v>
      </c>
      <c r="AV246" s="7">
        <v>1</v>
      </c>
      <c r="BC246" t="s">
        <v>1749</v>
      </c>
      <c r="BD246" s="7" t="s">
        <v>103</v>
      </c>
      <c r="BE246" t="s">
        <v>1750</v>
      </c>
      <c r="BF246" s="1" t="s">
        <v>29</v>
      </c>
      <c r="BG246" s="1">
        <v>18</v>
      </c>
      <c r="BH246">
        <v>4</v>
      </c>
      <c r="BK246" s="1">
        <v>1</v>
      </c>
      <c r="BQ246">
        <v>1</v>
      </c>
      <c r="BY246">
        <v>1</v>
      </c>
      <c r="CN246">
        <v>1</v>
      </c>
      <c r="CP246">
        <v>1</v>
      </c>
      <c r="CS246" s="7" t="s">
        <v>361</v>
      </c>
    </row>
    <row r="247" spans="1:98">
      <c r="A247" t="s">
        <v>7</v>
      </c>
      <c r="B247" t="s">
        <v>2709</v>
      </c>
      <c r="C247" s="15"/>
      <c r="E247" s="8"/>
      <c r="F247" t="s">
        <v>7</v>
      </c>
      <c r="T247" s="5"/>
      <c r="U247" t="s">
        <v>174</v>
      </c>
      <c r="AG247" s="6">
        <v>1</v>
      </c>
      <c r="AH247" s="6">
        <v>1</v>
      </c>
      <c r="AI247" s="7">
        <v>1</v>
      </c>
      <c r="BC247" t="s">
        <v>2710</v>
      </c>
      <c r="BD247" s="7" t="s">
        <v>26</v>
      </c>
      <c r="BE247" t="s">
        <v>2005</v>
      </c>
      <c r="BF247" s="1" t="s">
        <v>29</v>
      </c>
      <c r="BG247" s="1">
        <v>2</v>
      </c>
      <c r="BH247">
        <v>1</v>
      </c>
      <c r="BK247" s="1">
        <v>1</v>
      </c>
      <c r="BQ247">
        <v>1</v>
      </c>
      <c r="CS247" s="7" t="s">
        <v>2711</v>
      </c>
    </row>
    <row r="248" spans="1:98">
      <c r="B248" t="s">
        <v>956</v>
      </c>
      <c r="C248" s="13" t="s">
        <v>957</v>
      </c>
      <c r="E248" s="8" t="s">
        <v>710</v>
      </c>
      <c r="F248" s="8" t="s">
        <v>115</v>
      </c>
      <c r="G248" s="1">
        <v>1</v>
      </c>
      <c r="I248" s="1">
        <f>1801-29</f>
        <v>1772</v>
      </c>
      <c r="J248" t="s">
        <v>69</v>
      </c>
      <c r="K248" t="s">
        <v>12</v>
      </c>
      <c r="Q248">
        <v>5</v>
      </c>
      <c r="R248">
        <v>1</v>
      </c>
      <c r="T248" s="5">
        <f t="shared" si="8"/>
        <v>160.63</v>
      </c>
      <c r="U248" t="s">
        <v>958</v>
      </c>
      <c r="AG248" s="6">
        <v>1</v>
      </c>
      <c r="AH248" s="6">
        <v>1</v>
      </c>
      <c r="AI248" s="7">
        <v>1</v>
      </c>
      <c r="BC248" t="s">
        <v>960</v>
      </c>
      <c r="BD248" s="7" t="s">
        <v>959</v>
      </c>
      <c r="BE248" s="7" t="s">
        <v>961</v>
      </c>
      <c r="BF248" s="1" t="s">
        <v>29</v>
      </c>
      <c r="BG248" s="1">
        <v>2</v>
      </c>
      <c r="BH248">
        <v>2</v>
      </c>
      <c r="BJ248">
        <v>1</v>
      </c>
      <c r="BK248" s="1" t="s">
        <v>72</v>
      </c>
      <c r="BQ248">
        <v>1</v>
      </c>
      <c r="CB248" s="7">
        <v>1</v>
      </c>
      <c r="CS248" s="7" t="s">
        <v>962</v>
      </c>
    </row>
    <row r="249" spans="1:98">
      <c r="B249" t="s">
        <v>240</v>
      </c>
      <c r="C249" s="15" t="s">
        <v>241</v>
      </c>
      <c r="E249" s="8" t="s">
        <v>114</v>
      </c>
      <c r="F249" s="8" t="s">
        <v>115</v>
      </c>
      <c r="G249" s="1">
        <v>1</v>
      </c>
      <c r="I249" s="1">
        <f>1800-24</f>
        <v>1776</v>
      </c>
      <c r="J249" t="s">
        <v>69</v>
      </c>
      <c r="K249" t="s">
        <v>12</v>
      </c>
      <c r="N249">
        <v>1</v>
      </c>
      <c r="Q249">
        <v>5</v>
      </c>
      <c r="R249">
        <v>4</v>
      </c>
      <c r="S249">
        <v>2</v>
      </c>
      <c r="T249" s="5">
        <f t="shared" si="8"/>
        <v>168.96</v>
      </c>
      <c r="U249" t="s">
        <v>177</v>
      </c>
      <c r="AG249" s="6">
        <v>1</v>
      </c>
      <c r="AH249" s="6">
        <v>1</v>
      </c>
      <c r="AI249" s="6">
        <v>1</v>
      </c>
      <c r="AJ249" s="6">
        <v>1</v>
      </c>
      <c r="AK249" s="6">
        <v>1</v>
      </c>
      <c r="AL249" s="6">
        <v>1</v>
      </c>
      <c r="AM249" s="6">
        <v>1</v>
      </c>
      <c r="AN249" s="7">
        <v>1</v>
      </c>
      <c r="BC249" t="s">
        <v>198</v>
      </c>
      <c r="BD249" s="7" t="s">
        <v>109</v>
      </c>
      <c r="BE249" t="s">
        <v>125</v>
      </c>
      <c r="BF249" s="1" t="s">
        <v>29</v>
      </c>
      <c r="BG249" s="1">
        <v>10</v>
      </c>
      <c r="BH249">
        <v>1</v>
      </c>
      <c r="BK249" s="1">
        <v>1</v>
      </c>
      <c r="BQ249">
        <v>1</v>
      </c>
      <c r="CS249" s="7" t="s">
        <v>354</v>
      </c>
    </row>
    <row r="250" spans="1:98">
      <c r="B250" t="s">
        <v>175</v>
      </c>
      <c r="C250" s="15" t="s">
        <v>176</v>
      </c>
      <c r="E250" s="8" t="s">
        <v>114</v>
      </c>
      <c r="F250" s="8" t="s">
        <v>115</v>
      </c>
      <c r="G250" s="1">
        <v>1</v>
      </c>
      <c r="I250" s="1">
        <f>1802-26</f>
        <v>1776</v>
      </c>
      <c r="J250" t="s">
        <v>69</v>
      </c>
      <c r="K250" t="s">
        <v>12</v>
      </c>
      <c r="N250">
        <v>1</v>
      </c>
      <c r="Q250">
        <v>5</v>
      </c>
      <c r="R250">
        <v>4</v>
      </c>
      <c r="S250">
        <v>2</v>
      </c>
      <c r="T250" s="5">
        <f t="shared" si="8"/>
        <v>168.96</v>
      </c>
      <c r="U250" t="s">
        <v>177</v>
      </c>
      <c r="AG250" s="6">
        <v>1</v>
      </c>
      <c r="AH250" s="6">
        <v>1</v>
      </c>
      <c r="AI250" s="6">
        <v>1</v>
      </c>
      <c r="AJ250" s="6">
        <v>1</v>
      </c>
      <c r="AK250" s="6">
        <v>1</v>
      </c>
      <c r="AL250" s="6">
        <v>1</v>
      </c>
      <c r="AM250" s="6">
        <v>1</v>
      </c>
      <c r="AN250" s="6">
        <v>1</v>
      </c>
      <c r="AO250" s="6">
        <v>1</v>
      </c>
      <c r="AP250" s="7">
        <v>1</v>
      </c>
      <c r="BC250" t="s">
        <v>178</v>
      </c>
      <c r="BD250" s="7" t="s">
        <v>26</v>
      </c>
      <c r="BE250" t="s">
        <v>125</v>
      </c>
      <c r="BF250" s="1" t="s">
        <v>29</v>
      </c>
      <c r="BG250" s="1">
        <v>12</v>
      </c>
      <c r="BH250">
        <v>1</v>
      </c>
      <c r="BK250" s="1">
        <v>1</v>
      </c>
      <c r="BQ250">
        <v>1</v>
      </c>
      <c r="CS250" s="7" t="s">
        <v>179</v>
      </c>
    </row>
    <row r="251" spans="1:98">
      <c r="B251" t="s">
        <v>242</v>
      </c>
      <c r="C251" s="15" t="s">
        <v>243</v>
      </c>
      <c r="E251" s="8" t="s">
        <v>122</v>
      </c>
      <c r="F251" s="8" t="s">
        <v>115</v>
      </c>
      <c r="G251" s="1">
        <v>1</v>
      </c>
      <c r="I251" s="1">
        <f>1802-38</f>
        <v>1764</v>
      </c>
      <c r="J251" t="s">
        <v>69</v>
      </c>
      <c r="K251" t="s">
        <v>12</v>
      </c>
      <c r="N251">
        <v>1</v>
      </c>
      <c r="Q251">
        <v>5</v>
      </c>
      <c r="R251">
        <v>3</v>
      </c>
      <c r="S251">
        <v>3</v>
      </c>
      <c r="T251" s="5">
        <f t="shared" si="8"/>
        <v>166.55</v>
      </c>
      <c r="U251" t="s">
        <v>177</v>
      </c>
      <c r="AG251" s="6">
        <v>1</v>
      </c>
      <c r="AH251" s="6">
        <v>1</v>
      </c>
      <c r="AI251" s="6">
        <v>1</v>
      </c>
      <c r="AJ251" s="6">
        <v>1</v>
      </c>
      <c r="AK251" s="6">
        <v>1</v>
      </c>
      <c r="AL251" s="6">
        <v>1</v>
      </c>
      <c r="AM251" s="6">
        <v>1</v>
      </c>
      <c r="AN251" s="7">
        <v>1</v>
      </c>
      <c r="BC251" t="s">
        <v>198</v>
      </c>
      <c r="BD251" s="7" t="s">
        <v>109</v>
      </c>
      <c r="BE251" t="s">
        <v>125</v>
      </c>
      <c r="BF251" s="1" t="s">
        <v>29</v>
      </c>
      <c r="BG251" s="1">
        <v>11</v>
      </c>
      <c r="BH251">
        <v>1</v>
      </c>
      <c r="BK251" s="1">
        <v>1</v>
      </c>
      <c r="BQ251">
        <v>1</v>
      </c>
      <c r="CS251" s="7" t="s">
        <v>893</v>
      </c>
    </row>
    <row r="252" spans="1:98">
      <c r="B252" t="s">
        <v>2741</v>
      </c>
      <c r="C252" s="15"/>
      <c r="E252" s="8"/>
      <c r="F252" t="s">
        <v>7</v>
      </c>
      <c r="T252" s="5"/>
      <c r="U252" t="s">
        <v>177</v>
      </c>
      <c r="AG252" s="6">
        <v>1</v>
      </c>
      <c r="AH252" s="6">
        <v>1</v>
      </c>
      <c r="AI252" s="7">
        <v>1</v>
      </c>
      <c r="BC252" t="s">
        <v>2742</v>
      </c>
      <c r="BD252" s="7" t="s">
        <v>103</v>
      </c>
      <c r="BE252" t="s">
        <v>2005</v>
      </c>
      <c r="BF252" s="1" t="s">
        <v>29</v>
      </c>
      <c r="BG252" s="1">
        <v>2</v>
      </c>
      <c r="BH252">
        <v>1</v>
      </c>
      <c r="BK252" s="1">
        <v>1</v>
      </c>
      <c r="BQ252">
        <v>1</v>
      </c>
      <c r="CS252" s="7" t="s">
        <v>2172</v>
      </c>
    </row>
    <row r="253" spans="1:98">
      <c r="B253" t="s">
        <v>1764</v>
      </c>
      <c r="C253" s="2" t="s">
        <v>1765</v>
      </c>
      <c r="D253" s="2" t="s">
        <v>1765</v>
      </c>
      <c r="E253" s="8" t="s">
        <v>114</v>
      </c>
      <c r="F253" s="8" t="s">
        <v>115</v>
      </c>
      <c r="G253" s="1">
        <v>1</v>
      </c>
      <c r="I253" s="1">
        <f>1799-30</f>
        <v>1769</v>
      </c>
      <c r="J253" t="s">
        <v>69</v>
      </c>
      <c r="K253" t="s">
        <v>12</v>
      </c>
      <c r="O253">
        <v>4</v>
      </c>
      <c r="T253" s="5"/>
      <c r="U253" t="s">
        <v>1766</v>
      </c>
      <c r="AG253" s="10">
        <v>1</v>
      </c>
      <c r="BC253" t="s">
        <v>1767</v>
      </c>
      <c r="BD253" t="s">
        <v>81</v>
      </c>
      <c r="BE253" s="10" t="s">
        <v>70</v>
      </c>
      <c r="BF253" s="1" t="s">
        <v>73</v>
      </c>
      <c r="BG253" s="1">
        <v>1</v>
      </c>
      <c r="BH253">
        <v>2</v>
      </c>
      <c r="BJ253">
        <v>1</v>
      </c>
      <c r="BK253" s="1">
        <v>1</v>
      </c>
      <c r="BQ253">
        <v>1</v>
      </c>
      <c r="BZ253" s="10">
        <v>1</v>
      </c>
      <c r="CL253" s="10">
        <v>1</v>
      </c>
      <c r="CS253" t="s">
        <v>111</v>
      </c>
    </row>
    <row r="254" spans="1:98">
      <c r="B254" t="s">
        <v>2491</v>
      </c>
      <c r="C254" s="2" t="s">
        <v>2492</v>
      </c>
      <c r="D254" s="15" t="s">
        <v>2493</v>
      </c>
      <c r="E254" s="8" t="s">
        <v>1735</v>
      </c>
      <c r="F254" s="8" t="s">
        <v>115</v>
      </c>
      <c r="G254" s="1">
        <v>1</v>
      </c>
      <c r="I254" s="1">
        <f>1802-22</f>
        <v>1780</v>
      </c>
      <c r="J254" t="s">
        <v>10</v>
      </c>
      <c r="K254" t="s">
        <v>197</v>
      </c>
      <c r="Q254">
        <v>5</v>
      </c>
      <c r="R254">
        <v>4</v>
      </c>
      <c r="T254" s="5">
        <f t="shared" ref="T254:T286" si="9">((Q254*316)+(R254*26.3)+(S254*2.2))/10</f>
        <v>168.52</v>
      </c>
      <c r="U254" t="s">
        <v>2494</v>
      </c>
      <c r="AG254" s="6">
        <v>1</v>
      </c>
      <c r="AH254" s="6">
        <v>1</v>
      </c>
      <c r="AI254" s="6">
        <v>1</v>
      </c>
      <c r="AJ254" s="6">
        <v>1</v>
      </c>
      <c r="AK254" s="6">
        <v>1</v>
      </c>
      <c r="AL254" s="6">
        <v>1</v>
      </c>
      <c r="AM254" s="6">
        <v>1</v>
      </c>
      <c r="AN254" s="6">
        <v>1</v>
      </c>
      <c r="AO254" s="6">
        <v>1</v>
      </c>
      <c r="AP254" s="6">
        <v>1</v>
      </c>
      <c r="AQ254" s="6">
        <v>1</v>
      </c>
      <c r="AR254" s="6">
        <v>1</v>
      </c>
      <c r="AS254" s="6">
        <v>1</v>
      </c>
      <c r="AT254" s="6">
        <v>1</v>
      </c>
      <c r="AU254" s="6">
        <v>1</v>
      </c>
      <c r="AV254" s="6">
        <v>1</v>
      </c>
      <c r="AW254" s="6">
        <v>1</v>
      </c>
      <c r="AX254" s="6">
        <v>1</v>
      </c>
      <c r="AY254" s="6">
        <v>1</v>
      </c>
      <c r="AZ254" s="6">
        <v>1</v>
      </c>
      <c r="BA254" s="6">
        <v>1</v>
      </c>
      <c r="BB254" s="6">
        <v>1</v>
      </c>
      <c r="BC254">
        <v>1820</v>
      </c>
      <c r="BD254" t="s">
        <v>81</v>
      </c>
      <c r="BE254" t="s">
        <v>62</v>
      </c>
      <c r="BF254" s="1" t="s">
        <v>73</v>
      </c>
      <c r="BG254" s="1">
        <v>5</v>
      </c>
      <c r="BH254">
        <v>2</v>
      </c>
      <c r="BK254" s="1">
        <v>1</v>
      </c>
      <c r="BP254">
        <v>1</v>
      </c>
      <c r="BQ254">
        <v>1</v>
      </c>
      <c r="CL254">
        <v>1</v>
      </c>
      <c r="CQ254">
        <v>1</v>
      </c>
      <c r="CS254" t="s">
        <v>2487</v>
      </c>
    </row>
    <row r="255" spans="1:98">
      <c r="B255" t="s">
        <v>1392</v>
      </c>
      <c r="C255" s="13" t="s">
        <v>1393</v>
      </c>
      <c r="E255" s="8"/>
      <c r="F255" s="8" t="s">
        <v>234</v>
      </c>
      <c r="G255" s="1">
        <v>1</v>
      </c>
      <c r="I255" s="1">
        <f>1802-22</f>
        <v>1780</v>
      </c>
      <c r="J255" t="s">
        <v>69</v>
      </c>
      <c r="K255" t="s">
        <v>197</v>
      </c>
      <c r="N255">
        <v>1</v>
      </c>
      <c r="Q255">
        <v>5</v>
      </c>
      <c r="R255">
        <v>2</v>
      </c>
      <c r="T255" s="5">
        <f t="shared" si="9"/>
        <v>163.26</v>
      </c>
      <c r="U255" t="s">
        <v>161</v>
      </c>
      <c r="AG255" s="6">
        <v>1</v>
      </c>
      <c r="AH255" s="6">
        <v>1</v>
      </c>
      <c r="AI255" s="6">
        <v>1</v>
      </c>
      <c r="AJ255" s="6">
        <v>1</v>
      </c>
      <c r="AK255" s="6">
        <v>1</v>
      </c>
      <c r="AL255" s="7">
        <v>1</v>
      </c>
      <c r="BC255" t="s">
        <v>1387</v>
      </c>
      <c r="BD255" s="7" t="s">
        <v>103</v>
      </c>
      <c r="BE255" t="s">
        <v>125</v>
      </c>
      <c r="BF255" s="1" t="s">
        <v>29</v>
      </c>
      <c r="BG255" s="1">
        <v>7</v>
      </c>
      <c r="BH255">
        <v>1</v>
      </c>
      <c r="BK255" s="1">
        <v>2</v>
      </c>
      <c r="BQ255">
        <v>1</v>
      </c>
      <c r="CS255" s="22" t="s">
        <v>1388</v>
      </c>
    </row>
    <row r="256" spans="1:98">
      <c r="B256" t="s">
        <v>1587</v>
      </c>
      <c r="C256" s="2" t="s">
        <v>176</v>
      </c>
      <c r="E256" s="8" t="s">
        <v>114</v>
      </c>
      <c r="F256" s="8" t="s">
        <v>115</v>
      </c>
      <c r="G256" s="1">
        <v>1</v>
      </c>
      <c r="I256" s="1">
        <f>1800-20</f>
        <v>1780</v>
      </c>
      <c r="J256" t="s">
        <v>69</v>
      </c>
      <c r="K256" t="s">
        <v>12</v>
      </c>
      <c r="M256">
        <v>1</v>
      </c>
      <c r="Q256">
        <v>5</v>
      </c>
      <c r="R256">
        <v>1</v>
      </c>
      <c r="S256">
        <v>3</v>
      </c>
      <c r="T256" s="5">
        <f t="shared" si="9"/>
        <v>161.29</v>
      </c>
      <c r="U256" t="s">
        <v>161</v>
      </c>
      <c r="AG256" s="6">
        <v>1</v>
      </c>
      <c r="AH256" s="6">
        <v>1</v>
      </c>
      <c r="AI256" s="6">
        <v>1</v>
      </c>
      <c r="AJ256" s="6">
        <v>1</v>
      </c>
      <c r="AK256" s="6">
        <v>1</v>
      </c>
      <c r="AL256" s="6">
        <v>1</v>
      </c>
      <c r="AM256" s="6">
        <v>1</v>
      </c>
      <c r="AN256" s="6">
        <v>1</v>
      </c>
      <c r="AO256" s="6">
        <v>1</v>
      </c>
      <c r="AP256" s="6">
        <v>1</v>
      </c>
      <c r="AQ256" s="7">
        <v>1</v>
      </c>
      <c r="BC256" t="s">
        <v>1588</v>
      </c>
      <c r="BD256" s="7" t="s">
        <v>305</v>
      </c>
      <c r="BE256" t="s">
        <v>62</v>
      </c>
      <c r="BF256" s="1" t="s">
        <v>29</v>
      </c>
      <c r="BG256" s="1">
        <v>10</v>
      </c>
      <c r="BH256">
        <v>2</v>
      </c>
      <c r="BI256">
        <v>1</v>
      </c>
      <c r="BK256">
        <v>1</v>
      </c>
      <c r="BQ256">
        <v>1</v>
      </c>
      <c r="CL256">
        <v>1</v>
      </c>
      <c r="CM256">
        <v>1</v>
      </c>
      <c r="CS256" s="7" t="s">
        <v>1589</v>
      </c>
    </row>
    <row r="257" spans="2:98">
      <c r="B257" t="s">
        <v>2839</v>
      </c>
      <c r="C257" s="2" t="s">
        <v>2840</v>
      </c>
      <c r="D257" s="3" t="s">
        <v>2841</v>
      </c>
      <c r="E257" s="8" t="s">
        <v>1735</v>
      </c>
      <c r="F257" s="8" t="s">
        <v>115</v>
      </c>
      <c r="G257" s="1">
        <v>1</v>
      </c>
      <c r="I257" s="1">
        <f>1804-29</f>
        <v>1775</v>
      </c>
      <c r="J257" t="s">
        <v>69</v>
      </c>
      <c r="K257" t="s">
        <v>12</v>
      </c>
      <c r="N257">
        <v>1</v>
      </c>
      <c r="Q257">
        <v>5</v>
      </c>
      <c r="R257">
        <v>1</v>
      </c>
      <c r="S257">
        <v>1</v>
      </c>
      <c r="T257" s="5">
        <f>((Q257*316)+(R257*26.3)+(S257*2.2))/10</f>
        <v>160.85</v>
      </c>
      <c r="U257" t="s">
        <v>2842</v>
      </c>
      <c r="AG257" s="6">
        <v>1</v>
      </c>
      <c r="AH257" s="6">
        <v>1</v>
      </c>
      <c r="AI257" s="6">
        <v>1</v>
      </c>
      <c r="AJ257" s="6">
        <v>1</v>
      </c>
      <c r="AK257" s="6">
        <v>1</v>
      </c>
      <c r="AL257" s="6">
        <v>1</v>
      </c>
      <c r="AM257" s="6">
        <v>1</v>
      </c>
      <c r="AN257" s="7">
        <v>1</v>
      </c>
      <c r="BC257" t="s">
        <v>2830</v>
      </c>
      <c r="BD257" s="7" t="s">
        <v>109</v>
      </c>
      <c r="BE257" t="s">
        <v>2005</v>
      </c>
      <c r="BF257" s="1" t="s">
        <v>29</v>
      </c>
      <c r="BG257" s="1">
        <v>5</v>
      </c>
      <c r="BH257">
        <v>1</v>
      </c>
      <c r="BK257" s="1">
        <v>1</v>
      </c>
      <c r="BQ257">
        <v>1</v>
      </c>
      <c r="CS257" s="7" t="s">
        <v>354</v>
      </c>
    </row>
    <row r="258" spans="2:98">
      <c r="B258" t="s">
        <v>112</v>
      </c>
      <c r="C258" s="2" t="s">
        <v>113</v>
      </c>
      <c r="E258" s="8" t="s">
        <v>114</v>
      </c>
      <c r="F258" s="8" t="s">
        <v>115</v>
      </c>
      <c r="G258" s="1">
        <v>1</v>
      </c>
      <c r="I258" s="1">
        <f>1817-35</f>
        <v>1782</v>
      </c>
      <c r="J258" t="s">
        <v>10</v>
      </c>
      <c r="K258" t="s">
        <v>116</v>
      </c>
      <c r="Q258">
        <v>5</v>
      </c>
      <c r="R258">
        <v>3</v>
      </c>
      <c r="T258" s="5">
        <f t="shared" si="9"/>
        <v>165.89000000000001</v>
      </c>
      <c r="U258" t="s">
        <v>117</v>
      </c>
      <c r="AG258" s="6">
        <v>1</v>
      </c>
      <c r="AH258" s="6">
        <v>1</v>
      </c>
      <c r="AI258" s="6">
        <v>1</v>
      </c>
      <c r="AJ258" s="6">
        <v>1</v>
      </c>
      <c r="AK258" s="6">
        <v>1</v>
      </c>
      <c r="AL258" s="6">
        <v>1</v>
      </c>
      <c r="AM258" s="6">
        <v>1</v>
      </c>
      <c r="AN258" s="6">
        <v>1</v>
      </c>
      <c r="AO258" s="6">
        <v>1</v>
      </c>
      <c r="AP258" s="6">
        <v>1</v>
      </c>
      <c r="AQ258" s="6">
        <v>1</v>
      </c>
      <c r="AR258" s="6">
        <v>1</v>
      </c>
      <c r="AS258" s="6">
        <v>1</v>
      </c>
      <c r="AT258" s="6">
        <v>1</v>
      </c>
      <c r="AU258" s="6">
        <v>1</v>
      </c>
      <c r="AV258" s="6">
        <v>1</v>
      </c>
      <c r="AW258" s="6">
        <v>1</v>
      </c>
      <c r="AX258" s="6">
        <v>1</v>
      </c>
      <c r="AY258" s="6">
        <v>1</v>
      </c>
      <c r="AZ258" s="6">
        <v>1</v>
      </c>
      <c r="BA258" s="6">
        <v>1</v>
      </c>
      <c r="BB258" s="6">
        <v>1</v>
      </c>
      <c r="BC258">
        <v>1820</v>
      </c>
      <c r="BD258" t="s">
        <v>81</v>
      </c>
      <c r="BE258" t="s">
        <v>118</v>
      </c>
      <c r="BF258" s="1" t="s">
        <v>73</v>
      </c>
      <c r="BG258" s="1">
        <v>20</v>
      </c>
      <c r="BH258">
        <v>2</v>
      </c>
      <c r="BI258">
        <v>1</v>
      </c>
      <c r="BK258">
        <v>1</v>
      </c>
      <c r="BP258">
        <v>1</v>
      </c>
      <c r="BQ258">
        <v>1</v>
      </c>
      <c r="CF258">
        <v>1</v>
      </c>
      <c r="CM258">
        <v>1</v>
      </c>
      <c r="CQ258" s="14">
        <v>1</v>
      </c>
      <c r="CS258" t="s">
        <v>119</v>
      </c>
      <c r="CT258" s="14" t="s">
        <v>120</v>
      </c>
    </row>
    <row r="259" spans="2:98">
      <c r="B259" t="s">
        <v>2836</v>
      </c>
      <c r="C259" s="2" t="s">
        <v>2837</v>
      </c>
      <c r="D259" s="2" t="s">
        <v>2837</v>
      </c>
      <c r="E259" s="8" t="s">
        <v>1735</v>
      </c>
      <c r="F259" s="8" t="s">
        <v>115</v>
      </c>
      <c r="G259" s="1">
        <v>1</v>
      </c>
      <c r="I259" s="1">
        <f>1804-22</f>
        <v>1782</v>
      </c>
      <c r="J259" t="s">
        <v>10</v>
      </c>
      <c r="K259" t="s">
        <v>12</v>
      </c>
      <c r="Q259">
        <v>5</v>
      </c>
      <c r="R259">
        <v>1</v>
      </c>
      <c r="S259">
        <v>1</v>
      </c>
      <c r="T259" s="5">
        <f t="shared" si="9"/>
        <v>160.85</v>
      </c>
      <c r="U259" t="s">
        <v>117</v>
      </c>
      <c r="AG259" s="6">
        <v>1</v>
      </c>
      <c r="AH259" s="6">
        <v>1</v>
      </c>
      <c r="AI259" s="6">
        <v>1</v>
      </c>
      <c r="AJ259" s="6">
        <v>1</v>
      </c>
      <c r="AK259" s="6">
        <v>1</v>
      </c>
      <c r="AL259" s="6">
        <v>1</v>
      </c>
      <c r="AM259" s="6">
        <v>1</v>
      </c>
      <c r="AN259" s="7">
        <v>1</v>
      </c>
      <c r="BC259" t="s">
        <v>2830</v>
      </c>
      <c r="BD259" s="7" t="s">
        <v>103</v>
      </c>
      <c r="BE259" t="s">
        <v>2005</v>
      </c>
      <c r="BF259" s="1" t="s">
        <v>29</v>
      </c>
      <c r="BG259" s="1">
        <v>5</v>
      </c>
      <c r="BH259">
        <v>1</v>
      </c>
      <c r="BK259" s="1">
        <v>1</v>
      </c>
      <c r="BQ259">
        <v>1</v>
      </c>
      <c r="CM259">
        <v>1</v>
      </c>
      <c r="CS259" s="7" t="s">
        <v>354</v>
      </c>
    </row>
    <row r="260" spans="2:98">
      <c r="B260" t="s">
        <v>1590</v>
      </c>
      <c r="C260" s="13" t="s">
        <v>1591</v>
      </c>
      <c r="E260" s="8"/>
      <c r="F260" s="8" t="s">
        <v>115</v>
      </c>
      <c r="G260" s="1">
        <v>1</v>
      </c>
      <c r="I260" s="1">
        <f>1806-26</f>
        <v>1780</v>
      </c>
      <c r="J260" t="s">
        <v>69</v>
      </c>
      <c r="K260" t="s">
        <v>12</v>
      </c>
      <c r="Q260">
        <v>5</v>
      </c>
      <c r="R260">
        <v>2</v>
      </c>
      <c r="S260">
        <v>3</v>
      </c>
      <c r="T260" s="5">
        <f t="shared" si="9"/>
        <v>163.92</v>
      </c>
      <c r="U260" t="s">
        <v>1592</v>
      </c>
      <c r="AG260" s="6">
        <v>1</v>
      </c>
      <c r="AH260" s="6">
        <v>1</v>
      </c>
      <c r="AI260" s="6">
        <v>1</v>
      </c>
      <c r="AJ260" s="6">
        <v>1</v>
      </c>
      <c r="AK260" s="6">
        <v>1</v>
      </c>
      <c r="AL260" s="6">
        <v>1</v>
      </c>
      <c r="AM260" s="6">
        <v>1</v>
      </c>
      <c r="AN260" s="6">
        <v>1</v>
      </c>
      <c r="AO260" s="6">
        <v>1</v>
      </c>
      <c r="AP260" s="6">
        <v>1</v>
      </c>
      <c r="AQ260" s="6">
        <v>1</v>
      </c>
      <c r="AR260" s="7">
        <v>1</v>
      </c>
      <c r="BC260" t="s">
        <v>574</v>
      </c>
      <c r="BD260" s="7" t="s">
        <v>109</v>
      </c>
      <c r="BE260" t="s">
        <v>62</v>
      </c>
      <c r="BF260" s="1" t="s">
        <v>29</v>
      </c>
      <c r="BG260" s="1">
        <v>8</v>
      </c>
      <c r="BH260">
        <v>2</v>
      </c>
      <c r="BI260">
        <v>1</v>
      </c>
      <c r="BK260">
        <v>1</v>
      </c>
      <c r="BQ260">
        <v>1</v>
      </c>
      <c r="CL260">
        <v>1</v>
      </c>
      <c r="CS260" s="7" t="s">
        <v>1593</v>
      </c>
    </row>
    <row r="261" spans="2:98">
      <c r="B261" t="s">
        <v>159</v>
      </c>
      <c r="C261" s="15" t="s">
        <v>160</v>
      </c>
      <c r="E261" s="8"/>
      <c r="F261" s="8" t="s">
        <v>115</v>
      </c>
      <c r="G261" s="1">
        <v>1</v>
      </c>
      <c r="I261" s="1">
        <f>1806-31</f>
        <v>1775</v>
      </c>
      <c r="J261" t="s">
        <v>69</v>
      </c>
      <c r="K261" t="s">
        <v>12</v>
      </c>
      <c r="N261">
        <v>1</v>
      </c>
      <c r="Q261">
        <v>5</v>
      </c>
      <c r="R261">
        <v>3</v>
      </c>
      <c r="S261">
        <v>1</v>
      </c>
      <c r="T261" s="5">
        <f t="shared" si="9"/>
        <v>166.11</v>
      </c>
      <c r="U261" t="s">
        <v>1452</v>
      </c>
      <c r="AG261" s="6">
        <v>1</v>
      </c>
      <c r="AH261" s="6">
        <v>1</v>
      </c>
      <c r="AI261" s="6">
        <v>1</v>
      </c>
      <c r="AJ261" s="6">
        <v>1</v>
      </c>
      <c r="AK261" s="6">
        <v>1</v>
      </c>
      <c r="AL261" s="6">
        <v>1</v>
      </c>
      <c r="AM261" s="6">
        <v>1</v>
      </c>
      <c r="AN261" s="6">
        <v>1</v>
      </c>
      <c r="AO261" s="6">
        <v>1</v>
      </c>
      <c r="AP261" s="6">
        <v>1</v>
      </c>
      <c r="AQ261" s="7">
        <v>1</v>
      </c>
      <c r="BC261" t="s">
        <v>162</v>
      </c>
      <c r="BD261" s="7" t="s">
        <v>163</v>
      </c>
      <c r="BE261" t="s">
        <v>125</v>
      </c>
      <c r="BF261" s="1" t="s">
        <v>29</v>
      </c>
      <c r="BG261" s="1">
        <v>10</v>
      </c>
      <c r="BH261">
        <v>1</v>
      </c>
      <c r="BK261" s="1">
        <v>1</v>
      </c>
      <c r="BQ261">
        <v>1</v>
      </c>
      <c r="CF261">
        <v>1</v>
      </c>
      <c r="CS261" s="7" t="s">
        <v>164</v>
      </c>
    </row>
    <row r="262" spans="2:98">
      <c r="B262" t="s">
        <v>138</v>
      </c>
      <c r="C262" s="15" t="s">
        <v>139</v>
      </c>
      <c r="E262" s="8" t="s">
        <v>114</v>
      </c>
      <c r="F262" s="8" t="s">
        <v>115</v>
      </c>
      <c r="G262" s="1">
        <v>1</v>
      </c>
      <c r="I262" s="1">
        <f>1802-35</f>
        <v>1767</v>
      </c>
      <c r="J262" t="s">
        <v>69</v>
      </c>
      <c r="K262" t="s">
        <v>140</v>
      </c>
      <c r="Q262">
        <v>5</v>
      </c>
      <c r="R262">
        <v>2</v>
      </c>
      <c r="T262" s="5">
        <f t="shared" si="9"/>
        <v>163.26</v>
      </c>
      <c r="U262" t="s">
        <v>141</v>
      </c>
      <c r="AG262" s="6">
        <v>1</v>
      </c>
      <c r="AH262" s="6">
        <v>1</v>
      </c>
      <c r="AI262" s="6">
        <v>1</v>
      </c>
      <c r="AJ262" s="6">
        <v>1</v>
      </c>
      <c r="AK262" s="6">
        <v>1</v>
      </c>
      <c r="AL262" s="6">
        <v>1</v>
      </c>
      <c r="AM262" s="6">
        <v>1</v>
      </c>
      <c r="AN262" s="6">
        <v>1</v>
      </c>
      <c r="AO262" s="6">
        <v>1</v>
      </c>
      <c r="AP262" s="6">
        <v>1</v>
      </c>
      <c r="AQ262" s="6">
        <v>1</v>
      </c>
      <c r="AR262" s="7">
        <v>1</v>
      </c>
      <c r="BC262" t="s">
        <v>1504</v>
      </c>
      <c r="BD262" s="7" t="s">
        <v>103</v>
      </c>
      <c r="BE262" t="s">
        <v>124</v>
      </c>
      <c r="BF262" s="1" t="s">
        <v>29</v>
      </c>
      <c r="BG262" s="1">
        <v>17</v>
      </c>
      <c r="BH262">
        <v>2</v>
      </c>
      <c r="BK262">
        <v>1</v>
      </c>
      <c r="BQ262">
        <v>1</v>
      </c>
      <c r="CL262">
        <v>1</v>
      </c>
      <c r="CS262" s="7" t="s">
        <v>1505</v>
      </c>
    </row>
    <row r="263" spans="2:98">
      <c r="B263" t="s">
        <v>1742</v>
      </c>
      <c r="C263" s="2" t="s">
        <v>1743</v>
      </c>
      <c r="D263" s="2" t="s">
        <v>1744</v>
      </c>
      <c r="E263" s="8" t="s">
        <v>122</v>
      </c>
      <c r="F263" t="s">
        <v>115</v>
      </c>
      <c r="G263" s="1">
        <v>1</v>
      </c>
      <c r="I263" s="1">
        <f>1799-19</f>
        <v>1780</v>
      </c>
      <c r="J263" t="s">
        <v>69</v>
      </c>
      <c r="K263" t="s">
        <v>12</v>
      </c>
      <c r="Q263">
        <v>5</v>
      </c>
      <c r="R263">
        <v>1</v>
      </c>
      <c r="S263">
        <v>2</v>
      </c>
      <c r="T263" s="5">
        <f t="shared" si="9"/>
        <v>161.07</v>
      </c>
      <c r="U263" s="17" t="s">
        <v>1396</v>
      </c>
      <c r="AG263" s="6">
        <v>1</v>
      </c>
      <c r="AH263" s="7">
        <v>1</v>
      </c>
      <c r="BC263" t="s">
        <v>1694</v>
      </c>
      <c r="BD263" s="7" t="s">
        <v>26</v>
      </c>
      <c r="BE263" t="s">
        <v>125</v>
      </c>
      <c r="BF263" s="1" t="s">
        <v>29</v>
      </c>
      <c r="BG263" s="1">
        <v>3</v>
      </c>
      <c r="BH263">
        <v>1</v>
      </c>
      <c r="BK263" s="1">
        <v>1</v>
      </c>
      <c r="BQ263">
        <v>1</v>
      </c>
      <c r="CS263" s="7" t="s">
        <v>1745</v>
      </c>
    </row>
    <row r="264" spans="2:98">
      <c r="B264" t="s">
        <v>1801</v>
      </c>
      <c r="C264" s="2" t="s">
        <v>121</v>
      </c>
      <c r="D264" s="2" t="s">
        <v>121</v>
      </c>
      <c r="E264" s="8" t="s">
        <v>122</v>
      </c>
      <c r="F264" t="s">
        <v>115</v>
      </c>
      <c r="G264" s="1">
        <v>1</v>
      </c>
      <c r="I264" s="1">
        <f>1799-28</f>
        <v>1771</v>
      </c>
      <c r="J264" t="s">
        <v>69</v>
      </c>
      <c r="K264" t="s">
        <v>12</v>
      </c>
      <c r="Q264">
        <v>5</v>
      </c>
      <c r="R264">
        <v>3</v>
      </c>
      <c r="T264" s="5">
        <f t="shared" si="9"/>
        <v>165.89000000000001</v>
      </c>
      <c r="U264" s="17" t="s">
        <v>1396</v>
      </c>
      <c r="AG264" s="7">
        <v>1</v>
      </c>
      <c r="BC264" t="s">
        <v>1802</v>
      </c>
      <c r="BD264" s="7" t="s">
        <v>103</v>
      </c>
      <c r="BE264" t="s">
        <v>125</v>
      </c>
      <c r="BF264" s="1" t="s">
        <v>29</v>
      </c>
      <c r="BG264" s="1">
        <v>3</v>
      </c>
      <c r="BH264">
        <v>1</v>
      </c>
      <c r="BK264" s="1">
        <v>1</v>
      </c>
      <c r="BQ264">
        <v>1</v>
      </c>
      <c r="CS264" s="7" t="s">
        <v>1754</v>
      </c>
    </row>
    <row r="265" spans="2:98">
      <c r="B265" t="s">
        <v>1789</v>
      </c>
      <c r="C265" s="15" t="s">
        <v>1790</v>
      </c>
      <c r="D265" s="2" t="s">
        <v>1744</v>
      </c>
      <c r="E265" s="8" t="s">
        <v>122</v>
      </c>
      <c r="F265" t="s">
        <v>115</v>
      </c>
      <c r="G265" s="1">
        <v>1</v>
      </c>
      <c r="I265" s="1">
        <f>1799-38</f>
        <v>1761</v>
      </c>
      <c r="J265" t="s">
        <v>69</v>
      </c>
      <c r="K265" t="s">
        <v>12</v>
      </c>
      <c r="Q265">
        <v>5</v>
      </c>
      <c r="R265">
        <v>1</v>
      </c>
      <c r="S265">
        <v>1</v>
      </c>
      <c r="T265" s="5">
        <f t="shared" si="9"/>
        <v>160.85</v>
      </c>
      <c r="U265" s="17" t="s">
        <v>1396</v>
      </c>
      <c r="AG265" s="6">
        <v>1</v>
      </c>
      <c r="AH265" s="6">
        <v>1</v>
      </c>
      <c r="AI265" s="7">
        <v>1</v>
      </c>
      <c r="BC265" t="s">
        <v>324</v>
      </c>
      <c r="BD265" s="7" t="s">
        <v>109</v>
      </c>
      <c r="BE265" t="s">
        <v>125</v>
      </c>
      <c r="BF265" s="1" t="s">
        <v>29</v>
      </c>
      <c r="BG265" s="1">
        <v>4</v>
      </c>
      <c r="BH265">
        <v>1</v>
      </c>
      <c r="BK265" s="1">
        <v>1</v>
      </c>
      <c r="BQ265">
        <v>1</v>
      </c>
      <c r="CS265" s="7" t="s">
        <v>1672</v>
      </c>
    </row>
    <row r="266" spans="2:98">
      <c r="B266" t="s">
        <v>1394</v>
      </c>
      <c r="C266" s="2" t="s">
        <v>1395</v>
      </c>
      <c r="E266" s="8"/>
      <c r="F266" t="s">
        <v>65</v>
      </c>
      <c r="G266" s="1">
        <v>1</v>
      </c>
      <c r="I266" s="1">
        <f>1802-23</f>
        <v>1779</v>
      </c>
      <c r="J266" t="s">
        <v>69</v>
      </c>
      <c r="K266" t="s">
        <v>12</v>
      </c>
      <c r="Q266">
        <v>5</v>
      </c>
      <c r="R266">
        <v>1</v>
      </c>
      <c r="S266">
        <v>2</v>
      </c>
      <c r="T266" s="5">
        <f t="shared" si="9"/>
        <v>161.07</v>
      </c>
      <c r="U266" s="17" t="s">
        <v>1396</v>
      </c>
      <c r="AG266" s="6">
        <v>1</v>
      </c>
      <c r="AH266" s="6">
        <v>1</v>
      </c>
      <c r="AI266" s="6">
        <v>1</v>
      </c>
      <c r="AJ266" s="6">
        <v>1</v>
      </c>
      <c r="AK266" s="6">
        <v>1</v>
      </c>
      <c r="AL266" s="7">
        <v>1</v>
      </c>
      <c r="BC266" t="s">
        <v>1397</v>
      </c>
      <c r="BD266" s="7" t="s">
        <v>103</v>
      </c>
      <c r="BE266" t="s">
        <v>125</v>
      </c>
      <c r="BF266" s="1" t="s">
        <v>29</v>
      </c>
      <c r="BG266" s="1">
        <v>8</v>
      </c>
      <c r="BH266">
        <v>1</v>
      </c>
      <c r="BK266" s="1">
        <v>1</v>
      </c>
      <c r="BQ266">
        <v>1</v>
      </c>
      <c r="CS266" s="7" t="s">
        <v>1398</v>
      </c>
    </row>
    <row r="267" spans="2:98">
      <c r="B267" t="s">
        <v>1768</v>
      </c>
      <c r="C267" s="15" t="s">
        <v>173</v>
      </c>
      <c r="E267" s="8" t="s">
        <v>114</v>
      </c>
      <c r="F267" s="8" t="s">
        <v>115</v>
      </c>
      <c r="G267" s="1">
        <v>1</v>
      </c>
      <c r="I267" s="1">
        <f>1799-18</f>
        <v>1781</v>
      </c>
      <c r="J267" t="s">
        <v>69</v>
      </c>
      <c r="K267" t="s">
        <v>197</v>
      </c>
      <c r="Q267">
        <v>5</v>
      </c>
      <c r="R267">
        <v>2</v>
      </c>
      <c r="T267" s="5">
        <f t="shared" si="9"/>
        <v>163.26</v>
      </c>
      <c r="U267" s="17" t="s">
        <v>266</v>
      </c>
      <c r="AG267" s="6">
        <v>1</v>
      </c>
      <c r="AH267" s="6">
        <v>1</v>
      </c>
      <c r="AI267" s="6">
        <v>1</v>
      </c>
      <c r="AJ267" s="6">
        <v>1</v>
      </c>
      <c r="AK267" s="6">
        <v>1</v>
      </c>
      <c r="AL267" s="6">
        <v>1</v>
      </c>
      <c r="AM267" s="6">
        <v>1</v>
      </c>
      <c r="AN267" s="6">
        <v>1</v>
      </c>
      <c r="AO267" s="6">
        <v>1</v>
      </c>
      <c r="AP267" s="6">
        <v>1</v>
      </c>
      <c r="AQ267" s="6">
        <v>1</v>
      </c>
      <c r="AR267" s="6">
        <v>1</v>
      </c>
      <c r="AS267" s="7">
        <v>1</v>
      </c>
      <c r="BC267" t="s">
        <v>1769</v>
      </c>
      <c r="BD267" s="7" t="s">
        <v>103</v>
      </c>
      <c r="BE267" t="s">
        <v>1770</v>
      </c>
      <c r="BF267" s="1" t="s">
        <v>29</v>
      </c>
      <c r="BG267" s="1">
        <v>17</v>
      </c>
      <c r="BH267">
        <v>2</v>
      </c>
      <c r="BK267" s="1">
        <v>1</v>
      </c>
      <c r="BQ267">
        <v>1</v>
      </c>
      <c r="CF267" s="6">
        <v>1</v>
      </c>
      <c r="CL267">
        <v>1</v>
      </c>
      <c r="CM267">
        <v>1</v>
      </c>
      <c r="CR267">
        <v>1</v>
      </c>
      <c r="CS267" s="7" t="s">
        <v>1771</v>
      </c>
      <c r="CT267" s="6" t="s">
        <v>1772</v>
      </c>
    </row>
    <row r="268" spans="2:98">
      <c r="B268" t="s">
        <v>1755</v>
      </c>
      <c r="C268" s="2" t="s">
        <v>243</v>
      </c>
      <c r="D268" s="2" t="s">
        <v>243</v>
      </c>
      <c r="E268" s="8" t="s">
        <v>122</v>
      </c>
      <c r="F268" t="s">
        <v>115</v>
      </c>
      <c r="G268" s="1">
        <v>1</v>
      </c>
      <c r="I268" s="1">
        <f>1799-32</f>
        <v>1767</v>
      </c>
      <c r="J268" t="s">
        <v>69</v>
      </c>
      <c r="K268" t="s">
        <v>12</v>
      </c>
      <c r="Q268">
        <v>5</v>
      </c>
      <c r="R268">
        <v>2</v>
      </c>
      <c r="T268" s="5">
        <f t="shared" si="9"/>
        <v>163.26</v>
      </c>
      <c r="U268" s="17" t="s">
        <v>266</v>
      </c>
      <c r="AG268" s="6">
        <v>1</v>
      </c>
      <c r="AH268" s="6">
        <v>1</v>
      </c>
      <c r="AI268" s="7">
        <v>1</v>
      </c>
      <c r="BC268" t="s">
        <v>324</v>
      </c>
      <c r="BD268" s="7" t="s">
        <v>109</v>
      </c>
      <c r="BE268" t="s">
        <v>125</v>
      </c>
      <c r="BF268" s="1" t="s">
        <v>29</v>
      </c>
      <c r="BG268" s="1">
        <v>2</v>
      </c>
      <c r="BH268">
        <v>1</v>
      </c>
      <c r="BK268" s="1">
        <v>1</v>
      </c>
      <c r="BQ268">
        <v>1</v>
      </c>
      <c r="CS268" s="22" t="s">
        <v>1313</v>
      </c>
    </row>
    <row r="269" spans="2:98">
      <c r="B269" t="s">
        <v>1481</v>
      </c>
      <c r="C269" s="13" t="s">
        <v>1482</v>
      </c>
      <c r="D269" s="2" t="s">
        <v>243</v>
      </c>
      <c r="E269" s="8" t="s">
        <v>122</v>
      </c>
      <c r="F269" t="s">
        <v>115</v>
      </c>
      <c r="G269" s="1">
        <v>1</v>
      </c>
      <c r="I269" s="1">
        <f>1800-34</f>
        <v>1766</v>
      </c>
      <c r="J269" t="s">
        <v>69</v>
      </c>
      <c r="K269" t="s">
        <v>12</v>
      </c>
      <c r="M269">
        <v>1</v>
      </c>
      <c r="Q269">
        <v>5</v>
      </c>
      <c r="R269">
        <v>2</v>
      </c>
      <c r="S269">
        <v>1</v>
      </c>
      <c r="T269" s="5">
        <f t="shared" si="9"/>
        <v>163.47999999999999</v>
      </c>
      <c r="U269" s="17" t="s">
        <v>266</v>
      </c>
      <c r="AG269" s="6">
        <v>1</v>
      </c>
      <c r="AH269" s="6">
        <v>1</v>
      </c>
      <c r="AI269" s="6">
        <v>1</v>
      </c>
      <c r="AJ269" s="6">
        <v>1</v>
      </c>
      <c r="AK269" s="6">
        <v>1</v>
      </c>
      <c r="AL269" s="6">
        <v>1</v>
      </c>
      <c r="AM269" s="6">
        <v>1</v>
      </c>
      <c r="AN269" s="7">
        <v>1</v>
      </c>
      <c r="BC269" t="s">
        <v>1472</v>
      </c>
      <c r="BD269" s="7" t="s">
        <v>109</v>
      </c>
      <c r="BE269" t="s">
        <v>62</v>
      </c>
      <c r="BF269" s="1" t="s">
        <v>29</v>
      </c>
      <c r="BG269" s="1">
        <v>9</v>
      </c>
      <c r="BH269">
        <v>2</v>
      </c>
      <c r="BI269">
        <v>1</v>
      </c>
      <c r="BK269">
        <v>1</v>
      </c>
      <c r="BQ269">
        <v>1</v>
      </c>
      <c r="CL269">
        <v>1</v>
      </c>
      <c r="CS269" s="7" t="s">
        <v>1475</v>
      </c>
    </row>
    <row r="270" spans="2:98">
      <c r="B270" t="s">
        <v>1738</v>
      </c>
      <c r="C270" s="2" t="s">
        <v>1739</v>
      </c>
      <c r="D270" s="2" t="s">
        <v>1739</v>
      </c>
      <c r="E270" s="8" t="s">
        <v>122</v>
      </c>
      <c r="F270" t="s">
        <v>115</v>
      </c>
      <c r="G270" s="1">
        <v>1</v>
      </c>
      <c r="I270" s="1">
        <f>1799-24</f>
        <v>1775</v>
      </c>
      <c r="J270" t="s">
        <v>10</v>
      </c>
      <c r="K270" t="s">
        <v>12</v>
      </c>
      <c r="Q270">
        <v>5</v>
      </c>
      <c r="R270">
        <v>1</v>
      </c>
      <c r="S270">
        <v>2</v>
      </c>
      <c r="T270" s="5">
        <f t="shared" si="9"/>
        <v>161.07</v>
      </c>
      <c r="U270" s="17" t="s">
        <v>266</v>
      </c>
      <c r="AG270" s="7">
        <v>1</v>
      </c>
      <c r="BC270" t="s">
        <v>1740</v>
      </c>
      <c r="BD270" s="7" t="s">
        <v>26</v>
      </c>
      <c r="BE270" t="s">
        <v>125</v>
      </c>
      <c r="BF270" s="1" t="s">
        <v>29</v>
      </c>
      <c r="BG270" s="1">
        <v>2</v>
      </c>
      <c r="BH270">
        <v>1</v>
      </c>
      <c r="BK270" s="1">
        <v>1</v>
      </c>
      <c r="BQ270">
        <v>1</v>
      </c>
      <c r="CS270" s="7" t="s">
        <v>1741</v>
      </c>
    </row>
    <row r="271" spans="2:98">
      <c r="B271" t="s">
        <v>1803</v>
      </c>
      <c r="C271" s="15" t="s">
        <v>243</v>
      </c>
      <c r="D271" s="15" t="s">
        <v>243</v>
      </c>
      <c r="E271" s="8" t="s">
        <v>122</v>
      </c>
      <c r="F271" t="s">
        <v>115</v>
      </c>
      <c r="G271" s="1">
        <v>1</v>
      </c>
      <c r="I271" s="1">
        <f>1799-32</f>
        <v>1767</v>
      </c>
      <c r="J271" t="s">
        <v>69</v>
      </c>
      <c r="K271" t="s">
        <v>12</v>
      </c>
      <c r="Q271">
        <v>5</v>
      </c>
      <c r="R271">
        <v>2</v>
      </c>
      <c r="T271" s="5">
        <f t="shared" si="9"/>
        <v>163.26</v>
      </c>
      <c r="U271" s="17" t="s">
        <v>266</v>
      </c>
      <c r="AG271" s="7">
        <v>1</v>
      </c>
      <c r="BC271" t="s">
        <v>1804</v>
      </c>
      <c r="BD271" s="7" t="s">
        <v>103</v>
      </c>
      <c r="BE271" t="s">
        <v>125</v>
      </c>
      <c r="BF271" s="1" t="s">
        <v>29</v>
      </c>
      <c r="BG271" s="1">
        <v>3</v>
      </c>
      <c r="BH271">
        <v>1</v>
      </c>
      <c r="BK271" s="1">
        <v>1</v>
      </c>
      <c r="BQ271">
        <v>1</v>
      </c>
      <c r="CS271" s="7" t="s">
        <v>1754</v>
      </c>
    </row>
    <row r="272" spans="2:98">
      <c r="B272" t="s">
        <v>265</v>
      </c>
      <c r="C272" s="15" t="s">
        <v>243</v>
      </c>
      <c r="E272" s="8" t="s">
        <v>122</v>
      </c>
      <c r="F272" t="s">
        <v>115</v>
      </c>
      <c r="G272" s="1">
        <v>1</v>
      </c>
      <c r="I272" s="1">
        <f>1799-22</f>
        <v>1777</v>
      </c>
      <c r="J272" t="s">
        <v>10</v>
      </c>
      <c r="K272" t="s">
        <v>197</v>
      </c>
      <c r="Q272">
        <v>5</v>
      </c>
      <c r="R272">
        <v>1</v>
      </c>
      <c r="T272" s="5">
        <f t="shared" si="9"/>
        <v>160.63</v>
      </c>
      <c r="U272" s="17" t="s">
        <v>266</v>
      </c>
      <c r="AG272" s="6">
        <v>1</v>
      </c>
      <c r="AH272" s="6">
        <v>1</v>
      </c>
      <c r="AI272" s="6">
        <v>1</v>
      </c>
      <c r="AJ272" s="6">
        <v>1</v>
      </c>
      <c r="AK272" s="6">
        <v>1</v>
      </c>
      <c r="AL272" s="6">
        <v>1</v>
      </c>
      <c r="AM272" s="6">
        <v>1</v>
      </c>
      <c r="AN272" s="7">
        <v>1</v>
      </c>
      <c r="BC272" t="s">
        <v>198</v>
      </c>
      <c r="BD272" s="7" t="s">
        <v>109</v>
      </c>
      <c r="BE272" t="s">
        <v>125</v>
      </c>
      <c r="BF272" s="1" t="s">
        <v>29</v>
      </c>
      <c r="BG272" s="1">
        <v>9</v>
      </c>
      <c r="BH272">
        <v>1</v>
      </c>
      <c r="BK272" s="1">
        <v>1</v>
      </c>
      <c r="BQ272">
        <v>1</v>
      </c>
      <c r="CS272" s="7" t="s">
        <v>354</v>
      </c>
    </row>
    <row r="273" spans="1:98">
      <c r="B273" t="s">
        <v>1603</v>
      </c>
      <c r="C273" s="2" t="s">
        <v>1604</v>
      </c>
      <c r="D273" s="2" t="s">
        <v>1604</v>
      </c>
      <c r="E273" s="8" t="s">
        <v>122</v>
      </c>
      <c r="F273" t="s">
        <v>115</v>
      </c>
      <c r="G273" s="1">
        <v>1</v>
      </c>
      <c r="I273" s="1">
        <f>1799-26</f>
        <v>1773</v>
      </c>
      <c r="J273" t="s">
        <v>69</v>
      </c>
      <c r="K273" t="s">
        <v>12</v>
      </c>
      <c r="M273">
        <v>1</v>
      </c>
      <c r="Q273">
        <v>5</v>
      </c>
      <c r="R273">
        <v>1</v>
      </c>
      <c r="T273" s="5">
        <f t="shared" si="9"/>
        <v>160.63</v>
      </c>
      <c r="U273" s="17" t="s">
        <v>1605</v>
      </c>
      <c r="AG273" s="6">
        <v>1</v>
      </c>
      <c r="AH273" s="6">
        <v>1</v>
      </c>
      <c r="AI273" s="6">
        <v>1</v>
      </c>
      <c r="AJ273" s="6">
        <v>1</v>
      </c>
      <c r="AK273" s="6">
        <v>1</v>
      </c>
      <c r="AL273" s="6">
        <v>1</v>
      </c>
      <c r="AM273" s="6">
        <v>1</v>
      </c>
      <c r="AN273" s="6">
        <v>1</v>
      </c>
      <c r="AO273" s="6">
        <v>1</v>
      </c>
      <c r="AP273" s="6">
        <v>1</v>
      </c>
      <c r="AQ273" s="6">
        <v>1</v>
      </c>
      <c r="AR273" s="7">
        <v>1</v>
      </c>
      <c r="BC273" t="s">
        <v>1606</v>
      </c>
      <c r="BD273" s="7" t="s">
        <v>103</v>
      </c>
      <c r="BE273" t="s">
        <v>62</v>
      </c>
      <c r="BF273" s="1" t="s">
        <v>29</v>
      </c>
      <c r="BG273" s="1">
        <v>13</v>
      </c>
      <c r="BH273">
        <v>2</v>
      </c>
      <c r="BI273">
        <v>1</v>
      </c>
      <c r="BK273">
        <v>1</v>
      </c>
      <c r="BQ273">
        <v>1</v>
      </c>
      <c r="CL273">
        <v>1</v>
      </c>
      <c r="CS273" s="7" t="s">
        <v>1505</v>
      </c>
    </row>
    <row r="274" spans="1:98">
      <c r="B274" t="s">
        <v>201</v>
      </c>
      <c r="C274" s="15" t="s">
        <v>176</v>
      </c>
      <c r="E274" s="8" t="s">
        <v>114</v>
      </c>
      <c r="F274" s="8" t="s">
        <v>115</v>
      </c>
      <c r="G274" s="1">
        <v>1</v>
      </c>
      <c r="I274" s="1">
        <f>1802-32</f>
        <v>1770</v>
      </c>
      <c r="J274" t="s">
        <v>69</v>
      </c>
      <c r="K274" t="s">
        <v>197</v>
      </c>
      <c r="N274">
        <v>1</v>
      </c>
      <c r="Q274">
        <v>5</v>
      </c>
      <c r="R274">
        <v>4</v>
      </c>
      <c r="S274">
        <v>2</v>
      </c>
      <c r="T274" s="5">
        <f t="shared" si="9"/>
        <v>168.96</v>
      </c>
      <c r="U274" t="s">
        <v>202</v>
      </c>
      <c r="AG274" s="6">
        <v>1</v>
      </c>
      <c r="AH274" s="6">
        <v>1</v>
      </c>
      <c r="AI274" s="6">
        <v>1</v>
      </c>
      <c r="AJ274" s="6">
        <v>1</v>
      </c>
      <c r="AK274" s="6">
        <v>1</v>
      </c>
      <c r="AL274" s="6">
        <v>1</v>
      </c>
      <c r="AM274" s="6">
        <v>1</v>
      </c>
      <c r="AN274" s="7">
        <v>1</v>
      </c>
      <c r="BC274" t="s">
        <v>198</v>
      </c>
      <c r="BD274" s="7" t="s">
        <v>103</v>
      </c>
      <c r="BE274" t="s">
        <v>125</v>
      </c>
      <c r="BF274" s="1" t="s">
        <v>29</v>
      </c>
      <c r="BG274" s="1">
        <v>9</v>
      </c>
      <c r="BH274">
        <v>1</v>
      </c>
      <c r="BK274" s="1">
        <v>1</v>
      </c>
      <c r="BQ274">
        <v>1</v>
      </c>
      <c r="CS274" s="7" t="s">
        <v>199</v>
      </c>
    </row>
    <row r="275" spans="1:98">
      <c r="B275" t="s">
        <v>1569</v>
      </c>
      <c r="C275" s="13" t="s">
        <v>1570</v>
      </c>
      <c r="D275" s="2" t="s">
        <v>1350</v>
      </c>
      <c r="E275" s="8" t="s">
        <v>122</v>
      </c>
      <c r="F275" t="s">
        <v>115</v>
      </c>
      <c r="G275" s="1">
        <v>1</v>
      </c>
      <c r="I275" s="1">
        <f>1803-41</f>
        <v>1762</v>
      </c>
      <c r="J275" t="s">
        <v>69</v>
      </c>
      <c r="K275" t="s">
        <v>197</v>
      </c>
      <c r="M275">
        <v>1</v>
      </c>
      <c r="Q275">
        <v>5</v>
      </c>
      <c r="T275" s="5">
        <f t="shared" si="9"/>
        <v>158</v>
      </c>
      <c r="U275" s="17" t="s">
        <v>1571</v>
      </c>
      <c r="AG275" s="6">
        <v>1</v>
      </c>
      <c r="AH275" s="6">
        <v>1</v>
      </c>
      <c r="AI275" s="6">
        <v>1</v>
      </c>
      <c r="AJ275" s="6">
        <v>1</v>
      </c>
      <c r="AK275" s="6">
        <v>1</v>
      </c>
      <c r="AL275" s="6">
        <v>1</v>
      </c>
      <c r="AM275" s="6">
        <v>1</v>
      </c>
      <c r="AN275" s="6">
        <v>1</v>
      </c>
      <c r="AO275" s="6">
        <v>1</v>
      </c>
      <c r="AP275" s="6">
        <v>1</v>
      </c>
      <c r="AQ275" s="6">
        <v>1</v>
      </c>
      <c r="AR275" s="7">
        <v>1</v>
      </c>
      <c r="BC275" t="s">
        <v>574</v>
      </c>
      <c r="BD275" s="7" t="s">
        <v>109</v>
      </c>
      <c r="BE275" t="s">
        <v>62</v>
      </c>
      <c r="BF275" s="1" t="s">
        <v>29</v>
      </c>
      <c r="BG275" s="1">
        <v>13</v>
      </c>
      <c r="BH275">
        <v>2</v>
      </c>
      <c r="BI275">
        <v>1</v>
      </c>
      <c r="BK275">
        <v>1</v>
      </c>
      <c r="BQ275">
        <v>1</v>
      </c>
      <c r="CL275">
        <v>1</v>
      </c>
      <c r="CR275" t="s">
        <v>72</v>
      </c>
      <c r="CS275" s="7" t="s">
        <v>1086</v>
      </c>
    </row>
    <row r="276" spans="1:98">
      <c r="B276" t="s">
        <v>1759</v>
      </c>
      <c r="C276" s="2" t="s">
        <v>1760</v>
      </c>
      <c r="D276" s="2" t="s">
        <v>1311</v>
      </c>
      <c r="E276" s="8" t="s">
        <v>122</v>
      </c>
      <c r="F276" t="s">
        <v>115</v>
      </c>
      <c r="G276" s="1">
        <v>1</v>
      </c>
      <c r="I276" s="1">
        <f>1799-24</f>
        <v>1775</v>
      </c>
      <c r="J276" t="s">
        <v>10</v>
      </c>
      <c r="K276" t="s">
        <v>12</v>
      </c>
      <c r="Q276">
        <v>5</v>
      </c>
      <c r="R276">
        <v>2</v>
      </c>
      <c r="T276" s="5">
        <f t="shared" si="9"/>
        <v>163.26</v>
      </c>
      <c r="U276" s="17" t="s">
        <v>1761</v>
      </c>
      <c r="AG276" s="6">
        <v>1</v>
      </c>
      <c r="AH276" s="6">
        <v>1</v>
      </c>
      <c r="AI276" s="7">
        <v>1</v>
      </c>
      <c r="BC276" t="s">
        <v>1762</v>
      </c>
      <c r="BD276" s="7" t="s">
        <v>109</v>
      </c>
      <c r="BE276" t="s">
        <v>125</v>
      </c>
      <c r="BF276" s="1" t="s">
        <v>29</v>
      </c>
      <c r="BG276" s="1">
        <v>5</v>
      </c>
      <c r="BH276">
        <v>1</v>
      </c>
      <c r="BK276" s="1">
        <v>1</v>
      </c>
      <c r="BQ276">
        <v>1</v>
      </c>
      <c r="CS276" s="7" t="s">
        <v>1763</v>
      </c>
    </row>
    <row r="277" spans="1:98">
      <c r="A277" t="s">
        <v>7</v>
      </c>
      <c r="B277" t="s">
        <v>2713</v>
      </c>
      <c r="C277" s="2"/>
      <c r="D277" s="2"/>
      <c r="E277" s="8"/>
      <c r="F277" t="s">
        <v>7</v>
      </c>
      <c r="T277" s="5"/>
      <c r="U277" s="9" t="s">
        <v>2712</v>
      </c>
      <c r="AG277" s="9">
        <v>1</v>
      </c>
      <c r="AH277" s="6">
        <v>1</v>
      </c>
      <c r="AI277" s="7">
        <v>1</v>
      </c>
      <c r="BC277" t="s">
        <v>441</v>
      </c>
      <c r="BD277" s="7" t="s">
        <v>109</v>
      </c>
      <c r="BE277" t="s">
        <v>2005</v>
      </c>
      <c r="BF277" s="1" t="s">
        <v>29</v>
      </c>
      <c r="BG277" s="1">
        <v>2</v>
      </c>
      <c r="BH277">
        <v>1</v>
      </c>
      <c r="BK277" s="1">
        <v>1</v>
      </c>
      <c r="BQ277">
        <v>1</v>
      </c>
      <c r="CS277" s="7" t="s">
        <v>1475</v>
      </c>
    </row>
    <row r="278" spans="1:98">
      <c r="B278" t="s">
        <v>407</v>
      </c>
      <c r="C278" s="15" t="s">
        <v>408</v>
      </c>
      <c r="E278" s="8"/>
      <c r="F278" s="8" t="s">
        <v>409</v>
      </c>
      <c r="H278" s="1">
        <v>1</v>
      </c>
      <c r="I278" s="1">
        <f>1811-30</f>
        <v>1781</v>
      </c>
      <c r="J278" t="s">
        <v>69</v>
      </c>
      <c r="K278" t="s">
        <v>12</v>
      </c>
      <c r="N278" t="s">
        <v>72</v>
      </c>
      <c r="Q278">
        <v>5</v>
      </c>
      <c r="R278">
        <v>4</v>
      </c>
      <c r="T278" s="5">
        <f t="shared" si="9"/>
        <v>168.52</v>
      </c>
      <c r="U278" s="9" t="s">
        <v>406</v>
      </c>
      <c r="AG278" s="9">
        <v>1</v>
      </c>
      <c r="AH278" s="6">
        <v>1</v>
      </c>
      <c r="AI278" s="6">
        <v>1</v>
      </c>
      <c r="AJ278" s="6">
        <v>1</v>
      </c>
      <c r="AK278" s="6">
        <v>1</v>
      </c>
      <c r="AL278" s="6">
        <v>1</v>
      </c>
      <c r="AM278" s="6">
        <v>1</v>
      </c>
      <c r="AN278" s="6">
        <v>1</v>
      </c>
      <c r="AO278" s="6">
        <v>1</v>
      </c>
      <c r="AP278" s="6">
        <v>1</v>
      </c>
      <c r="AQ278" s="6">
        <v>1</v>
      </c>
      <c r="AR278" s="6">
        <v>1</v>
      </c>
      <c r="AS278" s="6">
        <v>1</v>
      </c>
      <c r="AT278" s="7">
        <v>1</v>
      </c>
      <c r="BC278" t="s">
        <v>410</v>
      </c>
      <c r="BD278" s="7" t="s">
        <v>103</v>
      </c>
      <c r="BE278" t="s">
        <v>411</v>
      </c>
      <c r="BF278" s="1" t="s">
        <v>29</v>
      </c>
      <c r="BG278" s="1">
        <v>5</v>
      </c>
      <c r="BH278">
        <v>3</v>
      </c>
      <c r="BO278" t="s">
        <v>72</v>
      </c>
      <c r="BQ278">
        <v>1</v>
      </c>
      <c r="BX278">
        <v>1</v>
      </c>
      <c r="CD278">
        <v>1</v>
      </c>
      <c r="CI278">
        <v>1</v>
      </c>
      <c r="CL278">
        <v>1</v>
      </c>
      <c r="CS278" s="7" t="s">
        <v>412</v>
      </c>
      <c r="CT278" s="9" t="s">
        <v>127</v>
      </c>
    </row>
    <row r="279" spans="1:98">
      <c r="B279" t="s">
        <v>1479</v>
      </c>
      <c r="C279" s="15" t="s">
        <v>224</v>
      </c>
      <c r="D279" s="15" t="s">
        <v>224</v>
      </c>
      <c r="E279" s="8" t="s">
        <v>122</v>
      </c>
      <c r="F279" s="8" t="s">
        <v>115</v>
      </c>
      <c r="G279" s="1">
        <v>1</v>
      </c>
      <c r="I279" s="1">
        <f>1799-28</f>
        <v>1771</v>
      </c>
      <c r="J279" t="s">
        <v>69</v>
      </c>
      <c r="K279" t="s">
        <v>197</v>
      </c>
      <c r="M279">
        <v>1</v>
      </c>
      <c r="Q279">
        <v>5</v>
      </c>
      <c r="R279">
        <v>1</v>
      </c>
      <c r="T279" s="5">
        <f t="shared" si="9"/>
        <v>160.63</v>
      </c>
      <c r="U279" s="17" t="s">
        <v>1480</v>
      </c>
      <c r="AG279" s="6">
        <v>1</v>
      </c>
      <c r="AH279" s="6">
        <v>1</v>
      </c>
      <c r="AI279" s="6">
        <v>1</v>
      </c>
      <c r="AJ279" s="6">
        <v>1</v>
      </c>
      <c r="AK279" s="6">
        <v>1</v>
      </c>
      <c r="AL279" s="6">
        <v>1</v>
      </c>
      <c r="AM279" s="6">
        <v>1</v>
      </c>
      <c r="AN279" s="7">
        <v>1</v>
      </c>
      <c r="BC279" t="s">
        <v>1472</v>
      </c>
      <c r="BD279" s="7" t="s">
        <v>109</v>
      </c>
      <c r="BE279" t="s">
        <v>62</v>
      </c>
      <c r="BF279" s="1" t="s">
        <v>29</v>
      </c>
      <c r="BG279" s="1">
        <v>10</v>
      </c>
      <c r="BH279">
        <v>2</v>
      </c>
      <c r="BI279">
        <v>1</v>
      </c>
      <c r="BK279">
        <v>1</v>
      </c>
      <c r="BQ279">
        <v>1</v>
      </c>
      <c r="CL279">
        <v>1</v>
      </c>
      <c r="CS279" s="7" t="s">
        <v>1475</v>
      </c>
    </row>
    <row r="280" spans="1:98">
      <c r="B280" t="s">
        <v>373</v>
      </c>
      <c r="C280" s="2" t="s">
        <v>374</v>
      </c>
      <c r="E280" s="8" t="s">
        <v>122</v>
      </c>
      <c r="F280" s="8" t="s">
        <v>115</v>
      </c>
      <c r="G280" s="1">
        <v>1</v>
      </c>
      <c r="I280" s="1">
        <f>1802-20</f>
        <v>1782</v>
      </c>
      <c r="J280" t="s">
        <v>10</v>
      </c>
      <c r="K280" t="s">
        <v>12</v>
      </c>
      <c r="Q280">
        <v>5</v>
      </c>
      <c r="R280">
        <v>3</v>
      </c>
      <c r="T280" s="5">
        <f t="shared" si="9"/>
        <v>165.89000000000001</v>
      </c>
      <c r="U280" t="s">
        <v>375</v>
      </c>
      <c r="AG280" s="6">
        <v>1</v>
      </c>
      <c r="AH280" s="6">
        <v>1</v>
      </c>
      <c r="AI280" s="6">
        <v>1</v>
      </c>
      <c r="AJ280" s="6">
        <v>1</v>
      </c>
      <c r="AK280" s="6">
        <v>1</v>
      </c>
      <c r="AL280" s="6">
        <v>1</v>
      </c>
      <c r="AM280" s="6">
        <v>1</v>
      </c>
      <c r="AN280" s="6">
        <v>1</v>
      </c>
      <c r="AO280" s="6">
        <v>1</v>
      </c>
      <c r="AP280" s="6">
        <v>1</v>
      </c>
      <c r="AQ280" s="7">
        <v>1</v>
      </c>
      <c r="BC280" t="s">
        <v>170</v>
      </c>
      <c r="BD280" s="7" t="s">
        <v>163</v>
      </c>
      <c r="BE280" t="s">
        <v>125</v>
      </c>
      <c r="BF280" s="1" t="s">
        <v>29</v>
      </c>
      <c r="BG280" s="1">
        <v>13</v>
      </c>
      <c r="BH280">
        <v>1</v>
      </c>
      <c r="BK280" s="1">
        <v>1</v>
      </c>
      <c r="BQ280">
        <v>1</v>
      </c>
      <c r="CF280">
        <v>1</v>
      </c>
      <c r="CS280" s="7" t="s">
        <v>171</v>
      </c>
    </row>
    <row r="281" spans="1:98">
      <c r="B281" t="s">
        <v>186</v>
      </c>
      <c r="C281" s="15" t="s">
        <v>187</v>
      </c>
      <c r="D281" s="15" t="s">
        <v>187</v>
      </c>
      <c r="E281" s="8" t="s">
        <v>122</v>
      </c>
      <c r="F281" s="8" t="s">
        <v>115</v>
      </c>
      <c r="G281" s="1">
        <v>1</v>
      </c>
      <c r="I281" s="1">
        <f>1799-28</f>
        <v>1771</v>
      </c>
      <c r="J281" t="s">
        <v>69</v>
      </c>
      <c r="K281" t="s">
        <v>12</v>
      </c>
      <c r="N281">
        <v>1</v>
      </c>
      <c r="Q281">
        <v>5</v>
      </c>
      <c r="R281">
        <v>2</v>
      </c>
      <c r="T281" s="5">
        <f t="shared" si="9"/>
        <v>163.26</v>
      </c>
      <c r="U281" t="s">
        <v>188</v>
      </c>
      <c r="AG281" s="6">
        <v>1</v>
      </c>
      <c r="AH281" s="6">
        <v>1</v>
      </c>
      <c r="AI281" s="6">
        <v>1</v>
      </c>
      <c r="AJ281" s="6">
        <v>1</v>
      </c>
      <c r="AK281" s="6">
        <v>1</v>
      </c>
      <c r="AL281" s="6">
        <v>1</v>
      </c>
      <c r="AM281" s="6">
        <v>1</v>
      </c>
      <c r="AN281" s="9">
        <v>1</v>
      </c>
      <c r="AO281" s="9">
        <v>1</v>
      </c>
      <c r="AP281" s="7">
        <v>1</v>
      </c>
      <c r="BC281" t="s">
        <v>189</v>
      </c>
      <c r="BD281" s="7" t="s">
        <v>103</v>
      </c>
      <c r="BE281" t="s">
        <v>125</v>
      </c>
      <c r="BF281" s="1" t="s">
        <v>29</v>
      </c>
      <c r="BG281" s="1">
        <v>14</v>
      </c>
      <c r="BH281">
        <v>1</v>
      </c>
      <c r="BK281" s="1">
        <v>1</v>
      </c>
      <c r="BQ281">
        <v>1</v>
      </c>
      <c r="CS281" s="7" t="s">
        <v>203</v>
      </c>
    </row>
    <row r="282" spans="1:98">
      <c r="B282" t="s">
        <v>223</v>
      </c>
      <c r="C282" s="15" t="s">
        <v>224</v>
      </c>
      <c r="D282" s="15" t="s">
        <v>224</v>
      </c>
      <c r="E282" s="8" t="s">
        <v>122</v>
      </c>
      <c r="F282" s="8" t="s">
        <v>115</v>
      </c>
      <c r="G282" s="1">
        <v>1</v>
      </c>
      <c r="I282" s="1">
        <f>1799-26</f>
        <v>1773</v>
      </c>
      <c r="J282" t="s">
        <v>69</v>
      </c>
      <c r="K282" t="s">
        <v>12</v>
      </c>
      <c r="N282">
        <v>1</v>
      </c>
      <c r="Q282">
        <v>5</v>
      </c>
      <c r="R282">
        <v>1</v>
      </c>
      <c r="S282">
        <v>1</v>
      </c>
      <c r="T282" s="5">
        <f t="shared" si="9"/>
        <v>160.85</v>
      </c>
      <c r="U282" t="s">
        <v>225</v>
      </c>
      <c r="AG282" s="6">
        <v>1</v>
      </c>
      <c r="AH282" s="6">
        <v>1</v>
      </c>
      <c r="AI282" s="6">
        <v>1</v>
      </c>
      <c r="AJ282" s="6">
        <v>1</v>
      </c>
      <c r="AK282" s="6">
        <v>1</v>
      </c>
      <c r="AL282" s="6">
        <v>1</v>
      </c>
      <c r="AM282" s="6">
        <v>1</v>
      </c>
      <c r="AN282" s="6">
        <v>1</v>
      </c>
      <c r="AO282" s="6">
        <v>1</v>
      </c>
      <c r="AP282" s="7">
        <v>1</v>
      </c>
      <c r="BC282" t="s">
        <v>198</v>
      </c>
      <c r="BD282" s="7" t="s">
        <v>109</v>
      </c>
      <c r="BE282" t="s">
        <v>125</v>
      </c>
      <c r="BF282" s="1" t="s">
        <v>29</v>
      </c>
      <c r="BG282" s="1">
        <v>11</v>
      </c>
      <c r="BH282">
        <v>1</v>
      </c>
      <c r="BK282" s="1">
        <v>1</v>
      </c>
      <c r="BQ282">
        <v>1</v>
      </c>
      <c r="CS282" s="7" t="s">
        <v>354</v>
      </c>
    </row>
    <row r="283" spans="1:98">
      <c r="B283" t="s">
        <v>1346</v>
      </c>
      <c r="C283" s="2" t="s">
        <v>1347</v>
      </c>
      <c r="D283" s="2" t="s">
        <v>1347</v>
      </c>
      <c r="E283" s="8" t="s">
        <v>122</v>
      </c>
      <c r="F283" s="8" t="s">
        <v>115</v>
      </c>
      <c r="G283" s="1">
        <v>1</v>
      </c>
      <c r="I283" s="1">
        <f>1799-20</f>
        <v>1779</v>
      </c>
      <c r="J283" t="s">
        <v>69</v>
      </c>
      <c r="K283" t="s">
        <v>12</v>
      </c>
      <c r="N283">
        <v>1</v>
      </c>
      <c r="Q283">
        <v>5</v>
      </c>
      <c r="R283">
        <v>3</v>
      </c>
      <c r="T283" s="5">
        <f t="shared" si="9"/>
        <v>165.89000000000001</v>
      </c>
      <c r="U283" s="17" t="s">
        <v>225</v>
      </c>
      <c r="AG283" s="6">
        <v>1</v>
      </c>
      <c r="AH283" s="6">
        <v>1</v>
      </c>
      <c r="AI283" s="6">
        <v>1</v>
      </c>
      <c r="AJ283" s="6">
        <v>1</v>
      </c>
      <c r="AK283" s="6">
        <v>1</v>
      </c>
      <c r="AL283" s="6">
        <v>1</v>
      </c>
      <c r="AM283" s="7">
        <v>1</v>
      </c>
      <c r="BC283" t="s">
        <v>1348</v>
      </c>
      <c r="BD283" s="7" t="s">
        <v>103</v>
      </c>
      <c r="BE283" t="s">
        <v>125</v>
      </c>
      <c r="BF283" s="1" t="s">
        <v>29</v>
      </c>
      <c r="BG283" s="1">
        <v>9</v>
      </c>
      <c r="BH283">
        <v>1</v>
      </c>
      <c r="BK283" s="1">
        <v>1</v>
      </c>
      <c r="BQ283">
        <v>1</v>
      </c>
      <c r="CS283" s="7" t="s">
        <v>1341</v>
      </c>
    </row>
    <row r="284" spans="1:98">
      <c r="B284" t="s">
        <v>1756</v>
      </c>
      <c r="C284" s="2" t="s">
        <v>1757</v>
      </c>
      <c r="D284" s="2" t="s">
        <v>224</v>
      </c>
      <c r="E284" s="8" t="s">
        <v>122</v>
      </c>
      <c r="F284" s="8" t="s">
        <v>115</v>
      </c>
      <c r="G284" s="1">
        <v>1</v>
      </c>
      <c r="I284" s="1">
        <f>1799-30</f>
        <v>1769</v>
      </c>
      <c r="J284" t="s">
        <v>69</v>
      </c>
      <c r="K284" t="s">
        <v>12</v>
      </c>
      <c r="Q284">
        <v>5</v>
      </c>
      <c r="R284">
        <v>2</v>
      </c>
      <c r="T284" s="5">
        <f t="shared" si="9"/>
        <v>163.26</v>
      </c>
      <c r="U284" s="17" t="s">
        <v>1758</v>
      </c>
      <c r="AG284" s="6">
        <v>1</v>
      </c>
      <c r="AH284" s="6">
        <v>1</v>
      </c>
      <c r="AI284" s="7">
        <v>1</v>
      </c>
      <c r="BC284" t="s">
        <v>324</v>
      </c>
      <c r="BD284" s="7" t="s">
        <v>109</v>
      </c>
      <c r="BE284" t="s">
        <v>125</v>
      </c>
      <c r="BF284" s="1" t="s">
        <v>29</v>
      </c>
      <c r="BG284" s="1">
        <v>2</v>
      </c>
      <c r="BH284">
        <v>1</v>
      </c>
      <c r="BK284" s="1">
        <v>1</v>
      </c>
      <c r="BQ284">
        <v>1</v>
      </c>
      <c r="CS284" s="22" t="s">
        <v>1313</v>
      </c>
    </row>
    <row r="285" spans="1:98">
      <c r="B285" t="s">
        <v>1255</v>
      </c>
      <c r="C285" s="2" t="s">
        <v>121</v>
      </c>
      <c r="D285" s="2" t="s">
        <v>121</v>
      </c>
      <c r="E285" s="8" t="s">
        <v>122</v>
      </c>
      <c r="F285" s="8" t="s">
        <v>115</v>
      </c>
      <c r="G285" s="1">
        <v>1</v>
      </c>
      <c r="I285" s="1">
        <f>1800-30</f>
        <v>1770</v>
      </c>
      <c r="J285" t="s">
        <v>69</v>
      </c>
      <c r="K285" t="s">
        <v>12</v>
      </c>
      <c r="N285">
        <v>1</v>
      </c>
      <c r="Q285">
        <v>5</v>
      </c>
      <c r="R285">
        <v>2</v>
      </c>
      <c r="S285">
        <v>1</v>
      </c>
      <c r="T285" s="5">
        <f t="shared" si="9"/>
        <v>163.47999999999999</v>
      </c>
      <c r="U285" t="s">
        <v>123</v>
      </c>
      <c r="AG285" s="6">
        <v>1</v>
      </c>
      <c r="AH285" s="6">
        <v>1</v>
      </c>
      <c r="AI285" s="6">
        <v>1</v>
      </c>
      <c r="AJ285" s="6">
        <v>1</v>
      </c>
      <c r="AK285" s="6">
        <v>1</v>
      </c>
      <c r="AL285" s="6">
        <v>1</v>
      </c>
      <c r="AM285" s="6">
        <v>1</v>
      </c>
      <c r="AN285" s="6">
        <v>1</v>
      </c>
      <c r="AO285" s="6">
        <v>1</v>
      </c>
      <c r="AP285" s="6">
        <v>1</v>
      </c>
      <c r="AQ285" s="6">
        <v>1</v>
      </c>
      <c r="AR285" s="6">
        <v>1</v>
      </c>
      <c r="AS285" s="6">
        <v>1</v>
      </c>
      <c r="AT285" s="6">
        <v>1</v>
      </c>
      <c r="AU285" s="6">
        <v>1</v>
      </c>
      <c r="AV285" s="6">
        <v>1</v>
      </c>
      <c r="AW285" s="6">
        <v>1</v>
      </c>
      <c r="AX285" s="7">
        <v>1</v>
      </c>
      <c r="BC285" t="s">
        <v>1256</v>
      </c>
      <c r="BD285" s="7" t="s">
        <v>959</v>
      </c>
      <c r="BE285" s="7" t="s">
        <v>1257</v>
      </c>
      <c r="BF285" s="1" t="s">
        <v>29</v>
      </c>
      <c r="BG285" s="1">
        <v>21</v>
      </c>
      <c r="BH285">
        <v>5</v>
      </c>
      <c r="BJ285">
        <v>1</v>
      </c>
      <c r="BK285" s="1">
        <v>1</v>
      </c>
      <c r="BQ285">
        <v>1</v>
      </c>
      <c r="CB285" s="7">
        <v>1</v>
      </c>
      <c r="CC285">
        <v>1</v>
      </c>
      <c r="CL285">
        <v>1</v>
      </c>
      <c r="CQ285">
        <v>1</v>
      </c>
      <c r="CS285" s="7" t="s">
        <v>1258</v>
      </c>
    </row>
    <row r="286" spans="1:98">
      <c r="B286" t="s">
        <v>1494</v>
      </c>
      <c r="C286" s="2" t="s">
        <v>1495</v>
      </c>
      <c r="D286" s="15"/>
      <c r="E286" s="8"/>
      <c r="F286" s="8" t="s">
        <v>115</v>
      </c>
      <c r="G286" s="1">
        <v>1</v>
      </c>
      <c r="I286" s="1">
        <f>1804-24</f>
        <v>1780</v>
      </c>
      <c r="J286" t="s">
        <v>10</v>
      </c>
      <c r="K286" t="s">
        <v>12</v>
      </c>
      <c r="Q286">
        <v>5</v>
      </c>
      <c r="R286">
        <v>2</v>
      </c>
      <c r="T286" s="5">
        <f t="shared" si="9"/>
        <v>163.26</v>
      </c>
      <c r="U286" t="s">
        <v>1496</v>
      </c>
      <c r="AG286" s="6">
        <v>1</v>
      </c>
      <c r="AH286" s="6">
        <v>1</v>
      </c>
      <c r="AI286" s="6">
        <v>1</v>
      </c>
      <c r="AJ286" s="6">
        <v>1</v>
      </c>
      <c r="AK286" s="6">
        <v>1</v>
      </c>
      <c r="AL286" s="6">
        <v>1</v>
      </c>
      <c r="AM286" s="6">
        <v>1</v>
      </c>
      <c r="AN286" s="6">
        <v>1</v>
      </c>
      <c r="AO286" s="7">
        <v>1</v>
      </c>
      <c r="BC286" t="s">
        <v>1497</v>
      </c>
      <c r="BD286" s="7" t="s">
        <v>26</v>
      </c>
      <c r="BE286" t="s">
        <v>62</v>
      </c>
      <c r="BF286" s="1" t="s">
        <v>29</v>
      </c>
      <c r="BG286" s="1">
        <v>7</v>
      </c>
      <c r="BH286">
        <v>2</v>
      </c>
      <c r="BI286">
        <v>1</v>
      </c>
      <c r="BK286">
        <v>1</v>
      </c>
      <c r="BQ286">
        <v>1</v>
      </c>
      <c r="CL286">
        <v>1</v>
      </c>
      <c r="CS286" s="7" t="s">
        <v>1498</v>
      </c>
    </row>
    <row r="287" spans="1:98">
      <c r="A287" t="s">
        <v>7</v>
      </c>
      <c r="B287" t="s">
        <v>2738</v>
      </c>
      <c r="C287" s="15"/>
      <c r="D287" s="15"/>
      <c r="E287" s="8"/>
      <c r="F287" s="8" t="s">
        <v>7</v>
      </c>
      <c r="T287" s="5"/>
      <c r="U287" t="s">
        <v>2739</v>
      </c>
      <c r="AG287" s="6">
        <v>1</v>
      </c>
      <c r="AH287" s="6">
        <v>1</v>
      </c>
      <c r="AI287" s="7">
        <v>1</v>
      </c>
      <c r="BC287" t="s">
        <v>892</v>
      </c>
      <c r="BD287" s="7" t="s">
        <v>26</v>
      </c>
      <c r="BE287" t="s">
        <v>2005</v>
      </c>
      <c r="BF287" s="1" t="s">
        <v>29</v>
      </c>
      <c r="BG287" s="1">
        <v>2</v>
      </c>
      <c r="BH287">
        <v>1</v>
      </c>
      <c r="BK287" s="1">
        <v>1</v>
      </c>
      <c r="BQ287">
        <v>1</v>
      </c>
      <c r="CS287" s="7" t="s">
        <v>2740</v>
      </c>
    </row>
    <row r="288" spans="1:98">
      <c r="B288" t="s">
        <v>1060</v>
      </c>
      <c r="C288" s="2" t="s">
        <v>1061</v>
      </c>
      <c r="D288" s="15"/>
      <c r="E288" s="8"/>
      <c r="F288" s="8" t="s">
        <v>1062</v>
      </c>
      <c r="G288" s="1">
        <v>1</v>
      </c>
      <c r="I288" s="1">
        <f>1801-25</f>
        <v>1776</v>
      </c>
      <c r="J288" t="s">
        <v>10</v>
      </c>
      <c r="K288" t="s">
        <v>12</v>
      </c>
      <c r="T288" s="5"/>
      <c r="U288" s="9" t="s">
        <v>1063</v>
      </c>
      <c r="AG288" s="9">
        <v>1</v>
      </c>
      <c r="AH288" s="6">
        <v>1</v>
      </c>
      <c r="AI288" s="6">
        <v>1</v>
      </c>
      <c r="AJ288" s="7">
        <v>1</v>
      </c>
      <c r="BC288" t="s">
        <v>1064</v>
      </c>
      <c r="BD288" s="7" t="s">
        <v>103</v>
      </c>
      <c r="BE288" t="s">
        <v>1065</v>
      </c>
      <c r="BF288" s="1" t="s">
        <v>29</v>
      </c>
      <c r="BG288" s="1">
        <v>2</v>
      </c>
      <c r="BH288">
        <v>2</v>
      </c>
      <c r="BK288" s="1">
        <v>1</v>
      </c>
      <c r="BQ288">
        <v>1</v>
      </c>
      <c r="BS288">
        <v>1</v>
      </c>
      <c r="CL288">
        <v>1</v>
      </c>
      <c r="CS288" s="7" t="s">
        <v>1066</v>
      </c>
    </row>
    <row r="289" spans="1:98">
      <c r="B289" t="s">
        <v>1530</v>
      </c>
      <c r="C289" s="2" t="s">
        <v>1531</v>
      </c>
      <c r="D289" s="2" t="s">
        <v>1531</v>
      </c>
      <c r="E289" s="8" t="s">
        <v>1532</v>
      </c>
      <c r="F289" s="8" t="s">
        <v>115</v>
      </c>
      <c r="G289" s="1">
        <v>1</v>
      </c>
      <c r="I289" s="1">
        <f>1803-32</f>
        <v>1771</v>
      </c>
      <c r="J289" t="s">
        <v>69</v>
      </c>
      <c r="K289" t="s">
        <v>12</v>
      </c>
      <c r="N289">
        <v>1</v>
      </c>
      <c r="Q289">
        <v>5</v>
      </c>
      <c r="R289">
        <v>4</v>
      </c>
      <c r="S289">
        <v>1</v>
      </c>
      <c r="T289" s="5">
        <f>((Q289*316)+(R289*26.3)+(S289*2.2))/10</f>
        <v>168.74</v>
      </c>
      <c r="U289" t="s">
        <v>1533</v>
      </c>
      <c r="AG289" s="6">
        <v>1</v>
      </c>
      <c r="AH289" s="6">
        <v>1</v>
      </c>
      <c r="AI289" s="6">
        <v>1</v>
      </c>
      <c r="AJ289" s="6">
        <v>1</v>
      </c>
      <c r="AK289" s="6">
        <v>1</v>
      </c>
      <c r="AL289" s="6">
        <v>1</v>
      </c>
      <c r="AM289" s="6">
        <v>1</v>
      </c>
      <c r="AN289" s="7">
        <v>1</v>
      </c>
      <c r="BC289" t="s">
        <v>1501</v>
      </c>
      <c r="BD289" s="7" t="s">
        <v>109</v>
      </c>
      <c r="BE289" t="s">
        <v>1502</v>
      </c>
      <c r="BF289" s="1" t="s">
        <v>29</v>
      </c>
      <c r="BG289" s="1">
        <v>3</v>
      </c>
      <c r="BH289">
        <v>1</v>
      </c>
      <c r="BK289" s="1">
        <v>1</v>
      </c>
      <c r="BQ289">
        <v>1</v>
      </c>
      <c r="CM289">
        <v>1</v>
      </c>
      <c r="CR289" t="s">
        <v>72</v>
      </c>
      <c r="CS289" s="7" t="s">
        <v>354</v>
      </c>
    </row>
    <row r="290" spans="1:98">
      <c r="B290" t="s">
        <v>2173</v>
      </c>
      <c r="C290" s="2" t="s">
        <v>2174</v>
      </c>
      <c r="D290" s="2"/>
      <c r="E290" s="8"/>
      <c r="F290" s="8" t="s">
        <v>595</v>
      </c>
      <c r="H290" s="30">
        <v>1</v>
      </c>
      <c r="I290" s="1">
        <f>1803-39</f>
        <v>1764</v>
      </c>
      <c r="J290" t="s">
        <v>69</v>
      </c>
      <c r="K290" t="s">
        <v>12</v>
      </c>
      <c r="N290">
        <v>1</v>
      </c>
      <c r="Q290">
        <v>5</v>
      </c>
      <c r="R290">
        <v>2</v>
      </c>
      <c r="S290">
        <v>1</v>
      </c>
      <c r="T290" s="5">
        <f>((Q290*316)+(R290*26.3)+(S290*2.2))/10</f>
        <v>163.47999999999999</v>
      </c>
      <c r="U290" t="s">
        <v>2176</v>
      </c>
      <c r="AG290" s="6">
        <v>1</v>
      </c>
      <c r="AH290" s="6">
        <v>1</v>
      </c>
      <c r="AI290" s="6">
        <v>1</v>
      </c>
      <c r="AJ290" s="6">
        <v>1</v>
      </c>
      <c r="AK290" s="6">
        <v>1</v>
      </c>
      <c r="AL290" s="6">
        <v>1</v>
      </c>
      <c r="AM290" s="6">
        <v>1</v>
      </c>
      <c r="AN290" s="7">
        <v>1</v>
      </c>
      <c r="BC290" t="s">
        <v>1501</v>
      </c>
      <c r="BD290" s="7" t="s">
        <v>109</v>
      </c>
      <c r="BE290" t="s">
        <v>1502</v>
      </c>
      <c r="BF290" s="1" t="s">
        <v>29</v>
      </c>
      <c r="BG290" s="1">
        <v>3</v>
      </c>
      <c r="BH290">
        <v>1</v>
      </c>
      <c r="BK290" s="30">
        <v>1</v>
      </c>
      <c r="BQ290">
        <v>1</v>
      </c>
      <c r="CM290">
        <v>1</v>
      </c>
      <c r="CS290" s="7" t="s">
        <v>354</v>
      </c>
      <c r="CT290" s="6" t="s">
        <v>2175</v>
      </c>
    </row>
    <row r="291" spans="1:98">
      <c r="B291" t="s">
        <v>2440</v>
      </c>
      <c r="C291" s="2" t="s">
        <v>2441</v>
      </c>
      <c r="D291" s="2" t="s">
        <v>2441</v>
      </c>
      <c r="E291" s="8" t="s">
        <v>654</v>
      </c>
      <c r="F291" s="8" t="s">
        <v>65</v>
      </c>
      <c r="G291" s="1">
        <v>1</v>
      </c>
      <c r="I291" s="1">
        <f>1803-24</f>
        <v>1779</v>
      </c>
      <c r="J291" t="s">
        <v>10</v>
      </c>
      <c r="K291" t="s">
        <v>12</v>
      </c>
      <c r="Q291">
        <v>5</v>
      </c>
      <c r="R291">
        <v>2</v>
      </c>
      <c r="S291">
        <v>3</v>
      </c>
      <c r="T291" s="5">
        <f>((Q291*316)+(R291*26.3)+(S291*2.2))/10</f>
        <v>163.92</v>
      </c>
      <c r="U291" t="s">
        <v>2442</v>
      </c>
      <c r="AG291" s="6">
        <v>1</v>
      </c>
      <c r="AH291" s="6">
        <v>1</v>
      </c>
      <c r="AI291" s="6">
        <v>1</v>
      </c>
      <c r="AJ291" s="6">
        <v>1</v>
      </c>
      <c r="AK291" s="6">
        <v>1</v>
      </c>
      <c r="AL291" s="6">
        <v>1</v>
      </c>
      <c r="AM291" s="6">
        <v>1</v>
      </c>
      <c r="AN291" s="6">
        <v>1</v>
      </c>
      <c r="AO291" s="6">
        <v>1</v>
      </c>
      <c r="AP291" s="6">
        <v>1</v>
      </c>
      <c r="AQ291" s="6">
        <v>1</v>
      </c>
      <c r="AR291" s="6">
        <v>1</v>
      </c>
      <c r="AS291" s="7">
        <v>1</v>
      </c>
      <c r="BC291" t="s">
        <v>2443</v>
      </c>
      <c r="BD291" s="7" t="s">
        <v>103</v>
      </c>
      <c r="BE291" t="s">
        <v>118</v>
      </c>
      <c r="BF291" s="1" t="s">
        <v>29</v>
      </c>
      <c r="BG291" s="1">
        <v>4</v>
      </c>
      <c r="BH291">
        <v>1</v>
      </c>
      <c r="BK291" s="1">
        <v>1</v>
      </c>
      <c r="BQ291">
        <v>1</v>
      </c>
      <c r="CS291" s="7" t="s">
        <v>1505</v>
      </c>
    </row>
    <row r="292" spans="1:98">
      <c r="B292" t="s">
        <v>138</v>
      </c>
      <c r="C292" s="15" t="s">
        <v>2215</v>
      </c>
      <c r="D292" s="15"/>
      <c r="E292" s="8"/>
      <c r="F292" s="8" t="s">
        <v>1548</v>
      </c>
      <c r="H292" s="30">
        <v>1</v>
      </c>
      <c r="I292" s="1">
        <f>1803-26</f>
        <v>1777</v>
      </c>
      <c r="J292" t="s">
        <v>10</v>
      </c>
      <c r="K292" t="s">
        <v>12</v>
      </c>
      <c r="Q292">
        <v>5</v>
      </c>
      <c r="R292">
        <v>2</v>
      </c>
      <c r="S292">
        <v>1</v>
      </c>
      <c r="T292" s="5">
        <f>((Q292*316)+(R292*26.3)+(S292*2.2))/10</f>
        <v>163.47999999999999</v>
      </c>
      <c r="U292" t="s">
        <v>2214</v>
      </c>
      <c r="AG292" s="6">
        <v>1</v>
      </c>
      <c r="AH292" s="6">
        <v>1</v>
      </c>
      <c r="AI292" s="6">
        <v>1</v>
      </c>
      <c r="AJ292" s="6">
        <v>1</v>
      </c>
      <c r="AK292" s="6">
        <v>1</v>
      </c>
      <c r="AL292" s="6">
        <v>1</v>
      </c>
      <c r="AM292" s="7">
        <v>1</v>
      </c>
      <c r="BC292" t="s">
        <v>1467</v>
      </c>
      <c r="BD292" s="7" t="s">
        <v>280</v>
      </c>
      <c r="BE292" t="s">
        <v>1502</v>
      </c>
      <c r="BF292" s="1" t="s">
        <v>29</v>
      </c>
      <c r="BG292" s="1">
        <v>3</v>
      </c>
      <c r="BH292">
        <v>1</v>
      </c>
      <c r="BK292" s="30">
        <v>1</v>
      </c>
      <c r="BQ292">
        <v>1</v>
      </c>
      <c r="CN292">
        <v>1</v>
      </c>
      <c r="CS292" s="7" t="s">
        <v>2216</v>
      </c>
    </row>
    <row r="293" spans="1:98">
      <c r="A293" t="s">
        <v>7</v>
      </c>
      <c r="B293" t="s">
        <v>1808</v>
      </c>
      <c r="C293" s="15"/>
      <c r="D293" s="15"/>
      <c r="E293" s="8"/>
      <c r="F293" t="s">
        <v>7</v>
      </c>
      <c r="T293" s="5"/>
      <c r="U293" s="9" t="s">
        <v>1806</v>
      </c>
      <c r="AG293" s="9">
        <v>1</v>
      </c>
      <c r="AH293" s="6">
        <v>1</v>
      </c>
      <c r="AI293" s="10">
        <v>1</v>
      </c>
      <c r="BC293" t="s">
        <v>1809</v>
      </c>
      <c r="BD293" t="s">
        <v>81</v>
      </c>
      <c r="BE293" s="10" t="s">
        <v>70</v>
      </c>
      <c r="BF293" s="1" t="s">
        <v>73</v>
      </c>
      <c r="BG293" s="1">
        <v>2</v>
      </c>
      <c r="BH293">
        <v>1</v>
      </c>
      <c r="BZ293">
        <v>1</v>
      </c>
      <c r="CS293" t="s">
        <v>111</v>
      </c>
      <c r="CT293" s="10" t="s">
        <v>82</v>
      </c>
    </row>
    <row r="294" spans="1:98">
      <c r="A294" t="s">
        <v>7</v>
      </c>
      <c r="B294" t="s">
        <v>1805</v>
      </c>
      <c r="C294" s="15"/>
      <c r="D294" s="15"/>
      <c r="E294" s="8"/>
      <c r="F294" t="s">
        <v>7</v>
      </c>
      <c r="T294" s="5"/>
      <c r="U294" s="9" t="s">
        <v>1806</v>
      </c>
      <c r="AG294" s="9">
        <v>1</v>
      </c>
      <c r="AH294" s="6">
        <v>1</v>
      </c>
      <c r="AI294" s="10">
        <v>1</v>
      </c>
      <c r="BC294" t="s">
        <v>1807</v>
      </c>
      <c r="BD294" t="s">
        <v>81</v>
      </c>
      <c r="BE294" s="10" t="s">
        <v>70</v>
      </c>
      <c r="BF294" s="1" t="s">
        <v>73</v>
      </c>
      <c r="BG294" s="1">
        <v>2</v>
      </c>
      <c r="BH294">
        <v>1</v>
      </c>
      <c r="BZ294">
        <v>1</v>
      </c>
      <c r="CS294" t="s">
        <v>111</v>
      </c>
      <c r="CT294" s="10" t="s">
        <v>82</v>
      </c>
    </row>
    <row r="295" spans="1:98">
      <c r="A295" t="s">
        <v>7</v>
      </c>
      <c r="B295" t="s">
        <v>1810</v>
      </c>
      <c r="C295" s="15"/>
      <c r="D295" s="15"/>
      <c r="E295" s="8"/>
      <c r="F295" t="s">
        <v>7</v>
      </c>
      <c r="T295" s="5"/>
      <c r="U295" s="9" t="s">
        <v>1806</v>
      </c>
      <c r="AG295" s="9">
        <v>1</v>
      </c>
      <c r="AH295" s="6">
        <v>1</v>
      </c>
      <c r="AI295" s="10">
        <v>1</v>
      </c>
      <c r="BC295" s="31" t="s">
        <v>1809</v>
      </c>
      <c r="BD295" s="31" t="s">
        <v>81</v>
      </c>
      <c r="BE295" s="33" t="s">
        <v>70</v>
      </c>
      <c r="BF295" s="23" t="s">
        <v>73</v>
      </c>
      <c r="BG295" s="23">
        <v>2</v>
      </c>
      <c r="BH295" s="31">
        <v>1</v>
      </c>
      <c r="BZ295">
        <v>1</v>
      </c>
      <c r="CS295" t="s">
        <v>111</v>
      </c>
      <c r="CT295" s="10" t="s">
        <v>82</v>
      </c>
    </row>
    <row r="296" spans="1:98">
      <c r="B296" t="s">
        <v>2184</v>
      </c>
      <c r="C296" s="2" t="s">
        <v>2185</v>
      </c>
      <c r="D296" s="2" t="s">
        <v>2185</v>
      </c>
      <c r="E296" s="8" t="s">
        <v>1735</v>
      </c>
      <c r="F296" t="s">
        <v>115</v>
      </c>
      <c r="G296" s="1">
        <v>1</v>
      </c>
      <c r="I296" s="1">
        <f>1803-23</f>
        <v>1780</v>
      </c>
      <c r="J296" t="s">
        <v>10</v>
      </c>
      <c r="K296" t="s">
        <v>12</v>
      </c>
      <c r="Q296">
        <v>5</v>
      </c>
      <c r="R296">
        <v>3</v>
      </c>
      <c r="T296" s="5">
        <f t="shared" ref="T296:T304" si="10">((Q296*316)+(R296*26.3)+(S296*2.2))/10</f>
        <v>165.89000000000001</v>
      </c>
      <c r="U296" t="s">
        <v>2186</v>
      </c>
      <c r="AG296" s="6">
        <v>1</v>
      </c>
      <c r="AH296" s="6">
        <v>1</v>
      </c>
      <c r="AI296" s="6">
        <v>1</v>
      </c>
      <c r="AJ296" s="6">
        <v>1</v>
      </c>
      <c r="AK296" s="6">
        <v>1</v>
      </c>
      <c r="AL296" s="6">
        <v>1</v>
      </c>
      <c r="AM296" s="6">
        <v>1</v>
      </c>
      <c r="AN296" s="7">
        <v>1</v>
      </c>
      <c r="BC296" s="31" t="s">
        <v>1501</v>
      </c>
      <c r="BD296" s="28" t="s">
        <v>109</v>
      </c>
      <c r="BE296" s="31" t="s">
        <v>1502</v>
      </c>
      <c r="BF296" s="1" t="s">
        <v>29</v>
      </c>
      <c r="BG296" s="1">
        <v>3</v>
      </c>
      <c r="BH296">
        <v>1</v>
      </c>
      <c r="BK296" s="1">
        <v>1</v>
      </c>
      <c r="BQ296">
        <v>1</v>
      </c>
      <c r="CR296" t="s">
        <v>72</v>
      </c>
      <c r="CS296" s="7" t="s">
        <v>354</v>
      </c>
    </row>
    <row r="297" spans="1:98">
      <c r="B297" t="s">
        <v>549</v>
      </c>
      <c r="C297" s="15" t="s">
        <v>148</v>
      </c>
      <c r="D297" s="15" t="s">
        <v>148</v>
      </c>
      <c r="E297" s="8"/>
      <c r="F297" s="8" t="s">
        <v>65</v>
      </c>
      <c r="G297" s="1">
        <v>1</v>
      </c>
      <c r="I297" s="1">
        <f>1809-30</f>
        <v>1779</v>
      </c>
      <c r="J297" t="s">
        <v>10</v>
      </c>
      <c r="K297" t="s">
        <v>12</v>
      </c>
      <c r="Q297">
        <v>5</v>
      </c>
      <c r="R297">
        <v>4</v>
      </c>
      <c r="T297" s="5">
        <f t="shared" si="10"/>
        <v>168.52</v>
      </c>
      <c r="U297" t="s">
        <v>550</v>
      </c>
      <c r="AG297" s="6">
        <v>1</v>
      </c>
      <c r="AH297" s="6">
        <v>1</v>
      </c>
      <c r="AI297" s="6">
        <v>1</v>
      </c>
      <c r="AJ297" s="6">
        <v>1</v>
      </c>
      <c r="AK297" s="6">
        <v>1</v>
      </c>
      <c r="AL297" s="6">
        <v>1</v>
      </c>
      <c r="AM297" s="6">
        <v>1</v>
      </c>
      <c r="AN297" s="6">
        <v>1</v>
      </c>
      <c r="AO297" s="6">
        <v>1</v>
      </c>
      <c r="AP297" s="6">
        <v>1</v>
      </c>
      <c r="AQ297" s="6">
        <v>1</v>
      </c>
      <c r="AR297" s="6">
        <v>1</v>
      </c>
      <c r="BC297">
        <v>1810</v>
      </c>
      <c r="BD297" t="s">
        <v>81</v>
      </c>
      <c r="BE297" s="10" t="s">
        <v>433</v>
      </c>
      <c r="BF297" s="1" t="s">
        <v>73</v>
      </c>
      <c r="BG297" s="1">
        <v>1</v>
      </c>
      <c r="BH297">
        <v>2</v>
      </c>
      <c r="BI297">
        <v>1</v>
      </c>
      <c r="BK297" s="1" t="s">
        <v>72</v>
      </c>
      <c r="BQ297">
        <v>1</v>
      </c>
      <c r="BR297">
        <v>1</v>
      </c>
      <c r="CF297">
        <v>1</v>
      </c>
      <c r="CL297" s="10">
        <v>1</v>
      </c>
      <c r="CS297" s="10" t="s">
        <v>592</v>
      </c>
    </row>
    <row r="298" spans="1:98">
      <c r="B298" t="s">
        <v>587</v>
      </c>
      <c r="C298" s="15" t="s">
        <v>588</v>
      </c>
      <c r="D298" s="15"/>
      <c r="E298" s="8" t="s">
        <v>499</v>
      </c>
      <c r="F298" s="8" t="s">
        <v>247</v>
      </c>
      <c r="G298" s="1">
        <v>1</v>
      </c>
      <c r="I298" s="1">
        <f>1804-23</f>
        <v>1781</v>
      </c>
      <c r="J298" t="s">
        <v>10</v>
      </c>
      <c r="K298" t="s">
        <v>12</v>
      </c>
      <c r="Q298">
        <v>5</v>
      </c>
      <c r="R298">
        <v>3</v>
      </c>
      <c r="T298" s="5">
        <f t="shared" si="10"/>
        <v>165.89000000000001</v>
      </c>
      <c r="U298" t="s">
        <v>589</v>
      </c>
      <c r="AG298" s="6">
        <v>1</v>
      </c>
      <c r="AH298" s="6">
        <v>1</v>
      </c>
      <c r="AI298" s="6">
        <v>1</v>
      </c>
      <c r="AJ298" s="6">
        <v>1</v>
      </c>
      <c r="AK298" s="6">
        <v>1</v>
      </c>
      <c r="AL298" s="6">
        <v>1</v>
      </c>
      <c r="BC298">
        <v>1804</v>
      </c>
      <c r="BD298" t="s">
        <v>81</v>
      </c>
      <c r="BE298" t="s">
        <v>437</v>
      </c>
      <c r="BF298" s="1" t="s">
        <v>73</v>
      </c>
      <c r="BG298" s="1">
        <v>3</v>
      </c>
      <c r="BH298">
        <v>1</v>
      </c>
      <c r="BO298">
        <v>1</v>
      </c>
      <c r="BQ298">
        <v>1</v>
      </c>
      <c r="CS298" t="s">
        <v>586</v>
      </c>
    </row>
    <row r="299" spans="1:98">
      <c r="A299" t="s">
        <v>7</v>
      </c>
      <c r="B299" t="s">
        <v>2660</v>
      </c>
      <c r="C299" s="15"/>
      <c r="D299" s="15"/>
      <c r="E299" s="8"/>
      <c r="F299" t="s">
        <v>7</v>
      </c>
      <c r="T299" s="5"/>
      <c r="U299" s="9" t="s">
        <v>2661</v>
      </c>
      <c r="AF299" s="19"/>
      <c r="AG299" s="7">
        <v>1</v>
      </c>
      <c r="BC299" s="9" t="s">
        <v>2662</v>
      </c>
      <c r="BD299" s="7" t="s">
        <v>103</v>
      </c>
      <c r="BE299" t="s">
        <v>124</v>
      </c>
      <c r="BF299" s="1" t="s">
        <v>73</v>
      </c>
      <c r="BG299" s="1">
        <v>1</v>
      </c>
      <c r="BH299">
        <v>1</v>
      </c>
      <c r="BQ299">
        <v>1</v>
      </c>
      <c r="CS299" s="28" t="s">
        <v>2663</v>
      </c>
    </row>
    <row r="300" spans="1:98">
      <c r="B300" t="s">
        <v>1525</v>
      </c>
      <c r="C300" s="2" t="s">
        <v>1526</v>
      </c>
      <c r="D300" s="15"/>
      <c r="E300" s="8"/>
      <c r="F300" s="8" t="s">
        <v>115</v>
      </c>
      <c r="G300" s="1">
        <v>1</v>
      </c>
      <c r="I300" s="1">
        <f>1802-21</f>
        <v>1781</v>
      </c>
      <c r="J300" t="s">
        <v>10</v>
      </c>
      <c r="K300" t="s">
        <v>12</v>
      </c>
      <c r="Q300">
        <v>5</v>
      </c>
      <c r="R300">
        <v>2</v>
      </c>
      <c r="S300">
        <v>2</v>
      </c>
      <c r="T300" s="5">
        <f t="shared" si="10"/>
        <v>163.69999999999999</v>
      </c>
      <c r="U300" t="s">
        <v>1527</v>
      </c>
      <c r="AG300" s="6">
        <v>1</v>
      </c>
      <c r="AH300" s="6">
        <v>1</v>
      </c>
      <c r="AI300" s="6">
        <v>1</v>
      </c>
      <c r="AJ300" s="6">
        <v>1</v>
      </c>
      <c r="AK300" s="7">
        <v>1</v>
      </c>
      <c r="BC300" t="s">
        <v>1528</v>
      </c>
      <c r="BD300" s="7" t="s">
        <v>103</v>
      </c>
      <c r="BE300" t="s">
        <v>1529</v>
      </c>
      <c r="BF300" s="1" t="s">
        <v>29</v>
      </c>
      <c r="BG300" s="1">
        <v>3</v>
      </c>
      <c r="BH300">
        <v>1</v>
      </c>
      <c r="BK300" s="1" t="s">
        <v>72</v>
      </c>
      <c r="BQ300">
        <v>1</v>
      </c>
      <c r="CS300" s="7" t="s">
        <v>475</v>
      </c>
    </row>
    <row r="301" spans="1:98">
      <c r="A301" t="s">
        <v>7</v>
      </c>
      <c r="B301" t="s">
        <v>2664</v>
      </c>
      <c r="C301" s="15"/>
      <c r="D301" s="15"/>
      <c r="E301" s="8"/>
      <c r="F301" t="s">
        <v>7</v>
      </c>
      <c r="T301" s="5"/>
      <c r="U301" s="9" t="s">
        <v>2665</v>
      </c>
      <c r="AF301" s="19"/>
      <c r="AG301" s="7">
        <v>1</v>
      </c>
      <c r="BC301" s="9" t="s">
        <v>2666</v>
      </c>
      <c r="BD301" s="7" t="s">
        <v>103</v>
      </c>
      <c r="BE301" t="s">
        <v>124</v>
      </c>
      <c r="BF301" s="1" t="s">
        <v>73</v>
      </c>
      <c r="BG301" s="1">
        <v>1</v>
      </c>
      <c r="BH301">
        <v>1</v>
      </c>
      <c r="BQ301">
        <v>1</v>
      </c>
      <c r="CS301" s="28" t="s">
        <v>2667</v>
      </c>
    </row>
    <row r="302" spans="1:98">
      <c r="B302" t="s">
        <v>590</v>
      </c>
      <c r="C302" s="15" t="s">
        <v>591</v>
      </c>
      <c r="D302" s="15"/>
      <c r="E302" s="8" t="s">
        <v>499</v>
      </c>
      <c r="F302" s="8" t="s">
        <v>247</v>
      </c>
      <c r="G302" s="1">
        <v>1</v>
      </c>
      <c r="I302" s="1">
        <f>1804-22</f>
        <v>1782</v>
      </c>
      <c r="J302" t="s">
        <v>10</v>
      </c>
      <c r="K302" t="s">
        <v>12</v>
      </c>
      <c r="Q302">
        <v>5</v>
      </c>
      <c r="R302">
        <v>3</v>
      </c>
      <c r="S302">
        <v>1</v>
      </c>
      <c r="T302" s="5">
        <f t="shared" si="10"/>
        <v>166.11</v>
      </c>
      <c r="U302" t="s">
        <v>1524</v>
      </c>
      <c r="AH302" s="6">
        <v>1</v>
      </c>
      <c r="AI302" s="6">
        <v>1</v>
      </c>
      <c r="AJ302" s="6">
        <v>1</v>
      </c>
      <c r="AK302" s="6">
        <v>1</v>
      </c>
      <c r="AL302" s="6">
        <v>1</v>
      </c>
      <c r="BC302">
        <v>1804</v>
      </c>
      <c r="BD302" t="s">
        <v>81</v>
      </c>
      <c r="BE302" t="s">
        <v>437</v>
      </c>
      <c r="BF302" s="1" t="s">
        <v>73</v>
      </c>
      <c r="BG302" s="1">
        <v>3</v>
      </c>
      <c r="BH302">
        <v>1</v>
      </c>
      <c r="BK302" s="1">
        <v>1</v>
      </c>
      <c r="BQ302">
        <v>1</v>
      </c>
      <c r="CS302" t="s">
        <v>586</v>
      </c>
    </row>
    <row r="303" spans="1:98">
      <c r="B303" t="s">
        <v>2379</v>
      </c>
      <c r="C303" s="2" t="s">
        <v>1604</v>
      </c>
      <c r="D303" s="2" t="s">
        <v>1604</v>
      </c>
      <c r="E303" s="8" t="s">
        <v>122</v>
      </c>
      <c r="F303" s="8" t="s">
        <v>115</v>
      </c>
      <c r="G303" s="1">
        <v>1</v>
      </c>
      <c r="I303" s="1">
        <f>1800-22</f>
        <v>1778</v>
      </c>
      <c r="J303" t="s">
        <v>10</v>
      </c>
      <c r="K303" t="s">
        <v>12</v>
      </c>
      <c r="Q303">
        <v>5</v>
      </c>
      <c r="R303">
        <v>2</v>
      </c>
      <c r="S303">
        <v>2</v>
      </c>
      <c r="T303" s="5">
        <f t="shared" si="10"/>
        <v>163.69999999999999</v>
      </c>
      <c r="U303" t="s">
        <v>2380</v>
      </c>
      <c r="AH303" s="6">
        <v>1</v>
      </c>
      <c r="AI303" s="6">
        <v>1</v>
      </c>
      <c r="AJ303" s="7">
        <v>1</v>
      </c>
      <c r="BC303" t="s">
        <v>2381</v>
      </c>
      <c r="BD303" s="7" t="s">
        <v>848</v>
      </c>
      <c r="BE303" t="s">
        <v>1770</v>
      </c>
      <c r="BF303" s="1" t="s">
        <v>29</v>
      </c>
      <c r="BG303" s="1">
        <v>2</v>
      </c>
      <c r="BH303">
        <v>1</v>
      </c>
      <c r="BK303" s="1">
        <v>1</v>
      </c>
      <c r="BN303">
        <v>1</v>
      </c>
      <c r="BQ303">
        <v>1</v>
      </c>
      <c r="CS303" s="7" t="s">
        <v>2382</v>
      </c>
    </row>
    <row r="304" spans="1:98">
      <c r="B304" t="s">
        <v>2293</v>
      </c>
      <c r="C304" s="2" t="s">
        <v>2294</v>
      </c>
      <c r="D304" s="2" t="s">
        <v>2294</v>
      </c>
      <c r="E304" s="8" t="s">
        <v>1442</v>
      </c>
      <c r="F304" s="8" t="s">
        <v>65</v>
      </c>
      <c r="G304" s="1">
        <v>1</v>
      </c>
      <c r="I304" s="1">
        <f>1800-18</f>
        <v>1782</v>
      </c>
      <c r="J304" t="s">
        <v>69</v>
      </c>
      <c r="K304" t="s">
        <v>12</v>
      </c>
      <c r="Q304">
        <v>5</v>
      </c>
      <c r="R304">
        <v>5</v>
      </c>
      <c r="S304">
        <v>2</v>
      </c>
      <c r="T304" s="5">
        <f t="shared" si="10"/>
        <v>171.59</v>
      </c>
      <c r="U304" t="s">
        <v>2295</v>
      </c>
      <c r="AH304" s="7">
        <v>1</v>
      </c>
      <c r="BC304" t="s">
        <v>2296</v>
      </c>
      <c r="BD304" s="7" t="s">
        <v>103</v>
      </c>
      <c r="BE304" t="s">
        <v>1770</v>
      </c>
      <c r="BF304" s="1" t="s">
        <v>29</v>
      </c>
      <c r="BG304" s="1">
        <v>2</v>
      </c>
      <c r="BH304">
        <v>1</v>
      </c>
      <c r="BK304" s="1">
        <v>1</v>
      </c>
      <c r="BQ304">
        <v>1</v>
      </c>
      <c r="CS304" s="7" t="s">
        <v>2297</v>
      </c>
    </row>
    <row r="305" spans="1:97">
      <c r="A305" t="s">
        <v>7</v>
      </c>
      <c r="B305" t="s">
        <v>252</v>
      </c>
      <c r="C305" s="15"/>
      <c r="D305" s="15"/>
      <c r="E305" s="8"/>
      <c r="F305" t="s">
        <v>7</v>
      </c>
      <c r="T305" s="5"/>
      <c r="U305" t="s">
        <v>440</v>
      </c>
      <c r="AH305" s="6">
        <v>1</v>
      </c>
      <c r="AI305" s="7">
        <v>1</v>
      </c>
      <c r="BC305" t="s">
        <v>456</v>
      </c>
      <c r="BD305" s="7" t="s">
        <v>26</v>
      </c>
      <c r="BE305" t="s">
        <v>437</v>
      </c>
      <c r="BF305" s="1" t="s">
        <v>29</v>
      </c>
      <c r="BG305" s="1">
        <v>1</v>
      </c>
      <c r="BH305">
        <v>1</v>
      </c>
      <c r="BK305" s="1">
        <v>1</v>
      </c>
      <c r="BQ305">
        <v>1</v>
      </c>
      <c r="CM305">
        <v>1</v>
      </c>
      <c r="CS305" s="7" t="s">
        <v>457</v>
      </c>
    </row>
    <row r="306" spans="1:97">
      <c r="A306" t="s">
        <v>7</v>
      </c>
      <c r="B306" t="s">
        <v>453</v>
      </c>
      <c r="C306" s="15"/>
      <c r="D306" s="15"/>
      <c r="E306" s="8"/>
      <c r="F306" t="s">
        <v>7</v>
      </c>
      <c r="T306" s="5"/>
      <c r="U306" t="s">
        <v>440</v>
      </c>
      <c r="AH306" s="7">
        <v>1</v>
      </c>
      <c r="BC306" t="s">
        <v>454</v>
      </c>
      <c r="BD306" s="7" t="s">
        <v>305</v>
      </c>
      <c r="BE306" t="s">
        <v>437</v>
      </c>
      <c r="BF306" s="1" t="s">
        <v>29</v>
      </c>
      <c r="BG306" s="1">
        <v>1</v>
      </c>
      <c r="BH306">
        <v>1</v>
      </c>
      <c r="BK306" s="1">
        <v>1</v>
      </c>
      <c r="BQ306">
        <v>1</v>
      </c>
      <c r="CM306">
        <v>1</v>
      </c>
      <c r="CS306" s="7" t="s">
        <v>455</v>
      </c>
    </row>
    <row r="307" spans="1:97">
      <c r="B307" t="s">
        <v>498</v>
      </c>
      <c r="C307" s="15" t="s">
        <v>500</v>
      </c>
      <c r="D307" s="15"/>
      <c r="E307" s="8" t="s">
        <v>499</v>
      </c>
      <c r="F307" s="8" t="s">
        <v>247</v>
      </c>
      <c r="G307" s="1">
        <v>1</v>
      </c>
      <c r="I307" s="1">
        <f>1802-26</f>
        <v>1776</v>
      </c>
      <c r="J307" t="s">
        <v>69</v>
      </c>
      <c r="K307" t="s">
        <v>501</v>
      </c>
      <c r="N307">
        <v>1</v>
      </c>
      <c r="Q307">
        <v>5</v>
      </c>
      <c r="R307">
        <v>1</v>
      </c>
      <c r="S307">
        <v>2</v>
      </c>
      <c r="T307" s="5">
        <f>((Q307*316)+(R307*26.3)+(S307*2.2))/10</f>
        <v>161.07</v>
      </c>
      <c r="U307" t="s">
        <v>440</v>
      </c>
      <c r="AH307" s="6">
        <v>1</v>
      </c>
      <c r="AI307" s="6">
        <v>1</v>
      </c>
      <c r="AJ307" s="6">
        <v>1</v>
      </c>
      <c r="AK307" s="7">
        <v>1</v>
      </c>
      <c r="BC307" t="s">
        <v>502</v>
      </c>
      <c r="BD307" s="7" t="s">
        <v>103</v>
      </c>
      <c r="BE307" t="s">
        <v>437</v>
      </c>
      <c r="BF307" s="1" t="s">
        <v>29</v>
      </c>
      <c r="BG307" s="1">
        <v>2</v>
      </c>
      <c r="BH307">
        <v>1</v>
      </c>
      <c r="BK307" s="1">
        <v>1</v>
      </c>
      <c r="BQ307">
        <v>1</v>
      </c>
      <c r="CS307" s="7" t="s">
        <v>475</v>
      </c>
    </row>
    <row r="308" spans="1:97">
      <c r="A308" t="s">
        <v>7</v>
      </c>
      <c r="B308" t="s">
        <v>469</v>
      </c>
      <c r="C308" s="15"/>
      <c r="D308" s="15"/>
      <c r="E308" s="8"/>
      <c r="F308" t="s">
        <v>7</v>
      </c>
      <c r="T308" s="5"/>
      <c r="U308" t="s">
        <v>440</v>
      </c>
      <c r="AH308" s="7">
        <v>1</v>
      </c>
      <c r="BC308" t="s">
        <v>467</v>
      </c>
      <c r="BD308" s="7" t="s">
        <v>103</v>
      </c>
      <c r="BE308" t="s">
        <v>437</v>
      </c>
      <c r="BF308" s="1" t="s">
        <v>29</v>
      </c>
      <c r="BG308" s="1">
        <v>1</v>
      </c>
      <c r="BH308">
        <v>1</v>
      </c>
      <c r="BK308" s="1">
        <v>1</v>
      </c>
      <c r="BQ308">
        <v>1</v>
      </c>
      <c r="CS308" s="7" t="s">
        <v>468</v>
      </c>
    </row>
    <row r="309" spans="1:97">
      <c r="A309" t="s">
        <v>7</v>
      </c>
      <c r="B309" t="s">
        <v>439</v>
      </c>
      <c r="C309" s="15"/>
      <c r="D309" s="15"/>
      <c r="E309" s="8"/>
      <c r="F309" t="s">
        <v>7</v>
      </c>
      <c r="T309" s="5"/>
      <c r="U309" t="s">
        <v>440</v>
      </c>
      <c r="AH309" s="6">
        <v>1</v>
      </c>
      <c r="AI309" s="7">
        <v>1</v>
      </c>
      <c r="BC309" t="s">
        <v>441</v>
      </c>
      <c r="BD309" s="7" t="s">
        <v>109</v>
      </c>
      <c r="BE309" t="s">
        <v>437</v>
      </c>
      <c r="BF309" s="1" t="s">
        <v>29</v>
      </c>
      <c r="BG309" s="1">
        <v>1</v>
      </c>
      <c r="BH309">
        <v>1</v>
      </c>
      <c r="BK309" s="1">
        <v>1</v>
      </c>
      <c r="BQ309">
        <v>1</v>
      </c>
      <c r="CS309" s="7" t="s">
        <v>442</v>
      </c>
    </row>
    <row r="310" spans="1:97">
      <c r="A310" t="s">
        <v>7</v>
      </c>
      <c r="B310" t="s">
        <v>446</v>
      </c>
      <c r="C310" s="15"/>
      <c r="D310" s="15"/>
      <c r="E310" s="8"/>
      <c r="F310" t="s">
        <v>7</v>
      </c>
      <c r="T310" s="5"/>
      <c r="U310" t="s">
        <v>440</v>
      </c>
      <c r="AH310" s="7">
        <v>1</v>
      </c>
      <c r="BC310" t="s">
        <v>447</v>
      </c>
      <c r="BD310" s="7" t="s">
        <v>103</v>
      </c>
      <c r="BE310" t="s">
        <v>437</v>
      </c>
      <c r="BF310" s="1" t="s">
        <v>29</v>
      </c>
      <c r="BG310" s="1">
        <v>1</v>
      </c>
      <c r="BH310">
        <v>1</v>
      </c>
      <c r="BK310" s="1">
        <v>1</v>
      </c>
      <c r="BQ310">
        <v>1</v>
      </c>
      <c r="CS310" s="7" t="s">
        <v>448</v>
      </c>
    </row>
    <row r="311" spans="1:97">
      <c r="A311" t="s">
        <v>7</v>
      </c>
      <c r="B311" t="s">
        <v>473</v>
      </c>
      <c r="C311" s="15"/>
      <c r="D311" s="15"/>
      <c r="E311" s="8"/>
      <c r="F311" t="s">
        <v>7</v>
      </c>
      <c r="T311" s="5"/>
      <c r="U311" t="s">
        <v>440</v>
      </c>
      <c r="AH311" s="6">
        <v>1</v>
      </c>
      <c r="AI311" s="7">
        <v>1</v>
      </c>
      <c r="BC311" t="s">
        <v>474</v>
      </c>
      <c r="BD311" s="7" t="s">
        <v>103</v>
      </c>
      <c r="BE311" t="s">
        <v>437</v>
      </c>
      <c r="BF311" s="1" t="s">
        <v>29</v>
      </c>
      <c r="BG311" s="1">
        <v>1</v>
      </c>
      <c r="BH311">
        <v>1</v>
      </c>
      <c r="BK311" s="1">
        <v>1</v>
      </c>
      <c r="BQ311">
        <v>1</v>
      </c>
      <c r="CS311" s="7" t="s">
        <v>475</v>
      </c>
    </row>
    <row r="312" spans="1:97">
      <c r="A312" t="s">
        <v>7</v>
      </c>
      <c r="B312" t="s">
        <v>466</v>
      </c>
      <c r="C312" s="15"/>
      <c r="D312" s="15"/>
      <c r="E312" s="8"/>
      <c r="F312" t="s">
        <v>7</v>
      </c>
      <c r="T312" s="5"/>
      <c r="U312" t="s">
        <v>440</v>
      </c>
      <c r="AH312" s="7">
        <v>1</v>
      </c>
      <c r="BC312" t="s">
        <v>467</v>
      </c>
      <c r="BD312" s="7" t="s">
        <v>103</v>
      </c>
      <c r="BE312" t="s">
        <v>437</v>
      </c>
      <c r="BF312" s="1" t="s">
        <v>29</v>
      </c>
      <c r="BG312" s="1">
        <v>1</v>
      </c>
      <c r="BH312">
        <v>1</v>
      </c>
      <c r="BK312" s="1">
        <v>1</v>
      </c>
      <c r="BQ312">
        <v>1</v>
      </c>
      <c r="CS312" s="7" t="s">
        <v>468</v>
      </c>
    </row>
    <row r="313" spans="1:97">
      <c r="B313" t="s">
        <v>1489</v>
      </c>
      <c r="C313" s="15" t="s">
        <v>1490</v>
      </c>
      <c r="D313" s="15"/>
      <c r="E313" s="8" t="s">
        <v>481</v>
      </c>
      <c r="F313" s="8" t="s">
        <v>65</v>
      </c>
      <c r="G313" s="1">
        <v>1</v>
      </c>
      <c r="I313" s="1">
        <f>1804-22</f>
        <v>1782</v>
      </c>
      <c r="J313" t="s">
        <v>10</v>
      </c>
      <c r="K313" t="s">
        <v>12</v>
      </c>
      <c r="Q313">
        <v>5</v>
      </c>
      <c r="R313">
        <v>3</v>
      </c>
      <c r="S313">
        <v>3</v>
      </c>
      <c r="T313" s="5">
        <f>((Q313*316)+(R313*26.3)+(S313*2.2))/10</f>
        <v>166.55</v>
      </c>
      <c r="U313" t="s">
        <v>1491</v>
      </c>
      <c r="AH313" s="6">
        <v>1</v>
      </c>
      <c r="AI313" s="6">
        <v>1</v>
      </c>
      <c r="AJ313" s="6">
        <v>1</v>
      </c>
      <c r="AK313" s="6">
        <v>1</v>
      </c>
      <c r="AL313" s="7">
        <v>1</v>
      </c>
      <c r="BC313" t="s">
        <v>1492</v>
      </c>
      <c r="BD313" s="7" t="s">
        <v>26</v>
      </c>
      <c r="BE313" t="s">
        <v>62</v>
      </c>
      <c r="BF313" s="1" t="s">
        <v>29</v>
      </c>
      <c r="BG313" s="1">
        <v>6</v>
      </c>
      <c r="BH313">
        <v>2</v>
      </c>
      <c r="BI313">
        <v>1</v>
      </c>
      <c r="BK313" s="1">
        <v>1</v>
      </c>
      <c r="BQ313">
        <v>1</v>
      </c>
      <c r="CL313">
        <v>1</v>
      </c>
      <c r="CS313" s="7" t="s">
        <v>1493</v>
      </c>
    </row>
    <row r="314" spans="1:97">
      <c r="B314" t="s">
        <v>2386</v>
      </c>
      <c r="C314" s="2" t="s">
        <v>826</v>
      </c>
      <c r="D314" s="2" t="s">
        <v>826</v>
      </c>
      <c r="E314" s="8" t="s">
        <v>1442</v>
      </c>
      <c r="F314" s="8" t="s">
        <v>65</v>
      </c>
      <c r="G314" s="1">
        <v>1</v>
      </c>
      <c r="I314" s="1">
        <f>1800-24</f>
        <v>1776</v>
      </c>
      <c r="J314" t="s">
        <v>69</v>
      </c>
      <c r="K314" t="s">
        <v>12</v>
      </c>
      <c r="Q314">
        <v>5</v>
      </c>
      <c r="R314">
        <v>3</v>
      </c>
      <c r="T314" s="5">
        <f>((Q314*316)+(R314*26.3)+(S314*2.2))/10</f>
        <v>165.89000000000001</v>
      </c>
      <c r="U314" t="s">
        <v>1491</v>
      </c>
      <c r="AH314" s="7">
        <v>1</v>
      </c>
      <c r="BC314" t="s">
        <v>2296</v>
      </c>
      <c r="BD314" s="7" t="s">
        <v>103</v>
      </c>
      <c r="BE314" t="s">
        <v>1770</v>
      </c>
      <c r="BF314" s="1" t="s">
        <v>29</v>
      </c>
      <c r="BG314" s="1">
        <v>2</v>
      </c>
      <c r="BH314">
        <v>1</v>
      </c>
      <c r="BK314" s="1">
        <v>1</v>
      </c>
      <c r="BQ314">
        <v>1</v>
      </c>
      <c r="CS314" s="7" t="s">
        <v>2297</v>
      </c>
    </row>
    <row r="315" spans="1:97">
      <c r="A315" t="s">
        <v>7</v>
      </c>
      <c r="B315" t="s">
        <v>2645</v>
      </c>
      <c r="C315" s="2"/>
      <c r="D315" s="2"/>
      <c r="E315" s="8"/>
      <c r="F315" t="s">
        <v>7</v>
      </c>
      <c r="T315" s="5"/>
      <c r="U315" s="9" t="s">
        <v>2552</v>
      </c>
      <c r="AG315" s="9"/>
      <c r="AH315" s="7">
        <v>1</v>
      </c>
      <c r="BC315" t="s">
        <v>2646</v>
      </c>
      <c r="BD315" s="7" t="s">
        <v>305</v>
      </c>
      <c r="BE315" t="s">
        <v>124</v>
      </c>
      <c r="BF315" s="1" t="s">
        <v>73</v>
      </c>
      <c r="BG315" s="1">
        <v>1</v>
      </c>
      <c r="BH315">
        <v>1</v>
      </c>
      <c r="BQ315">
        <v>1</v>
      </c>
      <c r="CM315">
        <v>1</v>
      </c>
      <c r="CS315" s="7" t="s">
        <v>2647</v>
      </c>
    </row>
    <row r="316" spans="1:97">
      <c r="A316" t="s">
        <v>7</v>
      </c>
      <c r="B316" t="s">
        <v>2553</v>
      </c>
      <c r="C316" s="2"/>
      <c r="D316" s="2"/>
      <c r="E316" s="8"/>
      <c r="F316" t="s">
        <v>7</v>
      </c>
      <c r="T316" s="5"/>
      <c r="U316" s="9" t="s">
        <v>2552</v>
      </c>
      <c r="AH316" s="9">
        <v>1</v>
      </c>
      <c r="AI316" s="7">
        <v>1</v>
      </c>
      <c r="BC316" t="s">
        <v>441</v>
      </c>
      <c r="BD316" s="7" t="s">
        <v>109</v>
      </c>
      <c r="BE316" t="s">
        <v>124</v>
      </c>
      <c r="BF316" s="1" t="s">
        <v>73</v>
      </c>
      <c r="BG316" s="1">
        <v>1</v>
      </c>
      <c r="BH316">
        <v>1</v>
      </c>
      <c r="BQ316">
        <v>1</v>
      </c>
      <c r="CS316" s="7" t="s">
        <v>1473</v>
      </c>
    </row>
    <row r="317" spans="1:97">
      <c r="A317" t="s">
        <v>7</v>
      </c>
      <c r="B317" t="s">
        <v>2648</v>
      </c>
      <c r="C317" s="2"/>
      <c r="D317" s="2"/>
      <c r="E317" s="8"/>
      <c r="F317" t="s">
        <v>7</v>
      </c>
      <c r="T317" s="5"/>
      <c r="U317" s="9" t="s">
        <v>2552</v>
      </c>
      <c r="AH317" s="9">
        <v>1</v>
      </c>
      <c r="AI317" s="7">
        <v>1</v>
      </c>
      <c r="BC317" t="s">
        <v>2649</v>
      </c>
      <c r="BD317" s="7" t="s">
        <v>103</v>
      </c>
      <c r="BE317" t="s">
        <v>124</v>
      </c>
      <c r="BF317" s="1" t="s">
        <v>73</v>
      </c>
      <c r="BG317" s="1">
        <v>1</v>
      </c>
      <c r="BH317">
        <v>1</v>
      </c>
      <c r="BQ317">
        <v>1</v>
      </c>
      <c r="CS317" s="7" t="s">
        <v>2172</v>
      </c>
    </row>
    <row r="318" spans="1:97">
      <c r="A318" t="s">
        <v>7</v>
      </c>
      <c r="B318" t="s">
        <v>2650</v>
      </c>
      <c r="C318" s="2"/>
      <c r="D318" s="2"/>
      <c r="E318" s="8"/>
      <c r="F318" t="s">
        <v>7</v>
      </c>
      <c r="T318" s="5"/>
      <c r="U318" s="9" t="s">
        <v>2552</v>
      </c>
      <c r="AH318" s="9">
        <v>1</v>
      </c>
      <c r="AI318" s="7">
        <v>1</v>
      </c>
      <c r="BC318" t="s">
        <v>2651</v>
      </c>
      <c r="BD318" s="7" t="s">
        <v>103</v>
      </c>
      <c r="BE318" t="s">
        <v>124</v>
      </c>
      <c r="BF318" s="1" t="s">
        <v>73</v>
      </c>
      <c r="BG318" s="1">
        <v>1</v>
      </c>
      <c r="BH318">
        <v>1</v>
      </c>
      <c r="BQ318">
        <v>1</v>
      </c>
      <c r="CS318" s="7" t="s">
        <v>2172</v>
      </c>
    </row>
    <row r="319" spans="1:97">
      <c r="A319" t="s">
        <v>7</v>
      </c>
      <c r="B319" t="s">
        <v>2019</v>
      </c>
      <c r="C319" s="2"/>
      <c r="D319" s="2"/>
      <c r="E319" s="8"/>
      <c r="F319" t="s">
        <v>7</v>
      </c>
      <c r="T319" s="5"/>
      <c r="U319" s="9" t="s">
        <v>2552</v>
      </c>
      <c r="AH319" s="9">
        <v>1</v>
      </c>
      <c r="AI319" s="7">
        <v>1</v>
      </c>
      <c r="BC319" t="s">
        <v>2617</v>
      </c>
      <c r="BD319" s="7" t="s">
        <v>959</v>
      </c>
      <c r="BE319" t="s">
        <v>124</v>
      </c>
      <c r="BF319" s="1" t="s">
        <v>73</v>
      </c>
      <c r="BG319" s="1">
        <v>1</v>
      </c>
      <c r="BH319">
        <v>1</v>
      </c>
      <c r="BQ319">
        <v>1</v>
      </c>
      <c r="CB319" s="7">
        <v>1</v>
      </c>
      <c r="CS319" s="7" t="s">
        <v>2618</v>
      </c>
    </row>
    <row r="320" spans="1:97">
      <c r="A320" t="s">
        <v>7</v>
      </c>
      <c r="B320" t="s">
        <v>2577</v>
      </c>
      <c r="C320" s="2"/>
      <c r="D320" s="2"/>
      <c r="E320" s="8"/>
      <c r="F320" t="s">
        <v>7</v>
      </c>
      <c r="T320" s="5"/>
      <c r="U320" s="9" t="s">
        <v>2552</v>
      </c>
      <c r="AH320" s="9">
        <v>1</v>
      </c>
      <c r="AI320" s="7">
        <v>1</v>
      </c>
      <c r="BC320" t="s">
        <v>441</v>
      </c>
      <c r="BD320" s="7" t="s">
        <v>109</v>
      </c>
      <c r="BE320" t="s">
        <v>124</v>
      </c>
      <c r="BF320" s="1" t="s">
        <v>73</v>
      </c>
      <c r="BG320" s="1">
        <v>1</v>
      </c>
      <c r="BH320">
        <v>1</v>
      </c>
      <c r="BQ320">
        <v>1</v>
      </c>
      <c r="CS320" s="7" t="s">
        <v>1473</v>
      </c>
    </row>
    <row r="321" spans="1:99">
      <c r="A321" t="s">
        <v>7</v>
      </c>
      <c r="B321" t="s">
        <v>2554</v>
      </c>
      <c r="C321" s="2"/>
      <c r="D321" s="2"/>
      <c r="E321" s="8"/>
      <c r="F321" t="s">
        <v>7</v>
      </c>
      <c r="T321" s="5"/>
      <c r="U321" s="9" t="s">
        <v>2552</v>
      </c>
      <c r="AH321" s="7">
        <v>1</v>
      </c>
      <c r="BC321" t="s">
        <v>2555</v>
      </c>
      <c r="BD321" s="7" t="s">
        <v>280</v>
      </c>
      <c r="BE321" t="s">
        <v>124</v>
      </c>
      <c r="BF321" s="1" t="s">
        <v>73</v>
      </c>
      <c r="BG321" s="1">
        <v>1</v>
      </c>
      <c r="BH321">
        <v>1</v>
      </c>
      <c r="BQ321">
        <v>1</v>
      </c>
      <c r="CN321">
        <v>1</v>
      </c>
      <c r="CS321" s="7" t="s">
        <v>2556</v>
      </c>
    </row>
    <row r="322" spans="1:99">
      <c r="A322" t="s">
        <v>7</v>
      </c>
      <c r="B322" t="s">
        <v>2557</v>
      </c>
      <c r="C322" s="2"/>
      <c r="D322" s="2"/>
      <c r="E322" s="8"/>
      <c r="F322" t="s">
        <v>7</v>
      </c>
      <c r="T322" s="5"/>
      <c r="U322" s="9" t="s">
        <v>2552</v>
      </c>
      <c r="AH322" s="9">
        <v>1</v>
      </c>
      <c r="AI322" s="7">
        <v>1</v>
      </c>
      <c r="BC322" t="s">
        <v>2558</v>
      </c>
      <c r="BD322" s="7" t="s">
        <v>305</v>
      </c>
      <c r="BE322" t="s">
        <v>124</v>
      </c>
      <c r="BF322" s="1" t="s">
        <v>73</v>
      </c>
      <c r="BG322" s="1">
        <v>1</v>
      </c>
      <c r="BH322">
        <v>1</v>
      </c>
      <c r="BQ322">
        <v>1</v>
      </c>
      <c r="CM322">
        <v>1</v>
      </c>
      <c r="CS322" s="7" t="s">
        <v>1842</v>
      </c>
    </row>
    <row r="323" spans="1:99">
      <c r="A323" t="s">
        <v>7</v>
      </c>
      <c r="B323" t="s">
        <v>2562</v>
      </c>
      <c r="C323" s="2"/>
      <c r="D323" s="2"/>
      <c r="E323" s="8"/>
      <c r="F323" t="s">
        <v>7</v>
      </c>
      <c r="T323" s="5"/>
      <c r="U323" s="9" t="s">
        <v>2552</v>
      </c>
      <c r="AH323" s="9">
        <v>1</v>
      </c>
      <c r="AI323" s="7">
        <v>1</v>
      </c>
      <c r="BC323" t="s">
        <v>2563</v>
      </c>
      <c r="BD323" s="7" t="s">
        <v>959</v>
      </c>
      <c r="BE323" t="s">
        <v>124</v>
      </c>
      <c r="BF323" s="1" t="s">
        <v>73</v>
      </c>
      <c r="BG323" s="1">
        <v>1</v>
      </c>
      <c r="BH323">
        <v>2</v>
      </c>
      <c r="BQ323">
        <v>1</v>
      </c>
      <c r="CB323" s="7">
        <v>1</v>
      </c>
      <c r="CS323" s="7" t="s">
        <v>2564</v>
      </c>
    </row>
    <row r="324" spans="1:99">
      <c r="A324" t="s">
        <v>7</v>
      </c>
      <c r="B324" t="s">
        <v>2559</v>
      </c>
      <c r="C324" s="2"/>
      <c r="D324" s="2"/>
      <c r="E324" s="8"/>
      <c r="F324" t="s">
        <v>7</v>
      </c>
      <c r="T324" s="5"/>
      <c r="U324" s="9" t="s">
        <v>2552</v>
      </c>
      <c r="AG324" s="9"/>
      <c r="AH324" s="7">
        <v>1</v>
      </c>
      <c r="BC324" t="s">
        <v>2560</v>
      </c>
      <c r="BD324" s="7" t="s">
        <v>26</v>
      </c>
      <c r="BE324" t="s">
        <v>124</v>
      </c>
      <c r="BF324" s="1" t="s">
        <v>73</v>
      </c>
      <c r="BG324" s="1">
        <v>1</v>
      </c>
      <c r="BH324">
        <v>1</v>
      </c>
      <c r="BQ324">
        <v>1</v>
      </c>
      <c r="CS324" s="7" t="s">
        <v>2561</v>
      </c>
    </row>
    <row r="325" spans="1:99">
      <c r="A325" t="s">
        <v>7</v>
      </c>
      <c r="B325" t="s">
        <v>1426</v>
      </c>
      <c r="C325" s="15"/>
      <c r="D325" s="15"/>
      <c r="E325" s="8"/>
      <c r="F325" t="s">
        <v>7</v>
      </c>
      <c r="T325" s="5"/>
      <c r="U325" t="s">
        <v>1787</v>
      </c>
      <c r="AH325" s="6">
        <v>1</v>
      </c>
      <c r="AI325" s="14">
        <v>1</v>
      </c>
      <c r="BC325" t="s">
        <v>1788</v>
      </c>
      <c r="BD325" s="14" t="s">
        <v>338</v>
      </c>
      <c r="BE325" t="s">
        <v>125</v>
      </c>
      <c r="BF325" s="1" t="s">
        <v>29</v>
      </c>
      <c r="BG325" s="1">
        <v>2</v>
      </c>
      <c r="BH325">
        <v>1</v>
      </c>
      <c r="BK325" s="1">
        <v>1</v>
      </c>
      <c r="BQ325">
        <v>1</v>
      </c>
      <c r="CS325" s="14" t="s">
        <v>1786</v>
      </c>
    </row>
    <row r="326" spans="1:99">
      <c r="B326" t="s">
        <v>2811</v>
      </c>
      <c r="C326" s="2" t="s">
        <v>2812</v>
      </c>
      <c r="D326" s="2" t="s">
        <v>2813</v>
      </c>
      <c r="E326" s="8" t="s">
        <v>146</v>
      </c>
      <c r="F326" s="8" t="s">
        <v>65</v>
      </c>
      <c r="G326" s="1">
        <v>1</v>
      </c>
      <c r="I326" s="1">
        <f>1803-24</f>
        <v>1779</v>
      </c>
      <c r="J326" t="s">
        <v>69</v>
      </c>
      <c r="K326" t="s">
        <v>12</v>
      </c>
      <c r="N326">
        <v>1</v>
      </c>
      <c r="Q326">
        <v>5</v>
      </c>
      <c r="R326">
        <v>3</v>
      </c>
      <c r="T326" s="5">
        <f>((Q326*316)+(R326*26.3)+(S326*2.2))/10</f>
        <v>165.89000000000001</v>
      </c>
      <c r="U326" t="s">
        <v>1787</v>
      </c>
      <c r="AH326" s="6">
        <v>1</v>
      </c>
      <c r="AI326" s="6">
        <v>1</v>
      </c>
      <c r="AJ326" s="6">
        <v>1</v>
      </c>
      <c r="AK326" s="7">
        <v>1</v>
      </c>
      <c r="BC326" t="s">
        <v>2814</v>
      </c>
      <c r="BD326" s="7" t="s">
        <v>280</v>
      </c>
      <c r="BE326" t="s">
        <v>2005</v>
      </c>
      <c r="BF326" s="1" t="s">
        <v>29</v>
      </c>
      <c r="BG326" s="1">
        <v>3</v>
      </c>
      <c r="BH326">
        <v>3</v>
      </c>
      <c r="BK326" s="1">
        <v>1</v>
      </c>
      <c r="BQ326">
        <v>1</v>
      </c>
      <c r="CL326">
        <v>1</v>
      </c>
      <c r="CN326">
        <v>1</v>
      </c>
      <c r="CS326" s="7" t="s">
        <v>947</v>
      </c>
    </row>
    <row r="327" spans="1:99">
      <c r="B327" t="s">
        <v>1371</v>
      </c>
      <c r="C327" s="2" t="s">
        <v>1372</v>
      </c>
      <c r="D327" s="2"/>
      <c r="E327" s="8"/>
      <c r="F327" s="8" t="s">
        <v>65</v>
      </c>
      <c r="G327" s="1">
        <v>1</v>
      </c>
      <c r="I327" s="1">
        <f>1802-26</f>
        <v>1776</v>
      </c>
      <c r="J327" t="s">
        <v>10</v>
      </c>
      <c r="K327" t="s">
        <v>12</v>
      </c>
      <c r="Q327">
        <v>5</v>
      </c>
      <c r="R327">
        <v>2</v>
      </c>
      <c r="S327">
        <v>1</v>
      </c>
      <c r="T327" s="5">
        <f>((Q327*316)+(R327*26.3)+(S327*2.2))/10</f>
        <v>163.47999999999999</v>
      </c>
      <c r="U327" t="s">
        <v>1373</v>
      </c>
      <c r="AH327" s="6">
        <v>1</v>
      </c>
      <c r="AI327" s="6">
        <v>1</v>
      </c>
      <c r="AJ327" s="6">
        <v>1</v>
      </c>
      <c r="AK327" s="6">
        <v>1</v>
      </c>
      <c r="AL327" s="7">
        <v>1</v>
      </c>
      <c r="BC327" t="s">
        <v>1374</v>
      </c>
      <c r="BD327" s="7" t="s">
        <v>280</v>
      </c>
      <c r="BE327" t="s">
        <v>125</v>
      </c>
      <c r="BF327" s="1" t="s">
        <v>29</v>
      </c>
      <c r="BG327" s="1">
        <v>7</v>
      </c>
      <c r="BH327">
        <v>1</v>
      </c>
      <c r="BK327" s="1">
        <v>1</v>
      </c>
      <c r="BQ327">
        <v>1</v>
      </c>
      <c r="CN327">
        <v>1</v>
      </c>
      <c r="CS327" s="7" t="s">
        <v>1330</v>
      </c>
    </row>
    <row r="328" spans="1:99">
      <c r="B328" t="s">
        <v>493</v>
      </c>
      <c r="C328" s="13" t="s">
        <v>494</v>
      </c>
      <c r="D328" s="15"/>
      <c r="E328" s="8" t="s">
        <v>499</v>
      </c>
      <c r="F328" s="8" t="s">
        <v>247</v>
      </c>
      <c r="G328" s="1">
        <v>1</v>
      </c>
      <c r="I328" s="1">
        <f>1802-23</f>
        <v>1779</v>
      </c>
      <c r="J328" t="s">
        <v>69</v>
      </c>
      <c r="K328" t="s">
        <v>495</v>
      </c>
      <c r="M328">
        <v>1</v>
      </c>
      <c r="O328">
        <v>2</v>
      </c>
      <c r="Q328">
        <v>5</v>
      </c>
      <c r="R328">
        <v>3</v>
      </c>
      <c r="T328" s="5">
        <f>((Q328*316)+(R328*26.3)+(S328*2.2))/10</f>
        <v>165.89000000000001</v>
      </c>
      <c r="U328" t="s">
        <v>496</v>
      </c>
      <c r="AH328" s="6">
        <v>1</v>
      </c>
      <c r="AI328" s="6">
        <v>1</v>
      </c>
      <c r="AJ328" s="6">
        <v>1</v>
      </c>
      <c r="AK328" s="7">
        <v>1</v>
      </c>
      <c r="BC328" t="s">
        <v>497</v>
      </c>
      <c r="BD328" s="7" t="s">
        <v>103</v>
      </c>
      <c r="BE328" t="s">
        <v>437</v>
      </c>
      <c r="BF328" s="1" t="s">
        <v>29</v>
      </c>
      <c r="BG328" s="1">
        <v>2</v>
      </c>
      <c r="BH328">
        <v>1</v>
      </c>
      <c r="BK328" s="1">
        <v>1</v>
      </c>
      <c r="BQ328">
        <v>1</v>
      </c>
      <c r="CS328" s="7" t="s">
        <v>452</v>
      </c>
    </row>
    <row r="329" spans="1:99">
      <c r="A329" t="s">
        <v>7</v>
      </c>
      <c r="B329" t="s">
        <v>449</v>
      </c>
      <c r="C329" s="15"/>
      <c r="D329" s="15"/>
      <c r="E329" s="8"/>
      <c r="F329" t="s">
        <v>7</v>
      </c>
      <c r="T329" s="5"/>
      <c r="U329" t="s">
        <v>450</v>
      </c>
      <c r="AH329" s="6">
        <v>1</v>
      </c>
      <c r="AI329" s="7">
        <v>1</v>
      </c>
      <c r="BC329" t="s">
        <v>451</v>
      </c>
      <c r="BD329" s="7" t="s">
        <v>103</v>
      </c>
      <c r="BE329" t="s">
        <v>437</v>
      </c>
      <c r="BF329" s="1" t="s">
        <v>29</v>
      </c>
      <c r="BG329" s="1">
        <v>1</v>
      </c>
      <c r="BH329">
        <v>1</v>
      </c>
      <c r="BK329" s="1">
        <v>1</v>
      </c>
      <c r="BQ329">
        <v>1</v>
      </c>
      <c r="CS329" s="7" t="s">
        <v>452</v>
      </c>
    </row>
    <row r="330" spans="1:99">
      <c r="A330" t="s">
        <v>7</v>
      </c>
      <c r="B330" t="s">
        <v>470</v>
      </c>
      <c r="C330" s="15"/>
      <c r="D330" s="15"/>
      <c r="E330" s="8"/>
      <c r="F330" t="s">
        <v>7</v>
      </c>
      <c r="T330" s="5"/>
      <c r="U330" t="s">
        <v>450</v>
      </c>
      <c r="AH330" s="10">
        <v>1</v>
      </c>
      <c r="BC330">
        <v>1800</v>
      </c>
      <c r="BD330" t="s">
        <v>81</v>
      </c>
      <c r="BE330" s="10" t="s">
        <v>471</v>
      </c>
      <c r="BF330" s="1" t="s">
        <v>73</v>
      </c>
      <c r="BG330" s="1">
        <v>1</v>
      </c>
      <c r="BH330">
        <v>2</v>
      </c>
      <c r="BK330" s="1">
        <v>1</v>
      </c>
      <c r="BQ330">
        <v>1</v>
      </c>
      <c r="CL330" s="10">
        <v>1</v>
      </c>
      <c r="CS330" s="10" t="s">
        <v>472</v>
      </c>
    </row>
    <row r="331" spans="1:99">
      <c r="A331" t="s">
        <v>7</v>
      </c>
      <c r="B331" t="s">
        <v>443</v>
      </c>
      <c r="C331" s="15"/>
      <c r="D331" s="15"/>
      <c r="E331" s="8"/>
      <c r="F331" t="s">
        <v>7</v>
      </c>
      <c r="T331" s="5"/>
      <c r="U331" t="s">
        <v>444</v>
      </c>
      <c r="AH331" s="6">
        <v>1</v>
      </c>
      <c r="AI331" s="6">
        <v>1</v>
      </c>
      <c r="AJ331" s="7">
        <v>1</v>
      </c>
      <c r="BC331" t="s">
        <v>445</v>
      </c>
      <c r="BD331" s="7" t="s">
        <v>103</v>
      </c>
      <c r="BE331" t="s">
        <v>437</v>
      </c>
      <c r="BF331" s="1" t="s">
        <v>29</v>
      </c>
      <c r="BG331" s="1">
        <v>1</v>
      </c>
      <c r="BH331">
        <v>1</v>
      </c>
      <c r="BK331" s="1">
        <v>1</v>
      </c>
      <c r="BQ331">
        <v>1</v>
      </c>
      <c r="CS331" s="7" t="s">
        <v>452</v>
      </c>
    </row>
    <row r="332" spans="1:99">
      <c r="B332" t="s">
        <v>2444</v>
      </c>
      <c r="C332" s="2" t="s">
        <v>2445</v>
      </c>
      <c r="D332" s="2" t="s">
        <v>2445</v>
      </c>
      <c r="E332" s="8" t="s">
        <v>114</v>
      </c>
      <c r="F332" t="s">
        <v>115</v>
      </c>
      <c r="G332" s="1">
        <v>1</v>
      </c>
      <c r="I332" s="1">
        <f>1802-30</f>
        <v>1772</v>
      </c>
      <c r="J332" t="s">
        <v>69</v>
      </c>
      <c r="K332" t="s">
        <v>12</v>
      </c>
      <c r="N332">
        <v>1</v>
      </c>
      <c r="O332">
        <v>1</v>
      </c>
      <c r="P332">
        <v>2</v>
      </c>
      <c r="Q332">
        <v>5</v>
      </c>
      <c r="R332">
        <v>2</v>
      </c>
      <c r="S332">
        <v>2</v>
      </c>
      <c r="T332" s="5">
        <f>((Q332*316)+(R332*26.3)+(S332*2.2))/10</f>
        <v>163.69999999999999</v>
      </c>
      <c r="U332" t="s">
        <v>2446</v>
      </c>
      <c r="AH332" s="6">
        <v>1</v>
      </c>
      <c r="AI332" s="6">
        <v>1</v>
      </c>
      <c r="AJ332" s="6">
        <v>1</v>
      </c>
      <c r="AK332" s="6">
        <v>1</v>
      </c>
      <c r="AL332" s="6">
        <v>1</v>
      </c>
      <c r="AM332" s="6">
        <v>1</v>
      </c>
      <c r="AN332" s="6">
        <v>1</v>
      </c>
      <c r="AO332" s="6">
        <v>1</v>
      </c>
      <c r="AP332" s="6">
        <v>1</v>
      </c>
      <c r="AQ332" s="6">
        <v>1</v>
      </c>
      <c r="AR332" s="6">
        <v>1</v>
      </c>
      <c r="AS332" s="6">
        <v>1</v>
      </c>
      <c r="AT332" s="7">
        <v>1</v>
      </c>
      <c r="BC332" t="s">
        <v>2447</v>
      </c>
      <c r="BD332" s="7" t="s">
        <v>103</v>
      </c>
      <c r="BE332" t="s">
        <v>183</v>
      </c>
      <c r="BF332" s="1" t="s">
        <v>29</v>
      </c>
      <c r="BG332" s="1">
        <v>3</v>
      </c>
      <c r="BH332">
        <v>3</v>
      </c>
      <c r="BK332" s="1">
        <v>1</v>
      </c>
      <c r="BQ332">
        <v>1</v>
      </c>
      <c r="BY332">
        <v>1</v>
      </c>
      <c r="CL332">
        <v>1</v>
      </c>
      <c r="CS332" s="7" t="s">
        <v>1747</v>
      </c>
    </row>
    <row r="333" spans="1:99">
      <c r="B333" t="s">
        <v>2367</v>
      </c>
      <c r="C333" s="2" t="s">
        <v>2368</v>
      </c>
      <c r="D333" s="15"/>
      <c r="E333" s="8"/>
      <c r="F333" s="8" t="s">
        <v>218</v>
      </c>
      <c r="G333" s="1">
        <v>1</v>
      </c>
      <c r="I333" s="1">
        <f>1811-30</f>
        <v>1781</v>
      </c>
      <c r="J333" t="s">
        <v>10</v>
      </c>
      <c r="K333" t="s">
        <v>12</v>
      </c>
      <c r="T333" s="5"/>
      <c r="U333" s="9" t="s">
        <v>2366</v>
      </c>
      <c r="AH333" s="9">
        <v>1</v>
      </c>
      <c r="AI333" s="6">
        <v>1</v>
      </c>
      <c r="AJ333" s="6">
        <v>1</v>
      </c>
      <c r="AK333" s="6">
        <v>1</v>
      </c>
      <c r="AL333" s="6">
        <v>1</v>
      </c>
      <c r="AM333" s="6">
        <v>1</v>
      </c>
      <c r="AN333" s="6">
        <v>1</v>
      </c>
      <c r="AO333" s="6">
        <v>1</v>
      </c>
      <c r="AP333" s="6">
        <v>1</v>
      </c>
      <c r="AQ333" s="6">
        <v>1</v>
      </c>
      <c r="AR333" s="7">
        <v>1</v>
      </c>
      <c r="AS333" s="7">
        <v>1</v>
      </c>
      <c r="BC333" t="s">
        <v>2369</v>
      </c>
      <c r="BD333" s="7" t="s">
        <v>959</v>
      </c>
      <c r="BE333" s="7" t="s">
        <v>1558</v>
      </c>
      <c r="BF333" s="1" t="s">
        <v>29</v>
      </c>
      <c r="BG333" s="1">
        <v>1</v>
      </c>
      <c r="BH333">
        <v>2</v>
      </c>
      <c r="BK333" s="1">
        <v>1</v>
      </c>
      <c r="BQ333">
        <v>1</v>
      </c>
      <c r="CB333" s="7">
        <v>1</v>
      </c>
      <c r="CS333" s="7" t="s">
        <v>2370</v>
      </c>
    </row>
    <row r="334" spans="1:99">
      <c r="A334" t="s">
        <v>7</v>
      </c>
      <c r="B334" t="s">
        <v>487</v>
      </c>
      <c r="C334" s="15"/>
      <c r="D334" s="15"/>
      <c r="E334" s="8"/>
      <c r="F334" t="s">
        <v>7</v>
      </c>
      <c r="T334" s="5"/>
      <c r="U334" s="9" t="s">
        <v>488</v>
      </c>
      <c r="AH334" s="9">
        <v>1</v>
      </c>
      <c r="BC334">
        <v>1800</v>
      </c>
      <c r="BD334" t="s">
        <v>81</v>
      </c>
      <c r="BE334" s="10" t="s">
        <v>70</v>
      </c>
      <c r="BF334" s="1" t="s">
        <v>73</v>
      </c>
      <c r="BG334" s="1">
        <v>1</v>
      </c>
      <c r="BH334">
        <v>1</v>
      </c>
      <c r="BZ334">
        <v>1</v>
      </c>
      <c r="CS334" t="s">
        <v>111</v>
      </c>
      <c r="CT334" s="10" t="s">
        <v>479</v>
      </c>
      <c r="CU334" s="9" t="s">
        <v>489</v>
      </c>
    </row>
    <row r="335" spans="1:99">
      <c r="B335" t="s">
        <v>593</v>
      </c>
      <c r="C335" s="18" t="s">
        <v>594</v>
      </c>
      <c r="D335" s="15"/>
      <c r="E335" s="8"/>
      <c r="F335" s="8" t="s">
        <v>595</v>
      </c>
      <c r="H335" s="1">
        <v>1</v>
      </c>
      <c r="I335" s="1">
        <f>1804-26</f>
        <v>1778</v>
      </c>
      <c r="J335" t="s">
        <v>10</v>
      </c>
      <c r="K335" t="s">
        <v>561</v>
      </c>
      <c r="Q335">
        <v>5</v>
      </c>
      <c r="R335">
        <v>1</v>
      </c>
      <c r="S335">
        <v>3</v>
      </c>
      <c r="T335" s="5">
        <f>((Q335*316)+(R335*26.3)+(S335*2.2))/10</f>
        <v>161.29</v>
      </c>
      <c r="U335" t="s">
        <v>463</v>
      </c>
      <c r="AH335" s="6">
        <v>1</v>
      </c>
      <c r="AI335" s="6">
        <v>1</v>
      </c>
      <c r="AJ335" s="6">
        <v>1</v>
      </c>
      <c r="AK335" s="6">
        <v>1</v>
      </c>
      <c r="AL335" s="6">
        <v>1</v>
      </c>
      <c r="BC335">
        <v>1804</v>
      </c>
      <c r="BD335" t="s">
        <v>81</v>
      </c>
      <c r="BE335" t="s">
        <v>437</v>
      </c>
      <c r="BF335" s="1" t="s">
        <v>73</v>
      </c>
      <c r="BG335" s="1">
        <v>3</v>
      </c>
      <c r="BH335">
        <v>1</v>
      </c>
      <c r="BK335" s="1">
        <v>1</v>
      </c>
      <c r="BQ335">
        <v>1</v>
      </c>
      <c r="CS335" t="s">
        <v>586</v>
      </c>
    </row>
    <row r="336" spans="1:99">
      <c r="B336" t="s">
        <v>490</v>
      </c>
      <c r="C336" s="15" t="s">
        <v>491</v>
      </c>
      <c r="D336" s="15"/>
      <c r="E336" s="8" t="s">
        <v>499</v>
      </c>
      <c r="F336" s="8" t="s">
        <v>247</v>
      </c>
      <c r="G336" s="1">
        <v>1</v>
      </c>
      <c r="I336" s="1">
        <f>1802-20</f>
        <v>1782</v>
      </c>
      <c r="J336" t="s">
        <v>10</v>
      </c>
      <c r="K336" t="s">
        <v>197</v>
      </c>
      <c r="Q336">
        <v>5</v>
      </c>
      <c r="R336">
        <v>4</v>
      </c>
      <c r="S336">
        <v>1</v>
      </c>
      <c r="T336" s="5">
        <f>((Q336*316)+(R336*26.3)+(S336*2.2))/10</f>
        <v>168.74</v>
      </c>
      <c r="U336" t="s">
        <v>463</v>
      </c>
      <c r="AH336" s="6">
        <v>1</v>
      </c>
      <c r="AI336" s="6">
        <v>1</v>
      </c>
      <c r="AJ336" s="6">
        <v>1</v>
      </c>
      <c r="AK336" s="7">
        <v>1</v>
      </c>
      <c r="BC336" t="s">
        <v>492</v>
      </c>
      <c r="BD336" s="7" t="s">
        <v>103</v>
      </c>
      <c r="BE336" t="s">
        <v>437</v>
      </c>
      <c r="BF336" s="1" t="s">
        <v>29</v>
      </c>
      <c r="BG336" s="1">
        <v>2</v>
      </c>
      <c r="BH336">
        <v>1</v>
      </c>
      <c r="BK336" s="1">
        <v>1</v>
      </c>
      <c r="BQ336">
        <v>1</v>
      </c>
      <c r="CS336" s="7" t="s">
        <v>452</v>
      </c>
    </row>
    <row r="337" spans="1:97">
      <c r="B337" t="s">
        <v>876</v>
      </c>
      <c r="C337" s="13" t="s">
        <v>877</v>
      </c>
      <c r="D337" s="15"/>
      <c r="E337" s="8"/>
      <c r="F337" s="8" t="s">
        <v>748</v>
      </c>
      <c r="H337" s="1">
        <v>1</v>
      </c>
      <c r="I337" s="1">
        <f>1801-26</f>
        <v>1775</v>
      </c>
      <c r="J337" t="s">
        <v>10</v>
      </c>
      <c r="K337" t="s">
        <v>12</v>
      </c>
      <c r="T337" s="5"/>
      <c r="U337" t="s">
        <v>463</v>
      </c>
      <c r="AH337" s="6">
        <v>1</v>
      </c>
      <c r="AI337" s="7">
        <v>1</v>
      </c>
      <c r="BC337" t="s">
        <v>878</v>
      </c>
      <c r="BD337" s="7" t="s">
        <v>280</v>
      </c>
      <c r="BE337" t="s">
        <v>874</v>
      </c>
      <c r="BF337" s="1" t="s">
        <v>29</v>
      </c>
      <c r="BG337" s="1">
        <v>2</v>
      </c>
      <c r="BH337">
        <v>2</v>
      </c>
      <c r="BO337">
        <v>1</v>
      </c>
      <c r="BS337">
        <v>1</v>
      </c>
      <c r="BV337">
        <v>1</v>
      </c>
      <c r="CL337">
        <v>1</v>
      </c>
      <c r="CN337">
        <v>1</v>
      </c>
      <c r="CS337" s="7" t="s">
        <v>328</v>
      </c>
    </row>
    <row r="338" spans="1:97">
      <c r="B338" t="s">
        <v>584</v>
      </c>
      <c r="C338" s="15" t="s">
        <v>585</v>
      </c>
      <c r="D338" s="15"/>
      <c r="E338" s="8" t="s">
        <v>499</v>
      </c>
      <c r="F338" s="8" t="s">
        <v>247</v>
      </c>
      <c r="G338" s="1">
        <v>1</v>
      </c>
      <c r="I338" s="1">
        <f>1804-23</f>
        <v>1781</v>
      </c>
      <c r="J338" t="s">
        <v>10</v>
      </c>
      <c r="K338" t="s">
        <v>12</v>
      </c>
      <c r="Q338">
        <v>5</v>
      </c>
      <c r="R338">
        <v>2</v>
      </c>
      <c r="S338">
        <v>2</v>
      </c>
      <c r="T338" s="5">
        <f>((Q338*316)+(R338*26.3)+(S338*2.2))/10</f>
        <v>163.69999999999999</v>
      </c>
      <c r="U338" t="s">
        <v>463</v>
      </c>
      <c r="AH338" s="6">
        <v>1</v>
      </c>
      <c r="AI338" s="6">
        <v>1</v>
      </c>
      <c r="AJ338" s="6">
        <v>1</v>
      </c>
      <c r="AK338" s="6">
        <v>1</v>
      </c>
      <c r="AL338" s="6">
        <v>1</v>
      </c>
      <c r="BC338">
        <v>1804</v>
      </c>
      <c r="BD338" t="s">
        <v>81</v>
      </c>
      <c r="BE338" t="s">
        <v>437</v>
      </c>
      <c r="BF338" s="1" t="s">
        <v>73</v>
      </c>
      <c r="BG338" s="1">
        <v>3</v>
      </c>
      <c r="BH338">
        <v>1</v>
      </c>
      <c r="BK338" s="1">
        <v>1</v>
      </c>
      <c r="BQ338">
        <v>1</v>
      </c>
      <c r="CS338" t="s">
        <v>586</v>
      </c>
    </row>
    <row r="339" spans="1:97">
      <c r="A339" t="s">
        <v>7</v>
      </c>
      <c r="B339" t="s">
        <v>462</v>
      </c>
      <c r="C339" s="15"/>
      <c r="D339" s="15"/>
      <c r="E339" s="8"/>
      <c r="F339" t="s">
        <v>7</v>
      </c>
      <c r="T339" s="5"/>
      <c r="U339" t="s">
        <v>463</v>
      </c>
      <c r="AH339" s="7">
        <v>1</v>
      </c>
      <c r="BC339" t="s">
        <v>464</v>
      </c>
      <c r="BD339" s="7" t="s">
        <v>103</v>
      </c>
      <c r="BE339" t="s">
        <v>437</v>
      </c>
      <c r="BF339" s="1" t="s">
        <v>29</v>
      </c>
      <c r="BG339" s="1">
        <v>1</v>
      </c>
      <c r="BH339">
        <v>1</v>
      </c>
      <c r="BK339" s="1">
        <v>1</v>
      </c>
      <c r="BQ339">
        <v>1</v>
      </c>
      <c r="CS339" s="7" t="s">
        <v>465</v>
      </c>
    </row>
    <row r="340" spans="1:97">
      <c r="B340" t="s">
        <v>1319</v>
      </c>
      <c r="C340" s="15" t="s">
        <v>349</v>
      </c>
      <c r="F340" s="8" t="s">
        <v>65</v>
      </c>
      <c r="G340" s="1">
        <v>1</v>
      </c>
      <c r="I340" s="1">
        <f>1802-22</f>
        <v>1780</v>
      </c>
      <c r="J340" t="s">
        <v>10</v>
      </c>
      <c r="K340" t="s">
        <v>904</v>
      </c>
      <c r="Q340">
        <v>5</v>
      </c>
      <c r="R340">
        <v>8</v>
      </c>
      <c r="T340" s="5">
        <f>((Q340*316)+(R340*26.3)+(S340*2.2))/10</f>
        <v>179.04000000000002</v>
      </c>
      <c r="U340" t="s">
        <v>1320</v>
      </c>
      <c r="AH340" s="6">
        <v>1</v>
      </c>
      <c r="AI340" s="6">
        <v>1</v>
      </c>
      <c r="AJ340" s="6">
        <v>1</v>
      </c>
      <c r="AK340" s="6">
        <v>1</v>
      </c>
      <c r="AL340" s="6">
        <v>1</v>
      </c>
      <c r="AM340" s="6">
        <v>1</v>
      </c>
      <c r="AN340" s="6">
        <v>1</v>
      </c>
      <c r="AO340" s="6">
        <v>1</v>
      </c>
      <c r="AP340" s="6">
        <v>1</v>
      </c>
      <c r="AQ340" s="7">
        <v>1</v>
      </c>
      <c r="BC340" t="s">
        <v>1321</v>
      </c>
      <c r="BD340" s="7" t="s">
        <v>163</v>
      </c>
      <c r="BE340" t="s">
        <v>975</v>
      </c>
      <c r="BF340" s="1" t="s">
        <v>29</v>
      </c>
      <c r="BG340" s="1">
        <v>10</v>
      </c>
      <c r="BH340">
        <v>2</v>
      </c>
      <c r="BK340" s="1">
        <v>1</v>
      </c>
      <c r="BQ340">
        <v>1</v>
      </c>
      <c r="CG340">
        <v>1</v>
      </c>
      <c r="CL340">
        <v>1</v>
      </c>
      <c r="CS340" s="7" t="s">
        <v>1322</v>
      </c>
    </row>
    <row r="341" spans="1:97">
      <c r="B341" t="s">
        <v>1154</v>
      </c>
      <c r="C341" s="2" t="s">
        <v>1155</v>
      </c>
      <c r="D341" s="15"/>
      <c r="E341" s="8" t="s">
        <v>1074</v>
      </c>
      <c r="F341" s="8" t="s">
        <v>247</v>
      </c>
      <c r="G341" s="1">
        <v>1</v>
      </c>
      <c r="I341" s="1">
        <f>1804-21</f>
        <v>1783</v>
      </c>
      <c r="J341" t="s">
        <v>10</v>
      </c>
      <c r="K341" t="s">
        <v>12</v>
      </c>
      <c r="Q341">
        <v>5</v>
      </c>
      <c r="R341">
        <v>6</v>
      </c>
      <c r="S341">
        <v>3</v>
      </c>
      <c r="T341" s="5">
        <f>((Q341*316)+(R341*26.3)+(S341*2.2))/10</f>
        <v>174.44</v>
      </c>
      <c r="U341" t="s">
        <v>1156</v>
      </c>
      <c r="AH341" s="6">
        <v>1</v>
      </c>
      <c r="AI341" s="6">
        <v>1</v>
      </c>
      <c r="AJ341" s="6">
        <v>1</v>
      </c>
      <c r="AK341" s="6">
        <v>1</v>
      </c>
      <c r="AL341" s="6">
        <v>1</v>
      </c>
      <c r="AM341" s="6">
        <v>1</v>
      </c>
      <c r="AN341" s="6">
        <v>1</v>
      </c>
      <c r="AO341" s="7">
        <v>1</v>
      </c>
      <c r="BC341" t="s">
        <v>1157</v>
      </c>
      <c r="BD341" s="7" t="s">
        <v>103</v>
      </c>
      <c r="BE341" t="s">
        <v>1065</v>
      </c>
      <c r="BF341" s="1" t="s">
        <v>29</v>
      </c>
      <c r="BG341" s="1">
        <v>6</v>
      </c>
      <c r="BH341">
        <v>1</v>
      </c>
      <c r="BK341" s="1">
        <v>1</v>
      </c>
      <c r="BQ341">
        <v>1</v>
      </c>
      <c r="CF341">
        <v>1</v>
      </c>
      <c r="CG341">
        <v>1</v>
      </c>
      <c r="CS341" s="7" t="s">
        <v>475</v>
      </c>
    </row>
    <row r="342" spans="1:97">
      <c r="A342" t="s">
        <v>7</v>
      </c>
      <c r="B342" t="s">
        <v>1703</v>
      </c>
      <c r="C342" s="2"/>
      <c r="D342" s="2"/>
      <c r="E342" s="8"/>
      <c r="F342" t="s">
        <v>7</v>
      </c>
      <c r="T342" s="5"/>
      <c r="U342" t="s">
        <v>435</v>
      </c>
      <c r="AH342" s="7">
        <v>1</v>
      </c>
      <c r="BC342" t="s">
        <v>1702</v>
      </c>
      <c r="BD342" s="7" t="s">
        <v>103</v>
      </c>
      <c r="BE342" t="s">
        <v>125</v>
      </c>
      <c r="BF342" s="1" t="s">
        <v>29</v>
      </c>
      <c r="BG342" s="1">
        <v>1</v>
      </c>
      <c r="BH342">
        <v>1</v>
      </c>
      <c r="BK342" s="1">
        <v>1</v>
      </c>
      <c r="BQ342">
        <v>1</v>
      </c>
      <c r="CS342" s="7" t="s">
        <v>1378</v>
      </c>
    </row>
    <row r="343" spans="1:97">
      <c r="A343" t="s">
        <v>7</v>
      </c>
      <c r="B343" t="s">
        <v>1708</v>
      </c>
      <c r="C343" s="2"/>
      <c r="D343" s="2"/>
      <c r="E343" s="8"/>
      <c r="F343" t="s">
        <v>7</v>
      </c>
      <c r="T343" s="5"/>
      <c r="U343" t="s">
        <v>1156</v>
      </c>
      <c r="AH343" s="7">
        <v>1</v>
      </c>
      <c r="BC343" t="s">
        <v>235</v>
      </c>
      <c r="BD343" s="7" t="s">
        <v>103</v>
      </c>
      <c r="BE343" t="s">
        <v>125</v>
      </c>
      <c r="BF343" s="1" t="s">
        <v>29</v>
      </c>
      <c r="BG343" s="1">
        <v>1</v>
      </c>
      <c r="BH343">
        <v>1</v>
      </c>
      <c r="BK343" s="1">
        <v>1</v>
      </c>
      <c r="BQ343">
        <v>1</v>
      </c>
      <c r="CS343" s="7" t="s">
        <v>1378</v>
      </c>
    </row>
    <row r="344" spans="1:97">
      <c r="A344" t="s">
        <v>7</v>
      </c>
      <c r="B344" t="s">
        <v>1709</v>
      </c>
      <c r="C344" s="2"/>
      <c r="D344" s="2"/>
      <c r="E344" s="8"/>
      <c r="F344" t="s">
        <v>7</v>
      </c>
      <c r="T344" s="5"/>
      <c r="U344" t="s">
        <v>1156</v>
      </c>
      <c r="AH344" s="7">
        <v>1</v>
      </c>
      <c r="BC344" t="s">
        <v>1710</v>
      </c>
      <c r="BD344" s="7" t="s">
        <v>103</v>
      </c>
      <c r="BE344" t="s">
        <v>125</v>
      </c>
      <c r="BF344" s="1" t="s">
        <v>29</v>
      </c>
      <c r="BG344" s="1">
        <v>1</v>
      </c>
      <c r="BH344">
        <v>1</v>
      </c>
      <c r="BK344" s="1">
        <v>1</v>
      </c>
      <c r="BQ344">
        <v>1</v>
      </c>
      <c r="CS344" s="7" t="s">
        <v>1378</v>
      </c>
    </row>
    <row r="345" spans="1:97">
      <c r="B345" t="s">
        <v>2757</v>
      </c>
      <c r="C345" s="2" t="s">
        <v>2002</v>
      </c>
      <c r="D345" s="2" t="s">
        <v>2002</v>
      </c>
      <c r="E345" s="8" t="s">
        <v>238</v>
      </c>
      <c r="F345" t="s">
        <v>65</v>
      </c>
      <c r="G345" s="1">
        <v>1</v>
      </c>
      <c r="I345" s="1">
        <f>1802-24</f>
        <v>1778</v>
      </c>
      <c r="J345" t="s">
        <v>69</v>
      </c>
      <c r="K345" t="s">
        <v>197</v>
      </c>
      <c r="N345">
        <v>1</v>
      </c>
      <c r="Q345">
        <v>5</v>
      </c>
      <c r="R345">
        <v>2</v>
      </c>
      <c r="T345" s="5">
        <f>((Q345*316)+(R345*26.3)+(S345*2.2))/10</f>
        <v>163.26</v>
      </c>
      <c r="U345" t="s">
        <v>1352</v>
      </c>
      <c r="AH345" s="6">
        <v>1</v>
      </c>
      <c r="AI345" s="6">
        <v>1</v>
      </c>
      <c r="AJ345" s="6">
        <v>1</v>
      </c>
      <c r="AK345" s="7">
        <v>1</v>
      </c>
      <c r="BC345" t="s">
        <v>1416</v>
      </c>
      <c r="BD345" s="7" t="s">
        <v>103</v>
      </c>
      <c r="BE345" t="s">
        <v>2005</v>
      </c>
      <c r="BF345" s="1" t="s">
        <v>29</v>
      </c>
      <c r="BG345" s="1">
        <v>3</v>
      </c>
      <c r="BH345">
        <v>1</v>
      </c>
      <c r="BK345" s="1">
        <v>1</v>
      </c>
      <c r="BQ345">
        <v>1</v>
      </c>
      <c r="CS345" s="7" t="s">
        <v>2758</v>
      </c>
    </row>
    <row r="346" spans="1:97">
      <c r="B346" t="s">
        <v>1349</v>
      </c>
      <c r="C346" s="2" t="s">
        <v>1350</v>
      </c>
      <c r="D346" s="2"/>
      <c r="E346" s="8"/>
      <c r="F346" t="s">
        <v>115</v>
      </c>
      <c r="G346" s="1">
        <v>1</v>
      </c>
      <c r="I346" s="1">
        <f>1802-22</f>
        <v>1780</v>
      </c>
      <c r="J346" t="s">
        <v>10</v>
      </c>
      <c r="K346" t="s">
        <v>1351</v>
      </c>
      <c r="Q346">
        <v>5</v>
      </c>
      <c r="R346">
        <v>2</v>
      </c>
      <c r="S346">
        <v>1</v>
      </c>
      <c r="T346" s="5">
        <f>((Q346*316)+(R346*26.3)+(S346*2.2))/10</f>
        <v>163.47999999999999</v>
      </c>
      <c r="U346" t="s">
        <v>1352</v>
      </c>
      <c r="AH346" s="6">
        <v>1</v>
      </c>
      <c r="AI346" s="6">
        <v>1</v>
      </c>
      <c r="AJ346" s="6">
        <v>1</v>
      </c>
      <c r="AK346" s="6">
        <v>1</v>
      </c>
      <c r="AL346" s="6">
        <v>1</v>
      </c>
      <c r="AM346" s="7">
        <v>1</v>
      </c>
      <c r="BC346" t="s">
        <v>1353</v>
      </c>
      <c r="BD346" s="7" t="s">
        <v>103</v>
      </c>
      <c r="BE346" t="s">
        <v>125</v>
      </c>
      <c r="BF346" s="1" t="s">
        <v>29</v>
      </c>
      <c r="BG346" s="1">
        <v>8</v>
      </c>
      <c r="BH346">
        <v>1</v>
      </c>
      <c r="BK346" s="1">
        <v>1</v>
      </c>
      <c r="BQ346">
        <v>1</v>
      </c>
      <c r="CS346" s="7" t="s">
        <v>1354</v>
      </c>
    </row>
    <row r="347" spans="1:97">
      <c r="A347" t="s">
        <v>7</v>
      </c>
      <c r="B347" t="s">
        <v>434</v>
      </c>
      <c r="C347" s="15"/>
      <c r="D347" s="15"/>
      <c r="E347" s="8"/>
      <c r="F347" t="s">
        <v>7</v>
      </c>
      <c r="T347" s="5"/>
      <c r="U347" t="s">
        <v>435</v>
      </c>
      <c r="AH347" s="7">
        <v>1</v>
      </c>
      <c r="BC347" t="s">
        <v>436</v>
      </c>
      <c r="BD347" s="7" t="s">
        <v>305</v>
      </c>
      <c r="BE347" t="s">
        <v>437</v>
      </c>
      <c r="BF347" s="1" t="s">
        <v>29</v>
      </c>
      <c r="BG347" s="1">
        <v>1</v>
      </c>
      <c r="BH347">
        <v>1</v>
      </c>
      <c r="BK347" s="1">
        <v>1</v>
      </c>
      <c r="BQ347">
        <v>1</v>
      </c>
      <c r="CM347">
        <v>1</v>
      </c>
      <c r="CS347" s="7" t="s">
        <v>438</v>
      </c>
    </row>
    <row r="348" spans="1:97">
      <c r="B348" t="s">
        <v>1360</v>
      </c>
      <c r="C348" s="15" t="s">
        <v>349</v>
      </c>
      <c r="F348" s="8" t="s">
        <v>65</v>
      </c>
      <c r="G348" s="1">
        <v>1</v>
      </c>
      <c r="I348" s="1">
        <f>1804-28</f>
        <v>1776</v>
      </c>
      <c r="J348" t="s">
        <v>10</v>
      </c>
      <c r="K348" t="s">
        <v>197</v>
      </c>
      <c r="Q348">
        <v>5</v>
      </c>
      <c r="R348">
        <v>5</v>
      </c>
      <c r="T348" s="5">
        <f>((Q348*316)+(R348*26.3)+(S348*2.2))/10</f>
        <v>171.15</v>
      </c>
      <c r="U348" t="s">
        <v>889</v>
      </c>
      <c r="AH348" s="6">
        <v>1</v>
      </c>
      <c r="AI348" s="6">
        <v>1</v>
      </c>
      <c r="AJ348" s="6">
        <v>1</v>
      </c>
      <c r="AK348" s="6">
        <v>1</v>
      </c>
      <c r="AL348" s="7">
        <v>1</v>
      </c>
      <c r="BC348" t="s">
        <v>1361</v>
      </c>
      <c r="BD348" s="7" t="s">
        <v>103</v>
      </c>
      <c r="BE348" t="s">
        <v>125</v>
      </c>
      <c r="BF348" s="1" t="s">
        <v>29</v>
      </c>
      <c r="BG348" s="1">
        <v>8</v>
      </c>
      <c r="BH348">
        <v>1</v>
      </c>
      <c r="BK348" s="1">
        <v>1</v>
      </c>
      <c r="BQ348">
        <v>1</v>
      </c>
      <c r="CS348" s="7" t="s">
        <v>1398</v>
      </c>
    </row>
    <row r="349" spans="1:97">
      <c r="B349" t="s">
        <v>1072</v>
      </c>
      <c r="C349" s="15" t="s">
        <v>1073</v>
      </c>
      <c r="D349" s="15"/>
      <c r="E349" s="8" t="s">
        <v>1074</v>
      </c>
      <c r="F349" s="8" t="s">
        <v>247</v>
      </c>
      <c r="G349" s="1">
        <v>1</v>
      </c>
      <c r="I349" s="1">
        <f>1804-28</f>
        <v>1776</v>
      </c>
      <c r="J349" t="s">
        <v>10</v>
      </c>
      <c r="K349" t="s">
        <v>12</v>
      </c>
      <c r="Q349">
        <v>5</v>
      </c>
      <c r="R349">
        <v>1</v>
      </c>
      <c r="T349" s="5">
        <f>((Q349*316)+(R349*26.3)+(S349*2.2))/10</f>
        <v>160.63</v>
      </c>
      <c r="U349" t="s">
        <v>1075</v>
      </c>
      <c r="AH349" s="6">
        <v>1</v>
      </c>
      <c r="AI349" s="6">
        <v>1</v>
      </c>
      <c r="AJ349" s="6">
        <v>1</v>
      </c>
      <c r="AK349" s="6">
        <v>1</v>
      </c>
      <c r="AL349" s="6">
        <v>1</v>
      </c>
      <c r="AM349" s="7">
        <v>1</v>
      </c>
      <c r="BC349" t="s">
        <v>1076</v>
      </c>
      <c r="BD349" s="7" t="s">
        <v>103</v>
      </c>
      <c r="BE349" t="s">
        <v>1065</v>
      </c>
      <c r="BF349" s="1" t="s">
        <v>29</v>
      </c>
      <c r="BG349" s="1">
        <v>6</v>
      </c>
      <c r="BH349">
        <v>1</v>
      </c>
      <c r="BK349" s="1">
        <v>1</v>
      </c>
      <c r="BQ349">
        <v>1</v>
      </c>
      <c r="CS349" s="7" t="s">
        <v>897</v>
      </c>
    </row>
    <row r="350" spans="1:97">
      <c r="B350" t="s">
        <v>1080</v>
      </c>
      <c r="C350" s="2" t="s">
        <v>1081</v>
      </c>
      <c r="D350" s="15"/>
      <c r="E350" s="8" t="s">
        <v>1074</v>
      </c>
      <c r="F350" s="8" t="s">
        <v>247</v>
      </c>
      <c r="G350" s="1">
        <v>1</v>
      </c>
      <c r="I350" s="1">
        <f>1803-23</f>
        <v>1780</v>
      </c>
      <c r="J350" t="s">
        <v>10</v>
      </c>
      <c r="K350" t="s">
        <v>12</v>
      </c>
      <c r="Q350">
        <v>5</v>
      </c>
      <c r="R350">
        <v>4</v>
      </c>
      <c r="S350">
        <v>1</v>
      </c>
      <c r="T350" s="5">
        <f>((Q350*316)+(R350*26.3)+(S350*2.2))/10</f>
        <v>168.74</v>
      </c>
      <c r="U350" t="s">
        <v>1079</v>
      </c>
      <c r="AH350" s="6">
        <v>1</v>
      </c>
      <c r="AI350" s="6">
        <v>1</v>
      </c>
      <c r="AJ350" s="6">
        <v>1</v>
      </c>
      <c r="AK350" s="6">
        <v>1</v>
      </c>
      <c r="AL350" s="6">
        <v>1</v>
      </c>
      <c r="AM350" s="6">
        <v>1</v>
      </c>
      <c r="AN350" s="7">
        <v>1</v>
      </c>
      <c r="BC350" t="s">
        <v>198</v>
      </c>
      <c r="BD350" s="7" t="s">
        <v>109</v>
      </c>
      <c r="BE350" t="s">
        <v>1065</v>
      </c>
      <c r="BF350" s="1" t="s">
        <v>29</v>
      </c>
      <c r="BG350" s="1">
        <v>4</v>
      </c>
      <c r="BH350">
        <v>1</v>
      </c>
      <c r="BK350" s="1">
        <v>1</v>
      </c>
      <c r="BQ350">
        <v>1</v>
      </c>
      <c r="CS350" s="7" t="s">
        <v>354</v>
      </c>
    </row>
    <row r="351" spans="1:97">
      <c r="B351" t="s">
        <v>1077</v>
      </c>
      <c r="C351" s="15" t="s">
        <v>1078</v>
      </c>
      <c r="D351" s="15"/>
      <c r="E351" s="8" t="s">
        <v>1074</v>
      </c>
      <c r="F351" s="8" t="s">
        <v>247</v>
      </c>
      <c r="G351" s="1">
        <v>1</v>
      </c>
      <c r="I351" s="1">
        <f>1804-22</f>
        <v>1782</v>
      </c>
      <c r="J351" t="s">
        <v>10</v>
      </c>
      <c r="K351" t="s">
        <v>12</v>
      </c>
      <c r="Q351">
        <v>5</v>
      </c>
      <c r="R351">
        <v>2</v>
      </c>
      <c r="S351">
        <v>3</v>
      </c>
      <c r="T351" s="5">
        <f>((Q351*316)+(R351*26.3)+(S351*2.2))/10</f>
        <v>163.92</v>
      </c>
      <c r="U351" t="s">
        <v>1079</v>
      </c>
      <c r="AH351" s="6">
        <v>1</v>
      </c>
      <c r="AI351" s="6">
        <v>1</v>
      </c>
      <c r="AJ351" s="6">
        <v>1</v>
      </c>
      <c r="AK351" s="6">
        <v>1</v>
      </c>
      <c r="AL351" s="6">
        <v>1</v>
      </c>
      <c r="AM351" s="6">
        <v>1</v>
      </c>
      <c r="AN351" s="7">
        <v>1</v>
      </c>
      <c r="BC351" t="s">
        <v>198</v>
      </c>
      <c r="BD351" s="7" t="s">
        <v>109</v>
      </c>
      <c r="BE351" t="s">
        <v>1065</v>
      </c>
      <c r="BF351" s="1" t="s">
        <v>29</v>
      </c>
      <c r="BG351" s="1">
        <v>4</v>
      </c>
      <c r="BH351">
        <v>1</v>
      </c>
      <c r="BK351" s="1">
        <v>1</v>
      </c>
      <c r="BQ351">
        <v>1</v>
      </c>
      <c r="CS351" s="7" t="s">
        <v>354</v>
      </c>
    </row>
    <row r="352" spans="1:97">
      <c r="A352" t="s">
        <v>7</v>
      </c>
      <c r="B352" t="s">
        <v>1715</v>
      </c>
      <c r="C352" s="15"/>
      <c r="D352" s="15"/>
      <c r="E352" s="8"/>
      <c r="F352" t="s">
        <v>7</v>
      </c>
      <c r="T352" s="5"/>
      <c r="U352" t="s">
        <v>1716</v>
      </c>
      <c r="AH352" s="6">
        <v>1</v>
      </c>
      <c r="AI352" s="7">
        <v>1</v>
      </c>
      <c r="BC352" t="s">
        <v>324</v>
      </c>
      <c r="BD352" s="7" t="s">
        <v>109</v>
      </c>
      <c r="BE352" t="s">
        <v>125</v>
      </c>
      <c r="BF352" s="1" t="s">
        <v>29</v>
      </c>
      <c r="BG352" s="1">
        <v>2</v>
      </c>
      <c r="BH352">
        <v>1</v>
      </c>
      <c r="BK352" s="1">
        <v>1</v>
      </c>
      <c r="BQ352">
        <v>1</v>
      </c>
      <c r="CS352" s="22" t="s">
        <v>1313</v>
      </c>
    </row>
    <row r="353" spans="1:97">
      <c r="A353" t="s">
        <v>7</v>
      </c>
      <c r="B353" t="s">
        <v>1784</v>
      </c>
      <c r="C353" s="15"/>
      <c r="D353" s="15"/>
      <c r="E353" s="8"/>
      <c r="F353" t="s">
        <v>7</v>
      </c>
      <c r="T353" s="5"/>
      <c r="U353" t="s">
        <v>1716</v>
      </c>
      <c r="AH353" s="6">
        <v>1</v>
      </c>
      <c r="AI353" s="14">
        <v>1</v>
      </c>
      <c r="BC353" t="s">
        <v>1785</v>
      </c>
      <c r="BD353" s="14" t="s">
        <v>338</v>
      </c>
      <c r="BE353" t="s">
        <v>125</v>
      </c>
      <c r="BF353" s="1" t="s">
        <v>29</v>
      </c>
      <c r="BG353" s="1">
        <v>2</v>
      </c>
      <c r="BH353">
        <v>1</v>
      </c>
      <c r="BK353" s="1">
        <v>1</v>
      </c>
      <c r="BQ353">
        <v>1</v>
      </c>
      <c r="CS353" s="14" t="s">
        <v>1786</v>
      </c>
    </row>
    <row r="354" spans="1:97">
      <c r="A354" t="s">
        <v>7</v>
      </c>
      <c r="B354" t="s">
        <v>1704</v>
      </c>
      <c r="C354" s="15"/>
      <c r="D354" s="15"/>
      <c r="E354" s="8"/>
      <c r="F354" t="s">
        <v>7</v>
      </c>
      <c r="T354" s="5"/>
      <c r="U354" t="s">
        <v>1705</v>
      </c>
      <c r="AH354" s="7">
        <v>1</v>
      </c>
      <c r="BC354" t="s">
        <v>1706</v>
      </c>
      <c r="BD354" s="7" t="s">
        <v>26</v>
      </c>
      <c r="BE354" t="s">
        <v>125</v>
      </c>
      <c r="BF354" s="1" t="s">
        <v>29</v>
      </c>
      <c r="BG354" s="1">
        <v>1</v>
      </c>
      <c r="BH354">
        <v>1</v>
      </c>
      <c r="BK354" s="1">
        <v>1</v>
      </c>
      <c r="BQ354">
        <v>1</v>
      </c>
      <c r="CS354" s="7" t="s">
        <v>1707</v>
      </c>
    </row>
    <row r="355" spans="1:97">
      <c r="A355" t="s">
        <v>7</v>
      </c>
      <c r="B355" t="s">
        <v>1717</v>
      </c>
      <c r="C355" s="15"/>
      <c r="D355" s="15"/>
      <c r="E355" s="8"/>
      <c r="F355" t="s">
        <v>7</v>
      </c>
      <c r="T355" s="5"/>
      <c r="U355" t="s">
        <v>1705</v>
      </c>
      <c r="AH355" s="6">
        <v>1</v>
      </c>
      <c r="AI355" s="7">
        <v>1</v>
      </c>
      <c r="BC355" t="s">
        <v>324</v>
      </c>
      <c r="BD355" s="7" t="s">
        <v>109</v>
      </c>
      <c r="BE355" t="s">
        <v>125</v>
      </c>
      <c r="BF355" s="1" t="s">
        <v>29</v>
      </c>
      <c r="BG355" s="1">
        <v>2</v>
      </c>
      <c r="BH355">
        <v>1</v>
      </c>
      <c r="BK355" s="1">
        <v>1</v>
      </c>
      <c r="BQ355">
        <v>1</v>
      </c>
      <c r="CS355" s="22" t="s">
        <v>1313</v>
      </c>
    </row>
    <row r="356" spans="1:97">
      <c r="A356" t="s">
        <v>7</v>
      </c>
      <c r="B356" t="s">
        <v>1718</v>
      </c>
      <c r="C356" s="15"/>
      <c r="D356" s="15"/>
      <c r="E356" s="8"/>
      <c r="F356" t="s">
        <v>7</v>
      </c>
      <c r="T356" s="5"/>
      <c r="U356" t="s">
        <v>1719</v>
      </c>
      <c r="AH356" s="6">
        <v>1</v>
      </c>
      <c r="AI356" s="7">
        <v>1</v>
      </c>
      <c r="BC356" t="s">
        <v>324</v>
      </c>
      <c r="BD356" s="7" t="s">
        <v>109</v>
      </c>
      <c r="BE356" t="s">
        <v>125</v>
      </c>
      <c r="BF356" s="1" t="s">
        <v>29</v>
      </c>
      <c r="BG356" s="1">
        <v>2</v>
      </c>
      <c r="BH356">
        <v>1</v>
      </c>
      <c r="BK356" s="1">
        <v>1</v>
      </c>
      <c r="BQ356">
        <v>1</v>
      </c>
      <c r="CS356" s="22" t="s">
        <v>1313</v>
      </c>
    </row>
    <row r="357" spans="1:97">
      <c r="A357" t="s">
        <v>7</v>
      </c>
      <c r="B357" t="s">
        <v>276</v>
      </c>
      <c r="C357" s="15"/>
      <c r="D357" s="15"/>
      <c r="E357" s="8"/>
      <c r="F357" t="s">
        <v>7</v>
      </c>
      <c r="T357" s="5"/>
      <c r="U357" t="s">
        <v>1720</v>
      </c>
      <c r="AH357" s="6">
        <v>1</v>
      </c>
      <c r="AI357" s="7">
        <v>1</v>
      </c>
      <c r="BC357" t="s">
        <v>324</v>
      </c>
      <c r="BD357" s="7" t="s">
        <v>109</v>
      </c>
      <c r="BE357" t="s">
        <v>125</v>
      </c>
      <c r="BF357" s="1" t="s">
        <v>29</v>
      </c>
      <c r="BG357" s="1">
        <v>2</v>
      </c>
      <c r="BH357">
        <v>1</v>
      </c>
      <c r="BK357" s="1">
        <v>1</v>
      </c>
      <c r="BQ357">
        <v>1</v>
      </c>
      <c r="CS357" s="22" t="s">
        <v>1313</v>
      </c>
    </row>
    <row r="358" spans="1:97">
      <c r="A358" t="s">
        <v>7</v>
      </c>
      <c r="B358" t="s">
        <v>1732</v>
      </c>
      <c r="C358" s="15"/>
      <c r="D358" s="15"/>
      <c r="E358" s="8"/>
      <c r="F358" t="s">
        <v>7</v>
      </c>
      <c r="T358" s="5"/>
      <c r="U358" t="s">
        <v>1720</v>
      </c>
      <c r="AH358" s="6">
        <v>1</v>
      </c>
      <c r="AI358" s="7">
        <v>1</v>
      </c>
      <c r="BC358" t="s">
        <v>1733</v>
      </c>
      <c r="BD358" s="7" t="s">
        <v>109</v>
      </c>
      <c r="BE358" t="s">
        <v>125</v>
      </c>
      <c r="BF358" s="1" t="s">
        <v>29</v>
      </c>
      <c r="BG358" s="1">
        <v>2</v>
      </c>
      <c r="BH358">
        <v>1</v>
      </c>
      <c r="BK358" s="1">
        <v>1</v>
      </c>
      <c r="BQ358">
        <v>1</v>
      </c>
      <c r="CS358" s="7" t="s">
        <v>1672</v>
      </c>
    </row>
    <row r="359" spans="1:97">
      <c r="A359" t="s">
        <v>7</v>
      </c>
      <c r="B359" t="s">
        <v>1721</v>
      </c>
      <c r="C359" s="15"/>
      <c r="D359" s="15"/>
      <c r="E359" s="8"/>
      <c r="F359" t="s">
        <v>7</v>
      </c>
      <c r="T359" s="5"/>
      <c r="U359" t="s">
        <v>1720</v>
      </c>
      <c r="AH359" s="6">
        <v>1</v>
      </c>
      <c r="AI359" s="7">
        <v>1</v>
      </c>
      <c r="BC359" t="s">
        <v>324</v>
      </c>
      <c r="BD359" s="7" t="s">
        <v>109</v>
      </c>
      <c r="BE359" t="s">
        <v>125</v>
      </c>
      <c r="BF359" s="1" t="s">
        <v>29</v>
      </c>
      <c r="BG359" s="1">
        <v>2</v>
      </c>
      <c r="BH359">
        <v>1</v>
      </c>
      <c r="BK359" s="1">
        <v>1</v>
      </c>
      <c r="BQ359">
        <v>1</v>
      </c>
      <c r="CS359" s="22" t="s">
        <v>1313</v>
      </c>
    </row>
    <row r="360" spans="1:97">
      <c r="A360" t="s">
        <v>7</v>
      </c>
      <c r="B360" t="s">
        <v>1778</v>
      </c>
      <c r="C360" s="15"/>
      <c r="D360" s="15"/>
      <c r="E360" s="8"/>
      <c r="F360" t="s">
        <v>7</v>
      </c>
      <c r="T360" s="5"/>
      <c r="U360" t="s">
        <v>1720</v>
      </c>
      <c r="AH360" s="6">
        <v>1</v>
      </c>
      <c r="AI360" s="14">
        <v>1</v>
      </c>
      <c r="BC360" t="s">
        <v>1779</v>
      </c>
      <c r="BD360" s="14" t="s">
        <v>338</v>
      </c>
      <c r="BE360" t="s">
        <v>125</v>
      </c>
      <c r="BF360" s="1" t="s">
        <v>29</v>
      </c>
      <c r="BG360" s="1">
        <v>2</v>
      </c>
      <c r="BH360">
        <v>1</v>
      </c>
      <c r="BK360" s="1">
        <v>1</v>
      </c>
      <c r="BQ360">
        <v>1</v>
      </c>
      <c r="CS360" s="32" t="s">
        <v>1780</v>
      </c>
    </row>
    <row r="361" spans="1:97">
      <c r="A361" t="s">
        <v>7</v>
      </c>
      <c r="B361" t="s">
        <v>1722</v>
      </c>
      <c r="C361" s="15"/>
      <c r="D361" s="15"/>
      <c r="E361" s="8"/>
      <c r="F361" t="s">
        <v>7</v>
      </c>
      <c r="T361" s="5"/>
      <c r="U361" t="s">
        <v>1720</v>
      </c>
      <c r="AH361" s="6">
        <v>1</v>
      </c>
      <c r="AI361" s="7">
        <v>1</v>
      </c>
      <c r="BC361" t="s">
        <v>324</v>
      </c>
      <c r="BD361" s="7" t="s">
        <v>109</v>
      </c>
      <c r="BE361" t="s">
        <v>125</v>
      </c>
      <c r="BF361" s="1" t="s">
        <v>29</v>
      </c>
      <c r="BG361" s="1">
        <v>2</v>
      </c>
      <c r="BH361">
        <v>1</v>
      </c>
      <c r="BK361" s="1">
        <v>1</v>
      </c>
      <c r="BQ361">
        <v>1</v>
      </c>
      <c r="CS361" s="22" t="s">
        <v>1313</v>
      </c>
    </row>
    <row r="362" spans="1:97">
      <c r="A362" t="s">
        <v>7</v>
      </c>
      <c r="B362" t="s">
        <v>1751</v>
      </c>
      <c r="C362" s="15"/>
      <c r="D362" s="15"/>
      <c r="E362" s="8"/>
      <c r="F362" t="s">
        <v>7</v>
      </c>
      <c r="T362" s="5"/>
      <c r="U362" t="s">
        <v>1723</v>
      </c>
      <c r="AH362" s="6">
        <v>1</v>
      </c>
      <c r="AI362" s="7">
        <v>1</v>
      </c>
      <c r="BC362" t="s">
        <v>324</v>
      </c>
      <c r="BD362" s="7" t="s">
        <v>109</v>
      </c>
      <c r="BE362" t="s">
        <v>125</v>
      </c>
      <c r="BF362" s="1" t="s">
        <v>29</v>
      </c>
      <c r="BG362" s="1">
        <v>2</v>
      </c>
      <c r="BH362">
        <v>1</v>
      </c>
      <c r="BK362" s="1">
        <v>1</v>
      </c>
      <c r="BQ362">
        <v>1</v>
      </c>
      <c r="CS362" s="22" t="s">
        <v>1313</v>
      </c>
    </row>
    <row r="363" spans="1:97">
      <c r="A363" t="s">
        <v>7</v>
      </c>
      <c r="B363" t="s">
        <v>1724</v>
      </c>
      <c r="C363" s="15"/>
      <c r="D363" s="15"/>
      <c r="E363" s="8"/>
      <c r="F363" t="s">
        <v>7</v>
      </c>
      <c r="T363" s="5"/>
      <c r="U363" t="s">
        <v>1723</v>
      </c>
      <c r="AH363" s="6">
        <v>1</v>
      </c>
      <c r="AI363" s="7">
        <v>1</v>
      </c>
      <c r="BC363" t="s">
        <v>324</v>
      </c>
      <c r="BD363" s="7" t="s">
        <v>109</v>
      </c>
      <c r="BE363" t="s">
        <v>125</v>
      </c>
      <c r="BF363" s="1" t="s">
        <v>29</v>
      </c>
      <c r="BG363" s="1">
        <v>2</v>
      </c>
      <c r="BH363">
        <v>1</v>
      </c>
      <c r="BK363" s="1">
        <v>1</v>
      </c>
      <c r="BQ363">
        <v>1</v>
      </c>
      <c r="CS363" s="22" t="s">
        <v>1313</v>
      </c>
    </row>
    <row r="364" spans="1:97">
      <c r="A364" t="s">
        <v>7</v>
      </c>
      <c r="B364" t="s">
        <v>1725</v>
      </c>
      <c r="C364" s="15"/>
      <c r="D364" s="15"/>
      <c r="E364" s="8"/>
      <c r="F364" t="s">
        <v>7</v>
      </c>
      <c r="T364" s="5"/>
      <c r="U364" t="s">
        <v>1723</v>
      </c>
      <c r="AH364" s="6">
        <v>1</v>
      </c>
      <c r="AI364" s="7">
        <v>1</v>
      </c>
      <c r="BC364" t="s">
        <v>324</v>
      </c>
      <c r="BD364" s="7" t="s">
        <v>109</v>
      </c>
      <c r="BE364" t="s">
        <v>125</v>
      </c>
      <c r="BF364" s="1" t="s">
        <v>29</v>
      </c>
      <c r="BG364" s="1">
        <v>2</v>
      </c>
      <c r="BH364">
        <v>1</v>
      </c>
      <c r="BK364" s="1">
        <v>1</v>
      </c>
      <c r="BQ364">
        <v>1</v>
      </c>
      <c r="CS364" s="22" t="s">
        <v>1313</v>
      </c>
    </row>
    <row r="365" spans="1:97">
      <c r="A365" t="s">
        <v>7</v>
      </c>
      <c r="B365" t="s">
        <v>200</v>
      </c>
      <c r="C365" s="15" t="s">
        <v>158</v>
      </c>
      <c r="D365" s="15"/>
      <c r="E365" s="8"/>
      <c r="F365" s="8" t="s">
        <v>65</v>
      </c>
      <c r="G365" s="1">
        <v>1</v>
      </c>
      <c r="I365" s="1">
        <f>1802-26</f>
        <v>1776</v>
      </c>
      <c r="J365" t="s">
        <v>69</v>
      </c>
      <c r="K365" t="s">
        <v>12</v>
      </c>
      <c r="N365">
        <v>1</v>
      </c>
      <c r="Q365">
        <v>5</v>
      </c>
      <c r="R365">
        <v>4</v>
      </c>
      <c r="S365">
        <v>3</v>
      </c>
      <c r="T365" s="5">
        <f t="shared" ref="T365:T386" si="11">((Q365*316)+(R365*26.3)+(S365*2.2))/10</f>
        <v>169.18</v>
      </c>
      <c r="U365" t="s">
        <v>157</v>
      </c>
      <c r="AH365" s="6">
        <v>1</v>
      </c>
      <c r="AI365" s="6">
        <v>1</v>
      </c>
      <c r="AJ365" s="6">
        <v>1</v>
      </c>
      <c r="AK365" s="6">
        <v>1</v>
      </c>
      <c r="AL365" s="6">
        <v>1</v>
      </c>
      <c r="AM365" s="6">
        <v>1</v>
      </c>
      <c r="AN365" s="7">
        <v>1</v>
      </c>
      <c r="BC365" t="s">
        <v>198</v>
      </c>
      <c r="BD365" s="7" t="s">
        <v>103</v>
      </c>
      <c r="BE365" t="s">
        <v>125</v>
      </c>
      <c r="BF365" s="1" t="s">
        <v>73</v>
      </c>
      <c r="BG365" s="1">
        <v>9</v>
      </c>
      <c r="BH365">
        <v>1</v>
      </c>
      <c r="BK365" s="1">
        <v>1</v>
      </c>
      <c r="BQ365">
        <v>1</v>
      </c>
      <c r="CS365" s="7" t="s">
        <v>199</v>
      </c>
    </row>
    <row r="366" spans="1:97">
      <c r="B366" t="s">
        <v>1423</v>
      </c>
      <c r="C366" s="2" t="s">
        <v>113</v>
      </c>
      <c r="D366" s="26" t="s">
        <v>192</v>
      </c>
      <c r="E366" s="8"/>
      <c r="F366" s="8" t="s">
        <v>115</v>
      </c>
      <c r="G366" s="1">
        <v>1</v>
      </c>
      <c r="I366" s="1">
        <f>1802-26</f>
        <v>1776</v>
      </c>
      <c r="J366" t="s">
        <v>69</v>
      </c>
      <c r="K366" t="s">
        <v>12</v>
      </c>
      <c r="N366">
        <v>1</v>
      </c>
      <c r="Q366">
        <v>5</v>
      </c>
      <c r="R366">
        <v>3</v>
      </c>
      <c r="S366">
        <v>3</v>
      </c>
      <c r="T366" s="5">
        <f t="shared" si="11"/>
        <v>166.55</v>
      </c>
      <c r="U366" t="s">
        <v>157</v>
      </c>
      <c r="AH366" s="6">
        <v>1</v>
      </c>
      <c r="AI366" s="6">
        <v>1</v>
      </c>
      <c r="AJ366" s="6">
        <v>1</v>
      </c>
      <c r="AK366" s="6">
        <v>1</v>
      </c>
      <c r="AL366" s="6">
        <v>1</v>
      </c>
      <c r="AM366" s="6">
        <v>1</v>
      </c>
      <c r="AN366" s="7">
        <v>1</v>
      </c>
      <c r="BC366" t="s">
        <v>198</v>
      </c>
      <c r="BD366" s="7" t="s">
        <v>109</v>
      </c>
      <c r="BE366" t="s">
        <v>125</v>
      </c>
      <c r="BF366" s="1" t="s">
        <v>29</v>
      </c>
      <c r="BG366" s="1">
        <v>10</v>
      </c>
      <c r="BH366">
        <v>1</v>
      </c>
      <c r="BK366" s="1">
        <v>1</v>
      </c>
      <c r="BQ366">
        <v>1</v>
      </c>
      <c r="CS366" s="22" t="s">
        <v>354</v>
      </c>
    </row>
    <row r="367" spans="1:97">
      <c r="B367" t="s">
        <v>1310</v>
      </c>
      <c r="C367" s="15" t="s">
        <v>1311</v>
      </c>
      <c r="D367" s="15"/>
      <c r="E367" s="8"/>
      <c r="F367" s="8" t="s">
        <v>115</v>
      </c>
      <c r="G367" s="1">
        <v>1</v>
      </c>
      <c r="I367" s="1">
        <f>1802-20</f>
        <v>1782</v>
      </c>
      <c r="J367" t="s">
        <v>10</v>
      </c>
      <c r="K367" t="s">
        <v>900</v>
      </c>
      <c r="Q367">
        <v>5</v>
      </c>
      <c r="R367">
        <v>3</v>
      </c>
      <c r="S367">
        <v>2</v>
      </c>
      <c r="T367" s="5">
        <f t="shared" si="11"/>
        <v>166.33</v>
      </c>
      <c r="U367" t="s">
        <v>1312</v>
      </c>
      <c r="AH367" s="6">
        <v>1</v>
      </c>
      <c r="AI367" s="6">
        <v>1</v>
      </c>
      <c r="AJ367" s="6">
        <v>1</v>
      </c>
      <c r="AK367" s="6">
        <v>1</v>
      </c>
      <c r="AL367" s="6">
        <v>1</v>
      </c>
      <c r="AM367" s="6">
        <v>1</v>
      </c>
      <c r="AN367" s="7">
        <v>1</v>
      </c>
      <c r="BC367" t="s">
        <v>198</v>
      </c>
      <c r="BD367" s="7" t="s">
        <v>109</v>
      </c>
      <c r="BE367" t="s">
        <v>125</v>
      </c>
      <c r="BF367" s="1" t="s">
        <v>29</v>
      </c>
      <c r="BG367" s="1">
        <v>10</v>
      </c>
      <c r="BH367">
        <v>1</v>
      </c>
      <c r="BK367" s="1">
        <v>1</v>
      </c>
      <c r="BQ367">
        <v>1</v>
      </c>
      <c r="CS367" s="22" t="s">
        <v>1313</v>
      </c>
    </row>
    <row r="368" spans="1:97">
      <c r="B368" t="s">
        <v>232</v>
      </c>
      <c r="C368" s="13" t="s">
        <v>233</v>
      </c>
      <c r="D368" s="15"/>
      <c r="E368" s="8"/>
      <c r="F368" s="8" t="s">
        <v>234</v>
      </c>
      <c r="G368" s="1">
        <v>1</v>
      </c>
      <c r="I368" s="1">
        <f>1802-20</f>
        <v>1782</v>
      </c>
      <c r="J368" t="s">
        <v>10</v>
      </c>
      <c r="K368" t="s">
        <v>197</v>
      </c>
      <c r="Q368">
        <v>5</v>
      </c>
      <c r="R368">
        <v>1</v>
      </c>
      <c r="S368">
        <v>3</v>
      </c>
      <c r="T368" s="5">
        <f t="shared" si="11"/>
        <v>161.29</v>
      </c>
      <c r="U368" t="s">
        <v>235</v>
      </c>
      <c r="AH368" s="6">
        <v>1</v>
      </c>
      <c r="AI368" s="6">
        <v>1</v>
      </c>
      <c r="AJ368" s="6">
        <v>1</v>
      </c>
      <c r="AK368" s="6">
        <v>1</v>
      </c>
      <c r="AL368" s="6">
        <v>1</v>
      </c>
      <c r="AM368" s="6">
        <v>1</v>
      </c>
      <c r="AN368" s="7">
        <v>1</v>
      </c>
      <c r="BC368" t="s">
        <v>198</v>
      </c>
      <c r="BD368" s="7" t="s">
        <v>109</v>
      </c>
      <c r="BE368" t="s">
        <v>125</v>
      </c>
      <c r="BF368" s="1" t="s">
        <v>29</v>
      </c>
      <c r="BG368" s="1">
        <v>9</v>
      </c>
      <c r="BH368">
        <v>1</v>
      </c>
      <c r="BK368" s="29" t="s">
        <v>72</v>
      </c>
      <c r="BN368">
        <v>1</v>
      </c>
      <c r="BQ368">
        <v>1</v>
      </c>
      <c r="CS368" s="7" t="s">
        <v>354</v>
      </c>
    </row>
    <row r="369" spans="1:98">
      <c r="B369" t="s">
        <v>205</v>
      </c>
      <c r="C369" s="15" t="s">
        <v>176</v>
      </c>
      <c r="D369" s="15"/>
      <c r="E369" s="8" t="s">
        <v>114</v>
      </c>
      <c r="F369" s="8" t="s">
        <v>115</v>
      </c>
      <c r="G369" s="1">
        <v>1</v>
      </c>
      <c r="I369" s="1">
        <f>1802-20</f>
        <v>1782</v>
      </c>
      <c r="J369" t="s">
        <v>69</v>
      </c>
      <c r="K369" t="s">
        <v>12</v>
      </c>
      <c r="N369">
        <v>1</v>
      </c>
      <c r="Q369">
        <v>5</v>
      </c>
      <c r="R369">
        <v>5</v>
      </c>
      <c r="T369" s="5">
        <f t="shared" si="11"/>
        <v>171.15</v>
      </c>
      <c r="U369" t="s">
        <v>206</v>
      </c>
      <c r="AH369" s="6">
        <v>1</v>
      </c>
      <c r="AI369" s="6">
        <v>1</v>
      </c>
      <c r="AJ369" s="6">
        <v>1</v>
      </c>
      <c r="AK369" s="6">
        <v>1</v>
      </c>
      <c r="AL369" s="6">
        <v>1</v>
      </c>
      <c r="AM369" s="6">
        <v>1</v>
      </c>
      <c r="AN369" s="7">
        <v>1</v>
      </c>
      <c r="BC369" t="s">
        <v>198</v>
      </c>
      <c r="BD369" s="7" t="s">
        <v>103</v>
      </c>
      <c r="BE369" t="s">
        <v>125</v>
      </c>
      <c r="BF369" s="1" t="s">
        <v>29</v>
      </c>
      <c r="BG369" s="1">
        <v>9</v>
      </c>
      <c r="BH369">
        <v>1</v>
      </c>
      <c r="BK369" s="1">
        <v>1</v>
      </c>
      <c r="BN369">
        <v>1</v>
      </c>
      <c r="BQ369">
        <v>1</v>
      </c>
      <c r="CS369" s="7" t="s">
        <v>199</v>
      </c>
    </row>
    <row r="370" spans="1:98">
      <c r="B370" t="s">
        <v>1456</v>
      </c>
      <c r="C370" s="13" t="s">
        <v>1457</v>
      </c>
      <c r="D370" s="15"/>
      <c r="E370" s="8"/>
      <c r="F370" s="8" t="s">
        <v>65</v>
      </c>
      <c r="G370" s="1">
        <v>1</v>
      </c>
      <c r="I370" s="1">
        <f>1802-40</f>
        <v>1762</v>
      </c>
      <c r="J370" t="s">
        <v>69</v>
      </c>
      <c r="K370" t="s">
        <v>12</v>
      </c>
      <c r="Q370">
        <v>5</v>
      </c>
      <c r="R370">
        <v>2</v>
      </c>
      <c r="S370">
        <v>1</v>
      </c>
      <c r="T370" s="5">
        <f t="shared" si="11"/>
        <v>163.47999999999999</v>
      </c>
      <c r="U370" t="s">
        <v>1386</v>
      </c>
      <c r="AH370" s="6">
        <v>1</v>
      </c>
      <c r="AI370" s="6">
        <v>1</v>
      </c>
      <c r="AJ370" s="7">
        <v>1</v>
      </c>
      <c r="BC370" t="s">
        <v>1458</v>
      </c>
      <c r="BD370" s="7" t="s">
        <v>26</v>
      </c>
      <c r="BE370" t="s">
        <v>62</v>
      </c>
      <c r="BF370" s="1" t="s">
        <v>29</v>
      </c>
      <c r="BG370" s="1">
        <v>4</v>
      </c>
      <c r="BH370">
        <v>2</v>
      </c>
      <c r="BI370">
        <v>1</v>
      </c>
      <c r="BK370" s="1">
        <v>1</v>
      </c>
      <c r="BQ370">
        <v>1</v>
      </c>
      <c r="CL370">
        <v>1</v>
      </c>
      <c r="CS370" s="22" t="s">
        <v>1459</v>
      </c>
    </row>
    <row r="371" spans="1:98">
      <c r="B371" t="s">
        <v>1384</v>
      </c>
      <c r="C371" s="13" t="s">
        <v>1385</v>
      </c>
      <c r="D371" s="26" t="s">
        <v>192</v>
      </c>
      <c r="E371" s="8"/>
      <c r="F371" s="8" t="s">
        <v>65</v>
      </c>
      <c r="G371" s="1">
        <v>1</v>
      </c>
      <c r="I371" s="1">
        <f>1802-25</f>
        <v>1777</v>
      </c>
      <c r="J371" t="s">
        <v>69</v>
      </c>
      <c r="K371" t="s">
        <v>197</v>
      </c>
      <c r="N371">
        <v>1</v>
      </c>
      <c r="Q371">
        <v>5</v>
      </c>
      <c r="R371">
        <v>2</v>
      </c>
      <c r="T371" s="5">
        <f t="shared" si="11"/>
        <v>163.26</v>
      </c>
      <c r="U371" t="s">
        <v>1386</v>
      </c>
      <c r="AH371" s="6">
        <v>1</v>
      </c>
      <c r="AI371" s="6">
        <v>1</v>
      </c>
      <c r="AJ371" s="6">
        <v>1</v>
      </c>
      <c r="AK371" s="6">
        <v>1</v>
      </c>
      <c r="AL371" s="7">
        <v>1</v>
      </c>
      <c r="BC371" t="s">
        <v>1387</v>
      </c>
      <c r="BD371" s="7" t="s">
        <v>103</v>
      </c>
      <c r="BE371" t="s">
        <v>125</v>
      </c>
      <c r="BF371" s="1" t="s">
        <v>29</v>
      </c>
      <c r="BG371" s="1">
        <v>7</v>
      </c>
      <c r="BH371">
        <v>1</v>
      </c>
      <c r="BK371" s="1">
        <v>1</v>
      </c>
      <c r="BN371">
        <v>1</v>
      </c>
      <c r="BQ371">
        <v>1</v>
      </c>
      <c r="CS371" s="22" t="s">
        <v>1388</v>
      </c>
    </row>
    <row r="372" spans="1:98">
      <c r="B372" t="s">
        <v>2804</v>
      </c>
      <c r="C372" s="2" t="s">
        <v>2805</v>
      </c>
      <c r="D372" s="2" t="s">
        <v>2805</v>
      </c>
      <c r="E372" s="8" t="s">
        <v>696</v>
      </c>
      <c r="F372" s="8" t="s">
        <v>115</v>
      </c>
      <c r="G372" s="1">
        <v>1</v>
      </c>
      <c r="I372" s="1">
        <f>1800-38</f>
        <v>1762</v>
      </c>
      <c r="J372" t="s">
        <v>69</v>
      </c>
      <c r="K372" t="s">
        <v>2517</v>
      </c>
      <c r="N372">
        <v>1</v>
      </c>
      <c r="Q372">
        <v>5</v>
      </c>
      <c r="R372">
        <v>4</v>
      </c>
      <c r="T372" s="5">
        <f t="shared" si="11"/>
        <v>168.52</v>
      </c>
      <c r="U372" t="s">
        <v>2806</v>
      </c>
      <c r="AH372" s="6">
        <v>1</v>
      </c>
      <c r="AI372" s="6">
        <v>1</v>
      </c>
      <c r="AJ372" s="6">
        <v>1</v>
      </c>
      <c r="AK372" s="7">
        <v>1</v>
      </c>
      <c r="BC372" t="s">
        <v>1948</v>
      </c>
      <c r="BD372" s="7" t="s">
        <v>103</v>
      </c>
      <c r="BE372" t="s">
        <v>2005</v>
      </c>
      <c r="BF372" s="1" t="s">
        <v>29</v>
      </c>
      <c r="BG372" s="1">
        <v>3</v>
      </c>
      <c r="BH372">
        <v>1</v>
      </c>
      <c r="BK372" s="1">
        <v>1</v>
      </c>
      <c r="BQ372">
        <v>1</v>
      </c>
      <c r="CS372" s="22" t="s">
        <v>2807</v>
      </c>
    </row>
    <row r="373" spans="1:98">
      <c r="B373" t="s">
        <v>155</v>
      </c>
      <c r="C373" s="15" t="s">
        <v>158</v>
      </c>
      <c r="D373" s="15"/>
      <c r="E373" s="8"/>
      <c r="F373" s="8" t="s">
        <v>65</v>
      </c>
      <c r="G373" s="1">
        <v>1</v>
      </c>
      <c r="I373" s="1">
        <f>1802-22</f>
        <v>1780</v>
      </c>
      <c r="J373" t="s">
        <v>10</v>
      </c>
      <c r="K373" t="s">
        <v>12</v>
      </c>
      <c r="Q373">
        <v>5</v>
      </c>
      <c r="R373">
        <v>4</v>
      </c>
      <c r="S373">
        <v>3</v>
      </c>
      <c r="T373" s="5">
        <f t="shared" si="11"/>
        <v>169.18</v>
      </c>
      <c r="U373" t="s">
        <v>231</v>
      </c>
      <c r="AH373" s="6">
        <v>1</v>
      </c>
      <c r="AI373" s="6">
        <v>1</v>
      </c>
      <c r="AJ373" s="6">
        <v>1</v>
      </c>
      <c r="AK373" s="6">
        <v>1</v>
      </c>
      <c r="AL373" s="6">
        <v>1</v>
      </c>
      <c r="AM373" s="6">
        <v>1</v>
      </c>
      <c r="AN373" s="6">
        <v>1</v>
      </c>
      <c r="AO373" s="6">
        <v>1</v>
      </c>
      <c r="AP373" s="6">
        <v>1</v>
      </c>
      <c r="AQ373" s="6">
        <v>1</v>
      </c>
      <c r="AR373" s="6">
        <v>1</v>
      </c>
      <c r="AS373" s="6">
        <v>1</v>
      </c>
      <c r="AT373" s="6">
        <v>1</v>
      </c>
      <c r="AU373" s="6">
        <v>1</v>
      </c>
      <c r="AV373" s="6">
        <v>1</v>
      </c>
      <c r="AW373" s="6">
        <v>1</v>
      </c>
      <c r="AX373" s="7">
        <v>1</v>
      </c>
      <c r="BC373" t="s">
        <v>1451</v>
      </c>
      <c r="BD373" s="7" t="s">
        <v>103</v>
      </c>
      <c r="BE373" t="s">
        <v>151</v>
      </c>
      <c r="BF373" s="1" t="s">
        <v>29</v>
      </c>
      <c r="BG373" s="1">
        <v>16</v>
      </c>
      <c r="BH373">
        <v>2</v>
      </c>
      <c r="BI373">
        <v>1</v>
      </c>
      <c r="BK373" s="1">
        <v>1</v>
      </c>
      <c r="BQ373">
        <v>1</v>
      </c>
      <c r="CF373">
        <v>1</v>
      </c>
      <c r="CG373">
        <v>1</v>
      </c>
      <c r="CL373">
        <v>1</v>
      </c>
      <c r="CM373">
        <v>1</v>
      </c>
      <c r="CR373" t="s">
        <v>72</v>
      </c>
      <c r="CS373" s="7" t="s">
        <v>1000</v>
      </c>
    </row>
    <row r="374" spans="1:98">
      <c r="B374" t="s">
        <v>732</v>
      </c>
      <c r="C374" s="18" t="s">
        <v>733</v>
      </c>
      <c r="D374" s="15"/>
      <c r="E374" s="8"/>
      <c r="F374" s="8" t="s">
        <v>65</v>
      </c>
      <c r="G374" s="1">
        <v>1</v>
      </c>
      <c r="I374" s="1">
        <f>1802-34</f>
        <v>1768</v>
      </c>
      <c r="J374" t="s">
        <v>69</v>
      </c>
      <c r="K374" t="s">
        <v>12</v>
      </c>
      <c r="N374">
        <v>1</v>
      </c>
      <c r="Q374">
        <v>5</v>
      </c>
      <c r="R374">
        <v>2</v>
      </c>
      <c r="T374" s="5">
        <f t="shared" si="11"/>
        <v>163.26</v>
      </c>
      <c r="U374" t="s">
        <v>231</v>
      </c>
      <c r="AH374" s="6">
        <v>1</v>
      </c>
      <c r="AI374" s="6">
        <v>1</v>
      </c>
      <c r="AJ374" s="6">
        <v>1</v>
      </c>
      <c r="AK374" s="6">
        <v>1</v>
      </c>
      <c r="AL374" s="6">
        <v>1</v>
      </c>
      <c r="AM374" s="6">
        <v>1</v>
      </c>
      <c r="AN374" s="7">
        <v>1</v>
      </c>
      <c r="BC374" t="s">
        <v>198</v>
      </c>
      <c r="BD374" s="7" t="s">
        <v>109</v>
      </c>
      <c r="BE374" t="s">
        <v>125</v>
      </c>
      <c r="BF374" s="1" t="s">
        <v>29</v>
      </c>
      <c r="BG374" s="1">
        <v>7</v>
      </c>
      <c r="BH374">
        <v>1</v>
      </c>
      <c r="BK374" s="1">
        <v>1</v>
      </c>
      <c r="BQ374">
        <v>1</v>
      </c>
      <c r="CR374" t="s">
        <v>72</v>
      </c>
      <c r="CS374" s="22" t="s">
        <v>354</v>
      </c>
    </row>
    <row r="375" spans="1:98">
      <c r="B375" t="s">
        <v>1485</v>
      </c>
      <c r="C375" s="2" t="s">
        <v>826</v>
      </c>
      <c r="D375" s="2" t="s">
        <v>826</v>
      </c>
      <c r="E375" s="8" t="s">
        <v>654</v>
      </c>
      <c r="F375" s="8" t="s">
        <v>65</v>
      </c>
      <c r="G375" s="1">
        <v>1</v>
      </c>
      <c r="I375" s="1">
        <f>1804-22</f>
        <v>1782</v>
      </c>
      <c r="J375" t="s">
        <v>10</v>
      </c>
      <c r="K375" t="s">
        <v>12</v>
      </c>
      <c r="Q375">
        <v>5</v>
      </c>
      <c r="R375">
        <v>2</v>
      </c>
      <c r="S375">
        <v>1</v>
      </c>
      <c r="T375" s="5">
        <f t="shared" si="11"/>
        <v>163.47999999999999</v>
      </c>
      <c r="U375" t="s">
        <v>231</v>
      </c>
      <c r="AH375" s="6">
        <v>1</v>
      </c>
      <c r="AI375" s="6">
        <v>1</v>
      </c>
      <c r="AJ375" s="6">
        <v>1</v>
      </c>
      <c r="AK375" s="6">
        <v>1</v>
      </c>
      <c r="AL375" s="7">
        <v>1</v>
      </c>
      <c r="BC375" t="s">
        <v>1486</v>
      </c>
      <c r="BD375" s="7" t="s">
        <v>280</v>
      </c>
      <c r="BE375" t="s">
        <v>62</v>
      </c>
      <c r="BF375" s="1" t="s">
        <v>29</v>
      </c>
      <c r="BG375" s="1">
        <v>4</v>
      </c>
      <c r="BH375">
        <v>2</v>
      </c>
      <c r="BI375">
        <v>1</v>
      </c>
      <c r="BK375" s="1">
        <v>1</v>
      </c>
      <c r="BQ375">
        <v>1</v>
      </c>
      <c r="CL375">
        <v>1</v>
      </c>
      <c r="CN375">
        <v>1</v>
      </c>
      <c r="CS375" s="22" t="s">
        <v>1487</v>
      </c>
    </row>
    <row r="376" spans="1:98">
      <c r="B376" t="s">
        <v>1752</v>
      </c>
      <c r="C376" s="2" t="s">
        <v>191</v>
      </c>
      <c r="D376" s="3" t="s">
        <v>192</v>
      </c>
      <c r="E376" s="12" t="s">
        <v>193</v>
      </c>
      <c r="F376" s="12" t="s">
        <v>65</v>
      </c>
      <c r="G376" s="1">
        <v>1</v>
      </c>
      <c r="I376" s="1">
        <f>1800-18</f>
        <v>1782</v>
      </c>
      <c r="J376" t="s">
        <v>10</v>
      </c>
      <c r="K376" t="s">
        <v>140</v>
      </c>
      <c r="Q376">
        <v>5</v>
      </c>
      <c r="R376">
        <v>2</v>
      </c>
      <c r="T376" s="5">
        <f t="shared" si="11"/>
        <v>163.26</v>
      </c>
      <c r="U376" t="s">
        <v>231</v>
      </c>
      <c r="AH376" s="7">
        <v>1</v>
      </c>
      <c r="BC376" s="9" t="s">
        <v>1753</v>
      </c>
      <c r="BD376" s="7" t="s">
        <v>103</v>
      </c>
      <c r="BE376" t="s">
        <v>125</v>
      </c>
      <c r="BF376" s="1" t="s">
        <v>29</v>
      </c>
      <c r="BG376" s="1">
        <v>3</v>
      </c>
      <c r="BH376">
        <v>1</v>
      </c>
      <c r="BK376" s="1">
        <v>1</v>
      </c>
      <c r="BQ376">
        <v>1</v>
      </c>
      <c r="CS376" s="22" t="s">
        <v>1754</v>
      </c>
    </row>
    <row r="377" spans="1:98">
      <c r="B377" t="s">
        <v>2418</v>
      </c>
      <c r="C377" s="15" t="s">
        <v>1212</v>
      </c>
      <c r="D377" s="2" t="s">
        <v>1212</v>
      </c>
      <c r="E377" s="13" t="s">
        <v>740</v>
      </c>
      <c r="F377" s="13" t="s">
        <v>65</v>
      </c>
      <c r="G377" s="1">
        <v>1</v>
      </c>
      <c r="I377" s="1">
        <f>1802-32</f>
        <v>1770</v>
      </c>
      <c r="J377" t="s">
        <v>69</v>
      </c>
      <c r="K377" t="s">
        <v>12</v>
      </c>
      <c r="N377">
        <v>1</v>
      </c>
      <c r="O377">
        <v>1</v>
      </c>
      <c r="P377">
        <v>1</v>
      </c>
      <c r="Q377">
        <v>5</v>
      </c>
      <c r="R377">
        <v>1</v>
      </c>
      <c r="S377">
        <v>2</v>
      </c>
      <c r="T377" s="5">
        <f t="shared" si="11"/>
        <v>161.07</v>
      </c>
      <c r="U377" t="s">
        <v>231</v>
      </c>
      <c r="AH377" s="6">
        <v>1</v>
      </c>
      <c r="AI377" s="6">
        <v>1</v>
      </c>
      <c r="AJ377" s="6">
        <v>1</v>
      </c>
      <c r="AK377" s="6">
        <v>1</v>
      </c>
      <c r="AL377" s="6">
        <v>1</v>
      </c>
      <c r="AM377" s="6">
        <v>1</v>
      </c>
      <c r="AN377" s="6">
        <v>1</v>
      </c>
      <c r="AO377" s="6">
        <v>1</v>
      </c>
      <c r="AP377" s="6">
        <v>1</v>
      </c>
      <c r="AQ377" s="6">
        <v>1</v>
      </c>
      <c r="AR377" s="6">
        <v>1</v>
      </c>
      <c r="AS377" s="6">
        <v>1</v>
      </c>
      <c r="AT377" s="6">
        <v>1</v>
      </c>
      <c r="AU377" s="6">
        <v>1</v>
      </c>
      <c r="AV377" s="6">
        <v>1</v>
      </c>
      <c r="AW377" s="6">
        <v>1</v>
      </c>
      <c r="AX377" s="6">
        <v>1</v>
      </c>
      <c r="AY377" s="7">
        <v>1</v>
      </c>
      <c r="BC377" t="s">
        <v>2419</v>
      </c>
      <c r="BD377" s="7" t="s">
        <v>103</v>
      </c>
      <c r="BE377" t="s">
        <v>183</v>
      </c>
      <c r="BF377" s="1" t="s">
        <v>29</v>
      </c>
      <c r="BG377" s="1">
        <v>3</v>
      </c>
      <c r="BH377">
        <v>5</v>
      </c>
      <c r="BI377">
        <v>1</v>
      </c>
      <c r="BK377" s="1">
        <v>1</v>
      </c>
      <c r="BQ377">
        <v>1</v>
      </c>
      <c r="BY377">
        <v>1</v>
      </c>
      <c r="CL377">
        <v>1</v>
      </c>
      <c r="CS377" s="28" t="s">
        <v>1226</v>
      </c>
    </row>
    <row r="378" spans="1:98">
      <c r="B378" t="s">
        <v>1453</v>
      </c>
      <c r="C378" s="2" t="s">
        <v>349</v>
      </c>
      <c r="D378" s="26" t="s">
        <v>192</v>
      </c>
      <c r="E378" s="8"/>
      <c r="F378" s="8" t="s">
        <v>65</v>
      </c>
      <c r="G378" s="1">
        <v>1</v>
      </c>
      <c r="I378" s="1">
        <f>1802-22</f>
        <v>1780</v>
      </c>
      <c r="J378" t="s">
        <v>10</v>
      </c>
      <c r="K378" t="s">
        <v>12</v>
      </c>
      <c r="Q378">
        <v>5</v>
      </c>
      <c r="R378">
        <v>2</v>
      </c>
      <c r="S378">
        <v>3</v>
      </c>
      <c r="T378" s="5">
        <f t="shared" si="11"/>
        <v>163.92</v>
      </c>
      <c r="U378" t="s">
        <v>1334</v>
      </c>
      <c r="AH378" s="6">
        <v>1</v>
      </c>
      <c r="AI378" s="6">
        <v>1</v>
      </c>
      <c r="AJ378" s="6">
        <v>1</v>
      </c>
      <c r="AK378" s="7">
        <v>1</v>
      </c>
      <c r="BC378" t="s">
        <v>1454</v>
      </c>
      <c r="BD378" s="7" t="s">
        <v>26</v>
      </c>
      <c r="BE378" t="s">
        <v>62</v>
      </c>
      <c r="BF378" s="1" t="s">
        <v>29</v>
      </c>
      <c r="BG378" s="1">
        <v>4</v>
      </c>
      <c r="BH378">
        <v>2</v>
      </c>
      <c r="BI378">
        <v>1</v>
      </c>
      <c r="BK378" s="1">
        <v>1</v>
      </c>
      <c r="BQ378">
        <v>1</v>
      </c>
      <c r="CL378">
        <v>1</v>
      </c>
      <c r="CS378" s="7" t="s">
        <v>1455</v>
      </c>
    </row>
    <row r="379" spans="1:98">
      <c r="B379" t="s">
        <v>1332</v>
      </c>
      <c r="C379" s="2" t="s">
        <v>1333</v>
      </c>
      <c r="D379" s="15"/>
      <c r="E379" s="8"/>
      <c r="F379" s="8" t="s">
        <v>65</v>
      </c>
      <c r="G379" s="1">
        <v>1</v>
      </c>
      <c r="I379" s="1">
        <f>1802-20</f>
        <v>1782</v>
      </c>
      <c r="J379" t="s">
        <v>10</v>
      </c>
      <c r="K379" t="s">
        <v>12</v>
      </c>
      <c r="Q379">
        <v>5</v>
      </c>
      <c r="R379">
        <v>1</v>
      </c>
      <c r="T379" s="5">
        <f t="shared" si="11"/>
        <v>160.63</v>
      </c>
      <c r="U379" t="s">
        <v>1334</v>
      </c>
      <c r="AH379" s="6">
        <v>1</v>
      </c>
      <c r="AI379" s="6">
        <v>1</v>
      </c>
      <c r="AJ379" s="6">
        <v>1</v>
      </c>
      <c r="AK379" s="6">
        <v>1</v>
      </c>
      <c r="AL379" s="6">
        <v>1</v>
      </c>
      <c r="AM379" s="7">
        <v>1</v>
      </c>
      <c r="BC379" t="s">
        <v>1329</v>
      </c>
      <c r="BD379" s="7" t="s">
        <v>103</v>
      </c>
      <c r="BE379" t="s">
        <v>125</v>
      </c>
      <c r="BF379" s="1" t="s">
        <v>29</v>
      </c>
      <c r="BG379" s="1">
        <v>11</v>
      </c>
      <c r="BH379">
        <v>1</v>
      </c>
      <c r="BK379" s="1">
        <v>1</v>
      </c>
      <c r="BQ379">
        <v>1</v>
      </c>
      <c r="CS379" s="7" t="s">
        <v>1399</v>
      </c>
    </row>
    <row r="380" spans="1:98">
      <c r="B380" t="s">
        <v>1414</v>
      </c>
      <c r="C380" s="2" t="s">
        <v>1415</v>
      </c>
      <c r="D380" s="15"/>
      <c r="E380" s="8"/>
      <c r="F380" s="8" t="s">
        <v>65</v>
      </c>
      <c r="G380" s="27">
        <v>1</v>
      </c>
      <c r="I380" s="1">
        <f>1802-28</f>
        <v>1774</v>
      </c>
      <c r="J380" t="s">
        <v>69</v>
      </c>
      <c r="K380" t="s">
        <v>12</v>
      </c>
      <c r="Q380">
        <v>5</v>
      </c>
      <c r="R380">
        <v>4</v>
      </c>
      <c r="S380">
        <v>3</v>
      </c>
      <c r="T380" s="5">
        <f t="shared" si="11"/>
        <v>169.18</v>
      </c>
      <c r="U380" t="s">
        <v>1334</v>
      </c>
      <c r="AH380" s="6">
        <v>1</v>
      </c>
      <c r="AI380" s="6">
        <v>1</v>
      </c>
      <c r="AJ380" s="6">
        <v>1</v>
      </c>
      <c r="AK380" s="7">
        <v>1</v>
      </c>
      <c r="BC380" t="s">
        <v>1416</v>
      </c>
      <c r="BD380" s="7" t="s">
        <v>103</v>
      </c>
      <c r="BE380" t="s">
        <v>125</v>
      </c>
      <c r="BF380" s="1" t="s">
        <v>29</v>
      </c>
      <c r="BG380" s="1">
        <v>5</v>
      </c>
      <c r="BH380">
        <v>1</v>
      </c>
      <c r="BK380" s="1">
        <v>1</v>
      </c>
      <c r="BQ380">
        <v>1</v>
      </c>
      <c r="CS380" s="7" t="s">
        <v>1417</v>
      </c>
    </row>
    <row r="381" spans="1:98">
      <c r="A381" t="s">
        <v>7</v>
      </c>
      <c r="B381" t="s">
        <v>2606</v>
      </c>
      <c r="C381" s="2"/>
      <c r="D381" s="2"/>
      <c r="E381" s="8"/>
      <c r="F381" t="s">
        <v>7</v>
      </c>
      <c r="T381" s="5"/>
      <c r="U381" s="9" t="s">
        <v>2607</v>
      </c>
      <c r="AH381" s="9">
        <v>1</v>
      </c>
      <c r="AI381" s="7">
        <v>1</v>
      </c>
      <c r="BC381" t="s">
        <v>2608</v>
      </c>
      <c r="BD381" s="7" t="s">
        <v>280</v>
      </c>
      <c r="BE381" t="s">
        <v>124</v>
      </c>
      <c r="BF381" s="1" t="s">
        <v>29</v>
      </c>
      <c r="BG381" s="1">
        <v>1</v>
      </c>
      <c r="BH381">
        <v>1</v>
      </c>
      <c r="BQ381">
        <v>1</v>
      </c>
      <c r="CN381">
        <v>1</v>
      </c>
      <c r="CS381" s="7" t="s">
        <v>2609</v>
      </c>
    </row>
    <row r="382" spans="1:98">
      <c r="A382" t="s">
        <v>7</v>
      </c>
      <c r="B382" t="s">
        <v>2614</v>
      </c>
      <c r="C382" s="2"/>
      <c r="D382" s="2"/>
      <c r="E382" s="8"/>
      <c r="F382" s="8" t="s">
        <v>7</v>
      </c>
      <c r="T382" s="5"/>
      <c r="U382" s="9" t="s">
        <v>2607</v>
      </c>
      <c r="AH382" s="9">
        <v>1</v>
      </c>
      <c r="AI382" s="7">
        <v>1</v>
      </c>
      <c r="BC382" t="s">
        <v>2615</v>
      </c>
      <c r="BD382" s="7" t="s">
        <v>26</v>
      </c>
      <c r="BE382" t="s">
        <v>124</v>
      </c>
      <c r="BF382" s="1" t="s">
        <v>29</v>
      </c>
      <c r="BG382" s="1">
        <v>1</v>
      </c>
      <c r="BH382">
        <v>1</v>
      </c>
      <c r="BQ382">
        <v>1</v>
      </c>
      <c r="CS382" s="7" t="s">
        <v>2616</v>
      </c>
    </row>
    <row r="383" spans="1:98">
      <c r="B383" t="s">
        <v>2760</v>
      </c>
      <c r="C383" s="2" t="s">
        <v>1500</v>
      </c>
      <c r="D383" s="2" t="s">
        <v>1500</v>
      </c>
      <c r="E383" s="8" t="s">
        <v>238</v>
      </c>
      <c r="F383" s="8" t="s">
        <v>65</v>
      </c>
      <c r="G383" s="1">
        <v>1</v>
      </c>
      <c r="I383" s="1">
        <f>1802-22</f>
        <v>1780</v>
      </c>
      <c r="J383" t="s">
        <v>69</v>
      </c>
      <c r="K383" t="s">
        <v>197</v>
      </c>
      <c r="N383">
        <v>1</v>
      </c>
      <c r="Q383">
        <v>5</v>
      </c>
      <c r="R383">
        <v>4</v>
      </c>
      <c r="T383" s="5">
        <f t="shared" si="11"/>
        <v>168.52</v>
      </c>
      <c r="U383" t="s">
        <v>2761</v>
      </c>
      <c r="AH383" s="6">
        <v>1</v>
      </c>
      <c r="AI383" s="6">
        <v>1</v>
      </c>
      <c r="AJ383" s="6">
        <v>1</v>
      </c>
      <c r="AK383" s="7">
        <v>1</v>
      </c>
      <c r="BC383" t="s">
        <v>1416</v>
      </c>
      <c r="BD383" s="7" t="s">
        <v>280</v>
      </c>
      <c r="BE383" t="s">
        <v>2005</v>
      </c>
      <c r="BF383" s="1" t="s">
        <v>29</v>
      </c>
      <c r="BG383" s="1">
        <v>3</v>
      </c>
      <c r="BH383">
        <v>1</v>
      </c>
      <c r="BK383" s="30">
        <v>1</v>
      </c>
      <c r="BN383" s="6">
        <v>1</v>
      </c>
      <c r="BQ383">
        <v>1</v>
      </c>
      <c r="CN383">
        <v>1</v>
      </c>
      <c r="CS383" s="7" t="s">
        <v>2748</v>
      </c>
      <c r="CT383" s="6" t="s">
        <v>2762</v>
      </c>
    </row>
    <row r="384" spans="1:98">
      <c r="B384" t="s">
        <v>1314</v>
      </c>
      <c r="C384" s="13" t="s">
        <v>1315</v>
      </c>
      <c r="D384" s="15"/>
      <c r="E384" s="8"/>
      <c r="F384" s="8" t="s">
        <v>234</v>
      </c>
      <c r="G384" s="1">
        <v>1</v>
      </c>
      <c r="I384" s="1">
        <f>1802-24</f>
        <v>1778</v>
      </c>
      <c r="J384" t="s">
        <v>69</v>
      </c>
      <c r="K384" t="s">
        <v>904</v>
      </c>
      <c r="N384">
        <v>1</v>
      </c>
      <c r="O384">
        <v>1</v>
      </c>
      <c r="P384">
        <v>1</v>
      </c>
      <c r="Q384">
        <v>5</v>
      </c>
      <c r="R384">
        <v>2</v>
      </c>
      <c r="T384" s="5">
        <f t="shared" si="11"/>
        <v>163.26</v>
      </c>
      <c r="U384" t="s">
        <v>1316</v>
      </c>
      <c r="AH384" s="6">
        <v>1</v>
      </c>
      <c r="AI384" s="6">
        <v>1</v>
      </c>
      <c r="AJ384" s="6">
        <v>1</v>
      </c>
      <c r="AK384" s="6">
        <v>1</v>
      </c>
      <c r="AL384" s="6">
        <v>1</v>
      </c>
      <c r="AM384" s="6">
        <v>1</v>
      </c>
      <c r="AN384" s="7">
        <v>1</v>
      </c>
      <c r="AO384" s="7">
        <v>1</v>
      </c>
      <c r="AP384" s="7">
        <v>1</v>
      </c>
      <c r="AQ384" s="7">
        <v>1</v>
      </c>
      <c r="BC384" t="s">
        <v>198</v>
      </c>
      <c r="BD384" s="7" t="s">
        <v>959</v>
      </c>
      <c r="BE384" s="7" t="s">
        <v>1317</v>
      </c>
      <c r="BF384" s="1" t="s">
        <v>29</v>
      </c>
      <c r="BG384" s="1">
        <v>12</v>
      </c>
      <c r="BH384">
        <v>2</v>
      </c>
      <c r="BI384">
        <v>1</v>
      </c>
      <c r="BJ384">
        <v>1</v>
      </c>
      <c r="BK384" s="1">
        <v>1</v>
      </c>
      <c r="BQ384">
        <v>1</v>
      </c>
      <c r="CB384" s="7">
        <v>1</v>
      </c>
      <c r="CS384" s="7" t="s">
        <v>1318</v>
      </c>
    </row>
    <row r="385" spans="1:97">
      <c r="B385" t="s">
        <v>1488</v>
      </c>
      <c r="C385" s="15" t="s">
        <v>166</v>
      </c>
      <c r="D385" s="15"/>
      <c r="E385" s="8"/>
      <c r="F385" s="8" t="s">
        <v>65</v>
      </c>
      <c r="G385" s="1">
        <v>1</v>
      </c>
      <c r="I385" s="1">
        <f>1803-53</f>
        <v>1750</v>
      </c>
      <c r="J385" t="s">
        <v>69</v>
      </c>
      <c r="K385" t="s">
        <v>12</v>
      </c>
      <c r="M385">
        <v>1</v>
      </c>
      <c r="O385">
        <v>2</v>
      </c>
      <c r="P385">
        <v>2</v>
      </c>
      <c r="Q385">
        <v>5</v>
      </c>
      <c r="R385">
        <v>4</v>
      </c>
      <c r="T385" s="5">
        <f t="shared" si="11"/>
        <v>168.52</v>
      </c>
      <c r="U385" t="s">
        <v>1316</v>
      </c>
      <c r="AH385" s="6">
        <v>1</v>
      </c>
      <c r="AI385" s="6">
        <v>1</v>
      </c>
      <c r="AJ385" s="6">
        <v>1</v>
      </c>
      <c r="AK385" s="6">
        <v>1</v>
      </c>
      <c r="AL385" s="6">
        <v>1</v>
      </c>
      <c r="AM385" s="7">
        <v>1</v>
      </c>
      <c r="BC385" t="s">
        <v>1472</v>
      </c>
      <c r="BD385" s="7" t="s">
        <v>109</v>
      </c>
      <c r="BE385" s="31" t="s">
        <v>62</v>
      </c>
      <c r="BF385" s="1" t="s">
        <v>29</v>
      </c>
      <c r="BG385" s="1">
        <v>7</v>
      </c>
      <c r="BH385">
        <v>2</v>
      </c>
      <c r="BI385" s="31">
        <v>1</v>
      </c>
      <c r="BK385">
        <v>1</v>
      </c>
      <c r="BQ385">
        <v>1</v>
      </c>
      <c r="CL385">
        <v>1</v>
      </c>
      <c r="CS385" s="7" t="s">
        <v>1473</v>
      </c>
    </row>
    <row r="386" spans="1:97">
      <c r="B386" t="s">
        <v>1851</v>
      </c>
      <c r="C386" s="13" t="s">
        <v>1852</v>
      </c>
      <c r="D386" s="15"/>
      <c r="E386" s="8" t="s">
        <v>1281</v>
      </c>
      <c r="F386" s="8" t="s">
        <v>247</v>
      </c>
      <c r="G386" s="1">
        <v>1</v>
      </c>
      <c r="I386" s="1">
        <f>1804-37</f>
        <v>1767</v>
      </c>
      <c r="J386" t="s">
        <v>10</v>
      </c>
      <c r="K386" t="s">
        <v>12</v>
      </c>
      <c r="Q386">
        <v>5</v>
      </c>
      <c r="R386">
        <v>4</v>
      </c>
      <c r="T386" s="5">
        <f t="shared" si="11"/>
        <v>168.52</v>
      </c>
      <c r="U386" t="s">
        <v>1853</v>
      </c>
      <c r="AH386" s="6">
        <v>1</v>
      </c>
      <c r="AI386" s="6">
        <v>1</v>
      </c>
      <c r="AJ386" s="6">
        <v>1</v>
      </c>
      <c r="AK386" s="6">
        <v>1</v>
      </c>
      <c r="AL386" s="6">
        <v>1</v>
      </c>
      <c r="BC386">
        <v>1804</v>
      </c>
      <c r="BD386" t="s">
        <v>81</v>
      </c>
      <c r="BE386" s="31" t="s">
        <v>1854</v>
      </c>
      <c r="BF386" s="1" t="s">
        <v>29</v>
      </c>
      <c r="BG386" s="1">
        <v>3</v>
      </c>
      <c r="BH386">
        <v>1</v>
      </c>
      <c r="BI386" s="31"/>
      <c r="BK386" t="s">
        <v>72</v>
      </c>
      <c r="BQ386">
        <v>1</v>
      </c>
      <c r="CS386" t="s">
        <v>1855</v>
      </c>
    </row>
    <row r="387" spans="1:97">
      <c r="A387" t="s">
        <v>7</v>
      </c>
      <c r="B387" t="s">
        <v>1726</v>
      </c>
      <c r="C387" s="13"/>
      <c r="D387" s="15"/>
      <c r="E387" s="8"/>
      <c r="F387" t="s">
        <v>7</v>
      </c>
      <c r="T387" s="5"/>
      <c r="U387" t="s">
        <v>1727</v>
      </c>
      <c r="AH387" s="6">
        <v>1</v>
      </c>
      <c r="AI387" s="7">
        <v>1</v>
      </c>
      <c r="BC387" t="s">
        <v>324</v>
      </c>
      <c r="BD387" s="7" t="s">
        <v>109</v>
      </c>
      <c r="BE387" t="s">
        <v>125</v>
      </c>
      <c r="BF387" s="1" t="s">
        <v>29</v>
      </c>
      <c r="BG387" s="1">
        <v>2</v>
      </c>
      <c r="BH387">
        <v>1</v>
      </c>
      <c r="BK387" s="1">
        <v>1</v>
      </c>
      <c r="BN387">
        <v>1</v>
      </c>
      <c r="BQ387">
        <v>1</v>
      </c>
      <c r="CS387" s="7" t="s">
        <v>1313</v>
      </c>
    </row>
    <row r="388" spans="1:97">
      <c r="B388" t="s">
        <v>2193</v>
      </c>
      <c r="C388" s="2" t="s">
        <v>1996</v>
      </c>
      <c r="D388" s="2" t="s">
        <v>1996</v>
      </c>
      <c r="E388" s="8" t="s">
        <v>920</v>
      </c>
      <c r="F388" s="8" t="s">
        <v>115</v>
      </c>
      <c r="G388" s="1">
        <v>1</v>
      </c>
      <c r="I388" s="1">
        <f>1803-34</f>
        <v>1769</v>
      </c>
      <c r="J388" t="s">
        <v>69</v>
      </c>
      <c r="K388" t="s">
        <v>12</v>
      </c>
      <c r="N388">
        <v>1</v>
      </c>
      <c r="Q388">
        <v>5</v>
      </c>
      <c r="R388">
        <v>1</v>
      </c>
      <c r="S388">
        <v>1</v>
      </c>
      <c r="T388" s="5">
        <f t="shared" ref="T388:T406" si="12">((Q388*316)+(R388*26.3)+(S388*2.2))/10</f>
        <v>160.85</v>
      </c>
      <c r="U388" t="s">
        <v>1727</v>
      </c>
      <c r="AH388" s="6">
        <v>1</v>
      </c>
      <c r="AI388" s="6">
        <v>1</v>
      </c>
      <c r="AJ388" s="6">
        <v>1</v>
      </c>
      <c r="AK388" s="6">
        <v>1</v>
      </c>
      <c r="AL388" s="6">
        <v>1</v>
      </c>
      <c r="AM388" s="6">
        <v>1</v>
      </c>
      <c r="AN388" s="7">
        <v>1</v>
      </c>
      <c r="BC388" t="s">
        <v>1501</v>
      </c>
      <c r="BD388" s="7" t="s">
        <v>109</v>
      </c>
      <c r="BE388" t="s">
        <v>1502</v>
      </c>
      <c r="BF388" s="1" t="s">
        <v>29</v>
      </c>
      <c r="BG388" s="1">
        <v>3</v>
      </c>
      <c r="BH388">
        <v>1</v>
      </c>
      <c r="BK388" s="1">
        <v>1</v>
      </c>
      <c r="BQ388">
        <v>1</v>
      </c>
      <c r="CS388" s="7" t="s">
        <v>354</v>
      </c>
    </row>
    <row r="389" spans="1:97">
      <c r="B389" t="s">
        <v>1888</v>
      </c>
      <c r="C389" s="2" t="s">
        <v>1641</v>
      </c>
      <c r="D389" s="2" t="s">
        <v>1641</v>
      </c>
      <c r="E389" s="8" t="s">
        <v>1532</v>
      </c>
      <c r="F389" s="8" t="s">
        <v>115</v>
      </c>
      <c r="G389" s="1">
        <v>1</v>
      </c>
      <c r="I389" s="1">
        <f>1803-35</f>
        <v>1768</v>
      </c>
      <c r="J389" t="s">
        <v>69</v>
      </c>
      <c r="K389" t="s">
        <v>12</v>
      </c>
      <c r="N389">
        <v>1</v>
      </c>
      <c r="Q389">
        <v>5</v>
      </c>
      <c r="R389">
        <v>3</v>
      </c>
      <c r="T389" s="5">
        <f t="shared" si="12"/>
        <v>165.89000000000001</v>
      </c>
      <c r="U389" t="s">
        <v>1727</v>
      </c>
      <c r="AH389" s="6">
        <v>1</v>
      </c>
      <c r="AI389" s="6">
        <v>1</v>
      </c>
      <c r="AJ389" s="6">
        <v>1</v>
      </c>
      <c r="AK389" s="6">
        <v>1</v>
      </c>
      <c r="AL389" s="6">
        <v>1</v>
      </c>
      <c r="AM389" s="7">
        <v>1</v>
      </c>
      <c r="BC389" t="s">
        <v>1889</v>
      </c>
      <c r="BD389" s="7" t="s">
        <v>103</v>
      </c>
      <c r="BE389" t="s">
        <v>1502</v>
      </c>
      <c r="BF389" s="1" t="s">
        <v>29</v>
      </c>
      <c r="BG389" s="1">
        <v>4</v>
      </c>
      <c r="BH389">
        <v>1</v>
      </c>
      <c r="BJ389">
        <v>1</v>
      </c>
      <c r="BK389" s="1">
        <v>1</v>
      </c>
      <c r="BN389">
        <v>1</v>
      </c>
      <c r="BQ389">
        <v>1</v>
      </c>
      <c r="CS389" s="7" t="s">
        <v>361</v>
      </c>
    </row>
    <row r="390" spans="1:97">
      <c r="B390" t="s">
        <v>236</v>
      </c>
      <c r="C390" s="15" t="s">
        <v>237</v>
      </c>
      <c r="D390" s="15" t="s">
        <v>237</v>
      </c>
      <c r="E390" s="8" t="s">
        <v>238</v>
      </c>
      <c r="F390" s="8" t="s">
        <v>65</v>
      </c>
      <c r="G390" s="1">
        <v>1</v>
      </c>
      <c r="I390" s="1">
        <f>1802-21</f>
        <v>1781</v>
      </c>
      <c r="J390" t="s">
        <v>10</v>
      </c>
      <c r="K390" t="s">
        <v>12</v>
      </c>
      <c r="Q390">
        <v>5</v>
      </c>
      <c r="R390">
        <v>5</v>
      </c>
      <c r="S390">
        <v>3</v>
      </c>
      <c r="T390" s="5">
        <f t="shared" si="12"/>
        <v>171.81</v>
      </c>
      <c r="U390" t="s">
        <v>239</v>
      </c>
      <c r="AH390" s="6">
        <v>1</v>
      </c>
      <c r="AI390" s="6">
        <v>1</v>
      </c>
      <c r="AJ390" s="6">
        <v>1</v>
      </c>
      <c r="AK390" s="6">
        <v>1</v>
      </c>
      <c r="AL390" s="6">
        <v>1</v>
      </c>
      <c r="AM390" s="6">
        <v>1</v>
      </c>
      <c r="AN390" s="7">
        <v>1</v>
      </c>
      <c r="BC390" t="s">
        <v>198</v>
      </c>
      <c r="BD390" s="7" t="s">
        <v>109</v>
      </c>
      <c r="BE390" t="s">
        <v>125</v>
      </c>
      <c r="BF390" s="1" t="s">
        <v>29</v>
      </c>
      <c r="BG390" s="1">
        <v>10</v>
      </c>
      <c r="BH390">
        <v>1</v>
      </c>
      <c r="BK390" s="1">
        <v>1</v>
      </c>
      <c r="BQ390">
        <v>1</v>
      </c>
      <c r="CS390" s="7" t="s">
        <v>354</v>
      </c>
    </row>
    <row r="391" spans="1:97">
      <c r="B391" t="s">
        <v>1952</v>
      </c>
      <c r="C391" s="2" t="s">
        <v>1953</v>
      </c>
      <c r="D391" s="2" t="s">
        <v>1953</v>
      </c>
      <c r="E391" s="8" t="s">
        <v>1442</v>
      </c>
      <c r="F391" s="8" t="s">
        <v>65</v>
      </c>
      <c r="G391" s="1">
        <v>1</v>
      </c>
      <c r="I391" s="1">
        <f>1803-38</f>
        <v>1765</v>
      </c>
      <c r="J391" t="s">
        <v>69</v>
      </c>
      <c r="K391" t="s">
        <v>12</v>
      </c>
      <c r="N391">
        <v>1</v>
      </c>
      <c r="T391" s="5"/>
      <c r="U391" t="s">
        <v>239</v>
      </c>
      <c r="AH391" s="6">
        <v>1</v>
      </c>
      <c r="AI391" s="6">
        <v>1</v>
      </c>
      <c r="AJ391" s="6">
        <v>1</v>
      </c>
      <c r="AK391" s="6">
        <v>1</v>
      </c>
      <c r="AL391" s="6">
        <v>1</v>
      </c>
      <c r="AM391" s="6">
        <v>1</v>
      </c>
      <c r="AN391" s="7">
        <v>1</v>
      </c>
      <c r="BC391" t="s">
        <v>1501</v>
      </c>
      <c r="BD391" s="7" t="s">
        <v>109</v>
      </c>
      <c r="BE391" t="s">
        <v>1502</v>
      </c>
      <c r="BF391" s="1" t="s">
        <v>29</v>
      </c>
      <c r="BG391" s="1">
        <v>4</v>
      </c>
      <c r="BH391">
        <v>2</v>
      </c>
      <c r="BK391" s="1" t="s">
        <v>72</v>
      </c>
      <c r="BQ391">
        <v>1</v>
      </c>
      <c r="CL391">
        <v>1</v>
      </c>
      <c r="CS391" s="7" t="s">
        <v>354</v>
      </c>
    </row>
    <row r="392" spans="1:97">
      <c r="B392" t="s">
        <v>1651</v>
      </c>
      <c r="C392" s="2" t="s">
        <v>1305</v>
      </c>
      <c r="D392" s="2" t="s">
        <v>1305</v>
      </c>
      <c r="E392" s="8" t="s">
        <v>1306</v>
      </c>
      <c r="F392" s="8" t="s">
        <v>65</v>
      </c>
      <c r="G392" s="1">
        <v>1</v>
      </c>
      <c r="I392" s="1">
        <f>1800-20</f>
        <v>1780</v>
      </c>
      <c r="J392" t="s">
        <v>10</v>
      </c>
      <c r="K392" t="s">
        <v>197</v>
      </c>
      <c r="Q392">
        <v>5</v>
      </c>
      <c r="R392">
        <v>3</v>
      </c>
      <c r="S392">
        <v>3</v>
      </c>
      <c r="T392" s="5">
        <f t="shared" si="12"/>
        <v>166.55</v>
      </c>
      <c r="U392" t="s">
        <v>239</v>
      </c>
      <c r="AH392" s="6">
        <v>1</v>
      </c>
      <c r="AI392" s="6">
        <v>1</v>
      </c>
      <c r="AJ392" s="7">
        <v>1</v>
      </c>
      <c r="BC392" t="s">
        <v>1652</v>
      </c>
      <c r="BD392" s="7" t="s">
        <v>280</v>
      </c>
      <c r="BE392" t="s">
        <v>125</v>
      </c>
      <c r="BF392" s="1" t="s">
        <v>29</v>
      </c>
      <c r="BG392" s="1">
        <v>5</v>
      </c>
      <c r="BH392">
        <v>1</v>
      </c>
      <c r="BK392">
        <v>1</v>
      </c>
      <c r="BQ392">
        <v>1</v>
      </c>
      <c r="CN392">
        <v>1</v>
      </c>
      <c r="CS392" s="7" t="s">
        <v>328</v>
      </c>
    </row>
    <row r="393" spans="1:97">
      <c r="B393" t="s">
        <v>1775</v>
      </c>
      <c r="C393" s="2" t="s">
        <v>1776</v>
      </c>
      <c r="D393" s="2" t="s">
        <v>1776</v>
      </c>
      <c r="E393" s="8" t="s">
        <v>740</v>
      </c>
      <c r="F393" s="8" t="s">
        <v>65</v>
      </c>
      <c r="G393" s="1">
        <v>1</v>
      </c>
      <c r="I393" s="1">
        <f>1800-26</f>
        <v>1774</v>
      </c>
      <c r="J393" t="s">
        <v>10</v>
      </c>
      <c r="K393" t="s">
        <v>12</v>
      </c>
      <c r="Q393">
        <v>5</v>
      </c>
      <c r="R393">
        <v>7</v>
      </c>
      <c r="T393" s="5">
        <f t="shared" si="12"/>
        <v>176.41</v>
      </c>
      <c r="U393" t="s">
        <v>1774</v>
      </c>
      <c r="AH393" s="6">
        <v>1</v>
      </c>
      <c r="AI393" s="7">
        <v>1</v>
      </c>
      <c r="BC393" t="s">
        <v>1777</v>
      </c>
      <c r="BD393" s="7" t="s">
        <v>280</v>
      </c>
      <c r="BE393" t="s">
        <v>125</v>
      </c>
      <c r="BF393" s="1" t="s">
        <v>29</v>
      </c>
      <c r="BG393" s="1">
        <v>3</v>
      </c>
      <c r="BH393">
        <v>1</v>
      </c>
      <c r="BK393" s="1">
        <v>1</v>
      </c>
      <c r="BQ393">
        <v>1</v>
      </c>
      <c r="CN393">
        <v>1</v>
      </c>
      <c r="CS393" s="7" t="s">
        <v>328</v>
      </c>
    </row>
    <row r="394" spans="1:97">
      <c r="B394" t="s">
        <v>1773</v>
      </c>
      <c r="C394" s="2" t="s">
        <v>191</v>
      </c>
      <c r="D394" s="3" t="s">
        <v>192</v>
      </c>
      <c r="E394" s="12" t="s">
        <v>193</v>
      </c>
      <c r="F394" s="12" t="s">
        <v>65</v>
      </c>
      <c r="G394" s="1">
        <v>1</v>
      </c>
      <c r="I394" s="1">
        <f>1800-24</f>
        <v>1776</v>
      </c>
      <c r="J394" t="s">
        <v>10</v>
      </c>
      <c r="K394" t="s">
        <v>12</v>
      </c>
      <c r="Q394">
        <v>5</v>
      </c>
      <c r="R394">
        <v>2</v>
      </c>
      <c r="S394">
        <v>1</v>
      </c>
      <c r="T394" s="5">
        <f t="shared" si="12"/>
        <v>163.47999999999999</v>
      </c>
      <c r="U394" t="s">
        <v>1774</v>
      </c>
      <c r="AH394" s="6">
        <v>1</v>
      </c>
      <c r="AI394" s="7">
        <v>1</v>
      </c>
      <c r="BC394" t="s">
        <v>324</v>
      </c>
      <c r="BD394" s="7" t="s">
        <v>109</v>
      </c>
      <c r="BE394" t="s">
        <v>125</v>
      </c>
      <c r="BF394" s="1" t="s">
        <v>29</v>
      </c>
      <c r="BG394" s="1">
        <v>3</v>
      </c>
      <c r="BH394">
        <v>1</v>
      </c>
      <c r="BK394" s="1">
        <v>1</v>
      </c>
      <c r="BQ394">
        <v>1</v>
      </c>
      <c r="CS394" s="22" t="s">
        <v>1313</v>
      </c>
    </row>
    <row r="395" spans="1:97">
      <c r="B395" t="s">
        <v>2768</v>
      </c>
      <c r="C395" s="2" t="s">
        <v>2769</v>
      </c>
      <c r="D395" s="2" t="s">
        <v>2769</v>
      </c>
      <c r="E395" s="21" t="s">
        <v>1912</v>
      </c>
      <c r="F395" s="13" t="s">
        <v>65</v>
      </c>
      <c r="G395" s="1">
        <v>1</v>
      </c>
      <c r="I395" s="1">
        <f>1802-21</f>
        <v>1781</v>
      </c>
      <c r="J395" t="s">
        <v>10</v>
      </c>
      <c r="K395" t="s">
        <v>12</v>
      </c>
      <c r="Q395">
        <v>5</v>
      </c>
      <c r="R395">
        <v>3</v>
      </c>
      <c r="T395" s="5">
        <f t="shared" si="12"/>
        <v>165.89000000000001</v>
      </c>
      <c r="U395" t="s">
        <v>2770</v>
      </c>
      <c r="AH395" s="6">
        <v>1</v>
      </c>
      <c r="AI395" s="6">
        <v>1</v>
      </c>
      <c r="AJ395" s="6">
        <v>1</v>
      </c>
      <c r="AK395" s="7">
        <v>1</v>
      </c>
      <c r="BC395" t="s">
        <v>1948</v>
      </c>
      <c r="BD395" s="7" t="s">
        <v>103</v>
      </c>
      <c r="BE395" t="s">
        <v>2005</v>
      </c>
      <c r="BF395" s="1" t="s">
        <v>29</v>
      </c>
      <c r="BG395" s="1">
        <v>2</v>
      </c>
      <c r="BH395">
        <v>1</v>
      </c>
      <c r="BK395" s="1">
        <v>1</v>
      </c>
      <c r="BQ395">
        <v>1</v>
      </c>
      <c r="CL395">
        <v>1</v>
      </c>
      <c r="CS395" s="28" t="s">
        <v>2172</v>
      </c>
    </row>
    <row r="396" spans="1:97">
      <c r="B396" t="s">
        <v>1793</v>
      </c>
      <c r="C396" s="2" t="s">
        <v>191</v>
      </c>
      <c r="D396" s="3" t="s">
        <v>192</v>
      </c>
      <c r="E396" s="12" t="s">
        <v>193</v>
      </c>
      <c r="F396" s="12" t="s">
        <v>65</v>
      </c>
      <c r="G396" s="1">
        <v>1</v>
      </c>
      <c r="I396" s="1">
        <f>1800-24</f>
        <v>1776</v>
      </c>
      <c r="J396" t="s">
        <v>10</v>
      </c>
      <c r="K396" t="s">
        <v>12</v>
      </c>
      <c r="Q396">
        <v>5</v>
      </c>
      <c r="R396">
        <v>2</v>
      </c>
      <c r="S396">
        <v>1</v>
      </c>
      <c r="T396" s="5">
        <f t="shared" si="12"/>
        <v>163.47999999999999</v>
      </c>
      <c r="U396" t="s">
        <v>1794</v>
      </c>
      <c r="AH396" s="10">
        <v>1</v>
      </c>
      <c r="BC396" t="s">
        <v>1795</v>
      </c>
      <c r="BD396" t="s">
        <v>81</v>
      </c>
      <c r="BE396" s="10" t="s">
        <v>125</v>
      </c>
      <c r="BF396" s="1" t="s">
        <v>29</v>
      </c>
      <c r="BG396" s="1">
        <v>2</v>
      </c>
      <c r="BH396">
        <v>2</v>
      </c>
      <c r="BK396" s="1">
        <v>1</v>
      </c>
      <c r="BQ396">
        <v>1</v>
      </c>
      <c r="BZ396">
        <v>1</v>
      </c>
      <c r="CK396" s="10">
        <v>1</v>
      </c>
      <c r="CS396" s="33" t="s">
        <v>111</v>
      </c>
    </row>
    <row r="397" spans="1:97">
      <c r="B397" t="s">
        <v>2212</v>
      </c>
      <c r="C397" s="2" t="s">
        <v>2213</v>
      </c>
      <c r="D397" s="2" t="s">
        <v>2213</v>
      </c>
      <c r="E397" s="13" t="s">
        <v>920</v>
      </c>
      <c r="F397" s="13" t="s">
        <v>115</v>
      </c>
      <c r="G397" s="1">
        <v>1</v>
      </c>
      <c r="I397" s="1">
        <f>1804-22</f>
        <v>1782</v>
      </c>
      <c r="J397" t="s">
        <v>10</v>
      </c>
      <c r="K397" t="s">
        <v>12</v>
      </c>
      <c r="Q397">
        <v>5</v>
      </c>
      <c r="R397">
        <v>2</v>
      </c>
      <c r="S397">
        <v>3</v>
      </c>
      <c r="T397" s="5">
        <f t="shared" si="12"/>
        <v>163.92</v>
      </c>
      <c r="U397" t="s">
        <v>2211</v>
      </c>
      <c r="AH397" s="6">
        <v>1</v>
      </c>
      <c r="AI397" s="6">
        <v>1</v>
      </c>
      <c r="AJ397" s="6">
        <v>1</v>
      </c>
      <c r="AK397" s="6">
        <v>1</v>
      </c>
      <c r="AL397" s="6">
        <v>1</v>
      </c>
      <c r="AM397" s="6">
        <v>1</v>
      </c>
      <c r="AN397" s="7">
        <v>1</v>
      </c>
      <c r="BC397" t="s">
        <v>1501</v>
      </c>
      <c r="BD397" s="7" t="s">
        <v>103</v>
      </c>
      <c r="BE397" t="s">
        <v>1502</v>
      </c>
      <c r="BF397" s="1" t="s">
        <v>29</v>
      </c>
      <c r="BG397" s="1">
        <v>3</v>
      </c>
      <c r="BH397">
        <v>1</v>
      </c>
      <c r="BK397" s="1">
        <v>1</v>
      </c>
      <c r="BQ397">
        <v>1</v>
      </c>
      <c r="CS397" s="28" t="s">
        <v>2089</v>
      </c>
    </row>
    <row r="398" spans="1:97">
      <c r="B398" t="s">
        <v>2831</v>
      </c>
      <c r="C398" s="2" t="s">
        <v>2829</v>
      </c>
      <c r="D398" s="2" t="s">
        <v>2829</v>
      </c>
      <c r="E398" s="13" t="s">
        <v>238</v>
      </c>
      <c r="F398" s="13" t="s">
        <v>65</v>
      </c>
      <c r="G398" s="1">
        <v>1</v>
      </c>
      <c r="I398" s="1">
        <f>1804-23</f>
        <v>1781</v>
      </c>
      <c r="J398" t="s">
        <v>10</v>
      </c>
      <c r="K398" t="s">
        <v>12</v>
      </c>
      <c r="Q398">
        <v>5</v>
      </c>
      <c r="R398">
        <v>3</v>
      </c>
      <c r="S398">
        <v>1</v>
      </c>
      <c r="T398" s="5">
        <f t="shared" si="12"/>
        <v>166.11</v>
      </c>
      <c r="U398" t="s">
        <v>2211</v>
      </c>
      <c r="AH398" s="6">
        <v>1</v>
      </c>
      <c r="AI398" s="6">
        <v>1</v>
      </c>
      <c r="AJ398" s="6">
        <v>1</v>
      </c>
      <c r="AK398" s="6">
        <v>1</v>
      </c>
      <c r="AL398" s="6">
        <v>1</v>
      </c>
      <c r="AM398" s="6">
        <v>1</v>
      </c>
      <c r="AN398" s="7">
        <v>1</v>
      </c>
      <c r="BC398" t="s">
        <v>2830</v>
      </c>
      <c r="BD398" s="7" t="s">
        <v>109</v>
      </c>
      <c r="BE398" t="s">
        <v>2005</v>
      </c>
      <c r="BF398" s="1" t="s">
        <v>29</v>
      </c>
      <c r="BG398" s="1">
        <v>5</v>
      </c>
      <c r="BH398">
        <v>2</v>
      </c>
      <c r="BK398" s="1">
        <v>1</v>
      </c>
      <c r="BQ398">
        <v>1</v>
      </c>
      <c r="CL398">
        <v>1</v>
      </c>
      <c r="CS398" s="28" t="s">
        <v>354</v>
      </c>
    </row>
    <row r="399" spans="1:97">
      <c r="B399" t="s">
        <v>1708</v>
      </c>
      <c r="C399" s="15" t="s">
        <v>2014</v>
      </c>
      <c r="D399" s="26"/>
      <c r="E399" s="8" t="s">
        <v>920</v>
      </c>
      <c r="F399" s="8" t="s">
        <v>115</v>
      </c>
      <c r="G399" s="1">
        <v>1</v>
      </c>
      <c r="I399" s="1">
        <f>1806-28</f>
        <v>1778</v>
      </c>
      <c r="J399" t="s">
        <v>10</v>
      </c>
      <c r="K399" t="s">
        <v>12</v>
      </c>
      <c r="Q399">
        <v>5</v>
      </c>
      <c r="T399" s="5">
        <f>((Q399*316)+(R399*26.3)+(S399*2.2))/10</f>
        <v>158</v>
      </c>
      <c r="U399" t="s">
        <v>2015</v>
      </c>
      <c r="AH399" s="6">
        <v>1</v>
      </c>
      <c r="AI399" s="6">
        <v>1</v>
      </c>
      <c r="AJ399" s="6">
        <v>1</v>
      </c>
      <c r="AK399" s="6">
        <v>1</v>
      </c>
      <c r="AL399" s="6">
        <v>1</v>
      </c>
      <c r="AM399" s="6">
        <v>1</v>
      </c>
      <c r="AN399" s="7">
        <v>1</v>
      </c>
      <c r="BC399" t="s">
        <v>1501</v>
      </c>
      <c r="BD399" s="7" t="s">
        <v>109</v>
      </c>
      <c r="BE399" t="s">
        <v>1502</v>
      </c>
      <c r="BF399" s="1" t="s">
        <v>29</v>
      </c>
      <c r="BG399" s="1">
        <v>3</v>
      </c>
      <c r="BH399">
        <v>1</v>
      </c>
      <c r="BK399" s="1">
        <v>1</v>
      </c>
      <c r="BQ399">
        <v>1</v>
      </c>
      <c r="CR399" t="s">
        <v>72</v>
      </c>
      <c r="CS399" s="28" t="s">
        <v>354</v>
      </c>
    </row>
    <row r="400" spans="1:97">
      <c r="B400" t="s">
        <v>2217</v>
      </c>
      <c r="C400" s="13" t="s">
        <v>2218</v>
      </c>
      <c r="D400" s="2" t="s">
        <v>2219</v>
      </c>
      <c r="E400" s="8" t="s">
        <v>920</v>
      </c>
      <c r="F400" s="8" t="s">
        <v>115</v>
      </c>
      <c r="G400" s="1">
        <v>1</v>
      </c>
      <c r="I400" s="1">
        <f>1804-23</f>
        <v>1781</v>
      </c>
      <c r="J400" t="s">
        <v>69</v>
      </c>
      <c r="K400" t="s">
        <v>12</v>
      </c>
      <c r="N400">
        <v>1</v>
      </c>
      <c r="Q400">
        <v>5</v>
      </c>
      <c r="R400">
        <v>1</v>
      </c>
      <c r="T400" s="5">
        <f>((Q400*316)+(R400*26.3)+(S400*2.2))/10</f>
        <v>160.63</v>
      </c>
      <c r="U400" t="s">
        <v>2015</v>
      </c>
      <c r="AH400" s="6">
        <v>1</v>
      </c>
      <c r="AI400" s="6">
        <v>1</v>
      </c>
      <c r="AJ400" s="6">
        <v>1</v>
      </c>
      <c r="AK400" s="6">
        <v>1</v>
      </c>
      <c r="AL400" s="6">
        <v>1</v>
      </c>
      <c r="AM400" s="6">
        <v>1</v>
      </c>
      <c r="AN400" s="7">
        <v>1</v>
      </c>
      <c r="BC400" t="s">
        <v>1501</v>
      </c>
      <c r="BD400" s="7" t="s">
        <v>109</v>
      </c>
      <c r="BE400" t="s">
        <v>1502</v>
      </c>
      <c r="BF400" s="1" t="s">
        <v>29</v>
      </c>
      <c r="BG400" s="1">
        <v>3</v>
      </c>
      <c r="BH400">
        <v>1</v>
      </c>
      <c r="BK400" s="1">
        <v>1</v>
      </c>
      <c r="BQ400">
        <v>1</v>
      </c>
      <c r="CS400" s="28" t="s">
        <v>354</v>
      </c>
    </row>
    <row r="401" spans="1:97">
      <c r="B401" t="s">
        <v>2016</v>
      </c>
      <c r="C401" s="13" t="s">
        <v>2017</v>
      </c>
      <c r="D401" s="3" t="s">
        <v>2018</v>
      </c>
      <c r="E401" s="8" t="s">
        <v>920</v>
      </c>
      <c r="F401" s="8" t="s">
        <v>115</v>
      </c>
      <c r="G401" s="1">
        <v>1</v>
      </c>
      <c r="I401" s="1">
        <f>1803-30</f>
        <v>1773</v>
      </c>
      <c r="J401" t="s">
        <v>69</v>
      </c>
      <c r="K401" t="s">
        <v>12</v>
      </c>
      <c r="N401">
        <v>1</v>
      </c>
      <c r="Q401">
        <v>5</v>
      </c>
      <c r="R401">
        <v>1</v>
      </c>
      <c r="T401" s="5">
        <f>((Q401*316)+(R401*26.3)+(S401*2.2))/10</f>
        <v>160.63</v>
      </c>
      <c r="U401" t="s">
        <v>467</v>
      </c>
      <c r="AH401" s="6">
        <v>1</v>
      </c>
      <c r="AI401" s="6">
        <v>1</v>
      </c>
      <c r="AJ401" s="6">
        <v>1</v>
      </c>
      <c r="AK401" s="6">
        <v>1</v>
      </c>
      <c r="AL401" s="6">
        <v>1</v>
      </c>
      <c r="AM401" s="6">
        <v>1</v>
      </c>
      <c r="AN401" s="7">
        <v>1</v>
      </c>
      <c r="BC401" t="s">
        <v>1501</v>
      </c>
      <c r="BD401" s="7" t="s">
        <v>109</v>
      </c>
      <c r="BE401" t="s">
        <v>1502</v>
      </c>
      <c r="BF401" s="1" t="s">
        <v>29</v>
      </c>
      <c r="BG401" s="1">
        <v>3</v>
      </c>
      <c r="BH401">
        <v>1</v>
      </c>
      <c r="BK401" s="1">
        <v>1</v>
      </c>
      <c r="BQ401">
        <v>1</v>
      </c>
      <c r="CS401" s="28" t="s">
        <v>354</v>
      </c>
    </row>
    <row r="402" spans="1:97">
      <c r="B402" t="s">
        <v>2516</v>
      </c>
      <c r="C402" s="2" t="s">
        <v>1336</v>
      </c>
      <c r="D402" s="3"/>
      <c r="E402" s="8" t="s">
        <v>837</v>
      </c>
      <c r="F402" s="8" t="s">
        <v>115</v>
      </c>
      <c r="G402" s="1">
        <v>1</v>
      </c>
      <c r="I402" s="1">
        <f>1810-27</f>
        <v>1783</v>
      </c>
      <c r="J402" t="s">
        <v>10</v>
      </c>
      <c r="K402" t="s">
        <v>2517</v>
      </c>
      <c r="Q402">
        <v>5</v>
      </c>
      <c r="R402">
        <v>5</v>
      </c>
      <c r="S402">
        <v>2</v>
      </c>
      <c r="T402" s="5">
        <f>((Q402*316)+(R402*26.3)+(S402*2.2))/10</f>
        <v>171.59</v>
      </c>
      <c r="U402" t="s">
        <v>2518</v>
      </c>
      <c r="AH402" s="6">
        <v>1</v>
      </c>
      <c r="AI402" s="6">
        <v>1</v>
      </c>
      <c r="AJ402" s="6">
        <v>1</v>
      </c>
      <c r="AK402" s="6">
        <v>1</v>
      </c>
      <c r="AL402" s="6">
        <v>1</v>
      </c>
      <c r="AM402" s="6">
        <v>1</v>
      </c>
      <c r="AN402" s="6">
        <v>1</v>
      </c>
      <c r="AO402" s="6">
        <v>1</v>
      </c>
      <c r="AP402" s="6">
        <v>1</v>
      </c>
      <c r="AQ402" s="6">
        <v>1</v>
      </c>
      <c r="AR402" s="6">
        <v>1</v>
      </c>
      <c r="AS402" s="6">
        <v>1</v>
      </c>
      <c r="AT402" s="6">
        <v>1</v>
      </c>
      <c r="AU402" s="6">
        <v>1</v>
      </c>
      <c r="AV402" s="6">
        <v>1</v>
      </c>
      <c r="AW402" s="6">
        <v>1</v>
      </c>
      <c r="AX402" s="6">
        <v>1</v>
      </c>
      <c r="AY402" s="7">
        <v>1</v>
      </c>
      <c r="BC402" t="s">
        <v>2519</v>
      </c>
      <c r="BD402" s="7" t="s">
        <v>103</v>
      </c>
      <c r="BE402" t="s">
        <v>2520</v>
      </c>
      <c r="BF402" s="1" t="s">
        <v>29</v>
      </c>
      <c r="BG402" s="1">
        <v>2</v>
      </c>
      <c r="BH402">
        <v>4</v>
      </c>
      <c r="BK402" s="1" t="s">
        <v>72</v>
      </c>
      <c r="BQ402">
        <v>1</v>
      </c>
      <c r="BX402">
        <v>1</v>
      </c>
      <c r="CL402">
        <v>1</v>
      </c>
      <c r="CS402" s="28" t="s">
        <v>1518</v>
      </c>
    </row>
    <row r="403" spans="1:97">
      <c r="B403" t="s">
        <v>1418</v>
      </c>
      <c r="C403" s="2" t="s">
        <v>1422</v>
      </c>
      <c r="D403" s="26"/>
      <c r="E403" s="8"/>
      <c r="F403" s="8" t="s">
        <v>217</v>
      </c>
      <c r="H403" s="1">
        <v>1</v>
      </c>
      <c r="I403" s="1">
        <f>1800-12</f>
        <v>1788</v>
      </c>
      <c r="J403" t="s">
        <v>10</v>
      </c>
      <c r="K403" t="s">
        <v>12</v>
      </c>
      <c r="Q403">
        <v>5</v>
      </c>
      <c r="T403" s="5">
        <f t="shared" si="12"/>
        <v>158</v>
      </c>
      <c r="U403" t="s">
        <v>1419</v>
      </c>
      <c r="AH403" s="6">
        <v>1</v>
      </c>
      <c r="AI403" s="6">
        <v>1</v>
      </c>
      <c r="AJ403" s="7">
        <v>1</v>
      </c>
      <c r="BC403" t="s">
        <v>1420</v>
      </c>
      <c r="BD403" s="7" t="s">
        <v>103</v>
      </c>
      <c r="BE403" t="s">
        <v>125</v>
      </c>
      <c r="BF403" s="1" t="s">
        <v>29</v>
      </c>
      <c r="BG403" s="1">
        <v>5</v>
      </c>
      <c r="BH403">
        <v>1</v>
      </c>
      <c r="BO403">
        <v>1</v>
      </c>
      <c r="BQ403">
        <v>1</v>
      </c>
      <c r="CH403">
        <v>1</v>
      </c>
      <c r="CS403" s="28" t="s">
        <v>1421</v>
      </c>
    </row>
    <row r="404" spans="1:97">
      <c r="B404" t="s">
        <v>2309</v>
      </c>
      <c r="C404" s="2" t="s">
        <v>2310</v>
      </c>
      <c r="D404" s="2" t="s">
        <v>2310</v>
      </c>
      <c r="E404" s="8" t="s">
        <v>2300</v>
      </c>
      <c r="F404" s="8" t="s">
        <v>115</v>
      </c>
      <c r="G404" s="1">
        <v>1</v>
      </c>
      <c r="I404" s="1">
        <f>1803-21</f>
        <v>1782</v>
      </c>
      <c r="J404" t="s">
        <v>10</v>
      </c>
      <c r="K404" t="s">
        <v>12</v>
      </c>
      <c r="Q404">
        <v>4</v>
      </c>
      <c r="R404">
        <v>11</v>
      </c>
      <c r="T404" s="5">
        <f t="shared" si="12"/>
        <v>155.32999999999998</v>
      </c>
      <c r="U404" t="s">
        <v>2308</v>
      </c>
      <c r="AH404" s="6">
        <v>1</v>
      </c>
      <c r="AI404" s="6">
        <v>1</v>
      </c>
      <c r="AJ404" s="7">
        <v>1</v>
      </c>
      <c r="BC404" s="9" t="s">
        <v>2311</v>
      </c>
      <c r="BD404" s="7" t="s">
        <v>280</v>
      </c>
      <c r="BE404" t="s">
        <v>118</v>
      </c>
      <c r="BF404" s="1" t="s">
        <v>29</v>
      </c>
      <c r="BG404" s="1">
        <v>2</v>
      </c>
      <c r="BH404">
        <v>1</v>
      </c>
      <c r="BK404" s="1">
        <v>1</v>
      </c>
      <c r="BQ404">
        <v>1</v>
      </c>
      <c r="CN404">
        <v>1</v>
      </c>
      <c r="CS404" s="28" t="s">
        <v>1927</v>
      </c>
    </row>
    <row r="405" spans="1:97">
      <c r="B405" t="s">
        <v>2298</v>
      </c>
      <c r="C405" s="2" t="s">
        <v>2299</v>
      </c>
      <c r="D405" s="2" t="s">
        <v>268</v>
      </c>
      <c r="E405" s="8" t="s">
        <v>2300</v>
      </c>
      <c r="F405" s="8" t="s">
        <v>115</v>
      </c>
      <c r="H405" s="1">
        <v>1</v>
      </c>
      <c r="I405" s="1">
        <f>1803-23</f>
        <v>1780</v>
      </c>
      <c r="J405" t="s">
        <v>10</v>
      </c>
      <c r="K405" t="s">
        <v>12</v>
      </c>
      <c r="Q405">
        <v>5</v>
      </c>
      <c r="R405">
        <v>3</v>
      </c>
      <c r="T405" s="5">
        <f t="shared" si="12"/>
        <v>165.89000000000001</v>
      </c>
      <c r="U405" t="s">
        <v>2301</v>
      </c>
      <c r="AH405" s="6">
        <v>1</v>
      </c>
      <c r="AI405" s="6">
        <v>1</v>
      </c>
      <c r="AJ405" s="6">
        <v>1</v>
      </c>
      <c r="AK405" s="6">
        <v>1</v>
      </c>
      <c r="AL405" s="7">
        <v>1</v>
      </c>
      <c r="BC405" s="9" t="s">
        <v>2302</v>
      </c>
      <c r="BD405" s="7" t="s">
        <v>280</v>
      </c>
      <c r="BE405" t="s">
        <v>118</v>
      </c>
      <c r="BF405" s="1" t="s">
        <v>29</v>
      </c>
      <c r="BG405" s="1">
        <v>2</v>
      </c>
      <c r="BH405">
        <v>1</v>
      </c>
      <c r="BK405" s="1">
        <v>1</v>
      </c>
      <c r="BQ405">
        <v>1</v>
      </c>
      <c r="CN405">
        <v>1</v>
      </c>
      <c r="CS405" s="28" t="s">
        <v>1927</v>
      </c>
    </row>
    <row r="406" spans="1:97">
      <c r="B406" t="s">
        <v>1924</v>
      </c>
      <c r="C406" s="2" t="s">
        <v>1925</v>
      </c>
      <c r="D406" s="2" t="s">
        <v>1925</v>
      </c>
      <c r="E406" s="8" t="s">
        <v>1381</v>
      </c>
      <c r="F406" s="8" t="s">
        <v>115</v>
      </c>
      <c r="G406" s="1">
        <v>1</v>
      </c>
      <c r="I406" s="1">
        <f>1803-21</f>
        <v>1782</v>
      </c>
      <c r="J406" t="s">
        <v>10</v>
      </c>
      <c r="K406" t="s">
        <v>140</v>
      </c>
      <c r="Q406">
        <v>5</v>
      </c>
      <c r="R406">
        <v>3</v>
      </c>
      <c r="S406">
        <v>1</v>
      </c>
      <c r="T406" s="5">
        <f t="shared" si="12"/>
        <v>166.11</v>
      </c>
      <c r="U406" t="s">
        <v>1923</v>
      </c>
      <c r="AH406" s="6">
        <v>1</v>
      </c>
      <c r="AI406" s="6">
        <v>1</v>
      </c>
      <c r="AJ406" s="6">
        <v>1</v>
      </c>
      <c r="AK406" s="7">
        <v>1</v>
      </c>
      <c r="BC406" t="s">
        <v>1926</v>
      </c>
      <c r="BD406" s="7" t="s">
        <v>280</v>
      </c>
      <c r="BE406" t="s">
        <v>118</v>
      </c>
      <c r="BF406" s="1" t="s">
        <v>29</v>
      </c>
      <c r="BG406" s="1">
        <v>2</v>
      </c>
      <c r="BH406">
        <v>1</v>
      </c>
      <c r="BK406" s="1">
        <v>1</v>
      </c>
      <c r="BQ406">
        <v>1</v>
      </c>
      <c r="CS406" s="28" t="s">
        <v>1927</v>
      </c>
    </row>
    <row r="407" spans="1:97">
      <c r="B407" t="s">
        <v>1796</v>
      </c>
      <c r="C407" s="15" t="s">
        <v>1797</v>
      </c>
      <c r="D407" s="15"/>
      <c r="E407" s="8" t="s">
        <v>122</v>
      </c>
      <c r="F407" s="8" t="s">
        <v>115</v>
      </c>
      <c r="G407" s="1">
        <v>1</v>
      </c>
      <c r="I407" s="1">
        <f>1800-20</f>
        <v>1780</v>
      </c>
      <c r="J407" t="s">
        <v>69</v>
      </c>
      <c r="K407" t="s">
        <v>12</v>
      </c>
      <c r="Q407">
        <v>5</v>
      </c>
      <c r="R407">
        <v>2</v>
      </c>
      <c r="S407">
        <v>2</v>
      </c>
      <c r="T407" s="5">
        <f>((Q407*316)+(R407*26.3)+(S407*2.2))/10</f>
        <v>163.69999999999999</v>
      </c>
      <c r="U407" t="s">
        <v>1798</v>
      </c>
      <c r="AH407" s="7">
        <v>1</v>
      </c>
      <c r="BC407" t="s">
        <v>1799</v>
      </c>
      <c r="BD407" s="7" t="s">
        <v>103</v>
      </c>
      <c r="BE407" t="s">
        <v>125</v>
      </c>
      <c r="BF407" s="1" t="s">
        <v>29</v>
      </c>
      <c r="BG407" s="1">
        <v>2</v>
      </c>
      <c r="BH407">
        <v>1</v>
      </c>
      <c r="BK407" s="1">
        <v>1</v>
      </c>
      <c r="BN407">
        <v>1</v>
      </c>
      <c r="BQ407">
        <v>1</v>
      </c>
      <c r="CS407" s="7" t="s">
        <v>1800</v>
      </c>
    </row>
    <row r="408" spans="1:97">
      <c r="A408" t="s">
        <v>7</v>
      </c>
      <c r="B408" t="s">
        <v>2657</v>
      </c>
      <c r="C408" s="15"/>
      <c r="D408" s="15"/>
      <c r="E408" s="8"/>
      <c r="F408" t="s">
        <v>7</v>
      </c>
      <c r="T408" s="5"/>
      <c r="U408" s="9" t="s">
        <v>2656</v>
      </c>
      <c r="AG408" s="19"/>
      <c r="AH408" s="7">
        <v>1</v>
      </c>
      <c r="BC408" s="9" t="s">
        <v>2658</v>
      </c>
      <c r="BD408" s="7" t="s">
        <v>103</v>
      </c>
      <c r="BE408" t="s">
        <v>124</v>
      </c>
      <c r="BF408" s="1" t="s">
        <v>73</v>
      </c>
      <c r="BG408" s="1">
        <v>1</v>
      </c>
      <c r="BH408">
        <v>1</v>
      </c>
      <c r="BQ408">
        <v>1</v>
      </c>
      <c r="CS408" s="28" t="s">
        <v>2659</v>
      </c>
    </row>
    <row r="409" spans="1:97">
      <c r="A409" t="s">
        <v>7</v>
      </c>
      <c r="B409" t="s">
        <v>2643</v>
      </c>
      <c r="C409" s="15"/>
      <c r="D409" s="15"/>
      <c r="E409" s="8"/>
      <c r="F409" t="s">
        <v>7</v>
      </c>
      <c r="T409" s="5"/>
      <c r="U409" s="9" t="s">
        <v>2641</v>
      </c>
      <c r="AG409" s="19"/>
      <c r="AH409" s="7">
        <v>1</v>
      </c>
      <c r="BC409" t="s">
        <v>2642</v>
      </c>
      <c r="BD409" s="7" t="s">
        <v>26</v>
      </c>
      <c r="BE409" t="s">
        <v>124</v>
      </c>
      <c r="BF409" s="1" t="s">
        <v>73</v>
      </c>
      <c r="BG409" s="1">
        <v>1</v>
      </c>
      <c r="BH409">
        <v>1</v>
      </c>
      <c r="BQ409">
        <v>1</v>
      </c>
      <c r="CS409" s="7" t="s">
        <v>2644</v>
      </c>
    </row>
    <row r="410" spans="1:97">
      <c r="B410" t="s">
        <v>2221</v>
      </c>
      <c r="C410" s="2" t="s">
        <v>2222</v>
      </c>
      <c r="D410" s="2" t="s">
        <v>2222</v>
      </c>
      <c r="E410" s="8" t="s">
        <v>920</v>
      </c>
      <c r="F410" s="8" t="s">
        <v>115</v>
      </c>
      <c r="G410" s="1">
        <v>1</v>
      </c>
      <c r="I410" s="1">
        <f>1803-21</f>
        <v>1782</v>
      </c>
      <c r="J410" t="s">
        <v>10</v>
      </c>
      <c r="K410" t="s">
        <v>12</v>
      </c>
      <c r="Q410">
        <v>5</v>
      </c>
      <c r="R410">
        <v>1</v>
      </c>
      <c r="S410">
        <v>2</v>
      </c>
      <c r="T410" s="5">
        <f>((Q410*316)+(R410*26.3)+(S410*2.2))/10</f>
        <v>161.07</v>
      </c>
      <c r="U410" t="s">
        <v>2220</v>
      </c>
      <c r="AH410" s="6">
        <v>1</v>
      </c>
      <c r="AI410" s="6">
        <v>1</v>
      </c>
      <c r="AJ410" s="6">
        <v>1</v>
      </c>
      <c r="AK410" s="6">
        <v>1</v>
      </c>
      <c r="AL410" s="6">
        <v>1</v>
      </c>
      <c r="AM410" s="7">
        <v>1</v>
      </c>
      <c r="BC410" t="s">
        <v>2223</v>
      </c>
      <c r="BD410" s="7" t="s">
        <v>103</v>
      </c>
      <c r="BE410" t="s">
        <v>1502</v>
      </c>
      <c r="BF410" s="1" t="s">
        <v>29</v>
      </c>
      <c r="BG410" s="1">
        <v>3</v>
      </c>
      <c r="BH410">
        <v>1</v>
      </c>
      <c r="BK410" s="1">
        <v>1</v>
      </c>
      <c r="BQ410">
        <v>1</v>
      </c>
      <c r="CS410" s="28" t="s">
        <v>2172</v>
      </c>
    </row>
    <row r="411" spans="1:97">
      <c r="A411" t="s">
        <v>7</v>
      </c>
      <c r="B411" t="s">
        <v>2653</v>
      </c>
      <c r="C411" s="15"/>
      <c r="D411" s="15"/>
      <c r="E411" s="8"/>
      <c r="F411" t="s">
        <v>7</v>
      </c>
      <c r="T411" s="5"/>
      <c r="U411" s="9" t="s">
        <v>2652</v>
      </c>
      <c r="AG411" s="19"/>
      <c r="AH411" s="7">
        <v>1</v>
      </c>
      <c r="BC411" s="9" t="s">
        <v>2654</v>
      </c>
      <c r="BD411" s="7" t="s">
        <v>103</v>
      </c>
      <c r="BE411" t="s">
        <v>124</v>
      </c>
      <c r="BF411" s="1" t="s">
        <v>73</v>
      </c>
      <c r="BG411" s="1">
        <v>1</v>
      </c>
      <c r="BH411">
        <v>1</v>
      </c>
      <c r="BQ411">
        <v>1</v>
      </c>
      <c r="CS411" s="28" t="s">
        <v>2655</v>
      </c>
    </row>
    <row r="412" spans="1:97">
      <c r="B412" t="s">
        <v>2753</v>
      </c>
      <c r="C412" s="2" t="s">
        <v>2754</v>
      </c>
      <c r="D412" s="2" t="s">
        <v>2754</v>
      </c>
      <c r="E412" s="8" t="s">
        <v>654</v>
      </c>
      <c r="F412" t="s">
        <v>65</v>
      </c>
      <c r="G412" s="1">
        <v>1</v>
      </c>
      <c r="I412" s="1">
        <f>1802-21</f>
        <v>1781</v>
      </c>
      <c r="J412" t="s">
        <v>10</v>
      </c>
      <c r="K412" t="s">
        <v>12</v>
      </c>
      <c r="Q412">
        <v>5</v>
      </c>
      <c r="R412">
        <v>4</v>
      </c>
      <c r="S412">
        <v>1</v>
      </c>
      <c r="T412" s="5">
        <f>((Q412*316)+(R412*26.3)+(S412*2.2))/10</f>
        <v>168.74</v>
      </c>
      <c r="U412" s="9" t="s">
        <v>2755</v>
      </c>
      <c r="AG412" s="31"/>
      <c r="AH412" s="6">
        <v>1</v>
      </c>
      <c r="AI412" s="6">
        <v>1</v>
      </c>
      <c r="AJ412" s="7">
        <v>1</v>
      </c>
      <c r="BC412" t="s">
        <v>1420</v>
      </c>
      <c r="BD412" s="7" t="s">
        <v>280</v>
      </c>
      <c r="BE412" t="s">
        <v>2005</v>
      </c>
      <c r="BF412" s="1" t="s">
        <v>29</v>
      </c>
      <c r="BG412" s="1">
        <v>2</v>
      </c>
      <c r="BH412">
        <v>2</v>
      </c>
      <c r="BK412" s="1">
        <v>1</v>
      </c>
      <c r="BQ412">
        <v>1</v>
      </c>
      <c r="CL412">
        <v>1</v>
      </c>
      <c r="CN412">
        <v>1</v>
      </c>
      <c r="CS412" s="28" t="s">
        <v>2756</v>
      </c>
    </row>
    <row r="413" spans="1:97">
      <c r="A413" t="s">
        <v>7</v>
      </c>
      <c r="B413" t="s">
        <v>132</v>
      </c>
      <c r="C413" s="15" t="s">
        <v>133</v>
      </c>
      <c r="D413" s="15"/>
      <c r="E413" s="8"/>
      <c r="F413" s="8" t="s">
        <v>65</v>
      </c>
      <c r="G413" s="1">
        <v>1</v>
      </c>
      <c r="I413" s="1">
        <f>1804-22</f>
        <v>1782</v>
      </c>
      <c r="J413" t="s">
        <v>10</v>
      </c>
      <c r="K413" t="s">
        <v>12</v>
      </c>
      <c r="N413">
        <v>1</v>
      </c>
      <c r="Q413">
        <v>5</v>
      </c>
      <c r="R413">
        <v>2</v>
      </c>
      <c r="S413">
        <v>2</v>
      </c>
      <c r="T413" s="5">
        <f>((Q413*316)+(R413*26.3)+(S413*2.2))/10</f>
        <v>163.69999999999999</v>
      </c>
      <c r="U413" t="s">
        <v>134</v>
      </c>
      <c r="AI413" s="6">
        <v>1</v>
      </c>
      <c r="AJ413" s="6">
        <v>1</v>
      </c>
      <c r="AK413" s="6">
        <v>1</v>
      </c>
      <c r="AL413" s="6">
        <v>1</v>
      </c>
      <c r="AM413" s="6">
        <v>1</v>
      </c>
      <c r="AN413" s="6">
        <v>1</v>
      </c>
      <c r="AO413" s="6">
        <v>1</v>
      </c>
      <c r="AP413" s="6">
        <v>1</v>
      </c>
      <c r="AQ413" s="6">
        <v>1</v>
      </c>
      <c r="AR413" s="6">
        <v>1</v>
      </c>
      <c r="AS413" s="6">
        <v>1</v>
      </c>
      <c r="AT413" s="6">
        <v>1</v>
      </c>
      <c r="AU413" s="6">
        <v>1</v>
      </c>
      <c r="AV413" s="6">
        <v>1</v>
      </c>
      <c r="AW413" s="6">
        <v>1</v>
      </c>
      <c r="AX413" s="7">
        <v>1</v>
      </c>
      <c r="BC413" t="s">
        <v>1839</v>
      </c>
      <c r="BD413" s="7" t="s">
        <v>103</v>
      </c>
      <c r="BE413" t="s">
        <v>152</v>
      </c>
      <c r="BF413" s="1" t="s">
        <v>29</v>
      </c>
      <c r="BG413" s="1">
        <v>17</v>
      </c>
      <c r="BH413">
        <v>5</v>
      </c>
      <c r="BI413">
        <v>1</v>
      </c>
      <c r="BK413" s="1">
        <v>1</v>
      </c>
      <c r="BQ413">
        <v>1</v>
      </c>
      <c r="BR413">
        <v>1</v>
      </c>
      <c r="BV413">
        <v>1</v>
      </c>
      <c r="CF413">
        <v>1</v>
      </c>
      <c r="CL413">
        <v>1</v>
      </c>
      <c r="CR413" t="s">
        <v>72</v>
      </c>
      <c r="CS413" s="7" t="s">
        <v>1840</v>
      </c>
    </row>
    <row r="414" spans="1:97">
      <c r="A414" t="s">
        <v>7</v>
      </c>
      <c r="B414" t="s">
        <v>2733</v>
      </c>
      <c r="C414" s="15"/>
      <c r="D414" s="15"/>
      <c r="E414" s="8"/>
      <c r="F414" s="8" t="s">
        <v>7</v>
      </c>
      <c r="T414" s="5"/>
      <c r="U414" s="9" t="s">
        <v>2732</v>
      </c>
      <c r="AH414" s="19"/>
      <c r="AI414" s="7">
        <v>1</v>
      </c>
      <c r="BC414" t="s">
        <v>2734</v>
      </c>
      <c r="BD414" s="7" t="s">
        <v>26</v>
      </c>
      <c r="BE414" t="s">
        <v>2005</v>
      </c>
      <c r="BF414" s="1" t="s">
        <v>73</v>
      </c>
      <c r="BG414" s="1">
        <v>1</v>
      </c>
      <c r="BH414">
        <v>1</v>
      </c>
      <c r="BQ414">
        <v>1</v>
      </c>
      <c r="CS414" s="28" t="s">
        <v>2735</v>
      </c>
    </row>
    <row r="415" spans="1:97">
      <c r="A415" t="s">
        <v>7</v>
      </c>
      <c r="B415" t="s">
        <v>1728</v>
      </c>
      <c r="C415" s="15"/>
      <c r="D415" s="15"/>
      <c r="E415" s="8"/>
      <c r="F415" t="s">
        <v>7</v>
      </c>
      <c r="T415" s="5"/>
      <c r="U415" t="s">
        <v>167</v>
      </c>
      <c r="AI415" s="7">
        <v>1</v>
      </c>
      <c r="BC415" t="s">
        <v>324</v>
      </c>
      <c r="BD415" s="7" t="s">
        <v>109</v>
      </c>
      <c r="BE415" t="s">
        <v>125</v>
      </c>
      <c r="BF415" s="1" t="s">
        <v>29</v>
      </c>
      <c r="BG415" s="1">
        <v>1</v>
      </c>
      <c r="BH415">
        <v>1</v>
      </c>
      <c r="BK415" s="1">
        <v>1</v>
      </c>
      <c r="BQ415">
        <v>1</v>
      </c>
      <c r="CS415" s="7" t="s">
        <v>1313</v>
      </c>
    </row>
    <row r="416" spans="1:97">
      <c r="B416" t="s">
        <v>1781</v>
      </c>
      <c r="C416" s="15"/>
      <c r="D416" s="15"/>
      <c r="E416" s="8"/>
      <c r="F416" t="s">
        <v>7</v>
      </c>
      <c r="T416" s="5"/>
      <c r="U416" t="s">
        <v>167</v>
      </c>
      <c r="AI416" s="7">
        <v>1</v>
      </c>
      <c r="BC416" t="s">
        <v>1782</v>
      </c>
      <c r="BD416" s="7" t="s">
        <v>103</v>
      </c>
      <c r="BE416" t="s">
        <v>125</v>
      </c>
      <c r="BF416" s="1" t="s">
        <v>29</v>
      </c>
      <c r="BG416" s="1">
        <v>1</v>
      </c>
      <c r="BH416">
        <v>1</v>
      </c>
      <c r="BK416" s="1">
        <v>1</v>
      </c>
      <c r="BQ416">
        <v>1</v>
      </c>
      <c r="CS416" s="7" t="s">
        <v>1783</v>
      </c>
    </row>
    <row r="417" spans="1:98">
      <c r="B417" t="s">
        <v>165</v>
      </c>
      <c r="C417" s="15" t="s">
        <v>166</v>
      </c>
      <c r="D417" s="15"/>
      <c r="E417" s="8"/>
      <c r="F417" s="8" t="s">
        <v>65</v>
      </c>
      <c r="G417" s="1">
        <v>1</v>
      </c>
      <c r="I417" s="1">
        <f>1802-20</f>
        <v>1782</v>
      </c>
      <c r="J417" t="s">
        <v>69</v>
      </c>
      <c r="K417" t="s">
        <v>12</v>
      </c>
      <c r="N417">
        <v>1</v>
      </c>
      <c r="Q417">
        <v>5</v>
      </c>
      <c r="R417">
        <v>4</v>
      </c>
      <c r="S417">
        <v>2</v>
      </c>
      <c r="T417" s="5">
        <f>((Q417*316)+(R417*26.3)+(S417*2.2))/10</f>
        <v>168.96</v>
      </c>
      <c r="U417" t="s">
        <v>167</v>
      </c>
      <c r="AI417" s="6">
        <v>1</v>
      </c>
      <c r="AJ417" s="6">
        <v>1</v>
      </c>
      <c r="AK417" s="9">
        <v>1</v>
      </c>
      <c r="AL417" s="9"/>
      <c r="AM417" s="9"/>
      <c r="AN417" s="9"/>
      <c r="AO417" s="9"/>
      <c r="AP417" s="9">
        <v>1</v>
      </c>
      <c r="AQ417" s="7">
        <v>1</v>
      </c>
      <c r="BC417" t="s">
        <v>162</v>
      </c>
      <c r="BD417" s="7" t="s">
        <v>163</v>
      </c>
      <c r="BE417" t="s">
        <v>125</v>
      </c>
      <c r="BF417" s="1" t="s">
        <v>29</v>
      </c>
      <c r="BG417" s="1">
        <v>8</v>
      </c>
      <c r="BH417">
        <v>1</v>
      </c>
      <c r="BK417" s="1">
        <v>1</v>
      </c>
      <c r="BQ417">
        <v>1</v>
      </c>
      <c r="CN417">
        <v>1</v>
      </c>
      <c r="CP417">
        <v>1</v>
      </c>
      <c r="CS417" s="7" t="s">
        <v>168</v>
      </c>
      <c r="CT417" s="9" t="s">
        <v>169</v>
      </c>
    </row>
    <row r="418" spans="1:98">
      <c r="A418" t="s">
        <v>7</v>
      </c>
      <c r="B418" t="s">
        <v>1729</v>
      </c>
      <c r="C418" s="15"/>
      <c r="D418" s="15"/>
      <c r="E418" s="8"/>
      <c r="F418" t="s">
        <v>7</v>
      </c>
      <c r="T418" s="5"/>
      <c r="U418" t="s">
        <v>1714</v>
      </c>
      <c r="AI418" s="7">
        <v>1</v>
      </c>
      <c r="BC418" t="s">
        <v>1730</v>
      </c>
      <c r="BD418" s="7" t="s">
        <v>26</v>
      </c>
      <c r="BE418" t="s">
        <v>125</v>
      </c>
      <c r="BF418" s="1" t="s">
        <v>29</v>
      </c>
      <c r="BG418" s="1">
        <v>1</v>
      </c>
      <c r="BH418">
        <v>1</v>
      </c>
      <c r="BK418" s="1">
        <v>1</v>
      </c>
      <c r="BQ418">
        <v>1</v>
      </c>
      <c r="CS418" s="7" t="s">
        <v>1731</v>
      </c>
    </row>
    <row r="419" spans="1:98">
      <c r="A419" t="s">
        <v>7</v>
      </c>
      <c r="B419" t="s">
        <v>1713</v>
      </c>
      <c r="C419" s="15"/>
      <c r="D419" s="15"/>
      <c r="E419" s="8"/>
      <c r="F419" t="s">
        <v>7</v>
      </c>
      <c r="T419" s="5"/>
      <c r="U419" t="s">
        <v>1714</v>
      </c>
      <c r="AI419" s="7">
        <v>1</v>
      </c>
      <c r="BC419" t="s">
        <v>324</v>
      </c>
      <c r="BD419" s="7" t="s">
        <v>109</v>
      </c>
      <c r="BE419" t="s">
        <v>125</v>
      </c>
      <c r="BF419" s="1" t="s">
        <v>29</v>
      </c>
      <c r="BG419" s="1">
        <v>1</v>
      </c>
      <c r="BH419">
        <v>1</v>
      </c>
      <c r="BK419" s="1">
        <v>1</v>
      </c>
      <c r="BQ419">
        <v>1</v>
      </c>
      <c r="CS419" s="7" t="s">
        <v>1672</v>
      </c>
    </row>
    <row r="420" spans="1:98">
      <c r="B420" t="s">
        <v>2771</v>
      </c>
      <c r="C420" s="2" t="s">
        <v>2772</v>
      </c>
      <c r="D420" s="2" t="s">
        <v>2294</v>
      </c>
      <c r="E420" s="8" t="s">
        <v>1442</v>
      </c>
      <c r="F420" t="s">
        <v>65</v>
      </c>
      <c r="G420" s="1">
        <v>1</v>
      </c>
      <c r="I420" s="1">
        <f>1802-24</f>
        <v>1778</v>
      </c>
      <c r="J420" t="s">
        <v>69</v>
      </c>
      <c r="K420" t="s">
        <v>12</v>
      </c>
      <c r="N420">
        <v>1</v>
      </c>
      <c r="Q420">
        <v>5</v>
      </c>
      <c r="T420" s="5">
        <f t="shared" ref="T420:T442" si="13">((Q420*316)+(R420*26.3)+(S420*2.2))/10</f>
        <v>158</v>
      </c>
      <c r="U420" t="s">
        <v>1714</v>
      </c>
      <c r="AI420" s="6">
        <v>1</v>
      </c>
      <c r="AJ420" s="7">
        <v>1</v>
      </c>
      <c r="BC420" t="s">
        <v>2773</v>
      </c>
      <c r="BD420" s="7" t="s">
        <v>280</v>
      </c>
      <c r="BE420" t="s">
        <v>2005</v>
      </c>
      <c r="BF420" s="1" t="s">
        <v>29</v>
      </c>
      <c r="BG420" s="1">
        <v>2</v>
      </c>
      <c r="BH420">
        <v>2</v>
      </c>
      <c r="BK420" s="1">
        <v>1</v>
      </c>
      <c r="BQ420">
        <v>1</v>
      </c>
      <c r="CL420">
        <v>1</v>
      </c>
      <c r="CN420">
        <v>1</v>
      </c>
      <c r="CS420" s="7" t="s">
        <v>2748</v>
      </c>
    </row>
    <row r="421" spans="1:98">
      <c r="B421" t="s">
        <v>1426</v>
      </c>
      <c r="C421" s="2" t="s">
        <v>1427</v>
      </c>
      <c r="D421" s="15"/>
      <c r="E421" s="8"/>
      <c r="F421" s="8" t="s">
        <v>65</v>
      </c>
      <c r="G421" s="1">
        <v>1</v>
      </c>
      <c r="I421" s="1">
        <f>1802-18</f>
        <v>1784</v>
      </c>
      <c r="J421" t="s">
        <v>69</v>
      </c>
      <c r="K421" t="s">
        <v>12</v>
      </c>
      <c r="N421">
        <v>1</v>
      </c>
      <c r="Q421">
        <v>5</v>
      </c>
      <c r="R421">
        <v>2</v>
      </c>
      <c r="S421">
        <v>1</v>
      </c>
      <c r="T421" s="5">
        <f t="shared" si="13"/>
        <v>163.47999999999999</v>
      </c>
      <c r="U421" t="s">
        <v>144</v>
      </c>
      <c r="AI421" s="6">
        <v>1</v>
      </c>
      <c r="AJ421" s="7">
        <v>1</v>
      </c>
      <c r="BC421" t="s">
        <v>1428</v>
      </c>
      <c r="BD421" s="7" t="s">
        <v>280</v>
      </c>
      <c r="BE421" t="s">
        <v>125</v>
      </c>
      <c r="BF421" s="1" t="s">
        <v>29</v>
      </c>
      <c r="BG421" s="1">
        <v>3</v>
      </c>
      <c r="BH421">
        <v>1</v>
      </c>
      <c r="BK421" s="1">
        <v>1</v>
      </c>
      <c r="BQ421">
        <v>1</v>
      </c>
      <c r="CN421">
        <v>1</v>
      </c>
      <c r="CS421" s="7" t="s">
        <v>1429</v>
      </c>
    </row>
    <row r="422" spans="1:98">
      <c r="A422" t="s">
        <v>7</v>
      </c>
      <c r="B422" t="s">
        <v>143</v>
      </c>
      <c r="C422" s="15" t="s">
        <v>145</v>
      </c>
      <c r="D422" s="15"/>
      <c r="E422" s="8" t="s">
        <v>146</v>
      </c>
      <c r="F422" s="8" t="s">
        <v>65</v>
      </c>
      <c r="G422" s="1">
        <v>1</v>
      </c>
      <c r="I422" s="1">
        <f>1806-23</f>
        <v>1783</v>
      </c>
      <c r="J422" t="s">
        <v>10</v>
      </c>
      <c r="K422" t="s">
        <v>12</v>
      </c>
      <c r="Q422">
        <v>5</v>
      </c>
      <c r="R422">
        <v>3</v>
      </c>
      <c r="T422" s="5">
        <f t="shared" si="13"/>
        <v>165.89000000000001</v>
      </c>
      <c r="U422" t="s">
        <v>144</v>
      </c>
      <c r="AI422" s="6">
        <v>1</v>
      </c>
      <c r="AJ422" s="6">
        <v>1</v>
      </c>
      <c r="AK422" s="6">
        <v>1</v>
      </c>
      <c r="AL422" s="6">
        <v>1</v>
      </c>
      <c r="AM422" s="6">
        <v>1</v>
      </c>
      <c r="AN422" s="6">
        <v>1</v>
      </c>
      <c r="AO422" s="6">
        <v>1</v>
      </c>
      <c r="AP422" s="6">
        <v>1</v>
      </c>
      <c r="AQ422" s="6">
        <v>1</v>
      </c>
      <c r="AR422" s="6">
        <v>1</v>
      </c>
      <c r="AS422" s="6">
        <v>1</v>
      </c>
      <c r="AT422" s="6">
        <v>1</v>
      </c>
      <c r="AU422" s="6">
        <v>1</v>
      </c>
      <c r="AV422" s="6">
        <v>1</v>
      </c>
      <c r="AW422" s="6">
        <v>1</v>
      </c>
      <c r="AX422" s="6">
        <v>1</v>
      </c>
      <c r="AY422" s="6">
        <v>1</v>
      </c>
      <c r="AZ422" s="6">
        <v>1</v>
      </c>
      <c r="BA422" s="6">
        <v>1</v>
      </c>
      <c r="BB422" s="6">
        <v>1</v>
      </c>
      <c r="BC422">
        <v>1820</v>
      </c>
      <c r="BD422" t="s">
        <v>81</v>
      </c>
      <c r="BE422" t="s">
        <v>1506</v>
      </c>
      <c r="BF422" s="1" t="s">
        <v>73</v>
      </c>
      <c r="BG422" s="1">
        <v>18</v>
      </c>
      <c r="BH422">
        <v>3</v>
      </c>
      <c r="BK422">
        <v>1</v>
      </c>
      <c r="BP422">
        <v>1</v>
      </c>
      <c r="BQ422">
        <v>1</v>
      </c>
      <c r="BV422">
        <v>1</v>
      </c>
      <c r="CF422">
        <v>1</v>
      </c>
      <c r="CL422">
        <v>1</v>
      </c>
      <c r="CR422" t="s">
        <v>72</v>
      </c>
      <c r="CS422" t="s">
        <v>1507</v>
      </c>
    </row>
    <row r="423" spans="1:98">
      <c r="B423" t="s">
        <v>1483</v>
      </c>
      <c r="C423" s="13" t="s">
        <v>1484</v>
      </c>
      <c r="D423" s="15"/>
      <c r="E423" s="8"/>
      <c r="F423" s="8" t="s">
        <v>65</v>
      </c>
      <c r="G423" s="1">
        <v>1</v>
      </c>
      <c r="I423" s="1">
        <f>1804-26</f>
        <v>1778</v>
      </c>
      <c r="J423" t="s">
        <v>10</v>
      </c>
      <c r="K423" t="s">
        <v>12</v>
      </c>
      <c r="Q423">
        <v>5</v>
      </c>
      <c r="R423">
        <v>0</v>
      </c>
      <c r="S423">
        <v>3</v>
      </c>
      <c r="T423" s="5">
        <f t="shared" si="13"/>
        <v>158.66</v>
      </c>
      <c r="U423" t="s">
        <v>144</v>
      </c>
      <c r="AI423" s="6">
        <v>1</v>
      </c>
      <c r="AJ423" s="6">
        <v>1</v>
      </c>
      <c r="AK423" s="6">
        <v>1</v>
      </c>
      <c r="AL423" s="6">
        <v>1</v>
      </c>
      <c r="AM423" s="6">
        <v>1</v>
      </c>
      <c r="AN423" s="7">
        <v>1</v>
      </c>
      <c r="BC423" t="s">
        <v>1472</v>
      </c>
      <c r="BD423" s="7" t="s">
        <v>109</v>
      </c>
      <c r="BE423" t="s">
        <v>62</v>
      </c>
      <c r="BF423" s="1" t="s">
        <v>29</v>
      </c>
      <c r="BG423" s="1">
        <v>6</v>
      </c>
      <c r="BH423">
        <v>2</v>
      </c>
      <c r="BI423">
        <v>1</v>
      </c>
      <c r="BK423">
        <v>1</v>
      </c>
      <c r="BQ423">
        <v>1</v>
      </c>
      <c r="CL423">
        <v>1</v>
      </c>
      <c r="CS423" s="7" t="s">
        <v>1473</v>
      </c>
    </row>
    <row r="424" spans="1:98">
      <c r="B424" t="s">
        <v>229</v>
      </c>
      <c r="C424" s="15" t="s">
        <v>230</v>
      </c>
      <c r="D424" s="15"/>
      <c r="E424" s="8"/>
      <c r="F424" s="8" t="s">
        <v>65</v>
      </c>
      <c r="G424" s="1">
        <v>1</v>
      </c>
      <c r="I424" s="1">
        <f>1802-26</f>
        <v>1776</v>
      </c>
      <c r="J424" t="s">
        <v>10</v>
      </c>
      <c r="K424" t="s">
        <v>12</v>
      </c>
      <c r="Q424">
        <v>5</v>
      </c>
      <c r="R424">
        <v>0</v>
      </c>
      <c r="S424">
        <v>3</v>
      </c>
      <c r="T424" s="5">
        <f t="shared" si="13"/>
        <v>158.66</v>
      </c>
      <c r="U424" t="s">
        <v>144</v>
      </c>
      <c r="AI424" s="6">
        <v>1</v>
      </c>
      <c r="AJ424" s="6">
        <v>1</v>
      </c>
      <c r="AK424" s="6">
        <v>1</v>
      </c>
      <c r="AL424" s="6">
        <v>1</v>
      </c>
      <c r="AM424" s="6">
        <v>1</v>
      </c>
      <c r="AN424" s="7">
        <v>1</v>
      </c>
      <c r="BC424" t="s">
        <v>198</v>
      </c>
      <c r="BD424" s="7" t="s">
        <v>109</v>
      </c>
      <c r="BE424" t="s">
        <v>125</v>
      </c>
      <c r="BF424" s="1" t="s">
        <v>29</v>
      </c>
      <c r="BG424" s="1">
        <v>9</v>
      </c>
      <c r="BH424">
        <v>1</v>
      </c>
      <c r="BK424" s="1">
        <v>1</v>
      </c>
      <c r="BQ424">
        <v>1</v>
      </c>
      <c r="CR424" t="s">
        <v>72</v>
      </c>
      <c r="CS424" s="7" t="s">
        <v>354</v>
      </c>
    </row>
    <row r="425" spans="1:98">
      <c r="B425" t="s">
        <v>207</v>
      </c>
      <c r="C425" s="15" t="s">
        <v>208</v>
      </c>
      <c r="D425" s="15"/>
      <c r="E425" s="8"/>
      <c r="F425" s="8" t="s">
        <v>65</v>
      </c>
      <c r="G425" s="1">
        <v>1</v>
      </c>
      <c r="I425" s="1">
        <f>1802-31</f>
        <v>1771</v>
      </c>
      <c r="J425" t="s">
        <v>69</v>
      </c>
      <c r="K425" t="s">
        <v>209</v>
      </c>
      <c r="N425">
        <v>1</v>
      </c>
      <c r="Q425">
        <v>5</v>
      </c>
      <c r="R425">
        <v>3</v>
      </c>
      <c r="S425">
        <v>2</v>
      </c>
      <c r="T425" s="5">
        <f t="shared" si="13"/>
        <v>166.33</v>
      </c>
      <c r="U425" t="s">
        <v>144</v>
      </c>
      <c r="AI425" s="6">
        <v>1</v>
      </c>
      <c r="AJ425" s="6">
        <v>1</v>
      </c>
      <c r="AK425" s="6">
        <v>1</v>
      </c>
      <c r="AL425" s="6">
        <v>1</v>
      </c>
      <c r="AM425" s="6">
        <v>1</v>
      </c>
      <c r="AN425" s="7">
        <v>1</v>
      </c>
      <c r="BC425" t="s">
        <v>198</v>
      </c>
      <c r="BD425" s="7" t="s">
        <v>109</v>
      </c>
      <c r="BE425" t="s">
        <v>125</v>
      </c>
      <c r="BF425" s="1" t="s">
        <v>29</v>
      </c>
      <c r="BG425" s="1">
        <v>8</v>
      </c>
      <c r="BH425">
        <v>1</v>
      </c>
      <c r="BK425" s="1">
        <v>1</v>
      </c>
      <c r="BQ425">
        <v>1</v>
      </c>
      <c r="CS425" s="7" t="s">
        <v>354</v>
      </c>
    </row>
    <row r="426" spans="1:98">
      <c r="B426" t="s">
        <v>1499</v>
      </c>
      <c r="C426" s="2" t="s">
        <v>1500</v>
      </c>
      <c r="D426" s="2" t="s">
        <v>1500</v>
      </c>
      <c r="E426" s="8" t="s">
        <v>238</v>
      </c>
      <c r="F426" s="8" t="s">
        <v>65</v>
      </c>
      <c r="G426" s="1">
        <v>1</v>
      </c>
      <c r="I426" s="1">
        <f>1803-32</f>
        <v>1771</v>
      </c>
      <c r="J426" t="s">
        <v>10</v>
      </c>
      <c r="K426" t="s">
        <v>12</v>
      </c>
      <c r="Q426">
        <v>4</v>
      </c>
      <c r="R426">
        <v>10</v>
      </c>
      <c r="T426" s="5">
        <f t="shared" si="13"/>
        <v>152.69999999999999</v>
      </c>
      <c r="U426" t="s">
        <v>736</v>
      </c>
      <c r="AI426" s="6">
        <v>1</v>
      </c>
      <c r="AJ426" s="6">
        <v>1</v>
      </c>
      <c r="AK426" s="6">
        <v>1</v>
      </c>
      <c r="AL426" s="6">
        <v>1</v>
      </c>
      <c r="AM426" s="6">
        <v>1</v>
      </c>
      <c r="AN426" s="7">
        <v>1</v>
      </c>
      <c r="BC426" t="s">
        <v>1501</v>
      </c>
      <c r="BD426" s="7" t="s">
        <v>109</v>
      </c>
      <c r="BE426" t="s">
        <v>1502</v>
      </c>
      <c r="BF426" s="1" t="s">
        <v>29</v>
      </c>
      <c r="BG426" s="1">
        <v>3</v>
      </c>
      <c r="BH426">
        <v>2</v>
      </c>
      <c r="BK426" s="1">
        <v>1</v>
      </c>
      <c r="BQ426">
        <v>1</v>
      </c>
      <c r="CL426">
        <v>1</v>
      </c>
      <c r="CS426" s="7" t="s">
        <v>354</v>
      </c>
    </row>
    <row r="427" spans="1:98">
      <c r="B427" t="s">
        <v>1327</v>
      </c>
      <c r="C427" s="2" t="s">
        <v>1328</v>
      </c>
      <c r="D427" s="15"/>
      <c r="E427" s="8"/>
      <c r="F427" s="8" t="s">
        <v>65</v>
      </c>
      <c r="G427" s="1">
        <v>1</v>
      </c>
      <c r="I427" s="1">
        <f>1802-21</f>
        <v>1781</v>
      </c>
      <c r="J427" t="s">
        <v>69</v>
      </c>
      <c r="K427" t="s">
        <v>972</v>
      </c>
      <c r="N427">
        <v>1</v>
      </c>
      <c r="Q427">
        <v>5</v>
      </c>
      <c r="R427">
        <v>6</v>
      </c>
      <c r="S427">
        <v>2</v>
      </c>
      <c r="T427" s="5">
        <f t="shared" si="13"/>
        <v>174.22</v>
      </c>
      <c r="U427" t="s">
        <v>736</v>
      </c>
      <c r="AI427" s="6">
        <v>1</v>
      </c>
      <c r="AJ427" s="6">
        <v>1</v>
      </c>
      <c r="AK427" s="6">
        <v>1</v>
      </c>
      <c r="AL427" s="6">
        <v>1</v>
      </c>
      <c r="AM427" s="7">
        <v>1</v>
      </c>
      <c r="BC427" t="s">
        <v>1329</v>
      </c>
      <c r="BD427" s="7" t="s">
        <v>280</v>
      </c>
      <c r="BE427" t="s">
        <v>125</v>
      </c>
      <c r="BF427" s="1" t="s">
        <v>29</v>
      </c>
      <c r="BG427" s="1">
        <v>9</v>
      </c>
      <c r="BH427">
        <v>1</v>
      </c>
      <c r="BK427" s="1">
        <v>1</v>
      </c>
      <c r="BQ427">
        <v>1</v>
      </c>
      <c r="CN427">
        <v>1</v>
      </c>
      <c r="CP427">
        <v>1</v>
      </c>
      <c r="CS427" s="7" t="s">
        <v>1330</v>
      </c>
    </row>
    <row r="428" spans="1:98">
      <c r="B428" t="s">
        <v>734</v>
      </c>
      <c r="C428" s="13" t="s">
        <v>735</v>
      </c>
      <c r="D428" s="15"/>
      <c r="E428" s="8"/>
      <c r="F428" s="8" t="s">
        <v>65</v>
      </c>
      <c r="G428" s="1">
        <v>1</v>
      </c>
      <c r="I428" s="1">
        <f>1802-19</f>
        <v>1783</v>
      </c>
      <c r="J428" t="s">
        <v>10</v>
      </c>
      <c r="K428" t="s">
        <v>12</v>
      </c>
      <c r="Q428">
        <v>5</v>
      </c>
      <c r="R428">
        <v>2</v>
      </c>
      <c r="S428">
        <v>1</v>
      </c>
      <c r="T428" s="5">
        <f t="shared" si="13"/>
        <v>163.47999999999999</v>
      </c>
      <c r="U428" t="s">
        <v>736</v>
      </c>
      <c r="AI428" s="6">
        <v>1</v>
      </c>
      <c r="AJ428" s="6">
        <v>1</v>
      </c>
      <c r="AK428" s="6">
        <v>1</v>
      </c>
      <c r="AL428" s="6">
        <v>1</v>
      </c>
      <c r="AM428" s="6">
        <v>1</v>
      </c>
      <c r="AN428" s="7">
        <v>1</v>
      </c>
      <c r="BC428" t="s">
        <v>198</v>
      </c>
      <c r="BD428" s="7" t="s">
        <v>109</v>
      </c>
      <c r="BE428" t="s">
        <v>125</v>
      </c>
      <c r="BF428" s="1" t="s">
        <v>29</v>
      </c>
      <c r="BG428" s="1">
        <v>7</v>
      </c>
      <c r="BH428">
        <v>1</v>
      </c>
      <c r="BK428" s="1">
        <v>1</v>
      </c>
      <c r="BQ428">
        <v>1</v>
      </c>
      <c r="CR428" t="s">
        <v>72</v>
      </c>
      <c r="CS428" s="7" t="s">
        <v>354</v>
      </c>
    </row>
    <row r="429" spans="1:98">
      <c r="B429" t="s">
        <v>1338</v>
      </c>
      <c r="C429" s="2" t="s">
        <v>1339</v>
      </c>
      <c r="D429" s="15"/>
      <c r="E429" s="8"/>
      <c r="F429" s="8" t="s">
        <v>65</v>
      </c>
      <c r="G429" s="1">
        <v>1</v>
      </c>
      <c r="I429" s="1">
        <f>1802-31</f>
        <v>1771</v>
      </c>
      <c r="J429" t="s">
        <v>69</v>
      </c>
      <c r="K429" t="s">
        <v>900</v>
      </c>
      <c r="N429">
        <v>1</v>
      </c>
      <c r="Q429">
        <v>5</v>
      </c>
      <c r="R429">
        <v>3</v>
      </c>
      <c r="T429" s="5">
        <f t="shared" si="13"/>
        <v>165.89000000000001</v>
      </c>
      <c r="U429" t="s">
        <v>736</v>
      </c>
      <c r="AI429" s="6">
        <v>1</v>
      </c>
      <c r="AJ429" s="6">
        <v>1</v>
      </c>
      <c r="AK429" s="6">
        <v>1</v>
      </c>
      <c r="AL429" s="6">
        <v>1</v>
      </c>
      <c r="AM429" s="7">
        <v>1</v>
      </c>
      <c r="BC429" t="s">
        <v>1340</v>
      </c>
      <c r="BD429" s="7" t="s">
        <v>103</v>
      </c>
      <c r="BE429" t="s">
        <v>125</v>
      </c>
      <c r="BF429" s="1" t="s">
        <v>29</v>
      </c>
      <c r="BG429" s="1">
        <v>9</v>
      </c>
      <c r="BH429">
        <v>1</v>
      </c>
      <c r="BK429" s="1">
        <v>1</v>
      </c>
      <c r="BQ429">
        <v>1</v>
      </c>
      <c r="CS429" s="7" t="s">
        <v>1341</v>
      </c>
    </row>
    <row r="430" spans="1:98">
      <c r="B430" t="s">
        <v>1470</v>
      </c>
      <c r="C430" s="13" t="s">
        <v>1471</v>
      </c>
      <c r="D430" s="15"/>
      <c r="E430" s="8"/>
      <c r="F430" s="8" t="s">
        <v>65</v>
      </c>
      <c r="G430" s="1">
        <v>1</v>
      </c>
      <c r="I430" s="1">
        <f>1802-50</f>
        <v>1752</v>
      </c>
      <c r="J430" t="s">
        <v>10</v>
      </c>
      <c r="K430" t="s">
        <v>12</v>
      </c>
      <c r="Q430">
        <v>5</v>
      </c>
      <c r="R430">
        <v>3</v>
      </c>
      <c r="S430">
        <v>2</v>
      </c>
      <c r="T430" s="5">
        <f t="shared" si="13"/>
        <v>166.33</v>
      </c>
      <c r="U430" t="s">
        <v>736</v>
      </c>
      <c r="AI430" s="6">
        <v>1</v>
      </c>
      <c r="AJ430" s="6">
        <v>1</v>
      </c>
      <c r="AK430" s="6">
        <v>1</v>
      </c>
      <c r="AL430" s="6">
        <v>1</v>
      </c>
      <c r="AM430" s="6">
        <v>1</v>
      </c>
      <c r="AN430" s="7">
        <v>1</v>
      </c>
      <c r="BC430" t="s">
        <v>1472</v>
      </c>
      <c r="BD430" s="7" t="s">
        <v>109</v>
      </c>
      <c r="BE430" t="s">
        <v>62</v>
      </c>
      <c r="BF430" s="1" t="s">
        <v>29</v>
      </c>
      <c r="BG430" s="1">
        <v>6</v>
      </c>
      <c r="BH430">
        <v>2</v>
      </c>
      <c r="BI430">
        <v>1</v>
      </c>
      <c r="BK430">
        <v>1</v>
      </c>
      <c r="BQ430">
        <v>1</v>
      </c>
      <c r="CL430">
        <v>1</v>
      </c>
      <c r="CS430" s="7" t="s">
        <v>1473</v>
      </c>
    </row>
    <row r="431" spans="1:98">
      <c r="B431" t="s">
        <v>1834</v>
      </c>
      <c r="C431" s="2" t="s">
        <v>1835</v>
      </c>
      <c r="D431" s="26" t="s">
        <v>1836</v>
      </c>
      <c r="E431" s="8" t="s">
        <v>481</v>
      </c>
      <c r="F431" s="8" t="s">
        <v>65</v>
      </c>
      <c r="G431" s="1">
        <v>1</v>
      </c>
      <c r="I431" s="1">
        <f>1804-23</f>
        <v>1781</v>
      </c>
      <c r="J431" t="s">
        <v>10</v>
      </c>
      <c r="K431" t="s">
        <v>12</v>
      </c>
      <c r="Q431">
        <v>5</v>
      </c>
      <c r="R431">
        <v>2</v>
      </c>
      <c r="S431">
        <v>3</v>
      </c>
      <c r="T431" s="5">
        <f>((Q431*316)+(R431*26.3)+(S431*2.2))/10</f>
        <v>163.92</v>
      </c>
      <c r="U431" t="s">
        <v>1837</v>
      </c>
      <c r="AI431" s="10">
        <v>1</v>
      </c>
      <c r="BC431" t="s">
        <v>1838</v>
      </c>
      <c r="BD431" s="7" t="s">
        <v>280</v>
      </c>
      <c r="BE431" t="s">
        <v>1443</v>
      </c>
      <c r="BF431" s="1" t="s">
        <v>29</v>
      </c>
      <c r="BG431" s="1">
        <v>5</v>
      </c>
      <c r="BH431">
        <v>2</v>
      </c>
      <c r="BK431" s="1">
        <v>1</v>
      </c>
      <c r="BQ431">
        <v>1</v>
      </c>
      <c r="CL431">
        <v>1</v>
      </c>
      <c r="CN431">
        <v>1</v>
      </c>
      <c r="CS431" s="7" t="s">
        <v>947</v>
      </c>
    </row>
    <row r="432" spans="1:98">
      <c r="B432" t="s">
        <v>2200</v>
      </c>
      <c r="C432" s="2" t="s">
        <v>2201</v>
      </c>
      <c r="D432" s="2" t="s">
        <v>1128</v>
      </c>
      <c r="E432" s="8" t="s">
        <v>740</v>
      </c>
      <c r="F432" s="8" t="s">
        <v>65</v>
      </c>
      <c r="G432" s="1">
        <v>1</v>
      </c>
      <c r="I432" s="1">
        <f>1803-22</f>
        <v>1781</v>
      </c>
      <c r="J432" t="s">
        <v>10</v>
      </c>
      <c r="K432" t="s">
        <v>12</v>
      </c>
      <c r="Q432">
        <v>5</v>
      </c>
      <c r="R432">
        <v>2</v>
      </c>
      <c r="S432">
        <v>1</v>
      </c>
      <c r="T432" s="5">
        <f>((Q432*316)+(R432*26.3)+(S432*2.2))/10</f>
        <v>163.47999999999999</v>
      </c>
      <c r="U432" t="s">
        <v>2202</v>
      </c>
      <c r="AI432" s="6">
        <v>1</v>
      </c>
      <c r="AJ432" s="6">
        <v>1</v>
      </c>
      <c r="AK432" s="6">
        <v>1</v>
      </c>
      <c r="AL432" s="6">
        <v>1</v>
      </c>
      <c r="AM432" s="6">
        <v>1</v>
      </c>
      <c r="AN432" s="7">
        <v>1</v>
      </c>
      <c r="BC432" t="s">
        <v>1501</v>
      </c>
      <c r="BD432" s="7" t="s">
        <v>109</v>
      </c>
      <c r="BE432" t="s">
        <v>1502</v>
      </c>
      <c r="BF432" s="1" t="s">
        <v>29</v>
      </c>
      <c r="BG432" s="1">
        <v>3</v>
      </c>
      <c r="BH432">
        <v>2</v>
      </c>
      <c r="BK432" s="1">
        <v>1</v>
      </c>
      <c r="BQ432">
        <v>1</v>
      </c>
      <c r="CL432">
        <v>1</v>
      </c>
      <c r="CS432" s="7" t="s">
        <v>354</v>
      </c>
    </row>
    <row r="433" spans="1:99">
      <c r="B433" t="s">
        <v>2209</v>
      </c>
      <c r="C433" s="2" t="s">
        <v>1223</v>
      </c>
      <c r="D433" s="2" t="s">
        <v>1223</v>
      </c>
      <c r="E433" s="8" t="s">
        <v>130</v>
      </c>
      <c r="F433" s="8" t="s">
        <v>65</v>
      </c>
      <c r="G433" s="1">
        <v>1</v>
      </c>
      <c r="I433" s="1">
        <f>1803-20</f>
        <v>1783</v>
      </c>
      <c r="J433" t="s">
        <v>10</v>
      </c>
      <c r="K433" t="s">
        <v>140</v>
      </c>
      <c r="Q433">
        <v>5</v>
      </c>
      <c r="R433">
        <v>3</v>
      </c>
      <c r="S433">
        <v>1</v>
      </c>
      <c r="T433" s="5">
        <f>((Q433*316)+(R433*26.3)+(S433*2.2))/10</f>
        <v>166.11</v>
      </c>
      <c r="U433" t="s">
        <v>2210</v>
      </c>
      <c r="AI433" s="6">
        <v>1</v>
      </c>
      <c r="AJ433" s="6">
        <v>1</v>
      </c>
      <c r="AK433" s="7">
        <v>1</v>
      </c>
      <c r="BC433" t="s">
        <v>1412</v>
      </c>
      <c r="BD433" s="7" t="s">
        <v>280</v>
      </c>
      <c r="BE433" t="s">
        <v>1502</v>
      </c>
      <c r="BF433" s="1" t="s">
        <v>29</v>
      </c>
      <c r="BG433" s="1">
        <v>1</v>
      </c>
      <c r="BH433">
        <v>1</v>
      </c>
      <c r="BK433" s="1" t="s">
        <v>72</v>
      </c>
      <c r="BQ433">
        <v>1</v>
      </c>
      <c r="CN433">
        <v>1</v>
      </c>
      <c r="CS433" s="7" t="s">
        <v>947</v>
      </c>
    </row>
    <row r="434" spans="1:99">
      <c r="B434" t="s">
        <v>180</v>
      </c>
      <c r="C434" s="13" t="s">
        <v>181</v>
      </c>
      <c r="D434" s="15"/>
      <c r="E434" s="8"/>
      <c r="F434" s="8" t="s">
        <v>65</v>
      </c>
      <c r="G434" s="1">
        <v>1</v>
      </c>
      <c r="I434" s="1">
        <f>1802-20</f>
        <v>1782</v>
      </c>
      <c r="J434" t="s">
        <v>10</v>
      </c>
      <c r="K434" t="s">
        <v>12</v>
      </c>
      <c r="Q434">
        <v>5</v>
      </c>
      <c r="R434">
        <v>3</v>
      </c>
      <c r="S434">
        <v>3</v>
      </c>
      <c r="T434" s="5">
        <f t="shared" si="13"/>
        <v>166.55</v>
      </c>
      <c r="U434" t="s">
        <v>182</v>
      </c>
      <c r="AI434" s="6">
        <v>1</v>
      </c>
      <c r="AJ434" s="6">
        <v>1</v>
      </c>
      <c r="AK434" s="6">
        <v>1</v>
      </c>
      <c r="AL434" s="6">
        <v>1</v>
      </c>
      <c r="AM434" s="6">
        <v>1</v>
      </c>
      <c r="AN434" s="6">
        <v>1</v>
      </c>
      <c r="AO434" s="6">
        <v>1</v>
      </c>
      <c r="AP434" s="6">
        <v>1</v>
      </c>
      <c r="AQ434" s="9">
        <v>1</v>
      </c>
      <c r="AR434" s="9"/>
      <c r="AS434" s="9"/>
      <c r="AT434" s="9"/>
      <c r="AU434" s="9"/>
      <c r="AV434" s="6">
        <v>1</v>
      </c>
      <c r="AW434" s="6">
        <v>1</v>
      </c>
      <c r="AX434" s="6">
        <v>1</v>
      </c>
      <c r="AY434" s="6">
        <v>1</v>
      </c>
      <c r="AZ434" s="6">
        <v>1</v>
      </c>
      <c r="BA434" s="6">
        <v>1</v>
      </c>
      <c r="BB434" s="6">
        <v>1</v>
      </c>
      <c r="BC434">
        <v>1820</v>
      </c>
      <c r="BD434" t="s">
        <v>81</v>
      </c>
      <c r="BE434" t="s">
        <v>183</v>
      </c>
      <c r="BF434" s="1" t="s">
        <v>73</v>
      </c>
      <c r="BG434" s="1">
        <v>14</v>
      </c>
      <c r="BH434">
        <v>3</v>
      </c>
      <c r="BK434">
        <v>1</v>
      </c>
      <c r="BP434">
        <v>1</v>
      </c>
      <c r="BQ434">
        <v>1</v>
      </c>
      <c r="BY434">
        <v>1</v>
      </c>
      <c r="CL434">
        <v>1</v>
      </c>
      <c r="CM434">
        <v>1</v>
      </c>
      <c r="CR434" t="s">
        <v>72</v>
      </c>
      <c r="CS434" t="s">
        <v>184</v>
      </c>
      <c r="CT434" s="9" t="s">
        <v>185</v>
      </c>
      <c r="CU434" s="14" t="s">
        <v>1503</v>
      </c>
    </row>
    <row r="435" spans="1:99">
      <c r="B435" t="s">
        <v>1460</v>
      </c>
      <c r="C435" s="2" t="s">
        <v>166</v>
      </c>
      <c r="E435" s="8"/>
      <c r="F435" s="8" t="s">
        <v>65</v>
      </c>
      <c r="G435" s="1">
        <v>1</v>
      </c>
      <c r="I435" s="1">
        <f>1804-25</f>
        <v>1779</v>
      </c>
      <c r="J435" t="s">
        <v>10</v>
      </c>
      <c r="K435" t="s">
        <v>1461</v>
      </c>
      <c r="Q435">
        <v>5</v>
      </c>
      <c r="R435">
        <v>5</v>
      </c>
      <c r="T435" s="5">
        <f t="shared" si="13"/>
        <v>171.15</v>
      </c>
      <c r="U435" t="s">
        <v>1462</v>
      </c>
      <c r="AI435" s="6">
        <v>1</v>
      </c>
      <c r="AJ435" s="6">
        <v>1</v>
      </c>
      <c r="AK435" s="6">
        <v>1</v>
      </c>
      <c r="AL435" s="6">
        <v>1</v>
      </c>
      <c r="AM435" s="6">
        <v>1</v>
      </c>
      <c r="AN435" s="7">
        <v>1</v>
      </c>
      <c r="BC435" t="s">
        <v>1463</v>
      </c>
      <c r="BD435" s="7" t="s">
        <v>109</v>
      </c>
      <c r="BE435" t="s">
        <v>62</v>
      </c>
      <c r="BF435" s="1" t="s">
        <v>29</v>
      </c>
      <c r="BG435" s="1">
        <v>4</v>
      </c>
      <c r="BH435">
        <v>2</v>
      </c>
      <c r="BK435" s="1">
        <v>1</v>
      </c>
      <c r="BQ435">
        <v>1</v>
      </c>
      <c r="CL435">
        <v>1</v>
      </c>
      <c r="CS435" s="7" t="s">
        <v>1464</v>
      </c>
    </row>
    <row r="436" spans="1:99">
      <c r="B436" t="s">
        <v>147</v>
      </c>
      <c r="C436" s="15" t="s">
        <v>148</v>
      </c>
      <c r="D436" s="15"/>
      <c r="E436" s="8"/>
      <c r="F436" s="8" t="s">
        <v>65</v>
      </c>
      <c r="G436" s="1">
        <v>1</v>
      </c>
      <c r="I436" s="1">
        <f>1802-22</f>
        <v>1780</v>
      </c>
      <c r="J436" t="s">
        <v>10</v>
      </c>
      <c r="K436" t="s">
        <v>12</v>
      </c>
      <c r="Q436">
        <v>5</v>
      </c>
      <c r="R436">
        <v>3</v>
      </c>
      <c r="S436">
        <v>2</v>
      </c>
      <c r="T436" s="5">
        <f t="shared" si="13"/>
        <v>166.33</v>
      </c>
      <c r="U436" t="s">
        <v>149</v>
      </c>
      <c r="AI436" s="6">
        <v>1</v>
      </c>
      <c r="AJ436" s="6">
        <v>1</v>
      </c>
      <c r="AK436" s="6">
        <v>1</v>
      </c>
      <c r="AL436" s="6">
        <v>1</v>
      </c>
      <c r="AM436" s="6">
        <v>1</v>
      </c>
      <c r="AN436" s="6">
        <v>1</v>
      </c>
      <c r="AO436" s="6">
        <v>1</v>
      </c>
      <c r="AP436" s="6">
        <v>1</v>
      </c>
      <c r="AQ436" s="6">
        <v>1</v>
      </c>
      <c r="AR436" s="6">
        <v>1</v>
      </c>
      <c r="AS436" s="6">
        <v>1</v>
      </c>
      <c r="AT436" s="7">
        <v>1</v>
      </c>
      <c r="BC436" t="s">
        <v>1841</v>
      </c>
      <c r="BD436" s="7" t="s">
        <v>305</v>
      </c>
      <c r="BE436" t="s">
        <v>1618</v>
      </c>
      <c r="BF436" s="1" t="s">
        <v>29</v>
      </c>
      <c r="BG436" s="1">
        <v>15</v>
      </c>
      <c r="BH436">
        <v>2</v>
      </c>
      <c r="BI436">
        <v>1</v>
      </c>
      <c r="BK436" s="1">
        <v>1</v>
      </c>
      <c r="BQ436">
        <v>1</v>
      </c>
      <c r="CF436">
        <v>1</v>
      </c>
      <c r="CL436">
        <v>1</v>
      </c>
      <c r="CM436">
        <v>1</v>
      </c>
      <c r="CS436" s="7" t="s">
        <v>1842</v>
      </c>
    </row>
    <row r="437" spans="1:99">
      <c r="B437" t="s">
        <v>1331</v>
      </c>
      <c r="C437" s="2" t="s">
        <v>208</v>
      </c>
      <c r="D437" s="15"/>
      <c r="E437" s="8"/>
      <c r="F437" s="8" t="s">
        <v>65</v>
      </c>
      <c r="G437" s="1">
        <v>1</v>
      </c>
      <c r="I437" s="1">
        <f>1805-51</f>
        <v>1754</v>
      </c>
      <c r="J437" t="s">
        <v>69</v>
      </c>
      <c r="K437" t="s">
        <v>140</v>
      </c>
      <c r="N437">
        <v>1</v>
      </c>
      <c r="Q437">
        <v>5</v>
      </c>
      <c r="R437">
        <v>4</v>
      </c>
      <c r="S437">
        <v>3</v>
      </c>
      <c r="T437" s="5">
        <f t="shared" si="13"/>
        <v>169.18</v>
      </c>
      <c r="U437" t="s">
        <v>149</v>
      </c>
      <c r="AI437" s="6">
        <v>1</v>
      </c>
      <c r="AJ437" s="6">
        <v>1</v>
      </c>
      <c r="AK437" s="6">
        <v>1</v>
      </c>
      <c r="AL437" s="6">
        <v>1</v>
      </c>
      <c r="AM437" s="7">
        <v>1</v>
      </c>
      <c r="BC437" t="s">
        <v>1329</v>
      </c>
      <c r="BD437" s="7" t="s">
        <v>103</v>
      </c>
      <c r="BE437" t="s">
        <v>125</v>
      </c>
      <c r="BF437" s="1" t="s">
        <v>29</v>
      </c>
      <c r="BG437" s="1">
        <v>9</v>
      </c>
      <c r="BH437">
        <v>3</v>
      </c>
      <c r="BK437" s="1">
        <v>1</v>
      </c>
      <c r="BQ437">
        <v>1</v>
      </c>
      <c r="CR437" t="s">
        <v>72</v>
      </c>
      <c r="CS437" s="7" t="s">
        <v>361</v>
      </c>
    </row>
    <row r="438" spans="1:99">
      <c r="B438" t="s">
        <v>2303</v>
      </c>
      <c r="C438" s="2" t="s">
        <v>2304</v>
      </c>
      <c r="D438" s="15"/>
      <c r="E438" s="8"/>
      <c r="F438" s="8" t="s">
        <v>1548</v>
      </c>
      <c r="H438" s="30">
        <v>1</v>
      </c>
      <c r="I438" s="1">
        <f>1803-20</f>
        <v>1783</v>
      </c>
      <c r="J438" t="s">
        <v>10</v>
      </c>
      <c r="K438" t="s">
        <v>12</v>
      </c>
      <c r="Q438">
        <v>5</v>
      </c>
      <c r="R438">
        <v>4</v>
      </c>
      <c r="T438" s="5">
        <f t="shared" si="13"/>
        <v>168.52</v>
      </c>
      <c r="U438" t="s">
        <v>2305</v>
      </c>
      <c r="AI438" s="6">
        <v>1</v>
      </c>
      <c r="AJ438" s="6">
        <v>1</v>
      </c>
      <c r="AK438" s="6">
        <v>1</v>
      </c>
      <c r="AL438" s="7">
        <v>1</v>
      </c>
      <c r="BC438" t="s">
        <v>2306</v>
      </c>
      <c r="BD438" s="7" t="s">
        <v>280</v>
      </c>
      <c r="BE438" t="s">
        <v>118</v>
      </c>
      <c r="BF438" s="1" t="s">
        <v>29</v>
      </c>
      <c r="BG438" s="1">
        <v>2</v>
      </c>
      <c r="BH438">
        <v>2</v>
      </c>
      <c r="BK438" s="30">
        <v>1</v>
      </c>
      <c r="BQ438">
        <v>1</v>
      </c>
      <c r="CN438">
        <v>1</v>
      </c>
      <c r="CS438" s="7" t="s">
        <v>1927</v>
      </c>
      <c r="CT438" s="6" t="s">
        <v>2307</v>
      </c>
    </row>
    <row r="439" spans="1:99">
      <c r="A439" t="s">
        <v>7</v>
      </c>
      <c r="B439" t="s">
        <v>2611</v>
      </c>
      <c r="C439" s="15"/>
      <c r="D439" s="15"/>
      <c r="E439" s="8"/>
      <c r="F439" t="s">
        <v>7</v>
      </c>
      <c r="T439" s="5"/>
      <c r="U439" s="9" t="s">
        <v>2610</v>
      </c>
      <c r="AH439" s="9"/>
      <c r="AI439" s="7">
        <v>1</v>
      </c>
      <c r="BC439" t="s">
        <v>2612</v>
      </c>
      <c r="BD439" s="7" t="s">
        <v>103</v>
      </c>
      <c r="BE439" t="s">
        <v>124</v>
      </c>
      <c r="BF439" s="1" t="s">
        <v>29</v>
      </c>
      <c r="BG439" s="1">
        <v>1</v>
      </c>
      <c r="BH439">
        <v>1</v>
      </c>
      <c r="BQ439">
        <v>1</v>
      </c>
      <c r="CM439">
        <v>1</v>
      </c>
      <c r="CS439" s="7" t="s">
        <v>2613</v>
      </c>
    </row>
    <row r="440" spans="1:99">
      <c r="A440" t="s">
        <v>7</v>
      </c>
      <c r="B440" t="s">
        <v>1711</v>
      </c>
      <c r="C440" s="15"/>
      <c r="D440" s="15"/>
      <c r="E440" s="8"/>
      <c r="F440" t="s">
        <v>7</v>
      </c>
      <c r="Q440">
        <v>5</v>
      </c>
      <c r="R440">
        <v>1</v>
      </c>
      <c r="S440">
        <v>4</v>
      </c>
      <c r="T440" s="5">
        <f t="shared" si="13"/>
        <v>161.51</v>
      </c>
      <c r="U440" t="s">
        <v>1712</v>
      </c>
      <c r="AI440" s="7">
        <v>1</v>
      </c>
      <c r="BC440" t="s">
        <v>324</v>
      </c>
      <c r="BD440" s="7" t="s">
        <v>109</v>
      </c>
      <c r="BE440" t="s">
        <v>125</v>
      </c>
      <c r="BF440" s="1" t="s">
        <v>29</v>
      </c>
      <c r="BG440" s="1">
        <v>1</v>
      </c>
      <c r="BH440">
        <v>1</v>
      </c>
      <c r="BK440" s="1">
        <v>1</v>
      </c>
      <c r="BQ440">
        <v>1</v>
      </c>
      <c r="CS440" s="7" t="s">
        <v>1313</v>
      </c>
    </row>
    <row r="441" spans="1:99">
      <c r="A441" t="s">
        <v>7</v>
      </c>
      <c r="B441" t="s">
        <v>458</v>
      </c>
      <c r="C441" s="15"/>
      <c r="D441" s="15"/>
      <c r="E441" s="8"/>
      <c r="F441" t="s">
        <v>7</v>
      </c>
      <c r="T441" s="5"/>
      <c r="U441" s="9" t="s">
        <v>459</v>
      </c>
      <c r="AI441" s="9">
        <v>1</v>
      </c>
      <c r="AJ441" s="7">
        <v>1</v>
      </c>
      <c r="BC441" t="s">
        <v>460</v>
      </c>
      <c r="BD441" s="7" t="s">
        <v>103</v>
      </c>
      <c r="BE441" t="s">
        <v>437</v>
      </c>
      <c r="BF441" s="1" t="s">
        <v>29</v>
      </c>
      <c r="BG441" s="1">
        <v>1</v>
      </c>
      <c r="BH441">
        <v>1</v>
      </c>
      <c r="BQ441">
        <v>1</v>
      </c>
      <c r="CM441">
        <v>1</v>
      </c>
      <c r="CS441" s="7" t="s">
        <v>452</v>
      </c>
      <c r="CT441" s="9" t="s">
        <v>461</v>
      </c>
    </row>
    <row r="442" spans="1:99">
      <c r="A442" t="s">
        <v>7</v>
      </c>
      <c r="B442" t="s">
        <v>2500</v>
      </c>
      <c r="C442" s="2" t="s">
        <v>2501</v>
      </c>
      <c r="D442" s="15"/>
      <c r="E442" s="8" t="s">
        <v>2502</v>
      </c>
      <c r="F442" s="8" t="s">
        <v>595</v>
      </c>
      <c r="H442" s="1">
        <v>1</v>
      </c>
      <c r="I442" s="1">
        <f>1819-35</f>
        <v>1784</v>
      </c>
      <c r="J442" t="s">
        <v>10</v>
      </c>
      <c r="K442" t="s">
        <v>12</v>
      </c>
      <c r="Q442">
        <v>5</v>
      </c>
      <c r="R442">
        <v>2</v>
      </c>
      <c r="S442">
        <v>2</v>
      </c>
      <c r="T442" s="5">
        <f t="shared" si="13"/>
        <v>163.69999999999999</v>
      </c>
      <c r="U442" t="s">
        <v>2503</v>
      </c>
      <c r="AI442" s="6">
        <v>1</v>
      </c>
      <c r="AJ442" s="6">
        <v>1</v>
      </c>
      <c r="AK442" s="6">
        <v>1</v>
      </c>
      <c r="AL442" s="6">
        <v>1</v>
      </c>
      <c r="AM442" s="6">
        <v>1</v>
      </c>
      <c r="AN442" s="6">
        <v>1</v>
      </c>
      <c r="AO442" s="6">
        <v>1</v>
      </c>
      <c r="AP442" s="6">
        <v>1</v>
      </c>
      <c r="AQ442" s="6">
        <v>1</v>
      </c>
      <c r="AR442" s="6">
        <v>1</v>
      </c>
      <c r="AS442" s="6">
        <v>1</v>
      </c>
      <c r="AT442" s="6">
        <v>1</v>
      </c>
      <c r="AU442" s="6">
        <v>1</v>
      </c>
      <c r="AV442" s="6">
        <v>1</v>
      </c>
      <c r="AW442" s="6">
        <v>1</v>
      </c>
      <c r="AX442" s="6">
        <v>1</v>
      </c>
      <c r="AY442" s="6">
        <v>1</v>
      </c>
      <c r="AZ442" s="6">
        <v>1</v>
      </c>
      <c r="BA442" s="6">
        <v>1</v>
      </c>
      <c r="BB442" s="6">
        <v>1</v>
      </c>
      <c r="BC442">
        <v>1820</v>
      </c>
      <c r="BD442" t="s">
        <v>81</v>
      </c>
      <c r="BE442" t="s">
        <v>62</v>
      </c>
      <c r="BF442" s="1" t="s">
        <v>73</v>
      </c>
      <c r="BG442" s="1">
        <v>5</v>
      </c>
      <c r="BH442">
        <v>2</v>
      </c>
      <c r="BO442">
        <v>1</v>
      </c>
      <c r="BP442">
        <v>1</v>
      </c>
      <c r="BQ442">
        <v>1</v>
      </c>
      <c r="CF442">
        <v>1</v>
      </c>
      <c r="CQ442">
        <v>1</v>
      </c>
      <c r="CR442" t="s">
        <v>72</v>
      </c>
      <c r="CS442" t="s">
        <v>2504</v>
      </c>
    </row>
    <row r="443" spans="1:99">
      <c r="B443" t="s">
        <v>1856</v>
      </c>
      <c r="C443" s="2" t="s">
        <v>1857</v>
      </c>
      <c r="D443" s="15"/>
      <c r="E443" s="8" t="s">
        <v>1858</v>
      </c>
      <c r="F443" s="8" t="s">
        <v>247</v>
      </c>
      <c r="G443" s="1">
        <v>1</v>
      </c>
      <c r="I443" s="1">
        <f>1804-22</f>
        <v>1782</v>
      </c>
      <c r="J443" t="s">
        <v>10</v>
      </c>
      <c r="K443" t="s">
        <v>1859</v>
      </c>
      <c r="Q443">
        <v>5</v>
      </c>
      <c r="R443">
        <v>4</v>
      </c>
      <c r="S443">
        <v>1</v>
      </c>
      <c r="T443" s="5">
        <f>((Q443*316)+(R443*26.3)+(S443*2.2))/10</f>
        <v>168.74</v>
      </c>
      <c r="U443" t="s">
        <v>1860</v>
      </c>
      <c r="AI443" s="6">
        <v>1</v>
      </c>
      <c r="AJ443" s="6">
        <v>1</v>
      </c>
      <c r="AK443" s="6">
        <v>1</v>
      </c>
      <c r="AL443" s="6">
        <v>1</v>
      </c>
      <c r="BC443">
        <v>1804</v>
      </c>
      <c r="BD443" t="s">
        <v>81</v>
      </c>
      <c r="BE443" t="s">
        <v>1854</v>
      </c>
      <c r="BF443" s="1" t="s">
        <v>73</v>
      </c>
      <c r="BG443" s="1">
        <v>3</v>
      </c>
      <c r="BH443">
        <v>1</v>
      </c>
      <c r="BO443">
        <v>1</v>
      </c>
      <c r="BQ443">
        <v>1</v>
      </c>
      <c r="CS443" t="s">
        <v>1861</v>
      </c>
    </row>
    <row r="444" spans="1:99">
      <c r="B444" t="s">
        <v>1541</v>
      </c>
      <c r="C444" s="2" t="s">
        <v>1542</v>
      </c>
      <c r="D444" s="15"/>
      <c r="E444" s="8"/>
      <c r="F444" s="8" t="s">
        <v>1543</v>
      </c>
      <c r="H444" s="1">
        <v>1</v>
      </c>
      <c r="I444" s="1">
        <f>1802-19</f>
        <v>1783</v>
      </c>
      <c r="J444" t="s">
        <v>10</v>
      </c>
      <c r="K444" t="s">
        <v>12</v>
      </c>
      <c r="Q444">
        <v>5</v>
      </c>
      <c r="R444">
        <v>4</v>
      </c>
      <c r="T444" s="5">
        <f>((Q444*316)+(R444*26.3)+(S444*2.2))/10</f>
        <v>168.52</v>
      </c>
      <c r="U444" t="s">
        <v>1544</v>
      </c>
      <c r="AJ444" s="6">
        <v>1</v>
      </c>
      <c r="AK444" s="6">
        <v>1</v>
      </c>
      <c r="AL444" s="7">
        <v>1</v>
      </c>
      <c r="BC444" t="s">
        <v>1545</v>
      </c>
      <c r="BD444" s="7" t="s">
        <v>280</v>
      </c>
      <c r="BE444" t="s">
        <v>1529</v>
      </c>
      <c r="BF444" s="1" t="s">
        <v>29</v>
      </c>
      <c r="BG444" s="1">
        <v>3</v>
      </c>
      <c r="BH444">
        <v>1</v>
      </c>
      <c r="BO444">
        <v>1</v>
      </c>
      <c r="BQ444">
        <v>1</v>
      </c>
      <c r="CN444">
        <v>1</v>
      </c>
      <c r="CR444">
        <v>1</v>
      </c>
      <c r="CS444" s="7" t="s">
        <v>1243</v>
      </c>
    </row>
    <row r="445" spans="1:99">
      <c r="B445" t="s">
        <v>1068</v>
      </c>
      <c r="C445" s="2" t="s">
        <v>1069</v>
      </c>
      <c r="D445" s="15"/>
      <c r="E445" s="8" t="s">
        <v>1117</v>
      </c>
      <c r="F445" s="8" t="s">
        <v>247</v>
      </c>
      <c r="G445" s="1">
        <v>1</v>
      </c>
      <c r="I445" s="1">
        <f>1802-18</f>
        <v>1784</v>
      </c>
      <c r="J445" t="s">
        <v>10</v>
      </c>
      <c r="K445" t="s">
        <v>116</v>
      </c>
      <c r="Q445">
        <v>5</v>
      </c>
      <c r="R445">
        <v>4</v>
      </c>
      <c r="T445" s="5">
        <f>((Q445*316)+(R445*26.3)+(S445*2.2))/10</f>
        <v>168.52</v>
      </c>
      <c r="U445" t="s">
        <v>359</v>
      </c>
      <c r="AJ445" s="6">
        <v>1</v>
      </c>
      <c r="AK445" s="6">
        <v>1</v>
      </c>
      <c r="AL445" s="6">
        <v>1</v>
      </c>
      <c r="AM445" s="7">
        <v>1</v>
      </c>
      <c r="BC445" t="s">
        <v>1070</v>
      </c>
      <c r="BD445" s="7" t="s">
        <v>26</v>
      </c>
      <c r="BE445" t="s">
        <v>1065</v>
      </c>
      <c r="BF445" s="1" t="s">
        <v>29</v>
      </c>
      <c r="BG445" s="1">
        <v>5</v>
      </c>
      <c r="BH445">
        <v>1</v>
      </c>
      <c r="BO445">
        <v>1</v>
      </c>
      <c r="BQ445">
        <v>1</v>
      </c>
      <c r="CS445" s="7" t="s">
        <v>1071</v>
      </c>
    </row>
    <row r="446" spans="1:99">
      <c r="B446" t="s">
        <v>355</v>
      </c>
      <c r="C446" s="15" t="s">
        <v>356</v>
      </c>
      <c r="D446" s="15"/>
      <c r="E446" s="8"/>
      <c r="F446" s="8" t="s">
        <v>357</v>
      </c>
      <c r="G446" s="1">
        <v>1</v>
      </c>
      <c r="I446" s="1">
        <f>1804-20</f>
        <v>1784</v>
      </c>
      <c r="J446" t="s">
        <v>10</v>
      </c>
      <c r="K446" t="s">
        <v>358</v>
      </c>
      <c r="Q446">
        <v>5</v>
      </c>
      <c r="R446">
        <v>6</v>
      </c>
      <c r="T446" s="5">
        <f>((Q446*316)+(R446*26.3)+(S446*2.2))/10</f>
        <v>173.78</v>
      </c>
      <c r="U446" t="s">
        <v>359</v>
      </c>
      <c r="AJ446" s="6">
        <v>1</v>
      </c>
      <c r="AK446" s="6">
        <v>1</v>
      </c>
      <c r="AL446" s="6">
        <v>1</v>
      </c>
      <c r="AM446" s="7">
        <v>1</v>
      </c>
      <c r="BC446" t="s">
        <v>362</v>
      </c>
      <c r="BD446" s="7" t="s">
        <v>103</v>
      </c>
      <c r="BE446" t="s">
        <v>360</v>
      </c>
      <c r="BF446" s="1" t="s">
        <v>29</v>
      </c>
      <c r="BG446" s="1">
        <v>4</v>
      </c>
      <c r="BH446">
        <v>2</v>
      </c>
      <c r="BK446" s="1">
        <v>1</v>
      </c>
      <c r="BQ446">
        <v>1</v>
      </c>
      <c r="BX446">
        <v>1</v>
      </c>
      <c r="CL446">
        <v>1</v>
      </c>
      <c r="CS446" s="7" t="s">
        <v>361</v>
      </c>
    </row>
    <row r="447" spans="1:99">
      <c r="B447" t="s">
        <v>2007</v>
      </c>
      <c r="C447" s="2" t="s">
        <v>2002</v>
      </c>
      <c r="D447" s="15"/>
      <c r="E447" s="8" t="s">
        <v>238</v>
      </c>
      <c r="F447" s="8" t="s">
        <v>65</v>
      </c>
      <c r="I447" s="1">
        <f>1803-22</f>
        <v>1781</v>
      </c>
      <c r="J447" t="s">
        <v>10</v>
      </c>
      <c r="K447" t="s">
        <v>12</v>
      </c>
      <c r="Q447">
        <v>5</v>
      </c>
      <c r="R447">
        <v>2</v>
      </c>
      <c r="T447" s="5">
        <f>((Q447*316)+(R447*26.3)+(S447*2.2))/10</f>
        <v>163.26</v>
      </c>
      <c r="U447" t="s">
        <v>2006</v>
      </c>
      <c r="AJ447" s="6">
        <v>1</v>
      </c>
      <c r="AK447" s="7">
        <v>1</v>
      </c>
      <c r="BC447" t="s">
        <v>2008</v>
      </c>
      <c r="BD447" s="7" t="s">
        <v>280</v>
      </c>
      <c r="BE447" t="s">
        <v>1502</v>
      </c>
      <c r="BF447" s="1" t="s">
        <v>29</v>
      </c>
      <c r="BG447" s="1">
        <v>2</v>
      </c>
      <c r="BH447">
        <v>2</v>
      </c>
      <c r="BK447" s="1">
        <v>1</v>
      </c>
      <c r="BQ447">
        <v>1</v>
      </c>
      <c r="CN447">
        <v>1</v>
      </c>
      <c r="CS447" s="7" t="s">
        <v>917</v>
      </c>
    </row>
    <row r="448" spans="1:99">
      <c r="A448" t="s">
        <v>7</v>
      </c>
      <c r="B448" t="s">
        <v>2598</v>
      </c>
      <c r="C448" s="15"/>
      <c r="D448" s="15"/>
      <c r="E448" s="8"/>
      <c r="F448" t="s">
        <v>7</v>
      </c>
      <c r="T448" s="5"/>
      <c r="U448" s="9" t="s">
        <v>2601</v>
      </c>
      <c r="AJ448" s="9">
        <v>1</v>
      </c>
      <c r="AK448" s="7">
        <v>1</v>
      </c>
      <c r="BC448" t="s">
        <v>2599</v>
      </c>
      <c r="BD448" s="7" t="s">
        <v>280</v>
      </c>
      <c r="BE448" t="s">
        <v>118</v>
      </c>
      <c r="BF448" s="1" t="s">
        <v>29</v>
      </c>
      <c r="BG448" s="1">
        <v>1</v>
      </c>
      <c r="BH448">
        <v>1</v>
      </c>
      <c r="BQ448">
        <v>1</v>
      </c>
      <c r="CN448">
        <v>1</v>
      </c>
      <c r="CS448" s="7" t="s">
        <v>947</v>
      </c>
    </row>
    <row r="449" spans="1:98">
      <c r="A449" t="s">
        <v>7</v>
      </c>
      <c r="B449" t="s">
        <v>2594</v>
      </c>
      <c r="C449" s="2"/>
      <c r="D449" s="15"/>
      <c r="E449" s="8"/>
      <c r="F449" t="s">
        <v>7</v>
      </c>
      <c r="T449" s="5"/>
      <c r="U449" s="9" t="s">
        <v>2595</v>
      </c>
      <c r="AJ449" s="9">
        <v>1</v>
      </c>
      <c r="AK449" s="7">
        <v>1</v>
      </c>
      <c r="BC449" t="s">
        <v>2596</v>
      </c>
      <c r="BD449" s="7" t="s">
        <v>280</v>
      </c>
      <c r="BE449" t="s">
        <v>118</v>
      </c>
      <c r="BF449" s="1" t="s">
        <v>29</v>
      </c>
      <c r="BG449" s="1">
        <v>1</v>
      </c>
      <c r="BH449">
        <v>1</v>
      </c>
      <c r="BQ449">
        <v>1</v>
      </c>
      <c r="CG449">
        <v>1</v>
      </c>
      <c r="CN449">
        <v>1</v>
      </c>
      <c r="CS449" s="7" t="s">
        <v>2597</v>
      </c>
    </row>
    <row r="450" spans="1:98">
      <c r="A450" t="s">
        <v>7</v>
      </c>
      <c r="B450" t="s">
        <v>2602</v>
      </c>
      <c r="C450" s="2"/>
      <c r="D450" s="15"/>
      <c r="E450" s="8"/>
      <c r="F450" t="s">
        <v>7</v>
      </c>
      <c r="T450" s="5"/>
      <c r="U450" s="9" t="s">
        <v>2595</v>
      </c>
      <c r="AJ450" s="9">
        <v>1</v>
      </c>
      <c r="AK450" s="7">
        <v>1</v>
      </c>
      <c r="BC450" t="s">
        <v>1369</v>
      </c>
      <c r="BD450" s="7" t="s">
        <v>280</v>
      </c>
      <c r="BE450" t="s">
        <v>118</v>
      </c>
      <c r="BF450" s="1" t="s">
        <v>29</v>
      </c>
      <c r="BG450" s="1">
        <v>1</v>
      </c>
      <c r="BH450">
        <v>1</v>
      </c>
      <c r="BQ450">
        <v>1</v>
      </c>
      <c r="CS450" s="7" t="s">
        <v>2605</v>
      </c>
    </row>
    <row r="451" spans="1:98">
      <c r="A451" t="s">
        <v>7</v>
      </c>
      <c r="B451" t="s">
        <v>2603</v>
      </c>
      <c r="C451" s="2"/>
      <c r="D451" s="15"/>
      <c r="E451" s="8"/>
      <c r="F451" t="s">
        <v>7</v>
      </c>
      <c r="T451" s="5"/>
      <c r="U451" s="9" t="s">
        <v>2595</v>
      </c>
      <c r="AJ451" s="9">
        <v>1</v>
      </c>
      <c r="AK451" s="7">
        <v>1</v>
      </c>
      <c r="BC451" t="s">
        <v>2604</v>
      </c>
      <c r="BD451" s="7" t="s">
        <v>280</v>
      </c>
      <c r="BE451" t="s">
        <v>118</v>
      </c>
      <c r="BF451" s="1" t="s">
        <v>29</v>
      </c>
      <c r="BG451" s="1">
        <v>1</v>
      </c>
      <c r="BH451">
        <v>1</v>
      </c>
      <c r="BQ451">
        <v>1</v>
      </c>
      <c r="CS451" s="7" t="s">
        <v>2597</v>
      </c>
    </row>
    <row r="452" spans="1:98">
      <c r="A452" t="s">
        <v>7</v>
      </c>
      <c r="B452" t="s">
        <v>2600</v>
      </c>
      <c r="C452" s="2"/>
      <c r="D452" s="15"/>
      <c r="E452" s="8"/>
      <c r="F452" t="s">
        <v>7</v>
      </c>
      <c r="T452" s="5"/>
      <c r="U452" s="9" t="s">
        <v>2595</v>
      </c>
      <c r="AJ452" s="9">
        <v>1</v>
      </c>
      <c r="AK452" s="7">
        <v>1</v>
      </c>
      <c r="BC452" t="s">
        <v>1948</v>
      </c>
      <c r="BD452" s="7" t="s">
        <v>103</v>
      </c>
      <c r="BE452" t="s">
        <v>118</v>
      </c>
      <c r="BF452" s="1" t="s">
        <v>29</v>
      </c>
      <c r="BG452" s="1">
        <v>1</v>
      </c>
      <c r="BH452">
        <v>1</v>
      </c>
      <c r="BQ452">
        <v>1</v>
      </c>
      <c r="CS452" s="7" t="s">
        <v>1125</v>
      </c>
    </row>
    <row r="453" spans="1:98">
      <c r="A453" t="s">
        <v>7</v>
      </c>
      <c r="B453" t="s">
        <v>2230</v>
      </c>
      <c r="C453" s="2"/>
      <c r="D453" s="15"/>
      <c r="E453" s="8"/>
      <c r="F453" t="s">
        <v>7</v>
      </c>
      <c r="T453" s="5"/>
      <c r="U453" s="9" t="s">
        <v>1946</v>
      </c>
      <c r="AJ453" s="9">
        <v>1</v>
      </c>
      <c r="AK453" s="7">
        <v>1</v>
      </c>
      <c r="BC453" t="s">
        <v>1412</v>
      </c>
      <c r="BD453" s="7" t="s">
        <v>280</v>
      </c>
      <c r="BE453" t="s">
        <v>1502</v>
      </c>
      <c r="BF453" s="1" t="s">
        <v>29</v>
      </c>
      <c r="BG453" s="1">
        <v>1</v>
      </c>
      <c r="BH453">
        <v>1</v>
      </c>
      <c r="CN453">
        <v>1</v>
      </c>
      <c r="CS453" s="7" t="s">
        <v>947</v>
      </c>
      <c r="CT453" s="9" t="s">
        <v>382</v>
      </c>
    </row>
    <row r="454" spans="1:98">
      <c r="A454" t="s">
        <v>7</v>
      </c>
      <c r="B454" t="s">
        <v>2236</v>
      </c>
      <c r="C454" s="2"/>
      <c r="D454" s="15"/>
      <c r="E454" s="8"/>
      <c r="F454" t="s">
        <v>7</v>
      </c>
      <c r="T454" s="5"/>
      <c r="U454" s="9" t="s">
        <v>1946</v>
      </c>
      <c r="AJ454" s="9">
        <v>1</v>
      </c>
      <c r="AK454" s="7">
        <v>1</v>
      </c>
      <c r="BC454" t="s">
        <v>1412</v>
      </c>
      <c r="BD454" s="7" t="s">
        <v>280</v>
      </c>
      <c r="BE454" t="s">
        <v>1502</v>
      </c>
      <c r="BF454" s="1" t="s">
        <v>29</v>
      </c>
      <c r="BG454" s="1">
        <v>1</v>
      </c>
      <c r="BH454">
        <v>1</v>
      </c>
      <c r="CN454">
        <v>1</v>
      </c>
      <c r="CS454" s="7" t="s">
        <v>947</v>
      </c>
      <c r="CT454" s="9" t="s">
        <v>382</v>
      </c>
    </row>
    <row r="455" spans="1:98">
      <c r="A455" t="s">
        <v>7</v>
      </c>
      <c r="B455" t="s">
        <v>2231</v>
      </c>
      <c r="C455" s="2"/>
      <c r="D455" s="15"/>
      <c r="E455" s="8"/>
      <c r="F455" t="s">
        <v>7</v>
      </c>
      <c r="T455" s="5"/>
      <c r="U455" s="9" t="s">
        <v>1946</v>
      </c>
      <c r="AJ455" s="9">
        <v>1</v>
      </c>
      <c r="AK455" s="7">
        <v>1</v>
      </c>
      <c r="BC455" t="s">
        <v>2232</v>
      </c>
      <c r="BD455" s="7" t="s">
        <v>103</v>
      </c>
      <c r="BE455" t="s">
        <v>1502</v>
      </c>
      <c r="BF455" s="1" t="s">
        <v>29</v>
      </c>
      <c r="BG455" s="1">
        <v>1</v>
      </c>
      <c r="BH455">
        <v>1</v>
      </c>
      <c r="CS455" s="7" t="s">
        <v>203</v>
      </c>
      <c r="CT455" s="9" t="s">
        <v>382</v>
      </c>
    </row>
    <row r="456" spans="1:98">
      <c r="A456" t="s">
        <v>7</v>
      </c>
      <c r="B456" t="s">
        <v>1947</v>
      </c>
      <c r="C456" s="15"/>
      <c r="D456" s="15"/>
      <c r="E456" s="8"/>
      <c r="F456" t="s">
        <v>7</v>
      </c>
      <c r="T456" s="5"/>
      <c r="U456" s="9" t="s">
        <v>1946</v>
      </c>
      <c r="AJ456" s="9">
        <v>1</v>
      </c>
      <c r="AK456" s="7">
        <v>1</v>
      </c>
      <c r="BC456" t="s">
        <v>1948</v>
      </c>
      <c r="BD456" s="7" t="s">
        <v>103</v>
      </c>
      <c r="BE456" t="s">
        <v>1502</v>
      </c>
      <c r="BF456" s="1" t="s">
        <v>29</v>
      </c>
      <c r="BG456" s="1">
        <v>2</v>
      </c>
      <c r="BH456">
        <v>1</v>
      </c>
      <c r="BK456" s="1">
        <v>1</v>
      </c>
      <c r="BQ456">
        <v>1</v>
      </c>
      <c r="CS456" s="7" t="s">
        <v>1949</v>
      </c>
      <c r="CT456" s="9" t="s">
        <v>382</v>
      </c>
    </row>
    <row r="457" spans="1:98">
      <c r="A457" t="s">
        <v>7</v>
      </c>
      <c r="B457" t="s">
        <v>2237</v>
      </c>
      <c r="C457" s="15"/>
      <c r="D457" s="15"/>
      <c r="E457" s="8"/>
      <c r="F457" t="s">
        <v>7</v>
      </c>
      <c r="T457" s="5"/>
      <c r="U457" s="9" t="s">
        <v>1946</v>
      </c>
      <c r="AJ457" s="9">
        <v>1</v>
      </c>
      <c r="AK457" s="7">
        <v>1</v>
      </c>
      <c r="BC457" t="s">
        <v>1412</v>
      </c>
      <c r="BD457" s="7" t="s">
        <v>280</v>
      </c>
      <c r="BE457" t="s">
        <v>1502</v>
      </c>
      <c r="BF457" s="1" t="s">
        <v>29</v>
      </c>
      <c r="BG457" s="1">
        <v>1</v>
      </c>
      <c r="BH457">
        <v>1</v>
      </c>
      <c r="CN457">
        <v>1</v>
      </c>
      <c r="CS457" s="7" t="s">
        <v>947</v>
      </c>
      <c r="CT457" s="9" t="s">
        <v>382</v>
      </c>
    </row>
    <row r="458" spans="1:98">
      <c r="A458" t="s">
        <v>7</v>
      </c>
      <c r="B458" t="s">
        <v>2234</v>
      </c>
      <c r="C458" s="15"/>
      <c r="D458" s="15"/>
      <c r="E458" s="8"/>
      <c r="F458" t="s">
        <v>7</v>
      </c>
      <c r="T458" s="5"/>
      <c r="U458" s="9" t="s">
        <v>2233</v>
      </c>
      <c r="AJ458" s="9">
        <v>1</v>
      </c>
      <c r="AK458" s="7">
        <v>1</v>
      </c>
      <c r="BC458" t="s">
        <v>2232</v>
      </c>
      <c r="BD458" s="7" t="s">
        <v>103</v>
      </c>
      <c r="BE458" t="s">
        <v>1502</v>
      </c>
      <c r="BF458" s="1" t="s">
        <v>29</v>
      </c>
      <c r="BG458" s="1">
        <v>1</v>
      </c>
      <c r="BH458">
        <v>1</v>
      </c>
      <c r="CS458" s="7" t="s">
        <v>203</v>
      </c>
      <c r="CT458" s="9" t="s">
        <v>382</v>
      </c>
    </row>
    <row r="459" spans="1:98">
      <c r="A459" t="s">
        <v>7</v>
      </c>
      <c r="B459" t="s">
        <v>2235</v>
      </c>
      <c r="C459" s="15"/>
      <c r="D459" s="15"/>
      <c r="E459" s="8"/>
      <c r="F459" t="s">
        <v>7</v>
      </c>
      <c r="T459" s="5"/>
      <c r="U459" s="9" t="s">
        <v>2233</v>
      </c>
      <c r="AJ459" s="9">
        <v>1</v>
      </c>
      <c r="AK459" s="7">
        <v>1</v>
      </c>
      <c r="BC459" t="s">
        <v>1412</v>
      </c>
      <c r="BD459" s="7" t="s">
        <v>280</v>
      </c>
      <c r="BE459" t="s">
        <v>1502</v>
      </c>
      <c r="BF459" s="1" t="s">
        <v>29</v>
      </c>
      <c r="BG459" s="1">
        <v>1</v>
      </c>
      <c r="BH459">
        <v>1</v>
      </c>
      <c r="CN459">
        <v>1</v>
      </c>
      <c r="CS459" s="7" t="s">
        <v>947</v>
      </c>
      <c r="CT459" s="9" t="s">
        <v>382</v>
      </c>
    </row>
    <row r="460" spans="1:98">
      <c r="A460" t="s">
        <v>7</v>
      </c>
      <c r="B460" t="s">
        <v>2225</v>
      </c>
      <c r="C460" s="15"/>
      <c r="D460" s="15"/>
      <c r="E460" s="8"/>
      <c r="F460" t="s">
        <v>7</v>
      </c>
      <c r="T460" s="5"/>
      <c r="U460" s="9" t="s">
        <v>2224</v>
      </c>
      <c r="AJ460" s="9">
        <v>1</v>
      </c>
      <c r="AK460" s="7">
        <v>1</v>
      </c>
      <c r="BC460" t="s">
        <v>1412</v>
      </c>
      <c r="BD460" s="7" t="s">
        <v>280</v>
      </c>
      <c r="BE460" t="s">
        <v>1502</v>
      </c>
      <c r="BF460" s="1" t="s">
        <v>29</v>
      </c>
      <c r="BG460" s="1">
        <v>1</v>
      </c>
      <c r="BH460">
        <v>1</v>
      </c>
      <c r="CN460">
        <v>1</v>
      </c>
      <c r="CS460" s="7" t="s">
        <v>947</v>
      </c>
      <c r="CT460" s="9" t="s">
        <v>382</v>
      </c>
    </row>
    <row r="461" spans="1:98">
      <c r="A461" t="s">
        <v>7</v>
      </c>
      <c r="B461" t="s">
        <v>2226</v>
      </c>
      <c r="C461" s="15"/>
      <c r="D461" s="15"/>
      <c r="E461" s="8"/>
      <c r="F461" t="s">
        <v>7</v>
      </c>
      <c r="T461" s="5"/>
      <c r="U461" s="9" t="s">
        <v>2227</v>
      </c>
      <c r="AJ461" s="9">
        <v>1</v>
      </c>
      <c r="AK461" s="7">
        <v>1</v>
      </c>
      <c r="BC461" t="s">
        <v>2228</v>
      </c>
      <c r="BD461" s="7" t="s">
        <v>103</v>
      </c>
      <c r="BE461" t="s">
        <v>1502</v>
      </c>
      <c r="BF461" s="1" t="s">
        <v>29</v>
      </c>
      <c r="BG461" s="1">
        <v>1</v>
      </c>
      <c r="BH461">
        <v>1</v>
      </c>
      <c r="CS461" s="7" t="s">
        <v>412</v>
      </c>
      <c r="CT461" s="9" t="s">
        <v>382</v>
      </c>
    </row>
    <row r="462" spans="1:98">
      <c r="A462" t="s">
        <v>7</v>
      </c>
      <c r="B462" t="s">
        <v>2229</v>
      </c>
      <c r="C462" s="15"/>
      <c r="D462" s="15"/>
      <c r="E462" s="8"/>
      <c r="F462" t="s">
        <v>7</v>
      </c>
      <c r="T462" s="5"/>
      <c r="U462" s="9" t="s">
        <v>2227</v>
      </c>
      <c r="AJ462" s="9">
        <v>1</v>
      </c>
      <c r="AK462" s="7">
        <v>1</v>
      </c>
      <c r="BC462" t="s">
        <v>1412</v>
      </c>
      <c r="BD462" s="7" t="s">
        <v>280</v>
      </c>
      <c r="BE462" t="s">
        <v>1502</v>
      </c>
      <c r="BF462" s="1" t="s">
        <v>29</v>
      </c>
      <c r="BG462" s="1">
        <v>1</v>
      </c>
      <c r="BH462">
        <v>1</v>
      </c>
      <c r="CN462">
        <v>1</v>
      </c>
      <c r="CS462" s="7" t="s">
        <v>947</v>
      </c>
      <c r="CT462" s="9" t="s">
        <v>382</v>
      </c>
    </row>
    <row r="463" spans="1:98">
      <c r="B463" t="s">
        <v>1586</v>
      </c>
      <c r="C463" s="2" t="s">
        <v>1584</v>
      </c>
      <c r="D463" s="15"/>
      <c r="E463" s="8"/>
      <c r="F463" s="8" t="s">
        <v>1585</v>
      </c>
      <c r="H463" s="1">
        <v>1</v>
      </c>
      <c r="I463" s="1">
        <f>1806-29</f>
        <v>1777</v>
      </c>
      <c r="J463" t="s">
        <v>10</v>
      </c>
      <c r="K463" t="s">
        <v>12</v>
      </c>
      <c r="Q463">
        <v>5</v>
      </c>
      <c r="R463">
        <v>3</v>
      </c>
      <c r="S463">
        <v>1</v>
      </c>
      <c r="T463" s="5">
        <f>((Q463*316)+(R463*26.3)+(S463*2.2))/10</f>
        <v>166.11</v>
      </c>
      <c r="U463" t="s">
        <v>1583</v>
      </c>
      <c r="AK463" s="6">
        <v>1</v>
      </c>
      <c r="AL463" s="6">
        <v>1</v>
      </c>
      <c r="AM463" s="6">
        <v>1</v>
      </c>
      <c r="AN463" s="6">
        <v>1</v>
      </c>
      <c r="AO463" s="6">
        <v>1</v>
      </c>
      <c r="AP463" s="6">
        <v>1</v>
      </c>
      <c r="AQ463" s="6">
        <v>1</v>
      </c>
      <c r="AR463" s="7">
        <v>1</v>
      </c>
      <c r="BC463" t="s">
        <v>574</v>
      </c>
      <c r="BD463" s="7" t="s">
        <v>109</v>
      </c>
      <c r="BE463" t="s">
        <v>62</v>
      </c>
      <c r="BF463" s="1" t="s">
        <v>29</v>
      </c>
      <c r="BG463" s="1">
        <v>6</v>
      </c>
      <c r="BH463">
        <v>1</v>
      </c>
      <c r="BN463">
        <v>1</v>
      </c>
      <c r="BO463">
        <v>1</v>
      </c>
      <c r="BQ463">
        <v>1</v>
      </c>
      <c r="CS463" s="7" t="s">
        <v>1086</v>
      </c>
    </row>
    <row r="464" spans="1:98">
      <c r="B464" t="s">
        <v>1113</v>
      </c>
      <c r="C464" s="2" t="s">
        <v>2832</v>
      </c>
      <c r="D464" s="2" t="s">
        <v>2805</v>
      </c>
      <c r="E464" s="8" t="s">
        <v>696</v>
      </c>
      <c r="F464" s="8" t="s">
        <v>115</v>
      </c>
      <c r="G464" s="1">
        <v>1</v>
      </c>
      <c r="I464" s="1">
        <f>1804-20</f>
        <v>1784</v>
      </c>
      <c r="J464" t="s">
        <v>10</v>
      </c>
      <c r="K464" t="s">
        <v>12</v>
      </c>
      <c r="Q464">
        <v>5</v>
      </c>
      <c r="R464">
        <v>3</v>
      </c>
      <c r="S464">
        <v>1</v>
      </c>
      <c r="T464" s="5">
        <f>((Q464*316)+(R464*26.3)+(S464*2.2))/10</f>
        <v>166.11</v>
      </c>
      <c r="U464" s="9" t="s">
        <v>2833</v>
      </c>
      <c r="AK464" s="6">
        <v>1</v>
      </c>
      <c r="AL464" s="6">
        <v>1</v>
      </c>
      <c r="AM464" s="6">
        <v>1</v>
      </c>
      <c r="AN464" s="7">
        <v>1</v>
      </c>
      <c r="BC464" t="s">
        <v>2834</v>
      </c>
      <c r="BD464" s="7" t="s">
        <v>103</v>
      </c>
      <c r="BE464" t="s">
        <v>2005</v>
      </c>
      <c r="BF464" s="1" t="s">
        <v>29</v>
      </c>
      <c r="BG464" s="1">
        <v>3</v>
      </c>
      <c r="BH464">
        <v>1</v>
      </c>
      <c r="BK464" s="30">
        <v>1</v>
      </c>
      <c r="BN464" s="6">
        <v>1</v>
      </c>
      <c r="BQ464">
        <v>1</v>
      </c>
      <c r="CS464" s="7" t="s">
        <v>2835</v>
      </c>
      <c r="CT464" s="6" t="s">
        <v>2762</v>
      </c>
    </row>
    <row r="465" spans="2:98">
      <c r="B465" t="s">
        <v>2353</v>
      </c>
      <c r="C465" s="13" t="s">
        <v>2354</v>
      </c>
      <c r="D465" s="15"/>
      <c r="E465" s="8"/>
      <c r="F465" s="8" t="s">
        <v>2355</v>
      </c>
      <c r="H465" s="1">
        <v>1</v>
      </c>
      <c r="I465" s="1">
        <f>1811-32</f>
        <v>1779</v>
      </c>
      <c r="J465" t="s">
        <v>10</v>
      </c>
      <c r="K465" t="s">
        <v>2356</v>
      </c>
      <c r="T465" s="5"/>
      <c r="U465" s="9" t="s">
        <v>2352</v>
      </c>
      <c r="AK465" s="9">
        <v>1</v>
      </c>
      <c r="AL465" s="6">
        <v>1</v>
      </c>
      <c r="AM465" s="6">
        <v>1</v>
      </c>
      <c r="AN465" s="6">
        <v>1</v>
      </c>
      <c r="AO465" s="6">
        <v>1</v>
      </c>
      <c r="AP465" s="6">
        <v>1</v>
      </c>
      <c r="AQ465" s="6">
        <v>1</v>
      </c>
      <c r="AR465" s="7">
        <v>1</v>
      </c>
      <c r="AS465" s="7">
        <v>1</v>
      </c>
      <c r="BC465" t="s">
        <v>2357</v>
      </c>
      <c r="BD465" s="7" t="s">
        <v>959</v>
      </c>
      <c r="BE465" s="7" t="s">
        <v>1558</v>
      </c>
      <c r="BF465" s="1" t="s">
        <v>29</v>
      </c>
      <c r="BG465" s="1">
        <v>1</v>
      </c>
      <c r="BH465">
        <v>2</v>
      </c>
      <c r="BJ465">
        <v>1</v>
      </c>
      <c r="BO465" t="s">
        <v>72</v>
      </c>
      <c r="BQ465">
        <v>1</v>
      </c>
      <c r="CB465" s="7">
        <v>1</v>
      </c>
      <c r="CF465">
        <v>1</v>
      </c>
      <c r="CS465" s="7" t="s">
        <v>2358</v>
      </c>
    </row>
    <row r="466" spans="2:98">
      <c r="B466" t="s">
        <v>1182</v>
      </c>
      <c r="C466" s="15" t="s">
        <v>729</v>
      </c>
      <c r="D466" s="15"/>
      <c r="E466" s="8"/>
      <c r="F466" s="8" t="s">
        <v>218</v>
      </c>
      <c r="G466" s="1">
        <v>1</v>
      </c>
      <c r="I466" s="1">
        <f>1809-21</f>
        <v>1788</v>
      </c>
      <c r="J466" t="s">
        <v>10</v>
      </c>
      <c r="K466" t="s">
        <v>72</v>
      </c>
      <c r="Q466">
        <v>5</v>
      </c>
      <c r="R466">
        <v>4</v>
      </c>
      <c r="S466">
        <v>1</v>
      </c>
      <c r="T466" s="5">
        <f>((Q466*316)+(R466*26.3)+(S466*2.2))/10</f>
        <v>168.74</v>
      </c>
      <c r="U466" t="s">
        <v>1183</v>
      </c>
      <c r="AL466" s="6">
        <v>1</v>
      </c>
      <c r="AM466" s="6">
        <v>1</v>
      </c>
      <c r="AN466" s="6">
        <v>1</v>
      </c>
      <c r="AO466" s="6">
        <v>1</v>
      </c>
      <c r="AP466" s="6">
        <v>1</v>
      </c>
      <c r="AQ466" s="6">
        <v>1</v>
      </c>
      <c r="BC466">
        <v>1809</v>
      </c>
      <c r="BD466" t="s">
        <v>81</v>
      </c>
      <c r="BE466" s="10" t="s">
        <v>1184</v>
      </c>
      <c r="BF466" s="1" t="s">
        <v>73</v>
      </c>
      <c r="BG466" s="1">
        <v>1</v>
      </c>
      <c r="BH466">
        <v>2</v>
      </c>
      <c r="BI466">
        <v>1</v>
      </c>
      <c r="BK466" s="1">
        <v>1</v>
      </c>
      <c r="BW466">
        <v>1</v>
      </c>
      <c r="CL466" s="10">
        <v>1</v>
      </c>
      <c r="CS466" s="10" t="s">
        <v>1185</v>
      </c>
    </row>
    <row r="467" spans="2:98">
      <c r="B467" t="s">
        <v>1285</v>
      </c>
      <c r="C467" s="2" t="s">
        <v>1286</v>
      </c>
      <c r="D467" s="2" t="s">
        <v>1287</v>
      </c>
      <c r="E467" s="8" t="s">
        <v>1288</v>
      </c>
      <c r="F467" s="8" t="s">
        <v>218</v>
      </c>
      <c r="G467" s="1">
        <v>1</v>
      </c>
      <c r="I467" s="1">
        <f>1811-29</f>
        <v>1782</v>
      </c>
      <c r="J467" t="s">
        <v>10</v>
      </c>
      <c r="K467" t="s">
        <v>12</v>
      </c>
      <c r="Q467">
        <v>5</v>
      </c>
      <c r="R467">
        <v>3</v>
      </c>
      <c r="S467">
        <v>2</v>
      </c>
      <c r="T467" s="5">
        <f>((Q467*316)+(R467*26.3)+(S467*2.2))/10</f>
        <v>166.33</v>
      </c>
      <c r="U467" t="s">
        <v>1289</v>
      </c>
      <c r="AL467" s="6">
        <v>1</v>
      </c>
      <c r="AM467" s="6">
        <v>1</v>
      </c>
      <c r="AN467" s="6">
        <v>1</v>
      </c>
      <c r="AO467" s="6">
        <v>1</v>
      </c>
      <c r="AP467" s="6">
        <v>1</v>
      </c>
      <c r="AQ467" s="6">
        <v>1</v>
      </c>
      <c r="AR467" s="6">
        <v>1</v>
      </c>
      <c r="AS467" s="6">
        <v>1</v>
      </c>
      <c r="AT467" s="7">
        <v>1</v>
      </c>
      <c r="BC467" t="s">
        <v>1290</v>
      </c>
      <c r="BD467" s="7" t="s">
        <v>959</v>
      </c>
      <c r="BE467" s="7" t="s">
        <v>2334</v>
      </c>
      <c r="BF467" s="1" t="s">
        <v>29</v>
      </c>
      <c r="BG467" s="1">
        <v>1</v>
      </c>
      <c r="BH467">
        <v>2</v>
      </c>
      <c r="BK467" s="1">
        <v>1</v>
      </c>
      <c r="BW467">
        <v>1</v>
      </c>
      <c r="CB467" s="7">
        <v>1</v>
      </c>
      <c r="CS467" s="7" t="s">
        <v>2312</v>
      </c>
    </row>
    <row r="468" spans="2:98">
      <c r="B468" t="s">
        <v>2323</v>
      </c>
      <c r="C468" s="2" t="s">
        <v>2325</v>
      </c>
      <c r="D468" s="2" t="s">
        <v>2324</v>
      </c>
      <c r="E468" s="8" t="s">
        <v>1555</v>
      </c>
      <c r="F468" s="8" t="s">
        <v>218</v>
      </c>
      <c r="G468" s="1">
        <v>1</v>
      </c>
      <c r="I468" s="1">
        <f>1806-22</f>
        <v>1784</v>
      </c>
      <c r="J468" t="s">
        <v>10</v>
      </c>
      <c r="K468" t="s">
        <v>12</v>
      </c>
      <c r="Q468">
        <v>5</v>
      </c>
      <c r="R468">
        <v>4</v>
      </c>
      <c r="T468" s="5">
        <f>((Q468*316)+(R468*26.3)+(S468*2.2))/10</f>
        <v>168.52</v>
      </c>
      <c r="U468" t="s">
        <v>1289</v>
      </c>
      <c r="AL468" s="6">
        <v>1</v>
      </c>
      <c r="AM468" s="6">
        <v>1</v>
      </c>
      <c r="AN468" s="6">
        <v>1</v>
      </c>
      <c r="AO468" s="6">
        <v>1</v>
      </c>
      <c r="AP468" s="7">
        <v>1</v>
      </c>
      <c r="BC468" t="s">
        <v>2326</v>
      </c>
      <c r="BD468" s="7" t="s">
        <v>959</v>
      </c>
      <c r="BE468" s="7" t="s">
        <v>1558</v>
      </c>
      <c r="BF468" s="1" t="s">
        <v>29</v>
      </c>
      <c r="BG468" s="1">
        <v>3</v>
      </c>
      <c r="BH468">
        <v>2</v>
      </c>
      <c r="BI468">
        <v>1</v>
      </c>
      <c r="BJ468">
        <v>1</v>
      </c>
      <c r="BK468" s="1">
        <v>1</v>
      </c>
      <c r="BQ468">
        <v>1</v>
      </c>
      <c r="CB468" s="7">
        <v>1</v>
      </c>
      <c r="CM468">
        <v>1</v>
      </c>
      <c r="CS468" s="7" t="s">
        <v>2327</v>
      </c>
    </row>
    <row r="469" spans="2:98">
      <c r="B469" t="s">
        <v>1375</v>
      </c>
      <c r="C469" s="2" t="s">
        <v>224</v>
      </c>
      <c r="D469" s="15"/>
      <c r="E469" s="8"/>
      <c r="F469" s="8" t="s">
        <v>115</v>
      </c>
      <c r="G469" s="1">
        <v>1</v>
      </c>
      <c r="T469" s="5"/>
      <c r="U469" s="9" t="s">
        <v>1376</v>
      </c>
      <c r="AL469" s="9">
        <v>1</v>
      </c>
      <c r="BC469" t="s">
        <v>1377</v>
      </c>
      <c r="BD469" s="7" t="s">
        <v>103</v>
      </c>
      <c r="BE469" t="s">
        <v>125</v>
      </c>
      <c r="BF469" s="1" t="s">
        <v>29</v>
      </c>
      <c r="BG469" s="1">
        <v>1</v>
      </c>
      <c r="BH469">
        <v>1</v>
      </c>
      <c r="BK469" s="29" t="s">
        <v>72</v>
      </c>
      <c r="BQ469">
        <v>1</v>
      </c>
      <c r="CS469" s="7" t="s">
        <v>1378</v>
      </c>
      <c r="CT469" s="9" t="s">
        <v>1379</v>
      </c>
    </row>
    <row r="470" spans="2:98">
      <c r="B470" t="s">
        <v>1380</v>
      </c>
      <c r="C470" s="2" t="s">
        <v>224</v>
      </c>
      <c r="D470" s="2" t="s">
        <v>224</v>
      </c>
      <c r="E470" s="8" t="s">
        <v>1381</v>
      </c>
      <c r="F470" s="8" t="s">
        <v>115</v>
      </c>
      <c r="G470" s="1">
        <v>1</v>
      </c>
      <c r="I470" s="1">
        <f>1804-21</f>
        <v>1783</v>
      </c>
      <c r="J470" t="s">
        <v>10</v>
      </c>
      <c r="K470" t="s">
        <v>12</v>
      </c>
      <c r="Q470">
        <v>5</v>
      </c>
      <c r="R470">
        <v>3</v>
      </c>
      <c r="T470" s="5">
        <f>((Q470*316)+(R470*26.3)+(S470*2.2))/10</f>
        <v>165.89000000000001</v>
      </c>
      <c r="U470" t="s">
        <v>1382</v>
      </c>
      <c r="AL470" s="7">
        <v>1</v>
      </c>
      <c r="BC470" t="s">
        <v>1383</v>
      </c>
      <c r="BD470" s="7" t="s">
        <v>103</v>
      </c>
      <c r="BE470" t="s">
        <v>125</v>
      </c>
      <c r="BF470" s="1" t="s">
        <v>29</v>
      </c>
      <c r="BG470" s="1">
        <v>1</v>
      </c>
      <c r="BH470">
        <v>1</v>
      </c>
      <c r="BO470">
        <v>1</v>
      </c>
      <c r="BQ470">
        <v>1</v>
      </c>
      <c r="CS470" s="7" t="s">
        <v>1378</v>
      </c>
    </row>
    <row r="471" spans="2:98">
      <c r="B471" t="s">
        <v>2163</v>
      </c>
      <c r="C471" s="2" t="s">
        <v>919</v>
      </c>
      <c r="D471" s="2" t="s">
        <v>2054</v>
      </c>
      <c r="E471" s="8" t="s">
        <v>920</v>
      </c>
      <c r="F471" s="8" t="s">
        <v>115</v>
      </c>
      <c r="G471" s="1">
        <v>1</v>
      </c>
      <c r="I471" s="1">
        <f>1805-18</f>
        <v>1787</v>
      </c>
      <c r="J471" t="s">
        <v>10</v>
      </c>
      <c r="K471" t="s">
        <v>12</v>
      </c>
      <c r="Q471">
        <v>5</v>
      </c>
      <c r="R471">
        <v>3</v>
      </c>
      <c r="S471">
        <v>2</v>
      </c>
      <c r="T471" s="5">
        <f>((Q471*316)+(R471*26.3)+(S471*2.2))/10</f>
        <v>166.33</v>
      </c>
      <c r="U471" t="s">
        <v>2164</v>
      </c>
      <c r="AM471" s="6">
        <v>1</v>
      </c>
      <c r="AN471" s="7">
        <v>1</v>
      </c>
      <c r="BC471" t="s">
        <v>1501</v>
      </c>
      <c r="BD471" s="7" t="s">
        <v>103</v>
      </c>
      <c r="BE471" t="s">
        <v>1502</v>
      </c>
      <c r="BF471" s="1" t="s">
        <v>29</v>
      </c>
      <c r="BG471" s="1">
        <v>3</v>
      </c>
      <c r="BH471">
        <v>1</v>
      </c>
      <c r="BK471" s="1">
        <v>1</v>
      </c>
      <c r="BQ471">
        <v>1</v>
      </c>
      <c r="CS471" s="7" t="s">
        <v>2089</v>
      </c>
    </row>
    <row r="472" spans="2:98">
      <c r="B472" t="s">
        <v>2152</v>
      </c>
      <c r="C472" s="2" t="s">
        <v>2094</v>
      </c>
      <c r="D472" s="2" t="s">
        <v>2094</v>
      </c>
      <c r="E472" s="8" t="s">
        <v>920</v>
      </c>
      <c r="F472" s="8" t="s">
        <v>115</v>
      </c>
      <c r="G472" s="1">
        <v>1</v>
      </c>
      <c r="I472" s="1">
        <f>1805-28</f>
        <v>1777</v>
      </c>
      <c r="J472" t="s">
        <v>10</v>
      </c>
      <c r="K472" t="s">
        <v>12</v>
      </c>
      <c r="Q472">
        <v>5</v>
      </c>
      <c r="R472">
        <v>4</v>
      </c>
      <c r="S472">
        <v>2</v>
      </c>
      <c r="T472" s="5">
        <f>((Q472*316)+(R472*26.3)+(S472*2.2))/10</f>
        <v>168.96</v>
      </c>
      <c r="U472" t="s">
        <v>2151</v>
      </c>
      <c r="AM472" s="6">
        <v>1</v>
      </c>
      <c r="AN472" s="7">
        <v>1</v>
      </c>
      <c r="BC472" t="s">
        <v>1501</v>
      </c>
      <c r="BD472" s="7" t="s">
        <v>103</v>
      </c>
      <c r="BE472" t="s">
        <v>1502</v>
      </c>
      <c r="BF472" s="1" t="s">
        <v>29</v>
      </c>
      <c r="BG472" s="1">
        <v>3</v>
      </c>
      <c r="BH472">
        <v>1</v>
      </c>
      <c r="BK472" s="1">
        <v>1</v>
      </c>
      <c r="BQ472">
        <v>1</v>
      </c>
      <c r="CS472" s="7" t="s">
        <v>2089</v>
      </c>
    </row>
    <row r="473" spans="2:98">
      <c r="B473" t="s">
        <v>2436</v>
      </c>
      <c r="C473" s="13" t="s">
        <v>2437</v>
      </c>
      <c r="D473" s="15"/>
      <c r="E473" s="8" t="s">
        <v>1735</v>
      </c>
      <c r="F473" s="8" t="s">
        <v>115</v>
      </c>
      <c r="G473" s="1">
        <v>1</v>
      </c>
      <c r="I473" s="1">
        <f>1811-27</f>
        <v>1784</v>
      </c>
      <c r="J473" t="s">
        <v>10</v>
      </c>
      <c r="K473" t="s">
        <v>12</v>
      </c>
      <c r="Q473">
        <v>5</v>
      </c>
      <c r="R473">
        <v>3</v>
      </c>
      <c r="S473">
        <v>1</v>
      </c>
      <c r="T473" s="5">
        <f>((Q473*316)+(R473*26.3)+(S473*2.2))/10</f>
        <v>166.11</v>
      </c>
      <c r="U473" t="s">
        <v>2198</v>
      </c>
      <c r="AM473" s="6">
        <v>1</v>
      </c>
      <c r="AN473" s="6">
        <v>1</v>
      </c>
      <c r="AO473" s="6">
        <v>1</v>
      </c>
      <c r="AP473" s="6">
        <v>1</v>
      </c>
      <c r="AQ473" s="6">
        <v>1</v>
      </c>
      <c r="AR473" s="6">
        <v>1</v>
      </c>
      <c r="AS473" s="6">
        <v>1</v>
      </c>
      <c r="AT473" s="6">
        <v>1</v>
      </c>
      <c r="AU473" s="6">
        <v>1</v>
      </c>
      <c r="AV473" s="6">
        <v>1</v>
      </c>
      <c r="AW473" s="6">
        <v>1</v>
      </c>
      <c r="AX473" s="6">
        <v>1</v>
      </c>
      <c r="AY473" s="7">
        <v>1</v>
      </c>
      <c r="BC473" t="s">
        <v>2438</v>
      </c>
      <c r="BD473" s="7" t="s">
        <v>959</v>
      </c>
      <c r="BE473" s="7" t="s">
        <v>2390</v>
      </c>
      <c r="BF473" s="1" t="s">
        <v>29</v>
      </c>
      <c r="BG473" s="1">
        <v>2</v>
      </c>
      <c r="BH473">
        <v>3</v>
      </c>
      <c r="BK473" s="1">
        <v>1</v>
      </c>
      <c r="BQ473">
        <v>1</v>
      </c>
      <c r="CB473" s="7">
        <v>1</v>
      </c>
      <c r="CL473">
        <v>1</v>
      </c>
      <c r="CS473" s="7" t="s">
        <v>2439</v>
      </c>
    </row>
    <row r="474" spans="2:98">
      <c r="B474" t="s">
        <v>1600</v>
      </c>
      <c r="C474" s="2" t="s">
        <v>1601</v>
      </c>
      <c r="D474" s="15"/>
      <c r="E474" s="8"/>
      <c r="F474" s="8" t="s">
        <v>107</v>
      </c>
      <c r="H474" s="1">
        <v>1</v>
      </c>
      <c r="I474" s="1">
        <f>1806-24</f>
        <v>1782</v>
      </c>
      <c r="J474" t="s">
        <v>10</v>
      </c>
      <c r="K474" t="s">
        <v>12</v>
      </c>
      <c r="Q474">
        <v>5</v>
      </c>
      <c r="R474">
        <v>6</v>
      </c>
      <c r="S474">
        <v>2</v>
      </c>
      <c r="T474" s="5">
        <f t="shared" ref="T474:T491" si="14">((Q474*316)+(R474*26.3)+(S474*2.2))/10</f>
        <v>174.22</v>
      </c>
      <c r="U474" t="s">
        <v>1599</v>
      </c>
      <c r="AM474" s="6">
        <v>1</v>
      </c>
      <c r="AN474" s="6">
        <v>1</v>
      </c>
      <c r="AO474" s="6">
        <v>1</v>
      </c>
      <c r="AP474" s="6">
        <v>1</v>
      </c>
      <c r="AQ474" s="6">
        <v>1</v>
      </c>
      <c r="AR474" s="7">
        <v>1</v>
      </c>
      <c r="BC474" t="s">
        <v>574</v>
      </c>
      <c r="BD474" s="7" t="s">
        <v>109</v>
      </c>
      <c r="BE474" t="s">
        <v>62</v>
      </c>
      <c r="BF474" s="1" t="s">
        <v>29</v>
      </c>
      <c r="BG474" s="1">
        <v>4</v>
      </c>
      <c r="BH474">
        <v>1</v>
      </c>
      <c r="BO474">
        <v>1</v>
      </c>
      <c r="BQ474">
        <v>1</v>
      </c>
      <c r="CS474" s="7" t="s">
        <v>1602</v>
      </c>
    </row>
    <row r="475" spans="2:98">
      <c r="B475" t="s">
        <v>2118</v>
      </c>
      <c r="C475" s="2" t="s">
        <v>2119</v>
      </c>
      <c r="D475" s="26" t="s">
        <v>2120</v>
      </c>
      <c r="E475" s="8" t="s">
        <v>2121</v>
      </c>
      <c r="F475" s="8" t="s">
        <v>65</v>
      </c>
      <c r="G475" s="1">
        <v>1</v>
      </c>
      <c r="I475" s="1">
        <f>1805-26</f>
        <v>1779</v>
      </c>
      <c r="J475" t="s">
        <v>10</v>
      </c>
      <c r="K475" t="s">
        <v>12</v>
      </c>
      <c r="Q475">
        <v>5</v>
      </c>
      <c r="R475">
        <v>3</v>
      </c>
      <c r="S475">
        <v>2</v>
      </c>
      <c r="T475" s="5">
        <f t="shared" si="14"/>
        <v>166.33</v>
      </c>
      <c r="U475" t="s">
        <v>2122</v>
      </c>
      <c r="AM475" s="6">
        <v>1</v>
      </c>
      <c r="AN475" s="7">
        <v>1</v>
      </c>
      <c r="BC475" t="s">
        <v>198</v>
      </c>
      <c r="BD475" s="7" t="s">
        <v>109</v>
      </c>
      <c r="BE475" t="s">
        <v>1564</v>
      </c>
      <c r="BF475" s="1" t="s">
        <v>29</v>
      </c>
      <c r="BG475" s="1">
        <v>2</v>
      </c>
      <c r="BH475">
        <v>1</v>
      </c>
      <c r="BK475" s="1">
        <v>1</v>
      </c>
      <c r="BQ475">
        <v>1</v>
      </c>
      <c r="CS475" s="7" t="s">
        <v>2123</v>
      </c>
    </row>
    <row r="476" spans="2:98">
      <c r="B476" t="s">
        <v>2329</v>
      </c>
      <c r="C476" s="2" t="s">
        <v>2330</v>
      </c>
      <c r="D476" s="2" t="s">
        <v>2331</v>
      </c>
      <c r="E476" s="8" t="s">
        <v>559</v>
      </c>
      <c r="F476" s="8" t="s">
        <v>218</v>
      </c>
      <c r="G476" s="1">
        <v>1</v>
      </c>
      <c r="I476" s="1">
        <f>1808-23</f>
        <v>1785</v>
      </c>
      <c r="J476" t="s">
        <v>10</v>
      </c>
      <c r="K476" t="s">
        <v>12</v>
      </c>
      <c r="Q476">
        <v>5</v>
      </c>
      <c r="R476">
        <v>3</v>
      </c>
      <c r="S476">
        <v>1</v>
      </c>
      <c r="T476" s="5">
        <f t="shared" si="14"/>
        <v>166.11</v>
      </c>
      <c r="U476" t="s">
        <v>2328</v>
      </c>
      <c r="AM476" s="6">
        <v>1</v>
      </c>
      <c r="AN476" s="6">
        <v>1</v>
      </c>
      <c r="AO476" s="6">
        <v>1</v>
      </c>
      <c r="AP476" s="7">
        <v>1</v>
      </c>
      <c r="BC476" t="s">
        <v>2332</v>
      </c>
      <c r="BD476" s="7" t="s">
        <v>959</v>
      </c>
      <c r="BE476" s="7" t="s">
        <v>1558</v>
      </c>
      <c r="BF476" s="1" t="s">
        <v>29</v>
      </c>
      <c r="BG476" s="1">
        <v>3</v>
      </c>
      <c r="BH476">
        <v>2</v>
      </c>
      <c r="BI476">
        <v>1</v>
      </c>
      <c r="BJ476">
        <v>1</v>
      </c>
      <c r="BK476" s="1">
        <v>1</v>
      </c>
      <c r="BQ476">
        <v>1</v>
      </c>
      <c r="CB476" s="7">
        <v>1</v>
      </c>
      <c r="CS476" s="7" t="s">
        <v>2333</v>
      </c>
    </row>
    <row r="477" spans="2:98">
      <c r="B477" t="s">
        <v>363</v>
      </c>
      <c r="C477" s="15" t="s">
        <v>364</v>
      </c>
      <c r="D477" s="15"/>
      <c r="E477" s="8"/>
      <c r="F477" s="8" t="s">
        <v>247</v>
      </c>
      <c r="G477" s="1">
        <v>1</v>
      </c>
      <c r="I477" s="1">
        <f>1805-19</f>
        <v>1786</v>
      </c>
      <c r="J477" t="s">
        <v>10</v>
      </c>
      <c r="K477" t="s">
        <v>365</v>
      </c>
      <c r="Q477">
        <v>5</v>
      </c>
      <c r="R477">
        <v>4</v>
      </c>
      <c r="T477" s="5">
        <f>((Q477*316)+(R477*26.3)+(S477*2.2))/10</f>
        <v>168.52</v>
      </c>
      <c r="U477" t="s">
        <v>366</v>
      </c>
      <c r="AM477" s="6">
        <v>1</v>
      </c>
      <c r="AN477" s="7">
        <v>1</v>
      </c>
      <c r="BC477" t="s">
        <v>367</v>
      </c>
      <c r="BD477" s="7" t="s">
        <v>26</v>
      </c>
      <c r="BE477" t="s">
        <v>360</v>
      </c>
      <c r="BF477" s="1" t="s">
        <v>29</v>
      </c>
      <c r="BG477" s="1">
        <v>3</v>
      </c>
      <c r="BH477">
        <v>1</v>
      </c>
      <c r="BN477">
        <v>1</v>
      </c>
      <c r="BO477">
        <v>1</v>
      </c>
      <c r="BX477">
        <v>1</v>
      </c>
      <c r="CS477" s="7" t="s">
        <v>368</v>
      </c>
    </row>
    <row r="478" spans="2:98">
      <c r="B478" t="s">
        <v>2243</v>
      </c>
      <c r="C478" s="2" t="s">
        <v>2244</v>
      </c>
      <c r="D478" s="2" t="s">
        <v>2245</v>
      </c>
      <c r="E478" s="8"/>
      <c r="F478" s="8" t="s">
        <v>218</v>
      </c>
      <c r="G478" s="1">
        <v>1</v>
      </c>
      <c r="I478" s="1">
        <f>1806-20</f>
        <v>1786</v>
      </c>
      <c r="J478" t="s">
        <v>10</v>
      </c>
      <c r="K478" t="s">
        <v>12</v>
      </c>
      <c r="Q478">
        <v>5</v>
      </c>
      <c r="R478">
        <v>4</v>
      </c>
      <c r="T478" s="5">
        <f>((Q478*316)+(R478*26.3)+(S478*2.2))/10</f>
        <v>168.52</v>
      </c>
      <c r="U478" t="s">
        <v>2246</v>
      </c>
      <c r="AM478" s="6">
        <v>1</v>
      </c>
      <c r="AN478" s="6">
        <v>1</v>
      </c>
      <c r="AO478" s="6">
        <v>1</v>
      </c>
      <c r="AP478" s="7">
        <v>1</v>
      </c>
      <c r="BC478" t="s">
        <v>529</v>
      </c>
      <c r="BD478" s="7" t="s">
        <v>959</v>
      </c>
      <c r="BE478" s="7" t="s">
        <v>1558</v>
      </c>
      <c r="BF478" s="1" t="s">
        <v>29</v>
      </c>
      <c r="BG478" s="1">
        <v>3</v>
      </c>
      <c r="BH478">
        <v>2</v>
      </c>
      <c r="BI478">
        <v>1</v>
      </c>
      <c r="BJ478">
        <v>1</v>
      </c>
      <c r="BK478" s="1">
        <v>1</v>
      </c>
      <c r="BQ478">
        <v>1</v>
      </c>
      <c r="CB478" s="7">
        <v>1</v>
      </c>
      <c r="CS478" s="7" t="s">
        <v>2247</v>
      </c>
    </row>
    <row r="479" spans="2:98">
      <c r="B479" t="s">
        <v>1597</v>
      </c>
      <c r="C479" s="2" t="s">
        <v>1594</v>
      </c>
      <c r="D479" s="15"/>
      <c r="E479" s="8"/>
      <c r="F479" s="8" t="s">
        <v>1595</v>
      </c>
      <c r="H479" s="1">
        <v>1</v>
      </c>
      <c r="I479" s="1">
        <f>1806-24</f>
        <v>1782</v>
      </c>
      <c r="J479" t="s">
        <v>10</v>
      </c>
      <c r="K479" t="s">
        <v>12</v>
      </c>
      <c r="Q479">
        <v>5</v>
      </c>
      <c r="R479">
        <v>3</v>
      </c>
      <c r="S479">
        <v>2</v>
      </c>
      <c r="T479" s="5">
        <f t="shared" si="14"/>
        <v>166.33</v>
      </c>
      <c r="U479" t="s">
        <v>1596</v>
      </c>
      <c r="AM479" s="6">
        <v>1</v>
      </c>
      <c r="AN479" s="6">
        <v>1</v>
      </c>
      <c r="AO479" s="6">
        <v>1</v>
      </c>
      <c r="AP479" s="6">
        <v>1</v>
      </c>
      <c r="AQ479" s="6">
        <v>1</v>
      </c>
      <c r="AR479" s="6">
        <v>1</v>
      </c>
      <c r="AS479" s="7">
        <v>1</v>
      </c>
      <c r="BC479" t="s">
        <v>1598</v>
      </c>
      <c r="BD479" s="7" t="s">
        <v>103</v>
      </c>
      <c r="BE479" t="s">
        <v>62</v>
      </c>
      <c r="BF479" s="1" t="s">
        <v>29</v>
      </c>
      <c r="BG479" s="1">
        <v>4</v>
      </c>
      <c r="BH479">
        <v>1</v>
      </c>
      <c r="BO479">
        <v>1</v>
      </c>
      <c r="BQ479">
        <v>1</v>
      </c>
      <c r="CF479">
        <v>1</v>
      </c>
      <c r="CS479" s="7" t="s">
        <v>412</v>
      </c>
    </row>
    <row r="480" spans="2:98">
      <c r="B480" t="s">
        <v>2156</v>
      </c>
      <c r="C480" s="2" t="s">
        <v>1996</v>
      </c>
      <c r="D480" s="2" t="s">
        <v>1996</v>
      </c>
      <c r="E480" s="8" t="s">
        <v>920</v>
      </c>
      <c r="F480" s="8" t="s">
        <v>115</v>
      </c>
      <c r="G480" s="1">
        <v>1</v>
      </c>
      <c r="I480" s="1">
        <f>1805-20</f>
        <v>1785</v>
      </c>
      <c r="J480" t="s">
        <v>10</v>
      </c>
      <c r="K480" t="s">
        <v>12</v>
      </c>
      <c r="Q480">
        <v>5</v>
      </c>
      <c r="R480">
        <v>3</v>
      </c>
      <c r="T480" s="5">
        <f t="shared" si="14"/>
        <v>165.89000000000001</v>
      </c>
      <c r="U480" t="s">
        <v>2153</v>
      </c>
      <c r="AM480" s="6">
        <v>1</v>
      </c>
      <c r="AN480" s="7">
        <v>1</v>
      </c>
      <c r="BC480" t="s">
        <v>1501</v>
      </c>
      <c r="BD480" s="7" t="s">
        <v>103</v>
      </c>
      <c r="BE480" t="s">
        <v>1502</v>
      </c>
      <c r="BF480" s="1" t="s">
        <v>29</v>
      </c>
      <c r="BG480" s="1">
        <v>3</v>
      </c>
      <c r="BH480">
        <v>1</v>
      </c>
      <c r="BK480" s="1">
        <v>1</v>
      </c>
      <c r="BQ480">
        <v>1</v>
      </c>
      <c r="CS480" s="7" t="s">
        <v>2089</v>
      </c>
    </row>
    <row r="481" spans="2:99">
      <c r="B481" t="s">
        <v>2154</v>
      </c>
      <c r="C481" s="13" t="s">
        <v>2155</v>
      </c>
      <c r="D481" s="13" t="s">
        <v>2155</v>
      </c>
      <c r="E481" s="8" t="s">
        <v>920</v>
      </c>
      <c r="F481" s="8" t="s">
        <v>115</v>
      </c>
      <c r="G481" s="1">
        <v>1</v>
      </c>
      <c r="I481" s="1">
        <f>1805-26</f>
        <v>1779</v>
      </c>
      <c r="J481" t="s">
        <v>69</v>
      </c>
      <c r="K481" t="s">
        <v>12</v>
      </c>
      <c r="Q481">
        <v>5</v>
      </c>
      <c r="R481">
        <v>2</v>
      </c>
      <c r="S481">
        <v>3</v>
      </c>
      <c r="T481" s="5">
        <f t="shared" si="14"/>
        <v>163.92</v>
      </c>
      <c r="U481" t="s">
        <v>2153</v>
      </c>
      <c r="AM481" s="6">
        <v>1</v>
      </c>
      <c r="AN481" s="7">
        <v>1</v>
      </c>
      <c r="BC481" t="s">
        <v>1501</v>
      </c>
      <c r="BD481" s="7" t="s">
        <v>103</v>
      </c>
      <c r="BE481" t="s">
        <v>1502</v>
      </c>
      <c r="BF481" s="1" t="s">
        <v>29</v>
      </c>
      <c r="BG481" s="1">
        <v>3</v>
      </c>
      <c r="BH481">
        <v>1</v>
      </c>
      <c r="BK481" s="1">
        <v>1</v>
      </c>
      <c r="BQ481">
        <v>1</v>
      </c>
      <c r="CS481" s="7" t="s">
        <v>2089</v>
      </c>
    </row>
    <row r="482" spans="2:99">
      <c r="B482" t="s">
        <v>2053</v>
      </c>
      <c r="C482" s="2" t="s">
        <v>919</v>
      </c>
      <c r="D482" s="2" t="s">
        <v>2054</v>
      </c>
      <c r="E482" s="8" t="s">
        <v>920</v>
      </c>
      <c r="F482" s="8" t="s">
        <v>115</v>
      </c>
      <c r="G482" s="1">
        <v>1</v>
      </c>
      <c r="I482" s="1">
        <f>1805-24</f>
        <v>1781</v>
      </c>
      <c r="J482" t="s">
        <v>69</v>
      </c>
      <c r="K482" t="s">
        <v>197</v>
      </c>
      <c r="Q482">
        <v>5</v>
      </c>
      <c r="R482">
        <v>3</v>
      </c>
      <c r="S482">
        <v>1</v>
      </c>
      <c r="T482" s="5">
        <f t="shared" si="14"/>
        <v>166.11</v>
      </c>
      <c r="U482" t="s">
        <v>2055</v>
      </c>
      <c r="AM482" s="6">
        <v>1</v>
      </c>
      <c r="AN482" s="7">
        <v>1</v>
      </c>
      <c r="BC482" t="s">
        <v>2056</v>
      </c>
      <c r="BD482" s="7" t="s">
        <v>280</v>
      </c>
      <c r="BE482" t="s">
        <v>1502</v>
      </c>
      <c r="BF482" s="1" t="s">
        <v>29</v>
      </c>
      <c r="BG482" s="1">
        <v>2</v>
      </c>
      <c r="BH482">
        <v>1</v>
      </c>
      <c r="BK482" s="1">
        <v>1</v>
      </c>
      <c r="BQ482">
        <v>1</v>
      </c>
      <c r="CN482">
        <v>1</v>
      </c>
      <c r="CS482" s="7" t="s">
        <v>2071</v>
      </c>
    </row>
    <row r="483" spans="2:99">
      <c r="B483" t="s">
        <v>2065</v>
      </c>
      <c r="C483" s="15" t="s">
        <v>2066</v>
      </c>
      <c r="D483" s="2" t="s">
        <v>2066</v>
      </c>
      <c r="E483" s="8" t="s">
        <v>920</v>
      </c>
      <c r="F483" s="8" t="s">
        <v>115</v>
      </c>
      <c r="G483" s="1">
        <v>1</v>
      </c>
      <c r="I483" s="1">
        <f>1805-24</f>
        <v>1781</v>
      </c>
      <c r="J483" t="s">
        <v>69</v>
      </c>
      <c r="K483" t="s">
        <v>12</v>
      </c>
      <c r="Q483">
        <v>5</v>
      </c>
      <c r="R483">
        <v>5</v>
      </c>
      <c r="T483" s="5">
        <f t="shared" si="14"/>
        <v>171.15</v>
      </c>
      <c r="U483" t="s">
        <v>2060</v>
      </c>
      <c r="AM483" s="6">
        <v>1</v>
      </c>
      <c r="AN483" s="7">
        <v>1</v>
      </c>
      <c r="BC483" t="s">
        <v>1501</v>
      </c>
      <c r="BD483" s="7" t="s">
        <v>109</v>
      </c>
      <c r="BE483" t="s">
        <v>1502</v>
      </c>
      <c r="BF483" s="1" t="s">
        <v>29</v>
      </c>
      <c r="BG483" s="1">
        <v>2</v>
      </c>
      <c r="BH483">
        <v>1</v>
      </c>
      <c r="BK483" s="1">
        <v>1</v>
      </c>
      <c r="BQ483">
        <v>1</v>
      </c>
      <c r="CS483" s="7" t="s">
        <v>1602</v>
      </c>
    </row>
    <row r="484" spans="2:99">
      <c r="B484" t="s">
        <v>2057</v>
      </c>
      <c r="C484" s="2" t="s">
        <v>2058</v>
      </c>
      <c r="D484" s="2" t="s">
        <v>2059</v>
      </c>
      <c r="E484" s="8" t="s">
        <v>920</v>
      </c>
      <c r="F484" s="8" t="s">
        <v>115</v>
      </c>
      <c r="G484" s="1">
        <v>1</v>
      </c>
      <c r="I484" s="1">
        <f>1806-20</f>
        <v>1786</v>
      </c>
      <c r="J484" t="s">
        <v>10</v>
      </c>
      <c r="K484" t="s">
        <v>12</v>
      </c>
      <c r="Q484">
        <v>5</v>
      </c>
      <c r="R484">
        <v>3</v>
      </c>
      <c r="S484">
        <v>1</v>
      </c>
      <c r="T484" s="5">
        <f t="shared" si="14"/>
        <v>166.11</v>
      </c>
      <c r="U484" t="s">
        <v>2060</v>
      </c>
      <c r="AM484" s="6">
        <v>1</v>
      </c>
      <c r="AN484" s="7">
        <v>1</v>
      </c>
      <c r="BC484" t="s">
        <v>1501</v>
      </c>
      <c r="BD484" s="7" t="s">
        <v>109</v>
      </c>
      <c r="BE484" t="s">
        <v>1502</v>
      </c>
      <c r="BF484" s="1" t="s">
        <v>29</v>
      </c>
      <c r="BG484" s="1">
        <v>2</v>
      </c>
      <c r="BH484">
        <v>1</v>
      </c>
      <c r="BK484" s="1">
        <v>1</v>
      </c>
      <c r="BQ484">
        <v>1</v>
      </c>
      <c r="CS484" s="7" t="s">
        <v>1602</v>
      </c>
    </row>
    <row r="485" spans="2:99">
      <c r="B485" t="s">
        <v>2115</v>
      </c>
      <c r="C485" s="2" t="s">
        <v>2116</v>
      </c>
      <c r="D485" s="2" t="s">
        <v>1441</v>
      </c>
      <c r="E485" s="8" t="s">
        <v>1442</v>
      </c>
      <c r="F485" s="8" t="s">
        <v>65</v>
      </c>
      <c r="G485" s="1">
        <v>1</v>
      </c>
      <c r="I485" s="1">
        <f>1805-18</f>
        <v>1787</v>
      </c>
      <c r="J485" t="s">
        <v>10</v>
      </c>
      <c r="K485" t="s">
        <v>12</v>
      </c>
      <c r="Q485">
        <v>5</v>
      </c>
      <c r="R485">
        <v>1</v>
      </c>
      <c r="S485">
        <v>1</v>
      </c>
      <c r="T485" s="5">
        <f t="shared" si="14"/>
        <v>160.85</v>
      </c>
      <c r="U485" t="s">
        <v>2117</v>
      </c>
      <c r="AM485" s="6">
        <v>1</v>
      </c>
      <c r="AN485" s="7">
        <v>1</v>
      </c>
      <c r="BC485" t="s">
        <v>198</v>
      </c>
      <c r="BD485" s="7" t="s">
        <v>109</v>
      </c>
      <c r="BE485" t="s">
        <v>1564</v>
      </c>
      <c r="BF485" s="1" t="s">
        <v>29</v>
      </c>
      <c r="BG485" s="1">
        <v>2</v>
      </c>
      <c r="BH485">
        <v>1</v>
      </c>
      <c r="BK485" s="1">
        <v>1</v>
      </c>
      <c r="BQ485">
        <v>1</v>
      </c>
      <c r="CS485" s="7" t="s">
        <v>1086</v>
      </c>
    </row>
    <row r="486" spans="2:99">
      <c r="B486" t="s">
        <v>1520</v>
      </c>
      <c r="C486" s="2" t="s">
        <v>1336</v>
      </c>
      <c r="D486" s="2" t="s">
        <v>1336</v>
      </c>
      <c r="E486" s="8" t="s">
        <v>837</v>
      </c>
      <c r="F486" s="8" t="s">
        <v>115</v>
      </c>
      <c r="G486" s="1">
        <v>1</v>
      </c>
      <c r="I486" s="1">
        <f>1811-20</f>
        <v>1791</v>
      </c>
      <c r="J486" t="s">
        <v>10</v>
      </c>
      <c r="K486" t="s">
        <v>12</v>
      </c>
      <c r="Q486">
        <v>5</v>
      </c>
      <c r="R486">
        <v>8</v>
      </c>
      <c r="S486">
        <v>3</v>
      </c>
      <c r="T486" s="5">
        <f t="shared" si="14"/>
        <v>179.7</v>
      </c>
      <c r="U486" t="s">
        <v>1521</v>
      </c>
      <c r="AM486" s="6">
        <v>1</v>
      </c>
      <c r="AN486" s="6">
        <v>1</v>
      </c>
      <c r="AO486" s="6">
        <v>1</v>
      </c>
      <c r="AP486" s="6">
        <v>1</v>
      </c>
      <c r="AQ486" s="6">
        <v>1</v>
      </c>
      <c r="AR486" s="6">
        <v>1</v>
      </c>
      <c r="AS486" s="6">
        <v>1</v>
      </c>
      <c r="AT486" s="6">
        <v>1</v>
      </c>
      <c r="AU486" s="6">
        <v>1</v>
      </c>
      <c r="AV486" s="6">
        <v>1</v>
      </c>
      <c r="AW486" s="6">
        <v>1</v>
      </c>
      <c r="AX486" s="6">
        <v>1</v>
      </c>
      <c r="AY486" s="7">
        <v>1</v>
      </c>
      <c r="BC486" t="s">
        <v>1517</v>
      </c>
      <c r="BD486" s="7" t="s">
        <v>103</v>
      </c>
      <c r="BE486" t="s">
        <v>118</v>
      </c>
      <c r="BF486" s="1" t="s">
        <v>29</v>
      </c>
      <c r="BG486" s="1">
        <v>2</v>
      </c>
      <c r="BH486">
        <v>2</v>
      </c>
      <c r="BK486" s="1">
        <v>1</v>
      </c>
      <c r="BQ486">
        <v>1</v>
      </c>
      <c r="CL486">
        <v>1</v>
      </c>
      <c r="CS486" s="7" t="s">
        <v>1086</v>
      </c>
    </row>
    <row r="487" spans="2:99">
      <c r="B487" t="s">
        <v>1986</v>
      </c>
      <c r="C487" s="2" t="s">
        <v>1441</v>
      </c>
      <c r="D487" s="2" t="s">
        <v>1441</v>
      </c>
      <c r="E487" s="8" t="s">
        <v>1442</v>
      </c>
      <c r="F487" s="8" t="s">
        <v>65</v>
      </c>
      <c r="G487" s="1">
        <v>1</v>
      </c>
      <c r="I487" s="1">
        <f>1805-18</f>
        <v>1787</v>
      </c>
      <c r="J487" t="s">
        <v>10</v>
      </c>
      <c r="K487" t="s">
        <v>12</v>
      </c>
      <c r="Q487">
        <v>5</v>
      </c>
      <c r="R487">
        <v>2</v>
      </c>
      <c r="S487">
        <v>2</v>
      </c>
      <c r="T487" s="5">
        <f t="shared" si="14"/>
        <v>163.69999999999999</v>
      </c>
      <c r="U487" t="s">
        <v>1521</v>
      </c>
      <c r="AM487" s="7">
        <v>1</v>
      </c>
      <c r="BC487" t="s">
        <v>1987</v>
      </c>
      <c r="BD487" s="7" t="s">
        <v>163</v>
      </c>
      <c r="BE487" t="s">
        <v>1564</v>
      </c>
      <c r="BF487" s="1" t="s">
        <v>29</v>
      </c>
      <c r="BG487" s="1">
        <v>2</v>
      </c>
      <c r="BH487">
        <v>1</v>
      </c>
      <c r="BK487" s="1">
        <v>1</v>
      </c>
      <c r="BQ487">
        <v>1</v>
      </c>
      <c r="CS487" s="7" t="s">
        <v>1988</v>
      </c>
    </row>
    <row r="488" spans="2:99">
      <c r="B488" t="s">
        <v>1989</v>
      </c>
      <c r="C488" s="2" t="s">
        <v>1990</v>
      </c>
      <c r="D488" s="2" t="s">
        <v>1990</v>
      </c>
      <c r="E488" s="8" t="s">
        <v>654</v>
      </c>
      <c r="F488" s="8" t="s">
        <v>65</v>
      </c>
      <c r="G488" s="1">
        <v>1</v>
      </c>
      <c r="I488" s="1">
        <f>1805-28</f>
        <v>1777</v>
      </c>
      <c r="J488" t="s">
        <v>69</v>
      </c>
      <c r="K488" t="s">
        <v>12</v>
      </c>
      <c r="Q488">
        <v>5</v>
      </c>
      <c r="R488">
        <v>5</v>
      </c>
      <c r="T488" s="5">
        <f t="shared" si="14"/>
        <v>171.15</v>
      </c>
      <c r="U488" t="s">
        <v>1521</v>
      </c>
      <c r="AM488" s="6">
        <v>1</v>
      </c>
      <c r="AN488" s="7">
        <v>1</v>
      </c>
      <c r="BC488" t="s">
        <v>198</v>
      </c>
      <c r="BD488" s="7" t="s">
        <v>109</v>
      </c>
      <c r="BE488" t="s">
        <v>1564</v>
      </c>
      <c r="BF488" s="1" t="s">
        <v>29</v>
      </c>
      <c r="BG488" s="1">
        <v>2</v>
      </c>
      <c r="BH488">
        <v>1</v>
      </c>
      <c r="BK488" s="1">
        <v>1</v>
      </c>
      <c r="BQ488">
        <v>1</v>
      </c>
      <c r="CS488" s="7" t="s">
        <v>1991</v>
      </c>
    </row>
    <row r="489" spans="2:99">
      <c r="B489" t="s">
        <v>684</v>
      </c>
      <c r="C489" s="15" t="s">
        <v>356</v>
      </c>
      <c r="D489" s="15"/>
      <c r="E489" s="8" t="s">
        <v>546</v>
      </c>
      <c r="F489" s="8" t="s">
        <v>357</v>
      </c>
      <c r="G489" s="1">
        <v>1</v>
      </c>
      <c r="I489" s="1">
        <f>1809-20</f>
        <v>1789</v>
      </c>
      <c r="J489" t="s">
        <v>10</v>
      </c>
      <c r="K489" t="s">
        <v>12</v>
      </c>
      <c r="Q489">
        <v>5</v>
      </c>
      <c r="R489">
        <v>1</v>
      </c>
      <c r="S489">
        <v>3</v>
      </c>
      <c r="T489" s="5">
        <f t="shared" si="14"/>
        <v>161.29</v>
      </c>
      <c r="U489" t="s">
        <v>362</v>
      </c>
      <c r="AM489" s="6">
        <v>1</v>
      </c>
      <c r="AN489" s="6">
        <v>1</v>
      </c>
      <c r="AO489" s="6">
        <v>1</v>
      </c>
      <c r="AP489" s="6">
        <v>1</v>
      </c>
      <c r="AQ489" s="6">
        <v>1</v>
      </c>
      <c r="AR489" s="6">
        <v>1</v>
      </c>
      <c r="BC489">
        <v>1810</v>
      </c>
      <c r="BD489" t="s">
        <v>81</v>
      </c>
      <c r="BE489" s="10" t="s">
        <v>672</v>
      </c>
      <c r="BF489" s="1" t="s">
        <v>73</v>
      </c>
      <c r="BG489" s="1">
        <v>2</v>
      </c>
      <c r="BH489">
        <v>2</v>
      </c>
      <c r="BK489" s="1">
        <v>1</v>
      </c>
      <c r="BQ489">
        <v>1</v>
      </c>
      <c r="BR489">
        <v>1</v>
      </c>
      <c r="CL489" s="10">
        <v>1</v>
      </c>
      <c r="CN489">
        <v>1</v>
      </c>
      <c r="CP489">
        <v>1</v>
      </c>
      <c r="CS489" s="10" t="s">
        <v>685</v>
      </c>
    </row>
    <row r="490" spans="2:99">
      <c r="B490" t="s">
        <v>2411</v>
      </c>
      <c r="C490" s="2" t="s">
        <v>2412</v>
      </c>
      <c r="D490" s="15"/>
      <c r="E490" s="8"/>
      <c r="F490" s="8" t="s">
        <v>65</v>
      </c>
      <c r="G490" s="1">
        <v>1</v>
      </c>
      <c r="I490" s="1">
        <f>1811-39</f>
        <v>1772</v>
      </c>
      <c r="J490" t="s">
        <v>10</v>
      </c>
      <c r="K490" t="s">
        <v>12</v>
      </c>
      <c r="Q490">
        <v>5</v>
      </c>
      <c r="R490">
        <v>4</v>
      </c>
      <c r="S490">
        <v>2</v>
      </c>
      <c r="T490" s="5">
        <f t="shared" si="14"/>
        <v>168.96</v>
      </c>
      <c r="U490" t="s">
        <v>2413</v>
      </c>
      <c r="AM490" s="6">
        <v>1</v>
      </c>
      <c r="AN490" s="6">
        <v>1</v>
      </c>
      <c r="AO490" s="6">
        <v>1</v>
      </c>
      <c r="AP490" s="6">
        <v>1</v>
      </c>
      <c r="AQ490" s="6">
        <v>1</v>
      </c>
      <c r="AR490" s="6">
        <v>1</v>
      </c>
      <c r="AS490" s="6">
        <v>1</v>
      </c>
      <c r="AT490" s="6">
        <v>1</v>
      </c>
      <c r="AU490" s="6">
        <v>1</v>
      </c>
      <c r="AV490" s="6">
        <v>1</v>
      </c>
      <c r="AW490" s="6">
        <v>1</v>
      </c>
      <c r="AX490" s="7">
        <v>1</v>
      </c>
      <c r="BC490" t="s">
        <v>2415</v>
      </c>
      <c r="BD490" s="7" t="s">
        <v>103</v>
      </c>
      <c r="BE490" t="s">
        <v>2414</v>
      </c>
      <c r="BF490" s="1" t="s">
        <v>29</v>
      </c>
      <c r="BG490" s="1">
        <v>1</v>
      </c>
      <c r="BH490">
        <v>3</v>
      </c>
      <c r="BK490" s="1">
        <v>1</v>
      </c>
      <c r="BQ490">
        <v>1</v>
      </c>
      <c r="BY490">
        <v>1</v>
      </c>
      <c r="CL490">
        <v>1</v>
      </c>
      <c r="CS490" s="7" t="s">
        <v>2416</v>
      </c>
    </row>
    <row r="491" spans="2:99">
      <c r="B491" t="s">
        <v>2238</v>
      </c>
      <c r="C491" s="2" t="s">
        <v>2239</v>
      </c>
      <c r="D491" s="15"/>
      <c r="E491" s="8"/>
      <c r="F491" s="8" t="s">
        <v>218</v>
      </c>
      <c r="G491" s="1">
        <v>1</v>
      </c>
      <c r="I491" s="1">
        <f>1811-30</f>
        <v>1781</v>
      </c>
      <c r="J491" t="s">
        <v>10</v>
      </c>
      <c r="K491" t="s">
        <v>2240</v>
      </c>
      <c r="Q491">
        <v>5</v>
      </c>
      <c r="R491">
        <v>3</v>
      </c>
      <c r="T491" s="5">
        <f t="shared" si="14"/>
        <v>165.89000000000001</v>
      </c>
      <c r="U491" t="s">
        <v>2241</v>
      </c>
      <c r="AM491" s="6">
        <v>1</v>
      </c>
      <c r="AN491" s="6">
        <v>1</v>
      </c>
      <c r="AO491" s="6">
        <v>1</v>
      </c>
      <c r="AP491" s="6">
        <v>1</v>
      </c>
      <c r="AQ491" s="6">
        <v>1</v>
      </c>
      <c r="AR491" s="6">
        <v>1</v>
      </c>
      <c r="AS491" s="6">
        <v>1</v>
      </c>
      <c r="AT491" s="6">
        <v>1</v>
      </c>
      <c r="AU491" s="6">
        <v>1</v>
      </c>
      <c r="AV491" s="6">
        <v>1</v>
      </c>
      <c r="AW491" s="6">
        <v>1</v>
      </c>
      <c r="AX491" s="6">
        <v>1</v>
      </c>
      <c r="AY491" s="7">
        <v>1</v>
      </c>
      <c r="BC491" t="s">
        <v>195</v>
      </c>
      <c r="BD491" s="7" t="s">
        <v>103</v>
      </c>
      <c r="BE491" t="s">
        <v>2242</v>
      </c>
      <c r="BF491" s="1" t="s">
        <v>29</v>
      </c>
      <c r="BG491" s="1">
        <v>4</v>
      </c>
      <c r="BH491">
        <v>4</v>
      </c>
      <c r="BK491" s="1" t="s">
        <v>72</v>
      </c>
      <c r="BQ491">
        <v>1</v>
      </c>
      <c r="BY491">
        <v>1</v>
      </c>
      <c r="CC491">
        <v>1</v>
      </c>
      <c r="CL491">
        <v>1</v>
      </c>
      <c r="CS491" s="7" t="s">
        <v>1226</v>
      </c>
    </row>
    <row r="492" spans="2:99">
      <c r="B492" t="s">
        <v>215</v>
      </c>
      <c r="C492" s="15" t="s">
        <v>216</v>
      </c>
      <c r="D492" s="13" t="s">
        <v>217</v>
      </c>
      <c r="E492" s="8"/>
      <c r="F492" s="8" t="s">
        <v>218</v>
      </c>
      <c r="G492" s="1">
        <v>1</v>
      </c>
      <c r="I492" s="1">
        <f>1805-20</f>
        <v>1785</v>
      </c>
      <c r="J492" t="s">
        <v>10</v>
      </c>
      <c r="K492" t="s">
        <v>12</v>
      </c>
      <c r="T492" s="5"/>
      <c r="U492" s="9" t="s">
        <v>219</v>
      </c>
      <c r="AM492" s="9">
        <v>1</v>
      </c>
      <c r="AN492" s="6">
        <v>1</v>
      </c>
      <c r="BC492">
        <v>1806</v>
      </c>
      <c r="BD492" t="s">
        <v>81</v>
      </c>
      <c r="BE492" s="10" t="s">
        <v>70</v>
      </c>
      <c r="BF492" s="1" t="s">
        <v>73</v>
      </c>
      <c r="BG492" s="1">
        <v>2</v>
      </c>
      <c r="BH492">
        <v>1</v>
      </c>
      <c r="BK492" s="1">
        <v>1</v>
      </c>
      <c r="BZ492">
        <v>1</v>
      </c>
      <c r="CS492" t="s">
        <v>111</v>
      </c>
      <c r="CT492" s="10" t="s">
        <v>221</v>
      </c>
      <c r="CU492" s="9" t="s">
        <v>222</v>
      </c>
    </row>
    <row r="493" spans="2:99">
      <c r="B493" t="s">
        <v>680</v>
      </c>
      <c r="C493" s="15" t="s">
        <v>681</v>
      </c>
      <c r="D493" s="15" t="s">
        <v>681</v>
      </c>
      <c r="E493" s="8" t="s">
        <v>271</v>
      </c>
      <c r="F493" s="8" t="s">
        <v>115</v>
      </c>
      <c r="G493" s="1">
        <v>1</v>
      </c>
      <c r="I493" s="1">
        <f>1809-26</f>
        <v>1783</v>
      </c>
      <c r="J493" t="s">
        <v>69</v>
      </c>
      <c r="K493" t="s">
        <v>12</v>
      </c>
      <c r="Q493">
        <v>5</v>
      </c>
      <c r="R493">
        <v>2</v>
      </c>
      <c r="T493" s="5">
        <f t="shared" ref="T493:T502" si="15">((Q493*316)+(R493*26.3)+(S493*2.2))/10</f>
        <v>163.26</v>
      </c>
      <c r="U493" t="s">
        <v>682</v>
      </c>
      <c r="AM493" s="6">
        <v>1</v>
      </c>
      <c r="AN493" s="6">
        <v>1</v>
      </c>
      <c r="AO493" s="6">
        <v>1</v>
      </c>
      <c r="AP493" s="6">
        <v>1</v>
      </c>
      <c r="AQ493" s="6">
        <v>1</v>
      </c>
      <c r="AR493" s="7">
        <v>1</v>
      </c>
      <c r="BC493" t="s">
        <v>566</v>
      </c>
      <c r="BD493" s="7" t="s">
        <v>280</v>
      </c>
      <c r="BE493" t="s">
        <v>124</v>
      </c>
      <c r="BF493" s="1" t="s">
        <v>29</v>
      </c>
      <c r="BG493" s="1">
        <v>1</v>
      </c>
      <c r="BH493">
        <v>2</v>
      </c>
      <c r="BK493" s="1">
        <v>1</v>
      </c>
      <c r="BQ493">
        <v>1</v>
      </c>
      <c r="BR493">
        <v>1</v>
      </c>
      <c r="CF493">
        <v>1</v>
      </c>
      <c r="CL493">
        <v>1</v>
      </c>
      <c r="CN493">
        <v>1</v>
      </c>
      <c r="CS493" s="7" t="s">
        <v>683</v>
      </c>
    </row>
    <row r="494" spans="2:99">
      <c r="B494" t="s">
        <v>2165</v>
      </c>
      <c r="C494" s="2" t="s">
        <v>2068</v>
      </c>
      <c r="D494" s="2" t="s">
        <v>2068</v>
      </c>
      <c r="E494" s="8" t="s">
        <v>920</v>
      </c>
      <c r="F494" s="8" t="s">
        <v>115</v>
      </c>
      <c r="G494" s="1">
        <v>1</v>
      </c>
      <c r="I494" s="1">
        <f>1805-19</f>
        <v>1786</v>
      </c>
      <c r="J494" t="s">
        <v>10</v>
      </c>
      <c r="K494" t="s">
        <v>12</v>
      </c>
      <c r="Q494">
        <v>5</v>
      </c>
      <c r="R494">
        <v>2</v>
      </c>
      <c r="S494">
        <v>2</v>
      </c>
      <c r="T494" s="5">
        <f t="shared" si="15"/>
        <v>163.69999999999999</v>
      </c>
      <c r="U494" t="s">
        <v>2166</v>
      </c>
      <c r="AM494" s="6">
        <v>1</v>
      </c>
      <c r="AN494" s="7">
        <v>1</v>
      </c>
      <c r="BC494" t="s">
        <v>1501</v>
      </c>
      <c r="BD494" s="7" t="s">
        <v>109</v>
      </c>
      <c r="BE494" t="s">
        <v>1502</v>
      </c>
      <c r="BF494" s="1" t="s">
        <v>29</v>
      </c>
      <c r="BG494" s="1">
        <v>2</v>
      </c>
      <c r="BH494">
        <v>1</v>
      </c>
      <c r="BK494" s="1">
        <v>1</v>
      </c>
      <c r="BQ494">
        <v>1</v>
      </c>
      <c r="CR494" t="s">
        <v>72</v>
      </c>
      <c r="CS494" s="7" t="s">
        <v>1602</v>
      </c>
    </row>
    <row r="495" spans="2:99">
      <c r="B495" t="s">
        <v>1560</v>
      </c>
      <c r="C495" s="15" t="s">
        <v>1561</v>
      </c>
      <c r="D495" s="2" t="s">
        <v>1561</v>
      </c>
      <c r="E495" s="8" t="s">
        <v>1442</v>
      </c>
      <c r="F495" s="8" t="s">
        <v>65</v>
      </c>
      <c r="G495" s="1">
        <v>1</v>
      </c>
      <c r="I495" s="1">
        <f>1806-40</f>
        <v>1766</v>
      </c>
      <c r="J495" t="s">
        <v>69</v>
      </c>
      <c r="K495" t="s">
        <v>197</v>
      </c>
      <c r="N495">
        <v>1</v>
      </c>
      <c r="Q495">
        <v>5</v>
      </c>
      <c r="R495">
        <v>4</v>
      </c>
      <c r="S495">
        <v>3</v>
      </c>
      <c r="T495" s="5">
        <f t="shared" si="15"/>
        <v>169.18</v>
      </c>
      <c r="U495" t="s">
        <v>1562</v>
      </c>
      <c r="AM495" s="6">
        <v>1</v>
      </c>
      <c r="AN495" s="7">
        <v>1</v>
      </c>
      <c r="BC495" t="s">
        <v>1563</v>
      </c>
      <c r="BD495" s="7" t="s">
        <v>103</v>
      </c>
      <c r="BE495" t="s">
        <v>1564</v>
      </c>
      <c r="BF495" s="1" t="s">
        <v>29</v>
      </c>
      <c r="BG495" s="1">
        <v>3</v>
      </c>
      <c r="BH495">
        <v>1</v>
      </c>
      <c r="BJ495">
        <v>1</v>
      </c>
      <c r="BK495" s="1">
        <v>1</v>
      </c>
      <c r="BQ495">
        <v>1</v>
      </c>
      <c r="CS495" s="7" t="s">
        <v>1565</v>
      </c>
    </row>
    <row r="496" spans="2:99">
      <c r="B496" t="s">
        <v>1936</v>
      </c>
      <c r="C496" s="2" t="s">
        <v>1339</v>
      </c>
      <c r="D496" s="2" t="s">
        <v>1339</v>
      </c>
      <c r="E496" s="8" t="s">
        <v>146</v>
      </c>
      <c r="F496" s="8" t="s">
        <v>65</v>
      </c>
      <c r="G496" s="1">
        <v>1</v>
      </c>
      <c r="I496" s="1">
        <f>1805-24</f>
        <v>1781</v>
      </c>
      <c r="J496" t="s">
        <v>10</v>
      </c>
      <c r="K496" t="s">
        <v>12</v>
      </c>
      <c r="Q496">
        <v>5</v>
      </c>
      <c r="R496">
        <v>6</v>
      </c>
      <c r="T496" s="5">
        <f t="shared" si="15"/>
        <v>173.78</v>
      </c>
      <c r="U496" t="s">
        <v>1937</v>
      </c>
      <c r="AM496" s="6">
        <v>1</v>
      </c>
      <c r="AN496" s="7">
        <v>1</v>
      </c>
      <c r="BC496" t="s">
        <v>1938</v>
      </c>
      <c r="BD496" s="7" t="s">
        <v>280</v>
      </c>
      <c r="BE496" t="s">
        <v>1564</v>
      </c>
      <c r="BF496" s="1" t="s">
        <v>29</v>
      </c>
      <c r="BG496" s="1">
        <v>2</v>
      </c>
      <c r="BH496">
        <v>1</v>
      </c>
      <c r="BK496" s="1">
        <v>1</v>
      </c>
      <c r="BQ496">
        <v>1</v>
      </c>
      <c r="CN496">
        <v>1</v>
      </c>
      <c r="CS496" s="7" t="s">
        <v>947</v>
      </c>
    </row>
    <row r="497" spans="2:97">
      <c r="B497" t="s">
        <v>2113</v>
      </c>
      <c r="C497" s="15" t="s">
        <v>1561</v>
      </c>
      <c r="D497" s="2" t="s">
        <v>1561</v>
      </c>
      <c r="E497" s="8" t="s">
        <v>1442</v>
      </c>
      <c r="F497" s="8" t="s">
        <v>65</v>
      </c>
      <c r="G497" s="1">
        <v>1</v>
      </c>
      <c r="I497" s="1">
        <f>1806-40</f>
        <v>1766</v>
      </c>
      <c r="J497" t="s">
        <v>69</v>
      </c>
      <c r="K497" t="s">
        <v>197</v>
      </c>
      <c r="Q497">
        <v>5</v>
      </c>
      <c r="R497">
        <v>6</v>
      </c>
      <c r="T497" s="5">
        <f t="shared" si="15"/>
        <v>173.78</v>
      </c>
      <c r="U497" t="s">
        <v>1937</v>
      </c>
      <c r="AM497" s="6">
        <v>1</v>
      </c>
      <c r="AN497" s="7">
        <v>1</v>
      </c>
      <c r="BC497" t="s">
        <v>2114</v>
      </c>
      <c r="BD497" s="7" t="s">
        <v>103</v>
      </c>
      <c r="BE497" t="s">
        <v>1564</v>
      </c>
      <c r="BF497" s="1" t="s">
        <v>29</v>
      </c>
      <c r="BG497" s="1">
        <v>3</v>
      </c>
      <c r="BH497">
        <v>1</v>
      </c>
      <c r="BK497" s="1">
        <v>1</v>
      </c>
      <c r="BQ497">
        <v>1</v>
      </c>
      <c r="CS497" s="7" t="s">
        <v>2103</v>
      </c>
    </row>
    <row r="498" spans="2:97">
      <c r="B498" t="s">
        <v>2112</v>
      </c>
      <c r="C498" s="15" t="s">
        <v>1561</v>
      </c>
      <c r="D498" s="2" t="s">
        <v>1561</v>
      </c>
      <c r="E498" s="8" t="s">
        <v>1442</v>
      </c>
      <c r="F498" s="8" t="s">
        <v>65</v>
      </c>
      <c r="G498" s="1">
        <v>1</v>
      </c>
      <c r="I498" s="1">
        <f>1805-20</f>
        <v>1785</v>
      </c>
      <c r="J498" t="s">
        <v>10</v>
      </c>
      <c r="K498" t="s">
        <v>12</v>
      </c>
      <c r="Q498">
        <v>5</v>
      </c>
      <c r="R498">
        <v>2</v>
      </c>
      <c r="S498">
        <v>2</v>
      </c>
      <c r="T498" s="5">
        <f t="shared" si="15"/>
        <v>163.69999999999999</v>
      </c>
      <c r="U498" t="s">
        <v>1937</v>
      </c>
      <c r="AM498" s="6">
        <v>1</v>
      </c>
      <c r="AN498" s="7">
        <v>1</v>
      </c>
      <c r="BC498" t="s">
        <v>198</v>
      </c>
      <c r="BD498" s="7" t="s">
        <v>109</v>
      </c>
      <c r="BE498" t="s">
        <v>1564</v>
      </c>
      <c r="BF498" s="1" t="s">
        <v>29</v>
      </c>
      <c r="BG498" s="1">
        <v>2</v>
      </c>
      <c r="BH498">
        <v>1</v>
      </c>
      <c r="BK498" s="1">
        <v>1</v>
      </c>
      <c r="BQ498">
        <v>1</v>
      </c>
      <c r="CS498" s="7" t="s">
        <v>1991</v>
      </c>
    </row>
    <row r="499" spans="2:97">
      <c r="B499" t="s">
        <v>1939</v>
      </c>
      <c r="C499" s="15" t="s">
        <v>1940</v>
      </c>
      <c r="D499" s="26" t="s">
        <v>1941</v>
      </c>
      <c r="E499" s="8" t="s">
        <v>1942</v>
      </c>
      <c r="F499" s="8" t="s">
        <v>65</v>
      </c>
      <c r="G499" s="1">
        <v>1</v>
      </c>
      <c r="I499" s="1">
        <f>1809-22</f>
        <v>1787</v>
      </c>
      <c r="J499" t="s">
        <v>10</v>
      </c>
      <c r="K499" t="s">
        <v>12</v>
      </c>
      <c r="Q499">
        <v>5</v>
      </c>
      <c r="R499">
        <v>4</v>
      </c>
      <c r="T499" s="5">
        <f t="shared" si="15"/>
        <v>168.52</v>
      </c>
      <c r="U499" t="s">
        <v>1943</v>
      </c>
      <c r="AM499" s="6">
        <v>1</v>
      </c>
      <c r="AN499" s="6">
        <v>1</v>
      </c>
      <c r="AO499" s="6">
        <v>1</v>
      </c>
      <c r="AP499" s="6">
        <v>1</v>
      </c>
      <c r="AQ499" s="7">
        <v>1</v>
      </c>
      <c r="BC499" t="s">
        <v>1944</v>
      </c>
      <c r="BD499" s="7" t="s">
        <v>103</v>
      </c>
      <c r="BE499" t="s">
        <v>1904</v>
      </c>
      <c r="BF499" s="1" t="s">
        <v>29</v>
      </c>
      <c r="BG499" s="1">
        <v>3</v>
      </c>
      <c r="BH499">
        <v>1</v>
      </c>
      <c r="BK499" s="1">
        <v>1</v>
      </c>
      <c r="BQ499">
        <v>1</v>
      </c>
      <c r="CS499" s="7" t="s">
        <v>1945</v>
      </c>
    </row>
    <row r="500" spans="2:97">
      <c r="B500" t="s">
        <v>2067</v>
      </c>
      <c r="C500" s="2" t="s">
        <v>2068</v>
      </c>
      <c r="D500" s="2" t="s">
        <v>2068</v>
      </c>
      <c r="E500" s="8" t="s">
        <v>920</v>
      </c>
      <c r="F500" s="8" t="s">
        <v>115</v>
      </c>
      <c r="G500" s="1">
        <v>1</v>
      </c>
      <c r="I500" s="1">
        <f>1805-26</f>
        <v>1779</v>
      </c>
      <c r="J500" t="s">
        <v>69</v>
      </c>
      <c r="K500" t="s">
        <v>12</v>
      </c>
      <c r="Q500">
        <v>5</v>
      </c>
      <c r="R500">
        <v>3</v>
      </c>
      <c r="S500">
        <v>1</v>
      </c>
      <c r="T500" s="5">
        <f t="shared" si="15"/>
        <v>166.11</v>
      </c>
      <c r="U500" t="s">
        <v>2069</v>
      </c>
      <c r="AM500" s="6">
        <v>1</v>
      </c>
      <c r="AN500" s="7">
        <v>1</v>
      </c>
      <c r="BC500" t="s">
        <v>2070</v>
      </c>
      <c r="BD500" s="7" t="s">
        <v>280</v>
      </c>
      <c r="BE500" t="s">
        <v>1502</v>
      </c>
      <c r="BF500" s="1" t="s">
        <v>29</v>
      </c>
      <c r="BG500" s="1">
        <v>2</v>
      </c>
      <c r="BH500">
        <v>1</v>
      </c>
      <c r="BK500" s="1">
        <v>1</v>
      </c>
      <c r="BQ500">
        <v>1</v>
      </c>
      <c r="CN500">
        <v>1</v>
      </c>
      <c r="CS500" s="7" t="s">
        <v>2071</v>
      </c>
    </row>
    <row r="501" spans="2:97">
      <c r="B501" t="s">
        <v>2160</v>
      </c>
      <c r="C501" s="2" t="s">
        <v>2161</v>
      </c>
      <c r="D501" s="2" t="s">
        <v>2162</v>
      </c>
      <c r="E501" s="8" t="s">
        <v>920</v>
      </c>
      <c r="F501" s="8" t="s">
        <v>115</v>
      </c>
      <c r="G501" s="1">
        <v>1</v>
      </c>
      <c r="I501" s="1">
        <f>1805-22</f>
        <v>1783</v>
      </c>
      <c r="J501" t="s">
        <v>10</v>
      </c>
      <c r="K501" t="s">
        <v>12</v>
      </c>
      <c r="Q501">
        <v>5</v>
      </c>
      <c r="R501">
        <v>2</v>
      </c>
      <c r="S501">
        <v>2</v>
      </c>
      <c r="T501" s="5">
        <f t="shared" si="15"/>
        <v>163.69999999999999</v>
      </c>
      <c r="U501" t="s">
        <v>2159</v>
      </c>
      <c r="AM501" s="6">
        <v>1</v>
      </c>
      <c r="AN501" s="7">
        <v>1</v>
      </c>
      <c r="BC501" t="s">
        <v>1501</v>
      </c>
      <c r="BD501" s="7" t="s">
        <v>109</v>
      </c>
      <c r="BE501" t="s">
        <v>1502</v>
      </c>
      <c r="BF501" s="1" t="s">
        <v>29</v>
      </c>
      <c r="BG501" s="1">
        <v>2</v>
      </c>
      <c r="BH501">
        <v>1</v>
      </c>
      <c r="BK501" s="1">
        <v>1</v>
      </c>
      <c r="BQ501">
        <v>1</v>
      </c>
      <c r="CR501" t="s">
        <v>72</v>
      </c>
      <c r="CS501" s="7" t="s">
        <v>1602</v>
      </c>
    </row>
    <row r="502" spans="2:97">
      <c r="B502" t="s">
        <v>2042</v>
      </c>
      <c r="C502" s="2" t="s">
        <v>1996</v>
      </c>
      <c r="D502" s="2" t="s">
        <v>1996</v>
      </c>
      <c r="E502" s="8" t="s">
        <v>920</v>
      </c>
      <c r="F502" s="8" t="s">
        <v>115</v>
      </c>
      <c r="G502" s="1">
        <v>1</v>
      </c>
      <c r="I502" s="1">
        <f>1806-21</f>
        <v>1785</v>
      </c>
      <c r="J502" t="s">
        <v>10</v>
      </c>
      <c r="K502" t="s">
        <v>12</v>
      </c>
      <c r="Q502">
        <v>5</v>
      </c>
      <c r="R502">
        <v>1</v>
      </c>
      <c r="T502" s="5">
        <f t="shared" si="15"/>
        <v>160.63</v>
      </c>
      <c r="U502" t="s">
        <v>2043</v>
      </c>
      <c r="AM502" s="6">
        <v>1</v>
      </c>
      <c r="AN502" s="7">
        <v>1</v>
      </c>
      <c r="BC502" t="s">
        <v>1501</v>
      </c>
      <c r="BD502" s="7" t="s">
        <v>109</v>
      </c>
      <c r="BE502" t="s">
        <v>1502</v>
      </c>
      <c r="BF502" s="1" t="s">
        <v>29</v>
      </c>
      <c r="BG502" s="1">
        <v>1</v>
      </c>
      <c r="BH502">
        <v>1</v>
      </c>
      <c r="BK502" s="1">
        <v>1</v>
      </c>
      <c r="BQ502">
        <v>1</v>
      </c>
      <c r="CR502" t="s">
        <v>72</v>
      </c>
      <c r="CS502" s="7" t="s">
        <v>1602</v>
      </c>
    </row>
    <row r="503" spans="2:97">
      <c r="B503" t="s">
        <v>2072</v>
      </c>
      <c r="C503" s="2" t="s">
        <v>2068</v>
      </c>
      <c r="D503" s="2" t="s">
        <v>2068</v>
      </c>
      <c r="E503" s="8" t="s">
        <v>920</v>
      </c>
      <c r="F503" s="8" t="s">
        <v>115</v>
      </c>
      <c r="G503" s="1">
        <v>1</v>
      </c>
      <c r="I503" s="1">
        <f>1806-26</f>
        <v>1780</v>
      </c>
      <c r="J503" t="s">
        <v>69</v>
      </c>
      <c r="K503" t="s">
        <v>12</v>
      </c>
      <c r="Q503">
        <v>5</v>
      </c>
      <c r="R503">
        <v>3</v>
      </c>
      <c r="T503" s="5">
        <f t="shared" ref="T503:T510" si="16">((Q503*316)+(R503*26.3)+(S503*2.2))/10</f>
        <v>165.89000000000001</v>
      </c>
      <c r="U503" t="s">
        <v>2043</v>
      </c>
      <c r="AM503" s="6">
        <v>1</v>
      </c>
      <c r="AN503" s="7">
        <v>1</v>
      </c>
      <c r="BC503" t="s">
        <v>1501</v>
      </c>
      <c r="BD503" s="7" t="s">
        <v>109</v>
      </c>
      <c r="BE503" t="s">
        <v>1502</v>
      </c>
      <c r="BF503" s="1" t="s">
        <v>29</v>
      </c>
      <c r="BG503" s="1">
        <v>2</v>
      </c>
      <c r="BH503">
        <v>1</v>
      </c>
      <c r="BK503" s="1">
        <v>1</v>
      </c>
      <c r="BQ503">
        <v>1</v>
      </c>
      <c r="CS503" s="7" t="s">
        <v>1602</v>
      </c>
    </row>
    <row r="504" spans="2:97">
      <c r="B504" t="s">
        <v>2073</v>
      </c>
      <c r="C504" s="2" t="s">
        <v>919</v>
      </c>
      <c r="D504" s="2" t="s">
        <v>2054</v>
      </c>
      <c r="E504" s="8" t="s">
        <v>920</v>
      </c>
      <c r="F504" s="8" t="s">
        <v>115</v>
      </c>
      <c r="G504" s="1">
        <v>1</v>
      </c>
      <c r="I504" s="1">
        <f>1805-22</f>
        <v>1783</v>
      </c>
      <c r="J504" t="s">
        <v>69</v>
      </c>
      <c r="K504" t="s">
        <v>12</v>
      </c>
      <c r="Q504">
        <v>5</v>
      </c>
      <c r="R504">
        <v>4</v>
      </c>
      <c r="T504" s="5">
        <f t="shared" si="16"/>
        <v>168.52</v>
      </c>
      <c r="U504" t="s">
        <v>2074</v>
      </c>
      <c r="AM504" s="6">
        <v>1</v>
      </c>
      <c r="AN504" s="7">
        <v>1</v>
      </c>
      <c r="BC504" t="s">
        <v>2056</v>
      </c>
      <c r="BD504" s="7" t="s">
        <v>280</v>
      </c>
      <c r="BE504" t="s">
        <v>1502</v>
      </c>
      <c r="BF504" s="1" t="s">
        <v>29</v>
      </c>
      <c r="BG504" s="1">
        <v>2</v>
      </c>
      <c r="BH504">
        <v>1</v>
      </c>
      <c r="BK504" s="1">
        <v>1</v>
      </c>
      <c r="BQ504">
        <v>1</v>
      </c>
      <c r="CN504">
        <v>1</v>
      </c>
      <c r="CS504" s="7" t="s">
        <v>2071</v>
      </c>
    </row>
    <row r="505" spans="2:97">
      <c r="B505" t="s">
        <v>2147</v>
      </c>
      <c r="C505" s="2" t="s">
        <v>919</v>
      </c>
      <c r="D505" s="2" t="s">
        <v>2054</v>
      </c>
      <c r="E505" s="8" t="s">
        <v>920</v>
      </c>
      <c r="F505" s="8" t="s">
        <v>115</v>
      </c>
      <c r="G505" s="1">
        <v>1</v>
      </c>
      <c r="I505" s="1">
        <f>1805-24</f>
        <v>1781</v>
      </c>
      <c r="J505" t="s">
        <v>10</v>
      </c>
      <c r="K505" t="s">
        <v>12</v>
      </c>
      <c r="Q505">
        <v>5</v>
      </c>
      <c r="R505">
        <v>1</v>
      </c>
      <c r="S505">
        <v>3</v>
      </c>
      <c r="T505" s="5">
        <f t="shared" si="16"/>
        <v>161.29</v>
      </c>
      <c r="U505" t="s">
        <v>2074</v>
      </c>
      <c r="AM505" s="6">
        <v>1</v>
      </c>
      <c r="AN505" s="7">
        <v>1</v>
      </c>
      <c r="BC505" t="s">
        <v>2056</v>
      </c>
      <c r="BD505" s="7" t="s">
        <v>280</v>
      </c>
      <c r="BE505" t="s">
        <v>1502</v>
      </c>
      <c r="BF505" s="1" t="s">
        <v>29</v>
      </c>
      <c r="BG505" s="1">
        <v>2</v>
      </c>
      <c r="BH505">
        <v>1</v>
      </c>
      <c r="BK505" s="1">
        <v>1</v>
      </c>
      <c r="BQ505">
        <v>1</v>
      </c>
      <c r="CN505">
        <v>1</v>
      </c>
      <c r="CS505" s="7" t="s">
        <v>2071</v>
      </c>
    </row>
    <row r="506" spans="2:97">
      <c r="B506" t="s">
        <v>2157</v>
      </c>
      <c r="C506" s="2" t="s">
        <v>1996</v>
      </c>
      <c r="D506" s="2" t="s">
        <v>1996</v>
      </c>
      <c r="E506" s="8" t="s">
        <v>920</v>
      </c>
      <c r="F506" s="8" t="s">
        <v>115</v>
      </c>
      <c r="G506" s="1">
        <v>1</v>
      </c>
      <c r="I506" s="1">
        <f>1805-22</f>
        <v>1783</v>
      </c>
      <c r="J506" t="s">
        <v>69</v>
      </c>
      <c r="K506" t="s">
        <v>12</v>
      </c>
      <c r="Q506">
        <v>5</v>
      </c>
      <c r="R506">
        <v>3</v>
      </c>
      <c r="T506" s="5">
        <f t="shared" si="16"/>
        <v>165.89000000000001</v>
      </c>
      <c r="U506" t="s">
        <v>2074</v>
      </c>
      <c r="AM506" s="6">
        <v>1</v>
      </c>
      <c r="AN506" s="7">
        <v>1</v>
      </c>
      <c r="BC506" t="s">
        <v>1501</v>
      </c>
      <c r="BD506" s="7" t="s">
        <v>103</v>
      </c>
      <c r="BE506" t="s">
        <v>1502</v>
      </c>
      <c r="BF506" s="1" t="s">
        <v>29</v>
      </c>
      <c r="BG506" s="1">
        <v>3</v>
      </c>
      <c r="BH506">
        <v>1</v>
      </c>
      <c r="BK506" s="1">
        <v>1</v>
      </c>
      <c r="BQ506">
        <v>1</v>
      </c>
      <c r="CS506" s="7" t="s">
        <v>2089</v>
      </c>
    </row>
    <row r="507" spans="2:97">
      <c r="B507" t="s">
        <v>2078</v>
      </c>
      <c r="C507" s="2" t="s">
        <v>2068</v>
      </c>
      <c r="D507" s="2" t="s">
        <v>2068</v>
      </c>
      <c r="E507" s="8" t="s">
        <v>920</v>
      </c>
      <c r="F507" s="8" t="s">
        <v>115</v>
      </c>
      <c r="G507" s="1">
        <v>1</v>
      </c>
      <c r="I507" s="1">
        <f>1805-20</f>
        <v>1785</v>
      </c>
      <c r="J507" t="s">
        <v>10</v>
      </c>
      <c r="K507" t="s">
        <v>197</v>
      </c>
      <c r="Q507">
        <v>5</v>
      </c>
      <c r="R507">
        <v>1</v>
      </c>
      <c r="S507">
        <v>1</v>
      </c>
      <c r="T507" s="5">
        <f t="shared" si="16"/>
        <v>160.85</v>
      </c>
      <c r="U507" t="s">
        <v>2077</v>
      </c>
      <c r="AM507" s="6">
        <v>1</v>
      </c>
      <c r="AN507" s="7">
        <v>1</v>
      </c>
      <c r="BC507" t="s">
        <v>1501</v>
      </c>
      <c r="BD507" s="7" t="s">
        <v>109</v>
      </c>
      <c r="BE507" t="s">
        <v>1502</v>
      </c>
      <c r="BF507" s="1" t="s">
        <v>29</v>
      </c>
      <c r="BG507" s="1">
        <v>2</v>
      </c>
      <c r="BH507">
        <v>1</v>
      </c>
      <c r="BK507" s="1">
        <v>1</v>
      </c>
      <c r="BQ507">
        <v>1</v>
      </c>
      <c r="CS507" s="7" t="s">
        <v>1602</v>
      </c>
    </row>
    <row r="508" spans="2:97">
      <c r="B508" t="s">
        <v>2075</v>
      </c>
      <c r="C508" s="2" t="s">
        <v>2076</v>
      </c>
      <c r="D508" s="2" t="s">
        <v>2076</v>
      </c>
      <c r="E508" s="8" t="s">
        <v>920</v>
      </c>
      <c r="F508" s="8" t="s">
        <v>115</v>
      </c>
      <c r="G508" s="1">
        <v>1</v>
      </c>
      <c r="I508" s="1">
        <f>1805-28</f>
        <v>1777</v>
      </c>
      <c r="J508" t="s">
        <v>69</v>
      </c>
      <c r="K508" t="s">
        <v>12</v>
      </c>
      <c r="Q508">
        <v>5</v>
      </c>
      <c r="R508">
        <v>3</v>
      </c>
      <c r="T508" s="5">
        <f t="shared" si="16"/>
        <v>165.89000000000001</v>
      </c>
      <c r="U508" t="s">
        <v>2077</v>
      </c>
      <c r="AM508" s="6">
        <v>1</v>
      </c>
      <c r="AN508" s="7">
        <v>1</v>
      </c>
      <c r="BC508" t="s">
        <v>1501</v>
      </c>
      <c r="BD508" s="7" t="s">
        <v>109</v>
      </c>
      <c r="BE508" t="s">
        <v>1502</v>
      </c>
      <c r="BF508" s="1" t="s">
        <v>29</v>
      </c>
      <c r="BG508" s="1">
        <v>2</v>
      </c>
      <c r="BH508">
        <v>1</v>
      </c>
      <c r="BK508" s="1">
        <v>1</v>
      </c>
      <c r="BQ508">
        <v>1</v>
      </c>
      <c r="CS508" s="7" t="s">
        <v>1086</v>
      </c>
    </row>
    <row r="509" spans="2:97">
      <c r="B509" t="s">
        <v>1141</v>
      </c>
      <c r="C509" s="2" t="s">
        <v>1142</v>
      </c>
      <c r="D509" s="15"/>
      <c r="E509" s="8" t="s">
        <v>1074</v>
      </c>
      <c r="F509" s="8" t="s">
        <v>247</v>
      </c>
      <c r="G509" s="1">
        <v>1</v>
      </c>
      <c r="I509" s="1">
        <f>1805-23</f>
        <v>1782</v>
      </c>
      <c r="J509" t="s">
        <v>10</v>
      </c>
      <c r="K509" t="s">
        <v>12</v>
      </c>
      <c r="Q509">
        <v>5</v>
      </c>
      <c r="R509">
        <v>6</v>
      </c>
      <c r="T509" s="5">
        <f t="shared" si="16"/>
        <v>173.78</v>
      </c>
      <c r="U509" t="s">
        <v>1140</v>
      </c>
      <c r="AM509" s="6">
        <v>1</v>
      </c>
      <c r="AN509" s="7">
        <v>1</v>
      </c>
      <c r="BC509" t="s">
        <v>1100</v>
      </c>
      <c r="BD509" s="7" t="s">
        <v>103</v>
      </c>
      <c r="BE509" t="s">
        <v>1065</v>
      </c>
      <c r="BF509" s="1" t="s">
        <v>29</v>
      </c>
      <c r="BG509" s="1">
        <v>3</v>
      </c>
      <c r="BH509">
        <v>1</v>
      </c>
      <c r="BK509" s="1">
        <v>1</v>
      </c>
      <c r="BQ509">
        <v>1</v>
      </c>
      <c r="CS509" s="7" t="s">
        <v>1125</v>
      </c>
    </row>
    <row r="510" spans="2:97">
      <c r="B510" t="s">
        <v>1231</v>
      </c>
      <c r="C510" s="2" t="s">
        <v>1232</v>
      </c>
      <c r="D510" s="15"/>
      <c r="E510" s="8" t="s">
        <v>1074</v>
      </c>
      <c r="F510" s="8" t="s">
        <v>247</v>
      </c>
      <c r="G510" s="1">
        <v>1</v>
      </c>
      <c r="I510" s="1">
        <f>1805-24</f>
        <v>1781</v>
      </c>
      <c r="J510" t="s">
        <v>10</v>
      </c>
      <c r="K510" t="s">
        <v>12</v>
      </c>
      <c r="Q510">
        <v>5</v>
      </c>
      <c r="R510">
        <v>3</v>
      </c>
      <c r="T510" s="5">
        <f t="shared" si="16"/>
        <v>165.89000000000001</v>
      </c>
      <c r="U510" t="s">
        <v>1140</v>
      </c>
      <c r="AM510" s="6">
        <v>1</v>
      </c>
      <c r="AN510" s="6">
        <v>1</v>
      </c>
      <c r="AO510" s="7">
        <v>1</v>
      </c>
      <c r="BC510" t="s">
        <v>1187</v>
      </c>
      <c r="BD510" s="7" t="s">
        <v>103</v>
      </c>
      <c r="BE510" t="s">
        <v>1065</v>
      </c>
      <c r="BF510" s="1" t="s">
        <v>29</v>
      </c>
      <c r="BG510" s="1">
        <v>3</v>
      </c>
      <c r="BH510">
        <v>1</v>
      </c>
      <c r="BK510" s="1">
        <v>1</v>
      </c>
      <c r="BQ510">
        <v>1</v>
      </c>
      <c r="CS510" s="7" t="s">
        <v>203</v>
      </c>
    </row>
    <row r="511" spans="2:97">
      <c r="B511" t="s">
        <v>1138</v>
      </c>
      <c r="C511" s="2" t="s">
        <v>1139</v>
      </c>
      <c r="D511" s="15"/>
      <c r="E511" s="8" t="s">
        <v>1074</v>
      </c>
      <c r="F511" s="8" t="s">
        <v>247</v>
      </c>
      <c r="G511" s="1">
        <v>1</v>
      </c>
      <c r="I511" s="1">
        <f>1805-26</f>
        <v>1779</v>
      </c>
      <c r="J511" t="s">
        <v>10</v>
      </c>
      <c r="K511" t="s">
        <v>12</v>
      </c>
      <c r="Q511">
        <v>5</v>
      </c>
      <c r="R511">
        <v>4</v>
      </c>
      <c r="S511">
        <v>3</v>
      </c>
      <c r="T511" s="5">
        <f t="shared" ref="T511:T533" si="17">((Q511*316)+(R511*26.3)+(S511*2.2))/10</f>
        <v>169.18</v>
      </c>
      <c r="U511" t="s">
        <v>1140</v>
      </c>
      <c r="AM511" s="6">
        <v>1</v>
      </c>
      <c r="AN511" s="7">
        <v>1</v>
      </c>
      <c r="BC511" t="s">
        <v>1100</v>
      </c>
      <c r="BD511" s="7" t="s">
        <v>103</v>
      </c>
      <c r="BE511" t="s">
        <v>1065</v>
      </c>
      <c r="BF511" s="1" t="s">
        <v>29</v>
      </c>
      <c r="BG511" s="1">
        <v>3</v>
      </c>
      <c r="BH511">
        <v>1</v>
      </c>
      <c r="BK511" s="1">
        <v>1</v>
      </c>
      <c r="BQ511">
        <v>1</v>
      </c>
      <c r="CS511" s="7" t="s">
        <v>897</v>
      </c>
    </row>
    <row r="512" spans="2:97">
      <c r="B512" t="s">
        <v>1158</v>
      </c>
      <c r="C512" s="2" t="s">
        <v>1159</v>
      </c>
      <c r="D512" s="15"/>
      <c r="E512" s="8" t="s">
        <v>1074</v>
      </c>
      <c r="F512" s="8" t="s">
        <v>247</v>
      </c>
      <c r="G512" s="1">
        <v>1</v>
      </c>
      <c r="I512" s="1">
        <f>1805-24</f>
        <v>1781</v>
      </c>
      <c r="J512" t="s">
        <v>10</v>
      </c>
      <c r="K512" t="s">
        <v>12</v>
      </c>
      <c r="Q512">
        <v>5</v>
      </c>
      <c r="R512">
        <v>7</v>
      </c>
      <c r="S512">
        <v>3</v>
      </c>
      <c r="T512" s="5">
        <f t="shared" si="17"/>
        <v>177.07</v>
      </c>
      <c r="U512" t="s">
        <v>1140</v>
      </c>
      <c r="AM512" s="6">
        <v>1</v>
      </c>
      <c r="AN512" s="6">
        <v>1</v>
      </c>
      <c r="AO512" s="7">
        <v>1</v>
      </c>
      <c r="BC512" t="s">
        <v>1160</v>
      </c>
      <c r="BD512" s="7" t="s">
        <v>103</v>
      </c>
      <c r="BE512" t="s">
        <v>1065</v>
      </c>
      <c r="BF512" s="1" t="s">
        <v>29</v>
      </c>
      <c r="BG512" s="1">
        <v>3</v>
      </c>
      <c r="BH512">
        <v>1</v>
      </c>
      <c r="BK512" s="1">
        <v>1</v>
      </c>
      <c r="BQ512">
        <v>1</v>
      </c>
      <c r="CS512" s="7" t="s">
        <v>203</v>
      </c>
    </row>
    <row r="513" spans="2:97">
      <c r="B513" t="s">
        <v>1247</v>
      </c>
      <c r="C513" s="2" t="s">
        <v>1248</v>
      </c>
      <c r="D513" s="15"/>
      <c r="E513" s="8"/>
      <c r="F513" s="8" t="s">
        <v>65</v>
      </c>
      <c r="G513" s="1">
        <v>1</v>
      </c>
      <c r="I513" s="1">
        <f>1805-18</f>
        <v>1787</v>
      </c>
      <c r="J513" t="s">
        <v>10</v>
      </c>
      <c r="K513" t="s">
        <v>12</v>
      </c>
      <c r="Q513">
        <v>5</v>
      </c>
      <c r="R513">
        <v>3</v>
      </c>
      <c r="S513">
        <v>2</v>
      </c>
      <c r="T513" s="5">
        <f t="shared" si="17"/>
        <v>166.33</v>
      </c>
      <c r="U513" t="s">
        <v>1133</v>
      </c>
      <c r="AM513" s="6">
        <v>1</v>
      </c>
      <c r="AN513" s="6">
        <v>1</v>
      </c>
      <c r="AO513" s="6">
        <v>1</v>
      </c>
      <c r="AP513" s="7">
        <v>1</v>
      </c>
      <c r="BC513" t="s">
        <v>1249</v>
      </c>
      <c r="BD513" s="7" t="s">
        <v>103</v>
      </c>
      <c r="BE513" t="s">
        <v>1065</v>
      </c>
      <c r="BF513" s="1" t="s">
        <v>29</v>
      </c>
      <c r="BG513" s="1">
        <v>3</v>
      </c>
      <c r="BH513">
        <v>1</v>
      </c>
      <c r="BK513" s="1">
        <v>1</v>
      </c>
      <c r="BQ513">
        <v>1</v>
      </c>
      <c r="CS513" s="7" t="s">
        <v>475</v>
      </c>
    </row>
    <row r="514" spans="2:97">
      <c r="B514" t="s">
        <v>1244</v>
      </c>
      <c r="C514" s="2" t="s">
        <v>1245</v>
      </c>
      <c r="D514" s="15"/>
      <c r="E514" s="8"/>
      <c r="F514" s="8" t="s">
        <v>65</v>
      </c>
      <c r="G514" s="1">
        <v>1</v>
      </c>
      <c r="I514" s="1">
        <f>1805-18</f>
        <v>1787</v>
      </c>
      <c r="J514" t="s">
        <v>10</v>
      </c>
      <c r="K514" t="s">
        <v>12</v>
      </c>
      <c r="Q514">
        <v>5</v>
      </c>
      <c r="R514">
        <v>2</v>
      </c>
      <c r="T514" s="5">
        <f t="shared" si="17"/>
        <v>163.26</v>
      </c>
      <c r="U514" t="s">
        <v>1133</v>
      </c>
      <c r="AM514" s="6">
        <v>1</v>
      </c>
      <c r="AN514" s="6">
        <v>1</v>
      </c>
      <c r="AO514" s="6">
        <v>1</v>
      </c>
      <c r="AP514" s="7">
        <v>1</v>
      </c>
      <c r="BC514" t="s">
        <v>1246</v>
      </c>
      <c r="BD514" s="7" t="s">
        <v>103</v>
      </c>
      <c r="BE514" t="s">
        <v>1065</v>
      </c>
      <c r="BF514" s="1" t="s">
        <v>29</v>
      </c>
      <c r="BG514" s="1">
        <v>3</v>
      </c>
      <c r="BH514">
        <v>1</v>
      </c>
      <c r="BK514" s="1">
        <v>1</v>
      </c>
      <c r="BQ514">
        <v>1</v>
      </c>
      <c r="CS514" s="7" t="s">
        <v>203</v>
      </c>
    </row>
    <row r="515" spans="2:97">
      <c r="B515" t="s">
        <v>1238</v>
      </c>
      <c r="C515" s="2" t="s">
        <v>1239</v>
      </c>
      <c r="D515" s="15"/>
      <c r="E515" s="8" t="s">
        <v>869</v>
      </c>
      <c r="F515" s="8" t="s">
        <v>65</v>
      </c>
      <c r="G515" s="1">
        <v>1</v>
      </c>
      <c r="I515" s="1">
        <f>1805-18</f>
        <v>1787</v>
      </c>
      <c r="J515" t="s">
        <v>10</v>
      </c>
      <c r="K515" t="s">
        <v>12</v>
      </c>
      <c r="Q515">
        <v>5</v>
      </c>
      <c r="R515">
        <v>4</v>
      </c>
      <c r="S515">
        <v>2</v>
      </c>
      <c r="T515" s="5">
        <f t="shared" si="17"/>
        <v>168.96</v>
      </c>
      <c r="U515" t="s">
        <v>1133</v>
      </c>
      <c r="AM515" s="6">
        <v>1</v>
      </c>
      <c r="AN515" s="6">
        <v>1</v>
      </c>
      <c r="AO515" s="6">
        <v>1</v>
      </c>
      <c r="AP515" s="7">
        <v>1</v>
      </c>
      <c r="BC515" t="s">
        <v>1240</v>
      </c>
      <c r="BD515" s="7" t="s">
        <v>103</v>
      </c>
      <c r="BE515" t="s">
        <v>1065</v>
      </c>
      <c r="BF515" s="1" t="s">
        <v>29</v>
      </c>
      <c r="BG515" s="1">
        <v>3</v>
      </c>
      <c r="BH515">
        <v>1</v>
      </c>
      <c r="BK515" s="1">
        <v>1</v>
      </c>
      <c r="BQ515">
        <v>1</v>
      </c>
      <c r="CS515" s="7" t="s">
        <v>203</v>
      </c>
    </row>
    <row r="516" spans="2:97">
      <c r="B516" t="s">
        <v>1191</v>
      </c>
      <c r="C516" s="2" t="s">
        <v>1192</v>
      </c>
      <c r="D516" s="15"/>
      <c r="E516" s="8" t="s">
        <v>1074</v>
      </c>
      <c r="F516" s="8" t="s">
        <v>247</v>
      </c>
      <c r="G516" s="1">
        <v>1</v>
      </c>
      <c r="I516" s="1">
        <f>1805-18</f>
        <v>1787</v>
      </c>
      <c r="J516" t="s">
        <v>10</v>
      </c>
      <c r="K516" t="s">
        <v>12</v>
      </c>
      <c r="Q516">
        <v>5</v>
      </c>
      <c r="R516">
        <v>3</v>
      </c>
      <c r="S516">
        <v>3</v>
      </c>
      <c r="T516" s="5">
        <f t="shared" si="17"/>
        <v>166.55</v>
      </c>
      <c r="U516" t="s">
        <v>1133</v>
      </c>
      <c r="AM516" s="6">
        <v>1</v>
      </c>
      <c r="AN516" s="6">
        <v>1</v>
      </c>
      <c r="AO516" s="7">
        <v>1</v>
      </c>
      <c r="BC516" t="s">
        <v>1164</v>
      </c>
      <c r="BD516" s="7" t="s">
        <v>103</v>
      </c>
      <c r="BE516" t="s">
        <v>1065</v>
      </c>
      <c r="BF516" s="1" t="s">
        <v>29</v>
      </c>
      <c r="BG516" s="1">
        <v>3</v>
      </c>
      <c r="BH516">
        <v>1</v>
      </c>
      <c r="BK516" s="1">
        <v>1</v>
      </c>
      <c r="BQ516">
        <v>1</v>
      </c>
      <c r="CS516" s="7" t="s">
        <v>203</v>
      </c>
    </row>
    <row r="517" spans="2:97">
      <c r="B517" t="s">
        <v>2584</v>
      </c>
      <c r="C517" s="12" t="s">
        <v>2585</v>
      </c>
      <c r="D517" s="15"/>
      <c r="E517" s="8" t="s">
        <v>2586</v>
      </c>
      <c r="F517" s="8" t="s">
        <v>65</v>
      </c>
      <c r="G517" s="1">
        <v>1</v>
      </c>
      <c r="I517" s="1">
        <f>1805-26</f>
        <v>1779</v>
      </c>
      <c r="J517" t="s">
        <v>10</v>
      </c>
      <c r="K517" t="s">
        <v>12</v>
      </c>
      <c r="Q517">
        <v>5</v>
      </c>
      <c r="R517">
        <v>5</v>
      </c>
      <c r="T517" s="5">
        <f t="shared" si="17"/>
        <v>171.15</v>
      </c>
      <c r="U517" t="s">
        <v>1133</v>
      </c>
      <c r="AM517" s="6">
        <v>1</v>
      </c>
      <c r="AN517" s="6">
        <v>1</v>
      </c>
      <c r="AO517" s="6">
        <v>1</v>
      </c>
      <c r="AP517" s="6">
        <v>1</v>
      </c>
      <c r="AQ517" s="7">
        <v>1</v>
      </c>
      <c r="BC517" t="s">
        <v>2587</v>
      </c>
      <c r="BD517" s="7" t="s">
        <v>109</v>
      </c>
      <c r="BE517" t="s">
        <v>1065</v>
      </c>
      <c r="BF517" s="1" t="s">
        <v>29</v>
      </c>
      <c r="BG517" s="1">
        <v>5</v>
      </c>
      <c r="BH517">
        <v>1</v>
      </c>
      <c r="BK517" s="1">
        <v>1</v>
      </c>
      <c r="BQ517">
        <v>1</v>
      </c>
      <c r="CS517" s="7" t="s">
        <v>354</v>
      </c>
    </row>
    <row r="518" spans="2:97">
      <c r="B518" t="s">
        <v>1250</v>
      </c>
      <c r="C518" s="2" t="s">
        <v>1251</v>
      </c>
      <c r="D518" s="15"/>
      <c r="E518" s="8" t="s">
        <v>1074</v>
      </c>
      <c r="F518" s="8" t="s">
        <v>247</v>
      </c>
      <c r="G518" s="1">
        <v>1</v>
      </c>
      <c r="I518" s="1">
        <f>1805-18</f>
        <v>1787</v>
      </c>
      <c r="J518" t="s">
        <v>10</v>
      </c>
      <c r="K518" t="s">
        <v>12</v>
      </c>
      <c r="Q518">
        <v>5</v>
      </c>
      <c r="R518">
        <v>4</v>
      </c>
      <c r="S518">
        <v>3</v>
      </c>
      <c r="T518" s="5">
        <f t="shared" si="17"/>
        <v>169.18</v>
      </c>
      <c r="U518" t="s">
        <v>1133</v>
      </c>
      <c r="AM518" s="6">
        <v>1</v>
      </c>
      <c r="AN518" s="6">
        <v>1</v>
      </c>
      <c r="AO518" s="6">
        <v>1</v>
      </c>
      <c r="AP518" s="7">
        <v>1</v>
      </c>
      <c r="BC518" t="s">
        <v>1249</v>
      </c>
      <c r="BD518" s="7" t="s">
        <v>103</v>
      </c>
      <c r="BE518" t="s">
        <v>1065</v>
      </c>
      <c r="BF518" s="1" t="s">
        <v>29</v>
      </c>
      <c r="BG518" s="1">
        <v>3</v>
      </c>
      <c r="BH518">
        <v>1</v>
      </c>
      <c r="BK518" s="1">
        <v>1</v>
      </c>
      <c r="BQ518">
        <v>1</v>
      </c>
      <c r="CS518" s="7" t="s">
        <v>475</v>
      </c>
    </row>
    <row r="519" spans="2:97">
      <c r="B519" t="s">
        <v>1136</v>
      </c>
      <c r="C519" s="2" t="s">
        <v>1137</v>
      </c>
      <c r="D519" s="15"/>
      <c r="E519" s="8" t="s">
        <v>1074</v>
      </c>
      <c r="F519" s="8" t="s">
        <v>247</v>
      </c>
      <c r="G519" s="1">
        <v>1</v>
      </c>
      <c r="I519" s="1">
        <f>1805-26</f>
        <v>1779</v>
      </c>
      <c r="J519" t="s">
        <v>10</v>
      </c>
      <c r="K519" t="s">
        <v>12</v>
      </c>
      <c r="Q519">
        <v>5</v>
      </c>
      <c r="R519">
        <v>5</v>
      </c>
      <c r="T519" s="5">
        <f t="shared" si="17"/>
        <v>171.15</v>
      </c>
      <c r="U519" t="s">
        <v>1133</v>
      </c>
      <c r="AM519" s="6">
        <v>1</v>
      </c>
      <c r="AN519" s="7">
        <v>1</v>
      </c>
      <c r="BC519" t="s">
        <v>1100</v>
      </c>
      <c r="BD519" s="7" t="s">
        <v>103</v>
      </c>
      <c r="BE519" t="s">
        <v>1065</v>
      </c>
      <c r="BF519" s="1" t="s">
        <v>29</v>
      </c>
      <c r="BG519" s="1">
        <v>2</v>
      </c>
      <c r="BH519">
        <v>1</v>
      </c>
      <c r="BK519" s="1">
        <v>1</v>
      </c>
      <c r="BQ519">
        <v>1</v>
      </c>
      <c r="CS519" s="7" t="s">
        <v>203</v>
      </c>
    </row>
    <row r="520" spans="2:97">
      <c r="B520" t="s">
        <v>1172</v>
      </c>
      <c r="C520" s="2" t="s">
        <v>1173</v>
      </c>
      <c r="D520" s="15"/>
      <c r="E520" s="8" t="s">
        <v>1074</v>
      </c>
      <c r="F520" s="8" t="s">
        <v>247</v>
      </c>
      <c r="G520" s="1">
        <v>1</v>
      </c>
      <c r="I520" s="1">
        <f>1805-20</f>
        <v>1785</v>
      </c>
      <c r="J520" t="s">
        <v>10</v>
      </c>
      <c r="K520" t="s">
        <v>12</v>
      </c>
      <c r="Q520">
        <v>5</v>
      </c>
      <c r="R520">
        <v>6</v>
      </c>
      <c r="S520">
        <v>3</v>
      </c>
      <c r="T520" s="5">
        <f t="shared" si="17"/>
        <v>174.44</v>
      </c>
      <c r="U520" t="s">
        <v>1133</v>
      </c>
      <c r="AM520" s="6">
        <v>1</v>
      </c>
      <c r="AN520" s="6">
        <v>1</v>
      </c>
      <c r="AO520" s="7">
        <v>1</v>
      </c>
      <c r="BC520" t="s">
        <v>1174</v>
      </c>
      <c r="BD520" s="7" t="s">
        <v>103</v>
      </c>
      <c r="BE520" t="s">
        <v>1065</v>
      </c>
      <c r="BF520" s="1" t="s">
        <v>29</v>
      </c>
      <c r="BG520" s="1">
        <v>3</v>
      </c>
      <c r="BH520">
        <v>1</v>
      </c>
      <c r="BK520" s="1">
        <v>1</v>
      </c>
      <c r="BQ520">
        <v>1</v>
      </c>
      <c r="CS520" s="7" t="s">
        <v>203</v>
      </c>
    </row>
    <row r="521" spans="2:97">
      <c r="B521" t="s">
        <v>1134</v>
      </c>
      <c r="C521" s="2" t="s">
        <v>1135</v>
      </c>
      <c r="D521" s="15"/>
      <c r="E521" s="8" t="s">
        <v>1074</v>
      </c>
      <c r="F521" s="8" t="s">
        <v>247</v>
      </c>
      <c r="G521" s="1">
        <v>1</v>
      </c>
      <c r="I521" s="1">
        <f>1805-20</f>
        <v>1785</v>
      </c>
      <c r="J521" t="s">
        <v>69</v>
      </c>
      <c r="K521" t="s">
        <v>12</v>
      </c>
      <c r="Q521">
        <v>5</v>
      </c>
      <c r="R521">
        <v>2</v>
      </c>
      <c r="S521">
        <v>3</v>
      </c>
      <c r="T521" s="5">
        <f t="shared" si="17"/>
        <v>163.92</v>
      </c>
      <c r="U521" t="s">
        <v>1133</v>
      </c>
      <c r="AM521" s="6">
        <v>1</v>
      </c>
      <c r="AN521" s="7">
        <v>1</v>
      </c>
      <c r="BC521" t="s">
        <v>1100</v>
      </c>
      <c r="BD521" s="7" t="s">
        <v>103</v>
      </c>
      <c r="BE521" t="s">
        <v>1065</v>
      </c>
      <c r="BF521" s="1" t="s">
        <v>29</v>
      </c>
      <c r="BG521" s="1">
        <v>2</v>
      </c>
      <c r="BH521">
        <v>1</v>
      </c>
      <c r="BK521" s="1">
        <v>1</v>
      </c>
      <c r="BQ521">
        <v>1</v>
      </c>
      <c r="CS521" s="7" t="s">
        <v>203</v>
      </c>
    </row>
    <row r="522" spans="2:97">
      <c r="B522" t="s">
        <v>1233</v>
      </c>
      <c r="C522" s="12" t="s">
        <v>1176</v>
      </c>
      <c r="D522" s="15"/>
      <c r="E522" s="8" t="s">
        <v>1175</v>
      </c>
      <c r="F522" s="8" t="s">
        <v>234</v>
      </c>
      <c r="G522" s="1">
        <v>1</v>
      </c>
      <c r="I522" s="1">
        <f>1805-23</f>
        <v>1782</v>
      </c>
      <c r="J522" t="s">
        <v>10</v>
      </c>
      <c r="K522" t="s">
        <v>12</v>
      </c>
      <c r="Q522">
        <v>5</v>
      </c>
      <c r="R522">
        <v>4</v>
      </c>
      <c r="T522" s="5">
        <f t="shared" si="17"/>
        <v>168.52</v>
      </c>
      <c r="U522" t="s">
        <v>1085</v>
      </c>
      <c r="AM522" s="6">
        <v>1</v>
      </c>
      <c r="AN522" s="6">
        <v>1</v>
      </c>
      <c r="AO522" s="7">
        <v>1</v>
      </c>
      <c r="BC522" t="s">
        <v>1177</v>
      </c>
      <c r="BD522" s="7" t="s">
        <v>103</v>
      </c>
      <c r="BE522" t="s">
        <v>1065</v>
      </c>
      <c r="BF522" s="1" t="s">
        <v>29</v>
      </c>
      <c r="BG522" s="1">
        <v>4</v>
      </c>
      <c r="BH522">
        <v>1</v>
      </c>
      <c r="BK522" s="1">
        <v>1</v>
      </c>
      <c r="BQ522">
        <v>1</v>
      </c>
      <c r="CS522" s="7" t="s">
        <v>203</v>
      </c>
    </row>
    <row r="523" spans="2:97">
      <c r="B523" t="s">
        <v>1234</v>
      </c>
      <c r="C523" s="2" t="s">
        <v>1235</v>
      </c>
      <c r="D523" s="15"/>
      <c r="E523" s="8" t="s">
        <v>1074</v>
      </c>
      <c r="F523" s="8" t="s">
        <v>247</v>
      </c>
      <c r="G523" s="1">
        <v>1</v>
      </c>
      <c r="I523" s="1">
        <f>1805-22</f>
        <v>1783</v>
      </c>
      <c r="J523" t="s">
        <v>10</v>
      </c>
      <c r="K523" t="s">
        <v>12</v>
      </c>
      <c r="Q523">
        <v>5</v>
      </c>
      <c r="R523">
        <v>4</v>
      </c>
      <c r="S523">
        <v>2</v>
      </c>
      <c r="T523" s="5">
        <f t="shared" si="17"/>
        <v>168.96</v>
      </c>
      <c r="U523" t="s">
        <v>1085</v>
      </c>
      <c r="AM523" s="6">
        <v>1</v>
      </c>
      <c r="AN523" s="6">
        <v>1</v>
      </c>
      <c r="AO523" s="7">
        <v>1</v>
      </c>
      <c r="BC523" t="s">
        <v>1236</v>
      </c>
      <c r="BD523" s="7" t="s">
        <v>103</v>
      </c>
      <c r="BE523" t="s">
        <v>1065</v>
      </c>
      <c r="BF523" s="1" t="s">
        <v>29</v>
      </c>
      <c r="BG523" s="1">
        <v>3</v>
      </c>
      <c r="BH523">
        <v>1</v>
      </c>
      <c r="BK523" s="1">
        <v>1</v>
      </c>
      <c r="BQ523">
        <v>1</v>
      </c>
      <c r="CS523" s="7" t="s">
        <v>203</v>
      </c>
    </row>
    <row r="524" spans="2:97">
      <c r="B524" t="s">
        <v>1082</v>
      </c>
      <c r="C524" s="2" t="s">
        <v>1083</v>
      </c>
      <c r="D524" s="15"/>
      <c r="E524" s="8" t="s">
        <v>1084</v>
      </c>
      <c r="F524" s="8" t="s">
        <v>65</v>
      </c>
      <c r="G524" s="1">
        <v>1</v>
      </c>
      <c r="I524" s="1">
        <f>1805-24</f>
        <v>1781</v>
      </c>
      <c r="J524" t="s">
        <v>69</v>
      </c>
      <c r="K524" t="s">
        <v>12</v>
      </c>
      <c r="Q524">
        <v>5</v>
      </c>
      <c r="R524">
        <v>2</v>
      </c>
      <c r="S524">
        <v>1</v>
      </c>
      <c r="T524" s="5">
        <f t="shared" si="17"/>
        <v>163.47999999999999</v>
      </c>
      <c r="U524" t="s">
        <v>1085</v>
      </c>
      <c r="AM524" s="6">
        <v>1</v>
      </c>
      <c r="AN524" s="7">
        <v>1</v>
      </c>
      <c r="BC524" t="s">
        <v>198</v>
      </c>
      <c r="BD524" s="7" t="s">
        <v>109</v>
      </c>
      <c r="BE524" t="s">
        <v>1065</v>
      </c>
      <c r="BF524" s="1" t="s">
        <v>29</v>
      </c>
      <c r="BG524" s="1">
        <v>3</v>
      </c>
      <c r="BH524">
        <v>1</v>
      </c>
      <c r="BK524" s="1">
        <v>1</v>
      </c>
      <c r="BQ524">
        <v>1</v>
      </c>
      <c r="CS524" s="7" t="s">
        <v>1086</v>
      </c>
    </row>
    <row r="525" spans="2:97">
      <c r="B525" t="s">
        <v>1169</v>
      </c>
      <c r="C525" s="2" t="s">
        <v>1170</v>
      </c>
      <c r="D525" s="15"/>
      <c r="E525" s="8" t="s">
        <v>1074</v>
      </c>
      <c r="F525" s="8" t="s">
        <v>247</v>
      </c>
      <c r="G525" s="1">
        <v>1</v>
      </c>
      <c r="I525" s="1">
        <f>1805-22</f>
        <v>1783</v>
      </c>
      <c r="J525" t="s">
        <v>10</v>
      </c>
      <c r="K525" t="s">
        <v>12</v>
      </c>
      <c r="Q525">
        <v>5</v>
      </c>
      <c r="R525">
        <v>6</v>
      </c>
      <c r="S525">
        <v>2</v>
      </c>
      <c r="T525" s="5">
        <f t="shared" si="17"/>
        <v>174.22</v>
      </c>
      <c r="U525" t="s">
        <v>1168</v>
      </c>
      <c r="AM525" s="6">
        <v>1</v>
      </c>
      <c r="AN525" s="6">
        <v>1</v>
      </c>
      <c r="AO525" s="7">
        <v>1</v>
      </c>
      <c r="BC525" t="s">
        <v>1171</v>
      </c>
      <c r="BD525" s="7" t="s">
        <v>103</v>
      </c>
      <c r="BE525" t="s">
        <v>1065</v>
      </c>
      <c r="BF525" s="1" t="s">
        <v>29</v>
      </c>
      <c r="BG525" s="1">
        <v>3</v>
      </c>
      <c r="BH525">
        <v>1</v>
      </c>
      <c r="BK525" s="1">
        <v>1</v>
      </c>
      <c r="BQ525">
        <v>1</v>
      </c>
      <c r="CS525" s="7" t="s">
        <v>203</v>
      </c>
    </row>
    <row r="526" spans="2:97">
      <c r="B526" t="s">
        <v>690</v>
      </c>
      <c r="C526" s="18" t="s">
        <v>691</v>
      </c>
      <c r="D526" s="18" t="s">
        <v>691</v>
      </c>
      <c r="E526" s="8" t="s">
        <v>271</v>
      </c>
      <c r="F526" s="8" t="s">
        <v>115</v>
      </c>
      <c r="G526" s="1">
        <v>1</v>
      </c>
      <c r="I526" s="1">
        <f>1809-28</f>
        <v>1781</v>
      </c>
      <c r="J526" t="s">
        <v>69</v>
      </c>
      <c r="K526" t="s">
        <v>12</v>
      </c>
      <c r="Q526">
        <v>5</v>
      </c>
      <c r="R526">
        <v>3</v>
      </c>
      <c r="T526" s="5">
        <f t="shared" si="17"/>
        <v>165.89000000000001</v>
      </c>
      <c r="U526" t="s">
        <v>692</v>
      </c>
      <c r="AM526" s="6">
        <v>1</v>
      </c>
      <c r="AN526" s="6">
        <v>1</v>
      </c>
      <c r="AO526" s="6">
        <v>1</v>
      </c>
      <c r="AP526" s="6">
        <v>1</v>
      </c>
      <c r="AQ526" s="7">
        <v>1</v>
      </c>
      <c r="BC526" t="s">
        <v>693</v>
      </c>
      <c r="BD526" s="7" t="s">
        <v>280</v>
      </c>
      <c r="BE526" t="s">
        <v>672</v>
      </c>
      <c r="BF526" s="1" t="s">
        <v>29</v>
      </c>
      <c r="BG526" s="1">
        <v>1</v>
      </c>
      <c r="BH526">
        <v>2</v>
      </c>
      <c r="BK526" s="1">
        <v>1</v>
      </c>
      <c r="BQ526">
        <v>1</v>
      </c>
      <c r="BR526">
        <v>1</v>
      </c>
      <c r="CL526">
        <v>1</v>
      </c>
      <c r="CN526">
        <v>1</v>
      </c>
      <c r="CP526">
        <v>1</v>
      </c>
      <c r="CS526" s="7" t="s">
        <v>328</v>
      </c>
    </row>
    <row r="527" spans="2:97">
      <c r="B527" t="s">
        <v>1222</v>
      </c>
      <c r="C527" s="2" t="s">
        <v>1223</v>
      </c>
      <c r="D527" s="2" t="s">
        <v>1223</v>
      </c>
      <c r="E527" s="8" t="s">
        <v>130</v>
      </c>
      <c r="F527" s="8" t="s">
        <v>65</v>
      </c>
      <c r="G527" s="1">
        <v>1</v>
      </c>
      <c r="I527" s="1">
        <f>1805-22</f>
        <v>1783</v>
      </c>
      <c r="J527" t="s">
        <v>69</v>
      </c>
      <c r="K527" t="s">
        <v>197</v>
      </c>
      <c r="N527">
        <v>1</v>
      </c>
      <c r="Q527">
        <v>5</v>
      </c>
      <c r="R527">
        <v>3</v>
      </c>
      <c r="S527">
        <v>1</v>
      </c>
      <c r="T527" s="5">
        <f t="shared" si="17"/>
        <v>166.11</v>
      </c>
      <c r="U527" t="s">
        <v>692</v>
      </c>
      <c r="AM527" s="6">
        <v>1</v>
      </c>
      <c r="AN527" s="6">
        <v>1</v>
      </c>
      <c r="AO527" s="6">
        <v>1</v>
      </c>
      <c r="AP527" s="6">
        <v>1</v>
      </c>
      <c r="AQ527" s="6">
        <v>1</v>
      </c>
      <c r="AR527" s="6">
        <v>1</v>
      </c>
      <c r="AS527" s="6">
        <v>1</v>
      </c>
      <c r="AT527" s="6">
        <v>1</v>
      </c>
      <c r="AU527" s="6">
        <v>1</v>
      </c>
      <c r="AV527" s="6">
        <v>1</v>
      </c>
      <c r="AW527" s="6">
        <v>1</v>
      </c>
      <c r="AX527" s="6">
        <v>1</v>
      </c>
      <c r="AY527" s="6">
        <v>1</v>
      </c>
      <c r="AZ527" s="7">
        <v>1</v>
      </c>
      <c r="BC527" t="s">
        <v>1224</v>
      </c>
      <c r="BD527" s="7" t="s">
        <v>103</v>
      </c>
      <c r="BE527" t="s">
        <v>151</v>
      </c>
      <c r="BF527" s="1" t="s">
        <v>29</v>
      </c>
      <c r="BG527" s="1">
        <v>16</v>
      </c>
      <c r="BH527">
        <v>3</v>
      </c>
      <c r="BK527" s="1">
        <v>1</v>
      </c>
      <c r="BQ527">
        <v>1</v>
      </c>
      <c r="CC527">
        <v>1</v>
      </c>
      <c r="CL527">
        <v>1</v>
      </c>
      <c r="CS527" s="7" t="s">
        <v>1226</v>
      </c>
    </row>
    <row r="528" spans="2:97">
      <c r="B528" t="s">
        <v>1206</v>
      </c>
      <c r="C528" s="2" t="s">
        <v>1207</v>
      </c>
      <c r="D528" s="18"/>
      <c r="E528" s="8"/>
      <c r="F528" s="8" t="s">
        <v>234</v>
      </c>
      <c r="G528" s="1">
        <v>1</v>
      </c>
      <c r="I528" s="1">
        <f>1805-22</f>
        <v>1783</v>
      </c>
      <c r="J528" t="s">
        <v>69</v>
      </c>
      <c r="K528" t="s">
        <v>12</v>
      </c>
      <c r="Q528">
        <v>5</v>
      </c>
      <c r="R528">
        <v>3</v>
      </c>
      <c r="T528" s="5">
        <f t="shared" si="17"/>
        <v>165.89000000000001</v>
      </c>
      <c r="U528" t="s">
        <v>1090</v>
      </c>
      <c r="AM528" s="6">
        <v>1</v>
      </c>
      <c r="AN528" s="6">
        <v>1</v>
      </c>
      <c r="AO528" s="7">
        <v>1</v>
      </c>
      <c r="BC528" t="s">
        <v>1187</v>
      </c>
      <c r="BD528" s="7" t="s">
        <v>103</v>
      </c>
      <c r="BE528" t="s">
        <v>1065</v>
      </c>
      <c r="BF528" s="1" t="s">
        <v>29</v>
      </c>
      <c r="BG528" s="1">
        <v>3</v>
      </c>
      <c r="BH528">
        <v>1</v>
      </c>
      <c r="BK528" s="1">
        <v>1</v>
      </c>
      <c r="BQ528">
        <v>1</v>
      </c>
      <c r="CS528" s="7" t="s">
        <v>203</v>
      </c>
    </row>
    <row r="529" spans="2:99">
      <c r="B529" t="s">
        <v>1195</v>
      </c>
      <c r="C529" s="2" t="s">
        <v>1196</v>
      </c>
      <c r="D529" s="18"/>
      <c r="E529" s="8" t="s">
        <v>1094</v>
      </c>
      <c r="F529" s="8" t="s">
        <v>247</v>
      </c>
      <c r="G529" s="1">
        <v>1</v>
      </c>
      <c r="I529" s="1">
        <f>1805-20</f>
        <v>1785</v>
      </c>
      <c r="J529" t="s">
        <v>10</v>
      </c>
      <c r="K529" t="s">
        <v>12</v>
      </c>
      <c r="Q529">
        <v>5</v>
      </c>
      <c r="R529">
        <v>3</v>
      </c>
      <c r="T529" s="5">
        <f t="shared" si="17"/>
        <v>165.89000000000001</v>
      </c>
      <c r="U529" t="s">
        <v>1090</v>
      </c>
      <c r="AM529" s="6">
        <v>1</v>
      </c>
      <c r="AN529" s="6">
        <v>1</v>
      </c>
      <c r="AO529" s="7">
        <v>1</v>
      </c>
      <c r="BC529" t="s">
        <v>1197</v>
      </c>
      <c r="BD529" s="7" t="s">
        <v>103</v>
      </c>
      <c r="BE529" t="s">
        <v>1065</v>
      </c>
      <c r="BF529" s="1" t="s">
        <v>29</v>
      </c>
      <c r="BG529" s="1">
        <v>3</v>
      </c>
      <c r="BH529">
        <v>1</v>
      </c>
      <c r="BK529" s="1">
        <v>1</v>
      </c>
      <c r="BQ529">
        <v>1</v>
      </c>
      <c r="CS529" s="7" t="s">
        <v>475</v>
      </c>
    </row>
    <row r="530" spans="2:99">
      <c r="B530" t="s">
        <v>1089</v>
      </c>
      <c r="C530" s="2" t="s">
        <v>1087</v>
      </c>
      <c r="D530" s="18"/>
      <c r="E530" s="8" t="s">
        <v>1088</v>
      </c>
      <c r="F530" s="8" t="s">
        <v>247</v>
      </c>
      <c r="G530" s="1">
        <v>1</v>
      </c>
      <c r="I530" s="1">
        <f>1805-19</f>
        <v>1786</v>
      </c>
      <c r="J530" t="s">
        <v>10</v>
      </c>
      <c r="K530" t="s">
        <v>12</v>
      </c>
      <c r="Q530">
        <v>5</v>
      </c>
      <c r="R530">
        <v>5</v>
      </c>
      <c r="T530" s="5">
        <f t="shared" si="17"/>
        <v>171.15</v>
      </c>
      <c r="U530" t="s">
        <v>1090</v>
      </c>
      <c r="AM530" s="6">
        <v>1</v>
      </c>
      <c r="AN530" s="7">
        <v>1</v>
      </c>
      <c r="BC530" t="s">
        <v>1091</v>
      </c>
      <c r="BD530" s="7" t="s">
        <v>103</v>
      </c>
      <c r="BE530" t="s">
        <v>1065</v>
      </c>
      <c r="BF530" s="1" t="s">
        <v>29</v>
      </c>
      <c r="BG530" s="1">
        <v>3</v>
      </c>
      <c r="BH530">
        <v>1</v>
      </c>
      <c r="BK530" s="1">
        <v>1</v>
      </c>
      <c r="BQ530">
        <v>1</v>
      </c>
      <c r="CS530" s="7" t="s">
        <v>475</v>
      </c>
    </row>
    <row r="531" spans="2:99">
      <c r="B531" t="s">
        <v>1186</v>
      </c>
      <c r="C531" s="2" t="s">
        <v>818</v>
      </c>
      <c r="D531" s="18"/>
      <c r="E531" s="8"/>
      <c r="F531" s="8" t="s">
        <v>65</v>
      </c>
      <c r="G531" s="1">
        <v>1</v>
      </c>
      <c r="I531" s="1">
        <f>1805-22</f>
        <v>1783</v>
      </c>
      <c r="J531" t="s">
        <v>69</v>
      </c>
      <c r="K531" t="s">
        <v>12</v>
      </c>
      <c r="Q531">
        <v>5</v>
      </c>
      <c r="R531">
        <v>4</v>
      </c>
      <c r="S531">
        <v>3</v>
      </c>
      <c r="T531" s="5">
        <f t="shared" si="17"/>
        <v>169.18</v>
      </c>
      <c r="U531" t="s">
        <v>1090</v>
      </c>
      <c r="AM531" s="6">
        <v>1</v>
      </c>
      <c r="AN531" s="6">
        <v>1</v>
      </c>
      <c r="AO531" s="7">
        <v>1</v>
      </c>
      <c r="BC531" t="s">
        <v>1187</v>
      </c>
      <c r="BD531" s="7" t="s">
        <v>103</v>
      </c>
      <c r="BE531" t="s">
        <v>1065</v>
      </c>
      <c r="BF531" s="1" t="s">
        <v>29</v>
      </c>
      <c r="BG531" s="1">
        <v>3</v>
      </c>
      <c r="BH531">
        <v>1</v>
      </c>
      <c r="BK531" s="1">
        <v>1</v>
      </c>
      <c r="BQ531">
        <v>1</v>
      </c>
      <c r="CS531" s="7" t="s">
        <v>203</v>
      </c>
    </row>
    <row r="532" spans="2:99">
      <c r="B532" t="s">
        <v>1092</v>
      </c>
      <c r="C532" s="2" t="s">
        <v>1093</v>
      </c>
      <c r="D532" s="18"/>
      <c r="E532" s="8" t="s">
        <v>1094</v>
      </c>
      <c r="F532" s="8" t="s">
        <v>247</v>
      </c>
      <c r="G532" s="1">
        <v>1</v>
      </c>
      <c r="I532" s="1">
        <f>1805-18</f>
        <v>1787</v>
      </c>
      <c r="J532" t="s">
        <v>10</v>
      </c>
      <c r="K532" t="s">
        <v>12</v>
      </c>
      <c r="Q532">
        <v>5</v>
      </c>
      <c r="R532">
        <v>3</v>
      </c>
      <c r="S532">
        <v>2</v>
      </c>
      <c r="T532" s="5">
        <f t="shared" si="17"/>
        <v>166.33</v>
      </c>
      <c r="U532" t="s">
        <v>1090</v>
      </c>
      <c r="AM532" s="7">
        <v>1</v>
      </c>
      <c r="BC532" t="s">
        <v>1095</v>
      </c>
      <c r="BD532" s="7" t="s">
        <v>103</v>
      </c>
      <c r="BE532" t="s">
        <v>1065</v>
      </c>
      <c r="BF532" s="1" t="s">
        <v>29</v>
      </c>
      <c r="BG532" s="1">
        <v>2</v>
      </c>
      <c r="BH532">
        <v>1</v>
      </c>
      <c r="BK532" s="1">
        <v>1</v>
      </c>
      <c r="BQ532">
        <v>1</v>
      </c>
      <c r="CS532" s="7" t="s">
        <v>1096</v>
      </c>
    </row>
    <row r="533" spans="2:99">
      <c r="B533" t="s">
        <v>1522</v>
      </c>
      <c r="C533" s="15" t="s">
        <v>1523</v>
      </c>
      <c r="D533" s="18"/>
      <c r="E533" s="8" t="s">
        <v>920</v>
      </c>
      <c r="F533" s="8" t="s">
        <v>115</v>
      </c>
      <c r="G533" s="1">
        <v>1</v>
      </c>
      <c r="I533" s="1">
        <f>1806-25</f>
        <v>1781</v>
      </c>
      <c r="J533" t="s">
        <v>69</v>
      </c>
      <c r="K533" t="s">
        <v>12</v>
      </c>
      <c r="Q533">
        <v>5</v>
      </c>
      <c r="R533">
        <v>2</v>
      </c>
      <c r="T533" s="5">
        <f t="shared" si="17"/>
        <v>163.26</v>
      </c>
      <c r="U533" t="s">
        <v>1181</v>
      </c>
      <c r="AM533" s="6">
        <v>1</v>
      </c>
      <c r="AN533" s="7">
        <v>1</v>
      </c>
      <c r="BC533" t="s">
        <v>198</v>
      </c>
      <c r="BD533" s="7" t="s">
        <v>109</v>
      </c>
      <c r="BE533" t="s">
        <v>1502</v>
      </c>
      <c r="BF533" s="1" t="s">
        <v>29</v>
      </c>
      <c r="BG533" s="1">
        <v>2</v>
      </c>
      <c r="BH533">
        <v>1</v>
      </c>
      <c r="BK533" s="1">
        <v>1</v>
      </c>
      <c r="BQ533">
        <v>1</v>
      </c>
      <c r="CS533" s="7" t="s">
        <v>893</v>
      </c>
    </row>
    <row r="534" spans="2:99">
      <c r="B534" t="s">
        <v>1229</v>
      </c>
      <c r="C534" s="2" t="s">
        <v>1230</v>
      </c>
      <c r="D534" s="18"/>
      <c r="E534" s="8" t="s">
        <v>1074</v>
      </c>
      <c r="F534" s="8" t="s">
        <v>247</v>
      </c>
      <c r="G534" s="1">
        <v>1</v>
      </c>
      <c r="I534" s="1">
        <f>1805-24</f>
        <v>1781</v>
      </c>
      <c r="J534" t="s">
        <v>10</v>
      </c>
      <c r="K534" t="s">
        <v>12</v>
      </c>
      <c r="Q534">
        <v>5</v>
      </c>
      <c r="R534">
        <v>4</v>
      </c>
      <c r="S534">
        <v>2</v>
      </c>
      <c r="T534" s="5">
        <f>((Q534*316)+(R534*26.3)+(S534*2.2))/10</f>
        <v>168.96</v>
      </c>
      <c r="U534" t="s">
        <v>1181</v>
      </c>
      <c r="AM534" s="6">
        <v>1</v>
      </c>
      <c r="AN534" s="6">
        <v>1</v>
      </c>
      <c r="AO534" s="7">
        <v>1</v>
      </c>
      <c r="BC534" t="s">
        <v>1187</v>
      </c>
      <c r="BD534" s="7" t="s">
        <v>103</v>
      </c>
      <c r="BE534" t="s">
        <v>1065</v>
      </c>
      <c r="BF534" s="1" t="s">
        <v>29</v>
      </c>
      <c r="BG534" s="1">
        <v>2</v>
      </c>
      <c r="BH534">
        <v>1</v>
      </c>
      <c r="BK534" s="1">
        <v>1</v>
      </c>
      <c r="BQ534">
        <v>1</v>
      </c>
      <c r="CS534" s="7" t="s">
        <v>203</v>
      </c>
    </row>
    <row r="535" spans="2:99">
      <c r="B535" t="s">
        <v>1178</v>
      </c>
      <c r="C535" s="2" t="s">
        <v>1179</v>
      </c>
      <c r="D535" s="18"/>
      <c r="E535" s="8" t="s">
        <v>1180</v>
      </c>
      <c r="F535" s="8" t="s">
        <v>247</v>
      </c>
      <c r="G535" s="1">
        <v>1</v>
      </c>
      <c r="I535" s="1">
        <f>1805-24</f>
        <v>1781</v>
      </c>
      <c r="J535" t="s">
        <v>10</v>
      </c>
      <c r="K535" t="s">
        <v>12</v>
      </c>
      <c r="Q535">
        <v>5</v>
      </c>
      <c r="R535">
        <v>5</v>
      </c>
      <c r="S535">
        <v>2</v>
      </c>
      <c r="T535" s="5">
        <f>((Q535*316)+(R535*26.3)+(S535*2.2))/10</f>
        <v>171.59</v>
      </c>
      <c r="U535" t="s">
        <v>1181</v>
      </c>
      <c r="AM535" s="6">
        <v>1</v>
      </c>
      <c r="AN535" s="6">
        <v>1</v>
      </c>
      <c r="AO535" s="7">
        <v>1</v>
      </c>
      <c r="BC535" t="s">
        <v>131</v>
      </c>
      <c r="BD535" s="7" t="s">
        <v>103</v>
      </c>
      <c r="BE535" t="s">
        <v>1065</v>
      </c>
      <c r="BF535" s="1" t="s">
        <v>29</v>
      </c>
      <c r="BG535" s="1">
        <v>3</v>
      </c>
      <c r="BH535">
        <v>1</v>
      </c>
      <c r="BK535" s="1">
        <v>1</v>
      </c>
      <c r="BQ535">
        <v>1</v>
      </c>
      <c r="CS535" s="7" t="s">
        <v>475</v>
      </c>
    </row>
    <row r="536" spans="2:99">
      <c r="B536" t="s">
        <v>2149</v>
      </c>
      <c r="C536" s="2" t="s">
        <v>919</v>
      </c>
      <c r="D536" s="2" t="s">
        <v>2054</v>
      </c>
      <c r="E536" s="8" t="s">
        <v>920</v>
      </c>
      <c r="F536" s="8" t="s">
        <v>115</v>
      </c>
      <c r="G536" s="1">
        <v>1</v>
      </c>
      <c r="I536" s="1">
        <f>1805-28</f>
        <v>1777</v>
      </c>
      <c r="J536" t="s">
        <v>69</v>
      </c>
      <c r="K536" t="s">
        <v>12</v>
      </c>
      <c r="Q536">
        <v>5</v>
      </c>
      <c r="R536">
        <v>1</v>
      </c>
      <c r="T536" s="5">
        <f>((Q536*316)+(R536*26.3)+(S536*2.2))/10</f>
        <v>160.63</v>
      </c>
      <c r="U536" t="s">
        <v>2148</v>
      </c>
      <c r="AM536" s="6">
        <v>1</v>
      </c>
      <c r="AN536" s="7">
        <v>1</v>
      </c>
      <c r="BC536" t="s">
        <v>2150</v>
      </c>
      <c r="BD536" s="7" t="s">
        <v>26</v>
      </c>
      <c r="BE536" t="s">
        <v>1502</v>
      </c>
      <c r="BF536" s="1" t="s">
        <v>29</v>
      </c>
      <c r="BG536" s="1">
        <v>2</v>
      </c>
      <c r="BH536">
        <v>1</v>
      </c>
      <c r="BK536" s="1">
        <v>1</v>
      </c>
      <c r="BQ536">
        <v>1</v>
      </c>
      <c r="CS536" s="7" t="s">
        <v>2095</v>
      </c>
    </row>
    <row r="537" spans="2:99">
      <c r="B537" t="s">
        <v>258</v>
      </c>
      <c r="C537" s="15"/>
      <c r="D537" s="13"/>
      <c r="E537" s="8"/>
      <c r="F537" t="s">
        <v>7</v>
      </c>
      <c r="G537" s="1">
        <v>1</v>
      </c>
      <c r="T537" s="5"/>
      <c r="U537" s="9" t="s">
        <v>257</v>
      </c>
      <c r="AM537" s="16">
        <v>1</v>
      </c>
      <c r="AN537" s="6">
        <v>1</v>
      </c>
      <c r="AO537" s="6">
        <v>1</v>
      </c>
      <c r="AP537" s="6">
        <v>1</v>
      </c>
      <c r="AQ537" s="6">
        <v>1</v>
      </c>
      <c r="AR537" s="6">
        <v>1</v>
      </c>
      <c r="AS537" s="6">
        <v>1</v>
      </c>
      <c r="AT537" s="6">
        <v>1</v>
      </c>
      <c r="AU537" s="7">
        <v>1</v>
      </c>
      <c r="BC537" s="16" t="s">
        <v>259</v>
      </c>
      <c r="BD537" s="7" t="s">
        <v>260</v>
      </c>
      <c r="BE537" t="s">
        <v>261</v>
      </c>
      <c r="BF537" s="1" t="s">
        <v>73</v>
      </c>
      <c r="BG537" s="1">
        <v>3</v>
      </c>
      <c r="BH537">
        <v>2</v>
      </c>
      <c r="BW537">
        <v>1</v>
      </c>
      <c r="CE537">
        <v>1</v>
      </c>
      <c r="CL537">
        <v>1</v>
      </c>
      <c r="CM537">
        <v>1</v>
      </c>
      <c r="CS537" s="16" t="s">
        <v>262</v>
      </c>
      <c r="CT537" s="9" t="s">
        <v>263</v>
      </c>
      <c r="CU537" s="14" t="s">
        <v>264</v>
      </c>
    </row>
    <row r="538" spans="2:99">
      <c r="B538" t="s">
        <v>1890</v>
      </c>
      <c r="C538" s="15" t="s">
        <v>1891</v>
      </c>
      <c r="D538" s="13"/>
      <c r="E538" s="8"/>
      <c r="F538" s="8" t="s">
        <v>1548</v>
      </c>
      <c r="H538" s="1">
        <v>1</v>
      </c>
      <c r="I538" s="1">
        <f>1805-28</f>
        <v>1777</v>
      </c>
      <c r="J538" t="s">
        <v>10</v>
      </c>
      <c r="K538" t="s">
        <v>12</v>
      </c>
      <c r="Q538">
        <v>5</v>
      </c>
      <c r="R538">
        <v>1</v>
      </c>
      <c r="S538">
        <v>2</v>
      </c>
      <c r="T538" s="5">
        <f t="shared" ref="T538:T551" si="18">((Q538*316)+(R538*26.3)+(S538*2.2))/10</f>
        <v>161.07</v>
      </c>
      <c r="U538" t="s">
        <v>1892</v>
      </c>
      <c r="AM538" s="6">
        <v>1</v>
      </c>
      <c r="AN538" s="7">
        <v>1</v>
      </c>
      <c r="BC538" t="s">
        <v>1893</v>
      </c>
      <c r="BD538" s="7" t="s">
        <v>280</v>
      </c>
      <c r="BE538" t="s">
        <v>1564</v>
      </c>
      <c r="BF538" s="1" t="s">
        <v>29</v>
      </c>
      <c r="BG538" s="1">
        <v>2</v>
      </c>
      <c r="BH538">
        <v>1</v>
      </c>
      <c r="BK538" s="1">
        <v>1</v>
      </c>
      <c r="BQ538">
        <v>1</v>
      </c>
      <c r="CM538">
        <v>1</v>
      </c>
      <c r="CN538">
        <v>1</v>
      </c>
      <c r="CS538" s="7" t="s">
        <v>1894</v>
      </c>
    </row>
    <row r="539" spans="2:99">
      <c r="B539" t="s">
        <v>867</v>
      </c>
      <c r="C539" s="13" t="s">
        <v>868</v>
      </c>
      <c r="D539" s="13"/>
      <c r="E539" s="8" t="s">
        <v>869</v>
      </c>
      <c r="F539" s="8" t="s">
        <v>65</v>
      </c>
      <c r="G539" s="1">
        <v>1</v>
      </c>
      <c r="I539" s="1">
        <f>1806-19</f>
        <v>1787</v>
      </c>
      <c r="J539" t="s">
        <v>10</v>
      </c>
      <c r="K539" t="s">
        <v>12</v>
      </c>
      <c r="Q539">
        <v>5</v>
      </c>
      <c r="R539">
        <v>3</v>
      </c>
      <c r="S539">
        <v>2</v>
      </c>
      <c r="T539" s="5">
        <f t="shared" si="18"/>
        <v>166.33</v>
      </c>
      <c r="U539" t="s">
        <v>671</v>
      </c>
      <c r="AM539" s="6">
        <v>1</v>
      </c>
      <c r="AN539" s="6">
        <v>1</v>
      </c>
      <c r="AO539" s="6">
        <v>1</v>
      </c>
      <c r="BC539">
        <v>1807</v>
      </c>
      <c r="BD539" t="s">
        <v>81</v>
      </c>
      <c r="BE539" s="10" t="s">
        <v>865</v>
      </c>
      <c r="BF539" s="1" t="s">
        <v>73</v>
      </c>
      <c r="BG539" s="1">
        <v>2</v>
      </c>
      <c r="BH539">
        <v>1</v>
      </c>
      <c r="BJ539">
        <v>1</v>
      </c>
      <c r="BK539" s="1">
        <v>1</v>
      </c>
      <c r="BQ539">
        <v>1</v>
      </c>
      <c r="BV539" s="10">
        <v>1</v>
      </c>
      <c r="CI539">
        <v>1</v>
      </c>
      <c r="CL539" s="10">
        <v>1</v>
      </c>
      <c r="CS539" s="10" t="s">
        <v>870</v>
      </c>
    </row>
    <row r="540" spans="2:99">
      <c r="B540" t="s">
        <v>1995</v>
      </c>
      <c r="C540" s="2" t="s">
        <v>1996</v>
      </c>
      <c r="D540" s="26" t="s">
        <v>1997</v>
      </c>
      <c r="E540" s="8" t="s">
        <v>920</v>
      </c>
      <c r="F540" s="8" t="s">
        <v>115</v>
      </c>
      <c r="G540" s="1">
        <v>1</v>
      </c>
      <c r="I540" s="1">
        <f>1806-22</f>
        <v>1784</v>
      </c>
      <c r="J540" t="s">
        <v>1998</v>
      </c>
      <c r="K540" t="s">
        <v>12</v>
      </c>
      <c r="Q540">
        <v>5</v>
      </c>
      <c r="R540">
        <v>4</v>
      </c>
      <c r="T540" s="5">
        <f t="shared" si="18"/>
        <v>168.52</v>
      </c>
      <c r="U540" t="s">
        <v>671</v>
      </c>
      <c r="AM540" s="6">
        <v>1</v>
      </c>
      <c r="AN540" s="6">
        <v>1</v>
      </c>
      <c r="AO540" s="6">
        <v>1</v>
      </c>
      <c r="AP540" s="6">
        <v>1</v>
      </c>
      <c r="AQ540" s="6">
        <v>1</v>
      </c>
      <c r="AR540" s="6">
        <v>1</v>
      </c>
      <c r="AS540" s="6">
        <v>1</v>
      </c>
      <c r="AT540" s="6">
        <v>1</v>
      </c>
      <c r="AU540" s="6">
        <v>1</v>
      </c>
      <c r="AV540" s="6">
        <v>1</v>
      </c>
      <c r="AW540" s="6">
        <v>1</v>
      </c>
      <c r="AX540" s="6">
        <v>1</v>
      </c>
      <c r="AY540" s="7">
        <v>1</v>
      </c>
      <c r="BC540" t="s">
        <v>1999</v>
      </c>
      <c r="BD540" s="7" t="s">
        <v>103</v>
      </c>
      <c r="BE540" t="s">
        <v>2000</v>
      </c>
      <c r="BF540" s="1" t="s">
        <v>29</v>
      </c>
      <c r="BG540" s="1">
        <v>5</v>
      </c>
      <c r="BH540">
        <v>2</v>
      </c>
      <c r="BK540" s="1">
        <v>1</v>
      </c>
      <c r="BQ540">
        <v>1</v>
      </c>
      <c r="BY540">
        <v>1</v>
      </c>
      <c r="CL540">
        <v>1</v>
      </c>
      <c r="CS540" s="7" t="s">
        <v>1518</v>
      </c>
    </row>
    <row r="541" spans="2:99">
      <c r="B541" t="s">
        <v>2100</v>
      </c>
      <c r="C541" s="2" t="s">
        <v>2101</v>
      </c>
      <c r="D541" s="26" t="s">
        <v>192</v>
      </c>
      <c r="E541" s="8" t="s">
        <v>1735</v>
      </c>
      <c r="F541" s="8" t="s">
        <v>115</v>
      </c>
      <c r="G541" s="1">
        <v>1</v>
      </c>
      <c r="I541" s="1">
        <f>1805-18</f>
        <v>1787</v>
      </c>
      <c r="J541" t="s">
        <v>10</v>
      </c>
      <c r="K541" t="s">
        <v>12</v>
      </c>
      <c r="Q541">
        <v>4</v>
      </c>
      <c r="R541">
        <v>11</v>
      </c>
      <c r="T541" s="5">
        <f t="shared" si="18"/>
        <v>155.32999999999998</v>
      </c>
      <c r="U541" t="s">
        <v>671</v>
      </c>
      <c r="AM541" s="6">
        <v>1</v>
      </c>
      <c r="AN541" s="7">
        <v>1</v>
      </c>
      <c r="BC541" t="s">
        <v>2102</v>
      </c>
      <c r="BD541" s="7" t="s">
        <v>103</v>
      </c>
      <c r="BE541" t="s">
        <v>1564</v>
      </c>
      <c r="BF541" s="1" t="s">
        <v>29</v>
      </c>
      <c r="BG541" s="1">
        <v>2</v>
      </c>
      <c r="BH541">
        <v>1</v>
      </c>
      <c r="BJ541">
        <v>1</v>
      </c>
      <c r="BK541" s="1">
        <v>1</v>
      </c>
      <c r="BQ541">
        <v>1</v>
      </c>
      <c r="CS541" s="7" t="s">
        <v>2103</v>
      </c>
    </row>
    <row r="542" spans="2:99">
      <c r="B542" t="s">
        <v>2104</v>
      </c>
      <c r="C542" s="2" t="s">
        <v>2101</v>
      </c>
      <c r="D542" s="26" t="s">
        <v>192</v>
      </c>
      <c r="E542" s="8" t="s">
        <v>1735</v>
      </c>
      <c r="F542" s="8" t="s">
        <v>115</v>
      </c>
      <c r="G542" s="1">
        <v>1</v>
      </c>
      <c r="I542" s="1">
        <f>1805-18</f>
        <v>1787</v>
      </c>
      <c r="J542" t="s">
        <v>10</v>
      </c>
      <c r="K542" t="s">
        <v>12</v>
      </c>
      <c r="Q542">
        <v>5</v>
      </c>
      <c r="T542" s="5">
        <f t="shared" si="18"/>
        <v>158</v>
      </c>
      <c r="U542" t="s">
        <v>671</v>
      </c>
      <c r="AM542" s="6">
        <v>1</v>
      </c>
      <c r="AN542" s="7">
        <v>1</v>
      </c>
      <c r="BC542" t="s">
        <v>2102</v>
      </c>
      <c r="BD542" s="7" t="s">
        <v>103</v>
      </c>
      <c r="BE542" t="s">
        <v>1564</v>
      </c>
      <c r="BF542" s="1" t="s">
        <v>29</v>
      </c>
      <c r="BG542" s="1">
        <v>2</v>
      </c>
      <c r="BH542">
        <v>1</v>
      </c>
      <c r="BJ542">
        <v>1</v>
      </c>
      <c r="BK542" s="1">
        <v>1</v>
      </c>
      <c r="BQ542">
        <v>1</v>
      </c>
      <c r="CS542" s="7" t="s">
        <v>2103</v>
      </c>
    </row>
    <row r="543" spans="2:99">
      <c r="B543" t="s">
        <v>669</v>
      </c>
      <c r="C543" s="15" t="s">
        <v>670</v>
      </c>
      <c r="D543" s="15" t="s">
        <v>670</v>
      </c>
      <c r="E543" s="8" t="s">
        <v>271</v>
      </c>
      <c r="F543" s="8" t="s">
        <v>115</v>
      </c>
      <c r="G543" s="1">
        <v>1</v>
      </c>
      <c r="I543" s="1">
        <f>1809-24</f>
        <v>1785</v>
      </c>
      <c r="J543" t="s">
        <v>10</v>
      </c>
      <c r="K543" t="s">
        <v>12</v>
      </c>
      <c r="Q543">
        <v>5</v>
      </c>
      <c r="R543">
        <v>1</v>
      </c>
      <c r="T543" s="5">
        <f t="shared" si="18"/>
        <v>160.63</v>
      </c>
      <c r="U543" t="s">
        <v>671</v>
      </c>
      <c r="AM543" s="6">
        <v>1</v>
      </c>
      <c r="AN543" s="6">
        <v>1</v>
      </c>
      <c r="AO543" s="6">
        <v>1</v>
      </c>
      <c r="AP543" s="6">
        <v>1</v>
      </c>
      <c r="AQ543" s="6">
        <v>1</v>
      </c>
      <c r="AR543" s="6">
        <v>1</v>
      </c>
      <c r="BC543">
        <v>1810</v>
      </c>
      <c r="BD543" t="s">
        <v>81</v>
      </c>
      <c r="BE543" s="10" t="s">
        <v>672</v>
      </c>
      <c r="BF543" s="1" t="s">
        <v>73</v>
      </c>
      <c r="BG543" s="1">
        <v>1</v>
      </c>
      <c r="BH543">
        <v>2</v>
      </c>
      <c r="BK543" s="1">
        <v>1</v>
      </c>
      <c r="BQ543">
        <v>1</v>
      </c>
      <c r="BR543">
        <v>1</v>
      </c>
      <c r="CF543">
        <v>1</v>
      </c>
      <c r="CL543" s="10">
        <v>1</v>
      </c>
      <c r="CS543" s="10" t="s">
        <v>142</v>
      </c>
    </row>
    <row r="544" spans="2:99">
      <c r="B544" t="s">
        <v>2135</v>
      </c>
      <c r="C544" s="2" t="s">
        <v>1996</v>
      </c>
      <c r="D544" s="2" t="s">
        <v>1996</v>
      </c>
      <c r="E544" s="8" t="s">
        <v>920</v>
      </c>
      <c r="F544" s="8" t="s">
        <v>115</v>
      </c>
      <c r="G544" s="1">
        <v>1</v>
      </c>
      <c r="I544" s="1">
        <f>1805-22</f>
        <v>1783</v>
      </c>
      <c r="J544" t="s">
        <v>69</v>
      </c>
      <c r="K544" t="s">
        <v>12</v>
      </c>
      <c r="Q544">
        <v>5</v>
      </c>
      <c r="R544">
        <v>1</v>
      </c>
      <c r="T544" s="5">
        <f t="shared" si="18"/>
        <v>160.63</v>
      </c>
      <c r="U544" t="s">
        <v>671</v>
      </c>
      <c r="AM544" s="6">
        <v>1</v>
      </c>
      <c r="AN544" s="7">
        <v>1</v>
      </c>
      <c r="BC544" t="s">
        <v>2070</v>
      </c>
      <c r="BD544" s="7" t="s">
        <v>280</v>
      </c>
      <c r="BE544" t="s">
        <v>1502</v>
      </c>
      <c r="BF544" s="1" t="s">
        <v>29</v>
      </c>
      <c r="BG544" s="1">
        <v>2</v>
      </c>
      <c r="BH544">
        <v>1</v>
      </c>
      <c r="BK544" s="1">
        <v>1</v>
      </c>
      <c r="BQ544">
        <v>1</v>
      </c>
      <c r="CN544">
        <v>1</v>
      </c>
      <c r="CS544" s="7" t="s">
        <v>2071</v>
      </c>
    </row>
    <row r="545" spans="2:97">
      <c r="B545" t="s">
        <v>2106</v>
      </c>
      <c r="C545" s="2" t="s">
        <v>2107</v>
      </c>
      <c r="D545" s="36" t="s">
        <v>192</v>
      </c>
      <c r="E545" s="21" t="s">
        <v>1735</v>
      </c>
      <c r="F545" s="8" t="s">
        <v>115</v>
      </c>
      <c r="G545" s="1">
        <v>1</v>
      </c>
      <c r="I545" s="1">
        <f>1805-18</f>
        <v>1787</v>
      </c>
      <c r="J545" t="s">
        <v>10</v>
      </c>
      <c r="K545" t="s">
        <v>12</v>
      </c>
      <c r="Q545">
        <v>5</v>
      </c>
      <c r="R545">
        <v>1</v>
      </c>
      <c r="T545" s="5">
        <f t="shared" si="18"/>
        <v>160.63</v>
      </c>
      <c r="U545" t="s">
        <v>2105</v>
      </c>
      <c r="AM545" s="6">
        <v>1</v>
      </c>
      <c r="AN545" s="7">
        <v>1</v>
      </c>
      <c r="BC545" t="s">
        <v>2102</v>
      </c>
      <c r="BD545" s="7" t="s">
        <v>103</v>
      </c>
      <c r="BE545" t="s">
        <v>1564</v>
      </c>
      <c r="BF545" s="1" t="s">
        <v>29</v>
      </c>
      <c r="BG545" s="1">
        <v>2</v>
      </c>
      <c r="BH545">
        <v>1</v>
      </c>
      <c r="BJ545">
        <v>1</v>
      </c>
      <c r="BK545" s="1">
        <v>1</v>
      </c>
      <c r="BQ545">
        <v>1</v>
      </c>
      <c r="CS545" s="7" t="s">
        <v>2103</v>
      </c>
    </row>
    <row r="546" spans="2:97">
      <c r="B546" t="s">
        <v>1834</v>
      </c>
      <c r="C546" s="2" t="s">
        <v>2124</v>
      </c>
      <c r="D546" s="2" t="s">
        <v>2124</v>
      </c>
      <c r="E546" s="21" t="s">
        <v>1735</v>
      </c>
      <c r="F546" s="8" t="s">
        <v>115</v>
      </c>
      <c r="G546" s="1">
        <v>1</v>
      </c>
      <c r="I546" s="1">
        <f>1806-44</f>
        <v>1762</v>
      </c>
      <c r="J546" t="s">
        <v>10</v>
      </c>
      <c r="K546" t="s">
        <v>12</v>
      </c>
      <c r="Q546">
        <v>5</v>
      </c>
      <c r="R546">
        <v>0</v>
      </c>
      <c r="S546">
        <v>1</v>
      </c>
      <c r="T546" s="5">
        <f t="shared" si="18"/>
        <v>158.22</v>
      </c>
      <c r="U546" t="s">
        <v>2105</v>
      </c>
      <c r="AM546" s="6">
        <v>1</v>
      </c>
      <c r="AN546" s="7">
        <v>1</v>
      </c>
      <c r="BC546" t="s">
        <v>2110</v>
      </c>
      <c r="BD546" s="7" t="s">
        <v>103</v>
      </c>
      <c r="BE546" t="s">
        <v>1564</v>
      </c>
      <c r="BF546" s="1" t="s">
        <v>29</v>
      </c>
      <c r="BG546" s="1">
        <v>2</v>
      </c>
      <c r="BH546">
        <v>1</v>
      </c>
      <c r="BJ546">
        <v>1</v>
      </c>
      <c r="BK546" s="1">
        <v>1</v>
      </c>
      <c r="BQ546">
        <v>1</v>
      </c>
      <c r="CS546" s="7" t="s">
        <v>1565</v>
      </c>
    </row>
    <row r="547" spans="2:97">
      <c r="B547" t="s">
        <v>2090</v>
      </c>
      <c r="C547" s="2" t="s">
        <v>286</v>
      </c>
      <c r="D547" s="2" t="s">
        <v>286</v>
      </c>
      <c r="E547" s="8" t="s">
        <v>920</v>
      </c>
      <c r="F547" s="8" t="s">
        <v>115</v>
      </c>
      <c r="G547" s="1">
        <v>1</v>
      </c>
      <c r="I547" s="1">
        <f>1805-24</f>
        <v>1781</v>
      </c>
      <c r="J547" t="s">
        <v>10</v>
      </c>
      <c r="K547" t="s">
        <v>12</v>
      </c>
      <c r="Q547">
        <v>5</v>
      </c>
      <c r="T547" s="5">
        <f t="shared" si="18"/>
        <v>158</v>
      </c>
      <c r="U547" t="s">
        <v>2091</v>
      </c>
      <c r="AM547" s="6">
        <v>1</v>
      </c>
      <c r="AN547" s="7">
        <v>1</v>
      </c>
      <c r="BC547" t="s">
        <v>2070</v>
      </c>
      <c r="BD547" s="7" t="s">
        <v>280</v>
      </c>
      <c r="BE547" t="s">
        <v>1502</v>
      </c>
      <c r="BF547" s="1" t="s">
        <v>29</v>
      </c>
      <c r="BG547" s="1">
        <v>2</v>
      </c>
      <c r="BH547">
        <v>1</v>
      </c>
      <c r="BK547" s="1">
        <v>1</v>
      </c>
      <c r="BQ547">
        <v>1</v>
      </c>
      <c r="CN547">
        <v>1</v>
      </c>
      <c r="CS547" s="7" t="s">
        <v>2071</v>
      </c>
    </row>
    <row r="548" spans="2:97">
      <c r="B548" t="s">
        <v>2158</v>
      </c>
      <c r="C548" s="2" t="s">
        <v>1336</v>
      </c>
      <c r="D548" s="2" t="s">
        <v>1336</v>
      </c>
      <c r="E548" s="8" t="s">
        <v>837</v>
      </c>
      <c r="F548" s="8" t="s">
        <v>115</v>
      </c>
      <c r="G548" s="1">
        <v>1</v>
      </c>
      <c r="I548" s="1">
        <f>1805-32</f>
        <v>1773</v>
      </c>
      <c r="J548" t="s">
        <v>69</v>
      </c>
      <c r="K548" t="s">
        <v>12</v>
      </c>
      <c r="Q548">
        <v>5</v>
      </c>
      <c r="R548">
        <v>1</v>
      </c>
      <c r="T548" s="5">
        <f t="shared" si="18"/>
        <v>160.63</v>
      </c>
      <c r="U548" t="s">
        <v>2091</v>
      </c>
      <c r="AM548" s="6">
        <v>1</v>
      </c>
      <c r="AN548" s="7">
        <v>1</v>
      </c>
      <c r="BC548" t="s">
        <v>1501</v>
      </c>
      <c r="BD548" s="7" t="s">
        <v>109</v>
      </c>
      <c r="BE548" t="s">
        <v>1502</v>
      </c>
      <c r="BF548" s="1" t="s">
        <v>29</v>
      </c>
      <c r="BG548" s="1">
        <v>2</v>
      </c>
      <c r="BH548">
        <v>1</v>
      </c>
      <c r="BK548" s="1">
        <v>1</v>
      </c>
      <c r="BQ548">
        <v>1</v>
      </c>
      <c r="CR548" t="s">
        <v>72</v>
      </c>
      <c r="CS548" s="7" t="s">
        <v>1086</v>
      </c>
    </row>
    <row r="549" spans="2:97">
      <c r="B549" t="s">
        <v>2146</v>
      </c>
      <c r="C549" s="2" t="s">
        <v>243</v>
      </c>
      <c r="D549" s="2" t="s">
        <v>243</v>
      </c>
      <c r="E549" s="8" t="s">
        <v>1735</v>
      </c>
      <c r="F549" s="8" t="s">
        <v>115</v>
      </c>
      <c r="G549" s="1">
        <v>1</v>
      </c>
      <c r="I549" s="1">
        <f>1805-28</f>
        <v>1777</v>
      </c>
      <c r="J549" t="s">
        <v>10</v>
      </c>
      <c r="K549" t="s">
        <v>12</v>
      </c>
      <c r="Q549">
        <v>5</v>
      </c>
      <c r="R549">
        <v>2</v>
      </c>
      <c r="T549" s="5">
        <f t="shared" si="18"/>
        <v>163.26</v>
      </c>
      <c r="U549" t="s">
        <v>2091</v>
      </c>
      <c r="AM549" s="6">
        <v>1</v>
      </c>
      <c r="AN549" s="7">
        <v>1</v>
      </c>
      <c r="BC549" t="s">
        <v>1501</v>
      </c>
      <c r="BD549" s="7" t="s">
        <v>109</v>
      </c>
      <c r="BE549" t="s">
        <v>1502</v>
      </c>
      <c r="BF549" s="1" t="s">
        <v>29</v>
      </c>
      <c r="BG549" s="1">
        <v>2</v>
      </c>
      <c r="BH549">
        <v>1</v>
      </c>
      <c r="BK549" s="1">
        <v>1</v>
      </c>
      <c r="BQ549">
        <v>1</v>
      </c>
      <c r="CS549" s="7" t="s">
        <v>1086</v>
      </c>
    </row>
    <row r="550" spans="2:97">
      <c r="B550" t="s">
        <v>2144</v>
      </c>
      <c r="C550" s="2" t="s">
        <v>2145</v>
      </c>
      <c r="D550" s="2" t="s">
        <v>2145</v>
      </c>
      <c r="E550" s="8" t="s">
        <v>1735</v>
      </c>
      <c r="F550" s="8" t="s">
        <v>115</v>
      </c>
      <c r="G550" s="1">
        <v>1</v>
      </c>
      <c r="I550" s="1">
        <f>1805-20</f>
        <v>1785</v>
      </c>
      <c r="J550" t="s">
        <v>10</v>
      </c>
      <c r="K550" t="s">
        <v>12</v>
      </c>
      <c r="Q550">
        <v>5</v>
      </c>
      <c r="R550">
        <v>2</v>
      </c>
      <c r="T550" s="5">
        <f t="shared" si="18"/>
        <v>163.26</v>
      </c>
      <c r="U550" t="s">
        <v>2091</v>
      </c>
      <c r="AM550" s="6">
        <v>1</v>
      </c>
      <c r="AN550" s="7">
        <v>1</v>
      </c>
      <c r="BC550" t="s">
        <v>1501</v>
      </c>
      <c r="BD550" s="7" t="s">
        <v>109</v>
      </c>
      <c r="BE550" t="s">
        <v>1502</v>
      </c>
      <c r="BF550" s="1" t="s">
        <v>29</v>
      </c>
      <c r="BG550" s="1">
        <v>2</v>
      </c>
      <c r="BH550">
        <v>1</v>
      </c>
      <c r="BK550" s="1">
        <v>1</v>
      </c>
      <c r="BQ550">
        <v>1</v>
      </c>
      <c r="CS550" s="7" t="s">
        <v>1086</v>
      </c>
    </row>
    <row r="551" spans="2:97">
      <c r="B551" t="s">
        <v>2462</v>
      </c>
      <c r="C551" s="2" t="s">
        <v>1578</v>
      </c>
      <c r="D551" s="15"/>
      <c r="E551" s="8"/>
      <c r="F551" s="8" t="s">
        <v>115</v>
      </c>
      <c r="G551" s="1">
        <v>1</v>
      </c>
      <c r="I551" s="1">
        <f>1811-38</f>
        <v>1773</v>
      </c>
      <c r="J551" t="s">
        <v>69</v>
      </c>
      <c r="K551" t="s">
        <v>12</v>
      </c>
      <c r="N551">
        <v>1</v>
      </c>
      <c r="O551">
        <v>1</v>
      </c>
      <c r="P551">
        <v>1</v>
      </c>
      <c r="Q551">
        <v>5</v>
      </c>
      <c r="R551">
        <v>2</v>
      </c>
      <c r="S551">
        <v>1</v>
      </c>
      <c r="T551" s="5">
        <f t="shared" si="18"/>
        <v>163.47999999999999</v>
      </c>
      <c r="U551" t="s">
        <v>2091</v>
      </c>
      <c r="AM551" s="6">
        <v>1</v>
      </c>
      <c r="AN551" s="6">
        <v>1</v>
      </c>
      <c r="AO551" s="6">
        <v>1</v>
      </c>
      <c r="AP551" s="6">
        <v>1</v>
      </c>
      <c r="AQ551" s="6">
        <v>1</v>
      </c>
      <c r="AR551" s="6">
        <v>1</v>
      </c>
      <c r="AS551" s="6">
        <v>1</v>
      </c>
      <c r="AT551" s="6">
        <v>1</v>
      </c>
      <c r="AU551" s="6">
        <v>1</v>
      </c>
      <c r="AV551" s="6">
        <v>1</v>
      </c>
      <c r="AW551" s="6">
        <v>1</v>
      </c>
      <c r="AX551" s="7">
        <v>1</v>
      </c>
      <c r="BC551" t="s">
        <v>2463</v>
      </c>
      <c r="BD551" s="7" t="s">
        <v>103</v>
      </c>
      <c r="BE551" t="s">
        <v>2242</v>
      </c>
      <c r="BF551" s="1" t="s">
        <v>29</v>
      </c>
      <c r="BG551" s="1">
        <v>1</v>
      </c>
      <c r="BH551">
        <v>3</v>
      </c>
      <c r="BK551" s="1">
        <v>1</v>
      </c>
      <c r="BQ551">
        <v>1</v>
      </c>
      <c r="BY551">
        <v>1</v>
      </c>
      <c r="CL551">
        <v>1</v>
      </c>
      <c r="CS551" s="7" t="s">
        <v>1226</v>
      </c>
    </row>
    <row r="552" spans="2:97">
      <c r="B552" t="s">
        <v>2108</v>
      </c>
      <c r="C552" s="2" t="s">
        <v>2109</v>
      </c>
      <c r="D552" s="2" t="s">
        <v>2109</v>
      </c>
      <c r="E552" s="21" t="s">
        <v>1735</v>
      </c>
      <c r="F552" s="8" t="s">
        <v>115</v>
      </c>
      <c r="G552" s="1">
        <v>1</v>
      </c>
      <c r="I552" s="1">
        <f>1805-34</f>
        <v>1771</v>
      </c>
      <c r="J552" t="s">
        <v>69</v>
      </c>
      <c r="K552" t="s">
        <v>12</v>
      </c>
      <c r="Q552">
        <v>5</v>
      </c>
      <c r="R552">
        <v>1</v>
      </c>
      <c r="T552" s="5">
        <f>((Q552*316)+(R552*26.3)+(S552*2.2))/10</f>
        <v>160.63</v>
      </c>
      <c r="U552" t="s">
        <v>1567</v>
      </c>
      <c r="AM552" s="6">
        <v>1</v>
      </c>
      <c r="AN552" s="7">
        <v>1</v>
      </c>
      <c r="BC552" t="s">
        <v>2110</v>
      </c>
      <c r="BD552" s="7" t="s">
        <v>103</v>
      </c>
      <c r="BE552" t="s">
        <v>1564</v>
      </c>
      <c r="BF552" s="1" t="s">
        <v>29</v>
      </c>
      <c r="BG552" s="1">
        <v>2</v>
      </c>
      <c r="BH552">
        <v>1</v>
      </c>
      <c r="BK552" s="1">
        <v>1</v>
      </c>
      <c r="BQ552">
        <v>1</v>
      </c>
      <c r="CS552" s="7" t="s">
        <v>2103</v>
      </c>
    </row>
    <row r="553" spans="2:97">
      <c r="B553" t="s">
        <v>1566</v>
      </c>
      <c r="C553" s="2" t="s">
        <v>191</v>
      </c>
      <c r="D553" s="2" t="s">
        <v>191</v>
      </c>
      <c r="E553" s="8" t="s">
        <v>193</v>
      </c>
      <c r="F553" s="8" t="s">
        <v>65</v>
      </c>
      <c r="G553" s="1">
        <v>1</v>
      </c>
      <c r="I553" s="1">
        <f>1806-22</f>
        <v>1784</v>
      </c>
      <c r="J553" t="s">
        <v>10</v>
      </c>
      <c r="K553" t="s">
        <v>12</v>
      </c>
      <c r="T553" s="5"/>
      <c r="U553" t="s">
        <v>1567</v>
      </c>
      <c r="AM553" s="6">
        <v>1</v>
      </c>
      <c r="AN553" s="6">
        <v>1</v>
      </c>
      <c r="AO553" s="6">
        <v>1</v>
      </c>
      <c r="AP553" s="7">
        <v>1</v>
      </c>
      <c r="BC553" t="s">
        <v>1568</v>
      </c>
      <c r="BD553" s="7" t="s">
        <v>280</v>
      </c>
      <c r="BE553" t="s">
        <v>118</v>
      </c>
      <c r="BF553" s="1" t="s">
        <v>29</v>
      </c>
      <c r="BG553" s="1">
        <v>1</v>
      </c>
      <c r="BH553">
        <v>1</v>
      </c>
      <c r="BJ553">
        <v>1</v>
      </c>
      <c r="BK553" s="1">
        <v>1</v>
      </c>
      <c r="BQ553">
        <v>1</v>
      </c>
      <c r="CN553">
        <v>1</v>
      </c>
      <c r="CS553" s="7" t="s">
        <v>947</v>
      </c>
    </row>
    <row r="554" spans="2:97">
      <c r="B554" t="s">
        <v>2111</v>
      </c>
      <c r="C554" s="2" t="s">
        <v>2109</v>
      </c>
      <c r="D554" s="2" t="s">
        <v>2109</v>
      </c>
      <c r="E554" s="21" t="s">
        <v>1735</v>
      </c>
      <c r="F554" s="8" t="s">
        <v>115</v>
      </c>
      <c r="G554" s="1">
        <v>1</v>
      </c>
      <c r="I554" s="1">
        <f>1805-20</f>
        <v>1785</v>
      </c>
      <c r="J554" t="s">
        <v>10</v>
      </c>
      <c r="K554" t="s">
        <v>12</v>
      </c>
      <c r="Q554">
        <v>5</v>
      </c>
      <c r="R554">
        <v>0</v>
      </c>
      <c r="S554">
        <v>2</v>
      </c>
      <c r="T554" s="5">
        <f t="shared" ref="T554:T562" si="19">((Q554*316)+(R554*26.3)+(S554*2.2))/10</f>
        <v>158.44</v>
      </c>
      <c r="U554" t="s">
        <v>1567</v>
      </c>
      <c r="AM554" s="6">
        <v>1</v>
      </c>
      <c r="AN554" s="7">
        <v>1</v>
      </c>
      <c r="BC554" t="s">
        <v>1472</v>
      </c>
      <c r="BD554" s="7" t="s">
        <v>103</v>
      </c>
      <c r="BE554" t="s">
        <v>1564</v>
      </c>
      <c r="BF554" s="1" t="s">
        <v>29</v>
      </c>
      <c r="BG554" s="1">
        <v>2</v>
      </c>
      <c r="BH554">
        <v>1</v>
      </c>
      <c r="BK554" s="1">
        <v>1</v>
      </c>
      <c r="BQ554">
        <v>1</v>
      </c>
      <c r="CS554" s="7" t="s">
        <v>2103</v>
      </c>
    </row>
    <row r="555" spans="2:97">
      <c r="B555" t="s">
        <v>2321</v>
      </c>
      <c r="C555" s="2" t="s">
        <v>1624</v>
      </c>
      <c r="D555" s="2" t="s">
        <v>1624</v>
      </c>
      <c r="E555" s="21" t="s">
        <v>869</v>
      </c>
      <c r="F555" s="8" t="s">
        <v>65</v>
      </c>
      <c r="G555" s="1">
        <v>1</v>
      </c>
      <c r="I555" s="1">
        <f>1806-27</f>
        <v>1779</v>
      </c>
      <c r="J555" t="s">
        <v>10</v>
      </c>
      <c r="K555" t="s">
        <v>12</v>
      </c>
      <c r="Q555">
        <v>5</v>
      </c>
      <c r="R555">
        <v>2</v>
      </c>
      <c r="S555">
        <v>1</v>
      </c>
      <c r="T555" s="5">
        <f t="shared" si="19"/>
        <v>163.47999999999999</v>
      </c>
      <c r="U555" t="s">
        <v>1567</v>
      </c>
      <c r="AM555" s="6">
        <v>1</v>
      </c>
      <c r="AN555" s="6">
        <v>1</v>
      </c>
      <c r="AO555" s="7">
        <v>1</v>
      </c>
      <c r="BC555" t="s">
        <v>1160</v>
      </c>
      <c r="BD555" s="7" t="s">
        <v>103</v>
      </c>
      <c r="BE555" t="s">
        <v>2315</v>
      </c>
      <c r="BF555" s="1" t="s">
        <v>29</v>
      </c>
      <c r="BG555" s="1">
        <v>3</v>
      </c>
      <c r="BH555">
        <v>1</v>
      </c>
      <c r="BI555">
        <v>1</v>
      </c>
      <c r="BJ555">
        <v>1</v>
      </c>
      <c r="BK555" s="1">
        <v>1</v>
      </c>
      <c r="BQ555">
        <v>1</v>
      </c>
      <c r="CS555" s="7" t="s">
        <v>2322</v>
      </c>
    </row>
    <row r="556" spans="2:97">
      <c r="B556" t="s">
        <v>2093</v>
      </c>
      <c r="C556" s="2" t="s">
        <v>2094</v>
      </c>
      <c r="D556" s="2" t="s">
        <v>2094</v>
      </c>
      <c r="E556" s="8" t="s">
        <v>920</v>
      </c>
      <c r="F556" s="8" t="s">
        <v>115</v>
      </c>
      <c r="G556" s="1">
        <v>1</v>
      </c>
      <c r="I556" s="1">
        <f>1805-23</f>
        <v>1782</v>
      </c>
      <c r="J556" t="s">
        <v>10</v>
      </c>
      <c r="K556" t="s">
        <v>12</v>
      </c>
      <c r="Q556">
        <v>5</v>
      </c>
      <c r="R556">
        <v>2</v>
      </c>
      <c r="S556">
        <v>1</v>
      </c>
      <c r="T556" s="5">
        <f t="shared" si="19"/>
        <v>163.47999999999999</v>
      </c>
      <c r="U556" t="s">
        <v>2092</v>
      </c>
      <c r="AM556" s="6">
        <v>1</v>
      </c>
      <c r="AN556" s="7">
        <v>1</v>
      </c>
      <c r="BC556" t="s">
        <v>2070</v>
      </c>
      <c r="BD556" s="7" t="s">
        <v>26</v>
      </c>
      <c r="BE556" t="s">
        <v>1502</v>
      </c>
      <c r="BF556" s="1" t="s">
        <v>29</v>
      </c>
      <c r="BG556" s="1">
        <v>2</v>
      </c>
      <c r="BH556">
        <v>1</v>
      </c>
      <c r="BK556" s="1">
        <v>1</v>
      </c>
      <c r="BQ556">
        <v>1</v>
      </c>
      <c r="CS556" s="7" t="s">
        <v>2095</v>
      </c>
    </row>
    <row r="557" spans="2:97">
      <c r="B557" t="s">
        <v>2125</v>
      </c>
      <c r="C557" s="2" t="s">
        <v>2126</v>
      </c>
      <c r="D557" s="2"/>
      <c r="E557" s="8"/>
      <c r="F557" s="8" t="s">
        <v>2127</v>
      </c>
      <c r="H557" s="1">
        <v>1</v>
      </c>
      <c r="I557" s="1">
        <f>1805-25</f>
        <v>1780</v>
      </c>
      <c r="J557" t="s">
        <v>10</v>
      </c>
      <c r="K557" t="s">
        <v>12</v>
      </c>
      <c r="Q557">
        <v>5</v>
      </c>
      <c r="R557">
        <v>2</v>
      </c>
      <c r="T557" s="5">
        <f t="shared" si="19"/>
        <v>163.26</v>
      </c>
      <c r="U557" t="s">
        <v>1163</v>
      </c>
      <c r="AM557" s="7">
        <v>1</v>
      </c>
      <c r="BC557" t="s">
        <v>2128</v>
      </c>
      <c r="BD557" s="7" t="s">
        <v>280</v>
      </c>
      <c r="BE557" t="s">
        <v>1564</v>
      </c>
      <c r="BF557" s="1" t="s">
        <v>29</v>
      </c>
      <c r="BG557" s="1">
        <v>2</v>
      </c>
      <c r="BH557">
        <v>1</v>
      </c>
      <c r="BK557" s="1">
        <v>1</v>
      </c>
      <c r="BQ557">
        <v>1</v>
      </c>
      <c r="CN557">
        <v>1</v>
      </c>
      <c r="CS557" s="7" t="s">
        <v>2129</v>
      </c>
    </row>
    <row r="558" spans="2:97">
      <c r="B558" t="s">
        <v>1161</v>
      </c>
      <c r="C558" s="13" t="s">
        <v>1162</v>
      </c>
      <c r="D558" s="15"/>
      <c r="E558" s="8"/>
      <c r="F558" s="8" t="s">
        <v>234</v>
      </c>
      <c r="G558" s="1">
        <v>1</v>
      </c>
      <c r="I558" s="1">
        <f>1805-20</f>
        <v>1785</v>
      </c>
      <c r="J558" t="s">
        <v>10</v>
      </c>
      <c r="K558" t="s">
        <v>12</v>
      </c>
      <c r="Q558">
        <v>5</v>
      </c>
      <c r="R558">
        <v>5</v>
      </c>
      <c r="T558" s="5">
        <f t="shared" si="19"/>
        <v>171.15</v>
      </c>
      <c r="U558" t="s">
        <v>1163</v>
      </c>
      <c r="AM558" s="6">
        <v>1</v>
      </c>
      <c r="AN558" s="6">
        <v>1</v>
      </c>
      <c r="AO558" s="7">
        <v>1</v>
      </c>
      <c r="BC558" t="s">
        <v>1164</v>
      </c>
      <c r="BD558" s="7" t="s">
        <v>103</v>
      </c>
      <c r="BE558" t="s">
        <v>1065</v>
      </c>
      <c r="BF558" s="1" t="s">
        <v>29</v>
      </c>
      <c r="BG558" s="1">
        <v>3</v>
      </c>
      <c r="BH558">
        <v>1</v>
      </c>
      <c r="BK558" s="1">
        <v>1</v>
      </c>
      <c r="BQ558">
        <v>1</v>
      </c>
      <c r="CS558" s="7" t="s">
        <v>203</v>
      </c>
    </row>
    <row r="559" spans="2:97">
      <c r="B559" t="s">
        <v>1122</v>
      </c>
      <c r="C559" s="13" t="s">
        <v>1124</v>
      </c>
      <c r="D559" s="15"/>
      <c r="E559" s="8" t="s">
        <v>1094</v>
      </c>
      <c r="F559" s="8" t="s">
        <v>247</v>
      </c>
      <c r="G559" s="1">
        <v>1</v>
      </c>
      <c r="I559" s="1">
        <f>1805-18</f>
        <v>1787</v>
      </c>
      <c r="J559" t="s">
        <v>10</v>
      </c>
      <c r="K559" t="s">
        <v>12</v>
      </c>
      <c r="Q559">
        <v>5</v>
      </c>
      <c r="R559">
        <v>1</v>
      </c>
      <c r="S559">
        <v>2</v>
      </c>
      <c r="T559" s="5">
        <f t="shared" si="19"/>
        <v>161.07</v>
      </c>
      <c r="U559" t="s">
        <v>1120</v>
      </c>
      <c r="AM559" s="6">
        <v>1</v>
      </c>
      <c r="AN559" s="7">
        <v>1</v>
      </c>
      <c r="BC559" t="s">
        <v>1100</v>
      </c>
      <c r="BD559" s="7" t="s">
        <v>103</v>
      </c>
      <c r="BE559" t="s">
        <v>1065</v>
      </c>
      <c r="BF559" s="1" t="s">
        <v>29</v>
      </c>
      <c r="BG559" s="1">
        <v>2</v>
      </c>
      <c r="BH559">
        <v>1</v>
      </c>
      <c r="BK559" s="1">
        <v>1</v>
      </c>
      <c r="BQ559">
        <v>1</v>
      </c>
      <c r="CS559" s="7" t="s">
        <v>1125</v>
      </c>
    </row>
    <row r="560" spans="2:97">
      <c r="B560" t="s">
        <v>1220</v>
      </c>
      <c r="C560" s="13" t="s">
        <v>1219</v>
      </c>
      <c r="D560" s="15"/>
      <c r="E560" s="8"/>
      <c r="F560" s="8" t="s">
        <v>234</v>
      </c>
      <c r="G560" s="1">
        <v>1</v>
      </c>
      <c r="I560" s="1">
        <f>1805-18</f>
        <v>1787</v>
      </c>
      <c r="J560" t="s">
        <v>10</v>
      </c>
      <c r="K560" t="s">
        <v>12</v>
      </c>
      <c r="Q560">
        <v>5</v>
      </c>
      <c r="R560">
        <v>4</v>
      </c>
      <c r="T560" s="5">
        <f t="shared" si="19"/>
        <v>168.52</v>
      </c>
      <c r="U560" t="s">
        <v>1120</v>
      </c>
      <c r="AM560" s="6">
        <v>1</v>
      </c>
      <c r="AN560" s="6">
        <v>1</v>
      </c>
      <c r="AO560" s="7">
        <v>1</v>
      </c>
      <c r="BC560" t="s">
        <v>1221</v>
      </c>
      <c r="BD560" s="7" t="s">
        <v>103</v>
      </c>
      <c r="BE560" t="s">
        <v>1065</v>
      </c>
      <c r="BF560" s="1" t="s">
        <v>29</v>
      </c>
      <c r="BG560" s="1">
        <v>3</v>
      </c>
      <c r="BH560">
        <v>1</v>
      </c>
      <c r="BK560" s="1">
        <v>1</v>
      </c>
      <c r="BQ560">
        <v>1</v>
      </c>
      <c r="CS560" s="7" t="s">
        <v>475</v>
      </c>
    </row>
    <row r="561" spans="2:97">
      <c r="B561" t="s">
        <v>1188</v>
      </c>
      <c r="C561" s="13" t="s">
        <v>1189</v>
      </c>
      <c r="D561" s="15"/>
      <c r="E561" s="8"/>
      <c r="F561" s="8" t="s">
        <v>234</v>
      </c>
      <c r="G561" s="1">
        <v>1</v>
      </c>
      <c r="I561" s="1">
        <f>1805-19</f>
        <v>1786</v>
      </c>
      <c r="J561" t="s">
        <v>10</v>
      </c>
      <c r="K561" t="s">
        <v>12</v>
      </c>
      <c r="Q561">
        <v>5</v>
      </c>
      <c r="R561">
        <v>4</v>
      </c>
      <c r="T561" s="5">
        <f t="shared" si="19"/>
        <v>168.52</v>
      </c>
      <c r="U561" t="s">
        <v>1130</v>
      </c>
      <c r="AM561" s="6">
        <v>1</v>
      </c>
      <c r="AN561" s="6">
        <v>1</v>
      </c>
      <c r="AO561" s="7">
        <v>1</v>
      </c>
      <c r="BC561" t="s">
        <v>1187</v>
      </c>
      <c r="BD561" s="7" t="s">
        <v>103</v>
      </c>
      <c r="BE561" t="s">
        <v>1065</v>
      </c>
      <c r="BF561" s="1" t="s">
        <v>29</v>
      </c>
      <c r="BG561" s="1">
        <v>3</v>
      </c>
      <c r="BH561">
        <v>1</v>
      </c>
      <c r="BK561" s="1">
        <v>1</v>
      </c>
      <c r="BQ561">
        <v>1</v>
      </c>
      <c r="CS561" s="7" t="s">
        <v>1125</v>
      </c>
    </row>
    <row r="562" spans="2:97">
      <c r="B562" t="s">
        <v>2096</v>
      </c>
      <c r="C562" s="13" t="s">
        <v>2097</v>
      </c>
      <c r="D562" s="15"/>
      <c r="E562" s="8" t="s">
        <v>920</v>
      </c>
      <c r="F562" s="8" t="s">
        <v>115</v>
      </c>
      <c r="G562" s="1">
        <v>1</v>
      </c>
      <c r="I562" s="1">
        <f>1805-20</f>
        <v>1785</v>
      </c>
      <c r="J562" t="s">
        <v>10</v>
      </c>
      <c r="K562" t="s">
        <v>12</v>
      </c>
      <c r="Q562">
        <v>5</v>
      </c>
      <c r="R562">
        <v>0</v>
      </c>
      <c r="S562">
        <v>1</v>
      </c>
      <c r="T562" s="5">
        <f t="shared" si="19"/>
        <v>158.22</v>
      </c>
      <c r="U562" t="s">
        <v>1130</v>
      </c>
      <c r="AM562" s="6">
        <v>1</v>
      </c>
      <c r="AN562" s="7">
        <v>1</v>
      </c>
      <c r="BC562" t="s">
        <v>2098</v>
      </c>
      <c r="BD562" s="7" t="s">
        <v>280</v>
      </c>
      <c r="BE562" t="s">
        <v>1502</v>
      </c>
      <c r="BF562" s="1" t="s">
        <v>29</v>
      </c>
      <c r="BG562" s="1">
        <v>2</v>
      </c>
      <c r="BH562">
        <v>1</v>
      </c>
      <c r="BK562" s="1">
        <v>1</v>
      </c>
      <c r="BQ562">
        <v>1</v>
      </c>
      <c r="CN562">
        <v>1</v>
      </c>
      <c r="CS562" s="7" t="s">
        <v>2099</v>
      </c>
    </row>
    <row r="563" spans="2:97">
      <c r="B563" t="s">
        <v>1126</v>
      </c>
      <c r="C563" s="2" t="s">
        <v>1127</v>
      </c>
      <c r="D563" s="15"/>
      <c r="E563" s="8" t="s">
        <v>1094</v>
      </c>
      <c r="F563" s="8" t="s">
        <v>247</v>
      </c>
      <c r="G563" s="1">
        <v>1</v>
      </c>
      <c r="I563" s="1">
        <f t="shared" ref="I563:I572" si="20">1805-20</f>
        <v>1785</v>
      </c>
      <c r="J563" t="s">
        <v>10</v>
      </c>
      <c r="K563" t="s">
        <v>12</v>
      </c>
      <c r="Q563">
        <v>5</v>
      </c>
      <c r="R563">
        <v>1</v>
      </c>
      <c r="S563">
        <v>3</v>
      </c>
      <c r="T563" s="5">
        <f>((Q563*316)+(R563*26.3)+(S563*2.2))/10</f>
        <v>161.29</v>
      </c>
      <c r="U563" t="s">
        <v>1130</v>
      </c>
      <c r="AM563" s="6">
        <v>1</v>
      </c>
      <c r="AN563" s="7">
        <v>1</v>
      </c>
      <c r="BC563" t="s">
        <v>1131</v>
      </c>
      <c r="BD563" s="7" t="s">
        <v>26</v>
      </c>
      <c r="BE563" t="s">
        <v>1065</v>
      </c>
      <c r="BF563" s="1" t="s">
        <v>29</v>
      </c>
      <c r="BG563" s="1">
        <v>2</v>
      </c>
      <c r="BH563">
        <v>1</v>
      </c>
      <c r="BK563" s="1">
        <v>1</v>
      </c>
      <c r="BQ563">
        <v>1</v>
      </c>
      <c r="CS563" s="7" t="s">
        <v>1129</v>
      </c>
    </row>
    <row r="564" spans="2:97">
      <c r="B564" t="s">
        <v>1193</v>
      </c>
      <c r="C564" s="2" t="s">
        <v>1194</v>
      </c>
      <c r="D564" s="15"/>
      <c r="E564" s="8" t="s">
        <v>1094</v>
      </c>
      <c r="F564" s="8" t="s">
        <v>247</v>
      </c>
      <c r="G564" s="1">
        <v>1</v>
      </c>
      <c r="I564" s="1">
        <f t="shared" si="20"/>
        <v>1785</v>
      </c>
      <c r="J564" t="s">
        <v>10</v>
      </c>
      <c r="K564" t="s">
        <v>12</v>
      </c>
      <c r="Q564">
        <v>5</v>
      </c>
      <c r="R564">
        <v>2</v>
      </c>
      <c r="S564">
        <v>1</v>
      </c>
      <c r="T564" s="5">
        <f>((Q564*316)+(R564*26.3)+(S564*2.2))/10</f>
        <v>163.47999999999999</v>
      </c>
      <c r="U564" t="s">
        <v>1121</v>
      </c>
      <c r="AM564" s="6">
        <v>1</v>
      </c>
      <c r="AN564" s="7">
        <v>1</v>
      </c>
      <c r="BC564" t="s">
        <v>1100</v>
      </c>
      <c r="BD564" s="7" t="s">
        <v>103</v>
      </c>
      <c r="BE564" t="s">
        <v>1065</v>
      </c>
      <c r="BF564" s="1" t="s">
        <v>29</v>
      </c>
      <c r="BG564" s="1">
        <v>3</v>
      </c>
      <c r="BH564">
        <v>1</v>
      </c>
      <c r="BK564" s="1">
        <v>1</v>
      </c>
      <c r="BQ564">
        <v>1</v>
      </c>
      <c r="CS564" s="7" t="s">
        <v>203</v>
      </c>
    </row>
    <row r="565" spans="2:97">
      <c r="B565" t="s">
        <v>1123</v>
      </c>
      <c r="C565" s="15" t="s">
        <v>1128</v>
      </c>
      <c r="D565" s="15"/>
      <c r="E565" s="8"/>
      <c r="F565" s="8" t="s">
        <v>65</v>
      </c>
      <c r="G565" s="1">
        <v>1</v>
      </c>
      <c r="I565" s="1">
        <f t="shared" si="20"/>
        <v>1785</v>
      </c>
      <c r="J565" t="s">
        <v>10</v>
      </c>
      <c r="K565" t="s">
        <v>12</v>
      </c>
      <c r="Q565">
        <v>5</v>
      </c>
      <c r="R565">
        <v>2</v>
      </c>
      <c r="S565">
        <v>1</v>
      </c>
      <c r="T565" s="5">
        <f>((Q565*316)+(R565*26.3)+(S565*2.2))/10</f>
        <v>163.47999999999999</v>
      </c>
      <c r="U565" t="s">
        <v>1121</v>
      </c>
      <c r="AM565" s="6">
        <v>1</v>
      </c>
      <c r="AN565" s="7">
        <v>1</v>
      </c>
      <c r="BC565" t="s">
        <v>1100</v>
      </c>
      <c r="BD565" s="7" t="s">
        <v>103</v>
      </c>
      <c r="BE565" t="s">
        <v>1065</v>
      </c>
      <c r="BF565" s="1" t="s">
        <v>29</v>
      </c>
      <c r="BG565" s="1">
        <v>2</v>
      </c>
      <c r="BH565">
        <v>1</v>
      </c>
      <c r="BK565" s="1">
        <v>1</v>
      </c>
      <c r="BQ565">
        <v>1</v>
      </c>
      <c r="CS565" s="7" t="s">
        <v>475</v>
      </c>
    </row>
    <row r="566" spans="2:97">
      <c r="B566" t="s">
        <v>1227</v>
      </c>
      <c r="C566" s="2" t="s">
        <v>1228</v>
      </c>
      <c r="D566" s="15"/>
      <c r="E566" s="8" t="s">
        <v>1094</v>
      </c>
      <c r="F566" s="8" t="s">
        <v>247</v>
      </c>
      <c r="G566" s="1">
        <v>1</v>
      </c>
      <c r="I566" s="1">
        <f>1805-20</f>
        <v>1785</v>
      </c>
      <c r="J566" t="s">
        <v>10</v>
      </c>
      <c r="K566" t="s">
        <v>12</v>
      </c>
      <c r="Q566">
        <v>5</v>
      </c>
      <c r="R566">
        <v>2</v>
      </c>
      <c r="S566">
        <v>1</v>
      </c>
      <c r="T566" s="5">
        <f>((Q566*316)+(R566*26.3)+(S566*2.2))/10</f>
        <v>163.47999999999999</v>
      </c>
      <c r="U566" t="s">
        <v>1121</v>
      </c>
      <c r="AM566" s="6">
        <v>1</v>
      </c>
      <c r="AN566" s="6">
        <v>1</v>
      </c>
      <c r="AO566" s="7">
        <v>1</v>
      </c>
      <c r="BC566" t="s">
        <v>1187</v>
      </c>
      <c r="BD566" s="7" t="s">
        <v>103</v>
      </c>
      <c r="BE566" t="s">
        <v>1065</v>
      </c>
      <c r="BF566" s="1" t="s">
        <v>29</v>
      </c>
      <c r="BG566" s="1">
        <v>3</v>
      </c>
      <c r="BH566">
        <v>1</v>
      </c>
      <c r="BK566" s="1">
        <v>1</v>
      </c>
      <c r="BQ566">
        <v>1</v>
      </c>
      <c r="CS566" s="7" t="s">
        <v>203</v>
      </c>
    </row>
    <row r="567" spans="2:97">
      <c r="B567" t="s">
        <v>1132</v>
      </c>
      <c r="C567" s="2" t="s">
        <v>1190</v>
      </c>
      <c r="D567" s="15"/>
      <c r="E567" s="8" t="s">
        <v>1117</v>
      </c>
      <c r="F567" s="8" t="s">
        <v>247</v>
      </c>
      <c r="G567" s="1">
        <v>1</v>
      </c>
      <c r="I567" s="1">
        <f t="shared" si="20"/>
        <v>1785</v>
      </c>
      <c r="J567" t="s">
        <v>10</v>
      </c>
      <c r="K567" t="s">
        <v>12</v>
      </c>
      <c r="Q567">
        <v>5</v>
      </c>
      <c r="R567">
        <v>1</v>
      </c>
      <c r="S567">
        <v>3</v>
      </c>
      <c r="T567" s="5">
        <f>((Q567*316)+(R567*26.3)+(S567*2.2))/10</f>
        <v>161.29</v>
      </c>
      <c r="U567" t="s">
        <v>1121</v>
      </c>
      <c r="AM567" s="6">
        <v>1</v>
      </c>
      <c r="AN567" s="7">
        <v>1</v>
      </c>
      <c r="BC567" t="s">
        <v>1100</v>
      </c>
      <c r="BD567" s="7" t="s">
        <v>103</v>
      </c>
      <c r="BE567" t="s">
        <v>1065</v>
      </c>
      <c r="BF567" s="1" t="s">
        <v>29</v>
      </c>
      <c r="BG567" s="1">
        <v>2</v>
      </c>
      <c r="BH567">
        <v>1</v>
      </c>
      <c r="BK567" s="1">
        <v>1</v>
      </c>
      <c r="BQ567">
        <v>1</v>
      </c>
      <c r="CS567" s="7" t="s">
        <v>475</v>
      </c>
    </row>
    <row r="568" spans="2:97">
      <c r="B568" t="s">
        <v>2167</v>
      </c>
      <c r="C568" s="2" t="s">
        <v>2168</v>
      </c>
      <c r="D568" s="2" t="s">
        <v>2169</v>
      </c>
      <c r="E568" s="8" t="s">
        <v>920</v>
      </c>
      <c r="F568" s="8" t="s">
        <v>115</v>
      </c>
      <c r="G568" s="1">
        <v>1</v>
      </c>
      <c r="I568" s="1">
        <f>1805-18</f>
        <v>1787</v>
      </c>
      <c r="J568" t="s">
        <v>10</v>
      </c>
      <c r="K568" t="s">
        <v>12</v>
      </c>
      <c r="Q568">
        <v>5</v>
      </c>
      <c r="T568" s="5"/>
      <c r="U568" t="s">
        <v>1121</v>
      </c>
      <c r="AM568" s="6">
        <v>1</v>
      </c>
      <c r="AN568" s="7">
        <v>1</v>
      </c>
      <c r="BC568" t="s">
        <v>1501</v>
      </c>
      <c r="BD568" s="7" t="s">
        <v>109</v>
      </c>
      <c r="BE568" t="s">
        <v>1502</v>
      </c>
      <c r="BF568" s="1" t="s">
        <v>29</v>
      </c>
      <c r="BG568" s="1">
        <v>2</v>
      </c>
      <c r="BH568">
        <v>1</v>
      </c>
      <c r="BK568" s="1">
        <v>1</v>
      </c>
      <c r="BQ568">
        <v>1</v>
      </c>
      <c r="CS568" s="7" t="s">
        <v>1602</v>
      </c>
    </row>
    <row r="569" spans="2:97">
      <c r="B569" t="s">
        <v>1205</v>
      </c>
      <c r="C569" s="2" t="s">
        <v>1127</v>
      </c>
      <c r="D569" s="15"/>
      <c r="E569" s="8"/>
      <c r="F569" s="8" t="s">
        <v>247</v>
      </c>
      <c r="G569" s="1">
        <v>1</v>
      </c>
      <c r="I569" s="1">
        <f t="shared" si="20"/>
        <v>1785</v>
      </c>
      <c r="J569" t="s">
        <v>69</v>
      </c>
      <c r="K569" t="s">
        <v>12</v>
      </c>
      <c r="Q569">
        <v>5</v>
      </c>
      <c r="R569">
        <v>1</v>
      </c>
      <c r="S569">
        <v>3</v>
      </c>
      <c r="T569" s="5">
        <f>((Q569*316)+(R569*26.3)+(S569*2.2))/10</f>
        <v>161.29</v>
      </c>
      <c r="U569" t="s">
        <v>1121</v>
      </c>
      <c r="AM569" s="6">
        <v>1</v>
      </c>
      <c r="AN569" s="6">
        <v>1</v>
      </c>
      <c r="AO569" s="7">
        <v>1</v>
      </c>
      <c r="BC569" t="s">
        <v>1164</v>
      </c>
      <c r="BD569" s="7" t="s">
        <v>103</v>
      </c>
      <c r="BE569" t="s">
        <v>1065</v>
      </c>
      <c r="BF569" s="1" t="s">
        <v>29</v>
      </c>
      <c r="BG569" s="1">
        <v>3</v>
      </c>
      <c r="BH569">
        <v>1</v>
      </c>
      <c r="BK569" s="1">
        <v>1</v>
      </c>
      <c r="BQ569">
        <v>1</v>
      </c>
      <c r="CS569" s="7" t="s">
        <v>203</v>
      </c>
    </row>
    <row r="570" spans="2:97">
      <c r="B570" t="s">
        <v>1216</v>
      </c>
      <c r="C570" s="2" t="s">
        <v>1128</v>
      </c>
      <c r="D570" s="25"/>
      <c r="E570" s="21"/>
      <c r="F570" s="21" t="s">
        <v>65</v>
      </c>
      <c r="G570" s="23">
        <v>1</v>
      </c>
      <c r="I570" s="1">
        <f>1805-20</f>
        <v>1785</v>
      </c>
      <c r="J570" t="s">
        <v>10</v>
      </c>
      <c r="K570" t="s">
        <v>12</v>
      </c>
      <c r="Q570">
        <v>5</v>
      </c>
      <c r="R570">
        <v>3</v>
      </c>
      <c r="S570">
        <v>1</v>
      </c>
      <c r="T570" s="5">
        <f t="shared" ref="T570:T584" si="21">((Q570*316)+(R570*26.3)+(S570*2.2))/10</f>
        <v>166.11</v>
      </c>
      <c r="U570" t="s">
        <v>1217</v>
      </c>
      <c r="AM570" s="6">
        <v>1</v>
      </c>
      <c r="AN570" s="6">
        <v>1</v>
      </c>
      <c r="AO570" s="6">
        <v>1</v>
      </c>
      <c r="AP570" s="6">
        <v>1</v>
      </c>
      <c r="AQ570" s="6">
        <v>1</v>
      </c>
      <c r="AR570" s="6">
        <v>1</v>
      </c>
      <c r="AS570" s="7">
        <v>1</v>
      </c>
      <c r="BC570" t="s">
        <v>1218</v>
      </c>
      <c r="BD570" s="7" t="s">
        <v>103</v>
      </c>
      <c r="BE570" t="s">
        <v>151</v>
      </c>
      <c r="BF570" s="1" t="s">
        <v>29</v>
      </c>
      <c r="BG570" s="1">
        <v>9</v>
      </c>
      <c r="BH570">
        <v>2</v>
      </c>
      <c r="BK570" s="1">
        <v>1</v>
      </c>
      <c r="BQ570">
        <v>1</v>
      </c>
      <c r="CL570">
        <v>1</v>
      </c>
      <c r="CN570">
        <v>1</v>
      </c>
      <c r="CP570">
        <v>1</v>
      </c>
      <c r="CS570" s="7" t="s">
        <v>361</v>
      </c>
    </row>
    <row r="571" spans="2:97">
      <c r="B571" t="s">
        <v>2009</v>
      </c>
      <c r="C571" s="2" t="s">
        <v>2010</v>
      </c>
      <c r="D571" s="25"/>
      <c r="E571" s="21" t="s">
        <v>920</v>
      </c>
      <c r="F571" s="21" t="s">
        <v>115</v>
      </c>
      <c r="G571" s="23">
        <v>1</v>
      </c>
      <c r="I571" s="1">
        <f>1811-33</f>
        <v>1778</v>
      </c>
      <c r="J571" t="s">
        <v>69</v>
      </c>
      <c r="K571" t="s">
        <v>12</v>
      </c>
      <c r="N571">
        <v>1</v>
      </c>
      <c r="Q571">
        <v>5</v>
      </c>
      <c r="R571">
        <v>2</v>
      </c>
      <c r="T571" s="5">
        <f t="shared" si="21"/>
        <v>163.26</v>
      </c>
      <c r="U571" t="s">
        <v>1987</v>
      </c>
      <c r="AM571" s="6">
        <v>1</v>
      </c>
      <c r="AN571" s="6">
        <v>1</v>
      </c>
      <c r="AO571" s="6">
        <v>1</v>
      </c>
      <c r="AP571" s="6">
        <v>1</v>
      </c>
      <c r="AQ571" s="6">
        <v>1</v>
      </c>
      <c r="AR571" s="6">
        <v>1</v>
      </c>
      <c r="AS571" s="6">
        <v>1</v>
      </c>
      <c r="AT571" s="7">
        <v>1</v>
      </c>
      <c r="BC571" t="s">
        <v>2011</v>
      </c>
      <c r="BD571" s="7" t="s">
        <v>26</v>
      </c>
      <c r="BE571" t="s">
        <v>2012</v>
      </c>
      <c r="BF571" s="1" t="s">
        <v>29</v>
      </c>
      <c r="BG571" s="1">
        <v>3</v>
      </c>
      <c r="BH571">
        <v>3</v>
      </c>
      <c r="BK571" s="1">
        <v>1</v>
      </c>
      <c r="BQ571">
        <v>1</v>
      </c>
      <c r="BY571">
        <v>1</v>
      </c>
      <c r="CS571" s="7" t="s">
        <v>2013</v>
      </c>
    </row>
    <row r="572" spans="2:97">
      <c r="B572" t="s">
        <v>1211</v>
      </c>
      <c r="C572" s="2" t="s">
        <v>1212</v>
      </c>
      <c r="D572" s="15"/>
      <c r="E572" s="8"/>
      <c r="F572" s="8" t="s">
        <v>65</v>
      </c>
      <c r="G572" s="1">
        <v>1</v>
      </c>
      <c r="I572" s="1">
        <f t="shared" si="20"/>
        <v>1785</v>
      </c>
      <c r="J572" t="s">
        <v>10</v>
      </c>
      <c r="K572" t="s">
        <v>12</v>
      </c>
      <c r="Q572">
        <v>5</v>
      </c>
      <c r="R572">
        <v>2</v>
      </c>
      <c r="S572">
        <v>2</v>
      </c>
      <c r="T572" s="5">
        <f t="shared" si="21"/>
        <v>163.69999999999999</v>
      </c>
      <c r="U572" t="s">
        <v>1213</v>
      </c>
      <c r="AM572" s="6">
        <v>1</v>
      </c>
      <c r="AN572" s="6">
        <v>1</v>
      </c>
      <c r="AO572" s="6">
        <v>1</v>
      </c>
      <c r="AP572" s="6">
        <v>1</v>
      </c>
      <c r="AQ572" s="7">
        <v>1</v>
      </c>
      <c r="BC572" t="s">
        <v>1214</v>
      </c>
      <c r="BD572" s="7" t="s">
        <v>26</v>
      </c>
      <c r="BE572" t="s">
        <v>151</v>
      </c>
      <c r="BF572" s="1" t="s">
        <v>29</v>
      </c>
      <c r="BG572" s="1">
        <v>9</v>
      </c>
      <c r="BH572">
        <v>2</v>
      </c>
      <c r="BK572" s="1">
        <v>1</v>
      </c>
      <c r="BQ572">
        <v>1</v>
      </c>
      <c r="CL572">
        <v>1</v>
      </c>
      <c r="CS572" s="7" t="s">
        <v>1215</v>
      </c>
    </row>
    <row r="573" spans="2:97">
      <c r="B573" t="s">
        <v>1241</v>
      </c>
      <c r="C573" s="2" t="s">
        <v>1212</v>
      </c>
      <c r="D573" s="15"/>
      <c r="E573" s="8"/>
      <c r="F573" s="8" t="s">
        <v>65</v>
      </c>
      <c r="G573" s="1">
        <v>1</v>
      </c>
      <c r="I573" s="1">
        <f>1805-23</f>
        <v>1782</v>
      </c>
      <c r="J573" t="s">
        <v>10</v>
      </c>
      <c r="K573" t="s">
        <v>12</v>
      </c>
      <c r="Q573">
        <v>5</v>
      </c>
      <c r="R573">
        <v>2</v>
      </c>
      <c r="T573" s="5">
        <f t="shared" si="21"/>
        <v>163.26</v>
      </c>
      <c r="U573" t="s">
        <v>1213</v>
      </c>
      <c r="AM573" s="6">
        <v>1</v>
      </c>
      <c r="AN573" s="6">
        <v>1</v>
      </c>
      <c r="AO573" s="7">
        <v>1</v>
      </c>
      <c r="BC573" t="s">
        <v>1242</v>
      </c>
      <c r="BD573" s="7" t="s">
        <v>280</v>
      </c>
      <c r="BE573" t="s">
        <v>1065</v>
      </c>
      <c r="BF573" s="1" t="s">
        <v>29</v>
      </c>
      <c r="BG573" s="1">
        <v>3</v>
      </c>
      <c r="BH573">
        <v>1</v>
      </c>
      <c r="BK573" s="1">
        <v>1</v>
      </c>
      <c r="BQ573">
        <v>1</v>
      </c>
      <c r="CN573">
        <v>1</v>
      </c>
      <c r="CS573" s="7" t="s">
        <v>1243</v>
      </c>
    </row>
    <row r="574" spans="2:97">
      <c r="B574" t="s">
        <v>1252</v>
      </c>
      <c r="C574" s="2" t="s">
        <v>1253</v>
      </c>
      <c r="D574" s="15"/>
      <c r="E574" s="8" t="s">
        <v>1074</v>
      </c>
      <c r="F574" s="8" t="s">
        <v>247</v>
      </c>
      <c r="G574" s="1">
        <v>1</v>
      </c>
      <c r="I574" s="1">
        <f>1805-18</f>
        <v>1787</v>
      </c>
      <c r="J574" t="s">
        <v>10</v>
      </c>
      <c r="K574" t="s">
        <v>12</v>
      </c>
      <c r="Q574">
        <v>5</v>
      </c>
      <c r="R574">
        <v>1</v>
      </c>
      <c r="S574">
        <v>2</v>
      </c>
      <c r="T574" s="5">
        <f t="shared" si="21"/>
        <v>161.07</v>
      </c>
      <c r="U574" t="s">
        <v>1213</v>
      </c>
      <c r="AM574" s="6">
        <v>1</v>
      </c>
      <c r="AN574" s="6">
        <v>1</v>
      </c>
      <c r="AO574" s="7">
        <v>1</v>
      </c>
      <c r="BC574" t="s">
        <v>1254</v>
      </c>
      <c r="BD574" s="7" t="s">
        <v>103</v>
      </c>
      <c r="BE574" t="s">
        <v>1065</v>
      </c>
      <c r="BF574" s="1" t="s">
        <v>29</v>
      </c>
      <c r="BG574" s="1">
        <v>3</v>
      </c>
      <c r="BH574">
        <v>1</v>
      </c>
      <c r="BK574" s="1">
        <v>1</v>
      </c>
      <c r="BQ574">
        <v>1</v>
      </c>
      <c r="CS574" s="7" t="s">
        <v>203</v>
      </c>
    </row>
    <row r="575" spans="2:97">
      <c r="B575" t="s">
        <v>2387</v>
      </c>
      <c r="C575" s="13" t="s">
        <v>2388</v>
      </c>
      <c r="D575" s="15"/>
      <c r="E575" s="8" t="s">
        <v>832</v>
      </c>
      <c r="F575" s="8" t="s">
        <v>65</v>
      </c>
      <c r="G575" s="1">
        <v>1</v>
      </c>
      <c r="I575" s="1">
        <f>1811-32</f>
        <v>1779</v>
      </c>
      <c r="J575" t="s">
        <v>10</v>
      </c>
      <c r="K575" t="s">
        <v>12</v>
      </c>
      <c r="Q575">
        <v>5</v>
      </c>
      <c r="R575">
        <v>4</v>
      </c>
      <c r="S575">
        <v>2</v>
      </c>
      <c r="T575" s="5">
        <f t="shared" si="21"/>
        <v>168.96</v>
      </c>
      <c r="U575" t="s">
        <v>1213</v>
      </c>
      <c r="AM575" s="6">
        <v>1</v>
      </c>
      <c r="AN575" s="6">
        <v>1</v>
      </c>
      <c r="AO575" s="6">
        <v>1</v>
      </c>
      <c r="AP575" s="6">
        <v>1</v>
      </c>
      <c r="AQ575" s="6">
        <v>1</v>
      </c>
      <c r="AR575" s="6">
        <v>1</v>
      </c>
      <c r="AS575" s="7">
        <v>1</v>
      </c>
      <c r="BC575" t="s">
        <v>2389</v>
      </c>
      <c r="BD575" s="7" t="s">
        <v>959</v>
      </c>
      <c r="BE575" s="7" t="s">
        <v>2390</v>
      </c>
      <c r="BF575" s="1" t="s">
        <v>29</v>
      </c>
      <c r="BG575" s="1">
        <v>2</v>
      </c>
      <c r="BH575">
        <v>4</v>
      </c>
      <c r="BK575" s="1">
        <v>1</v>
      </c>
      <c r="BQ575">
        <v>1</v>
      </c>
      <c r="BY575">
        <v>1</v>
      </c>
      <c r="CB575" s="7">
        <v>1</v>
      </c>
      <c r="CL575">
        <v>1</v>
      </c>
      <c r="CS575" s="7" t="s">
        <v>2391</v>
      </c>
    </row>
    <row r="576" spans="2:97">
      <c r="B576" t="s">
        <v>2080</v>
      </c>
      <c r="C576" s="2" t="s">
        <v>919</v>
      </c>
      <c r="D576" s="2" t="s">
        <v>919</v>
      </c>
      <c r="E576" s="8" t="s">
        <v>920</v>
      </c>
      <c r="F576" s="8" t="s">
        <v>115</v>
      </c>
      <c r="G576" s="1">
        <v>1</v>
      </c>
      <c r="I576" s="1">
        <f>1805-18</f>
        <v>1787</v>
      </c>
      <c r="J576" t="s">
        <v>10</v>
      </c>
      <c r="K576" t="s">
        <v>12</v>
      </c>
      <c r="Q576">
        <v>5</v>
      </c>
      <c r="T576" s="5">
        <f t="shared" si="21"/>
        <v>158</v>
      </c>
      <c r="U576" t="s">
        <v>2079</v>
      </c>
      <c r="AM576" s="6">
        <v>1</v>
      </c>
      <c r="AN576" s="7">
        <v>1</v>
      </c>
      <c r="BC576" t="s">
        <v>2081</v>
      </c>
      <c r="BD576" s="7" t="s">
        <v>26</v>
      </c>
      <c r="BE576" t="s">
        <v>1502</v>
      </c>
      <c r="BF576" s="1" t="s">
        <v>29</v>
      </c>
      <c r="BG576" s="1">
        <v>2</v>
      </c>
      <c r="BH576">
        <v>1</v>
      </c>
      <c r="BK576" s="1">
        <v>1</v>
      </c>
      <c r="BQ576">
        <v>1</v>
      </c>
      <c r="CS576" s="7" t="s">
        <v>2082</v>
      </c>
    </row>
    <row r="577" spans="2:98">
      <c r="B577" t="s">
        <v>2084</v>
      </c>
      <c r="C577" s="2" t="s">
        <v>670</v>
      </c>
      <c r="D577" s="2" t="s">
        <v>670</v>
      </c>
      <c r="E577" s="8" t="s">
        <v>920</v>
      </c>
      <c r="F577" s="8" t="s">
        <v>115</v>
      </c>
      <c r="G577" s="1">
        <v>1</v>
      </c>
      <c r="I577" s="1">
        <f>1805-20</f>
        <v>1785</v>
      </c>
      <c r="J577" t="s">
        <v>10</v>
      </c>
      <c r="K577" t="s">
        <v>12</v>
      </c>
      <c r="Q577">
        <v>5</v>
      </c>
      <c r="T577" s="5">
        <f t="shared" si="21"/>
        <v>158</v>
      </c>
      <c r="U577" t="s">
        <v>2085</v>
      </c>
      <c r="AM577" s="6">
        <v>1</v>
      </c>
      <c r="AN577" s="7">
        <v>1</v>
      </c>
      <c r="BC577" t="s">
        <v>1501</v>
      </c>
      <c r="BD577" s="7" t="s">
        <v>109</v>
      </c>
      <c r="BE577" t="s">
        <v>1502</v>
      </c>
      <c r="BF577" s="1" t="s">
        <v>29</v>
      </c>
      <c r="BG577" s="1">
        <v>2</v>
      </c>
      <c r="BH577">
        <v>1</v>
      </c>
      <c r="BK577" s="1">
        <v>1</v>
      </c>
      <c r="BQ577">
        <v>1</v>
      </c>
      <c r="CS577" s="7" t="s">
        <v>1602</v>
      </c>
    </row>
    <row r="578" spans="2:98">
      <c r="B578" t="s">
        <v>2375</v>
      </c>
      <c r="C578" s="13" t="s">
        <v>2376</v>
      </c>
      <c r="D578" s="13" t="s">
        <v>2376</v>
      </c>
      <c r="E578" s="8" t="s">
        <v>1735</v>
      </c>
      <c r="F578" s="8" t="s">
        <v>115</v>
      </c>
      <c r="G578" s="1">
        <v>1</v>
      </c>
      <c r="I578" s="1">
        <f>1811-24</f>
        <v>1787</v>
      </c>
      <c r="J578" t="s">
        <v>10</v>
      </c>
      <c r="K578" t="s">
        <v>12</v>
      </c>
      <c r="Q578">
        <v>5</v>
      </c>
      <c r="T578" s="5">
        <f t="shared" si="21"/>
        <v>158</v>
      </c>
      <c r="U578" t="s">
        <v>2377</v>
      </c>
      <c r="AM578" s="6">
        <v>1</v>
      </c>
      <c r="AN578" s="6">
        <v>1</v>
      </c>
      <c r="AO578" s="6">
        <v>1</v>
      </c>
      <c r="AP578" s="6">
        <v>1</v>
      </c>
      <c r="AQ578" s="6">
        <v>1</v>
      </c>
      <c r="AR578" s="6">
        <v>1</v>
      </c>
      <c r="AS578" s="6">
        <v>1</v>
      </c>
      <c r="AT578" s="6">
        <v>1</v>
      </c>
      <c r="AU578" s="6">
        <v>1</v>
      </c>
      <c r="AV578" s="6">
        <v>1</v>
      </c>
      <c r="AW578" s="6">
        <v>1</v>
      </c>
      <c r="AX578" s="6">
        <v>1</v>
      </c>
      <c r="AY578" s="7">
        <v>1</v>
      </c>
      <c r="BC578" t="s">
        <v>1517</v>
      </c>
      <c r="BD578" s="7" t="s">
        <v>103</v>
      </c>
      <c r="BE578" t="s">
        <v>118</v>
      </c>
      <c r="BF578" s="1" t="s">
        <v>29</v>
      </c>
      <c r="BG578" s="1">
        <v>2</v>
      </c>
      <c r="BH578">
        <v>2</v>
      </c>
      <c r="BK578" s="1">
        <v>1</v>
      </c>
      <c r="BQ578">
        <v>1</v>
      </c>
      <c r="CL578">
        <v>1</v>
      </c>
      <c r="CS578" s="7" t="s">
        <v>1518</v>
      </c>
    </row>
    <row r="579" spans="2:98">
      <c r="B579" t="s">
        <v>2668</v>
      </c>
      <c r="C579" s="2" t="s">
        <v>1208</v>
      </c>
      <c r="D579" s="13"/>
      <c r="E579" s="8" t="s">
        <v>2669</v>
      </c>
      <c r="F579" s="8" t="s">
        <v>247</v>
      </c>
      <c r="G579" s="1">
        <v>1</v>
      </c>
      <c r="I579" s="1">
        <f>1808-20</f>
        <v>1788</v>
      </c>
      <c r="J579" t="s">
        <v>10</v>
      </c>
      <c r="K579" t="s">
        <v>12</v>
      </c>
      <c r="Q579">
        <v>5</v>
      </c>
      <c r="R579">
        <v>3</v>
      </c>
      <c r="S579">
        <v>2</v>
      </c>
      <c r="T579" s="5">
        <f t="shared" si="21"/>
        <v>166.33</v>
      </c>
      <c r="U579" t="s">
        <v>2670</v>
      </c>
      <c r="AM579" s="6">
        <v>1</v>
      </c>
      <c r="AN579" s="6">
        <v>1</v>
      </c>
      <c r="AO579" s="6">
        <v>1</v>
      </c>
      <c r="AP579" s="6">
        <v>1</v>
      </c>
      <c r="AQ579" s="7">
        <v>1</v>
      </c>
      <c r="BC579" t="s">
        <v>2671</v>
      </c>
      <c r="BD579" s="7" t="s">
        <v>305</v>
      </c>
      <c r="BE579" t="s">
        <v>1065</v>
      </c>
      <c r="BF579" s="1" t="s">
        <v>29</v>
      </c>
      <c r="BG579" s="1">
        <v>4</v>
      </c>
      <c r="BH579">
        <v>1</v>
      </c>
      <c r="BK579" s="1">
        <v>1</v>
      </c>
      <c r="BQ579">
        <v>1</v>
      </c>
      <c r="CM579">
        <v>1</v>
      </c>
      <c r="CS579" s="7" t="s">
        <v>2672</v>
      </c>
    </row>
    <row r="580" spans="2:98">
      <c r="B580" t="s">
        <v>2420</v>
      </c>
      <c r="C580" s="13" t="s">
        <v>2421</v>
      </c>
      <c r="D580" s="13" t="s">
        <v>2421</v>
      </c>
      <c r="E580" s="8" t="s">
        <v>869</v>
      </c>
      <c r="F580" s="8" t="s">
        <v>65</v>
      </c>
      <c r="G580" s="1">
        <v>1</v>
      </c>
      <c r="I580" s="1">
        <f>1817-32</f>
        <v>1785</v>
      </c>
      <c r="J580" t="s">
        <v>10</v>
      </c>
      <c r="K580" t="s">
        <v>2422</v>
      </c>
      <c r="Q580">
        <v>5</v>
      </c>
      <c r="R580">
        <v>4</v>
      </c>
      <c r="T580" s="5">
        <f t="shared" si="21"/>
        <v>168.52</v>
      </c>
      <c r="U580" t="s">
        <v>2423</v>
      </c>
      <c r="AM580" s="6">
        <v>1</v>
      </c>
      <c r="AN580" s="6">
        <v>1</v>
      </c>
      <c r="AO580" s="6">
        <v>1</v>
      </c>
      <c r="AP580" s="6">
        <v>1</v>
      </c>
      <c r="AQ580" s="6">
        <v>1</v>
      </c>
      <c r="AR580" s="6">
        <v>1</v>
      </c>
      <c r="AS580" s="6">
        <v>1</v>
      </c>
      <c r="AT580" s="6">
        <v>1</v>
      </c>
      <c r="AU580" s="6">
        <v>1</v>
      </c>
      <c r="AV580" s="6">
        <v>1</v>
      </c>
      <c r="AW580" s="6">
        <v>1</v>
      </c>
      <c r="AX580" s="6">
        <v>1</v>
      </c>
      <c r="AY580" s="6">
        <v>1</v>
      </c>
      <c r="AZ580" s="7">
        <v>1</v>
      </c>
      <c r="BC580" t="s">
        <v>2424</v>
      </c>
      <c r="BD580" s="7" t="s">
        <v>103</v>
      </c>
      <c r="BE580" t="s">
        <v>2012</v>
      </c>
      <c r="BF580" s="1"/>
      <c r="BG580" s="1">
        <v>3</v>
      </c>
      <c r="BH580">
        <v>4</v>
      </c>
      <c r="BK580" s="1">
        <v>1</v>
      </c>
      <c r="BQ580">
        <v>1</v>
      </c>
      <c r="BX580">
        <v>1</v>
      </c>
      <c r="BY580">
        <v>1</v>
      </c>
      <c r="CL580">
        <v>1</v>
      </c>
      <c r="CS580" s="7" t="s">
        <v>1226</v>
      </c>
    </row>
    <row r="581" spans="2:98">
      <c r="B581" t="s">
        <v>2087</v>
      </c>
      <c r="C581" s="2" t="s">
        <v>2088</v>
      </c>
      <c r="D581" s="2" t="s">
        <v>2088</v>
      </c>
      <c r="E581" s="8" t="s">
        <v>920</v>
      </c>
      <c r="F581" s="8" t="s">
        <v>115</v>
      </c>
      <c r="G581" s="1">
        <v>1</v>
      </c>
      <c r="I581" s="1">
        <f>1805-19</f>
        <v>1786</v>
      </c>
      <c r="J581" t="s">
        <v>10</v>
      </c>
      <c r="K581" t="s">
        <v>12</v>
      </c>
      <c r="Q581">
        <v>5</v>
      </c>
      <c r="R581">
        <v>4</v>
      </c>
      <c r="T581" s="5">
        <f t="shared" si="21"/>
        <v>168.52</v>
      </c>
      <c r="U581" t="s">
        <v>2086</v>
      </c>
      <c r="AM581" s="6">
        <v>1</v>
      </c>
      <c r="AN581" s="7">
        <v>1</v>
      </c>
      <c r="BC581" t="s">
        <v>1501</v>
      </c>
      <c r="BD581" s="7" t="s">
        <v>103</v>
      </c>
      <c r="BE581" t="s">
        <v>1502</v>
      </c>
      <c r="BF581" s="1" t="s">
        <v>29</v>
      </c>
      <c r="BG581" s="1">
        <v>3</v>
      </c>
      <c r="BH581">
        <v>1</v>
      </c>
      <c r="BK581" s="1">
        <v>1</v>
      </c>
      <c r="BQ581">
        <v>1</v>
      </c>
      <c r="CS581" s="7" t="s">
        <v>2089</v>
      </c>
    </row>
    <row r="582" spans="2:98">
      <c r="B582" t="s">
        <v>2384</v>
      </c>
      <c r="C582" s="2" t="s">
        <v>2385</v>
      </c>
      <c r="D582" s="15"/>
      <c r="E582" s="8" t="s">
        <v>696</v>
      </c>
      <c r="F582" s="8" t="s">
        <v>115</v>
      </c>
      <c r="G582" s="1">
        <v>1</v>
      </c>
      <c r="I582" s="1">
        <f>1811-24</f>
        <v>1787</v>
      </c>
      <c r="J582" t="s">
        <v>10</v>
      </c>
      <c r="K582" t="s">
        <v>12</v>
      </c>
      <c r="Q582">
        <v>5</v>
      </c>
      <c r="R582">
        <v>5</v>
      </c>
      <c r="S582">
        <v>1</v>
      </c>
      <c r="T582" s="5">
        <f t="shared" si="21"/>
        <v>171.37</v>
      </c>
      <c r="U582" s="9" t="s">
        <v>2383</v>
      </c>
      <c r="AN582" s="6">
        <v>1</v>
      </c>
      <c r="AO582" s="6">
        <v>1</v>
      </c>
      <c r="AP582" s="6">
        <v>1</v>
      </c>
      <c r="AQ582" s="6">
        <v>1</v>
      </c>
      <c r="AR582" s="6">
        <v>1</v>
      </c>
      <c r="AS582" s="6">
        <v>1</v>
      </c>
      <c r="AT582" s="6">
        <v>1</v>
      </c>
      <c r="AU582" s="6">
        <v>1</v>
      </c>
      <c r="AV582" s="6">
        <v>1</v>
      </c>
      <c r="AW582" s="6">
        <v>1</v>
      </c>
      <c r="AX582" s="6">
        <v>1</v>
      </c>
      <c r="AY582" s="7">
        <v>1</v>
      </c>
      <c r="BC582" t="s">
        <v>1517</v>
      </c>
      <c r="BD582" s="7" t="s">
        <v>103</v>
      </c>
      <c r="BE582" t="s">
        <v>118</v>
      </c>
      <c r="BF582" s="1" t="s">
        <v>29</v>
      </c>
      <c r="BG582" s="1">
        <v>2</v>
      </c>
      <c r="BH582">
        <v>3</v>
      </c>
      <c r="BK582" s="1">
        <v>1</v>
      </c>
      <c r="BQ582">
        <v>1</v>
      </c>
      <c r="BX582">
        <v>1</v>
      </c>
      <c r="CL582">
        <v>1</v>
      </c>
      <c r="CS582" s="7" t="s">
        <v>1518</v>
      </c>
    </row>
    <row r="583" spans="2:98">
      <c r="B583" t="s">
        <v>2132</v>
      </c>
      <c r="C583" s="2" t="s">
        <v>160</v>
      </c>
      <c r="D583" s="3" t="s">
        <v>2133</v>
      </c>
      <c r="E583" s="8" t="s">
        <v>837</v>
      </c>
      <c r="F583" s="8" t="s">
        <v>115</v>
      </c>
      <c r="G583" s="1">
        <v>1</v>
      </c>
      <c r="I583" s="1">
        <f>1806-24</f>
        <v>1782</v>
      </c>
      <c r="J583" t="s">
        <v>69</v>
      </c>
      <c r="K583" t="s">
        <v>12</v>
      </c>
      <c r="T583" s="5"/>
      <c r="U583" s="9" t="s">
        <v>2130</v>
      </c>
      <c r="AN583" s="7">
        <v>1</v>
      </c>
      <c r="BC583" t="s">
        <v>2134</v>
      </c>
      <c r="BD583" s="7" t="s">
        <v>103</v>
      </c>
      <c r="BE583" t="s">
        <v>1564</v>
      </c>
      <c r="BF583" s="1" t="s">
        <v>29</v>
      </c>
      <c r="BG583" s="1">
        <v>3</v>
      </c>
      <c r="BH583">
        <v>1</v>
      </c>
      <c r="BK583" s="1">
        <v>1</v>
      </c>
      <c r="BQ583">
        <v>1</v>
      </c>
      <c r="CM583">
        <v>1</v>
      </c>
      <c r="CS583" s="7" t="s">
        <v>1565</v>
      </c>
      <c r="CT583" s="9" t="s">
        <v>2131</v>
      </c>
    </row>
    <row r="584" spans="2:98">
      <c r="B584" t="s">
        <v>2083</v>
      </c>
      <c r="C584" s="13" t="s">
        <v>2047</v>
      </c>
      <c r="D584" s="13" t="s">
        <v>2047</v>
      </c>
      <c r="E584" s="8" t="s">
        <v>1735</v>
      </c>
      <c r="F584" s="8" t="s">
        <v>115</v>
      </c>
      <c r="G584" s="1">
        <v>1</v>
      </c>
      <c r="I584" s="1">
        <f>1811-36</f>
        <v>1775</v>
      </c>
      <c r="J584" t="s">
        <v>69</v>
      </c>
      <c r="K584" t="s">
        <v>12</v>
      </c>
      <c r="N584">
        <v>1</v>
      </c>
      <c r="Q584">
        <v>5</v>
      </c>
      <c r="R584">
        <v>6</v>
      </c>
      <c r="T584" s="5">
        <f t="shared" si="21"/>
        <v>173.78</v>
      </c>
      <c r="U584" t="s">
        <v>2048</v>
      </c>
      <c r="AN584" s="6">
        <v>1</v>
      </c>
      <c r="AO584" s="6">
        <v>1</v>
      </c>
      <c r="AP584" s="6">
        <v>1</v>
      </c>
      <c r="AQ584" s="6">
        <v>1</v>
      </c>
      <c r="AR584" s="6">
        <v>1</v>
      </c>
      <c r="AS584" s="6">
        <v>1</v>
      </c>
      <c r="AT584" s="6">
        <v>1</v>
      </c>
      <c r="AU584" s="6">
        <v>1</v>
      </c>
      <c r="AV584" s="6">
        <v>1</v>
      </c>
      <c r="AW584" s="6">
        <v>1</v>
      </c>
      <c r="AX584" s="6">
        <v>1</v>
      </c>
      <c r="AY584" s="7">
        <v>1</v>
      </c>
      <c r="BC584" t="s">
        <v>1517</v>
      </c>
      <c r="BD584" s="7" t="s">
        <v>103</v>
      </c>
      <c r="BE584" t="s">
        <v>118</v>
      </c>
      <c r="BF584" s="1" t="s">
        <v>29</v>
      </c>
      <c r="BG584" s="1">
        <v>2</v>
      </c>
      <c r="BH584">
        <v>1</v>
      </c>
      <c r="BK584" s="1">
        <v>1</v>
      </c>
      <c r="BQ584">
        <v>1</v>
      </c>
      <c r="CL584">
        <v>1</v>
      </c>
      <c r="CS584" s="7" t="s">
        <v>1518</v>
      </c>
    </row>
    <row r="585" spans="2:98">
      <c r="B585" t="s">
        <v>1209</v>
      </c>
      <c r="C585" s="2" t="s">
        <v>1208</v>
      </c>
      <c r="D585" s="15"/>
      <c r="E585" s="8"/>
      <c r="F585" s="8" t="s">
        <v>247</v>
      </c>
      <c r="G585" s="1">
        <v>1</v>
      </c>
      <c r="I585" s="1">
        <f>1806-20</f>
        <v>1786</v>
      </c>
      <c r="J585" t="s">
        <v>10</v>
      </c>
      <c r="K585" t="s">
        <v>12</v>
      </c>
      <c r="Q585">
        <v>5</v>
      </c>
      <c r="R585">
        <v>3</v>
      </c>
      <c r="S585">
        <v>2</v>
      </c>
      <c r="T585" s="5">
        <f>((Q585*316)+(R585*26.3)+(S585*2.2))/10</f>
        <v>166.33</v>
      </c>
      <c r="U585" s="24" t="s">
        <v>1210</v>
      </c>
      <c r="AN585" s="6">
        <v>1</v>
      </c>
      <c r="AO585" s="7">
        <v>1</v>
      </c>
      <c r="BC585" t="s">
        <v>1187</v>
      </c>
      <c r="BD585" s="7" t="s">
        <v>103</v>
      </c>
      <c r="BE585" t="s">
        <v>1065</v>
      </c>
      <c r="BF585" s="1" t="s">
        <v>29</v>
      </c>
      <c r="BG585" s="1">
        <v>3</v>
      </c>
      <c r="BH585">
        <v>1</v>
      </c>
      <c r="BK585" s="1">
        <v>1</v>
      </c>
      <c r="BQ585">
        <v>1</v>
      </c>
      <c r="CS585" s="7" t="s">
        <v>203</v>
      </c>
    </row>
    <row r="586" spans="2:98">
      <c r="B586" t="s">
        <v>1101</v>
      </c>
      <c r="C586" s="2" t="s">
        <v>1102</v>
      </c>
      <c r="D586" s="15"/>
      <c r="E586" s="8" t="s">
        <v>1094</v>
      </c>
      <c r="F586" s="8" t="s">
        <v>247</v>
      </c>
      <c r="G586" s="1">
        <v>1</v>
      </c>
      <c r="I586" s="1">
        <f>1806-19</f>
        <v>1787</v>
      </c>
      <c r="J586" t="s">
        <v>10</v>
      </c>
      <c r="K586" t="s">
        <v>12</v>
      </c>
      <c r="Q586">
        <v>5</v>
      </c>
      <c r="R586">
        <v>4</v>
      </c>
      <c r="S586">
        <v>3</v>
      </c>
      <c r="T586" s="5">
        <f>((Q586*316)+(R586*26.3)+(S586*2.2))/10</f>
        <v>169.18</v>
      </c>
      <c r="U586" t="s">
        <v>1097</v>
      </c>
      <c r="AN586" s="6">
        <v>1</v>
      </c>
      <c r="AO586" s="7">
        <v>1</v>
      </c>
      <c r="BC586" t="s">
        <v>1103</v>
      </c>
      <c r="BD586" s="7" t="s">
        <v>103</v>
      </c>
      <c r="BE586" t="s">
        <v>1065</v>
      </c>
      <c r="BF586" s="1" t="s">
        <v>29</v>
      </c>
      <c r="BG586" s="1">
        <v>2</v>
      </c>
      <c r="BH586">
        <v>1</v>
      </c>
      <c r="BK586" s="1">
        <v>1</v>
      </c>
      <c r="BQ586">
        <v>1</v>
      </c>
      <c r="CS586" s="7" t="s">
        <v>475</v>
      </c>
    </row>
    <row r="587" spans="2:98">
      <c r="B587" t="s">
        <v>1098</v>
      </c>
      <c r="C587" s="2" t="s">
        <v>1099</v>
      </c>
      <c r="D587" s="15"/>
      <c r="E587" s="8" t="s">
        <v>1094</v>
      </c>
      <c r="F587" s="8" t="s">
        <v>247</v>
      </c>
      <c r="G587" s="1">
        <v>1</v>
      </c>
      <c r="I587" s="1">
        <f>1806-18</f>
        <v>1788</v>
      </c>
      <c r="J587" t="s">
        <v>10</v>
      </c>
      <c r="K587" t="s">
        <v>12</v>
      </c>
      <c r="Q587">
        <v>5</v>
      </c>
      <c r="R587">
        <v>2</v>
      </c>
      <c r="S587">
        <v>2</v>
      </c>
      <c r="T587" s="5">
        <f t="shared" ref="T587:T592" si="22">((Q587*316)+(R587*26.3)+(S587*2.2))/10</f>
        <v>163.69999999999999</v>
      </c>
      <c r="U587" t="s">
        <v>1097</v>
      </c>
      <c r="AN587" s="7">
        <v>1</v>
      </c>
      <c r="BC587" t="s">
        <v>1100</v>
      </c>
      <c r="BD587" s="7" t="s">
        <v>103</v>
      </c>
      <c r="BE587" t="s">
        <v>1065</v>
      </c>
      <c r="BF587" s="1" t="s">
        <v>29</v>
      </c>
      <c r="BG587" s="1">
        <v>2</v>
      </c>
      <c r="BH587">
        <v>1</v>
      </c>
      <c r="BK587" s="1">
        <v>1</v>
      </c>
      <c r="BQ587">
        <v>1</v>
      </c>
      <c r="CS587" s="7" t="s">
        <v>475</v>
      </c>
    </row>
    <row r="588" spans="2:98">
      <c r="B588" t="s">
        <v>1237</v>
      </c>
      <c r="C588" s="2" t="s">
        <v>1087</v>
      </c>
      <c r="D588" s="15"/>
      <c r="E588" s="8" t="s">
        <v>1088</v>
      </c>
      <c r="F588" s="8" t="s">
        <v>247</v>
      </c>
      <c r="G588" s="1">
        <v>1</v>
      </c>
      <c r="I588" s="1">
        <f>1806-26</f>
        <v>1780</v>
      </c>
      <c r="J588" t="s">
        <v>10</v>
      </c>
      <c r="K588" t="s">
        <v>12</v>
      </c>
      <c r="Q588">
        <v>5</v>
      </c>
      <c r="R588">
        <v>3</v>
      </c>
      <c r="T588" s="5">
        <f t="shared" si="22"/>
        <v>165.89000000000001</v>
      </c>
      <c r="U588" t="s">
        <v>1165</v>
      </c>
      <c r="AN588" s="6">
        <v>1</v>
      </c>
      <c r="AO588" s="7">
        <v>1</v>
      </c>
      <c r="BC588" t="s">
        <v>1236</v>
      </c>
      <c r="BD588" s="7" t="s">
        <v>103</v>
      </c>
      <c r="BE588" t="s">
        <v>1065</v>
      </c>
      <c r="BF588" s="1" t="s">
        <v>29</v>
      </c>
      <c r="BG588" s="1">
        <v>3</v>
      </c>
      <c r="BH588">
        <v>1</v>
      </c>
      <c r="BK588" s="1">
        <v>1</v>
      </c>
      <c r="BQ588">
        <v>1</v>
      </c>
      <c r="CS588" s="7" t="s">
        <v>203</v>
      </c>
    </row>
    <row r="589" spans="2:98">
      <c r="B589" t="s">
        <v>1167</v>
      </c>
      <c r="C589" s="2" t="s">
        <v>1166</v>
      </c>
      <c r="D589" s="15"/>
      <c r="E589" s="8" t="s">
        <v>1094</v>
      </c>
      <c r="F589" s="8" t="s">
        <v>247</v>
      </c>
      <c r="G589" s="1">
        <v>1</v>
      </c>
      <c r="I589" s="1">
        <f>1806-28</f>
        <v>1778</v>
      </c>
      <c r="J589" t="s">
        <v>69</v>
      </c>
      <c r="K589" t="s">
        <v>12</v>
      </c>
      <c r="Q589">
        <v>5</v>
      </c>
      <c r="R589">
        <v>6</v>
      </c>
      <c r="S589">
        <v>3</v>
      </c>
      <c r="T589" s="5">
        <f t="shared" si="22"/>
        <v>174.44</v>
      </c>
      <c r="U589" t="s">
        <v>1165</v>
      </c>
      <c r="AN589" s="6">
        <v>1</v>
      </c>
      <c r="AO589" s="7">
        <v>1</v>
      </c>
      <c r="BC589" t="s">
        <v>1100</v>
      </c>
      <c r="BD589" s="7" t="s">
        <v>103</v>
      </c>
      <c r="BE589" t="s">
        <v>1065</v>
      </c>
      <c r="BF589" s="1" t="s">
        <v>29</v>
      </c>
      <c r="BG589" s="1">
        <v>3</v>
      </c>
      <c r="BH589">
        <v>1</v>
      </c>
      <c r="BK589" s="1">
        <v>1</v>
      </c>
      <c r="BQ589">
        <v>1</v>
      </c>
      <c r="CS589" s="7" t="s">
        <v>475</v>
      </c>
    </row>
    <row r="590" spans="2:98">
      <c r="B590" t="s">
        <v>128</v>
      </c>
      <c r="C590" s="2" t="s">
        <v>129</v>
      </c>
      <c r="E590" s="8" t="s">
        <v>130</v>
      </c>
      <c r="F590" s="8" t="s">
        <v>65</v>
      </c>
      <c r="G590" s="1">
        <v>1</v>
      </c>
      <c r="I590" s="1">
        <f>1810-20</f>
        <v>1790</v>
      </c>
      <c r="J590" t="s">
        <v>10</v>
      </c>
      <c r="K590" t="s">
        <v>12</v>
      </c>
      <c r="Q590">
        <v>5</v>
      </c>
      <c r="R590">
        <v>4</v>
      </c>
      <c r="S590">
        <v>3</v>
      </c>
      <c r="T590" s="5">
        <f t="shared" si="22"/>
        <v>169.18</v>
      </c>
      <c r="U590" t="s">
        <v>131</v>
      </c>
      <c r="AO590" s="6">
        <v>1</v>
      </c>
      <c r="AP590" s="6">
        <v>1</v>
      </c>
      <c r="AQ590" s="6">
        <v>1</v>
      </c>
      <c r="AR590" s="6">
        <v>1</v>
      </c>
      <c r="AS590" s="6">
        <v>1</v>
      </c>
      <c r="AT590" s="6">
        <v>1</v>
      </c>
      <c r="AU590" s="7">
        <v>1</v>
      </c>
      <c r="BC590" t="s">
        <v>1449</v>
      </c>
      <c r="BD590" s="7" t="s">
        <v>280</v>
      </c>
      <c r="BE590" t="s">
        <v>151</v>
      </c>
      <c r="BF590" s="1" t="s">
        <v>29</v>
      </c>
      <c r="BG590" s="1">
        <v>8</v>
      </c>
      <c r="BH590">
        <v>2</v>
      </c>
      <c r="BI590">
        <v>1</v>
      </c>
      <c r="BK590" s="1">
        <v>1</v>
      </c>
      <c r="BQ590">
        <v>1</v>
      </c>
      <c r="CL590">
        <v>1</v>
      </c>
      <c r="CM590">
        <v>1</v>
      </c>
      <c r="CN590">
        <v>1</v>
      </c>
      <c r="CS590" s="7" t="s">
        <v>1450</v>
      </c>
    </row>
    <row r="591" spans="2:98">
      <c r="B591" t="s">
        <v>1640</v>
      </c>
      <c r="C591" s="15" t="s">
        <v>1641</v>
      </c>
      <c r="E591" s="8"/>
      <c r="F591" s="8" t="s">
        <v>115</v>
      </c>
      <c r="G591" s="1">
        <v>1</v>
      </c>
      <c r="I591" s="1">
        <f>1811-24</f>
        <v>1787</v>
      </c>
      <c r="J591" t="s">
        <v>10</v>
      </c>
      <c r="K591" t="s">
        <v>12</v>
      </c>
      <c r="Q591">
        <v>5</v>
      </c>
      <c r="R591">
        <v>2</v>
      </c>
      <c r="S591">
        <v>2</v>
      </c>
      <c r="T591" s="5">
        <f t="shared" si="22"/>
        <v>163.69999999999999</v>
      </c>
      <c r="U591" t="s">
        <v>131</v>
      </c>
      <c r="AO591" s="6">
        <v>1</v>
      </c>
      <c r="AP591" s="6">
        <v>1</v>
      </c>
      <c r="AQ591" s="6">
        <v>1</v>
      </c>
      <c r="AR591" s="6">
        <v>1</v>
      </c>
      <c r="AS591" s="6">
        <v>1</v>
      </c>
      <c r="AT591" s="6">
        <v>1</v>
      </c>
      <c r="AU591" s="6">
        <v>1</v>
      </c>
      <c r="AV591" s="6">
        <v>1</v>
      </c>
      <c r="AW591" s="6">
        <v>1</v>
      </c>
      <c r="AX591" s="6">
        <v>1</v>
      </c>
      <c r="AY591" s="7">
        <v>1</v>
      </c>
      <c r="BC591" t="s">
        <v>1642</v>
      </c>
      <c r="BD591" s="7" t="s">
        <v>103</v>
      </c>
      <c r="BE591" t="s">
        <v>62</v>
      </c>
      <c r="BF591" s="1" t="s">
        <v>29</v>
      </c>
      <c r="BG591" s="1">
        <v>5</v>
      </c>
      <c r="BH591">
        <v>1</v>
      </c>
      <c r="BK591" s="1">
        <v>1</v>
      </c>
      <c r="BQ591">
        <v>1</v>
      </c>
      <c r="CI591">
        <v>1</v>
      </c>
      <c r="CS591" s="7" t="s">
        <v>361</v>
      </c>
    </row>
    <row r="592" spans="2:98">
      <c r="B592" t="s">
        <v>1621</v>
      </c>
      <c r="C592" s="2" t="s">
        <v>1083</v>
      </c>
      <c r="D592" s="3" t="s">
        <v>192</v>
      </c>
      <c r="E592" s="8" t="s">
        <v>1084</v>
      </c>
      <c r="F592" s="8" t="s">
        <v>65</v>
      </c>
      <c r="G592" s="1">
        <v>1</v>
      </c>
      <c r="I592" s="1">
        <f>1811-27</f>
        <v>1784</v>
      </c>
      <c r="J592" t="s">
        <v>10</v>
      </c>
      <c r="K592" t="s">
        <v>12</v>
      </c>
      <c r="Q592">
        <v>5</v>
      </c>
      <c r="R592">
        <v>4</v>
      </c>
      <c r="T592" s="5">
        <f t="shared" si="22"/>
        <v>168.52</v>
      </c>
      <c r="U592" t="s">
        <v>861</v>
      </c>
      <c r="AO592" s="6">
        <v>1</v>
      </c>
      <c r="AP592" s="6">
        <v>1</v>
      </c>
      <c r="AQ592" s="6">
        <v>1</v>
      </c>
      <c r="AR592" s="6">
        <v>1</v>
      </c>
      <c r="AS592" s="6">
        <v>1</v>
      </c>
      <c r="AT592" s="6">
        <v>1</v>
      </c>
      <c r="BC592">
        <v>1812</v>
      </c>
      <c r="BD592" t="s">
        <v>81</v>
      </c>
      <c r="BE592" s="10" t="s">
        <v>62</v>
      </c>
      <c r="BF592" s="1" t="s">
        <v>73</v>
      </c>
      <c r="BG592" s="1">
        <v>3</v>
      </c>
      <c r="BH592">
        <v>2</v>
      </c>
      <c r="BK592" s="1">
        <v>1</v>
      </c>
      <c r="BQ592">
        <v>1</v>
      </c>
      <c r="CL592" s="10">
        <v>1</v>
      </c>
      <c r="CS592" s="10" t="s">
        <v>150</v>
      </c>
    </row>
    <row r="593" spans="2:98">
      <c r="B593" t="s">
        <v>858</v>
      </c>
      <c r="C593" s="13" t="s">
        <v>859</v>
      </c>
      <c r="D593" s="2" t="s">
        <v>860</v>
      </c>
      <c r="E593" s="8" t="s">
        <v>837</v>
      </c>
      <c r="F593" s="8" t="s">
        <v>115</v>
      </c>
      <c r="G593" s="1">
        <v>1</v>
      </c>
      <c r="I593" s="1">
        <f>1807-20</f>
        <v>1787</v>
      </c>
      <c r="J593" t="s">
        <v>10</v>
      </c>
      <c r="K593" t="s">
        <v>12</v>
      </c>
      <c r="T593" s="5"/>
      <c r="U593" t="s">
        <v>861</v>
      </c>
      <c r="AO593" s="7">
        <v>1</v>
      </c>
      <c r="BC593" t="s">
        <v>864</v>
      </c>
      <c r="BD593" s="7" t="s">
        <v>103</v>
      </c>
      <c r="BE593" t="s">
        <v>865</v>
      </c>
      <c r="BF593" s="1" t="s">
        <v>29</v>
      </c>
      <c r="BG593" s="1">
        <v>1</v>
      </c>
      <c r="BH593">
        <v>1</v>
      </c>
      <c r="BJ593">
        <v>1</v>
      </c>
      <c r="BK593" s="1">
        <v>1</v>
      </c>
      <c r="BQ593">
        <v>1</v>
      </c>
      <c r="CS593" s="7" t="s">
        <v>866</v>
      </c>
    </row>
    <row r="594" spans="2:98">
      <c r="B594" t="s">
        <v>863</v>
      </c>
      <c r="C594" s="13" t="s">
        <v>862</v>
      </c>
      <c r="E594" s="8" t="s">
        <v>837</v>
      </c>
      <c r="F594" s="8" t="s">
        <v>115</v>
      </c>
      <c r="G594" s="1">
        <v>1</v>
      </c>
      <c r="I594" s="1">
        <f>1807-20</f>
        <v>1787</v>
      </c>
      <c r="J594" t="s">
        <v>10</v>
      </c>
      <c r="K594" t="s">
        <v>12</v>
      </c>
      <c r="T594" s="5"/>
      <c r="U594" t="s">
        <v>1847</v>
      </c>
      <c r="AO594" s="7">
        <v>1</v>
      </c>
      <c r="BC594" t="s">
        <v>864</v>
      </c>
      <c r="BD594" s="7" t="s">
        <v>103</v>
      </c>
      <c r="BE594" t="s">
        <v>865</v>
      </c>
      <c r="BF594" s="1" t="s">
        <v>29</v>
      </c>
      <c r="BG594" s="1">
        <v>1</v>
      </c>
      <c r="BH594">
        <v>1</v>
      </c>
      <c r="BJ594">
        <v>1</v>
      </c>
      <c r="BK594" s="1">
        <v>1</v>
      </c>
      <c r="BQ594">
        <v>1</v>
      </c>
      <c r="CS594" s="7" t="s">
        <v>866</v>
      </c>
    </row>
    <row r="595" spans="2:98">
      <c r="B595" t="s">
        <v>1846</v>
      </c>
      <c r="C595" s="2" t="s">
        <v>1305</v>
      </c>
      <c r="D595" s="2" t="s">
        <v>1305</v>
      </c>
      <c r="E595" s="8" t="s">
        <v>1306</v>
      </c>
      <c r="F595" s="8" t="s">
        <v>65</v>
      </c>
      <c r="G595" s="1">
        <v>1</v>
      </c>
      <c r="I595" s="1">
        <f>1811-26</f>
        <v>1785</v>
      </c>
      <c r="J595" t="s">
        <v>10</v>
      </c>
      <c r="K595" t="s">
        <v>12</v>
      </c>
      <c r="Q595">
        <v>5</v>
      </c>
      <c r="R595">
        <v>6</v>
      </c>
      <c r="S595">
        <v>2</v>
      </c>
      <c r="T595" s="5">
        <f t="shared" ref="T595:T654" si="23">((Q595*316)+(R595*26.3)+(S595*2.2))/10</f>
        <v>174.22</v>
      </c>
      <c r="U595" t="s">
        <v>823</v>
      </c>
      <c r="AO595" s="6">
        <v>1</v>
      </c>
      <c r="AP595" s="6">
        <v>1</v>
      </c>
      <c r="AQ595" s="6">
        <v>1</v>
      </c>
      <c r="AR595" s="6">
        <v>1</v>
      </c>
      <c r="AS595" s="6">
        <v>1</v>
      </c>
      <c r="AT595" s="6">
        <v>1</v>
      </c>
      <c r="AU595" s="6">
        <v>1</v>
      </c>
      <c r="AV595" s="6">
        <v>1</v>
      </c>
      <c r="AW595" s="6">
        <v>1</v>
      </c>
      <c r="AX595" s="6">
        <v>1</v>
      </c>
      <c r="AY595" s="6">
        <v>1</v>
      </c>
      <c r="AZ595" s="7">
        <v>1</v>
      </c>
      <c r="BC595" t="s">
        <v>1848</v>
      </c>
      <c r="BD595" s="7" t="s">
        <v>103</v>
      </c>
      <c r="BE595" t="s">
        <v>62</v>
      </c>
      <c r="BF595" s="1" t="s">
        <v>29</v>
      </c>
      <c r="BG595" s="1">
        <v>4</v>
      </c>
      <c r="BH595">
        <v>1</v>
      </c>
      <c r="BK595" s="1">
        <v>1</v>
      </c>
      <c r="BQ595">
        <v>1</v>
      </c>
      <c r="CS595" s="7" t="s">
        <v>412</v>
      </c>
    </row>
    <row r="596" spans="2:98">
      <c r="B596" t="s">
        <v>821</v>
      </c>
      <c r="C596" s="15" t="s">
        <v>822</v>
      </c>
      <c r="E596" s="8" t="s">
        <v>654</v>
      </c>
      <c r="F596" s="8" t="s">
        <v>65</v>
      </c>
      <c r="G596" s="1">
        <v>1</v>
      </c>
      <c r="I596" s="1">
        <f>1810-23</f>
        <v>1787</v>
      </c>
      <c r="J596" t="s">
        <v>10</v>
      </c>
      <c r="K596" t="s">
        <v>12</v>
      </c>
      <c r="Q596">
        <v>5</v>
      </c>
      <c r="R596">
        <v>3</v>
      </c>
      <c r="T596" s="5">
        <f t="shared" si="23"/>
        <v>165.89000000000001</v>
      </c>
      <c r="U596" t="s">
        <v>823</v>
      </c>
      <c r="AO596" s="6">
        <v>1</v>
      </c>
      <c r="AP596" s="6">
        <v>1</v>
      </c>
      <c r="AQ596" s="6">
        <v>1</v>
      </c>
      <c r="AR596" s="7">
        <v>1</v>
      </c>
      <c r="BC596" t="s">
        <v>108</v>
      </c>
      <c r="BD596" s="7" t="s">
        <v>109</v>
      </c>
      <c r="BE596" t="s">
        <v>820</v>
      </c>
      <c r="BF596" s="1" t="s">
        <v>29</v>
      </c>
      <c r="BG596" s="1">
        <v>2</v>
      </c>
      <c r="BH596">
        <v>2</v>
      </c>
      <c r="BK596" s="1">
        <v>1</v>
      </c>
      <c r="BQ596">
        <v>1</v>
      </c>
      <c r="CL596">
        <v>1</v>
      </c>
      <c r="CS596" s="7" t="s">
        <v>1432</v>
      </c>
    </row>
    <row r="597" spans="2:98">
      <c r="B597" t="s">
        <v>1615</v>
      </c>
      <c r="C597" s="2" t="s">
        <v>1616</v>
      </c>
      <c r="D597" s="2" t="s">
        <v>1616</v>
      </c>
      <c r="E597" s="8" t="s">
        <v>1084</v>
      </c>
      <c r="F597" s="8" t="s">
        <v>65</v>
      </c>
      <c r="G597" s="1">
        <v>1</v>
      </c>
      <c r="I597" s="1">
        <f>1811-26</f>
        <v>1785</v>
      </c>
      <c r="J597" t="s">
        <v>10</v>
      </c>
      <c r="K597" t="s">
        <v>12</v>
      </c>
      <c r="Q597">
        <v>5</v>
      </c>
      <c r="R597">
        <v>2</v>
      </c>
      <c r="S597">
        <v>2</v>
      </c>
      <c r="T597" s="5">
        <f t="shared" si="23"/>
        <v>163.69999999999999</v>
      </c>
      <c r="U597" t="s">
        <v>1157</v>
      </c>
      <c r="AO597" s="6">
        <v>1</v>
      </c>
      <c r="AP597" s="6">
        <v>1</v>
      </c>
      <c r="AQ597" s="6">
        <v>1</v>
      </c>
      <c r="AR597" s="6">
        <v>1</v>
      </c>
      <c r="AS597" s="6">
        <v>1</v>
      </c>
      <c r="AT597" s="6">
        <v>1</v>
      </c>
      <c r="AU597" s="6">
        <v>1</v>
      </c>
      <c r="AV597" s="6">
        <v>1</v>
      </c>
      <c r="AW597" s="6">
        <v>1</v>
      </c>
      <c r="AX597" s="6">
        <v>1</v>
      </c>
      <c r="AY597" s="7">
        <v>1</v>
      </c>
      <c r="BC597" t="s">
        <v>1617</v>
      </c>
      <c r="BD597" s="7" t="s">
        <v>103</v>
      </c>
      <c r="BE597" t="s">
        <v>1618</v>
      </c>
      <c r="BF597" s="1" t="s">
        <v>29</v>
      </c>
      <c r="BG597" s="1">
        <v>5</v>
      </c>
      <c r="BH597">
        <v>2</v>
      </c>
      <c r="BK597" s="1">
        <v>1</v>
      </c>
      <c r="BQ597">
        <v>1</v>
      </c>
      <c r="CL597">
        <v>1</v>
      </c>
      <c r="CQ597">
        <v>1</v>
      </c>
      <c r="CS597" s="7" t="s">
        <v>412</v>
      </c>
    </row>
    <row r="598" spans="2:98">
      <c r="B598" t="s">
        <v>2498</v>
      </c>
      <c r="C598" s="2" t="s">
        <v>2499</v>
      </c>
      <c r="D598" s="13"/>
      <c r="E598" s="8" t="s">
        <v>1306</v>
      </c>
      <c r="F598" s="8" t="s">
        <v>65</v>
      </c>
      <c r="G598" s="1">
        <v>1</v>
      </c>
      <c r="I598" s="1">
        <f>1811-25</f>
        <v>1786</v>
      </c>
      <c r="J598" t="s">
        <v>10</v>
      </c>
      <c r="K598" t="s">
        <v>12</v>
      </c>
      <c r="Q598">
        <v>5</v>
      </c>
      <c r="R598">
        <v>4</v>
      </c>
      <c r="S598">
        <v>1</v>
      </c>
      <c r="T598" s="5">
        <f>((Q598*316)+(R598*26.3)+(S598*2.2))/10</f>
        <v>168.74</v>
      </c>
      <c r="U598" t="s">
        <v>827</v>
      </c>
      <c r="AO598" s="6">
        <v>1</v>
      </c>
      <c r="AP598" s="6">
        <v>1</v>
      </c>
      <c r="AQ598" s="6">
        <v>1</v>
      </c>
      <c r="AR598" s="6">
        <v>1</v>
      </c>
      <c r="AS598" s="6">
        <v>1</v>
      </c>
      <c r="AT598" s="6">
        <v>1</v>
      </c>
      <c r="AU598" s="6">
        <v>1</v>
      </c>
      <c r="AV598" s="6">
        <v>1</v>
      </c>
      <c r="AW598" s="6">
        <v>1</v>
      </c>
      <c r="AX598" s="6">
        <v>1</v>
      </c>
      <c r="AY598" s="6">
        <v>1</v>
      </c>
      <c r="AZ598" s="6">
        <v>1</v>
      </c>
      <c r="BA598" s="6">
        <v>1</v>
      </c>
      <c r="BB598" s="6">
        <v>1</v>
      </c>
      <c r="BC598">
        <v>1820</v>
      </c>
      <c r="BD598" t="s">
        <v>81</v>
      </c>
      <c r="BE598" t="s">
        <v>62</v>
      </c>
      <c r="BF598" s="1" t="s">
        <v>29</v>
      </c>
      <c r="BG598" s="1">
        <v>6</v>
      </c>
      <c r="BH598">
        <v>1</v>
      </c>
      <c r="BK598" s="1">
        <v>1</v>
      </c>
      <c r="BP598">
        <v>1</v>
      </c>
      <c r="BQ598">
        <v>1</v>
      </c>
      <c r="CF598">
        <v>1</v>
      </c>
      <c r="CM598">
        <v>1</v>
      </c>
      <c r="CQ598">
        <v>1</v>
      </c>
      <c r="CR598" t="s">
        <v>72</v>
      </c>
      <c r="CS598" t="s">
        <v>2483</v>
      </c>
    </row>
    <row r="599" spans="2:98">
      <c r="B599" t="s">
        <v>825</v>
      </c>
      <c r="C599" s="15" t="s">
        <v>826</v>
      </c>
      <c r="E599" s="8" t="s">
        <v>654</v>
      </c>
      <c r="F599" s="8" t="s">
        <v>65</v>
      </c>
      <c r="G599" s="1">
        <v>1</v>
      </c>
      <c r="I599" s="1">
        <f>1817-30</f>
        <v>1787</v>
      </c>
      <c r="J599" t="s">
        <v>10</v>
      </c>
      <c r="K599" t="s">
        <v>12</v>
      </c>
      <c r="Q599">
        <v>5</v>
      </c>
      <c r="R599">
        <v>3</v>
      </c>
      <c r="T599" s="5">
        <f t="shared" si="23"/>
        <v>165.89000000000001</v>
      </c>
      <c r="U599" t="s">
        <v>827</v>
      </c>
      <c r="AO599" s="6">
        <v>1</v>
      </c>
      <c r="AP599" s="6">
        <v>1</v>
      </c>
      <c r="AQ599" s="6">
        <v>1</v>
      </c>
      <c r="AR599" s="6">
        <v>1</v>
      </c>
      <c r="AS599" s="6">
        <v>1</v>
      </c>
      <c r="AT599" s="6">
        <v>1</v>
      </c>
      <c r="AU599" s="6">
        <v>1</v>
      </c>
      <c r="AV599" s="6">
        <v>1</v>
      </c>
      <c r="AW599" s="6">
        <v>1</v>
      </c>
      <c r="AX599" s="6">
        <v>1</v>
      </c>
      <c r="AY599" s="6">
        <v>1</v>
      </c>
      <c r="BC599">
        <v>1817</v>
      </c>
      <c r="BD599" t="s">
        <v>81</v>
      </c>
      <c r="BE599" t="s">
        <v>828</v>
      </c>
      <c r="BF599" s="1" t="s">
        <v>73</v>
      </c>
      <c r="BG599" s="1">
        <v>3</v>
      </c>
      <c r="BH599">
        <v>4</v>
      </c>
      <c r="BK599" s="1">
        <v>1</v>
      </c>
      <c r="BQ599">
        <v>1</v>
      </c>
      <c r="BV599">
        <v>1</v>
      </c>
      <c r="BY599">
        <v>1</v>
      </c>
      <c r="CL599">
        <v>1</v>
      </c>
      <c r="CS599" t="s">
        <v>829</v>
      </c>
    </row>
    <row r="600" spans="2:98">
      <c r="B600" t="s">
        <v>1843</v>
      </c>
      <c r="C600" s="15" t="s">
        <v>815</v>
      </c>
      <c r="E600" s="8" t="s">
        <v>130</v>
      </c>
      <c r="F600" s="8" t="s">
        <v>65</v>
      </c>
      <c r="G600" s="1">
        <v>1</v>
      </c>
      <c r="I600" s="1">
        <f>1811-24</f>
        <v>1787</v>
      </c>
      <c r="J600" t="s">
        <v>10</v>
      </c>
      <c r="K600" t="s">
        <v>197</v>
      </c>
      <c r="Q600">
        <v>5</v>
      </c>
      <c r="R600">
        <v>5</v>
      </c>
      <c r="S600">
        <v>2</v>
      </c>
      <c r="T600" s="5">
        <f t="shared" si="23"/>
        <v>171.59</v>
      </c>
      <c r="U600" t="s">
        <v>1164</v>
      </c>
      <c r="AO600" s="6">
        <v>1</v>
      </c>
      <c r="AP600" s="6">
        <v>1</v>
      </c>
      <c r="AQ600" s="6">
        <v>1</v>
      </c>
      <c r="AR600" s="6">
        <v>1</v>
      </c>
      <c r="AS600" s="6">
        <v>1</v>
      </c>
      <c r="AT600" s="6">
        <v>1</v>
      </c>
      <c r="AU600" s="6">
        <v>1</v>
      </c>
      <c r="AV600" s="6">
        <v>1</v>
      </c>
      <c r="AW600" s="6">
        <v>1</v>
      </c>
      <c r="AX600" s="6">
        <v>1</v>
      </c>
      <c r="AY600" s="6">
        <v>1</v>
      </c>
      <c r="AZ600" s="7">
        <v>1</v>
      </c>
      <c r="BC600" t="s">
        <v>1844</v>
      </c>
      <c r="BD600" s="7" t="s">
        <v>103</v>
      </c>
      <c r="BE600" t="s">
        <v>62</v>
      </c>
      <c r="BF600" s="1" t="s">
        <v>29</v>
      </c>
      <c r="BG600" s="1">
        <v>4</v>
      </c>
      <c r="BH600">
        <v>3</v>
      </c>
      <c r="BK600" s="1">
        <v>1</v>
      </c>
      <c r="BQ600">
        <v>1</v>
      </c>
      <c r="CG600">
        <v>1</v>
      </c>
      <c r="CL600">
        <v>1</v>
      </c>
      <c r="CM600" s="9">
        <v>1</v>
      </c>
      <c r="CQ600">
        <v>1</v>
      </c>
      <c r="CS600" s="7" t="s">
        <v>412</v>
      </c>
      <c r="CT600" s="9" t="s">
        <v>1845</v>
      </c>
    </row>
    <row r="601" spans="2:98">
      <c r="B601" t="s">
        <v>552</v>
      </c>
      <c r="C601" s="15" t="s">
        <v>553</v>
      </c>
      <c r="D601" s="15" t="s">
        <v>554</v>
      </c>
      <c r="E601" s="8" t="s">
        <v>555</v>
      </c>
      <c r="F601" s="8" t="s">
        <v>218</v>
      </c>
      <c r="G601" s="1">
        <v>1</v>
      </c>
      <c r="I601" s="1">
        <f>1809-24</f>
        <v>1785</v>
      </c>
      <c r="J601" t="s">
        <v>10</v>
      </c>
      <c r="K601" t="s">
        <v>116</v>
      </c>
      <c r="Q601">
        <v>5</v>
      </c>
      <c r="R601">
        <v>2</v>
      </c>
      <c r="S601">
        <v>2</v>
      </c>
      <c r="T601" s="5">
        <f t="shared" si="23"/>
        <v>163.69999999999999</v>
      </c>
      <c r="U601" s="9" t="s">
        <v>551</v>
      </c>
      <c r="AO601" s="9">
        <v>1</v>
      </c>
      <c r="AP601" s="9">
        <v>1</v>
      </c>
      <c r="AQ601" s="7">
        <v>1</v>
      </c>
      <c r="BC601" t="s">
        <v>556</v>
      </c>
      <c r="BD601" s="7" t="s">
        <v>163</v>
      </c>
      <c r="BE601" t="s">
        <v>433</v>
      </c>
      <c r="BF601" s="1" t="s">
        <v>29</v>
      </c>
      <c r="BG601" s="1">
        <v>1</v>
      </c>
      <c r="BH601">
        <v>2</v>
      </c>
      <c r="BK601" s="1" t="s">
        <v>72</v>
      </c>
      <c r="BO601">
        <v>1</v>
      </c>
      <c r="BP601">
        <v>1</v>
      </c>
      <c r="BQ601">
        <v>1</v>
      </c>
      <c r="BR601">
        <v>1</v>
      </c>
      <c r="CF601">
        <v>1</v>
      </c>
      <c r="CS601" s="7" t="s">
        <v>557</v>
      </c>
    </row>
    <row r="602" spans="2:98">
      <c r="B602" t="s">
        <v>1611</v>
      </c>
      <c r="C602" s="2" t="s">
        <v>1612</v>
      </c>
      <c r="D602" s="15"/>
      <c r="E602" s="8" t="s">
        <v>869</v>
      </c>
      <c r="F602" s="8" t="s">
        <v>65</v>
      </c>
      <c r="G602" s="1">
        <v>1</v>
      </c>
      <c r="I602" s="1">
        <f>1811-34</f>
        <v>1777</v>
      </c>
      <c r="J602" t="s">
        <v>69</v>
      </c>
      <c r="K602" t="s">
        <v>12</v>
      </c>
      <c r="N602">
        <v>1</v>
      </c>
      <c r="Q602">
        <v>5</v>
      </c>
      <c r="R602">
        <v>5</v>
      </c>
      <c r="T602" s="5">
        <f t="shared" si="23"/>
        <v>171.15</v>
      </c>
      <c r="U602" t="s">
        <v>1187</v>
      </c>
      <c r="AO602" s="6">
        <v>1</v>
      </c>
      <c r="AP602" s="6">
        <v>1</v>
      </c>
      <c r="AQ602" s="6">
        <v>1</v>
      </c>
      <c r="AR602" s="6">
        <v>1</v>
      </c>
      <c r="AS602" s="6">
        <v>1</v>
      </c>
      <c r="AT602" s="7">
        <v>1</v>
      </c>
      <c r="BC602" t="s">
        <v>1613</v>
      </c>
      <c r="BD602" s="7" t="s">
        <v>280</v>
      </c>
      <c r="BE602" t="s">
        <v>62</v>
      </c>
      <c r="BF602" s="1" t="s">
        <v>29</v>
      </c>
      <c r="BG602" s="1">
        <v>4</v>
      </c>
      <c r="BH602">
        <v>1</v>
      </c>
      <c r="BK602" s="1">
        <v>1</v>
      </c>
      <c r="BQ602">
        <v>1</v>
      </c>
      <c r="CG602">
        <v>1</v>
      </c>
      <c r="CM602">
        <v>1</v>
      </c>
      <c r="CS602" s="7" t="s">
        <v>1614</v>
      </c>
    </row>
    <row r="603" spans="2:98">
      <c r="B603" t="s">
        <v>1622</v>
      </c>
      <c r="C603" s="2" t="s">
        <v>1623</v>
      </c>
      <c r="D603" s="2" t="s">
        <v>1624</v>
      </c>
      <c r="E603" s="8" t="s">
        <v>869</v>
      </c>
      <c r="F603" s="8" t="s">
        <v>65</v>
      </c>
      <c r="G603" s="1">
        <v>1</v>
      </c>
      <c r="I603" s="1">
        <f>1811-24</f>
        <v>1787</v>
      </c>
      <c r="J603" t="s">
        <v>10</v>
      </c>
      <c r="K603" t="s">
        <v>12</v>
      </c>
      <c r="Q603">
        <v>5</v>
      </c>
      <c r="R603">
        <v>4</v>
      </c>
      <c r="T603" s="5">
        <f t="shared" si="23"/>
        <v>168.52</v>
      </c>
      <c r="U603" t="s">
        <v>1625</v>
      </c>
      <c r="AO603" s="6">
        <v>1</v>
      </c>
      <c r="AP603" s="6">
        <v>1</v>
      </c>
      <c r="AQ603" s="6">
        <v>1</v>
      </c>
      <c r="AR603" s="6">
        <v>1</v>
      </c>
      <c r="AS603" s="6">
        <v>1</v>
      </c>
      <c r="AT603" s="6">
        <v>1</v>
      </c>
      <c r="BC603">
        <v>1812</v>
      </c>
      <c r="BD603" s="7" t="s">
        <v>81</v>
      </c>
      <c r="BE603" s="10" t="s">
        <v>62</v>
      </c>
      <c r="BF603" s="1" t="s">
        <v>73</v>
      </c>
      <c r="BG603" s="1">
        <v>3</v>
      </c>
      <c r="BH603">
        <v>2</v>
      </c>
      <c r="BK603" s="1">
        <v>1</v>
      </c>
      <c r="BQ603">
        <v>1</v>
      </c>
      <c r="CL603" s="10">
        <v>1</v>
      </c>
      <c r="CS603" s="10" t="s">
        <v>1626</v>
      </c>
    </row>
    <row r="604" spans="2:98">
      <c r="B604" t="s">
        <v>1293</v>
      </c>
      <c r="C604" s="2" t="s">
        <v>1294</v>
      </c>
      <c r="D604" s="2" t="s">
        <v>1295</v>
      </c>
      <c r="E604" s="8" t="s">
        <v>624</v>
      </c>
      <c r="F604" s="8" t="s">
        <v>218</v>
      </c>
      <c r="G604" s="1">
        <v>1</v>
      </c>
      <c r="I604" s="1">
        <f>1811-23</f>
        <v>1788</v>
      </c>
      <c r="J604" t="s">
        <v>10</v>
      </c>
      <c r="K604" t="s">
        <v>1296</v>
      </c>
      <c r="Q604">
        <v>5</v>
      </c>
      <c r="R604">
        <v>3</v>
      </c>
      <c r="T604" s="5">
        <f t="shared" si="23"/>
        <v>165.89000000000001</v>
      </c>
      <c r="U604" s="9" t="s">
        <v>1292</v>
      </c>
      <c r="AP604" s="9">
        <v>1</v>
      </c>
      <c r="AQ604" s="6">
        <v>1</v>
      </c>
      <c r="AR604" s="6">
        <v>1</v>
      </c>
      <c r="AS604" s="6">
        <v>1</v>
      </c>
      <c r="AT604" s="6">
        <v>1</v>
      </c>
      <c r="BC604">
        <v>1812</v>
      </c>
      <c r="BD604" t="s">
        <v>81</v>
      </c>
      <c r="BE604" t="s">
        <v>1291</v>
      </c>
      <c r="BF604" s="1" t="s">
        <v>73</v>
      </c>
      <c r="BG604" s="1">
        <v>2</v>
      </c>
      <c r="BH604">
        <v>3</v>
      </c>
      <c r="BK604" s="1">
        <v>1</v>
      </c>
      <c r="BP604">
        <v>1</v>
      </c>
      <c r="BQ604">
        <v>1</v>
      </c>
      <c r="BW604">
        <v>1</v>
      </c>
      <c r="BZ604">
        <v>1</v>
      </c>
      <c r="CL604">
        <v>1</v>
      </c>
      <c r="CS604" t="s">
        <v>1297</v>
      </c>
    </row>
    <row r="605" spans="2:98">
      <c r="B605" t="s">
        <v>2625</v>
      </c>
      <c r="C605" s="2" t="s">
        <v>2626</v>
      </c>
      <c r="D605" s="15"/>
      <c r="E605" s="8" t="s">
        <v>759</v>
      </c>
      <c r="F605" s="8" t="s">
        <v>247</v>
      </c>
      <c r="G605" s="1">
        <v>1</v>
      </c>
      <c r="I605" s="1">
        <f>1808-18</f>
        <v>1790</v>
      </c>
      <c r="J605" t="s">
        <v>10</v>
      </c>
      <c r="K605" t="s">
        <v>12</v>
      </c>
      <c r="Q605">
        <v>5</v>
      </c>
      <c r="R605">
        <v>3</v>
      </c>
      <c r="T605" s="5">
        <f t="shared" si="23"/>
        <v>165.89000000000001</v>
      </c>
      <c r="U605" t="s">
        <v>2624</v>
      </c>
      <c r="AP605" s="6">
        <v>1</v>
      </c>
      <c r="AQ605" s="6">
        <v>1</v>
      </c>
      <c r="AR605" s="7">
        <v>1</v>
      </c>
      <c r="BC605" t="s">
        <v>2627</v>
      </c>
      <c r="BD605" s="7" t="s">
        <v>103</v>
      </c>
      <c r="BE605" t="s">
        <v>1065</v>
      </c>
      <c r="BF605" s="1" t="s">
        <v>29</v>
      </c>
      <c r="BG605" s="1">
        <v>3</v>
      </c>
      <c r="BH605">
        <v>1</v>
      </c>
      <c r="BK605" s="1">
        <v>1</v>
      </c>
      <c r="BQ605">
        <v>1</v>
      </c>
      <c r="CS605" s="7" t="s">
        <v>1949</v>
      </c>
    </row>
    <row r="606" spans="2:98">
      <c r="B606" t="s">
        <v>2714</v>
      </c>
      <c r="C606" s="2" t="s">
        <v>2030</v>
      </c>
      <c r="D606" s="15"/>
      <c r="E606" s="8" t="s">
        <v>1117</v>
      </c>
      <c r="F606" s="8" t="s">
        <v>247</v>
      </c>
      <c r="G606" s="1">
        <v>1</v>
      </c>
      <c r="I606" s="1">
        <f>1808-22</f>
        <v>1786</v>
      </c>
      <c r="J606" t="s">
        <v>10</v>
      </c>
      <c r="K606" t="s">
        <v>12</v>
      </c>
      <c r="Q606">
        <v>5</v>
      </c>
      <c r="R606">
        <v>5</v>
      </c>
      <c r="S606">
        <v>2</v>
      </c>
      <c r="T606" s="5">
        <f t="shared" si="23"/>
        <v>171.59</v>
      </c>
      <c r="U606" t="s">
        <v>2715</v>
      </c>
      <c r="AP606" s="6">
        <v>1</v>
      </c>
      <c r="AQ606" s="7">
        <v>1</v>
      </c>
      <c r="BC606" t="s">
        <v>2716</v>
      </c>
      <c r="BD606" s="7" t="s">
        <v>26</v>
      </c>
      <c r="BE606" t="s">
        <v>1065</v>
      </c>
      <c r="BF606" s="1" t="s">
        <v>29</v>
      </c>
      <c r="BG606" s="1">
        <v>3</v>
      </c>
      <c r="BH606">
        <v>1</v>
      </c>
      <c r="BK606" s="1">
        <v>1</v>
      </c>
      <c r="BQ606">
        <v>1</v>
      </c>
      <c r="CS606" s="7" t="s">
        <v>368</v>
      </c>
    </row>
    <row r="607" spans="2:98">
      <c r="B607" t="s">
        <v>2061</v>
      </c>
      <c r="C607" s="2" t="s">
        <v>2063</v>
      </c>
      <c r="D607" s="15"/>
      <c r="E607" s="8" t="s">
        <v>1074</v>
      </c>
      <c r="F607" s="8" t="s">
        <v>247</v>
      </c>
      <c r="G607" s="1">
        <v>1</v>
      </c>
      <c r="I607" s="1">
        <f>1808-23</f>
        <v>1785</v>
      </c>
      <c r="J607" t="s">
        <v>10</v>
      </c>
      <c r="K607" t="s">
        <v>12</v>
      </c>
      <c r="Q607">
        <v>5</v>
      </c>
      <c r="R607">
        <v>0</v>
      </c>
      <c r="S607">
        <v>2</v>
      </c>
      <c r="T607" s="5">
        <f t="shared" si="23"/>
        <v>158.44</v>
      </c>
      <c r="U607" t="s">
        <v>2064</v>
      </c>
      <c r="AP607" s="7">
        <v>1</v>
      </c>
      <c r="BC607" t="s">
        <v>2677</v>
      </c>
      <c r="BD607" s="7" t="s">
        <v>26</v>
      </c>
      <c r="BE607" t="s">
        <v>1065</v>
      </c>
      <c r="BF607" s="1" t="s">
        <v>29</v>
      </c>
      <c r="BG607" s="1">
        <v>2</v>
      </c>
      <c r="BH607">
        <v>1</v>
      </c>
      <c r="BK607" s="1">
        <v>1</v>
      </c>
      <c r="BQ607">
        <v>1</v>
      </c>
      <c r="CS607" s="7" t="s">
        <v>2062</v>
      </c>
    </row>
    <row r="608" spans="2:98">
      <c r="B608" t="s">
        <v>2681</v>
      </c>
      <c r="C608" s="2" t="s">
        <v>1081</v>
      </c>
      <c r="E608" s="8" t="s">
        <v>1074</v>
      </c>
      <c r="F608" s="8" t="s">
        <v>247</v>
      </c>
      <c r="G608" s="1">
        <v>1</v>
      </c>
      <c r="I608" s="1">
        <f>1808-20</f>
        <v>1788</v>
      </c>
      <c r="J608" t="s">
        <v>69</v>
      </c>
      <c r="K608" t="s">
        <v>197</v>
      </c>
      <c r="Q608">
        <v>5</v>
      </c>
      <c r="R608">
        <v>1</v>
      </c>
      <c r="T608" s="5">
        <f t="shared" si="23"/>
        <v>160.63</v>
      </c>
      <c r="U608" t="s">
        <v>2673</v>
      </c>
      <c r="AP608" s="6">
        <v>1</v>
      </c>
      <c r="AQ608" s="7">
        <v>1</v>
      </c>
      <c r="BC608" t="s">
        <v>2682</v>
      </c>
      <c r="BD608" s="7" t="s">
        <v>103</v>
      </c>
      <c r="BE608" t="s">
        <v>1065</v>
      </c>
      <c r="BF608" s="1" t="s">
        <v>29</v>
      </c>
      <c r="BG608" s="1">
        <v>3</v>
      </c>
      <c r="BH608">
        <v>1</v>
      </c>
      <c r="BK608" s="1">
        <v>1</v>
      </c>
      <c r="BQ608">
        <v>1</v>
      </c>
      <c r="CS608" s="7" t="s">
        <v>2683</v>
      </c>
    </row>
    <row r="609" spans="1:97">
      <c r="B609" t="s">
        <v>2674</v>
      </c>
      <c r="C609" s="15" t="s">
        <v>2675</v>
      </c>
      <c r="D609" s="15"/>
      <c r="E609" s="8" t="s">
        <v>1074</v>
      </c>
      <c r="F609" s="8" t="s">
        <v>247</v>
      </c>
      <c r="G609" s="1">
        <v>1</v>
      </c>
      <c r="I609" s="1">
        <f>1808-18</f>
        <v>1790</v>
      </c>
      <c r="J609" t="s">
        <v>10</v>
      </c>
      <c r="K609" t="s">
        <v>12</v>
      </c>
      <c r="Q609">
        <v>5</v>
      </c>
      <c r="T609" s="5">
        <f t="shared" si="23"/>
        <v>158</v>
      </c>
      <c r="U609" t="s">
        <v>2673</v>
      </c>
      <c r="AP609" s="6">
        <v>1</v>
      </c>
      <c r="AQ609" s="6">
        <v>1</v>
      </c>
      <c r="AR609" s="7">
        <v>1</v>
      </c>
      <c r="BC609" t="s">
        <v>2676</v>
      </c>
      <c r="BD609" s="7" t="s">
        <v>103</v>
      </c>
      <c r="BE609" t="s">
        <v>1065</v>
      </c>
      <c r="BF609" s="1" t="s">
        <v>29</v>
      </c>
      <c r="BG609" s="1">
        <v>3</v>
      </c>
      <c r="BH609">
        <v>1</v>
      </c>
      <c r="BK609" s="1">
        <v>1</v>
      </c>
      <c r="BQ609">
        <v>1</v>
      </c>
      <c r="CS609" s="7" t="s">
        <v>1949</v>
      </c>
    </row>
    <row r="610" spans="1:97">
      <c r="B610" t="s">
        <v>2034</v>
      </c>
      <c r="C610" s="15" t="s">
        <v>2035</v>
      </c>
      <c r="D610" s="15"/>
      <c r="E610" s="8" t="s">
        <v>2036</v>
      </c>
      <c r="F610" s="8" t="s">
        <v>247</v>
      </c>
      <c r="G610" s="1">
        <v>1</v>
      </c>
      <c r="I610" s="1">
        <f>1808-18</f>
        <v>1790</v>
      </c>
      <c r="J610" t="s">
        <v>10</v>
      </c>
      <c r="K610" t="s">
        <v>197</v>
      </c>
      <c r="Q610">
        <v>5</v>
      </c>
      <c r="R610">
        <v>3</v>
      </c>
      <c r="S610">
        <v>1</v>
      </c>
      <c r="T610" s="5">
        <f t="shared" si="23"/>
        <v>166.11</v>
      </c>
      <c r="U610" t="s">
        <v>2037</v>
      </c>
      <c r="AP610" s="7">
        <v>1</v>
      </c>
      <c r="BC610" t="s">
        <v>2038</v>
      </c>
      <c r="BD610" s="7" t="s">
        <v>280</v>
      </c>
      <c r="BE610" t="s">
        <v>1065</v>
      </c>
      <c r="BF610" s="1" t="s">
        <v>29</v>
      </c>
      <c r="BG610" s="1">
        <v>2</v>
      </c>
      <c r="BH610">
        <v>1</v>
      </c>
      <c r="BK610" s="1">
        <v>1</v>
      </c>
      <c r="BQ610">
        <v>1</v>
      </c>
      <c r="CN610">
        <v>1</v>
      </c>
      <c r="CS610" s="7" t="s">
        <v>1243</v>
      </c>
    </row>
    <row r="611" spans="1:97">
      <c r="B611" t="s">
        <v>2727</v>
      </c>
      <c r="C611" s="2" t="s">
        <v>2728</v>
      </c>
      <c r="D611" s="15"/>
      <c r="E611" s="8" t="s">
        <v>1074</v>
      </c>
      <c r="F611" s="8" t="s">
        <v>247</v>
      </c>
      <c r="G611" s="1">
        <v>1</v>
      </c>
      <c r="I611" s="1">
        <f>1808-18</f>
        <v>1790</v>
      </c>
      <c r="J611" t="s">
        <v>10</v>
      </c>
      <c r="K611" t="s">
        <v>12</v>
      </c>
      <c r="Q611">
        <v>5</v>
      </c>
      <c r="R611">
        <v>2</v>
      </c>
      <c r="S611">
        <v>2</v>
      </c>
      <c r="T611" s="5">
        <f t="shared" si="23"/>
        <v>163.69999999999999</v>
      </c>
      <c r="U611" t="s">
        <v>2037</v>
      </c>
      <c r="AP611" s="6">
        <v>1</v>
      </c>
      <c r="AQ611" s="6">
        <v>1</v>
      </c>
      <c r="AR611" s="7">
        <v>1</v>
      </c>
      <c r="BC611" t="s">
        <v>2729</v>
      </c>
      <c r="BD611" s="7" t="s">
        <v>103</v>
      </c>
      <c r="BE611" t="s">
        <v>1065</v>
      </c>
      <c r="BF611" s="1" t="s">
        <v>29</v>
      </c>
      <c r="BG611" s="1">
        <v>3</v>
      </c>
      <c r="BH611">
        <v>1</v>
      </c>
      <c r="BK611" s="1">
        <v>1</v>
      </c>
      <c r="BQ611">
        <v>1</v>
      </c>
      <c r="CM611">
        <v>1</v>
      </c>
      <c r="CS611" s="7" t="s">
        <v>1949</v>
      </c>
    </row>
    <row r="612" spans="1:97">
      <c r="B612" t="s">
        <v>2730</v>
      </c>
      <c r="C612" s="2" t="s">
        <v>1116</v>
      </c>
      <c r="D612" s="15"/>
      <c r="E612" s="8" t="s">
        <v>1858</v>
      </c>
      <c r="F612" s="8" t="s">
        <v>247</v>
      </c>
      <c r="G612" s="1">
        <v>1</v>
      </c>
      <c r="I612" s="1">
        <f>1808-18</f>
        <v>1790</v>
      </c>
      <c r="J612" t="s">
        <v>10</v>
      </c>
      <c r="K612" t="s">
        <v>12</v>
      </c>
      <c r="Q612">
        <v>5</v>
      </c>
      <c r="R612">
        <v>0</v>
      </c>
      <c r="S612">
        <v>3</v>
      </c>
      <c r="T612" s="5">
        <f t="shared" si="23"/>
        <v>158.66</v>
      </c>
      <c r="U612" t="s">
        <v>2031</v>
      </c>
      <c r="AP612" s="6">
        <v>1</v>
      </c>
      <c r="AQ612" s="6">
        <v>1</v>
      </c>
      <c r="AR612" s="6">
        <v>1</v>
      </c>
      <c r="AS612" s="7">
        <v>1</v>
      </c>
      <c r="BC612" t="s">
        <v>2731</v>
      </c>
      <c r="BD612" s="7" t="s">
        <v>103</v>
      </c>
      <c r="BE612" t="s">
        <v>1065</v>
      </c>
      <c r="BF612" s="1" t="s">
        <v>29</v>
      </c>
      <c r="BG612" s="1">
        <v>3</v>
      </c>
      <c r="BH612">
        <v>1</v>
      </c>
      <c r="BK612" s="1">
        <v>1</v>
      </c>
      <c r="BQ612">
        <v>1</v>
      </c>
      <c r="CM612">
        <v>1</v>
      </c>
      <c r="CS612" s="7" t="s">
        <v>1949</v>
      </c>
    </row>
    <row r="613" spans="1:97">
      <c r="B613" t="s">
        <v>2029</v>
      </c>
      <c r="C613" s="2" t="s">
        <v>2030</v>
      </c>
      <c r="D613" s="15"/>
      <c r="E613" s="8" t="s">
        <v>1117</v>
      </c>
      <c r="F613" s="8" t="s">
        <v>247</v>
      </c>
      <c r="G613" s="1">
        <v>1</v>
      </c>
      <c r="I613" s="1">
        <f>1808-26</f>
        <v>1782</v>
      </c>
      <c r="J613" t="s">
        <v>10</v>
      </c>
      <c r="K613" t="s">
        <v>12</v>
      </c>
      <c r="Q613">
        <v>5</v>
      </c>
      <c r="R613">
        <v>3</v>
      </c>
      <c r="S613">
        <v>2</v>
      </c>
      <c r="T613" s="5">
        <f t="shared" si="23"/>
        <v>166.33</v>
      </c>
      <c r="U613" t="s">
        <v>2031</v>
      </c>
      <c r="AP613" s="7">
        <v>1</v>
      </c>
      <c r="BC613" t="s">
        <v>2032</v>
      </c>
      <c r="BD613" s="7" t="s">
        <v>26</v>
      </c>
      <c r="BE613" t="s">
        <v>1065</v>
      </c>
      <c r="BF613" s="1" t="s">
        <v>29</v>
      </c>
      <c r="BG613" s="1">
        <v>2</v>
      </c>
      <c r="BH613">
        <v>1</v>
      </c>
      <c r="BK613" s="1">
        <v>1</v>
      </c>
      <c r="BQ613">
        <v>1</v>
      </c>
      <c r="CS613" s="35" t="s">
        <v>2033</v>
      </c>
    </row>
    <row r="614" spans="1:97">
      <c r="B614" t="s">
        <v>2679</v>
      </c>
      <c r="C614" s="2" t="s">
        <v>2678</v>
      </c>
      <c r="D614" s="15"/>
      <c r="E614" s="8" t="s">
        <v>1117</v>
      </c>
      <c r="F614" s="8" t="s">
        <v>247</v>
      </c>
      <c r="G614" s="1">
        <v>1</v>
      </c>
      <c r="I614" s="1">
        <f>1808-19</f>
        <v>1789</v>
      </c>
      <c r="J614" t="s">
        <v>10</v>
      </c>
      <c r="K614" t="s">
        <v>12</v>
      </c>
      <c r="Q614">
        <v>5</v>
      </c>
      <c r="R614">
        <v>4</v>
      </c>
      <c r="T614" s="5">
        <f t="shared" si="23"/>
        <v>168.52</v>
      </c>
      <c r="U614" t="s">
        <v>2031</v>
      </c>
      <c r="AP614" s="6">
        <v>1</v>
      </c>
      <c r="AQ614" s="6">
        <v>1</v>
      </c>
      <c r="AR614" s="7">
        <v>1</v>
      </c>
      <c r="BC614" t="s">
        <v>2364</v>
      </c>
      <c r="BD614" s="7" t="s">
        <v>109</v>
      </c>
      <c r="BE614" t="s">
        <v>1065</v>
      </c>
      <c r="BF614" s="1" t="s">
        <v>29</v>
      </c>
      <c r="BG614" s="1">
        <v>3</v>
      </c>
      <c r="BH614">
        <v>1</v>
      </c>
      <c r="BK614" s="1">
        <v>1</v>
      </c>
      <c r="BQ614">
        <v>1</v>
      </c>
      <c r="CS614" s="35" t="s">
        <v>1473</v>
      </c>
    </row>
    <row r="615" spans="1:97">
      <c r="B615" t="s">
        <v>2578</v>
      </c>
      <c r="C615" s="2" t="s">
        <v>2579</v>
      </c>
      <c r="D615" s="15"/>
      <c r="E615" s="8" t="s">
        <v>2036</v>
      </c>
      <c r="F615" s="8" t="s">
        <v>247</v>
      </c>
      <c r="G615" s="1">
        <v>1</v>
      </c>
      <c r="I615" s="1">
        <f>1808-30</f>
        <v>1778</v>
      </c>
      <c r="J615" t="s">
        <v>69</v>
      </c>
      <c r="K615" t="s">
        <v>12</v>
      </c>
      <c r="Q615">
        <v>5</v>
      </c>
      <c r="R615">
        <v>2</v>
      </c>
      <c r="S615">
        <v>2</v>
      </c>
      <c r="T615" s="5">
        <f t="shared" si="23"/>
        <v>163.69999999999999</v>
      </c>
      <c r="U615" t="s">
        <v>2580</v>
      </c>
      <c r="AP615" s="6">
        <v>1</v>
      </c>
      <c r="BC615">
        <v>1808</v>
      </c>
      <c r="BD615" t="s">
        <v>81</v>
      </c>
      <c r="BE615" s="10" t="s">
        <v>1065</v>
      </c>
      <c r="BF615" s="1" t="s">
        <v>73</v>
      </c>
      <c r="BG615" s="1">
        <v>3</v>
      </c>
      <c r="BH615">
        <v>2</v>
      </c>
      <c r="BK615" s="1">
        <v>1</v>
      </c>
      <c r="BQ615">
        <v>1</v>
      </c>
      <c r="CL615" s="10">
        <v>1</v>
      </c>
      <c r="CS615" s="39" t="s">
        <v>472</v>
      </c>
    </row>
    <row r="616" spans="1:97">
      <c r="B616" t="s">
        <v>2684</v>
      </c>
      <c r="C616" s="13" t="s">
        <v>2685</v>
      </c>
      <c r="D616" s="13"/>
      <c r="E616" s="8"/>
      <c r="F616" s="8" t="s">
        <v>805</v>
      </c>
      <c r="G616" s="1">
        <v>1</v>
      </c>
      <c r="I616" s="1">
        <f>1808-31</f>
        <v>1777</v>
      </c>
      <c r="J616" t="s">
        <v>1998</v>
      </c>
      <c r="K616" t="s">
        <v>12</v>
      </c>
      <c r="Q616">
        <v>5</v>
      </c>
      <c r="R616">
        <v>3</v>
      </c>
      <c r="S616">
        <v>2</v>
      </c>
      <c r="T616" s="5">
        <f>((Q616*316)+(R616*26.3)+(S616*2.2))/10</f>
        <v>166.33</v>
      </c>
      <c r="U616" t="s">
        <v>2580</v>
      </c>
      <c r="AP616" s="6">
        <v>1</v>
      </c>
      <c r="AQ616" s="7">
        <v>1</v>
      </c>
      <c r="BC616" t="s">
        <v>702</v>
      </c>
      <c r="BD616" s="7" t="s">
        <v>305</v>
      </c>
      <c r="BE616" t="s">
        <v>1065</v>
      </c>
      <c r="BF616" s="1" t="s">
        <v>29</v>
      </c>
      <c r="BG616" s="1">
        <v>3</v>
      </c>
      <c r="BH616">
        <v>1</v>
      </c>
      <c r="BK616" s="1">
        <v>1</v>
      </c>
      <c r="BQ616">
        <v>1</v>
      </c>
      <c r="CM616">
        <v>1</v>
      </c>
      <c r="CS616" s="7" t="s">
        <v>2686</v>
      </c>
    </row>
    <row r="617" spans="1:97">
      <c r="A617" t="s">
        <v>7</v>
      </c>
      <c r="B617" t="s">
        <v>2588</v>
      </c>
      <c r="C617" s="15"/>
      <c r="D617" s="15"/>
      <c r="E617" s="8"/>
      <c r="F617" t="s">
        <v>7</v>
      </c>
      <c r="T617" s="5"/>
      <c r="U617" t="s">
        <v>2580</v>
      </c>
      <c r="AP617" s="6">
        <v>1</v>
      </c>
      <c r="AQ617" s="6">
        <v>1</v>
      </c>
      <c r="AR617" s="7">
        <v>1</v>
      </c>
      <c r="BC617" t="s">
        <v>2589</v>
      </c>
      <c r="BD617" s="7" t="s">
        <v>26</v>
      </c>
      <c r="BE617" t="s">
        <v>1065</v>
      </c>
      <c r="BF617" s="1" t="s">
        <v>29</v>
      </c>
      <c r="BG617" s="1">
        <v>2</v>
      </c>
      <c r="BH617">
        <v>1</v>
      </c>
      <c r="BK617" s="1">
        <v>1</v>
      </c>
      <c r="BQ617">
        <v>1</v>
      </c>
      <c r="CS617" s="35" t="s">
        <v>2590</v>
      </c>
    </row>
    <row r="618" spans="1:97">
      <c r="B618" t="s">
        <v>2719</v>
      </c>
      <c r="C618" s="2" t="s">
        <v>1069</v>
      </c>
      <c r="D618" s="15"/>
      <c r="E618" s="8" t="s">
        <v>1117</v>
      </c>
      <c r="F618" s="8" t="s">
        <v>247</v>
      </c>
      <c r="G618" s="1">
        <v>1</v>
      </c>
      <c r="I618" s="1">
        <f>1808-22</f>
        <v>1786</v>
      </c>
      <c r="J618" t="s">
        <v>10</v>
      </c>
      <c r="K618" t="s">
        <v>12</v>
      </c>
      <c r="Q618">
        <v>5</v>
      </c>
      <c r="R618">
        <v>5</v>
      </c>
      <c r="T618" s="5">
        <f t="shared" si="23"/>
        <v>171.15</v>
      </c>
      <c r="U618" t="s">
        <v>2580</v>
      </c>
      <c r="AP618" s="6">
        <v>1</v>
      </c>
      <c r="AQ618" s="7">
        <v>1</v>
      </c>
      <c r="BC618" t="s">
        <v>688</v>
      </c>
      <c r="BD618" s="7" t="s">
        <v>103</v>
      </c>
      <c r="BE618" t="s">
        <v>1065</v>
      </c>
      <c r="BF618" s="1" t="s">
        <v>29</v>
      </c>
      <c r="BG618" s="1">
        <v>3</v>
      </c>
      <c r="BH618">
        <v>1</v>
      </c>
      <c r="BK618" s="1">
        <v>1</v>
      </c>
      <c r="BQ618">
        <v>1</v>
      </c>
      <c r="CS618" s="35" t="s">
        <v>1125</v>
      </c>
    </row>
    <row r="619" spans="1:97">
      <c r="B619" t="s">
        <v>2680</v>
      </c>
      <c r="C619" s="15" t="s">
        <v>2023</v>
      </c>
      <c r="D619" s="15"/>
      <c r="E619" s="8" t="s">
        <v>254</v>
      </c>
      <c r="F619" s="8" t="s">
        <v>247</v>
      </c>
      <c r="G619" s="1">
        <v>1</v>
      </c>
      <c r="I619" s="1">
        <f>1808-22</f>
        <v>1786</v>
      </c>
      <c r="J619" t="s">
        <v>10</v>
      </c>
      <c r="K619" t="s">
        <v>197</v>
      </c>
      <c r="Q619">
        <v>5</v>
      </c>
      <c r="R619">
        <v>4</v>
      </c>
      <c r="T619" s="5">
        <f t="shared" si="23"/>
        <v>168.52</v>
      </c>
      <c r="U619" t="s">
        <v>2024</v>
      </c>
      <c r="AP619" s="6">
        <v>1</v>
      </c>
      <c r="AQ619" s="6">
        <v>1</v>
      </c>
      <c r="AR619" s="7">
        <v>1</v>
      </c>
      <c r="BC619" t="s">
        <v>2364</v>
      </c>
      <c r="BD619" s="7" t="s">
        <v>109</v>
      </c>
      <c r="BE619" t="s">
        <v>1065</v>
      </c>
      <c r="BF619" s="1" t="s">
        <v>29</v>
      </c>
      <c r="BG619" s="1">
        <v>3</v>
      </c>
      <c r="BH619">
        <v>1</v>
      </c>
      <c r="BK619" s="1">
        <v>1</v>
      </c>
      <c r="BQ619">
        <v>1</v>
      </c>
      <c r="CN619">
        <v>1</v>
      </c>
      <c r="CP619">
        <v>1</v>
      </c>
      <c r="CS619" s="7" t="s">
        <v>1473</v>
      </c>
    </row>
    <row r="620" spans="1:97">
      <c r="B620" t="s">
        <v>2717</v>
      </c>
      <c r="C620" s="2" t="s">
        <v>1166</v>
      </c>
      <c r="D620" s="15"/>
      <c r="E620" s="8" t="s">
        <v>1094</v>
      </c>
      <c r="F620" s="8" t="s">
        <v>247</v>
      </c>
      <c r="G620" s="1">
        <v>1</v>
      </c>
      <c r="I620" s="1">
        <f>1808-18</f>
        <v>1790</v>
      </c>
      <c r="J620" t="s">
        <v>10</v>
      </c>
      <c r="K620" t="s">
        <v>12</v>
      </c>
      <c r="Q620">
        <v>5</v>
      </c>
      <c r="R620">
        <v>1</v>
      </c>
      <c r="S620">
        <v>2</v>
      </c>
      <c r="T620" s="5">
        <f t="shared" si="23"/>
        <v>161.07</v>
      </c>
      <c r="U620" t="s">
        <v>2718</v>
      </c>
      <c r="AP620" s="6">
        <v>1</v>
      </c>
      <c r="AQ620" s="7">
        <v>1</v>
      </c>
      <c r="BC620" t="s">
        <v>1967</v>
      </c>
      <c r="BD620" s="7" t="s">
        <v>305</v>
      </c>
      <c r="BE620" t="s">
        <v>1065</v>
      </c>
      <c r="BF620" s="1" t="s">
        <v>29</v>
      </c>
      <c r="BG620" s="1">
        <v>3</v>
      </c>
      <c r="BH620">
        <v>1</v>
      </c>
      <c r="BK620" s="1">
        <v>1</v>
      </c>
      <c r="BQ620">
        <v>1</v>
      </c>
      <c r="CN620">
        <v>1</v>
      </c>
      <c r="CS620" s="7" t="s">
        <v>1842</v>
      </c>
    </row>
    <row r="621" spans="1:97">
      <c r="A621" t="s">
        <v>7</v>
      </c>
      <c r="B621" t="s">
        <v>2027</v>
      </c>
      <c r="C621" s="15"/>
      <c r="D621" s="15"/>
      <c r="E621" s="8"/>
      <c r="F621" t="s">
        <v>7</v>
      </c>
      <c r="T621" s="5"/>
      <c r="U621" t="s">
        <v>2020</v>
      </c>
      <c r="AP621" s="7">
        <v>1</v>
      </c>
      <c r="BC621" t="s">
        <v>2021</v>
      </c>
      <c r="BD621" s="7" t="s">
        <v>280</v>
      </c>
      <c r="BE621" t="s">
        <v>1065</v>
      </c>
      <c r="BF621" s="1" t="s">
        <v>29</v>
      </c>
      <c r="BG621" s="1">
        <v>1</v>
      </c>
      <c r="BH621">
        <v>1</v>
      </c>
      <c r="BK621" s="1">
        <v>1</v>
      </c>
      <c r="BQ621">
        <v>1</v>
      </c>
      <c r="CN621">
        <v>1</v>
      </c>
      <c r="CS621" s="7" t="s">
        <v>2022</v>
      </c>
    </row>
    <row r="622" spans="1:97">
      <c r="B622" t="s">
        <v>2039</v>
      </c>
      <c r="C622" s="15" t="s">
        <v>2040</v>
      </c>
      <c r="D622" s="15"/>
      <c r="E622" s="8" t="s">
        <v>1281</v>
      </c>
      <c r="F622" s="8" t="s">
        <v>247</v>
      </c>
      <c r="G622" s="1">
        <v>1</v>
      </c>
      <c r="I622" s="1">
        <f>1808-23</f>
        <v>1785</v>
      </c>
      <c r="J622" t="s">
        <v>69</v>
      </c>
      <c r="K622" t="s">
        <v>12</v>
      </c>
      <c r="T622" s="5"/>
      <c r="U622" t="s">
        <v>2020</v>
      </c>
      <c r="AP622" s="6">
        <v>1</v>
      </c>
      <c r="AQ622" s="6">
        <v>1</v>
      </c>
      <c r="AR622" s="7">
        <v>1</v>
      </c>
      <c r="AS622" s="7">
        <v>1</v>
      </c>
      <c r="BC622" t="s">
        <v>2041</v>
      </c>
      <c r="BD622" s="7" t="s">
        <v>959</v>
      </c>
      <c r="BE622" t="s">
        <v>1065</v>
      </c>
      <c r="BF622" s="1" t="s">
        <v>29</v>
      </c>
      <c r="BG622" s="1">
        <v>2</v>
      </c>
      <c r="BH622">
        <v>2</v>
      </c>
      <c r="BJ622">
        <v>1</v>
      </c>
      <c r="BK622" s="1">
        <v>1</v>
      </c>
      <c r="BQ622">
        <v>1</v>
      </c>
      <c r="CB622" s="7">
        <v>1</v>
      </c>
      <c r="CS622" s="7" t="s">
        <v>2313</v>
      </c>
    </row>
    <row r="623" spans="1:97">
      <c r="A623" t="s">
        <v>7</v>
      </c>
      <c r="B623" t="s">
        <v>2019</v>
      </c>
      <c r="C623" s="15"/>
      <c r="D623" s="15"/>
      <c r="E623" s="8"/>
      <c r="F623" t="s">
        <v>7</v>
      </c>
      <c r="T623" s="5"/>
      <c r="U623" t="s">
        <v>2020</v>
      </c>
      <c r="AP623" s="7">
        <v>1</v>
      </c>
      <c r="BC623" t="s">
        <v>2021</v>
      </c>
      <c r="BD623" s="7" t="s">
        <v>280</v>
      </c>
      <c r="BE623" t="s">
        <v>1065</v>
      </c>
      <c r="BF623" s="1" t="s">
        <v>29</v>
      </c>
      <c r="BG623" s="1">
        <v>1</v>
      </c>
      <c r="BH623">
        <v>1</v>
      </c>
      <c r="BK623" s="1">
        <v>1</v>
      </c>
      <c r="BQ623">
        <v>1</v>
      </c>
      <c r="CN623">
        <v>1</v>
      </c>
      <c r="CS623" s="7" t="s">
        <v>2022</v>
      </c>
    </row>
    <row r="624" spans="1:97">
      <c r="B624" t="s">
        <v>2581</v>
      </c>
      <c r="C624" s="2" t="s">
        <v>2582</v>
      </c>
      <c r="D624" s="15"/>
      <c r="E624" s="8" t="s">
        <v>1281</v>
      </c>
      <c r="F624" s="8" t="s">
        <v>247</v>
      </c>
      <c r="G624" s="1">
        <v>1</v>
      </c>
      <c r="I624" s="1">
        <f>1808-32</f>
        <v>1776</v>
      </c>
      <c r="J624" t="s">
        <v>10</v>
      </c>
      <c r="K624" t="s">
        <v>12</v>
      </c>
      <c r="Q624">
        <v>5</v>
      </c>
      <c r="R624">
        <v>4</v>
      </c>
      <c r="S624">
        <v>3</v>
      </c>
      <c r="T624" s="5">
        <f t="shared" si="23"/>
        <v>169.18</v>
      </c>
      <c r="U624" t="s">
        <v>2020</v>
      </c>
      <c r="AP624" s="6">
        <v>1</v>
      </c>
      <c r="AQ624" s="6">
        <v>1</v>
      </c>
      <c r="BC624">
        <v>1809</v>
      </c>
      <c r="BD624" t="s">
        <v>81</v>
      </c>
      <c r="BE624" s="10" t="s">
        <v>1065</v>
      </c>
      <c r="BF624" s="1" t="s">
        <v>73</v>
      </c>
      <c r="BG624" s="1">
        <v>2</v>
      </c>
      <c r="BH624">
        <v>2</v>
      </c>
      <c r="BI624">
        <v>1</v>
      </c>
      <c r="BK624" s="1">
        <v>1</v>
      </c>
      <c r="BQ624">
        <v>1</v>
      </c>
      <c r="BX624" s="10">
        <v>1</v>
      </c>
      <c r="CL624" s="10">
        <v>1</v>
      </c>
      <c r="CS624" s="10" t="s">
        <v>2583</v>
      </c>
    </row>
    <row r="625" spans="1:98">
      <c r="A625" t="s">
        <v>7</v>
      </c>
      <c r="B625" t="s">
        <v>2025</v>
      </c>
      <c r="C625" s="15"/>
      <c r="D625" s="15"/>
      <c r="E625" s="8"/>
      <c r="F625" t="s">
        <v>7</v>
      </c>
      <c r="T625" s="5"/>
      <c r="U625" t="s">
        <v>2020</v>
      </c>
      <c r="AP625" s="7">
        <v>1</v>
      </c>
      <c r="BC625" t="s">
        <v>2021</v>
      </c>
      <c r="BD625" s="7" t="s">
        <v>280</v>
      </c>
      <c r="BE625" t="s">
        <v>1065</v>
      </c>
      <c r="BF625" s="1" t="s">
        <v>29</v>
      </c>
      <c r="BG625" s="1">
        <v>1</v>
      </c>
      <c r="BH625">
        <v>1</v>
      </c>
      <c r="BK625" s="1">
        <v>1</v>
      </c>
      <c r="BQ625">
        <v>1</v>
      </c>
      <c r="CN625">
        <v>1</v>
      </c>
      <c r="CS625" s="7" t="s">
        <v>2022</v>
      </c>
    </row>
    <row r="626" spans="1:98">
      <c r="B626" t="s">
        <v>2687</v>
      </c>
      <c r="C626" s="2" t="s">
        <v>1116</v>
      </c>
      <c r="D626" s="15"/>
      <c r="E626" s="8" t="s">
        <v>1858</v>
      </c>
      <c r="F626" s="8" t="s">
        <v>247</v>
      </c>
      <c r="G626" s="1">
        <v>1</v>
      </c>
      <c r="I626" s="1">
        <f>1808-20</f>
        <v>1788</v>
      </c>
      <c r="J626" t="s">
        <v>10</v>
      </c>
      <c r="K626" t="s">
        <v>12</v>
      </c>
      <c r="Q626">
        <v>5</v>
      </c>
      <c r="R626">
        <v>2</v>
      </c>
      <c r="S626">
        <v>3</v>
      </c>
      <c r="T626" s="5">
        <f t="shared" si="23"/>
        <v>163.92</v>
      </c>
      <c r="U626" t="s">
        <v>2688</v>
      </c>
      <c r="AP626" s="6">
        <v>1</v>
      </c>
      <c r="AQ626" s="6">
        <v>1</v>
      </c>
      <c r="BC626">
        <v>1809</v>
      </c>
      <c r="BD626" t="s">
        <v>81</v>
      </c>
      <c r="BE626" s="10" t="s">
        <v>1065</v>
      </c>
      <c r="BF626" s="1" t="s">
        <v>29</v>
      </c>
      <c r="BG626" s="1">
        <v>3</v>
      </c>
      <c r="BH626">
        <v>2</v>
      </c>
      <c r="BK626" s="1">
        <v>1</v>
      </c>
      <c r="BQ626">
        <v>1</v>
      </c>
      <c r="BW626" s="10">
        <v>1</v>
      </c>
      <c r="CL626" s="10">
        <v>1</v>
      </c>
      <c r="CS626" s="10" t="s">
        <v>2689</v>
      </c>
    </row>
    <row r="627" spans="1:98">
      <c r="A627" t="s">
        <v>7</v>
      </c>
      <c r="B627" t="s">
        <v>2026</v>
      </c>
      <c r="C627" s="15"/>
      <c r="D627" s="15"/>
      <c r="E627" s="8"/>
      <c r="F627" t="s">
        <v>7</v>
      </c>
      <c r="T627" s="5"/>
      <c r="U627" t="s">
        <v>2028</v>
      </c>
      <c r="AP627" s="7">
        <v>1</v>
      </c>
      <c r="BC627" t="s">
        <v>2021</v>
      </c>
      <c r="BD627" s="7" t="s">
        <v>280</v>
      </c>
      <c r="BE627" t="s">
        <v>1065</v>
      </c>
      <c r="BF627" s="1" t="s">
        <v>29</v>
      </c>
      <c r="BG627" s="1">
        <v>1</v>
      </c>
      <c r="BH627">
        <v>1</v>
      </c>
      <c r="BK627" s="1">
        <v>1</v>
      </c>
      <c r="BQ627">
        <v>1</v>
      </c>
      <c r="CN627">
        <v>1</v>
      </c>
      <c r="CS627" s="7" t="s">
        <v>2022</v>
      </c>
    </row>
    <row r="628" spans="1:98">
      <c r="A628" t="s">
        <v>7</v>
      </c>
      <c r="B628" t="s">
        <v>2725</v>
      </c>
      <c r="C628" s="15"/>
      <c r="D628" s="15"/>
      <c r="E628" s="8"/>
      <c r="F628" t="s">
        <v>7</v>
      </c>
      <c r="T628" s="5"/>
      <c r="U628" t="s">
        <v>2028</v>
      </c>
      <c r="AP628" s="6">
        <v>1</v>
      </c>
      <c r="AQ628" s="6">
        <v>1</v>
      </c>
      <c r="AR628" s="7">
        <v>1</v>
      </c>
      <c r="BC628" t="s">
        <v>2364</v>
      </c>
      <c r="BD628" s="7" t="s">
        <v>109</v>
      </c>
      <c r="BE628" t="s">
        <v>1065</v>
      </c>
      <c r="BF628" s="1" t="s">
        <v>29</v>
      </c>
      <c r="BG628" s="1">
        <v>2</v>
      </c>
      <c r="BH628">
        <v>1</v>
      </c>
      <c r="BK628" s="1">
        <v>1</v>
      </c>
      <c r="BQ628">
        <v>1</v>
      </c>
      <c r="CN628">
        <v>1</v>
      </c>
      <c r="CP628">
        <v>1</v>
      </c>
      <c r="CS628" s="7" t="s">
        <v>2726</v>
      </c>
    </row>
    <row r="629" spans="1:98">
      <c r="B629" t="s">
        <v>2621</v>
      </c>
      <c r="C629" s="13" t="s">
        <v>2622</v>
      </c>
      <c r="D629" s="15"/>
      <c r="E629" s="8" t="s">
        <v>1117</v>
      </c>
      <c r="F629" s="8" t="s">
        <v>247</v>
      </c>
      <c r="G629" s="1">
        <v>1</v>
      </c>
      <c r="I629" s="1">
        <f>1808-25</f>
        <v>1783</v>
      </c>
      <c r="J629" t="s">
        <v>10</v>
      </c>
      <c r="K629" t="s">
        <v>12</v>
      </c>
      <c r="Q629">
        <v>5</v>
      </c>
      <c r="R629">
        <v>6</v>
      </c>
      <c r="T629" s="5">
        <f>((Q629*316)+(R629*26.3)+(S629*2.2))/10</f>
        <v>173.78</v>
      </c>
      <c r="U629" t="s">
        <v>2326</v>
      </c>
      <c r="AP629" s="6">
        <v>1</v>
      </c>
      <c r="AQ629" s="6">
        <v>1</v>
      </c>
      <c r="AR629" s="7">
        <v>1</v>
      </c>
      <c r="BC629" t="s">
        <v>2623</v>
      </c>
      <c r="BD629" s="7" t="s">
        <v>26</v>
      </c>
      <c r="BE629" t="s">
        <v>1065</v>
      </c>
      <c r="BF629" s="1" t="s">
        <v>29</v>
      </c>
      <c r="BG629" s="1">
        <v>3</v>
      </c>
      <c r="BH629">
        <v>1</v>
      </c>
      <c r="BK629" s="1">
        <v>1</v>
      </c>
      <c r="BQ629">
        <v>1</v>
      </c>
      <c r="CS629" s="7" t="s">
        <v>368</v>
      </c>
    </row>
    <row r="630" spans="1:98">
      <c r="B630" t="s">
        <v>2344</v>
      </c>
      <c r="C630" s="2" t="s">
        <v>2345</v>
      </c>
      <c r="D630" s="15"/>
      <c r="E630" s="8"/>
      <c r="F630" s="8" t="s">
        <v>218</v>
      </c>
      <c r="G630" s="1">
        <v>1</v>
      </c>
      <c r="I630" s="1">
        <f>1811-22</f>
        <v>1789</v>
      </c>
      <c r="J630" t="s">
        <v>10</v>
      </c>
      <c r="K630" t="s">
        <v>12</v>
      </c>
      <c r="Q630">
        <v>5</v>
      </c>
      <c r="R630">
        <v>2</v>
      </c>
      <c r="S630">
        <v>1</v>
      </c>
      <c r="T630" s="5">
        <f>((Q630*316)+(R630*26.3)+(S630*2.2))/10</f>
        <v>163.47999999999999</v>
      </c>
      <c r="U630" t="s">
        <v>2326</v>
      </c>
      <c r="AP630" s="6">
        <v>1</v>
      </c>
      <c r="AQ630" s="6">
        <v>1</v>
      </c>
      <c r="AR630" s="6">
        <v>1</v>
      </c>
      <c r="AS630" s="7">
        <v>1</v>
      </c>
      <c r="BC630" t="s">
        <v>2346</v>
      </c>
      <c r="BD630" s="7" t="s">
        <v>103</v>
      </c>
      <c r="BE630" t="s">
        <v>1511</v>
      </c>
      <c r="BF630" s="1" t="s">
        <v>29</v>
      </c>
      <c r="BG630" s="1">
        <v>1</v>
      </c>
      <c r="BH630">
        <v>1</v>
      </c>
      <c r="BK630" s="1">
        <v>1</v>
      </c>
      <c r="BQ630">
        <v>1</v>
      </c>
      <c r="CS630" s="7" t="s">
        <v>2172</v>
      </c>
    </row>
    <row r="631" spans="1:98">
      <c r="A631" t="s">
        <v>7</v>
      </c>
      <c r="B631" t="s">
        <v>2619</v>
      </c>
      <c r="C631" s="15"/>
      <c r="D631" s="15"/>
      <c r="E631" s="8"/>
      <c r="F631" t="s">
        <v>7</v>
      </c>
      <c r="T631" s="5"/>
      <c r="U631" t="s">
        <v>2620</v>
      </c>
      <c r="AP631" s="6">
        <v>1</v>
      </c>
      <c r="AQ631" s="7">
        <v>1</v>
      </c>
      <c r="BC631" t="s">
        <v>688</v>
      </c>
      <c r="BD631" s="7" t="s">
        <v>103</v>
      </c>
      <c r="BE631" t="s">
        <v>1065</v>
      </c>
      <c r="BF631" s="1" t="s">
        <v>29</v>
      </c>
      <c r="BG631" s="1">
        <v>3</v>
      </c>
      <c r="BH631">
        <v>1</v>
      </c>
      <c r="BO631">
        <v>1</v>
      </c>
      <c r="BQ631">
        <v>1</v>
      </c>
      <c r="CS631" s="7" t="s">
        <v>1868</v>
      </c>
    </row>
    <row r="632" spans="1:98">
      <c r="B632" t="s">
        <v>2465</v>
      </c>
      <c r="C632" s="13" t="s">
        <v>2466</v>
      </c>
      <c r="D632" s="2" t="s">
        <v>1629</v>
      </c>
      <c r="E632" s="8" t="s">
        <v>1630</v>
      </c>
      <c r="F632" s="8" t="s">
        <v>65</v>
      </c>
      <c r="G632" s="1">
        <v>1</v>
      </c>
      <c r="I632" s="1">
        <f>1811-25</f>
        <v>1786</v>
      </c>
      <c r="J632" t="s">
        <v>10</v>
      </c>
      <c r="K632" t="s">
        <v>12</v>
      </c>
      <c r="Q632">
        <v>5</v>
      </c>
      <c r="R632">
        <v>3</v>
      </c>
      <c r="S632">
        <v>3</v>
      </c>
      <c r="T632" s="5">
        <f>((Q632*316)+(R632*26.3)+(S632*2.2))/10</f>
        <v>166.55</v>
      </c>
      <c r="U632" t="s">
        <v>2464</v>
      </c>
      <c r="AP632" s="6">
        <v>1</v>
      </c>
      <c r="AQ632" s="6">
        <v>1</v>
      </c>
      <c r="AR632" s="6">
        <v>1</v>
      </c>
      <c r="AS632" s="6">
        <v>1</v>
      </c>
      <c r="AT632" s="6">
        <v>1</v>
      </c>
      <c r="AU632" s="6">
        <v>1</v>
      </c>
      <c r="AV632" s="6">
        <v>1</v>
      </c>
      <c r="AW632" s="6">
        <v>1</v>
      </c>
      <c r="AX632" s="6">
        <v>1</v>
      </c>
      <c r="AY632" s="6">
        <v>1</v>
      </c>
      <c r="AZ632" s="7">
        <v>1</v>
      </c>
      <c r="BC632" t="s">
        <v>2467</v>
      </c>
      <c r="BD632" s="7" t="s">
        <v>103</v>
      </c>
      <c r="BE632" t="s">
        <v>62</v>
      </c>
      <c r="BF632" s="1" t="s">
        <v>29</v>
      </c>
      <c r="BG632" s="1">
        <v>6</v>
      </c>
      <c r="BH632">
        <v>1</v>
      </c>
      <c r="BK632" s="1">
        <v>1</v>
      </c>
      <c r="BQ632">
        <v>1</v>
      </c>
      <c r="CQ632">
        <v>1</v>
      </c>
      <c r="CS632" s="7" t="s">
        <v>412</v>
      </c>
    </row>
    <row r="633" spans="1:98">
      <c r="B633" t="s">
        <v>673</v>
      </c>
      <c r="C633" s="15" t="s">
        <v>674</v>
      </c>
      <c r="D633" s="15"/>
      <c r="E633" s="8" t="s">
        <v>238</v>
      </c>
      <c r="F633" s="8" t="s">
        <v>65</v>
      </c>
      <c r="G633" s="1">
        <v>1</v>
      </c>
      <c r="I633" s="1">
        <f>1810-19</f>
        <v>1791</v>
      </c>
      <c r="J633" t="s">
        <v>10</v>
      </c>
      <c r="K633" t="s">
        <v>12</v>
      </c>
      <c r="Q633">
        <v>5</v>
      </c>
      <c r="R633">
        <v>3</v>
      </c>
      <c r="S633">
        <v>1</v>
      </c>
      <c r="T633" s="5">
        <f t="shared" si="23"/>
        <v>166.11</v>
      </c>
      <c r="U633" t="s">
        <v>675</v>
      </c>
      <c r="AP633" s="6">
        <v>1</v>
      </c>
      <c r="AQ633" s="6">
        <v>1</v>
      </c>
      <c r="AR633" s="6">
        <v>1</v>
      </c>
      <c r="AS633" s="6">
        <v>1</v>
      </c>
      <c r="BC633">
        <v>1811</v>
      </c>
      <c r="BD633" t="s">
        <v>81</v>
      </c>
      <c r="BE633" t="s">
        <v>124</v>
      </c>
      <c r="BF633" s="1" t="s">
        <v>73</v>
      </c>
      <c r="BG633" s="1">
        <v>2</v>
      </c>
      <c r="BH633">
        <v>2</v>
      </c>
      <c r="BO633">
        <v>1</v>
      </c>
      <c r="BQ633">
        <v>1</v>
      </c>
      <c r="BR633">
        <v>1</v>
      </c>
      <c r="CF633">
        <v>1</v>
      </c>
      <c r="CL633">
        <v>1</v>
      </c>
      <c r="CS633" t="s">
        <v>156</v>
      </c>
    </row>
    <row r="634" spans="1:98">
      <c r="B634" t="s">
        <v>1849</v>
      </c>
      <c r="C634" s="2" t="s">
        <v>1629</v>
      </c>
      <c r="D634" s="2" t="s">
        <v>1629</v>
      </c>
      <c r="E634" s="8" t="s">
        <v>1630</v>
      </c>
      <c r="F634" s="8" t="s">
        <v>65</v>
      </c>
      <c r="G634" s="1">
        <v>1</v>
      </c>
      <c r="I634" s="1">
        <f>1811-27</f>
        <v>1784</v>
      </c>
      <c r="J634" t="s">
        <v>69</v>
      </c>
      <c r="K634" t="s">
        <v>12</v>
      </c>
      <c r="N634">
        <v>1</v>
      </c>
      <c r="Q634">
        <v>5</v>
      </c>
      <c r="R634">
        <v>5</v>
      </c>
      <c r="S634">
        <v>1</v>
      </c>
      <c r="T634" s="5">
        <f t="shared" si="23"/>
        <v>171.37</v>
      </c>
      <c r="U634" t="s">
        <v>1850</v>
      </c>
      <c r="AP634" s="6">
        <v>1</v>
      </c>
      <c r="AQ634" s="6">
        <v>1</v>
      </c>
      <c r="AR634" s="6">
        <v>1</v>
      </c>
      <c r="AS634" s="6">
        <v>1</v>
      </c>
      <c r="AT634" s="6">
        <v>1</v>
      </c>
      <c r="AU634" s="6">
        <v>1</v>
      </c>
      <c r="AV634" s="6">
        <v>1</v>
      </c>
      <c r="AW634" s="6">
        <v>1</v>
      </c>
      <c r="AX634" s="6">
        <v>1</v>
      </c>
      <c r="AY634" s="6">
        <v>1</v>
      </c>
      <c r="AZ634" s="6">
        <v>1</v>
      </c>
      <c r="BC634">
        <v>1818</v>
      </c>
      <c r="BD634" t="s">
        <v>81</v>
      </c>
      <c r="BE634" s="10" t="s">
        <v>62</v>
      </c>
      <c r="BF634" s="1" t="s">
        <v>73</v>
      </c>
      <c r="BG634" s="1">
        <v>4</v>
      </c>
      <c r="BH634">
        <v>2</v>
      </c>
      <c r="BK634" s="1">
        <v>1</v>
      </c>
      <c r="BQ634">
        <v>1</v>
      </c>
      <c r="CL634" s="10">
        <v>1</v>
      </c>
      <c r="CQ634">
        <v>1</v>
      </c>
      <c r="CS634" s="10" t="s">
        <v>1639</v>
      </c>
    </row>
    <row r="635" spans="1:98">
      <c r="B635" t="s">
        <v>2478</v>
      </c>
      <c r="C635" s="2" t="s">
        <v>2479</v>
      </c>
      <c r="D635" s="2" t="s">
        <v>2479</v>
      </c>
      <c r="E635" s="8" t="s">
        <v>1630</v>
      </c>
      <c r="F635" s="8" t="s">
        <v>65</v>
      </c>
      <c r="G635" s="1">
        <v>1</v>
      </c>
      <c r="I635" s="1">
        <f>1811-21</f>
        <v>1790</v>
      </c>
      <c r="J635" t="s">
        <v>10</v>
      </c>
      <c r="K635" t="s">
        <v>2480</v>
      </c>
      <c r="Q635">
        <v>5</v>
      </c>
      <c r="R635">
        <v>1</v>
      </c>
      <c r="S635">
        <v>1</v>
      </c>
      <c r="T635" s="5">
        <f t="shared" si="23"/>
        <v>160.85</v>
      </c>
      <c r="U635" t="s">
        <v>1850</v>
      </c>
      <c r="AP635" s="6">
        <v>1</v>
      </c>
      <c r="AQ635" s="6">
        <v>1</v>
      </c>
      <c r="AR635" s="6">
        <v>1</v>
      </c>
      <c r="AS635" s="6">
        <v>1</v>
      </c>
      <c r="AT635" s="6">
        <v>1</v>
      </c>
      <c r="AU635" s="6">
        <v>1</v>
      </c>
      <c r="AV635" s="6">
        <v>1</v>
      </c>
      <c r="AW635" s="6">
        <v>1</v>
      </c>
      <c r="AX635" s="6">
        <v>1</v>
      </c>
      <c r="AY635" s="6">
        <v>1</v>
      </c>
      <c r="AZ635" s="6">
        <v>1</v>
      </c>
      <c r="BA635" s="6">
        <v>1</v>
      </c>
      <c r="BB635" s="6">
        <v>1</v>
      </c>
      <c r="BC635">
        <v>1820</v>
      </c>
      <c r="BD635" t="s">
        <v>81</v>
      </c>
      <c r="BE635" t="s">
        <v>62</v>
      </c>
      <c r="BF635" s="1" t="s">
        <v>73</v>
      </c>
      <c r="BG635" s="1">
        <v>7</v>
      </c>
      <c r="BH635">
        <v>2</v>
      </c>
      <c r="BK635" s="1">
        <v>1</v>
      </c>
      <c r="BP635">
        <v>1</v>
      </c>
      <c r="BQ635">
        <v>1</v>
      </c>
      <c r="CI635">
        <v>1</v>
      </c>
      <c r="CL635">
        <v>1</v>
      </c>
      <c r="CQ635">
        <v>1</v>
      </c>
      <c r="CS635" t="s">
        <v>2481</v>
      </c>
    </row>
    <row r="636" spans="1:98">
      <c r="B636" t="s">
        <v>2469</v>
      </c>
      <c r="C636" s="2" t="s">
        <v>243</v>
      </c>
      <c r="D636" s="2"/>
      <c r="E636" s="8" t="s">
        <v>1381</v>
      </c>
      <c r="F636" s="8" t="s">
        <v>115</v>
      </c>
      <c r="G636" s="1">
        <v>1</v>
      </c>
      <c r="I636" s="1">
        <f>1819-33</f>
        <v>1786</v>
      </c>
      <c r="J636" t="s">
        <v>10</v>
      </c>
      <c r="K636" t="s">
        <v>2470</v>
      </c>
      <c r="Q636">
        <v>5</v>
      </c>
      <c r="R636">
        <v>3</v>
      </c>
      <c r="S636">
        <v>1</v>
      </c>
      <c r="T636" s="5">
        <f t="shared" si="23"/>
        <v>166.11</v>
      </c>
      <c r="U636" t="s">
        <v>2468</v>
      </c>
      <c r="AP636" s="6">
        <v>1</v>
      </c>
      <c r="AQ636" s="6">
        <v>1</v>
      </c>
      <c r="AR636" s="6">
        <v>1</v>
      </c>
      <c r="AS636" s="6">
        <v>1</v>
      </c>
      <c r="AT636" s="6">
        <v>1</v>
      </c>
      <c r="AU636" s="6">
        <v>1</v>
      </c>
      <c r="AV636" s="6">
        <v>1</v>
      </c>
      <c r="AW636" s="6">
        <v>1</v>
      </c>
      <c r="AX636" s="6">
        <v>1</v>
      </c>
      <c r="AY636" s="6">
        <v>1</v>
      </c>
      <c r="AZ636" s="6">
        <v>1</v>
      </c>
      <c r="BA636" s="7">
        <v>1</v>
      </c>
      <c r="BC636" t="s">
        <v>1827</v>
      </c>
      <c r="BD636" s="7" t="s">
        <v>103</v>
      </c>
      <c r="BE636" t="s">
        <v>62</v>
      </c>
      <c r="BF636" s="1" t="s">
        <v>29</v>
      </c>
      <c r="BG636" s="1">
        <v>6</v>
      </c>
      <c r="BH636">
        <v>2</v>
      </c>
      <c r="BK636" s="1">
        <v>1</v>
      </c>
      <c r="BQ636">
        <v>1</v>
      </c>
      <c r="CF636" s="6">
        <v>1</v>
      </c>
      <c r="CL636">
        <v>1</v>
      </c>
      <c r="CS636" s="7" t="s">
        <v>412</v>
      </c>
      <c r="CT636" s="6" t="s">
        <v>2471</v>
      </c>
    </row>
    <row r="637" spans="1:98">
      <c r="B637" t="s">
        <v>1959</v>
      </c>
      <c r="C637" s="2" t="s">
        <v>191</v>
      </c>
      <c r="D637" s="15"/>
      <c r="E637" s="8" t="s">
        <v>193</v>
      </c>
      <c r="F637" s="8" t="s">
        <v>65</v>
      </c>
      <c r="G637" s="1">
        <v>1</v>
      </c>
      <c r="I637" s="1">
        <f>1809-21</f>
        <v>1788</v>
      </c>
      <c r="J637" t="s">
        <v>10</v>
      </c>
      <c r="K637" t="s">
        <v>12</v>
      </c>
      <c r="Q637">
        <v>5</v>
      </c>
      <c r="R637">
        <v>3</v>
      </c>
      <c r="S637">
        <v>2</v>
      </c>
      <c r="T637" s="5">
        <f t="shared" si="23"/>
        <v>166.33</v>
      </c>
      <c r="U637" t="s">
        <v>1958</v>
      </c>
      <c r="AP637" s="14">
        <v>1</v>
      </c>
      <c r="AQ637" s="7">
        <v>1</v>
      </c>
      <c r="BC637" t="s">
        <v>1960</v>
      </c>
      <c r="BD637" s="7" t="s">
        <v>305</v>
      </c>
      <c r="BE637" t="s">
        <v>118</v>
      </c>
      <c r="BF637" s="1" t="s">
        <v>29</v>
      </c>
      <c r="BG637" s="1">
        <v>1</v>
      </c>
      <c r="BH637">
        <v>2</v>
      </c>
      <c r="BK637" s="29">
        <v>1</v>
      </c>
      <c r="BL637">
        <v>1</v>
      </c>
      <c r="BQ637">
        <v>1</v>
      </c>
      <c r="CL637">
        <v>1</v>
      </c>
      <c r="CS637" s="7" t="s">
        <v>1961</v>
      </c>
      <c r="CT637" s="9" t="s">
        <v>1962</v>
      </c>
    </row>
    <row r="638" spans="1:98">
      <c r="A638" t="s">
        <v>7</v>
      </c>
      <c r="B638" t="s">
        <v>1968</v>
      </c>
      <c r="C638" s="15"/>
      <c r="D638" s="15"/>
      <c r="E638" s="8"/>
      <c r="F638" s="8"/>
      <c r="T638" s="5"/>
      <c r="U638" s="9" t="s">
        <v>1965</v>
      </c>
      <c r="AP638" s="9">
        <v>1</v>
      </c>
      <c r="AQ638" s="7">
        <v>1</v>
      </c>
      <c r="BC638" t="s">
        <v>635</v>
      </c>
      <c r="BD638" s="7" t="s">
        <v>280</v>
      </c>
      <c r="BE638" t="s">
        <v>118</v>
      </c>
      <c r="BF638" s="1" t="s">
        <v>29</v>
      </c>
      <c r="BG638" s="1">
        <v>1</v>
      </c>
      <c r="BH638">
        <v>1</v>
      </c>
      <c r="BQ638">
        <v>1</v>
      </c>
      <c r="CN638">
        <v>1</v>
      </c>
      <c r="CS638" s="7" t="s">
        <v>1970</v>
      </c>
    </row>
    <row r="639" spans="1:98">
      <c r="A639" t="s">
        <v>7</v>
      </c>
      <c r="B639" t="s">
        <v>1969</v>
      </c>
      <c r="C639" s="15"/>
      <c r="D639" s="15"/>
      <c r="E639" s="8"/>
      <c r="F639" s="8"/>
      <c r="T639" s="5"/>
      <c r="U639" s="9" t="s">
        <v>1965</v>
      </c>
      <c r="AP639" s="9">
        <v>1</v>
      </c>
      <c r="AQ639" s="7">
        <v>1</v>
      </c>
      <c r="BC639" t="s">
        <v>635</v>
      </c>
      <c r="BD639" s="7" t="s">
        <v>280</v>
      </c>
      <c r="BE639" t="s">
        <v>118</v>
      </c>
      <c r="BF639" s="1" t="s">
        <v>29</v>
      </c>
      <c r="BG639" s="1">
        <v>1</v>
      </c>
      <c r="BH639">
        <v>1</v>
      </c>
      <c r="BQ639">
        <v>1</v>
      </c>
      <c r="CN639">
        <v>1</v>
      </c>
      <c r="CS639" s="7" t="s">
        <v>1970</v>
      </c>
    </row>
    <row r="640" spans="1:98">
      <c r="A640" t="s">
        <v>7</v>
      </c>
      <c r="B640" t="s">
        <v>1966</v>
      </c>
      <c r="C640" s="15"/>
      <c r="D640" s="15"/>
      <c r="E640" s="8"/>
      <c r="F640" s="8"/>
      <c r="T640" s="5"/>
      <c r="U640" s="9" t="s">
        <v>1965</v>
      </c>
      <c r="AP640" s="9">
        <v>1</v>
      </c>
      <c r="AQ640" s="7">
        <v>1</v>
      </c>
      <c r="BC640" t="s">
        <v>1967</v>
      </c>
      <c r="BD640" s="7" t="s">
        <v>103</v>
      </c>
      <c r="BE640" t="s">
        <v>118</v>
      </c>
      <c r="BF640" s="1" t="s">
        <v>29</v>
      </c>
      <c r="BG640" s="1">
        <v>1</v>
      </c>
      <c r="BH640">
        <v>1</v>
      </c>
      <c r="BQ640">
        <v>1</v>
      </c>
      <c r="CS640" s="7" t="s">
        <v>897</v>
      </c>
    </row>
    <row r="641" spans="2:98">
      <c r="B641" t="s">
        <v>1627</v>
      </c>
      <c r="C641" s="2" t="s">
        <v>1628</v>
      </c>
      <c r="D641" s="2" t="s">
        <v>1629</v>
      </c>
      <c r="E641" s="8" t="s">
        <v>1630</v>
      </c>
      <c r="F641" s="8" t="s">
        <v>65</v>
      </c>
      <c r="G641" s="1">
        <v>1</v>
      </c>
      <c r="I641" s="1">
        <f>1811-35</f>
        <v>1776</v>
      </c>
      <c r="J641" t="s">
        <v>10</v>
      </c>
      <c r="K641" t="s">
        <v>12</v>
      </c>
      <c r="Q641">
        <v>5</v>
      </c>
      <c r="R641">
        <v>4</v>
      </c>
      <c r="T641" s="5">
        <f t="shared" si="23"/>
        <v>168.52</v>
      </c>
      <c r="U641" t="s">
        <v>1631</v>
      </c>
      <c r="AQ641" s="6">
        <v>1</v>
      </c>
      <c r="AR641" s="6">
        <v>1</v>
      </c>
      <c r="AS641" s="6">
        <v>1</v>
      </c>
      <c r="AT641" s="7">
        <v>1</v>
      </c>
      <c r="BC641" t="s">
        <v>1632</v>
      </c>
      <c r="BD641" s="7" t="s">
        <v>103</v>
      </c>
      <c r="BE641" t="s">
        <v>62</v>
      </c>
      <c r="BF641" s="1" t="s">
        <v>29</v>
      </c>
      <c r="BG641" s="1">
        <v>3</v>
      </c>
      <c r="BH641">
        <v>1</v>
      </c>
      <c r="BK641" s="1">
        <v>1</v>
      </c>
      <c r="BQ641">
        <v>1</v>
      </c>
      <c r="CS641" s="7" t="s">
        <v>1633</v>
      </c>
    </row>
    <row r="642" spans="2:98">
      <c r="B642" t="s">
        <v>2821</v>
      </c>
      <c r="C642" s="2" t="s">
        <v>2822</v>
      </c>
      <c r="D642" s="2" t="s">
        <v>2822</v>
      </c>
      <c r="E642" s="8" t="s">
        <v>599</v>
      </c>
      <c r="F642" s="8" t="s">
        <v>357</v>
      </c>
      <c r="G642" s="1">
        <v>1</v>
      </c>
      <c r="I642" s="1">
        <f>1809-20</f>
        <v>1789</v>
      </c>
      <c r="J642" t="s">
        <v>10</v>
      </c>
      <c r="K642" t="s">
        <v>12</v>
      </c>
      <c r="Q642">
        <v>5</v>
      </c>
      <c r="R642">
        <v>5</v>
      </c>
      <c r="S642">
        <v>3</v>
      </c>
      <c r="T642" s="5">
        <f t="shared" si="23"/>
        <v>171.81</v>
      </c>
      <c r="U642" t="s">
        <v>2823</v>
      </c>
      <c r="AQ642" s="7">
        <v>1</v>
      </c>
      <c r="BC642" t="s">
        <v>2824</v>
      </c>
      <c r="BD642" s="7" t="s">
        <v>26</v>
      </c>
      <c r="BE642" t="s">
        <v>2825</v>
      </c>
      <c r="BF642" s="1" t="s">
        <v>29</v>
      </c>
      <c r="BG642" s="1">
        <v>2</v>
      </c>
      <c r="BH642">
        <v>1</v>
      </c>
      <c r="BK642" s="1">
        <v>1</v>
      </c>
      <c r="BX642">
        <v>1</v>
      </c>
      <c r="CS642" s="7" t="s">
        <v>2826</v>
      </c>
    </row>
    <row r="643" spans="2:98">
      <c r="B643" t="s">
        <v>2454</v>
      </c>
      <c r="C643" s="2" t="s">
        <v>2058</v>
      </c>
      <c r="D643" s="15"/>
      <c r="E643" s="8"/>
      <c r="F643" s="8" t="s">
        <v>115</v>
      </c>
      <c r="G643" s="1">
        <v>1</v>
      </c>
      <c r="I643" s="1">
        <f>1811-21</f>
        <v>1790</v>
      </c>
      <c r="J643" t="s">
        <v>10</v>
      </c>
      <c r="K643" t="s">
        <v>12</v>
      </c>
      <c r="Q643">
        <v>5</v>
      </c>
      <c r="R643">
        <v>0</v>
      </c>
      <c r="S643">
        <v>3</v>
      </c>
      <c r="T643" s="5">
        <f t="shared" si="23"/>
        <v>158.66</v>
      </c>
      <c r="U643" t="s">
        <v>2453</v>
      </c>
      <c r="AQ643" s="6">
        <v>1</v>
      </c>
      <c r="AR643" s="6">
        <v>1</v>
      </c>
      <c r="AS643" s="6">
        <v>1</v>
      </c>
      <c r="AT643" s="6">
        <v>1</v>
      </c>
      <c r="AU643" s="6">
        <v>1</v>
      </c>
      <c r="AV643" s="6">
        <v>1</v>
      </c>
      <c r="AW643" s="6">
        <v>1</v>
      </c>
      <c r="AX643" s="6">
        <v>1</v>
      </c>
      <c r="AY643" s="7">
        <v>1</v>
      </c>
      <c r="BC643" t="s">
        <v>1517</v>
      </c>
      <c r="BD643" s="7" t="s">
        <v>103</v>
      </c>
      <c r="BE643" t="s">
        <v>118</v>
      </c>
      <c r="BF643" s="1" t="s">
        <v>29</v>
      </c>
      <c r="BG643" s="1">
        <v>2</v>
      </c>
      <c r="BH643">
        <v>2</v>
      </c>
      <c r="BK643" s="1">
        <v>1</v>
      </c>
      <c r="BQ643">
        <v>1</v>
      </c>
      <c r="CL643">
        <v>1</v>
      </c>
      <c r="CS643" s="7" t="s">
        <v>1518</v>
      </c>
    </row>
    <row r="644" spans="2:98">
      <c r="B644" t="s">
        <v>1954</v>
      </c>
      <c r="C644" s="2" t="s">
        <v>1911</v>
      </c>
      <c r="D644" s="34" t="s">
        <v>1955</v>
      </c>
      <c r="E644" s="8" t="s">
        <v>1912</v>
      </c>
      <c r="F644" s="8" t="s">
        <v>65</v>
      </c>
      <c r="G644" s="1">
        <v>1</v>
      </c>
      <c r="I644" s="1">
        <f>1809-20</f>
        <v>1789</v>
      </c>
      <c r="J644" t="s">
        <v>10</v>
      </c>
      <c r="K644" t="s">
        <v>12</v>
      </c>
      <c r="Q644">
        <v>5</v>
      </c>
      <c r="R644">
        <v>3</v>
      </c>
      <c r="T644" s="5">
        <f t="shared" si="23"/>
        <v>165.89000000000001</v>
      </c>
      <c r="U644" t="s">
        <v>1956</v>
      </c>
      <c r="AQ644" s="7">
        <v>1</v>
      </c>
      <c r="BC644" t="s">
        <v>612</v>
      </c>
      <c r="BD644" s="7" t="s">
        <v>280</v>
      </c>
      <c r="BE644" t="s">
        <v>118</v>
      </c>
      <c r="BF644" s="1" t="s">
        <v>29</v>
      </c>
      <c r="BG644" s="1">
        <v>1</v>
      </c>
      <c r="BH644">
        <v>1</v>
      </c>
      <c r="BK644" s="1">
        <v>1</v>
      </c>
      <c r="BQ644">
        <v>1</v>
      </c>
      <c r="CN644">
        <v>1</v>
      </c>
      <c r="CS644" s="7" t="s">
        <v>1957</v>
      </c>
    </row>
    <row r="645" spans="2:98">
      <c r="B645" t="s">
        <v>830</v>
      </c>
      <c r="C645" s="15" t="s">
        <v>831</v>
      </c>
      <c r="D645" s="15"/>
      <c r="E645" s="8" t="s">
        <v>832</v>
      </c>
      <c r="F645" s="8" t="s">
        <v>65</v>
      </c>
      <c r="G645" s="1">
        <v>1</v>
      </c>
      <c r="I645" s="1">
        <f>1810-20</f>
        <v>1790</v>
      </c>
      <c r="J645" t="s">
        <v>10</v>
      </c>
      <c r="K645" t="s">
        <v>12</v>
      </c>
      <c r="Q645">
        <v>5</v>
      </c>
      <c r="R645">
        <v>3</v>
      </c>
      <c r="S645">
        <v>1</v>
      </c>
      <c r="T645" s="5">
        <f t="shared" si="23"/>
        <v>166.11</v>
      </c>
      <c r="U645" t="s">
        <v>833</v>
      </c>
      <c r="AQ645" s="6">
        <v>1</v>
      </c>
      <c r="AR645" s="7">
        <v>1</v>
      </c>
      <c r="BC645" t="s">
        <v>1430</v>
      </c>
      <c r="BD645" s="7" t="s">
        <v>103</v>
      </c>
      <c r="BE645" t="s">
        <v>820</v>
      </c>
      <c r="BF645" s="1" t="s">
        <v>29</v>
      </c>
      <c r="BG645" s="1">
        <v>2</v>
      </c>
      <c r="BH645">
        <v>2</v>
      </c>
      <c r="BK645" s="1">
        <v>1</v>
      </c>
      <c r="BQ645">
        <v>1</v>
      </c>
      <c r="CL645">
        <v>1</v>
      </c>
      <c r="CS645" s="7" t="s">
        <v>1431</v>
      </c>
    </row>
    <row r="646" spans="2:98">
      <c r="B646" t="s">
        <v>2475</v>
      </c>
      <c r="C646" s="2" t="s">
        <v>2426</v>
      </c>
      <c r="D646" s="15"/>
      <c r="E646" s="8" t="s">
        <v>832</v>
      </c>
      <c r="F646" s="8" t="s">
        <v>65</v>
      </c>
      <c r="G646" s="1">
        <v>1</v>
      </c>
      <c r="I646" s="1">
        <f>1811-22</f>
        <v>1789</v>
      </c>
      <c r="J646" t="s">
        <v>10</v>
      </c>
      <c r="K646" t="s">
        <v>116</v>
      </c>
      <c r="Q646">
        <v>5</v>
      </c>
      <c r="R646">
        <v>9</v>
      </c>
      <c r="S646">
        <v>3</v>
      </c>
      <c r="T646" s="5">
        <f>((Q646*316)+(R646*26.3)+(S646*2.2))/10</f>
        <v>182.32999999999998</v>
      </c>
      <c r="U646" t="s">
        <v>2476</v>
      </c>
      <c r="AQ646" s="6">
        <v>1</v>
      </c>
      <c r="AR646" s="6">
        <v>1</v>
      </c>
      <c r="AS646" s="6">
        <v>1</v>
      </c>
      <c r="AT646" s="6">
        <v>1</v>
      </c>
      <c r="AU646" s="6">
        <v>1</v>
      </c>
      <c r="AV646" s="6">
        <v>1</v>
      </c>
      <c r="AW646" s="6">
        <v>1</v>
      </c>
      <c r="AX646" s="6">
        <v>1</v>
      </c>
      <c r="AY646" s="6">
        <v>1</v>
      </c>
      <c r="AZ646" s="6">
        <v>1</v>
      </c>
      <c r="BA646" s="6">
        <v>1</v>
      </c>
      <c r="BB646" s="6">
        <v>1</v>
      </c>
      <c r="BC646">
        <v>1820</v>
      </c>
      <c r="BD646" t="s">
        <v>81</v>
      </c>
      <c r="BE646" t="s">
        <v>62</v>
      </c>
      <c r="BF646" s="1" t="s">
        <v>73</v>
      </c>
      <c r="BG646" s="1">
        <v>5</v>
      </c>
      <c r="BH646">
        <v>2</v>
      </c>
      <c r="BK646" s="1">
        <v>1</v>
      </c>
      <c r="BP646">
        <v>1</v>
      </c>
      <c r="BQ646">
        <v>1</v>
      </c>
      <c r="CL646">
        <v>1</v>
      </c>
      <c r="CQ646">
        <v>1</v>
      </c>
      <c r="CS646" t="s">
        <v>2477</v>
      </c>
    </row>
    <row r="647" spans="2:98">
      <c r="B647" t="s">
        <v>1638</v>
      </c>
      <c r="C647" s="2" t="s">
        <v>1223</v>
      </c>
      <c r="E647" s="8"/>
      <c r="F647" s="8" t="s">
        <v>65</v>
      </c>
      <c r="G647" s="1">
        <v>1</v>
      </c>
      <c r="I647" s="1">
        <f>1811-22</f>
        <v>1789</v>
      </c>
      <c r="J647" t="s">
        <v>10</v>
      </c>
      <c r="K647" t="s">
        <v>12</v>
      </c>
      <c r="O647" s="1"/>
      <c r="Q647">
        <v>5</v>
      </c>
      <c r="R647">
        <v>2</v>
      </c>
      <c r="S647">
        <v>1</v>
      </c>
      <c r="T647" s="5">
        <f>((Q647*316)+(R647*26.3)+(S647*2.2))/10</f>
        <v>163.47999999999999</v>
      </c>
      <c r="U647" t="s">
        <v>1636</v>
      </c>
      <c r="AQ647" s="6">
        <v>1</v>
      </c>
      <c r="AR647" s="6">
        <v>1</v>
      </c>
      <c r="AS647" s="6">
        <v>1</v>
      </c>
      <c r="AT647" s="6">
        <v>1</v>
      </c>
      <c r="AU647" s="6">
        <v>1</v>
      </c>
      <c r="AV647" s="6">
        <v>1</v>
      </c>
      <c r="AW647" s="6">
        <v>1</v>
      </c>
      <c r="AX647" s="6">
        <v>1</v>
      </c>
      <c r="AY647" s="6">
        <v>1</v>
      </c>
      <c r="BC647">
        <v>1817</v>
      </c>
      <c r="BD647" t="s">
        <v>81</v>
      </c>
      <c r="BE647" s="10" t="s">
        <v>62</v>
      </c>
      <c r="BF647" s="1" t="s">
        <v>73</v>
      </c>
      <c r="BG647" s="1">
        <v>5</v>
      </c>
      <c r="BH647">
        <v>2</v>
      </c>
      <c r="BK647" s="1">
        <v>1</v>
      </c>
      <c r="BQ647">
        <v>1</v>
      </c>
      <c r="CL647" s="10">
        <v>1</v>
      </c>
      <c r="CS647" s="10" t="s">
        <v>1639</v>
      </c>
    </row>
    <row r="648" spans="2:98">
      <c r="B648" t="s">
        <v>1634</v>
      </c>
      <c r="C648" s="2" t="s">
        <v>1635</v>
      </c>
      <c r="D648" s="2" t="s">
        <v>1635</v>
      </c>
      <c r="E648" s="8" t="s">
        <v>1630</v>
      </c>
      <c r="F648" s="8" t="s">
        <v>65</v>
      </c>
      <c r="G648" s="1">
        <v>1</v>
      </c>
      <c r="I648" s="1">
        <f>1811-23</f>
        <v>1788</v>
      </c>
      <c r="J648" t="s">
        <v>69</v>
      </c>
      <c r="K648" t="s">
        <v>12</v>
      </c>
      <c r="M648">
        <v>1</v>
      </c>
      <c r="Q648">
        <v>5</v>
      </c>
      <c r="R648">
        <v>1</v>
      </c>
      <c r="S648">
        <v>1</v>
      </c>
      <c r="T648" s="5">
        <f t="shared" si="23"/>
        <v>160.85</v>
      </c>
      <c r="U648" t="s">
        <v>1636</v>
      </c>
      <c r="AQ648" s="6">
        <v>1</v>
      </c>
      <c r="AR648" s="6">
        <v>1</v>
      </c>
      <c r="AS648" s="6">
        <v>1</v>
      </c>
      <c r="AT648" s="6">
        <v>1</v>
      </c>
      <c r="BC648">
        <v>1812</v>
      </c>
      <c r="BD648" t="s">
        <v>81</v>
      </c>
      <c r="BE648" s="10" t="s">
        <v>62</v>
      </c>
      <c r="BF648" s="1" t="s">
        <v>73</v>
      </c>
      <c r="BG648" s="1">
        <v>3</v>
      </c>
      <c r="BH648">
        <v>2</v>
      </c>
      <c r="BK648" s="1">
        <v>1</v>
      </c>
      <c r="BQ648">
        <v>1</v>
      </c>
      <c r="CL648" s="10">
        <v>1</v>
      </c>
      <c r="CS648" s="10" t="s">
        <v>1637</v>
      </c>
    </row>
    <row r="649" spans="2:98">
      <c r="B649" t="s">
        <v>2482</v>
      </c>
      <c r="C649" s="2" t="s">
        <v>2426</v>
      </c>
      <c r="D649" s="15"/>
      <c r="E649" s="8" t="s">
        <v>832</v>
      </c>
      <c r="F649" s="8" t="s">
        <v>65</v>
      </c>
      <c r="G649" s="1">
        <v>1</v>
      </c>
      <c r="I649" s="1">
        <f>1811-31</f>
        <v>1780</v>
      </c>
      <c r="J649" t="s">
        <v>69</v>
      </c>
      <c r="K649" t="s">
        <v>140</v>
      </c>
      <c r="Q649">
        <v>5</v>
      </c>
      <c r="R649">
        <v>3</v>
      </c>
      <c r="T649" s="5">
        <f t="shared" si="23"/>
        <v>165.89000000000001</v>
      </c>
      <c r="U649" t="s">
        <v>1112</v>
      </c>
      <c r="AQ649" s="6">
        <v>1</v>
      </c>
      <c r="AR649" s="6">
        <v>1</v>
      </c>
      <c r="AS649" s="6">
        <v>1</v>
      </c>
      <c r="AT649" s="6">
        <v>1</v>
      </c>
      <c r="AU649" s="6">
        <v>1</v>
      </c>
      <c r="AV649" s="6">
        <v>1</v>
      </c>
      <c r="AW649" s="6">
        <v>1</v>
      </c>
      <c r="AX649" s="6">
        <v>1</v>
      </c>
      <c r="AY649" s="6">
        <v>1</v>
      </c>
      <c r="AZ649" s="6">
        <v>1</v>
      </c>
      <c r="BA649" s="6">
        <v>1</v>
      </c>
      <c r="BB649" s="6">
        <v>1</v>
      </c>
      <c r="BC649">
        <v>1820</v>
      </c>
      <c r="BD649" t="s">
        <v>81</v>
      </c>
      <c r="BE649" t="s">
        <v>62</v>
      </c>
      <c r="BF649" s="1" t="s">
        <v>73</v>
      </c>
      <c r="BG649" s="1">
        <v>6</v>
      </c>
      <c r="BH649">
        <v>2</v>
      </c>
      <c r="BK649" s="1">
        <v>1</v>
      </c>
      <c r="BP649">
        <v>1</v>
      </c>
      <c r="BQ649">
        <v>1</v>
      </c>
      <c r="CF649">
        <v>1</v>
      </c>
      <c r="CL649">
        <v>1</v>
      </c>
      <c r="CQ649">
        <v>1</v>
      </c>
      <c r="CS649" t="s">
        <v>2483</v>
      </c>
    </row>
    <row r="650" spans="2:98">
      <c r="B650" t="s">
        <v>2473</v>
      </c>
      <c r="C650" s="2" t="s">
        <v>2474</v>
      </c>
      <c r="D650" s="2" t="s">
        <v>2474</v>
      </c>
      <c r="E650" s="8" t="s">
        <v>1630</v>
      </c>
      <c r="F650" s="8" t="s">
        <v>65</v>
      </c>
      <c r="G650" s="1">
        <v>1</v>
      </c>
      <c r="I650" s="1">
        <f>1819-29</f>
        <v>1790</v>
      </c>
      <c r="J650" t="s">
        <v>10</v>
      </c>
      <c r="K650" t="s">
        <v>12</v>
      </c>
      <c r="Q650">
        <v>5</v>
      </c>
      <c r="R650">
        <v>2</v>
      </c>
      <c r="S650">
        <v>3</v>
      </c>
      <c r="T650" s="5">
        <f t="shared" si="23"/>
        <v>163.92</v>
      </c>
      <c r="U650" t="s">
        <v>2472</v>
      </c>
      <c r="AQ650" s="6">
        <v>1</v>
      </c>
      <c r="AR650" s="6">
        <v>1</v>
      </c>
      <c r="AS650" s="6">
        <v>1</v>
      </c>
      <c r="AT650" s="6">
        <v>1</v>
      </c>
      <c r="AU650" s="6">
        <v>1</v>
      </c>
      <c r="AV650" s="6">
        <v>1</v>
      </c>
      <c r="AW650" s="6">
        <v>1</v>
      </c>
      <c r="AX650" s="6">
        <v>1</v>
      </c>
      <c r="AY650" s="6">
        <v>1</v>
      </c>
      <c r="AZ650" s="6">
        <v>1</v>
      </c>
      <c r="BA650" s="7">
        <v>1</v>
      </c>
      <c r="BC650" t="s">
        <v>1827</v>
      </c>
      <c r="BD650" s="7" t="s">
        <v>103</v>
      </c>
      <c r="BE650" t="s">
        <v>62</v>
      </c>
      <c r="BF650" s="1" t="s">
        <v>29</v>
      </c>
      <c r="BG650" s="1">
        <v>5</v>
      </c>
      <c r="BH650">
        <v>1</v>
      </c>
      <c r="BK650" s="1">
        <v>1</v>
      </c>
      <c r="BQ650">
        <v>1</v>
      </c>
      <c r="CF650">
        <v>1</v>
      </c>
      <c r="CI650">
        <v>1</v>
      </c>
      <c r="CL650">
        <v>1</v>
      </c>
      <c r="CS650" s="7" t="s">
        <v>412</v>
      </c>
    </row>
    <row r="651" spans="2:98">
      <c r="B651" t="s">
        <v>814</v>
      </c>
      <c r="C651" s="15" t="s">
        <v>815</v>
      </c>
      <c r="D651" s="15"/>
      <c r="E651" s="8" t="s">
        <v>130</v>
      </c>
      <c r="F651" s="8" t="s">
        <v>65</v>
      </c>
      <c r="G651" s="1">
        <v>1</v>
      </c>
      <c r="I651" s="1">
        <f>1810-22</f>
        <v>1788</v>
      </c>
      <c r="J651" t="s">
        <v>69</v>
      </c>
      <c r="K651" t="s">
        <v>12</v>
      </c>
      <c r="Q651">
        <v>5</v>
      </c>
      <c r="R651">
        <v>1</v>
      </c>
      <c r="S651">
        <v>1</v>
      </c>
      <c r="T651" s="5">
        <f t="shared" si="23"/>
        <v>160.85</v>
      </c>
      <c r="U651" t="s">
        <v>816</v>
      </c>
      <c r="AQ651" s="6">
        <v>1</v>
      </c>
      <c r="AR651" s="6">
        <v>1</v>
      </c>
      <c r="AS651" s="6">
        <v>1</v>
      </c>
      <c r="AT651" s="6">
        <v>1</v>
      </c>
      <c r="BC651">
        <v>1812</v>
      </c>
      <c r="BD651" t="s">
        <v>81</v>
      </c>
      <c r="BE651" t="s">
        <v>152</v>
      </c>
      <c r="BF651" s="1" t="s">
        <v>73</v>
      </c>
      <c r="BG651" s="1">
        <v>2</v>
      </c>
      <c r="BH651">
        <v>2</v>
      </c>
      <c r="BJ651">
        <v>1</v>
      </c>
      <c r="BK651" s="1">
        <v>1</v>
      </c>
      <c r="BQ651">
        <v>1</v>
      </c>
      <c r="BV651">
        <v>1</v>
      </c>
      <c r="CL651">
        <v>1</v>
      </c>
      <c r="CS651" t="s">
        <v>153</v>
      </c>
    </row>
    <row r="652" spans="2:98">
      <c r="B652" t="s">
        <v>834</v>
      </c>
      <c r="C652" s="15" t="s">
        <v>831</v>
      </c>
      <c r="D652" s="15"/>
      <c r="E652" s="8" t="s">
        <v>832</v>
      </c>
      <c r="F652" s="8" t="s">
        <v>65</v>
      </c>
      <c r="G652" s="1">
        <v>1</v>
      </c>
      <c r="I652" s="1">
        <f>1810-20</f>
        <v>1790</v>
      </c>
      <c r="J652" t="s">
        <v>10</v>
      </c>
      <c r="K652" t="s">
        <v>12</v>
      </c>
      <c r="Q652">
        <v>5</v>
      </c>
      <c r="R652">
        <v>2</v>
      </c>
      <c r="T652" s="5">
        <f t="shared" si="23"/>
        <v>163.26</v>
      </c>
      <c r="U652" t="s">
        <v>816</v>
      </c>
      <c r="AQ652" s="6">
        <v>1</v>
      </c>
      <c r="AR652" s="6">
        <v>1</v>
      </c>
      <c r="BC652">
        <v>1810</v>
      </c>
      <c r="BD652" t="s">
        <v>81</v>
      </c>
      <c r="BE652" t="s">
        <v>820</v>
      </c>
      <c r="BF652" s="1" t="s">
        <v>73</v>
      </c>
      <c r="BG652" s="1">
        <v>2</v>
      </c>
      <c r="BH652">
        <v>2</v>
      </c>
      <c r="BK652" s="1">
        <v>1</v>
      </c>
      <c r="BQ652">
        <v>1</v>
      </c>
      <c r="CL652">
        <v>1</v>
      </c>
      <c r="CS652" t="s">
        <v>824</v>
      </c>
    </row>
    <row r="653" spans="2:98">
      <c r="B653" t="s">
        <v>2629</v>
      </c>
      <c r="C653" s="2" t="s">
        <v>722</v>
      </c>
      <c r="D653" s="15"/>
      <c r="E653" s="8"/>
      <c r="F653" s="8" t="s">
        <v>357</v>
      </c>
      <c r="G653" s="1">
        <v>1</v>
      </c>
      <c r="I653" s="1">
        <f>1809-20</f>
        <v>1789</v>
      </c>
      <c r="J653" t="s">
        <v>10</v>
      </c>
      <c r="K653" t="s">
        <v>12</v>
      </c>
      <c r="T653" s="5"/>
      <c r="U653" s="9" t="s">
        <v>2628</v>
      </c>
      <c r="AQ653" s="9">
        <v>1</v>
      </c>
      <c r="BC653">
        <v>1809</v>
      </c>
      <c r="BD653" t="s">
        <v>81</v>
      </c>
      <c r="BE653" s="10" t="s">
        <v>70</v>
      </c>
      <c r="BF653" s="1" t="s">
        <v>73</v>
      </c>
      <c r="BG653" s="1">
        <v>2</v>
      </c>
      <c r="BH653">
        <v>1</v>
      </c>
      <c r="BZ653">
        <v>1</v>
      </c>
      <c r="CS653" t="s">
        <v>2630</v>
      </c>
      <c r="CT653" s="10" t="s">
        <v>2631</v>
      </c>
    </row>
    <row r="654" spans="2:98">
      <c r="B654" t="s">
        <v>2632</v>
      </c>
      <c r="C654" s="2" t="s">
        <v>2633</v>
      </c>
      <c r="D654" s="34" t="s">
        <v>2634</v>
      </c>
      <c r="E654" s="8"/>
      <c r="F654" s="8" t="s">
        <v>218</v>
      </c>
      <c r="G654" s="1">
        <v>1</v>
      </c>
      <c r="I654" s="1">
        <f>1809-18</f>
        <v>1791</v>
      </c>
      <c r="J654" t="s">
        <v>10</v>
      </c>
      <c r="K654" t="s">
        <v>12</v>
      </c>
      <c r="Q654">
        <v>5</v>
      </c>
      <c r="R654">
        <v>2</v>
      </c>
      <c r="T654" s="5">
        <f t="shared" si="23"/>
        <v>163.26</v>
      </c>
      <c r="U654" t="s">
        <v>618</v>
      </c>
      <c r="AQ654" s="6">
        <v>1</v>
      </c>
      <c r="BC654">
        <v>1809</v>
      </c>
      <c r="BD654" t="s">
        <v>81</v>
      </c>
      <c r="BE654" t="s">
        <v>2635</v>
      </c>
      <c r="BF654" s="1" t="s">
        <v>73</v>
      </c>
      <c r="BG654" s="1">
        <v>1</v>
      </c>
      <c r="BH654">
        <v>1</v>
      </c>
      <c r="BK654" s="1">
        <v>1</v>
      </c>
      <c r="BQ654">
        <v>1</v>
      </c>
      <c r="CS654" t="s">
        <v>2636</v>
      </c>
    </row>
    <row r="655" spans="2:98">
      <c r="B655" t="s">
        <v>615</v>
      </c>
      <c r="C655" s="13" t="s">
        <v>616</v>
      </c>
      <c r="D655" s="15" t="s">
        <v>617</v>
      </c>
      <c r="E655" s="8" t="s">
        <v>599</v>
      </c>
      <c r="F655" s="8" t="s">
        <v>357</v>
      </c>
      <c r="G655" s="1">
        <v>1</v>
      </c>
      <c r="I655" s="1">
        <f>1809-17</f>
        <v>1792</v>
      </c>
      <c r="J655" t="s">
        <v>10</v>
      </c>
      <c r="K655" t="s">
        <v>12</v>
      </c>
      <c r="T655" s="5"/>
      <c r="U655" t="s">
        <v>618</v>
      </c>
      <c r="AQ655" s="7">
        <v>1</v>
      </c>
      <c r="BC655" t="s">
        <v>619</v>
      </c>
      <c r="BD655" s="7" t="s">
        <v>163</v>
      </c>
      <c r="BE655" t="s">
        <v>602</v>
      </c>
      <c r="BF655" s="1" t="s">
        <v>29</v>
      </c>
      <c r="BG655" s="1">
        <v>1</v>
      </c>
      <c r="BH655">
        <v>1</v>
      </c>
      <c r="BO655">
        <v>1</v>
      </c>
      <c r="BR655">
        <v>1</v>
      </c>
      <c r="CS655" s="7" t="s">
        <v>620</v>
      </c>
    </row>
    <row r="656" spans="2:98">
      <c r="B656" t="s">
        <v>663</v>
      </c>
      <c r="C656" s="15" t="s">
        <v>664</v>
      </c>
      <c r="D656" s="15"/>
      <c r="E656" s="8"/>
      <c r="F656" s="8" t="s">
        <v>115</v>
      </c>
      <c r="G656" s="1">
        <v>1</v>
      </c>
      <c r="I656" s="1">
        <f>1809-25</f>
        <v>1784</v>
      </c>
      <c r="J656" t="s">
        <v>69</v>
      </c>
      <c r="K656" t="s">
        <v>12</v>
      </c>
      <c r="Q656">
        <v>5</v>
      </c>
      <c r="R656">
        <v>3</v>
      </c>
      <c r="S656">
        <v>2</v>
      </c>
      <c r="T656" s="5">
        <f>((Q656*316)+(R656*26.3)+(S656*2.2))/10</f>
        <v>166.33</v>
      </c>
      <c r="U656" t="s">
        <v>665</v>
      </c>
      <c r="AQ656" s="7">
        <v>1</v>
      </c>
      <c r="BC656" t="s">
        <v>666</v>
      </c>
      <c r="BD656" s="7" t="s">
        <v>280</v>
      </c>
      <c r="BE656" t="s">
        <v>667</v>
      </c>
      <c r="BF656" s="1" t="s">
        <v>29</v>
      </c>
      <c r="BG656" s="1">
        <v>1</v>
      </c>
      <c r="BH656">
        <v>2</v>
      </c>
      <c r="BK656" s="1">
        <v>1</v>
      </c>
      <c r="BQ656">
        <v>1</v>
      </c>
      <c r="BR656">
        <v>1</v>
      </c>
      <c r="CL656">
        <v>1</v>
      </c>
      <c r="CN656">
        <v>1</v>
      </c>
      <c r="CS656" s="7" t="s">
        <v>328</v>
      </c>
    </row>
    <row r="657" spans="2:97">
      <c r="B657" t="s">
        <v>694</v>
      </c>
      <c r="C657" s="18" t="s">
        <v>695</v>
      </c>
      <c r="D657" s="18" t="s">
        <v>695</v>
      </c>
      <c r="E657" s="8" t="s">
        <v>696</v>
      </c>
      <c r="F657" s="8" t="s">
        <v>115</v>
      </c>
      <c r="G657" s="1">
        <v>1</v>
      </c>
      <c r="I657" s="1">
        <f>1809-24</f>
        <v>1785</v>
      </c>
      <c r="J657" t="s">
        <v>69</v>
      </c>
      <c r="K657" t="s">
        <v>12</v>
      </c>
      <c r="Q657">
        <v>5</v>
      </c>
      <c r="R657">
        <v>1</v>
      </c>
      <c r="S657">
        <v>1</v>
      </c>
      <c r="T657" s="5">
        <f>((Q657*316)+(R657*26.3)+(S657*2.2))/10</f>
        <v>160.85</v>
      </c>
      <c r="U657" t="s">
        <v>665</v>
      </c>
      <c r="AQ657" s="7">
        <v>1</v>
      </c>
      <c r="BC657" t="s">
        <v>697</v>
      </c>
      <c r="BD657" s="7" t="s">
        <v>26</v>
      </c>
      <c r="BE657" t="s">
        <v>672</v>
      </c>
      <c r="BF657" s="1" t="s">
        <v>29</v>
      </c>
      <c r="BG657" s="1">
        <v>1</v>
      </c>
      <c r="BH657">
        <v>1</v>
      </c>
      <c r="BK657" s="1" t="s">
        <v>72</v>
      </c>
      <c r="BQ657">
        <v>1</v>
      </c>
      <c r="BR657">
        <v>1</v>
      </c>
      <c r="CL657">
        <v>1</v>
      </c>
      <c r="CS657" s="7" t="s">
        <v>297</v>
      </c>
    </row>
    <row r="658" spans="2:97">
      <c r="B658" t="s">
        <v>244</v>
      </c>
      <c r="C658" s="15" t="s">
        <v>245</v>
      </c>
      <c r="E658" s="8" t="s">
        <v>246</v>
      </c>
      <c r="F658" s="8" t="s">
        <v>247</v>
      </c>
      <c r="G658" s="1">
        <v>1</v>
      </c>
      <c r="I658" s="1">
        <f>1817-35</f>
        <v>1782</v>
      </c>
      <c r="J658" t="s">
        <v>10</v>
      </c>
      <c r="K658" t="s">
        <v>12</v>
      </c>
      <c r="Q658">
        <v>5</v>
      </c>
      <c r="R658">
        <v>4</v>
      </c>
      <c r="T658" s="5">
        <f>((Q658*316)+(R658*26.3)+(S658*2.2))/10</f>
        <v>168.52</v>
      </c>
      <c r="U658" t="s">
        <v>248</v>
      </c>
      <c r="AQ658" s="6">
        <v>1</v>
      </c>
      <c r="AR658" s="6">
        <v>1</v>
      </c>
      <c r="AS658" s="6">
        <v>1</v>
      </c>
      <c r="AT658" s="6">
        <v>1</v>
      </c>
      <c r="AU658" s="6">
        <v>1</v>
      </c>
      <c r="AV658" s="6">
        <v>1</v>
      </c>
      <c r="AW658" s="6">
        <v>1</v>
      </c>
      <c r="AX658" s="6">
        <v>1</v>
      </c>
      <c r="AY658" s="6">
        <v>1</v>
      </c>
      <c r="BC658">
        <v>1817</v>
      </c>
      <c r="BD658" t="s">
        <v>81</v>
      </c>
      <c r="BE658" t="s">
        <v>249</v>
      </c>
      <c r="BF658" s="1" t="s">
        <v>73</v>
      </c>
      <c r="BG658" s="1">
        <v>1</v>
      </c>
      <c r="BH658">
        <v>2</v>
      </c>
      <c r="BK658" s="1">
        <v>1</v>
      </c>
      <c r="BQ658">
        <v>1</v>
      </c>
      <c r="BW658">
        <v>1</v>
      </c>
      <c r="CF658">
        <v>1</v>
      </c>
      <c r="CL658">
        <v>1</v>
      </c>
      <c r="CQ658">
        <v>1</v>
      </c>
      <c r="CS658" t="s">
        <v>250</v>
      </c>
    </row>
    <row r="659" spans="2:97">
      <c r="B659" t="s">
        <v>534</v>
      </c>
      <c r="C659" s="15" t="s">
        <v>522</v>
      </c>
      <c r="E659" s="8" t="s">
        <v>516</v>
      </c>
      <c r="F659" s="8" t="s">
        <v>218</v>
      </c>
      <c r="G659" s="1">
        <v>1</v>
      </c>
      <c r="I659" s="1">
        <f>1809-26</f>
        <v>1783</v>
      </c>
      <c r="J659" t="s">
        <v>10</v>
      </c>
      <c r="K659" t="s">
        <v>12</v>
      </c>
      <c r="T659" s="5"/>
      <c r="U659" t="s">
        <v>519</v>
      </c>
      <c r="AP659" s="14"/>
      <c r="AQ659" s="6">
        <v>1</v>
      </c>
      <c r="AR659" s="7">
        <v>1</v>
      </c>
      <c r="BC659" t="s">
        <v>432</v>
      </c>
      <c r="BD659" s="7" t="s">
        <v>103</v>
      </c>
      <c r="BE659" t="s">
        <v>433</v>
      </c>
      <c r="BF659" s="1" t="s">
        <v>29</v>
      </c>
      <c r="BG659" s="1">
        <v>1</v>
      </c>
      <c r="BH659">
        <v>1</v>
      </c>
      <c r="BM659">
        <v>1</v>
      </c>
      <c r="BO659">
        <v>1</v>
      </c>
      <c r="BR659">
        <v>1</v>
      </c>
      <c r="CF659">
        <v>1</v>
      </c>
      <c r="CS659" s="7" t="s">
        <v>520</v>
      </c>
    </row>
    <row r="660" spans="2:97">
      <c r="B660" t="s">
        <v>521</v>
      </c>
      <c r="C660" s="15" t="s">
        <v>522</v>
      </c>
      <c r="E660" s="8" t="s">
        <v>516</v>
      </c>
      <c r="F660" s="8" t="s">
        <v>218</v>
      </c>
      <c r="G660" s="1">
        <v>1</v>
      </c>
      <c r="I660" s="1">
        <f>1809-22</f>
        <v>1787</v>
      </c>
      <c r="J660" t="s">
        <v>10</v>
      </c>
      <c r="K660" t="s">
        <v>523</v>
      </c>
      <c r="T660" s="5"/>
      <c r="U660" t="s">
        <v>519</v>
      </c>
      <c r="AP660" s="14"/>
      <c r="AQ660" s="6">
        <v>1</v>
      </c>
      <c r="AR660" s="7">
        <v>1</v>
      </c>
      <c r="BC660" t="s">
        <v>524</v>
      </c>
      <c r="BD660" s="7" t="s">
        <v>103</v>
      </c>
      <c r="BE660" t="s">
        <v>433</v>
      </c>
      <c r="BF660" s="1" t="s">
        <v>29</v>
      </c>
      <c r="BG660" s="1">
        <v>1</v>
      </c>
      <c r="BH660">
        <v>1</v>
      </c>
      <c r="BM660">
        <v>1</v>
      </c>
      <c r="BO660">
        <v>1</v>
      </c>
      <c r="BR660">
        <v>1</v>
      </c>
      <c r="CF660">
        <v>1</v>
      </c>
      <c r="CS660" s="7" t="s">
        <v>520</v>
      </c>
    </row>
    <row r="661" spans="2:97">
      <c r="B661" t="s">
        <v>515</v>
      </c>
      <c r="C661" s="15" t="s">
        <v>517</v>
      </c>
      <c r="D661" s="15" t="s">
        <v>518</v>
      </c>
      <c r="E661" s="8" t="s">
        <v>516</v>
      </c>
      <c r="F661" s="8" t="s">
        <v>218</v>
      </c>
      <c r="G661" s="1">
        <v>1</v>
      </c>
      <c r="I661" s="1">
        <f>1809-19</f>
        <v>1790</v>
      </c>
      <c r="J661" t="s">
        <v>10</v>
      </c>
      <c r="K661" t="s">
        <v>12</v>
      </c>
      <c r="T661" s="5"/>
      <c r="U661" t="s">
        <v>519</v>
      </c>
      <c r="AP661" s="14"/>
      <c r="AQ661" s="6">
        <v>1</v>
      </c>
      <c r="AR661" s="7">
        <v>1</v>
      </c>
      <c r="BC661" t="s">
        <v>432</v>
      </c>
      <c r="BD661" s="7" t="s">
        <v>103</v>
      </c>
      <c r="BE661" t="s">
        <v>433</v>
      </c>
      <c r="BF661" s="1" t="s">
        <v>29</v>
      </c>
      <c r="BG661" s="1">
        <v>1</v>
      </c>
      <c r="BH661">
        <v>1</v>
      </c>
      <c r="BM661">
        <v>1</v>
      </c>
      <c r="BO661">
        <v>1</v>
      </c>
      <c r="BR661">
        <v>1</v>
      </c>
      <c r="CF661">
        <v>1</v>
      </c>
      <c r="CS661" s="7" t="s">
        <v>520</v>
      </c>
    </row>
    <row r="662" spans="2:97">
      <c r="B662" t="s">
        <v>563</v>
      </c>
      <c r="C662" s="15" t="s">
        <v>564</v>
      </c>
      <c r="D662" s="15" t="s">
        <v>564</v>
      </c>
      <c r="E662" s="8" t="s">
        <v>565</v>
      </c>
      <c r="F662" s="8" t="s">
        <v>357</v>
      </c>
      <c r="G662" s="1">
        <v>1</v>
      </c>
      <c r="I662" s="1">
        <f>1809-24</f>
        <v>1785</v>
      </c>
      <c r="J662" t="s">
        <v>10</v>
      </c>
      <c r="K662" t="s">
        <v>12</v>
      </c>
      <c r="Q662">
        <v>5</v>
      </c>
      <c r="R662">
        <v>1</v>
      </c>
      <c r="S662">
        <v>1</v>
      </c>
      <c r="T662" s="5">
        <f>((Q662*316)+(R662*26.3)+(S662*2.2))/10</f>
        <v>160.85</v>
      </c>
      <c r="U662" t="s">
        <v>596</v>
      </c>
      <c r="AQ662" s="6">
        <v>1</v>
      </c>
      <c r="AR662" s="7">
        <v>1</v>
      </c>
      <c r="BC662" t="s">
        <v>566</v>
      </c>
      <c r="BD662" s="7" t="s">
        <v>103</v>
      </c>
      <c r="BE662" t="s">
        <v>433</v>
      </c>
      <c r="BF662" s="1" t="s">
        <v>29</v>
      </c>
      <c r="BG662" s="1">
        <v>1</v>
      </c>
      <c r="BH662">
        <v>1</v>
      </c>
      <c r="BO662">
        <v>1</v>
      </c>
      <c r="BR662">
        <v>1</v>
      </c>
      <c r="CS662" s="7" t="s">
        <v>520</v>
      </c>
    </row>
    <row r="663" spans="2:97">
      <c r="B663" t="s">
        <v>2720</v>
      </c>
      <c r="C663" s="2" t="s">
        <v>2721</v>
      </c>
      <c r="D663" s="15"/>
      <c r="E663" s="8" t="s">
        <v>2036</v>
      </c>
      <c r="F663" s="8" t="s">
        <v>247</v>
      </c>
      <c r="G663" s="1">
        <v>1</v>
      </c>
      <c r="I663" s="1">
        <f>1809-25</f>
        <v>1784</v>
      </c>
      <c r="J663" t="s">
        <v>10</v>
      </c>
      <c r="K663" t="s">
        <v>1146</v>
      </c>
      <c r="Q663">
        <v>5</v>
      </c>
      <c r="R663">
        <v>5</v>
      </c>
      <c r="S663">
        <v>2</v>
      </c>
      <c r="T663" s="5">
        <f>((Q663*316)+(R663*26.3)+(S663*2.2))/10</f>
        <v>171.59</v>
      </c>
      <c r="U663" t="s">
        <v>2722</v>
      </c>
      <c r="AQ663" s="7">
        <v>1</v>
      </c>
      <c r="BC663" t="s">
        <v>2723</v>
      </c>
      <c r="BD663" s="7" t="s">
        <v>959</v>
      </c>
      <c r="BE663" t="s">
        <v>1065</v>
      </c>
      <c r="BF663" s="1" t="s">
        <v>29</v>
      </c>
      <c r="BG663" s="1">
        <v>2</v>
      </c>
      <c r="BH663">
        <v>1</v>
      </c>
      <c r="BI663">
        <v>1</v>
      </c>
      <c r="BJ663">
        <v>1</v>
      </c>
      <c r="BK663" s="1">
        <v>1</v>
      </c>
      <c r="BQ663">
        <v>1</v>
      </c>
      <c r="CB663" s="7">
        <v>1</v>
      </c>
      <c r="CM663">
        <v>1</v>
      </c>
      <c r="CS663" s="7" t="s">
        <v>2724</v>
      </c>
    </row>
    <row r="664" spans="2:97">
      <c r="B664" t="s">
        <v>530</v>
      </c>
      <c r="C664" s="18" t="s">
        <v>531</v>
      </c>
      <c r="D664" s="15" t="s">
        <v>532</v>
      </c>
      <c r="E664" s="8" t="s">
        <v>516</v>
      </c>
      <c r="F664" s="8" t="s">
        <v>218</v>
      </c>
      <c r="G664" s="1">
        <v>1</v>
      </c>
      <c r="I664" s="1">
        <f>1809-26</f>
        <v>1783</v>
      </c>
      <c r="J664" t="s">
        <v>10</v>
      </c>
      <c r="K664" t="s">
        <v>12</v>
      </c>
      <c r="T664" s="5"/>
      <c r="U664" t="s">
        <v>528</v>
      </c>
      <c r="AP664" s="14"/>
      <c r="AQ664" s="6">
        <v>1</v>
      </c>
      <c r="AR664" s="7">
        <v>1</v>
      </c>
      <c r="BC664" t="s">
        <v>533</v>
      </c>
      <c r="BD664" s="7" t="s">
        <v>103</v>
      </c>
      <c r="BE664" t="s">
        <v>433</v>
      </c>
      <c r="BF664" s="1" t="s">
        <v>29</v>
      </c>
      <c r="BG664" s="1">
        <v>1</v>
      </c>
      <c r="BH664">
        <v>1</v>
      </c>
      <c r="BM664">
        <v>1</v>
      </c>
      <c r="BO664">
        <v>1</v>
      </c>
      <c r="BR664">
        <v>1</v>
      </c>
      <c r="CS664" s="7" t="s">
        <v>520</v>
      </c>
    </row>
    <row r="665" spans="2:97">
      <c r="B665" t="s">
        <v>525</v>
      </c>
      <c r="C665" s="15" t="s">
        <v>526</v>
      </c>
      <c r="D665" s="15" t="s">
        <v>527</v>
      </c>
      <c r="E665" s="8" t="s">
        <v>516</v>
      </c>
      <c r="F665" s="8" t="s">
        <v>218</v>
      </c>
      <c r="G665" s="1">
        <v>1</v>
      </c>
      <c r="I665" s="1">
        <f>1809-20</f>
        <v>1789</v>
      </c>
      <c r="J665" t="s">
        <v>10</v>
      </c>
      <c r="K665" t="s">
        <v>12</v>
      </c>
      <c r="T665" s="5"/>
      <c r="U665" t="s">
        <v>528</v>
      </c>
      <c r="AP665" s="14"/>
      <c r="AQ665" s="6">
        <v>1</v>
      </c>
      <c r="AR665" s="7">
        <v>1</v>
      </c>
      <c r="BC665" t="s">
        <v>529</v>
      </c>
      <c r="BD665" s="7" t="s">
        <v>103</v>
      </c>
      <c r="BE665" t="s">
        <v>433</v>
      </c>
      <c r="BF665" s="1" t="s">
        <v>29</v>
      </c>
      <c r="BG665" s="1">
        <v>1</v>
      </c>
      <c r="BH665">
        <v>1</v>
      </c>
      <c r="BM665">
        <v>1</v>
      </c>
      <c r="BO665">
        <v>1</v>
      </c>
      <c r="BR665">
        <v>1</v>
      </c>
      <c r="CS665" s="7" t="s">
        <v>520</v>
      </c>
    </row>
    <row r="666" spans="2:97">
      <c r="B666" t="s">
        <v>252</v>
      </c>
      <c r="C666" s="18" t="s">
        <v>1508</v>
      </c>
      <c r="D666" s="15"/>
      <c r="E666" s="8" t="s">
        <v>393</v>
      </c>
      <c r="F666" s="8" t="s">
        <v>247</v>
      </c>
      <c r="G666" s="1">
        <v>1</v>
      </c>
      <c r="I666" s="1">
        <f>1811-20</f>
        <v>1791</v>
      </c>
      <c r="J666" t="s">
        <v>10</v>
      </c>
      <c r="K666" t="s">
        <v>12</v>
      </c>
      <c r="Q666">
        <v>5</v>
      </c>
      <c r="R666">
        <v>3</v>
      </c>
      <c r="S666">
        <v>3</v>
      </c>
      <c r="T666" s="5">
        <f t="shared" ref="T666:T673" si="24">((Q666*316)+(R666*26.3)+(S666*2.2))/10</f>
        <v>166.55</v>
      </c>
      <c r="U666" t="s">
        <v>1509</v>
      </c>
      <c r="AQ666" s="6">
        <v>1</v>
      </c>
      <c r="AR666" s="6">
        <v>1</v>
      </c>
      <c r="AS666" s="7">
        <v>1</v>
      </c>
      <c r="BC666" t="s">
        <v>1510</v>
      </c>
      <c r="BD666" s="7" t="s">
        <v>103</v>
      </c>
      <c r="BE666" t="s">
        <v>1511</v>
      </c>
      <c r="BF666" s="1" t="s">
        <v>29</v>
      </c>
      <c r="BG666" s="1">
        <v>1</v>
      </c>
      <c r="BH666">
        <v>1</v>
      </c>
      <c r="BK666" s="1">
        <v>1</v>
      </c>
      <c r="BQ666">
        <v>1</v>
      </c>
      <c r="CS666" s="7" t="s">
        <v>1512</v>
      </c>
    </row>
    <row r="667" spans="2:97">
      <c r="B667" t="s">
        <v>1963</v>
      </c>
      <c r="C667" s="2" t="s">
        <v>1964</v>
      </c>
      <c r="D667" s="2" t="s">
        <v>1964</v>
      </c>
      <c r="E667" s="8" t="s">
        <v>1912</v>
      </c>
      <c r="F667" s="8" t="s">
        <v>65</v>
      </c>
      <c r="G667" s="1">
        <v>1</v>
      </c>
      <c r="I667" s="1">
        <f>1809-18</f>
        <v>1791</v>
      </c>
      <c r="J667" t="s">
        <v>69</v>
      </c>
      <c r="K667" t="s">
        <v>12</v>
      </c>
      <c r="Q667">
        <v>5</v>
      </c>
      <c r="T667" s="5">
        <f t="shared" si="24"/>
        <v>158</v>
      </c>
      <c r="U667" t="s">
        <v>1509</v>
      </c>
      <c r="AQ667" s="6">
        <v>1</v>
      </c>
      <c r="BC667">
        <v>1809</v>
      </c>
      <c r="BD667" s="4" t="s">
        <v>81</v>
      </c>
      <c r="BE667" t="s">
        <v>70</v>
      </c>
      <c r="BF667" s="1" t="s">
        <v>73</v>
      </c>
      <c r="BG667" s="1">
        <v>1</v>
      </c>
      <c r="BH667">
        <v>1</v>
      </c>
      <c r="BK667" s="1">
        <v>1</v>
      </c>
      <c r="BZ667">
        <v>1</v>
      </c>
      <c r="CS667" t="s">
        <v>966</v>
      </c>
    </row>
    <row r="668" spans="2:97">
      <c r="B668" t="s">
        <v>539</v>
      </c>
      <c r="C668" s="15" t="s">
        <v>540</v>
      </c>
      <c r="D668" s="15" t="s">
        <v>541</v>
      </c>
      <c r="E668" s="8" t="s">
        <v>542</v>
      </c>
      <c r="F668" s="8" t="s">
        <v>218</v>
      </c>
      <c r="G668" s="1">
        <v>1</v>
      </c>
      <c r="I668" s="1">
        <f>1809-22</f>
        <v>1787</v>
      </c>
      <c r="J668" t="s">
        <v>10</v>
      </c>
      <c r="K668" t="s">
        <v>12</v>
      </c>
      <c r="Q668">
        <v>5</v>
      </c>
      <c r="R668">
        <v>1</v>
      </c>
      <c r="S668">
        <v>2</v>
      </c>
      <c r="T668" s="5">
        <f t="shared" si="24"/>
        <v>161.07</v>
      </c>
      <c r="U668" t="s">
        <v>543</v>
      </c>
      <c r="AP668" s="14"/>
      <c r="AQ668" s="6">
        <v>1</v>
      </c>
      <c r="AR668" s="7">
        <v>1</v>
      </c>
      <c r="BC668" t="s">
        <v>544</v>
      </c>
      <c r="BD668" s="7" t="s">
        <v>103</v>
      </c>
      <c r="BE668" t="s">
        <v>433</v>
      </c>
      <c r="BF668" s="1" t="s">
        <v>29</v>
      </c>
      <c r="BG668" s="1">
        <v>1</v>
      </c>
      <c r="BH668">
        <v>1</v>
      </c>
      <c r="BM668">
        <v>1</v>
      </c>
      <c r="BO668">
        <v>1</v>
      </c>
      <c r="BR668">
        <v>1</v>
      </c>
      <c r="CM668">
        <v>1</v>
      </c>
      <c r="CS668" s="7" t="s">
        <v>520</v>
      </c>
    </row>
    <row r="669" spans="2:97">
      <c r="B669" t="s">
        <v>567</v>
      </c>
      <c r="C669" s="15" t="s">
        <v>569</v>
      </c>
      <c r="D669" s="18" t="s">
        <v>570</v>
      </c>
      <c r="E669" s="8" t="s">
        <v>571</v>
      </c>
      <c r="F669" s="8" t="s">
        <v>218</v>
      </c>
      <c r="G669" s="1">
        <v>1</v>
      </c>
      <c r="I669" s="1">
        <f>1809-17</f>
        <v>1792</v>
      </c>
      <c r="J669" t="s">
        <v>10</v>
      </c>
      <c r="K669" t="s">
        <v>12</v>
      </c>
      <c r="Q669">
        <v>5</v>
      </c>
      <c r="R669">
        <v>1</v>
      </c>
      <c r="S669">
        <v>1</v>
      </c>
      <c r="T669" s="5">
        <f t="shared" si="24"/>
        <v>160.85</v>
      </c>
      <c r="U669" t="s">
        <v>543</v>
      </c>
      <c r="AP669" s="14"/>
      <c r="AQ669" s="6">
        <v>1</v>
      </c>
      <c r="AR669" s="7">
        <v>1</v>
      </c>
      <c r="BC669" t="s">
        <v>574</v>
      </c>
      <c r="BD669" s="7" t="s">
        <v>109</v>
      </c>
      <c r="BE669" t="s">
        <v>433</v>
      </c>
      <c r="BF669" s="1" t="s">
        <v>29</v>
      </c>
      <c r="BG669" s="1">
        <v>1</v>
      </c>
      <c r="BH669">
        <v>1</v>
      </c>
      <c r="BM669">
        <v>1</v>
      </c>
      <c r="BO669">
        <v>1</v>
      </c>
      <c r="BR669">
        <v>1</v>
      </c>
      <c r="CM669">
        <v>1</v>
      </c>
      <c r="CS669" s="7" t="s">
        <v>577</v>
      </c>
    </row>
    <row r="670" spans="2:97">
      <c r="B670" t="s">
        <v>568</v>
      </c>
      <c r="C670" s="18" t="s">
        <v>572</v>
      </c>
      <c r="D670" s="18" t="s">
        <v>573</v>
      </c>
      <c r="E670" s="8" t="s">
        <v>571</v>
      </c>
      <c r="F670" s="8" t="s">
        <v>218</v>
      </c>
      <c r="G670" s="1">
        <v>1</v>
      </c>
      <c r="I670" s="1">
        <f>1809-17</f>
        <v>1792</v>
      </c>
      <c r="J670" t="s">
        <v>10</v>
      </c>
      <c r="K670" t="s">
        <v>12</v>
      </c>
      <c r="Q670">
        <v>5</v>
      </c>
      <c r="R670">
        <v>1</v>
      </c>
      <c r="T670" s="5">
        <f t="shared" si="24"/>
        <v>160.63</v>
      </c>
      <c r="U670" t="s">
        <v>543</v>
      </c>
      <c r="AP670" s="14"/>
      <c r="AQ670" s="7">
        <v>1</v>
      </c>
      <c r="BC670" t="s">
        <v>575</v>
      </c>
      <c r="BD670" s="7" t="s">
        <v>305</v>
      </c>
      <c r="BE670" t="s">
        <v>433</v>
      </c>
      <c r="BF670" s="1" t="s">
        <v>29</v>
      </c>
      <c r="BG670" s="1">
        <v>1</v>
      </c>
      <c r="BH670">
        <v>1</v>
      </c>
      <c r="BM670">
        <v>1</v>
      </c>
      <c r="BO670">
        <v>1</v>
      </c>
      <c r="BR670">
        <v>1</v>
      </c>
      <c r="CS670" s="7" t="s">
        <v>576</v>
      </c>
    </row>
    <row r="671" spans="2:97">
      <c r="B671" t="s">
        <v>427</v>
      </c>
      <c r="C671" s="15" t="s">
        <v>428</v>
      </c>
      <c r="D671" s="15" t="s">
        <v>429</v>
      </c>
      <c r="E671" s="8" t="s">
        <v>430</v>
      </c>
      <c r="F671" s="8" t="s">
        <v>218</v>
      </c>
      <c r="G671" s="1">
        <v>1</v>
      </c>
      <c r="I671" s="1">
        <f>1809-17</f>
        <v>1792</v>
      </c>
      <c r="J671" t="s">
        <v>10</v>
      </c>
      <c r="K671" t="s">
        <v>12</v>
      </c>
      <c r="Q671">
        <v>5</v>
      </c>
      <c r="R671">
        <v>1</v>
      </c>
      <c r="T671" s="5">
        <f t="shared" si="24"/>
        <v>160.63</v>
      </c>
      <c r="U671" t="s">
        <v>431</v>
      </c>
      <c r="AQ671" s="6">
        <v>1</v>
      </c>
      <c r="AR671" s="7">
        <v>1</v>
      </c>
      <c r="BC671" t="s">
        <v>432</v>
      </c>
      <c r="BD671" s="7" t="s">
        <v>103</v>
      </c>
      <c r="BE671" t="s">
        <v>433</v>
      </c>
      <c r="BF671" s="1" t="s">
        <v>29</v>
      </c>
      <c r="BG671" s="1">
        <v>1</v>
      </c>
      <c r="BH671">
        <v>1</v>
      </c>
      <c r="BO671">
        <v>1</v>
      </c>
      <c r="BR671">
        <v>1</v>
      </c>
      <c r="CS671" s="7" t="s">
        <v>520</v>
      </c>
    </row>
    <row r="672" spans="2:97">
      <c r="B672" t="s">
        <v>1277</v>
      </c>
      <c r="C672" s="2" t="s">
        <v>1279</v>
      </c>
      <c r="D672" s="26" t="s">
        <v>1280</v>
      </c>
      <c r="E672" s="8" t="s">
        <v>1281</v>
      </c>
      <c r="F672" s="8" t="s">
        <v>247</v>
      </c>
      <c r="G672" s="1">
        <v>1</v>
      </c>
      <c r="I672" s="1">
        <f>1809-25</f>
        <v>1784</v>
      </c>
      <c r="J672" t="s">
        <v>10</v>
      </c>
      <c r="K672" t="s">
        <v>12</v>
      </c>
      <c r="Q672">
        <v>5</v>
      </c>
      <c r="R672">
        <v>4</v>
      </c>
      <c r="S672">
        <v>1</v>
      </c>
      <c r="T672" s="5">
        <f t="shared" si="24"/>
        <v>168.74</v>
      </c>
      <c r="U672" t="s">
        <v>1284</v>
      </c>
      <c r="AQ672" s="6">
        <v>1</v>
      </c>
      <c r="BC672">
        <v>1809</v>
      </c>
      <c r="BD672" t="s">
        <v>81</v>
      </c>
      <c r="BE672" t="s">
        <v>70</v>
      </c>
      <c r="BF672" s="1" t="s">
        <v>73</v>
      </c>
      <c r="BG672" s="1">
        <v>1</v>
      </c>
      <c r="BH672">
        <v>1</v>
      </c>
      <c r="BK672" s="1">
        <v>1</v>
      </c>
      <c r="BZ672">
        <v>1</v>
      </c>
      <c r="CS672" t="s">
        <v>966</v>
      </c>
    </row>
    <row r="673" spans="1:98">
      <c r="B673" t="s">
        <v>1278</v>
      </c>
      <c r="C673" s="2" t="s">
        <v>1283</v>
      </c>
      <c r="D673" s="26" t="s">
        <v>1282</v>
      </c>
      <c r="E673" s="8" t="s">
        <v>1281</v>
      </c>
      <c r="F673" s="8" t="s">
        <v>247</v>
      </c>
      <c r="G673" s="1">
        <v>1</v>
      </c>
      <c r="I673" s="1">
        <f>1809-19</f>
        <v>1790</v>
      </c>
      <c r="J673" t="s">
        <v>10</v>
      </c>
      <c r="K673" t="s">
        <v>12</v>
      </c>
      <c r="Q673">
        <v>5</v>
      </c>
      <c r="T673" s="5">
        <f t="shared" si="24"/>
        <v>158</v>
      </c>
      <c r="U673" t="s">
        <v>1284</v>
      </c>
      <c r="AQ673" s="6">
        <v>1</v>
      </c>
      <c r="BC673">
        <v>1809</v>
      </c>
      <c r="BD673" t="s">
        <v>81</v>
      </c>
      <c r="BE673" t="s">
        <v>70</v>
      </c>
      <c r="BF673" s="1" t="s">
        <v>73</v>
      </c>
      <c r="BG673" s="1">
        <v>1</v>
      </c>
      <c r="BH673">
        <v>1</v>
      </c>
      <c r="BK673" s="1">
        <v>1</v>
      </c>
      <c r="BZ673">
        <v>1</v>
      </c>
      <c r="CS673" t="s">
        <v>966</v>
      </c>
    </row>
    <row r="674" spans="1:98">
      <c r="B674" t="s">
        <v>996</v>
      </c>
      <c r="C674" s="2" t="s">
        <v>2360</v>
      </c>
      <c r="D674" s="15"/>
      <c r="E674" s="8" t="s">
        <v>516</v>
      </c>
      <c r="F674" s="8" t="s">
        <v>218</v>
      </c>
      <c r="G674" s="1">
        <v>1</v>
      </c>
      <c r="I674" s="1">
        <f>1809-19</f>
        <v>1790</v>
      </c>
      <c r="J674" t="s">
        <v>10</v>
      </c>
      <c r="K674" t="s">
        <v>997</v>
      </c>
      <c r="T674" s="5"/>
      <c r="U674" t="s">
        <v>548</v>
      </c>
      <c r="AQ674" s="6">
        <v>1</v>
      </c>
      <c r="AR674" s="7">
        <v>1</v>
      </c>
      <c r="BC674" t="s">
        <v>998</v>
      </c>
      <c r="BD674" s="7" t="s">
        <v>103</v>
      </c>
      <c r="BE674" t="s">
        <v>999</v>
      </c>
      <c r="BF674" s="1" t="s">
        <v>29</v>
      </c>
      <c r="BG674" s="1">
        <v>1</v>
      </c>
      <c r="BH674">
        <v>2</v>
      </c>
      <c r="BO674">
        <v>1</v>
      </c>
      <c r="CC674">
        <v>1</v>
      </c>
      <c r="CJ674">
        <v>1</v>
      </c>
      <c r="CL674">
        <v>1</v>
      </c>
      <c r="CS674" s="7" t="s">
        <v>1000</v>
      </c>
    </row>
    <row r="675" spans="1:98">
      <c r="B675" t="s">
        <v>545</v>
      </c>
      <c r="C675" s="15" t="s">
        <v>547</v>
      </c>
      <c r="D675" s="15"/>
      <c r="E675" s="8" t="s">
        <v>546</v>
      </c>
      <c r="F675" s="8" t="s">
        <v>357</v>
      </c>
      <c r="G675" s="1">
        <v>1</v>
      </c>
      <c r="I675" s="1">
        <f>1809-18</f>
        <v>1791</v>
      </c>
      <c r="J675" t="s">
        <v>10</v>
      </c>
      <c r="K675" t="s">
        <v>12</v>
      </c>
      <c r="Q675">
        <v>4</v>
      </c>
      <c r="R675">
        <v>10</v>
      </c>
      <c r="T675" s="5">
        <f>((Q675*316)+(R675*26.3)+(S675*2.2))/10</f>
        <v>152.69999999999999</v>
      </c>
      <c r="U675" t="s">
        <v>548</v>
      </c>
      <c r="AQ675" s="6">
        <v>1</v>
      </c>
      <c r="AR675" s="7">
        <v>1</v>
      </c>
      <c r="BC675" t="s">
        <v>108</v>
      </c>
      <c r="BD675" s="7" t="s">
        <v>103</v>
      </c>
      <c r="BE675" t="s">
        <v>433</v>
      </c>
      <c r="BF675" s="1" t="s">
        <v>29</v>
      </c>
      <c r="BG675" s="1">
        <v>1</v>
      </c>
      <c r="BH675">
        <v>1</v>
      </c>
      <c r="BO675">
        <v>1</v>
      </c>
      <c r="BR675">
        <v>1</v>
      </c>
      <c r="CS675" s="7" t="s">
        <v>520</v>
      </c>
    </row>
    <row r="676" spans="1:98">
      <c r="B676" t="s">
        <v>621</v>
      </c>
      <c r="C676" s="15" t="s">
        <v>623</v>
      </c>
      <c r="D676" s="15" t="s">
        <v>623</v>
      </c>
      <c r="E676" s="8" t="s">
        <v>624</v>
      </c>
      <c r="F676" s="8" t="s">
        <v>218</v>
      </c>
      <c r="G676" s="1">
        <v>1</v>
      </c>
      <c r="I676" s="1">
        <f>1809-26</f>
        <v>1783</v>
      </c>
      <c r="J676" t="s">
        <v>10</v>
      </c>
      <c r="K676" t="s">
        <v>12</v>
      </c>
      <c r="Q676">
        <v>5</v>
      </c>
      <c r="R676">
        <v>1</v>
      </c>
      <c r="S676">
        <v>1</v>
      </c>
      <c r="T676" s="5">
        <f>((Q676*316)+(R676*26.3)+(S676*2.2))/10</f>
        <v>160.85</v>
      </c>
      <c r="U676" t="s">
        <v>562</v>
      </c>
      <c r="AQ676" s="6">
        <v>1</v>
      </c>
      <c r="AR676" s="7">
        <v>1</v>
      </c>
      <c r="BC676" t="s">
        <v>625</v>
      </c>
      <c r="BD676" s="7" t="s">
        <v>103</v>
      </c>
      <c r="BE676" t="s">
        <v>602</v>
      </c>
      <c r="BF676" s="1" t="s">
        <v>29</v>
      </c>
      <c r="BG676" s="1">
        <v>3</v>
      </c>
      <c r="BH676">
        <v>1</v>
      </c>
      <c r="BO676">
        <v>1</v>
      </c>
      <c r="BR676">
        <v>1</v>
      </c>
      <c r="CS676" s="7" t="s">
        <v>614</v>
      </c>
    </row>
    <row r="677" spans="1:98">
      <c r="B677" t="s">
        <v>622</v>
      </c>
      <c r="C677" s="15" t="s">
        <v>626</v>
      </c>
      <c r="D677" s="15" t="s">
        <v>626</v>
      </c>
      <c r="E677" s="8" t="s">
        <v>627</v>
      </c>
      <c r="F677" s="8" t="s">
        <v>357</v>
      </c>
      <c r="G677" s="1">
        <v>1</v>
      </c>
      <c r="I677" s="1">
        <f>1809-18</f>
        <v>1791</v>
      </c>
      <c r="J677" t="s">
        <v>10</v>
      </c>
      <c r="K677" t="s">
        <v>116</v>
      </c>
      <c r="Q677">
        <v>5</v>
      </c>
      <c r="T677" s="5">
        <f>((Q677*316)+(R677*26.3)+(S677*2.2))/10</f>
        <v>158</v>
      </c>
      <c r="U677" t="s">
        <v>562</v>
      </c>
      <c r="AQ677" s="6">
        <v>1</v>
      </c>
      <c r="AR677" s="7">
        <v>1</v>
      </c>
      <c r="BC677" t="s">
        <v>628</v>
      </c>
      <c r="BD677" s="7" t="s">
        <v>103</v>
      </c>
      <c r="BE677" t="s">
        <v>602</v>
      </c>
      <c r="BF677" s="1" t="s">
        <v>29</v>
      </c>
      <c r="BG677" s="1">
        <v>3</v>
      </c>
      <c r="BH677">
        <v>1</v>
      </c>
      <c r="BO677">
        <v>1</v>
      </c>
      <c r="BR677">
        <v>1</v>
      </c>
      <c r="CM677">
        <v>1</v>
      </c>
      <c r="CS677" s="7" t="s">
        <v>614</v>
      </c>
    </row>
    <row r="678" spans="1:98">
      <c r="B678" t="s">
        <v>558</v>
      </c>
      <c r="C678" s="15" t="s">
        <v>560</v>
      </c>
      <c r="D678" s="15" t="s">
        <v>560</v>
      </c>
      <c r="E678" s="8" t="s">
        <v>559</v>
      </c>
      <c r="F678" s="8" t="s">
        <v>218</v>
      </c>
      <c r="G678" s="1">
        <v>1</v>
      </c>
      <c r="I678" s="1">
        <f>1809-26</f>
        <v>1783</v>
      </c>
      <c r="J678" t="s">
        <v>10</v>
      </c>
      <c r="K678" t="s">
        <v>561</v>
      </c>
      <c r="Q678">
        <v>5</v>
      </c>
      <c r="R678">
        <v>1</v>
      </c>
      <c r="S678">
        <v>2</v>
      </c>
      <c r="T678" s="5">
        <f>((Q678*316)+(R678*26.3)+(S678*2.2))/10</f>
        <v>161.07</v>
      </c>
      <c r="U678" t="s">
        <v>562</v>
      </c>
      <c r="AP678" s="14"/>
      <c r="AQ678" s="6">
        <v>1</v>
      </c>
      <c r="AR678" s="7">
        <v>1</v>
      </c>
      <c r="BC678" t="s">
        <v>108</v>
      </c>
      <c r="BD678" s="7" t="s">
        <v>103</v>
      </c>
      <c r="BE678" t="s">
        <v>433</v>
      </c>
      <c r="BF678" s="1" t="s">
        <v>29</v>
      </c>
      <c r="BG678" s="1">
        <v>1</v>
      </c>
      <c r="BH678">
        <v>1</v>
      </c>
      <c r="BM678">
        <v>1</v>
      </c>
      <c r="BO678">
        <v>1</v>
      </c>
      <c r="BR678">
        <v>1</v>
      </c>
      <c r="CS678" s="7" t="s">
        <v>520</v>
      </c>
    </row>
    <row r="679" spans="1:98">
      <c r="B679" t="s">
        <v>1001</v>
      </c>
      <c r="C679" s="15" t="s">
        <v>1002</v>
      </c>
      <c r="D679" s="15"/>
      <c r="E679" s="8" t="s">
        <v>1003</v>
      </c>
      <c r="F679" s="8" t="s">
        <v>247</v>
      </c>
      <c r="G679" s="1">
        <v>1</v>
      </c>
      <c r="I679" s="1">
        <f>1809-17</f>
        <v>1792</v>
      </c>
      <c r="J679" t="s">
        <v>10</v>
      </c>
      <c r="K679" t="s">
        <v>997</v>
      </c>
      <c r="T679" s="5"/>
      <c r="U679" t="s">
        <v>1004</v>
      </c>
      <c r="AQ679" s="6">
        <v>1</v>
      </c>
      <c r="AR679" s="7">
        <v>1</v>
      </c>
      <c r="BC679" t="s">
        <v>998</v>
      </c>
      <c r="BD679" s="7" t="s">
        <v>103</v>
      </c>
      <c r="BE679" t="s">
        <v>999</v>
      </c>
      <c r="BF679" s="1" t="s">
        <v>29</v>
      </c>
      <c r="BG679" s="1">
        <v>1</v>
      </c>
      <c r="BH679">
        <v>2</v>
      </c>
      <c r="BO679">
        <v>1</v>
      </c>
      <c r="CC679">
        <v>1</v>
      </c>
      <c r="CJ679">
        <v>1</v>
      </c>
      <c r="CL679">
        <v>1</v>
      </c>
      <c r="CS679" s="7" t="s">
        <v>1000</v>
      </c>
    </row>
    <row r="680" spans="1:98">
      <c r="A680" t="s">
        <v>7</v>
      </c>
      <c r="B680" t="s">
        <v>629</v>
      </c>
      <c r="C680" s="15"/>
      <c r="D680" s="15"/>
      <c r="E680" s="8"/>
      <c r="F680" t="s">
        <v>7</v>
      </c>
      <c r="T680" s="5"/>
      <c r="U680" s="9" t="s">
        <v>632</v>
      </c>
      <c r="AP680" s="14"/>
      <c r="AQ680" s="7">
        <v>1</v>
      </c>
      <c r="BC680" t="s">
        <v>633</v>
      </c>
      <c r="BD680" s="7" t="s">
        <v>109</v>
      </c>
      <c r="BE680" t="s">
        <v>636</v>
      </c>
      <c r="BF680" s="1" t="s">
        <v>29</v>
      </c>
      <c r="BG680" s="1">
        <v>1</v>
      </c>
      <c r="BH680">
        <v>1</v>
      </c>
      <c r="BM680">
        <v>1</v>
      </c>
      <c r="CS680" s="7" t="s">
        <v>640</v>
      </c>
      <c r="CT680" s="9" t="s">
        <v>638</v>
      </c>
    </row>
    <row r="681" spans="1:98">
      <c r="A681" t="s">
        <v>7</v>
      </c>
      <c r="B681" t="s">
        <v>630</v>
      </c>
      <c r="C681" s="15"/>
      <c r="D681" s="15"/>
      <c r="E681" s="8"/>
      <c r="F681" t="s">
        <v>7</v>
      </c>
      <c r="T681" s="5"/>
      <c r="U681" s="9" t="s">
        <v>632</v>
      </c>
      <c r="AP681" s="14"/>
      <c r="AQ681" s="7">
        <v>1</v>
      </c>
      <c r="BC681" t="s">
        <v>634</v>
      </c>
      <c r="BD681" s="7" t="s">
        <v>103</v>
      </c>
      <c r="BE681" t="s">
        <v>636</v>
      </c>
      <c r="BF681" s="1" t="s">
        <v>29</v>
      </c>
      <c r="BG681" s="1">
        <v>1</v>
      </c>
      <c r="BH681">
        <v>1</v>
      </c>
      <c r="BM681">
        <v>1</v>
      </c>
      <c r="CS681" s="7" t="s">
        <v>637</v>
      </c>
      <c r="CT681" s="9" t="s">
        <v>638</v>
      </c>
    </row>
    <row r="682" spans="1:98">
      <c r="A682" t="s">
        <v>7</v>
      </c>
      <c r="B682" t="s">
        <v>631</v>
      </c>
      <c r="C682" s="15"/>
      <c r="D682" s="15"/>
      <c r="E682" s="8"/>
      <c r="F682" t="s">
        <v>7</v>
      </c>
      <c r="T682" s="5"/>
      <c r="U682" s="9" t="s">
        <v>632</v>
      </c>
      <c r="AP682" s="14"/>
      <c r="AQ682" s="7">
        <v>1</v>
      </c>
      <c r="BC682" t="s">
        <v>635</v>
      </c>
      <c r="BD682" s="7" t="s">
        <v>109</v>
      </c>
      <c r="BE682" t="s">
        <v>636</v>
      </c>
      <c r="BF682" s="1" t="s">
        <v>29</v>
      </c>
      <c r="BG682" s="1">
        <v>1</v>
      </c>
      <c r="BH682">
        <v>1</v>
      </c>
      <c r="BM682">
        <v>1</v>
      </c>
      <c r="CF682">
        <v>1</v>
      </c>
      <c r="CS682" s="7" t="s">
        <v>639</v>
      </c>
      <c r="CT682" s="9" t="s">
        <v>638</v>
      </c>
    </row>
    <row r="683" spans="1:98">
      <c r="B683" t="s">
        <v>643</v>
      </c>
      <c r="C683" s="15" t="s">
        <v>644</v>
      </c>
      <c r="D683" s="15"/>
      <c r="E683" s="8"/>
      <c r="F683" s="8" t="s">
        <v>645</v>
      </c>
      <c r="G683" s="1">
        <v>1</v>
      </c>
      <c r="I683" s="1">
        <f>1809-20</f>
        <v>1789</v>
      </c>
      <c r="J683" t="s">
        <v>10</v>
      </c>
      <c r="K683" t="s">
        <v>646</v>
      </c>
      <c r="T683" s="5"/>
      <c r="U683" s="9" t="s">
        <v>632</v>
      </c>
      <c r="AP683" s="14"/>
      <c r="AQ683" s="6">
        <v>1</v>
      </c>
      <c r="BC683">
        <v>1809</v>
      </c>
      <c r="BD683" t="s">
        <v>81</v>
      </c>
      <c r="BE683" s="10" t="s">
        <v>642</v>
      </c>
      <c r="BF683" s="1" t="s">
        <v>73</v>
      </c>
      <c r="BG683" s="1">
        <v>2</v>
      </c>
      <c r="BH683">
        <v>1</v>
      </c>
      <c r="BM683">
        <v>1</v>
      </c>
      <c r="BO683">
        <v>1</v>
      </c>
      <c r="BP683">
        <v>1</v>
      </c>
      <c r="BT683">
        <v>1</v>
      </c>
      <c r="CL683" s="10">
        <v>1</v>
      </c>
      <c r="CS683" s="10" t="s">
        <v>641</v>
      </c>
      <c r="CT683" s="9" t="s">
        <v>638</v>
      </c>
    </row>
    <row r="684" spans="1:98">
      <c r="B684" t="s">
        <v>535</v>
      </c>
      <c r="C684" s="15" t="s">
        <v>536</v>
      </c>
      <c r="D684" s="15"/>
      <c r="E684" s="8" t="s">
        <v>430</v>
      </c>
      <c r="F684" s="8" t="s">
        <v>218</v>
      </c>
      <c r="G684" s="1">
        <v>1</v>
      </c>
      <c r="I684" s="1">
        <f>1809-34</f>
        <v>1775</v>
      </c>
      <c r="J684" t="s">
        <v>10</v>
      </c>
      <c r="K684" t="s">
        <v>537</v>
      </c>
      <c r="Q684">
        <v>5</v>
      </c>
      <c r="R684">
        <v>2</v>
      </c>
      <c r="T684" s="5">
        <f>((Q684*316)+(R684*26.3)+(S684*2.2))/10</f>
        <v>163.26</v>
      </c>
      <c r="U684" t="s">
        <v>538</v>
      </c>
      <c r="AP684" s="14"/>
      <c r="AQ684" s="6">
        <v>1</v>
      </c>
      <c r="AR684" s="7">
        <v>1</v>
      </c>
      <c r="BC684" t="s">
        <v>432</v>
      </c>
      <c r="BD684" s="7" t="s">
        <v>103</v>
      </c>
      <c r="BE684" t="s">
        <v>433</v>
      </c>
      <c r="BF684" s="1" t="s">
        <v>29</v>
      </c>
      <c r="BG684" s="1">
        <v>1</v>
      </c>
      <c r="BH684">
        <v>1</v>
      </c>
      <c r="BM684">
        <v>1</v>
      </c>
      <c r="BO684">
        <v>1</v>
      </c>
      <c r="BR684">
        <v>1</v>
      </c>
      <c r="CS684" s="7" t="s">
        <v>520</v>
      </c>
    </row>
    <row r="685" spans="1:98">
      <c r="B685" t="s">
        <v>1044</v>
      </c>
      <c r="C685" s="2" t="s">
        <v>782</v>
      </c>
      <c r="E685" s="8" t="s">
        <v>393</v>
      </c>
      <c r="F685" s="8" t="s">
        <v>247</v>
      </c>
      <c r="G685" s="1">
        <v>1</v>
      </c>
      <c r="I685" s="1">
        <f>1809-23</f>
        <v>1786</v>
      </c>
      <c r="J685" t="s">
        <v>10</v>
      </c>
      <c r="K685" t="s">
        <v>12</v>
      </c>
      <c r="T685" s="5"/>
      <c r="U685" t="s">
        <v>1045</v>
      </c>
      <c r="AQ685" s="6">
        <v>1</v>
      </c>
      <c r="BC685">
        <v>1809</v>
      </c>
      <c r="BD685" s="7" t="s">
        <v>81</v>
      </c>
      <c r="BE685" s="10" t="s">
        <v>1046</v>
      </c>
      <c r="BF685" s="1" t="s">
        <v>73</v>
      </c>
      <c r="BG685" s="1">
        <v>1</v>
      </c>
      <c r="BH685">
        <v>3</v>
      </c>
      <c r="BO685">
        <v>1</v>
      </c>
      <c r="CC685">
        <v>1</v>
      </c>
      <c r="CJ685">
        <v>1</v>
      </c>
      <c r="CL685" s="10">
        <v>1</v>
      </c>
      <c r="CS685" s="10" t="s">
        <v>1047</v>
      </c>
    </row>
    <row r="686" spans="1:98">
      <c r="B686" t="s">
        <v>1008</v>
      </c>
      <c r="C686" s="15" t="s">
        <v>522</v>
      </c>
      <c r="E686" s="8"/>
      <c r="F686" s="8" t="s">
        <v>218</v>
      </c>
      <c r="G686" s="1">
        <v>1</v>
      </c>
      <c r="I686" s="1">
        <f>1809-28</f>
        <v>1781</v>
      </c>
      <c r="J686" t="s">
        <v>69</v>
      </c>
      <c r="K686" t="s">
        <v>12</v>
      </c>
      <c r="T686" s="5"/>
      <c r="U686" t="s">
        <v>1006</v>
      </c>
      <c r="AQ686" s="6">
        <v>1</v>
      </c>
      <c r="BC686">
        <v>1809</v>
      </c>
      <c r="BD686" t="s">
        <v>81</v>
      </c>
      <c r="BE686" s="10" t="s">
        <v>999</v>
      </c>
      <c r="BF686" s="1" t="s">
        <v>73</v>
      </c>
      <c r="BG686" s="1">
        <v>1</v>
      </c>
      <c r="BH686">
        <v>3</v>
      </c>
      <c r="BK686" s="1" t="s">
        <v>72</v>
      </c>
      <c r="CC686">
        <v>1</v>
      </c>
      <c r="CL686" s="10">
        <v>1</v>
      </c>
      <c r="CS686" s="10" t="s">
        <v>1007</v>
      </c>
    </row>
    <row r="687" spans="1:98">
      <c r="B687" t="s">
        <v>1005</v>
      </c>
      <c r="C687" s="15" t="s">
        <v>522</v>
      </c>
      <c r="E687" s="8"/>
      <c r="F687" s="8" t="s">
        <v>218</v>
      </c>
      <c r="G687" s="1">
        <v>1</v>
      </c>
      <c r="I687" s="1">
        <f>1809-24</f>
        <v>1785</v>
      </c>
      <c r="J687" t="s">
        <v>10</v>
      </c>
      <c r="K687" t="s">
        <v>12</v>
      </c>
      <c r="T687" s="5"/>
      <c r="U687" t="s">
        <v>1006</v>
      </c>
      <c r="AQ687" s="6">
        <v>1</v>
      </c>
      <c r="BC687">
        <v>1809</v>
      </c>
      <c r="BD687" t="s">
        <v>81</v>
      </c>
      <c r="BE687" s="10" t="s">
        <v>999</v>
      </c>
      <c r="BF687" s="1" t="s">
        <v>73</v>
      </c>
      <c r="BG687" s="1">
        <v>1</v>
      </c>
      <c r="BH687">
        <v>3</v>
      </c>
      <c r="BK687" s="1" t="s">
        <v>72</v>
      </c>
      <c r="CC687">
        <v>1</v>
      </c>
      <c r="CL687" s="10">
        <v>1</v>
      </c>
      <c r="CS687" s="10" t="s">
        <v>1007</v>
      </c>
    </row>
    <row r="688" spans="1:98">
      <c r="B688" t="s">
        <v>1009</v>
      </c>
      <c r="C688" s="15" t="s">
        <v>522</v>
      </c>
      <c r="E688" s="8"/>
      <c r="F688" s="8" t="s">
        <v>218</v>
      </c>
      <c r="G688" s="1">
        <v>1</v>
      </c>
      <c r="I688" s="1">
        <f>1809-23</f>
        <v>1786</v>
      </c>
      <c r="J688" t="s">
        <v>10</v>
      </c>
      <c r="K688" t="s">
        <v>900</v>
      </c>
      <c r="T688" s="5"/>
      <c r="U688" t="s">
        <v>1010</v>
      </c>
      <c r="AQ688" s="6">
        <v>1</v>
      </c>
      <c r="AR688" s="7">
        <v>1</v>
      </c>
      <c r="AS688" s="14"/>
      <c r="BC688" t="s">
        <v>1011</v>
      </c>
      <c r="BD688" s="7" t="s">
        <v>103</v>
      </c>
      <c r="BE688" t="s">
        <v>999</v>
      </c>
      <c r="BF688" s="1" t="s">
        <v>29</v>
      </c>
      <c r="BG688" s="1">
        <v>1</v>
      </c>
      <c r="BH688">
        <v>3</v>
      </c>
      <c r="BK688" s="1">
        <v>1</v>
      </c>
      <c r="BL688">
        <v>1</v>
      </c>
      <c r="CC688">
        <v>1</v>
      </c>
      <c r="CL688">
        <v>1</v>
      </c>
      <c r="CS688" s="7" t="s">
        <v>1012</v>
      </c>
    </row>
    <row r="689" spans="1:98">
      <c r="A689" t="s">
        <v>7</v>
      </c>
      <c r="B689" t="s">
        <v>604</v>
      </c>
      <c r="D689" s="15"/>
      <c r="E689" s="8"/>
      <c r="F689" t="s">
        <v>7</v>
      </c>
      <c r="T689" s="5"/>
      <c r="U689" t="s">
        <v>600</v>
      </c>
      <c r="AP689" s="14"/>
      <c r="AQ689" s="7">
        <v>1</v>
      </c>
      <c r="BC689" t="s">
        <v>607</v>
      </c>
      <c r="BD689" s="7" t="s">
        <v>163</v>
      </c>
      <c r="BE689" t="s">
        <v>602</v>
      </c>
      <c r="BF689" s="1" t="s">
        <v>29</v>
      </c>
      <c r="BG689" s="1">
        <v>1</v>
      </c>
      <c r="BH689">
        <v>1</v>
      </c>
      <c r="BM689">
        <v>1</v>
      </c>
      <c r="BO689">
        <v>1</v>
      </c>
      <c r="BR689">
        <v>1</v>
      </c>
      <c r="CS689" s="7" t="s">
        <v>605</v>
      </c>
    </row>
    <row r="690" spans="1:98">
      <c r="B690" t="s">
        <v>598</v>
      </c>
      <c r="C690" s="15" t="s">
        <v>609</v>
      </c>
      <c r="D690" s="15"/>
      <c r="E690" s="8" t="s">
        <v>599</v>
      </c>
      <c r="F690" s="8" t="s">
        <v>357</v>
      </c>
      <c r="G690" s="1">
        <v>1</v>
      </c>
      <c r="I690" s="1">
        <f>1810-22</f>
        <v>1788</v>
      </c>
      <c r="J690" t="s">
        <v>10</v>
      </c>
      <c r="K690" t="s">
        <v>12</v>
      </c>
      <c r="T690" s="5"/>
      <c r="U690" t="s">
        <v>600</v>
      </c>
      <c r="AP690" s="14"/>
      <c r="AQ690" s="6">
        <v>1</v>
      </c>
      <c r="AR690" s="7">
        <v>1</v>
      </c>
      <c r="BC690" t="s">
        <v>601</v>
      </c>
      <c r="BD690" s="7" t="s">
        <v>103</v>
      </c>
      <c r="BE690" t="s">
        <v>602</v>
      </c>
      <c r="BF690" s="1" t="s">
        <v>29</v>
      </c>
      <c r="BG690" s="1">
        <v>1</v>
      </c>
      <c r="BH690">
        <v>1</v>
      </c>
      <c r="BM690">
        <v>1</v>
      </c>
      <c r="BO690">
        <v>1</v>
      </c>
      <c r="BR690">
        <v>1</v>
      </c>
      <c r="CM690">
        <v>1</v>
      </c>
      <c r="CS690" s="7" t="s">
        <v>603</v>
      </c>
    </row>
    <row r="691" spans="1:98">
      <c r="A691" t="s">
        <v>7</v>
      </c>
      <c r="B691" t="s">
        <v>606</v>
      </c>
      <c r="C691" s="15"/>
      <c r="D691" s="15"/>
      <c r="E691" s="8"/>
      <c r="F691" t="s">
        <v>7</v>
      </c>
      <c r="T691" s="5"/>
      <c r="U691" t="s">
        <v>600</v>
      </c>
      <c r="AP691" s="14"/>
      <c r="AQ691" s="6">
        <v>1</v>
      </c>
      <c r="AR691" s="7">
        <v>1</v>
      </c>
      <c r="BC691" t="s">
        <v>601</v>
      </c>
      <c r="BD691" s="7" t="s">
        <v>103</v>
      </c>
      <c r="BE691" t="s">
        <v>602</v>
      </c>
      <c r="BF691" s="1" t="s">
        <v>29</v>
      </c>
      <c r="BG691" s="1">
        <v>2</v>
      </c>
      <c r="BH691">
        <v>1</v>
      </c>
      <c r="BM691">
        <v>1</v>
      </c>
      <c r="BO691">
        <v>1</v>
      </c>
      <c r="BR691">
        <v>1</v>
      </c>
      <c r="CS691" s="7" t="s">
        <v>603</v>
      </c>
    </row>
    <row r="692" spans="1:98">
      <c r="A692" t="s">
        <v>7</v>
      </c>
      <c r="B692" t="s">
        <v>608</v>
      </c>
      <c r="C692" s="15"/>
      <c r="D692" s="15"/>
      <c r="E692" s="8"/>
      <c r="F692" t="s">
        <v>7</v>
      </c>
      <c r="T692" s="5"/>
      <c r="U692" t="s">
        <v>600</v>
      </c>
      <c r="AP692" s="14"/>
      <c r="AQ692" s="6">
        <v>1</v>
      </c>
      <c r="AR692" s="7">
        <v>1</v>
      </c>
      <c r="BC692" t="s">
        <v>601</v>
      </c>
      <c r="BD692" s="7" t="s">
        <v>103</v>
      </c>
      <c r="BE692" t="s">
        <v>602</v>
      </c>
      <c r="BF692" s="1" t="s">
        <v>29</v>
      </c>
      <c r="BG692" s="1">
        <v>2</v>
      </c>
      <c r="BH692">
        <v>1</v>
      </c>
      <c r="BM692">
        <v>1</v>
      </c>
      <c r="BO692">
        <v>1</v>
      </c>
      <c r="BR692">
        <v>1</v>
      </c>
      <c r="CS692" s="7" t="s">
        <v>603</v>
      </c>
    </row>
    <row r="693" spans="1:98">
      <c r="B693" t="s">
        <v>578</v>
      </c>
      <c r="C693" s="15" t="s">
        <v>579</v>
      </c>
      <c r="D693" s="34" t="s">
        <v>581</v>
      </c>
      <c r="E693" s="8" t="s">
        <v>580</v>
      </c>
      <c r="F693" s="8" t="s">
        <v>218</v>
      </c>
      <c r="G693" s="1">
        <v>1</v>
      </c>
      <c r="I693" s="1">
        <f>1809-23</f>
        <v>1786</v>
      </c>
      <c r="J693" t="s">
        <v>10</v>
      </c>
      <c r="K693" t="s">
        <v>12</v>
      </c>
      <c r="Q693">
        <v>5</v>
      </c>
      <c r="T693" s="5">
        <f>((Q693*316)+(R693*26.3)+(S693*2.2))/10</f>
        <v>158</v>
      </c>
      <c r="U693" t="s">
        <v>597</v>
      </c>
      <c r="AQ693" s="7">
        <v>1</v>
      </c>
      <c r="BC693" t="s">
        <v>582</v>
      </c>
      <c r="BD693" s="7" t="s">
        <v>109</v>
      </c>
      <c r="BE693" t="s">
        <v>433</v>
      </c>
      <c r="BF693" s="1" t="s">
        <v>29</v>
      </c>
      <c r="BG693" s="1">
        <v>1</v>
      </c>
      <c r="BH693">
        <v>1</v>
      </c>
      <c r="BO693">
        <v>1</v>
      </c>
      <c r="BR693">
        <v>1</v>
      </c>
      <c r="CS693" s="7" t="s">
        <v>583</v>
      </c>
    </row>
    <row r="694" spans="1:98">
      <c r="B694" t="s">
        <v>1552</v>
      </c>
      <c r="C694" s="2" t="s">
        <v>1553</v>
      </c>
      <c r="D694" s="2" t="s">
        <v>1554</v>
      </c>
      <c r="E694" s="8" t="s">
        <v>1555</v>
      </c>
      <c r="F694" s="8" t="s">
        <v>218</v>
      </c>
      <c r="G694" s="1">
        <v>1</v>
      </c>
      <c r="I694" s="1">
        <f>1809-23</f>
        <v>1786</v>
      </c>
      <c r="J694" t="s">
        <v>10</v>
      </c>
      <c r="K694" t="s">
        <v>12</v>
      </c>
      <c r="Q694">
        <v>5</v>
      </c>
      <c r="R694">
        <v>2</v>
      </c>
      <c r="S694">
        <v>1</v>
      </c>
      <c r="T694" s="5">
        <f>((Q694*316)+(R694*26.3)+(S694*2.2))/10</f>
        <v>163.47999999999999</v>
      </c>
      <c r="U694" t="s">
        <v>1556</v>
      </c>
      <c r="AQ694" s="6">
        <v>1</v>
      </c>
      <c r="AR694" s="7">
        <v>1</v>
      </c>
      <c r="BC694" t="s">
        <v>1557</v>
      </c>
      <c r="BD694" s="7" t="s">
        <v>959</v>
      </c>
      <c r="BE694" s="7" t="s">
        <v>1558</v>
      </c>
      <c r="BF694" s="1" t="s">
        <v>29</v>
      </c>
      <c r="BG694" s="1">
        <v>4</v>
      </c>
      <c r="BH694">
        <v>1</v>
      </c>
      <c r="BI694">
        <v>1</v>
      </c>
      <c r="BJ694">
        <v>1</v>
      </c>
      <c r="BK694" s="1">
        <v>1</v>
      </c>
      <c r="BQ694">
        <v>1</v>
      </c>
      <c r="CS694" s="7" t="s">
        <v>1559</v>
      </c>
    </row>
    <row r="695" spans="1:98">
      <c r="B695" t="s">
        <v>676</v>
      </c>
      <c r="C695" s="15" t="s">
        <v>677</v>
      </c>
      <c r="D695" s="18"/>
      <c r="E695" s="8"/>
      <c r="F695" s="8" t="s">
        <v>678</v>
      </c>
      <c r="H695" s="1">
        <v>1</v>
      </c>
      <c r="I695" s="1">
        <f>1809-17</f>
        <v>1792</v>
      </c>
      <c r="J695" t="s">
        <v>10</v>
      </c>
      <c r="K695" t="s">
        <v>12</v>
      </c>
      <c r="Q695">
        <v>5</v>
      </c>
      <c r="R695">
        <v>0</v>
      </c>
      <c r="S695">
        <v>1</v>
      </c>
      <c r="T695" s="5">
        <f>((Q695*316)+(R695*26.3)+(S695*2.2))/10</f>
        <v>158.22</v>
      </c>
      <c r="U695" t="s">
        <v>698</v>
      </c>
      <c r="AQ695" s="6">
        <v>1</v>
      </c>
      <c r="AR695" s="7">
        <v>1</v>
      </c>
      <c r="BC695" t="s">
        <v>544</v>
      </c>
      <c r="BD695" s="7" t="s">
        <v>103</v>
      </c>
      <c r="BE695" t="s">
        <v>672</v>
      </c>
      <c r="BF695" s="1" t="s">
        <v>29</v>
      </c>
      <c r="BG695" s="1">
        <v>1</v>
      </c>
      <c r="BH695">
        <v>1</v>
      </c>
      <c r="BO695">
        <v>1</v>
      </c>
      <c r="BR695">
        <v>1</v>
      </c>
      <c r="CS695" s="7" t="s">
        <v>679</v>
      </c>
    </row>
    <row r="696" spans="1:98">
      <c r="B696" t="s">
        <v>699</v>
      </c>
      <c r="C696" s="15" t="s">
        <v>700</v>
      </c>
      <c r="D696" s="15" t="s">
        <v>700</v>
      </c>
      <c r="E696" s="8" t="s">
        <v>696</v>
      </c>
      <c r="F696" s="8" t="s">
        <v>115</v>
      </c>
      <c r="G696" s="1">
        <v>1</v>
      </c>
      <c r="I696" s="1">
        <v>1786</v>
      </c>
      <c r="J696" t="s">
        <v>10</v>
      </c>
      <c r="K696" t="s">
        <v>701</v>
      </c>
      <c r="Q696">
        <v>4</v>
      </c>
      <c r="R696">
        <v>11</v>
      </c>
      <c r="T696" s="5">
        <f>((Q696*316)+(R696*26.3)+(S696*2.2))/10</f>
        <v>155.32999999999998</v>
      </c>
      <c r="U696" t="s">
        <v>702</v>
      </c>
      <c r="AQ696" s="6">
        <v>1</v>
      </c>
      <c r="AR696" s="6">
        <v>1</v>
      </c>
      <c r="AS696" s="6">
        <v>1</v>
      </c>
      <c r="AT696" s="6">
        <v>1</v>
      </c>
      <c r="AU696" s="6">
        <v>1</v>
      </c>
      <c r="AV696" s="6">
        <v>1</v>
      </c>
      <c r="AW696" s="6">
        <v>1</v>
      </c>
      <c r="AX696" s="6">
        <v>1</v>
      </c>
      <c r="AY696" s="6">
        <v>1</v>
      </c>
      <c r="BC696">
        <v>1817</v>
      </c>
      <c r="BD696" t="s">
        <v>81</v>
      </c>
      <c r="BE696" t="s">
        <v>719</v>
      </c>
      <c r="BF696" s="1" t="s">
        <v>73</v>
      </c>
      <c r="BG696" s="1">
        <v>4</v>
      </c>
      <c r="BH696">
        <v>3</v>
      </c>
      <c r="BO696">
        <v>1</v>
      </c>
      <c r="BP696">
        <v>1</v>
      </c>
      <c r="BQ696">
        <v>1</v>
      </c>
      <c r="BR696">
        <v>1</v>
      </c>
      <c r="CF696">
        <v>1</v>
      </c>
      <c r="CL696">
        <v>1</v>
      </c>
      <c r="CQ696">
        <v>1</v>
      </c>
      <c r="CS696" t="s">
        <v>720</v>
      </c>
    </row>
    <row r="697" spans="1:98">
      <c r="B697" t="s">
        <v>610</v>
      </c>
      <c r="C697" s="15" t="s">
        <v>611</v>
      </c>
      <c r="D697" s="18"/>
      <c r="E697" s="8" t="s">
        <v>555</v>
      </c>
      <c r="F697" s="8" t="s">
        <v>218</v>
      </c>
      <c r="G697" s="1">
        <v>1</v>
      </c>
      <c r="I697" s="1">
        <f>1809-28</f>
        <v>1781</v>
      </c>
      <c r="J697" t="s">
        <v>10</v>
      </c>
      <c r="K697" t="s">
        <v>12</v>
      </c>
      <c r="T697" s="5"/>
      <c r="U697" t="s">
        <v>612</v>
      </c>
      <c r="AQ697" s="6">
        <v>1</v>
      </c>
      <c r="AR697" s="7">
        <v>1</v>
      </c>
      <c r="BC697" t="s">
        <v>613</v>
      </c>
      <c r="BD697" s="7" t="s">
        <v>103</v>
      </c>
      <c r="BE697" t="s">
        <v>602</v>
      </c>
      <c r="BF697" s="1" t="s">
        <v>29</v>
      </c>
      <c r="BG697" s="1">
        <v>3</v>
      </c>
      <c r="BH697">
        <v>1</v>
      </c>
      <c r="BO697">
        <v>1</v>
      </c>
      <c r="BR697">
        <v>1</v>
      </c>
      <c r="CM697">
        <v>1</v>
      </c>
      <c r="CS697" s="7" t="s">
        <v>614</v>
      </c>
    </row>
    <row r="698" spans="1:98">
      <c r="B698" t="s">
        <v>1910</v>
      </c>
      <c r="C698" s="2" t="s">
        <v>1333</v>
      </c>
      <c r="D698" s="2" t="s">
        <v>1911</v>
      </c>
      <c r="E698" s="8" t="s">
        <v>1912</v>
      </c>
      <c r="F698" s="8" t="s">
        <v>65</v>
      </c>
      <c r="G698" s="1">
        <v>1</v>
      </c>
      <c r="I698" s="1">
        <f>1811-23</f>
        <v>1788</v>
      </c>
      <c r="J698" t="s">
        <v>10</v>
      </c>
      <c r="K698" t="s">
        <v>12</v>
      </c>
      <c r="Q698">
        <v>5</v>
      </c>
      <c r="R698">
        <v>2</v>
      </c>
      <c r="T698" s="5">
        <f>((Q698*316)+(R698*26.3)+(S698*2.2))/10</f>
        <v>163.26</v>
      </c>
      <c r="U698" t="s">
        <v>1913</v>
      </c>
      <c r="AQ698" s="6">
        <v>1</v>
      </c>
      <c r="AR698" s="6">
        <v>1</v>
      </c>
      <c r="AS698" s="6">
        <v>1</v>
      </c>
      <c r="AT698" s="6">
        <v>1</v>
      </c>
      <c r="AU698" s="6">
        <v>1</v>
      </c>
      <c r="AV698" s="6">
        <v>1</v>
      </c>
      <c r="AW698" s="6">
        <v>1</v>
      </c>
      <c r="AX698" s="6">
        <v>1</v>
      </c>
      <c r="AY698" s="6">
        <v>1</v>
      </c>
      <c r="AZ698" s="6">
        <v>1</v>
      </c>
      <c r="BA698" s="7">
        <v>1</v>
      </c>
      <c r="BC698" t="s">
        <v>1914</v>
      </c>
      <c r="BD698" s="7" t="s">
        <v>103</v>
      </c>
      <c r="BE698" t="s">
        <v>1915</v>
      </c>
      <c r="BF698" s="1" t="s">
        <v>29</v>
      </c>
      <c r="BG698" s="27">
        <v>6</v>
      </c>
      <c r="BH698" s="27">
        <v>2</v>
      </c>
      <c r="BK698" s="1">
        <v>1</v>
      </c>
      <c r="BQ698">
        <v>1</v>
      </c>
      <c r="BY698">
        <v>1</v>
      </c>
      <c r="CL698">
        <v>1</v>
      </c>
      <c r="CS698" s="7" t="s">
        <v>412</v>
      </c>
    </row>
    <row r="699" spans="1:98">
      <c r="B699" t="s">
        <v>2637</v>
      </c>
      <c r="C699" s="2" t="s">
        <v>2638</v>
      </c>
      <c r="D699" s="15"/>
      <c r="E699" s="8" t="s">
        <v>2639</v>
      </c>
      <c r="F699" s="8" t="s">
        <v>218</v>
      </c>
      <c r="G699" s="1">
        <v>1</v>
      </c>
      <c r="I699" s="1">
        <f>1809-24</f>
        <v>1785</v>
      </c>
      <c r="J699" t="s">
        <v>10</v>
      </c>
      <c r="K699" t="s">
        <v>2640</v>
      </c>
      <c r="Q699">
        <v>5</v>
      </c>
      <c r="R699">
        <v>3</v>
      </c>
      <c r="S699">
        <v>3</v>
      </c>
      <c r="T699" s="5">
        <f>((Q699*316)+(R699*26.3)+(S699*2.2))/10</f>
        <v>166.55</v>
      </c>
      <c r="U699" t="s">
        <v>1913</v>
      </c>
      <c r="AQ699" s="6">
        <v>1</v>
      </c>
      <c r="BC699">
        <v>1809</v>
      </c>
      <c r="BD699" t="s">
        <v>81</v>
      </c>
      <c r="BE699" t="s">
        <v>2635</v>
      </c>
      <c r="BF699" s="1" t="s">
        <v>29</v>
      </c>
      <c r="BG699" s="27">
        <v>1</v>
      </c>
      <c r="BH699" s="27">
        <v>2</v>
      </c>
      <c r="BK699" s="1">
        <v>1</v>
      </c>
      <c r="BQ699">
        <v>1</v>
      </c>
      <c r="CS699" t="s">
        <v>2636</v>
      </c>
    </row>
    <row r="700" spans="1:98">
      <c r="B700" t="s">
        <v>1013</v>
      </c>
      <c r="C700" s="13" t="s">
        <v>1014</v>
      </c>
      <c r="D700" s="18"/>
      <c r="E700" s="8" t="s">
        <v>559</v>
      </c>
      <c r="F700" s="8" t="s">
        <v>218</v>
      </c>
      <c r="G700" s="1">
        <v>1</v>
      </c>
      <c r="I700" s="1">
        <f>1809-17</f>
        <v>1792</v>
      </c>
      <c r="J700" t="s">
        <v>10</v>
      </c>
      <c r="K700" t="s">
        <v>12</v>
      </c>
      <c r="T700" s="5"/>
      <c r="U700" t="s">
        <v>619</v>
      </c>
      <c r="AQ700" s="6">
        <v>1</v>
      </c>
      <c r="AR700" s="7">
        <v>1</v>
      </c>
      <c r="BC700" t="s">
        <v>1015</v>
      </c>
      <c r="BD700" s="7" t="s">
        <v>103</v>
      </c>
      <c r="BE700" t="s">
        <v>999</v>
      </c>
      <c r="BF700" s="1" t="s">
        <v>29</v>
      </c>
      <c r="BG700" s="27">
        <v>1</v>
      </c>
      <c r="BH700" s="27">
        <v>2</v>
      </c>
      <c r="BO700">
        <v>1</v>
      </c>
      <c r="CC700">
        <v>1</v>
      </c>
      <c r="CJ700">
        <v>1</v>
      </c>
      <c r="CL700">
        <v>1</v>
      </c>
      <c r="CS700" s="7" t="s">
        <v>1000</v>
      </c>
    </row>
    <row r="701" spans="1:98">
      <c r="B701" t="s">
        <v>838</v>
      </c>
      <c r="C701" s="15" t="s">
        <v>839</v>
      </c>
      <c r="D701" s="15" t="s">
        <v>840</v>
      </c>
      <c r="E701" s="8" t="s">
        <v>542</v>
      </c>
      <c r="F701" s="8" t="s">
        <v>218</v>
      </c>
      <c r="G701" s="1">
        <v>1</v>
      </c>
      <c r="I701" s="1">
        <f>1809-28</f>
        <v>1781</v>
      </c>
      <c r="J701" t="s">
        <v>69</v>
      </c>
      <c r="K701" t="s">
        <v>12</v>
      </c>
      <c r="Q701">
        <v>5</v>
      </c>
      <c r="R701">
        <v>4</v>
      </c>
      <c r="T701" s="5">
        <f>((Q701*316)+(R701*26.3)+(S701*2.2))/10</f>
        <v>168.52</v>
      </c>
      <c r="U701" t="s">
        <v>841</v>
      </c>
      <c r="AQ701" s="6">
        <v>1</v>
      </c>
      <c r="BC701">
        <v>1809</v>
      </c>
      <c r="BD701" t="s">
        <v>81</v>
      </c>
      <c r="BE701" t="s">
        <v>842</v>
      </c>
      <c r="BF701" s="1" t="s">
        <v>73</v>
      </c>
      <c r="BG701" s="1">
        <v>1</v>
      </c>
      <c r="BH701">
        <v>2</v>
      </c>
      <c r="BI701">
        <v>1</v>
      </c>
      <c r="BK701" s="1">
        <v>1</v>
      </c>
      <c r="BQ701">
        <v>1</v>
      </c>
      <c r="BW701">
        <v>1</v>
      </c>
      <c r="CL701">
        <v>1</v>
      </c>
      <c r="CS701" t="s">
        <v>843</v>
      </c>
    </row>
    <row r="702" spans="1:98">
      <c r="B702" t="s">
        <v>2703</v>
      </c>
      <c r="C702" s="13" t="s">
        <v>2704</v>
      </c>
      <c r="D702" s="15"/>
      <c r="E702" s="8"/>
      <c r="F702" s="8" t="s">
        <v>595</v>
      </c>
      <c r="H702" s="1">
        <v>1</v>
      </c>
      <c r="I702" s="1">
        <f>1809-21</f>
        <v>1788</v>
      </c>
      <c r="J702" t="s">
        <v>10</v>
      </c>
      <c r="K702" t="s">
        <v>12</v>
      </c>
      <c r="Q702">
        <v>5</v>
      </c>
      <c r="R702">
        <v>5</v>
      </c>
      <c r="T702" s="5">
        <f>((Q702*316)+(R702*26.3)+(S702*2.2))/10</f>
        <v>171.15</v>
      </c>
      <c r="U702" t="s">
        <v>2705</v>
      </c>
      <c r="AQ702" s="7">
        <v>1</v>
      </c>
      <c r="BC702" t="s">
        <v>2705</v>
      </c>
      <c r="BD702" s="7" t="s">
        <v>26</v>
      </c>
      <c r="BE702" t="s">
        <v>1065</v>
      </c>
      <c r="BF702" s="1" t="s">
        <v>29</v>
      </c>
      <c r="BG702" s="1">
        <v>2</v>
      </c>
      <c r="BH702">
        <v>1</v>
      </c>
      <c r="BK702" s="30">
        <v>1</v>
      </c>
      <c r="BQ702">
        <v>1</v>
      </c>
      <c r="CS702" s="7" t="s">
        <v>2706</v>
      </c>
      <c r="CT702" s="6" t="s">
        <v>2707</v>
      </c>
    </row>
    <row r="703" spans="1:98">
      <c r="B703" t="s">
        <v>1149</v>
      </c>
      <c r="C703" s="2" t="s">
        <v>1150</v>
      </c>
      <c r="D703" s="15"/>
      <c r="E703" s="8" t="s">
        <v>571</v>
      </c>
      <c r="F703" s="8" t="s">
        <v>218</v>
      </c>
      <c r="G703" s="1">
        <v>1</v>
      </c>
      <c r="I703" s="1">
        <f>1809-24</f>
        <v>1785</v>
      </c>
      <c r="J703" t="s">
        <v>10</v>
      </c>
      <c r="K703" t="s">
        <v>12</v>
      </c>
      <c r="Q703">
        <v>5</v>
      </c>
      <c r="R703">
        <v>5</v>
      </c>
      <c r="S703">
        <v>1</v>
      </c>
      <c r="T703" s="5">
        <f>((Q703*316)+(R703*26.3)+(S703*2.2))/10</f>
        <v>171.37</v>
      </c>
      <c r="U703" t="s">
        <v>1151</v>
      </c>
      <c r="AQ703" s="6">
        <v>1</v>
      </c>
      <c r="BC703">
        <v>1809</v>
      </c>
      <c r="BD703" t="s">
        <v>81</v>
      </c>
      <c r="BE703" t="s">
        <v>1152</v>
      </c>
      <c r="BF703" s="1" t="s">
        <v>73</v>
      </c>
      <c r="BG703" s="1">
        <v>1</v>
      </c>
      <c r="BH703">
        <v>1</v>
      </c>
      <c r="BK703" s="1">
        <v>1</v>
      </c>
      <c r="BW703">
        <v>1</v>
      </c>
      <c r="CS703" t="s">
        <v>1153</v>
      </c>
    </row>
    <row r="704" spans="1:98">
      <c r="B704" t="s">
        <v>1016</v>
      </c>
      <c r="C704" s="2" t="s">
        <v>1017</v>
      </c>
      <c r="D704" s="15"/>
      <c r="E704" s="8"/>
      <c r="F704" s="8" t="s">
        <v>218</v>
      </c>
      <c r="G704" s="1">
        <v>1</v>
      </c>
      <c r="I704" s="1">
        <f>1809-36</f>
        <v>1773</v>
      </c>
      <c r="J704" t="s">
        <v>10</v>
      </c>
      <c r="K704" t="s">
        <v>12</v>
      </c>
      <c r="T704" s="5"/>
      <c r="U704" t="s">
        <v>706</v>
      </c>
      <c r="AQ704" s="6">
        <v>1</v>
      </c>
      <c r="AR704" s="7">
        <v>1</v>
      </c>
      <c r="BC704" t="s">
        <v>998</v>
      </c>
      <c r="BD704" s="7" t="s">
        <v>103</v>
      </c>
      <c r="BE704" t="s">
        <v>999</v>
      </c>
      <c r="BF704" s="1" t="s">
        <v>29</v>
      </c>
      <c r="BG704" s="1">
        <v>1</v>
      </c>
      <c r="BH704">
        <v>2</v>
      </c>
      <c r="BO704">
        <v>1</v>
      </c>
      <c r="CC704">
        <v>1</v>
      </c>
      <c r="CJ704">
        <v>1</v>
      </c>
      <c r="CL704">
        <v>1</v>
      </c>
      <c r="CS704" s="7" t="s">
        <v>1018</v>
      </c>
    </row>
    <row r="705" spans="2:98">
      <c r="B705" t="s">
        <v>703</v>
      </c>
      <c r="C705" s="15" t="s">
        <v>704</v>
      </c>
      <c r="D705" s="15"/>
      <c r="E705" s="8"/>
      <c r="F705" s="8" t="s">
        <v>705</v>
      </c>
      <c r="H705" s="1">
        <v>1</v>
      </c>
      <c r="I705" s="1">
        <f>1809-30</f>
        <v>1779</v>
      </c>
      <c r="J705" t="s">
        <v>69</v>
      </c>
      <c r="K705" t="s">
        <v>12</v>
      </c>
      <c r="Q705">
        <v>5</v>
      </c>
      <c r="R705">
        <v>4</v>
      </c>
      <c r="T705" s="5">
        <f>((Q705*316)+(R705*26.3)+(S705*2.2))/10</f>
        <v>168.52</v>
      </c>
      <c r="U705" t="s">
        <v>706</v>
      </c>
      <c r="AQ705" s="7">
        <v>1</v>
      </c>
      <c r="BC705" t="s">
        <v>707</v>
      </c>
      <c r="BD705" s="7" t="s">
        <v>280</v>
      </c>
      <c r="BE705" t="s">
        <v>672</v>
      </c>
      <c r="BF705" s="1" t="s">
        <v>29</v>
      </c>
      <c r="BG705" s="1">
        <v>1</v>
      </c>
      <c r="BH705">
        <v>1</v>
      </c>
      <c r="BO705">
        <v>1</v>
      </c>
      <c r="BR705">
        <v>1</v>
      </c>
      <c r="CN705">
        <v>1</v>
      </c>
      <c r="CS705" s="7" t="s">
        <v>328</v>
      </c>
    </row>
    <row r="706" spans="2:98">
      <c r="B706" t="s">
        <v>686</v>
      </c>
      <c r="C706" s="18" t="s">
        <v>687</v>
      </c>
      <c r="D706" s="18"/>
      <c r="E706" s="8"/>
      <c r="F706" s="8" t="s">
        <v>1548</v>
      </c>
      <c r="H706" s="1">
        <v>1</v>
      </c>
      <c r="I706" s="1">
        <f>1809-18</f>
        <v>1791</v>
      </c>
      <c r="J706" t="s">
        <v>10</v>
      </c>
      <c r="K706" t="s">
        <v>12</v>
      </c>
      <c r="T706" s="5"/>
      <c r="U706" t="s">
        <v>633</v>
      </c>
      <c r="AQ706" s="7">
        <v>1</v>
      </c>
      <c r="BC706" t="s">
        <v>688</v>
      </c>
      <c r="BD706" s="7" t="s">
        <v>280</v>
      </c>
      <c r="BE706" t="s">
        <v>672</v>
      </c>
      <c r="BF706" s="1" t="s">
        <v>29</v>
      </c>
      <c r="BG706" s="1">
        <v>1</v>
      </c>
      <c r="BH706">
        <v>1</v>
      </c>
      <c r="BO706">
        <v>1</v>
      </c>
      <c r="BR706">
        <v>1</v>
      </c>
      <c r="CN706">
        <v>1</v>
      </c>
      <c r="CS706" s="7" t="s">
        <v>689</v>
      </c>
    </row>
    <row r="707" spans="2:98">
      <c r="B707" t="s">
        <v>1440</v>
      </c>
      <c r="C707" s="2" t="s">
        <v>1441</v>
      </c>
      <c r="D707" s="18"/>
      <c r="E707" s="8" t="s">
        <v>1442</v>
      </c>
      <c r="F707" s="8" t="s">
        <v>65</v>
      </c>
      <c r="G707" s="1">
        <v>1</v>
      </c>
      <c r="I707" s="1">
        <f>1809-31</f>
        <v>1778</v>
      </c>
      <c r="J707" t="s">
        <v>10</v>
      </c>
      <c r="K707" t="s">
        <v>12</v>
      </c>
      <c r="Q707">
        <v>5</v>
      </c>
      <c r="R707">
        <v>2</v>
      </c>
      <c r="T707" s="5">
        <f t="shared" ref="T707:T716" si="25">((Q707*316)+(R707*26.3)+(S707*2.2))/10</f>
        <v>163.26</v>
      </c>
      <c r="U707" t="s">
        <v>688</v>
      </c>
      <c r="AQ707" s="6">
        <v>1</v>
      </c>
      <c r="AR707" s="7">
        <v>1</v>
      </c>
      <c r="BC707" t="s">
        <v>1444</v>
      </c>
      <c r="BD707" s="7" t="s">
        <v>280</v>
      </c>
      <c r="BE707" t="s">
        <v>1443</v>
      </c>
      <c r="BF707" s="1" t="s">
        <v>29</v>
      </c>
      <c r="BG707" s="1">
        <v>2</v>
      </c>
      <c r="BH707">
        <v>2</v>
      </c>
      <c r="BK707" s="1">
        <v>1</v>
      </c>
      <c r="BQ707">
        <v>1</v>
      </c>
      <c r="CL707">
        <v>1</v>
      </c>
      <c r="CN707">
        <v>1</v>
      </c>
      <c r="CS707" s="7" t="s">
        <v>1445</v>
      </c>
    </row>
    <row r="708" spans="2:98">
      <c r="B708" t="s">
        <v>1446</v>
      </c>
      <c r="C708" s="2" t="s">
        <v>1441</v>
      </c>
      <c r="D708" s="18"/>
      <c r="E708" s="8" t="s">
        <v>1442</v>
      </c>
      <c r="F708" s="8" t="s">
        <v>65</v>
      </c>
      <c r="G708" s="1">
        <v>1</v>
      </c>
      <c r="I708" s="1">
        <f>1809-23</f>
        <v>1786</v>
      </c>
      <c r="J708" t="s">
        <v>10</v>
      </c>
      <c r="K708" t="s">
        <v>900</v>
      </c>
      <c r="Q708">
        <v>5</v>
      </c>
      <c r="R708">
        <v>1</v>
      </c>
      <c r="T708" s="5">
        <f t="shared" si="25"/>
        <v>160.63</v>
      </c>
      <c r="U708" t="s">
        <v>688</v>
      </c>
      <c r="AQ708" s="6">
        <v>1</v>
      </c>
      <c r="AR708" s="6">
        <v>1</v>
      </c>
      <c r="AS708" s="6">
        <v>1</v>
      </c>
      <c r="AT708" s="6">
        <v>1</v>
      </c>
      <c r="AU708" s="6">
        <v>1</v>
      </c>
      <c r="AV708" s="6">
        <v>1</v>
      </c>
      <c r="AW708" s="6">
        <v>1</v>
      </c>
      <c r="AX708" s="6">
        <v>1</v>
      </c>
      <c r="AY708" s="6">
        <v>1</v>
      </c>
      <c r="AZ708" s="6">
        <v>1</v>
      </c>
      <c r="BC708">
        <v>1818</v>
      </c>
      <c r="BD708" t="s">
        <v>81</v>
      </c>
      <c r="BE708" t="s">
        <v>1447</v>
      </c>
      <c r="BF708" s="1" t="s">
        <v>73</v>
      </c>
      <c r="BG708" s="1">
        <v>4</v>
      </c>
      <c r="BH708">
        <v>4</v>
      </c>
      <c r="BK708" s="1">
        <v>1</v>
      </c>
      <c r="BQ708">
        <v>1</v>
      </c>
      <c r="BY708">
        <v>1</v>
      </c>
      <c r="CL708">
        <v>1</v>
      </c>
      <c r="CS708" t="s">
        <v>1448</v>
      </c>
    </row>
    <row r="709" spans="2:98">
      <c r="B709" t="s">
        <v>135</v>
      </c>
      <c r="C709" s="8" t="s">
        <v>136</v>
      </c>
      <c r="F709" s="8" t="s">
        <v>65</v>
      </c>
      <c r="G709" s="1">
        <v>1</v>
      </c>
      <c r="I709" s="1">
        <f>1809-20</f>
        <v>1789</v>
      </c>
      <c r="J709" t="s">
        <v>69</v>
      </c>
      <c r="K709" t="s">
        <v>12</v>
      </c>
      <c r="Q709">
        <v>5</v>
      </c>
      <c r="R709">
        <v>3</v>
      </c>
      <c r="T709" s="5">
        <f t="shared" si="25"/>
        <v>165.89000000000001</v>
      </c>
      <c r="U709" t="s">
        <v>137</v>
      </c>
      <c r="AQ709" s="6">
        <v>1</v>
      </c>
      <c r="AR709" s="6">
        <v>1</v>
      </c>
      <c r="AS709" s="7">
        <v>1</v>
      </c>
      <c r="BC709" t="s">
        <v>154</v>
      </c>
      <c r="BD709" s="7" t="s">
        <v>103</v>
      </c>
      <c r="BE709" t="s">
        <v>151</v>
      </c>
      <c r="BF709" s="1" t="s">
        <v>29</v>
      </c>
      <c r="BG709" s="1">
        <v>6</v>
      </c>
      <c r="BH709">
        <v>3</v>
      </c>
      <c r="BI709">
        <v>1</v>
      </c>
      <c r="BK709" s="1">
        <v>1</v>
      </c>
      <c r="BQ709">
        <v>1</v>
      </c>
      <c r="CL709">
        <v>1</v>
      </c>
      <c r="CS709" s="7" t="s">
        <v>361</v>
      </c>
    </row>
    <row r="710" spans="2:98">
      <c r="B710" t="s">
        <v>1979</v>
      </c>
      <c r="C710" s="2" t="s">
        <v>1911</v>
      </c>
      <c r="D710" s="2" t="s">
        <v>1911</v>
      </c>
      <c r="E710" t="s">
        <v>1912</v>
      </c>
      <c r="F710" s="8" t="s">
        <v>65</v>
      </c>
      <c r="G710" s="1">
        <v>1</v>
      </c>
      <c r="I710" s="1">
        <f>1809-20</f>
        <v>1789</v>
      </c>
      <c r="J710" t="s">
        <v>10</v>
      </c>
      <c r="K710" t="s">
        <v>972</v>
      </c>
      <c r="Q710">
        <v>5</v>
      </c>
      <c r="R710">
        <v>1</v>
      </c>
      <c r="S710">
        <v>1</v>
      </c>
      <c r="T710" s="5">
        <f t="shared" si="25"/>
        <v>160.85</v>
      </c>
      <c r="U710" t="s">
        <v>162</v>
      </c>
      <c r="AQ710" s="7">
        <v>1</v>
      </c>
      <c r="BC710" t="s">
        <v>162</v>
      </c>
      <c r="BD710" s="7" t="s">
        <v>103</v>
      </c>
      <c r="BE710" t="s">
        <v>118</v>
      </c>
      <c r="BF710" s="1" t="s">
        <v>29</v>
      </c>
      <c r="BG710" s="1">
        <v>1</v>
      </c>
      <c r="BH710">
        <v>1</v>
      </c>
      <c r="BK710" s="1">
        <v>1</v>
      </c>
      <c r="BQ710">
        <v>1</v>
      </c>
      <c r="CS710" s="7" t="s">
        <v>1985</v>
      </c>
    </row>
    <row r="711" spans="2:98">
      <c r="B711" t="s">
        <v>1980</v>
      </c>
      <c r="C711" s="2" t="s">
        <v>1984</v>
      </c>
      <c r="D711" s="2" t="s">
        <v>1984</v>
      </c>
      <c r="E711" t="s">
        <v>1912</v>
      </c>
      <c r="F711" s="8" t="s">
        <v>65</v>
      </c>
      <c r="G711" s="1">
        <v>1</v>
      </c>
      <c r="I711" s="1">
        <f>1809-24</f>
        <v>1785</v>
      </c>
      <c r="J711" t="s">
        <v>10</v>
      </c>
      <c r="K711" t="s">
        <v>12</v>
      </c>
      <c r="Q711">
        <v>5</v>
      </c>
      <c r="R711">
        <v>4</v>
      </c>
      <c r="S711">
        <v>2</v>
      </c>
      <c r="T711" s="5">
        <f t="shared" si="25"/>
        <v>168.96</v>
      </c>
      <c r="U711" t="s">
        <v>162</v>
      </c>
      <c r="AQ711" s="7">
        <v>1</v>
      </c>
      <c r="BC711" t="s">
        <v>162</v>
      </c>
      <c r="BD711" s="7" t="s">
        <v>103</v>
      </c>
      <c r="BE711" t="s">
        <v>118</v>
      </c>
      <c r="BF711" s="1" t="s">
        <v>29</v>
      </c>
      <c r="BG711" s="1">
        <v>1</v>
      </c>
      <c r="BH711">
        <v>1</v>
      </c>
      <c r="BK711" s="1">
        <v>1</v>
      </c>
      <c r="BQ711">
        <v>1</v>
      </c>
      <c r="CS711" s="7" t="s">
        <v>1985</v>
      </c>
    </row>
    <row r="712" spans="2:98">
      <c r="B712" t="s">
        <v>1981</v>
      </c>
      <c r="C712" s="2" t="s">
        <v>1911</v>
      </c>
      <c r="D712" s="2" t="s">
        <v>1911</v>
      </c>
      <c r="E712" t="s">
        <v>1912</v>
      </c>
      <c r="F712" s="8" t="s">
        <v>65</v>
      </c>
      <c r="G712" s="1">
        <v>1</v>
      </c>
      <c r="I712" s="1">
        <f>1809-21</f>
        <v>1788</v>
      </c>
      <c r="J712" t="s">
        <v>10</v>
      </c>
      <c r="K712" t="s">
        <v>12</v>
      </c>
      <c r="Q712">
        <v>5</v>
      </c>
      <c r="R712">
        <v>3</v>
      </c>
      <c r="S712">
        <v>2</v>
      </c>
      <c r="T712" s="5">
        <f t="shared" si="25"/>
        <v>166.33</v>
      </c>
      <c r="U712" t="s">
        <v>162</v>
      </c>
      <c r="AQ712" s="7">
        <v>1</v>
      </c>
      <c r="BC712" t="s">
        <v>162</v>
      </c>
      <c r="BD712" s="7" t="s">
        <v>103</v>
      </c>
      <c r="BE712" t="s">
        <v>118</v>
      </c>
      <c r="BF712" s="1" t="s">
        <v>29</v>
      </c>
      <c r="BG712" s="1">
        <v>1</v>
      </c>
      <c r="BH712">
        <v>1</v>
      </c>
      <c r="BK712" s="1">
        <v>1</v>
      </c>
      <c r="BQ712">
        <v>1</v>
      </c>
      <c r="CS712" s="7" t="s">
        <v>1985</v>
      </c>
    </row>
    <row r="713" spans="2:98">
      <c r="B713" t="s">
        <v>1982</v>
      </c>
      <c r="C713" s="2" t="s">
        <v>1984</v>
      </c>
      <c r="D713" s="2" t="s">
        <v>1984</v>
      </c>
      <c r="E713" t="s">
        <v>1912</v>
      </c>
      <c r="F713" s="8" t="s">
        <v>65</v>
      </c>
      <c r="G713" s="1">
        <v>1</v>
      </c>
      <c r="I713" s="1">
        <f>1809-28</f>
        <v>1781</v>
      </c>
      <c r="J713" t="s">
        <v>10</v>
      </c>
      <c r="K713" t="s">
        <v>12</v>
      </c>
      <c r="Q713">
        <v>5</v>
      </c>
      <c r="R713">
        <v>5</v>
      </c>
      <c r="T713" s="5">
        <f t="shared" si="25"/>
        <v>171.15</v>
      </c>
      <c r="U713" t="s">
        <v>162</v>
      </c>
      <c r="AQ713" s="7">
        <v>1</v>
      </c>
      <c r="BC713" t="s">
        <v>162</v>
      </c>
      <c r="BD713" s="7" t="s">
        <v>103</v>
      </c>
      <c r="BE713" t="s">
        <v>118</v>
      </c>
      <c r="BF713" s="1" t="s">
        <v>29</v>
      </c>
      <c r="BG713" s="1">
        <v>1</v>
      </c>
      <c r="BH713">
        <v>1</v>
      </c>
      <c r="BK713" s="1">
        <v>1</v>
      </c>
      <c r="BQ713">
        <v>1</v>
      </c>
      <c r="CS713" s="7" t="s">
        <v>1985</v>
      </c>
    </row>
    <row r="714" spans="2:98">
      <c r="B714" t="s">
        <v>1983</v>
      </c>
      <c r="C714" s="2" t="s">
        <v>1984</v>
      </c>
      <c r="D714" s="2" t="s">
        <v>1984</v>
      </c>
      <c r="E714" t="s">
        <v>1912</v>
      </c>
      <c r="F714" s="8" t="s">
        <v>65</v>
      </c>
      <c r="G714" s="1">
        <v>1</v>
      </c>
      <c r="I714" s="1">
        <f>1809-21</f>
        <v>1788</v>
      </c>
      <c r="J714" t="s">
        <v>10</v>
      </c>
      <c r="K714" t="s">
        <v>12</v>
      </c>
      <c r="Q714">
        <v>5</v>
      </c>
      <c r="R714">
        <v>3</v>
      </c>
      <c r="S714">
        <v>2</v>
      </c>
      <c r="T714" s="5">
        <f t="shared" si="25"/>
        <v>166.33</v>
      </c>
      <c r="U714" t="s">
        <v>162</v>
      </c>
      <c r="AQ714" s="7">
        <v>1</v>
      </c>
      <c r="BC714" t="s">
        <v>162</v>
      </c>
      <c r="BD714" s="7" t="s">
        <v>103</v>
      </c>
      <c r="BE714" t="s">
        <v>118</v>
      </c>
      <c r="BF714" s="1" t="s">
        <v>29</v>
      </c>
      <c r="BG714" s="1">
        <v>1</v>
      </c>
      <c r="BH714">
        <v>1</v>
      </c>
      <c r="BK714" s="1">
        <v>1</v>
      </c>
      <c r="BQ714">
        <v>1</v>
      </c>
      <c r="CS714" s="7" t="s">
        <v>1985</v>
      </c>
    </row>
    <row r="715" spans="2:98">
      <c r="B715" t="s">
        <v>1976</v>
      </c>
      <c r="C715" s="18" t="s">
        <v>1977</v>
      </c>
      <c r="D715" s="18" t="s">
        <v>1977</v>
      </c>
      <c r="E715" s="8" t="s">
        <v>1912</v>
      </c>
      <c r="F715" s="8" t="s">
        <v>65</v>
      </c>
      <c r="G715" s="1">
        <v>1</v>
      </c>
      <c r="I715" s="1">
        <f>1809-35</f>
        <v>1774</v>
      </c>
      <c r="J715" t="s">
        <v>69</v>
      </c>
      <c r="K715" t="s">
        <v>12</v>
      </c>
      <c r="Q715">
        <v>5</v>
      </c>
      <c r="T715" s="5">
        <f t="shared" si="25"/>
        <v>158</v>
      </c>
      <c r="U715" t="s">
        <v>1975</v>
      </c>
      <c r="AQ715" s="6">
        <v>1</v>
      </c>
      <c r="BC715">
        <v>1809</v>
      </c>
      <c r="BD715" t="s">
        <v>81</v>
      </c>
      <c r="BE715" s="10" t="s">
        <v>118</v>
      </c>
      <c r="BF715" s="1" t="s">
        <v>73</v>
      </c>
      <c r="BG715" s="1">
        <v>1</v>
      </c>
      <c r="BH715">
        <v>2</v>
      </c>
      <c r="BK715" s="1">
        <v>1</v>
      </c>
      <c r="BQ715">
        <v>1</v>
      </c>
      <c r="CL715" s="10">
        <v>1</v>
      </c>
      <c r="CS715" s="10" t="s">
        <v>1978</v>
      </c>
    </row>
    <row r="716" spans="2:98">
      <c r="B716" t="s">
        <v>1971</v>
      </c>
      <c r="C716" s="2" t="s">
        <v>1973</v>
      </c>
      <c r="D716" s="2" t="s">
        <v>1973</v>
      </c>
      <c r="E716" s="8" t="s">
        <v>1912</v>
      </c>
      <c r="F716" s="8" t="s">
        <v>65</v>
      </c>
      <c r="G716" s="1">
        <v>1</v>
      </c>
      <c r="I716" s="1">
        <f>1809-24</f>
        <v>1785</v>
      </c>
      <c r="J716" t="s">
        <v>10</v>
      </c>
      <c r="K716" t="s">
        <v>12</v>
      </c>
      <c r="Q716">
        <v>5</v>
      </c>
      <c r="R716">
        <v>3</v>
      </c>
      <c r="T716" s="5">
        <f t="shared" si="25"/>
        <v>165.89000000000001</v>
      </c>
      <c r="U716" t="s">
        <v>1972</v>
      </c>
      <c r="AQ716" s="7">
        <v>1</v>
      </c>
      <c r="BC716" t="s">
        <v>1974</v>
      </c>
      <c r="BD716" s="7" t="s">
        <v>280</v>
      </c>
      <c r="BE716" t="s">
        <v>118</v>
      </c>
      <c r="BF716" s="1" t="s">
        <v>29</v>
      </c>
      <c r="BG716" s="1">
        <v>1</v>
      </c>
      <c r="BH716">
        <v>1</v>
      </c>
      <c r="BK716" s="1">
        <v>1</v>
      </c>
      <c r="BQ716">
        <v>1</v>
      </c>
      <c r="CN716">
        <v>1</v>
      </c>
      <c r="CS716" s="7" t="s">
        <v>1970</v>
      </c>
    </row>
    <row r="717" spans="2:98">
      <c r="B717" t="s">
        <v>1035</v>
      </c>
      <c r="C717" s="13" t="s">
        <v>1031</v>
      </c>
      <c r="D717" s="13" t="s">
        <v>1032</v>
      </c>
      <c r="E717" s="8" t="s">
        <v>624</v>
      </c>
      <c r="F717" s="8" t="s">
        <v>218</v>
      </c>
      <c r="G717" s="1">
        <v>1</v>
      </c>
      <c r="I717" s="1">
        <f>1809-22</f>
        <v>1787</v>
      </c>
      <c r="J717" t="s">
        <v>10</v>
      </c>
      <c r="K717" t="s">
        <v>116</v>
      </c>
      <c r="T717" s="5"/>
      <c r="U717" s="9" t="s">
        <v>1036</v>
      </c>
      <c r="AQ717" s="9">
        <v>1</v>
      </c>
      <c r="BC717">
        <v>1809</v>
      </c>
      <c r="BD717" t="s">
        <v>81</v>
      </c>
      <c r="BE717" s="10" t="s">
        <v>999</v>
      </c>
      <c r="BF717" s="1" t="s">
        <v>73</v>
      </c>
      <c r="BG717" s="1">
        <v>1</v>
      </c>
      <c r="BH717">
        <v>2</v>
      </c>
      <c r="BO717" s="9"/>
      <c r="CC717">
        <v>1</v>
      </c>
      <c r="CL717" s="10">
        <v>1</v>
      </c>
      <c r="CS717" s="10" t="s">
        <v>1007</v>
      </c>
      <c r="CT717" s="9" t="s">
        <v>1037</v>
      </c>
    </row>
    <row r="718" spans="2:98">
      <c r="B718" t="s">
        <v>2335</v>
      </c>
      <c r="C718" s="2" t="s">
        <v>2336</v>
      </c>
      <c r="D718" s="2" t="s">
        <v>2336</v>
      </c>
      <c r="E718" s="8" t="s">
        <v>1555</v>
      </c>
      <c r="F718" s="8" t="s">
        <v>218</v>
      </c>
      <c r="G718" s="1">
        <v>1</v>
      </c>
      <c r="I718" s="1">
        <f>1809-20</f>
        <v>1789</v>
      </c>
      <c r="J718" t="s">
        <v>10</v>
      </c>
      <c r="K718" t="s">
        <v>12</v>
      </c>
      <c r="Q718">
        <v>5</v>
      </c>
      <c r="R718">
        <v>3</v>
      </c>
      <c r="T718" s="5">
        <f>((Q718*316)+(R718*26.3)+(S718*2.2))/10</f>
        <v>165.89000000000001</v>
      </c>
      <c r="U718" t="s">
        <v>2337</v>
      </c>
      <c r="AQ718" s="6">
        <v>1</v>
      </c>
      <c r="AR718" s="7">
        <v>1</v>
      </c>
      <c r="BC718" t="s">
        <v>2338</v>
      </c>
      <c r="BD718" s="7" t="s">
        <v>103</v>
      </c>
      <c r="BE718" t="s">
        <v>2315</v>
      </c>
      <c r="BF718" s="1" t="s">
        <v>29</v>
      </c>
      <c r="BG718" s="1">
        <v>3</v>
      </c>
      <c r="BH718">
        <v>2</v>
      </c>
      <c r="BI718">
        <v>1</v>
      </c>
      <c r="BJ718">
        <v>1</v>
      </c>
      <c r="BK718" s="1">
        <v>1</v>
      </c>
      <c r="BQ718">
        <v>1</v>
      </c>
      <c r="CL718">
        <v>1</v>
      </c>
      <c r="CS718" s="7" t="s">
        <v>2339</v>
      </c>
    </row>
    <row r="719" spans="2:98">
      <c r="B719" t="s">
        <v>1020</v>
      </c>
      <c r="C719" s="18" t="s">
        <v>1021</v>
      </c>
      <c r="D719" s="18"/>
      <c r="E719" s="8"/>
      <c r="F719" s="8" t="s">
        <v>218</v>
      </c>
      <c r="G719" s="1">
        <v>1</v>
      </c>
      <c r="I719" s="1">
        <f>1810-24</f>
        <v>1786</v>
      </c>
      <c r="J719" t="s">
        <v>10</v>
      </c>
      <c r="T719" s="5"/>
      <c r="U719" t="s">
        <v>1019</v>
      </c>
      <c r="AQ719" s="6">
        <v>1</v>
      </c>
      <c r="AR719" s="7">
        <v>1</v>
      </c>
      <c r="BC719" t="s">
        <v>1022</v>
      </c>
      <c r="BD719" s="7" t="s">
        <v>103</v>
      </c>
      <c r="BE719" t="s">
        <v>999</v>
      </c>
      <c r="BF719" s="1" t="s">
        <v>29</v>
      </c>
      <c r="BG719" s="1">
        <v>1</v>
      </c>
      <c r="BH719">
        <v>1</v>
      </c>
      <c r="BO719">
        <v>1</v>
      </c>
      <c r="CC719">
        <v>1</v>
      </c>
      <c r="CJ719">
        <v>1</v>
      </c>
      <c r="CS719" s="7" t="s">
        <v>1000</v>
      </c>
    </row>
    <row r="720" spans="2:98">
      <c r="B720" t="s">
        <v>413</v>
      </c>
      <c r="C720" s="15" t="s">
        <v>414</v>
      </c>
      <c r="D720" s="15" t="s">
        <v>414</v>
      </c>
      <c r="E720" s="8" t="s">
        <v>415</v>
      </c>
      <c r="F720" s="8" t="s">
        <v>416</v>
      </c>
      <c r="G720" s="1">
        <v>1</v>
      </c>
      <c r="I720" s="1">
        <f>1809-18</f>
        <v>1791</v>
      </c>
      <c r="J720" t="s">
        <v>10</v>
      </c>
      <c r="K720" t="s">
        <v>12</v>
      </c>
      <c r="T720" s="5"/>
      <c r="U720" t="s">
        <v>417</v>
      </c>
      <c r="AQ720" s="7">
        <v>1</v>
      </c>
      <c r="BC720" t="s">
        <v>418</v>
      </c>
      <c r="BD720" s="7" t="s">
        <v>305</v>
      </c>
      <c r="BE720" t="s">
        <v>419</v>
      </c>
      <c r="BF720" s="1" t="s">
        <v>29</v>
      </c>
      <c r="BG720" s="1">
        <v>1</v>
      </c>
      <c r="BH720">
        <v>1</v>
      </c>
      <c r="BO720">
        <v>1</v>
      </c>
      <c r="BR720">
        <v>1</v>
      </c>
      <c r="CM720">
        <v>1</v>
      </c>
      <c r="CS720" s="7" t="s">
        <v>420</v>
      </c>
    </row>
    <row r="721" spans="1:98">
      <c r="B721" t="s">
        <v>1050</v>
      </c>
      <c r="C721" s="15" t="s">
        <v>522</v>
      </c>
      <c r="E721" s="8"/>
      <c r="F721" s="8" t="s">
        <v>218</v>
      </c>
      <c r="G721" s="1">
        <v>1</v>
      </c>
      <c r="I721" s="1">
        <f>1809-30</f>
        <v>1779</v>
      </c>
      <c r="J721" t="s">
        <v>10</v>
      </c>
      <c r="K721" t="s">
        <v>1049</v>
      </c>
      <c r="T721" s="5"/>
      <c r="U721" t="s">
        <v>1048</v>
      </c>
      <c r="AQ721" s="6">
        <v>1</v>
      </c>
      <c r="AR721" s="6">
        <v>1</v>
      </c>
      <c r="BC721">
        <v>1810</v>
      </c>
      <c r="BD721" t="s">
        <v>81</v>
      </c>
      <c r="BE721" s="10" t="s">
        <v>1046</v>
      </c>
      <c r="BF721" s="1" t="s">
        <v>73</v>
      </c>
      <c r="BG721" s="1">
        <v>1</v>
      </c>
      <c r="BH721">
        <v>3</v>
      </c>
      <c r="BO721" s="9"/>
      <c r="CC721">
        <v>1</v>
      </c>
      <c r="CL721" s="10">
        <v>1</v>
      </c>
      <c r="CS721" s="10" t="s">
        <v>1051</v>
      </c>
      <c r="CT721" s="9" t="s">
        <v>1067</v>
      </c>
    </row>
    <row r="722" spans="1:98">
      <c r="B722" t="s">
        <v>1024</v>
      </c>
      <c r="C722" s="15" t="s">
        <v>1025</v>
      </c>
      <c r="D722" s="15"/>
      <c r="E722" s="8"/>
      <c r="F722" s="8" t="s">
        <v>218</v>
      </c>
      <c r="G722" s="1">
        <v>1</v>
      </c>
      <c r="I722" s="1">
        <f>1809-36</f>
        <v>1773</v>
      </c>
      <c r="J722" t="s">
        <v>10</v>
      </c>
      <c r="T722" s="5"/>
      <c r="U722" t="s">
        <v>1023</v>
      </c>
      <c r="AQ722" s="6">
        <v>1</v>
      </c>
      <c r="AR722" s="6">
        <v>1</v>
      </c>
      <c r="BC722">
        <v>1810</v>
      </c>
      <c r="BD722" t="s">
        <v>81</v>
      </c>
      <c r="BE722" s="10" t="s">
        <v>999</v>
      </c>
      <c r="BF722" s="1" t="s">
        <v>73</v>
      </c>
      <c r="BG722" s="1">
        <v>1</v>
      </c>
      <c r="BH722">
        <v>2</v>
      </c>
      <c r="BO722">
        <v>1</v>
      </c>
      <c r="CC722">
        <v>1</v>
      </c>
      <c r="CJ722">
        <v>1</v>
      </c>
      <c r="CL722" s="10">
        <v>1</v>
      </c>
      <c r="CS722" s="10" t="s">
        <v>1026</v>
      </c>
    </row>
    <row r="723" spans="1:98">
      <c r="B723" t="s">
        <v>1027</v>
      </c>
      <c r="C723" s="15" t="s">
        <v>1028</v>
      </c>
      <c r="D723" s="15"/>
      <c r="E723" s="8"/>
      <c r="F723" s="8" t="s">
        <v>217</v>
      </c>
      <c r="H723" s="1">
        <v>1</v>
      </c>
      <c r="I723" s="1">
        <f>1809-37</f>
        <v>1772</v>
      </c>
      <c r="J723" t="s">
        <v>69</v>
      </c>
      <c r="O723" s="1"/>
      <c r="T723" s="5"/>
      <c r="U723" t="s">
        <v>1023</v>
      </c>
      <c r="AQ723" s="6">
        <v>1</v>
      </c>
      <c r="BC723">
        <v>1809</v>
      </c>
      <c r="BD723" t="s">
        <v>81</v>
      </c>
      <c r="BE723" s="10" t="s">
        <v>999</v>
      </c>
      <c r="BF723" s="1" t="s">
        <v>73</v>
      </c>
      <c r="BG723" s="1">
        <v>1</v>
      </c>
      <c r="BH723">
        <v>2</v>
      </c>
      <c r="BO723">
        <v>1</v>
      </c>
      <c r="CC723">
        <v>1</v>
      </c>
      <c r="CJ723">
        <v>1</v>
      </c>
      <c r="CL723" s="10">
        <v>1</v>
      </c>
      <c r="CS723" s="10" t="s">
        <v>1029</v>
      </c>
    </row>
    <row r="724" spans="1:98">
      <c r="B724" t="s">
        <v>1342</v>
      </c>
      <c r="C724" s="2" t="s">
        <v>1083</v>
      </c>
      <c r="D724" s="26" t="s">
        <v>192</v>
      </c>
      <c r="E724" s="8"/>
      <c r="F724" s="8" t="s">
        <v>65</v>
      </c>
      <c r="G724" s="1">
        <v>1</v>
      </c>
      <c r="I724" s="1">
        <f>1809-22</f>
        <v>1787</v>
      </c>
      <c r="J724" t="s">
        <v>69</v>
      </c>
      <c r="O724" s="1"/>
      <c r="Q724">
        <v>5</v>
      </c>
      <c r="R724">
        <v>5</v>
      </c>
      <c r="T724" s="5">
        <f>((Q724*316)+(R724*26.3)+(S724*2.2))/10</f>
        <v>171.15</v>
      </c>
      <c r="U724" t="s">
        <v>1023</v>
      </c>
      <c r="AQ724" s="7">
        <v>1</v>
      </c>
      <c r="BC724" t="s">
        <v>1343</v>
      </c>
      <c r="BD724" s="7" t="s">
        <v>280</v>
      </c>
      <c r="BE724" t="s">
        <v>1344</v>
      </c>
      <c r="BF724" s="1" t="s">
        <v>29</v>
      </c>
      <c r="BG724" s="1">
        <v>1</v>
      </c>
      <c r="BH724">
        <v>1</v>
      </c>
      <c r="BK724" s="1">
        <v>1</v>
      </c>
      <c r="BW724">
        <v>1</v>
      </c>
      <c r="CN724">
        <v>1</v>
      </c>
      <c r="CS724" s="7" t="s">
        <v>1345</v>
      </c>
    </row>
    <row r="725" spans="1:98">
      <c r="B725" t="s">
        <v>2591</v>
      </c>
      <c r="C725" s="12" t="s">
        <v>2592</v>
      </c>
      <c r="D725" s="26"/>
      <c r="E725" s="8" t="s">
        <v>2593</v>
      </c>
      <c r="F725" s="8" t="s">
        <v>247</v>
      </c>
      <c r="G725" s="1">
        <v>1</v>
      </c>
      <c r="I725" s="1">
        <f>1809-22</f>
        <v>1787</v>
      </c>
      <c r="J725" t="s">
        <v>10</v>
      </c>
      <c r="K725" t="s">
        <v>12</v>
      </c>
      <c r="O725" s="1"/>
      <c r="Q725">
        <v>5</v>
      </c>
      <c r="R725">
        <v>3</v>
      </c>
      <c r="S725">
        <v>2</v>
      </c>
      <c r="T725" s="5">
        <f>((Q725*316)+(R725*26.3)+(S725*2.2))/10</f>
        <v>166.33</v>
      </c>
      <c r="U725" t="s">
        <v>666</v>
      </c>
      <c r="AQ725" s="6">
        <v>1</v>
      </c>
      <c r="AR725" s="7">
        <v>1</v>
      </c>
      <c r="BC725" t="s">
        <v>1108</v>
      </c>
      <c r="BD725" s="7" t="s">
        <v>103</v>
      </c>
      <c r="BE725" t="s">
        <v>1065</v>
      </c>
      <c r="BF725" s="1" t="s">
        <v>29</v>
      </c>
      <c r="BG725" s="1">
        <v>2</v>
      </c>
      <c r="BH725">
        <v>1</v>
      </c>
      <c r="BK725" s="1">
        <v>1</v>
      </c>
      <c r="BQ725">
        <v>1</v>
      </c>
      <c r="CS725" s="7" t="s">
        <v>614</v>
      </c>
    </row>
    <row r="726" spans="1:98">
      <c r="B726" t="s">
        <v>1039</v>
      </c>
      <c r="C726" s="2" t="s">
        <v>1040</v>
      </c>
      <c r="D726" s="15"/>
      <c r="E726" s="8" t="s">
        <v>1041</v>
      </c>
      <c r="F726" s="8" t="s">
        <v>247</v>
      </c>
      <c r="G726" s="1">
        <v>1</v>
      </c>
      <c r="I726" s="1">
        <f>1809-22</f>
        <v>1787</v>
      </c>
      <c r="J726" t="s">
        <v>10</v>
      </c>
      <c r="K726" t="s">
        <v>12</v>
      </c>
      <c r="O726" s="1"/>
      <c r="Q726">
        <v>5</v>
      </c>
      <c r="R726">
        <v>0</v>
      </c>
      <c r="S726">
        <v>3</v>
      </c>
      <c r="T726" s="5">
        <f>((Q726*316)+(R726*26.3)+(S726*2.2))/10</f>
        <v>158.66</v>
      </c>
      <c r="U726" t="s">
        <v>1038</v>
      </c>
      <c r="AQ726" s="6">
        <v>1</v>
      </c>
      <c r="BC726">
        <v>1809</v>
      </c>
      <c r="BD726" t="s">
        <v>81</v>
      </c>
      <c r="BE726" t="s">
        <v>1042</v>
      </c>
      <c r="BF726" s="1" t="s">
        <v>73</v>
      </c>
      <c r="BG726" s="1">
        <v>1</v>
      </c>
      <c r="BH726">
        <v>1</v>
      </c>
      <c r="BK726" s="1" t="s">
        <v>72</v>
      </c>
      <c r="BW726">
        <v>1</v>
      </c>
      <c r="CS726" t="s">
        <v>1043</v>
      </c>
    </row>
    <row r="727" spans="1:98">
      <c r="B727" t="s">
        <v>1104</v>
      </c>
      <c r="C727" s="12" t="s">
        <v>1106</v>
      </c>
      <c r="D727" s="26" t="s">
        <v>1107</v>
      </c>
      <c r="E727" s="8" t="s">
        <v>1105</v>
      </c>
      <c r="F727" s="8" t="s">
        <v>247</v>
      </c>
      <c r="G727" s="1">
        <v>1</v>
      </c>
      <c r="I727" s="1">
        <f>1809-27</f>
        <v>1782</v>
      </c>
      <c r="J727" t="s">
        <v>10</v>
      </c>
      <c r="K727" t="s">
        <v>12</v>
      </c>
      <c r="O727" s="1"/>
      <c r="Q727">
        <v>5</v>
      </c>
      <c r="R727">
        <v>1</v>
      </c>
      <c r="T727" s="5">
        <f>((Q727*316)+(R727*26.3)+(S727*2.2))/10</f>
        <v>160.63</v>
      </c>
      <c r="U727" t="s">
        <v>1108</v>
      </c>
      <c r="AQ727" s="6">
        <v>1</v>
      </c>
      <c r="BC727">
        <v>1809</v>
      </c>
      <c r="BD727" t="s">
        <v>81</v>
      </c>
      <c r="BE727" t="s">
        <v>1109</v>
      </c>
      <c r="BF727" s="1" t="s">
        <v>73</v>
      </c>
      <c r="BG727" s="1">
        <v>1</v>
      </c>
      <c r="BH727">
        <v>1</v>
      </c>
      <c r="BK727" s="1">
        <v>1</v>
      </c>
      <c r="BQ727">
        <v>1</v>
      </c>
      <c r="CS727" t="s">
        <v>1110</v>
      </c>
    </row>
    <row r="728" spans="1:98">
      <c r="B728" t="s">
        <v>1030</v>
      </c>
      <c r="C728" s="2" t="s">
        <v>1034</v>
      </c>
      <c r="F728" s="8" t="s">
        <v>218</v>
      </c>
      <c r="G728" s="1">
        <v>1</v>
      </c>
      <c r="I728" s="1">
        <f>1810-21</f>
        <v>1789</v>
      </c>
      <c r="J728" t="s">
        <v>10</v>
      </c>
      <c r="O728" s="1"/>
      <c r="T728" s="5"/>
      <c r="U728" t="s">
        <v>1033</v>
      </c>
      <c r="AQ728" s="6">
        <v>1</v>
      </c>
      <c r="AR728" s="7">
        <v>1</v>
      </c>
      <c r="BC728" t="s">
        <v>1022</v>
      </c>
      <c r="BD728" s="7" t="s">
        <v>103</v>
      </c>
      <c r="BE728" t="s">
        <v>999</v>
      </c>
      <c r="BF728" s="1" t="s">
        <v>29</v>
      </c>
      <c r="BG728" s="1">
        <v>1</v>
      </c>
      <c r="BH728">
        <v>1</v>
      </c>
      <c r="BO728">
        <v>1</v>
      </c>
      <c r="CC728">
        <v>1</v>
      </c>
      <c r="CJ728">
        <v>1</v>
      </c>
      <c r="CS728" s="7" t="s">
        <v>1000</v>
      </c>
    </row>
    <row r="729" spans="1:98">
      <c r="B729" t="s">
        <v>1113</v>
      </c>
      <c r="C729" s="2" t="s">
        <v>1115</v>
      </c>
      <c r="E729" s="8" t="s">
        <v>1105</v>
      </c>
      <c r="F729" s="8" t="s">
        <v>247</v>
      </c>
      <c r="G729" s="1">
        <v>1</v>
      </c>
      <c r="I729" s="1">
        <f>1809-30</f>
        <v>1779</v>
      </c>
      <c r="J729" t="s">
        <v>10</v>
      </c>
      <c r="K729" t="s">
        <v>12</v>
      </c>
      <c r="O729" s="1"/>
      <c r="Q729">
        <v>5</v>
      </c>
      <c r="R729">
        <v>2</v>
      </c>
      <c r="T729" s="5">
        <f t="shared" ref="T729:T734" si="26">((Q729*316)+(R729*26.3)+(S729*2.2))/10</f>
        <v>163.26</v>
      </c>
      <c r="U729" t="s">
        <v>1111</v>
      </c>
      <c r="AQ729" s="6">
        <v>1</v>
      </c>
      <c r="BC729">
        <v>1809</v>
      </c>
      <c r="BD729" t="s">
        <v>81</v>
      </c>
      <c r="BE729" t="s">
        <v>1109</v>
      </c>
      <c r="BF729" s="1" t="s">
        <v>73</v>
      </c>
      <c r="BG729" s="1">
        <v>1</v>
      </c>
      <c r="BH729">
        <v>1</v>
      </c>
      <c r="BK729" s="1">
        <v>1</v>
      </c>
      <c r="BQ729">
        <v>1</v>
      </c>
      <c r="CS729" t="s">
        <v>1110</v>
      </c>
    </row>
    <row r="730" spans="1:98">
      <c r="B730" t="s">
        <v>1114</v>
      </c>
      <c r="C730" s="2" t="s">
        <v>1116</v>
      </c>
      <c r="E730" s="8" t="s">
        <v>1117</v>
      </c>
      <c r="F730" s="8" t="s">
        <v>247</v>
      </c>
      <c r="G730" s="1">
        <v>1</v>
      </c>
      <c r="I730" s="1">
        <f>1809-21</f>
        <v>1788</v>
      </c>
      <c r="J730" t="s">
        <v>10</v>
      </c>
      <c r="K730" t="s">
        <v>12</v>
      </c>
      <c r="O730" s="1"/>
      <c r="Q730">
        <v>5</v>
      </c>
      <c r="T730" s="5">
        <f t="shared" si="26"/>
        <v>158</v>
      </c>
      <c r="U730" t="s">
        <v>1112</v>
      </c>
      <c r="AQ730" s="6">
        <v>1</v>
      </c>
      <c r="BC730">
        <v>1809</v>
      </c>
      <c r="BD730" t="s">
        <v>81</v>
      </c>
      <c r="BE730" t="s">
        <v>1109</v>
      </c>
      <c r="BF730" s="1" t="s">
        <v>73</v>
      </c>
      <c r="BG730" s="1">
        <v>1</v>
      </c>
      <c r="BH730">
        <v>1</v>
      </c>
      <c r="BK730" s="1">
        <v>1</v>
      </c>
      <c r="BQ730">
        <v>1</v>
      </c>
      <c r="CS730" t="s">
        <v>1110</v>
      </c>
    </row>
    <row r="731" spans="1:98">
      <c r="B731" t="s">
        <v>1119</v>
      </c>
      <c r="C731" s="13" t="s">
        <v>1118</v>
      </c>
      <c r="F731" s="8" t="s">
        <v>247</v>
      </c>
      <c r="G731" s="1">
        <v>1</v>
      </c>
      <c r="I731" s="1">
        <f>1809-18</f>
        <v>1791</v>
      </c>
      <c r="J731" t="s">
        <v>10</v>
      </c>
      <c r="K731" t="s">
        <v>12</v>
      </c>
      <c r="O731" s="1"/>
      <c r="Q731">
        <v>5</v>
      </c>
      <c r="R731">
        <v>2</v>
      </c>
      <c r="S731">
        <v>2</v>
      </c>
      <c r="T731" s="5">
        <f t="shared" si="26"/>
        <v>163.69999999999999</v>
      </c>
      <c r="U731" t="s">
        <v>1112</v>
      </c>
      <c r="AQ731" s="6">
        <v>1</v>
      </c>
      <c r="BC731">
        <v>1809</v>
      </c>
      <c r="BD731" t="s">
        <v>81</v>
      </c>
      <c r="BE731" t="s">
        <v>1109</v>
      </c>
      <c r="BF731" s="1" t="s">
        <v>73</v>
      </c>
      <c r="BG731" s="1">
        <v>1</v>
      </c>
      <c r="BH731">
        <v>1</v>
      </c>
      <c r="BK731" s="1">
        <v>1</v>
      </c>
      <c r="BQ731">
        <v>1</v>
      </c>
      <c r="CS731" t="s">
        <v>1110</v>
      </c>
    </row>
    <row r="732" spans="1:98">
      <c r="B732" t="s">
        <v>650</v>
      </c>
      <c r="C732" s="15" t="s">
        <v>655</v>
      </c>
      <c r="D732" s="15" t="s">
        <v>655</v>
      </c>
      <c r="E732" s="8" t="s">
        <v>654</v>
      </c>
      <c r="F732" s="8" t="s">
        <v>65</v>
      </c>
      <c r="G732" s="1">
        <v>1</v>
      </c>
      <c r="I732" s="1">
        <f>1809-18</f>
        <v>1791</v>
      </c>
      <c r="J732" t="s">
        <v>10</v>
      </c>
      <c r="K732" t="s">
        <v>12</v>
      </c>
      <c r="Q732">
        <v>5</v>
      </c>
      <c r="R732">
        <v>2</v>
      </c>
      <c r="T732" s="5">
        <f t="shared" si="26"/>
        <v>163.26</v>
      </c>
      <c r="U732" t="s">
        <v>647</v>
      </c>
      <c r="AQ732" s="6">
        <v>1</v>
      </c>
      <c r="AR732" s="6">
        <v>1</v>
      </c>
      <c r="BC732" t="s">
        <v>657</v>
      </c>
      <c r="BD732" t="s">
        <v>81</v>
      </c>
      <c r="BE732" s="10" t="s">
        <v>668</v>
      </c>
      <c r="BF732" s="1" t="s">
        <v>73</v>
      </c>
      <c r="BG732" s="1">
        <v>2</v>
      </c>
      <c r="BH732">
        <v>2</v>
      </c>
      <c r="BI732">
        <v>1</v>
      </c>
      <c r="BK732" s="1">
        <v>1</v>
      </c>
      <c r="BR732">
        <v>1</v>
      </c>
      <c r="CL732" s="10">
        <v>1</v>
      </c>
      <c r="CS732" s="10" t="s">
        <v>661</v>
      </c>
    </row>
    <row r="733" spans="1:98">
      <c r="B733" t="s">
        <v>651</v>
      </c>
      <c r="C733" s="15" t="s">
        <v>237</v>
      </c>
      <c r="D733" s="15" t="s">
        <v>237</v>
      </c>
      <c r="E733" s="8" t="s">
        <v>238</v>
      </c>
      <c r="F733" s="8" t="s">
        <v>65</v>
      </c>
      <c r="G733" s="1">
        <v>1</v>
      </c>
      <c r="I733" s="1">
        <f>1809-23</f>
        <v>1786</v>
      </c>
      <c r="J733" t="s">
        <v>10</v>
      </c>
      <c r="K733" t="s">
        <v>12</v>
      </c>
      <c r="Q733">
        <v>5</v>
      </c>
      <c r="R733">
        <v>1</v>
      </c>
      <c r="T733" s="5">
        <f t="shared" si="26"/>
        <v>160.63</v>
      </c>
      <c r="U733" t="s">
        <v>647</v>
      </c>
      <c r="AQ733" s="7">
        <v>1</v>
      </c>
      <c r="BC733" t="s">
        <v>659</v>
      </c>
      <c r="BD733" s="7" t="s">
        <v>103</v>
      </c>
      <c r="BE733" t="s">
        <v>668</v>
      </c>
      <c r="BF733" s="1" t="s">
        <v>29</v>
      </c>
      <c r="BG733" s="1">
        <v>2</v>
      </c>
      <c r="BH733">
        <v>1</v>
      </c>
      <c r="BK733" s="1">
        <v>1</v>
      </c>
      <c r="BR733">
        <v>1</v>
      </c>
      <c r="CS733" s="7" t="s">
        <v>662</v>
      </c>
    </row>
    <row r="734" spans="1:98">
      <c r="B734" t="s">
        <v>652</v>
      </c>
      <c r="C734" s="15" t="s">
        <v>656</v>
      </c>
      <c r="D734" s="15" t="s">
        <v>656</v>
      </c>
      <c r="E734" s="8" t="s">
        <v>654</v>
      </c>
      <c r="F734" s="8" t="s">
        <v>65</v>
      </c>
      <c r="G734" s="1">
        <v>1</v>
      </c>
      <c r="I734" s="1">
        <f>1809-21</f>
        <v>1788</v>
      </c>
      <c r="J734" t="s">
        <v>10</v>
      </c>
      <c r="K734" t="s">
        <v>12</v>
      </c>
      <c r="Q734">
        <v>5</v>
      </c>
      <c r="R734">
        <v>2</v>
      </c>
      <c r="T734" s="5">
        <f t="shared" si="26"/>
        <v>163.26</v>
      </c>
      <c r="U734" t="s">
        <v>648</v>
      </c>
      <c r="AQ734" s="7">
        <v>1</v>
      </c>
      <c r="BC734" t="s">
        <v>658</v>
      </c>
      <c r="BD734" s="7" t="s">
        <v>103</v>
      </c>
      <c r="BE734" t="s">
        <v>668</v>
      </c>
      <c r="BF734" s="1" t="s">
        <v>29</v>
      </c>
      <c r="BG734" s="1">
        <v>2</v>
      </c>
      <c r="BH734">
        <v>1</v>
      </c>
      <c r="BK734" s="1">
        <v>1</v>
      </c>
      <c r="BR734">
        <v>1</v>
      </c>
      <c r="CS734" s="7" t="s">
        <v>662</v>
      </c>
    </row>
    <row r="735" spans="1:98">
      <c r="A735" t="s">
        <v>7</v>
      </c>
      <c r="B735" t="s">
        <v>653</v>
      </c>
      <c r="T735" s="5"/>
      <c r="U735" s="9" t="s">
        <v>649</v>
      </c>
      <c r="AQ735" s="9">
        <v>1</v>
      </c>
      <c r="BC735" t="s">
        <v>657</v>
      </c>
      <c r="BD735" t="s">
        <v>81</v>
      </c>
      <c r="BE735" s="10" t="s">
        <v>70</v>
      </c>
      <c r="BF735" s="1" t="s">
        <v>73</v>
      </c>
      <c r="BG735" s="1">
        <v>2</v>
      </c>
      <c r="BH735">
        <v>1</v>
      </c>
      <c r="CS735" t="s">
        <v>111</v>
      </c>
      <c r="CT735" s="10" t="s">
        <v>660</v>
      </c>
    </row>
    <row r="736" spans="1:98">
      <c r="B736" t="s">
        <v>421</v>
      </c>
      <c r="C736" s="15" t="s">
        <v>422</v>
      </c>
      <c r="D736" s="15"/>
      <c r="E736" s="8"/>
      <c r="F736" s="8" t="s">
        <v>416</v>
      </c>
      <c r="G736" s="1">
        <v>1</v>
      </c>
      <c r="I736" s="1">
        <f>1809-18</f>
        <v>1791</v>
      </c>
      <c r="J736" t="s">
        <v>10</v>
      </c>
      <c r="K736" t="s">
        <v>12</v>
      </c>
      <c r="T736" s="5"/>
      <c r="U736" t="s">
        <v>423</v>
      </c>
      <c r="AQ736" s="6">
        <v>1</v>
      </c>
      <c r="AR736" s="7">
        <v>1</v>
      </c>
      <c r="BC736" t="s">
        <v>424</v>
      </c>
      <c r="BD736" s="7" t="s">
        <v>103</v>
      </c>
      <c r="BE736" t="s">
        <v>419</v>
      </c>
      <c r="BF736" s="1" t="s">
        <v>29</v>
      </c>
      <c r="BG736" s="1">
        <v>2</v>
      </c>
      <c r="BH736">
        <v>1</v>
      </c>
      <c r="BK736" s="1">
        <v>1</v>
      </c>
      <c r="BR736">
        <v>1</v>
      </c>
      <c r="CS736" s="7" t="s">
        <v>425</v>
      </c>
    </row>
    <row r="737" spans="2:98">
      <c r="B737" t="s">
        <v>1514</v>
      </c>
      <c r="C737" s="8" t="s">
        <v>1515</v>
      </c>
      <c r="D737" s="8" t="s">
        <v>1516</v>
      </c>
      <c r="E737" s="8" t="s">
        <v>1381</v>
      </c>
      <c r="F737" s="8" t="s">
        <v>115</v>
      </c>
      <c r="G737" s="1">
        <v>1</v>
      </c>
      <c r="I737" s="1">
        <f>1811-29</f>
        <v>1782</v>
      </c>
      <c r="J737" t="s">
        <v>10</v>
      </c>
      <c r="K737" t="s">
        <v>12</v>
      </c>
      <c r="Q737">
        <v>5</v>
      </c>
      <c r="R737">
        <v>3</v>
      </c>
      <c r="S737">
        <v>2</v>
      </c>
      <c r="T737" s="5">
        <f t="shared" ref="T737:T752" si="27">((Q737*316)+(R737*26.3)+(S737*2.2))/10</f>
        <v>166.33</v>
      </c>
      <c r="U737" s="9" t="s">
        <v>1513</v>
      </c>
      <c r="AR737" s="9">
        <v>1</v>
      </c>
      <c r="AS737" s="6">
        <v>1</v>
      </c>
      <c r="AT737" s="6">
        <v>1</v>
      </c>
      <c r="AU737" s="6">
        <v>1</v>
      </c>
      <c r="AV737" s="6">
        <v>1</v>
      </c>
      <c r="AW737" s="6">
        <v>1</v>
      </c>
      <c r="AX737" s="6">
        <v>1</v>
      </c>
      <c r="AY737" s="7">
        <v>1</v>
      </c>
      <c r="BC737" t="s">
        <v>1517</v>
      </c>
      <c r="BD737" s="7" t="s">
        <v>103</v>
      </c>
      <c r="BE737" t="s">
        <v>118</v>
      </c>
      <c r="BF737" s="1" t="s">
        <v>29</v>
      </c>
      <c r="BG737" s="1">
        <v>2</v>
      </c>
      <c r="BH737">
        <v>2</v>
      </c>
      <c r="BK737" s="1" t="s">
        <v>72</v>
      </c>
      <c r="BQ737">
        <v>1</v>
      </c>
      <c r="CL737">
        <v>1</v>
      </c>
      <c r="CS737" s="7" t="s">
        <v>1518</v>
      </c>
      <c r="CT737" s="9" t="s">
        <v>1519</v>
      </c>
    </row>
    <row r="738" spans="2:98">
      <c r="B738" t="s">
        <v>1931</v>
      </c>
      <c r="C738" s="2" t="s">
        <v>1932</v>
      </c>
      <c r="D738" s="8"/>
      <c r="E738" s="8" t="s">
        <v>1933</v>
      </c>
      <c r="F738" s="8" t="s">
        <v>247</v>
      </c>
      <c r="G738" s="1">
        <v>1</v>
      </c>
      <c r="I738" s="1">
        <f>1811-35</f>
        <v>1776</v>
      </c>
      <c r="J738" t="s">
        <v>69</v>
      </c>
      <c r="K738" t="s">
        <v>900</v>
      </c>
      <c r="Q738">
        <v>5</v>
      </c>
      <c r="R738">
        <v>2</v>
      </c>
      <c r="S738">
        <v>2</v>
      </c>
      <c r="T738" s="5">
        <f t="shared" si="27"/>
        <v>163.69999999999999</v>
      </c>
      <c r="U738" t="s">
        <v>1934</v>
      </c>
      <c r="AR738" s="6">
        <v>1</v>
      </c>
      <c r="AS738" s="7">
        <v>1</v>
      </c>
      <c r="BC738" t="s">
        <v>1935</v>
      </c>
      <c r="BD738" s="7" t="s">
        <v>280</v>
      </c>
      <c r="BE738" t="s">
        <v>1511</v>
      </c>
      <c r="BF738" s="1" t="s">
        <v>29</v>
      </c>
      <c r="BG738" s="1">
        <v>2</v>
      </c>
      <c r="BH738">
        <v>1</v>
      </c>
      <c r="BO738">
        <v>1</v>
      </c>
      <c r="BQ738">
        <v>1</v>
      </c>
      <c r="CN738">
        <v>1</v>
      </c>
      <c r="CS738" s="7" t="s">
        <v>1243</v>
      </c>
    </row>
    <row r="739" spans="2:98">
      <c r="B739" t="s">
        <v>2405</v>
      </c>
      <c r="C739" s="2" t="s">
        <v>932</v>
      </c>
      <c r="D739" s="2" t="s">
        <v>932</v>
      </c>
      <c r="E739" s="8" t="s">
        <v>481</v>
      </c>
      <c r="F739" s="8" t="s">
        <v>65</v>
      </c>
      <c r="G739" s="1">
        <v>1</v>
      </c>
      <c r="I739" s="1">
        <f>1817-39</f>
        <v>1778</v>
      </c>
      <c r="J739" t="s">
        <v>10</v>
      </c>
      <c r="K739" t="s">
        <v>12</v>
      </c>
      <c r="Q739">
        <v>5</v>
      </c>
      <c r="R739">
        <v>2</v>
      </c>
      <c r="S739">
        <v>2</v>
      </c>
      <c r="T739" s="5">
        <f t="shared" si="27"/>
        <v>163.69999999999999</v>
      </c>
      <c r="U739" t="s">
        <v>2404</v>
      </c>
      <c r="AS739" s="6">
        <v>1</v>
      </c>
      <c r="AT739" s="6">
        <v>1</v>
      </c>
      <c r="AU739" s="6">
        <v>1</v>
      </c>
      <c r="AV739" s="6">
        <v>1</v>
      </c>
      <c r="AW739" s="6">
        <v>1</v>
      </c>
      <c r="AX739" s="6">
        <v>1</v>
      </c>
      <c r="AY739" s="7">
        <v>1</v>
      </c>
      <c r="BC739" t="s">
        <v>2406</v>
      </c>
      <c r="BD739" s="7" t="s">
        <v>103</v>
      </c>
      <c r="BE739" t="s">
        <v>2407</v>
      </c>
      <c r="BF739" s="1" t="s">
        <v>29</v>
      </c>
      <c r="BG739" s="1">
        <v>2</v>
      </c>
      <c r="BH739">
        <v>2</v>
      </c>
      <c r="BO739" t="s">
        <v>72</v>
      </c>
      <c r="BQ739">
        <v>1</v>
      </c>
      <c r="CL739">
        <v>1</v>
      </c>
      <c r="CS739" s="7" t="s">
        <v>2408</v>
      </c>
    </row>
    <row r="740" spans="2:98">
      <c r="B740" t="s">
        <v>1876</v>
      </c>
      <c r="C740" s="8" t="s">
        <v>1877</v>
      </c>
      <c r="D740" s="8"/>
      <c r="E740" s="8" t="s">
        <v>1865</v>
      </c>
      <c r="F740" s="8" t="s">
        <v>247</v>
      </c>
      <c r="G740" s="1">
        <v>1</v>
      </c>
      <c r="I740" s="1">
        <f>1819-30</f>
        <v>1789</v>
      </c>
      <c r="J740" t="s">
        <v>10</v>
      </c>
      <c r="K740" t="s">
        <v>12</v>
      </c>
      <c r="Q740">
        <v>5</v>
      </c>
      <c r="R740">
        <v>1</v>
      </c>
      <c r="S740">
        <v>2</v>
      </c>
      <c r="T740" s="5">
        <f t="shared" si="27"/>
        <v>161.07</v>
      </c>
      <c r="U740" t="s">
        <v>1878</v>
      </c>
      <c r="AT740" s="6">
        <v>1</v>
      </c>
      <c r="AU740" s="6">
        <v>1</v>
      </c>
      <c r="AV740" s="6">
        <v>1</v>
      </c>
      <c r="AW740" s="6">
        <v>1</v>
      </c>
      <c r="AX740" s="6">
        <v>1</v>
      </c>
      <c r="AY740" s="6">
        <v>1</v>
      </c>
      <c r="AZ740" s="6">
        <v>1</v>
      </c>
      <c r="BA740" s="6">
        <v>1</v>
      </c>
      <c r="BB740" s="6">
        <v>1</v>
      </c>
      <c r="BC740">
        <v>1820</v>
      </c>
      <c r="BD740" t="s">
        <v>81</v>
      </c>
      <c r="BE740" t="s">
        <v>1854</v>
      </c>
      <c r="BF740" s="1" t="s">
        <v>73</v>
      </c>
      <c r="BG740" s="1">
        <v>3</v>
      </c>
      <c r="BH740">
        <v>1</v>
      </c>
      <c r="BO740">
        <v>1</v>
      </c>
      <c r="BQ740">
        <v>1</v>
      </c>
      <c r="CI740">
        <v>1</v>
      </c>
      <c r="CS740" t="s">
        <v>1879</v>
      </c>
    </row>
    <row r="741" spans="2:98">
      <c r="B741" t="s">
        <v>2449</v>
      </c>
      <c r="C741" s="8" t="s">
        <v>2450</v>
      </c>
      <c r="D741" s="8" t="s">
        <v>2450</v>
      </c>
      <c r="E741" s="8" t="s">
        <v>238</v>
      </c>
      <c r="F741" s="8" t="s">
        <v>65</v>
      </c>
      <c r="G741" s="1">
        <v>1</v>
      </c>
      <c r="I741" s="1">
        <f>1812-36</f>
        <v>1776</v>
      </c>
      <c r="J741" t="s">
        <v>69</v>
      </c>
      <c r="K741" t="s">
        <v>12</v>
      </c>
      <c r="T741" s="5"/>
      <c r="U741" s="9" t="s">
        <v>2448</v>
      </c>
      <c r="AT741" s="7">
        <v>1</v>
      </c>
      <c r="BC741" t="s">
        <v>1908</v>
      </c>
      <c r="BD741" s="7" t="s">
        <v>280</v>
      </c>
      <c r="BE741" t="s">
        <v>70</v>
      </c>
      <c r="BF741" s="1" t="s">
        <v>29</v>
      </c>
      <c r="BG741" s="1">
        <v>1</v>
      </c>
      <c r="BH741">
        <v>1</v>
      </c>
      <c r="BK741" s="1" t="s">
        <v>72</v>
      </c>
      <c r="BZ741">
        <v>1</v>
      </c>
      <c r="CN741">
        <v>1</v>
      </c>
      <c r="CS741" s="7" t="s">
        <v>1909</v>
      </c>
    </row>
    <row r="742" spans="2:98">
      <c r="B742" t="s">
        <v>1906</v>
      </c>
      <c r="C742" s="2" t="s">
        <v>1907</v>
      </c>
      <c r="D742" s="2" t="s">
        <v>1907</v>
      </c>
      <c r="E742" s="8" t="s">
        <v>238</v>
      </c>
      <c r="F742" s="8" t="s">
        <v>65</v>
      </c>
      <c r="G742" s="1">
        <v>1</v>
      </c>
      <c r="I742" s="1">
        <f>1812-22</f>
        <v>1790</v>
      </c>
      <c r="J742" t="s">
        <v>10</v>
      </c>
      <c r="K742" t="s">
        <v>12</v>
      </c>
      <c r="T742" s="5"/>
      <c r="U742" s="9" t="s">
        <v>1905</v>
      </c>
      <c r="AT742" s="7">
        <v>1</v>
      </c>
      <c r="BC742" t="s">
        <v>1908</v>
      </c>
      <c r="BD742" s="7" t="s">
        <v>280</v>
      </c>
      <c r="BE742" t="s">
        <v>70</v>
      </c>
      <c r="BF742" s="1" t="s">
        <v>29</v>
      </c>
      <c r="BG742" s="1">
        <v>1</v>
      </c>
      <c r="BH742">
        <v>1</v>
      </c>
      <c r="BK742" s="1" t="s">
        <v>72</v>
      </c>
      <c r="BZ742">
        <v>1</v>
      </c>
      <c r="CN742">
        <v>1</v>
      </c>
      <c r="CS742" s="7" t="s">
        <v>1909</v>
      </c>
    </row>
    <row r="743" spans="2:98">
      <c r="B743" t="s">
        <v>386</v>
      </c>
      <c r="C743" s="8" t="s">
        <v>387</v>
      </c>
      <c r="E743" s="8" t="s">
        <v>388</v>
      </c>
      <c r="F743" s="8" t="s">
        <v>247</v>
      </c>
      <c r="G743" s="1">
        <v>1</v>
      </c>
      <c r="I743" s="1">
        <f>1817-26</f>
        <v>1791</v>
      </c>
      <c r="J743" t="s">
        <v>10</v>
      </c>
      <c r="K743" t="s">
        <v>12</v>
      </c>
      <c r="Q743">
        <v>5</v>
      </c>
      <c r="R743">
        <v>3</v>
      </c>
      <c r="S743">
        <v>1</v>
      </c>
      <c r="T743" s="5">
        <f t="shared" si="27"/>
        <v>166.11</v>
      </c>
      <c r="U743" t="s">
        <v>385</v>
      </c>
      <c r="AT743" s="6">
        <v>1</v>
      </c>
      <c r="AU743" s="6">
        <v>1</v>
      </c>
      <c r="AV743" s="6">
        <v>1</v>
      </c>
      <c r="AW743" s="6">
        <v>1</v>
      </c>
      <c r="AX743" s="6">
        <v>1</v>
      </c>
      <c r="AY743" s="6">
        <v>1</v>
      </c>
      <c r="BC743">
        <v>1817</v>
      </c>
      <c r="BD743" t="s">
        <v>81</v>
      </c>
      <c r="BE743" t="s">
        <v>389</v>
      </c>
      <c r="BF743" s="1" t="s">
        <v>73</v>
      </c>
      <c r="BG743" s="1">
        <v>1</v>
      </c>
      <c r="BH743">
        <v>1</v>
      </c>
      <c r="BK743" s="1" t="s">
        <v>72</v>
      </c>
      <c r="BW743">
        <v>1</v>
      </c>
      <c r="CQ743">
        <v>1</v>
      </c>
      <c r="CS743" t="s">
        <v>390</v>
      </c>
    </row>
    <row r="744" spans="2:98">
      <c r="B744" t="s">
        <v>391</v>
      </c>
      <c r="C744" s="8" t="s">
        <v>392</v>
      </c>
      <c r="E744" s="8" t="s">
        <v>393</v>
      </c>
      <c r="F744" s="8" t="s">
        <v>247</v>
      </c>
      <c r="G744" s="1">
        <v>1</v>
      </c>
      <c r="I744" s="1">
        <f>1817-29</f>
        <v>1788</v>
      </c>
      <c r="J744" t="s">
        <v>10</v>
      </c>
      <c r="K744" t="s">
        <v>12</v>
      </c>
      <c r="Q744">
        <v>5</v>
      </c>
      <c r="R744">
        <v>3</v>
      </c>
      <c r="S744">
        <v>1</v>
      </c>
      <c r="T744" s="5">
        <f t="shared" si="27"/>
        <v>166.11</v>
      </c>
      <c r="U744" t="s">
        <v>394</v>
      </c>
      <c r="AT744" s="6">
        <v>1</v>
      </c>
      <c r="AU744" s="6">
        <v>1</v>
      </c>
      <c r="AV744" s="6">
        <v>1</v>
      </c>
      <c r="AW744" s="6">
        <v>1</v>
      </c>
      <c r="AX744" s="6">
        <v>1</v>
      </c>
      <c r="AY744" s="6">
        <v>1</v>
      </c>
      <c r="BC744">
        <v>1817</v>
      </c>
      <c r="BD744" t="s">
        <v>81</v>
      </c>
      <c r="BE744" t="s">
        <v>389</v>
      </c>
      <c r="BF744" s="1" t="s">
        <v>73</v>
      </c>
      <c r="BG744" s="1">
        <v>1</v>
      </c>
      <c r="BH744">
        <v>1</v>
      </c>
      <c r="BK744" s="1" t="s">
        <v>72</v>
      </c>
      <c r="BW744">
        <v>1</v>
      </c>
      <c r="CQ744">
        <v>1</v>
      </c>
      <c r="CS744" t="s">
        <v>390</v>
      </c>
    </row>
    <row r="745" spans="2:98">
      <c r="B745" t="s">
        <v>2692</v>
      </c>
      <c r="C745" s="2" t="s">
        <v>1069</v>
      </c>
      <c r="E745" s="8" t="s">
        <v>1117</v>
      </c>
      <c r="F745" s="8" t="s">
        <v>247</v>
      </c>
      <c r="G745" s="1">
        <v>1</v>
      </c>
      <c r="I745" s="1">
        <f>1814-20</f>
        <v>1794</v>
      </c>
      <c r="J745" t="s">
        <v>10</v>
      </c>
      <c r="K745" t="s">
        <v>12</v>
      </c>
      <c r="Q745">
        <v>5</v>
      </c>
      <c r="R745">
        <v>4</v>
      </c>
      <c r="S745">
        <v>1</v>
      </c>
      <c r="T745" s="5">
        <f t="shared" si="27"/>
        <v>168.74</v>
      </c>
      <c r="U745" t="s">
        <v>2693</v>
      </c>
      <c r="AT745" s="6">
        <v>1</v>
      </c>
      <c r="AU745" s="6">
        <v>1</v>
      </c>
      <c r="AV745" s="6">
        <v>1</v>
      </c>
      <c r="AW745" s="6">
        <v>1</v>
      </c>
      <c r="BC745">
        <v>1815</v>
      </c>
      <c r="BD745" t="s">
        <v>81</v>
      </c>
      <c r="BE745" s="10" t="s">
        <v>999</v>
      </c>
      <c r="BF745" s="1" t="s">
        <v>29</v>
      </c>
      <c r="BG745" s="1">
        <v>2</v>
      </c>
      <c r="BH745">
        <v>4</v>
      </c>
      <c r="BI745">
        <v>1</v>
      </c>
      <c r="BJ745">
        <v>1</v>
      </c>
      <c r="BK745" s="1">
        <v>1</v>
      </c>
      <c r="BQ745">
        <v>1</v>
      </c>
      <c r="CC745">
        <v>1</v>
      </c>
      <c r="CL745" s="10">
        <v>1</v>
      </c>
      <c r="CS745" s="10" t="s">
        <v>2694</v>
      </c>
    </row>
    <row r="746" spans="2:98">
      <c r="B746" t="s">
        <v>2695</v>
      </c>
      <c r="C746" s="2" t="s">
        <v>1616</v>
      </c>
      <c r="E746" s="8"/>
      <c r="F746" s="8" t="s">
        <v>65</v>
      </c>
      <c r="G746" s="1">
        <v>1</v>
      </c>
      <c r="I746" s="1">
        <f>1814-26</f>
        <v>1788</v>
      </c>
      <c r="J746" t="s">
        <v>10</v>
      </c>
      <c r="K746" t="s">
        <v>1736</v>
      </c>
      <c r="Q746">
        <v>5</v>
      </c>
      <c r="R746">
        <v>2</v>
      </c>
      <c r="S746">
        <v>2</v>
      </c>
      <c r="T746" s="5">
        <f t="shared" si="27"/>
        <v>163.69999999999999</v>
      </c>
      <c r="U746" t="s">
        <v>2696</v>
      </c>
      <c r="AU746" s="6">
        <v>1</v>
      </c>
      <c r="AV746" s="6">
        <v>1</v>
      </c>
      <c r="AW746" s="6">
        <v>1</v>
      </c>
      <c r="BC746">
        <v>1815</v>
      </c>
      <c r="BD746" t="s">
        <v>81</v>
      </c>
      <c r="BE746" s="10" t="s">
        <v>999</v>
      </c>
      <c r="BF746" s="1" t="s">
        <v>29</v>
      </c>
      <c r="BG746" s="1">
        <v>2</v>
      </c>
      <c r="BH746">
        <v>3</v>
      </c>
      <c r="BI746">
        <v>1</v>
      </c>
      <c r="BJ746">
        <v>1</v>
      </c>
      <c r="BK746" s="1">
        <v>1</v>
      </c>
      <c r="BQ746">
        <v>1</v>
      </c>
      <c r="CC746">
        <v>1</v>
      </c>
      <c r="CL746" s="10">
        <v>1</v>
      </c>
      <c r="CS746" s="10" t="s">
        <v>2697</v>
      </c>
    </row>
    <row r="747" spans="2:98">
      <c r="B747" t="s">
        <v>2488</v>
      </c>
      <c r="C747" s="2" t="s">
        <v>2489</v>
      </c>
      <c r="D747" s="2" t="s">
        <v>2489</v>
      </c>
      <c r="E747" s="8" t="s">
        <v>1630</v>
      </c>
      <c r="F747" s="8" t="s">
        <v>65</v>
      </c>
      <c r="G747" s="1">
        <v>1</v>
      </c>
      <c r="I747" s="1">
        <f>1820-26</f>
        <v>1794</v>
      </c>
      <c r="J747" t="s">
        <v>69</v>
      </c>
      <c r="K747" t="s">
        <v>12</v>
      </c>
      <c r="N747">
        <v>1</v>
      </c>
      <c r="Q747">
        <v>5</v>
      </c>
      <c r="R747">
        <v>3</v>
      </c>
      <c r="S747">
        <v>2</v>
      </c>
      <c r="T747" s="5">
        <f t="shared" si="27"/>
        <v>166.33</v>
      </c>
      <c r="U747" t="s">
        <v>2490</v>
      </c>
      <c r="AT747" s="14"/>
      <c r="AU747" s="6">
        <v>1</v>
      </c>
      <c r="AV747" s="6">
        <v>1</v>
      </c>
      <c r="AW747" s="6">
        <v>1</v>
      </c>
      <c r="AX747" s="6">
        <v>1</v>
      </c>
      <c r="AY747" s="6">
        <v>1</v>
      </c>
      <c r="AZ747" s="6">
        <v>1</v>
      </c>
      <c r="BA747" s="6">
        <v>1</v>
      </c>
      <c r="BB747" s="6">
        <v>1</v>
      </c>
      <c r="BC747">
        <v>1820</v>
      </c>
      <c r="BD747" t="s">
        <v>81</v>
      </c>
      <c r="BE747" t="s">
        <v>62</v>
      </c>
      <c r="BF747" s="1" t="s">
        <v>73</v>
      </c>
      <c r="BG747" s="1">
        <v>3</v>
      </c>
      <c r="BH747">
        <v>1</v>
      </c>
      <c r="BK747" s="1">
        <v>1</v>
      </c>
      <c r="BL747">
        <v>1</v>
      </c>
      <c r="BQ747">
        <v>1</v>
      </c>
      <c r="CF747">
        <v>1</v>
      </c>
      <c r="CQ747">
        <v>1</v>
      </c>
      <c r="CS747" t="s">
        <v>2483</v>
      </c>
    </row>
    <row r="748" spans="2:98">
      <c r="B748" t="s">
        <v>2505</v>
      </c>
      <c r="C748" s="2" t="s">
        <v>2506</v>
      </c>
      <c r="D748" s="2"/>
      <c r="E748" s="8" t="s">
        <v>1630</v>
      </c>
      <c r="F748" s="8" t="s">
        <v>65</v>
      </c>
      <c r="G748" s="1">
        <v>1</v>
      </c>
      <c r="I748" s="1">
        <f>1820-31</f>
        <v>1789</v>
      </c>
      <c r="J748" t="s">
        <v>10</v>
      </c>
      <c r="K748" t="s">
        <v>12</v>
      </c>
      <c r="Q748">
        <v>5</v>
      </c>
      <c r="R748">
        <v>2</v>
      </c>
      <c r="S748">
        <v>1</v>
      </c>
      <c r="T748" s="5">
        <f t="shared" si="27"/>
        <v>163.47999999999999</v>
      </c>
      <c r="U748" t="s">
        <v>2507</v>
      </c>
      <c r="AT748" s="14"/>
      <c r="AU748" s="6">
        <v>1</v>
      </c>
      <c r="AV748" s="6">
        <v>1</v>
      </c>
      <c r="AW748" s="6">
        <v>1</v>
      </c>
      <c r="AX748" s="6">
        <v>1</v>
      </c>
      <c r="AY748" s="6">
        <v>1</v>
      </c>
      <c r="AZ748" s="6">
        <v>1</v>
      </c>
      <c r="BA748" s="6">
        <v>1</v>
      </c>
      <c r="BB748" s="6">
        <v>1</v>
      </c>
      <c r="BC748">
        <v>1820</v>
      </c>
      <c r="BD748" t="s">
        <v>81</v>
      </c>
      <c r="BE748" t="s">
        <v>62</v>
      </c>
      <c r="BF748" s="1" t="s">
        <v>73</v>
      </c>
      <c r="BG748" s="1">
        <v>3</v>
      </c>
      <c r="BH748">
        <v>1</v>
      </c>
      <c r="BK748" s="1">
        <v>1</v>
      </c>
      <c r="BL748">
        <v>1</v>
      </c>
      <c r="BQ748">
        <v>1</v>
      </c>
      <c r="CF748">
        <v>1</v>
      </c>
      <c r="CQ748">
        <v>1</v>
      </c>
      <c r="CS748" t="s">
        <v>2483</v>
      </c>
    </row>
    <row r="749" spans="2:98">
      <c r="B749" t="s">
        <v>1883</v>
      </c>
      <c r="C749" s="8" t="s">
        <v>1884</v>
      </c>
      <c r="E749" s="8" t="s">
        <v>1885</v>
      </c>
      <c r="F749" s="8" t="s">
        <v>805</v>
      </c>
      <c r="G749" s="1">
        <v>1</v>
      </c>
      <c r="I749" s="1">
        <f>1819-25</f>
        <v>1794</v>
      </c>
      <c r="J749" t="s">
        <v>10</v>
      </c>
      <c r="K749" t="s">
        <v>12</v>
      </c>
      <c r="Q749">
        <v>5</v>
      </c>
      <c r="R749">
        <v>4</v>
      </c>
      <c r="S749">
        <v>2</v>
      </c>
      <c r="T749" s="5">
        <f t="shared" si="27"/>
        <v>168.96</v>
      </c>
      <c r="U749" t="s">
        <v>1886</v>
      </c>
      <c r="AU749" s="6">
        <v>1</v>
      </c>
      <c r="AV749" s="6">
        <v>1</v>
      </c>
      <c r="AW749" s="6">
        <v>1</v>
      </c>
      <c r="AX749" s="6">
        <v>1</v>
      </c>
      <c r="AY749" s="6">
        <v>1</v>
      </c>
      <c r="AZ749" s="6">
        <v>1</v>
      </c>
      <c r="BA749" s="6">
        <v>1</v>
      </c>
      <c r="BB749" s="6">
        <v>1</v>
      </c>
      <c r="BC749">
        <v>1820</v>
      </c>
      <c r="BD749" t="s">
        <v>81</v>
      </c>
      <c r="BE749" t="s">
        <v>1854</v>
      </c>
      <c r="BF749" s="1" t="s">
        <v>73</v>
      </c>
      <c r="BG749" s="1">
        <v>3</v>
      </c>
      <c r="BH749">
        <v>1</v>
      </c>
      <c r="BK749" s="1">
        <v>1</v>
      </c>
      <c r="BQ749">
        <v>1</v>
      </c>
      <c r="CF749">
        <v>1</v>
      </c>
      <c r="CQ749">
        <v>1</v>
      </c>
      <c r="CS749" t="s">
        <v>1887</v>
      </c>
    </row>
    <row r="750" spans="2:98">
      <c r="B750" t="s">
        <v>1272</v>
      </c>
      <c r="C750" s="2" t="s">
        <v>1273</v>
      </c>
      <c r="D750" s="2" t="s">
        <v>1273</v>
      </c>
      <c r="E750" s="8"/>
      <c r="F750" s="8" t="s">
        <v>65</v>
      </c>
      <c r="G750" s="1">
        <v>1</v>
      </c>
      <c r="I750" s="1">
        <f>1815-25</f>
        <v>1790</v>
      </c>
      <c r="J750" t="s">
        <v>10</v>
      </c>
      <c r="K750" t="s">
        <v>12</v>
      </c>
      <c r="Q750">
        <v>5</v>
      </c>
      <c r="R750">
        <v>3</v>
      </c>
      <c r="T750" s="5">
        <f t="shared" si="27"/>
        <v>165.89000000000001</v>
      </c>
      <c r="U750" t="s">
        <v>1274</v>
      </c>
      <c r="AU750" s="6">
        <v>1</v>
      </c>
      <c r="AV750" s="6">
        <v>1</v>
      </c>
      <c r="AW750" s="6">
        <v>1</v>
      </c>
      <c r="AX750" s="6">
        <v>1</v>
      </c>
      <c r="BC750">
        <v>1816</v>
      </c>
      <c r="BD750" t="s">
        <v>81</v>
      </c>
      <c r="BE750" s="10" t="s">
        <v>1275</v>
      </c>
      <c r="BF750" s="1" t="s">
        <v>73</v>
      </c>
      <c r="BG750" s="1">
        <v>2</v>
      </c>
      <c r="BH750">
        <v>2</v>
      </c>
      <c r="BI750">
        <v>1</v>
      </c>
      <c r="BK750" s="1">
        <v>1</v>
      </c>
      <c r="BV750">
        <v>1</v>
      </c>
      <c r="CC750">
        <v>1</v>
      </c>
      <c r="CL750" s="10">
        <v>1</v>
      </c>
      <c r="CS750" s="10" t="s">
        <v>1276</v>
      </c>
    </row>
    <row r="751" spans="2:98">
      <c r="B751" t="s">
        <v>1198</v>
      </c>
      <c r="C751" s="2" t="s">
        <v>1199</v>
      </c>
      <c r="D751" s="2" t="s">
        <v>1199</v>
      </c>
      <c r="E751" s="8" t="s">
        <v>1200</v>
      </c>
      <c r="F751" s="8" t="s">
        <v>218</v>
      </c>
      <c r="G751" s="1">
        <v>1</v>
      </c>
      <c r="I751" s="1">
        <f>1819-28</f>
        <v>1791</v>
      </c>
      <c r="J751" t="s">
        <v>10</v>
      </c>
      <c r="K751" t="s">
        <v>12</v>
      </c>
      <c r="Q751">
        <v>5</v>
      </c>
      <c r="R751">
        <v>7</v>
      </c>
      <c r="S751">
        <v>1</v>
      </c>
      <c r="T751" s="5">
        <f t="shared" si="27"/>
        <v>176.63</v>
      </c>
      <c r="U751" t="s">
        <v>1201</v>
      </c>
      <c r="AQ751" s="9"/>
      <c r="AR751" s="9"/>
      <c r="AS751" s="9"/>
      <c r="AT751" s="9"/>
      <c r="AU751" s="6">
        <v>1</v>
      </c>
      <c r="AV751" s="6">
        <v>1</v>
      </c>
      <c r="AW751" s="6">
        <v>1</v>
      </c>
      <c r="AX751" s="6">
        <v>1</v>
      </c>
      <c r="AY751" s="6">
        <v>1</v>
      </c>
      <c r="AZ751" s="6">
        <v>1</v>
      </c>
      <c r="BA751" s="6">
        <v>1</v>
      </c>
      <c r="BB751" s="6">
        <v>1</v>
      </c>
      <c r="BC751">
        <v>1820</v>
      </c>
      <c r="BD751" t="s">
        <v>81</v>
      </c>
      <c r="BE751" t="s">
        <v>1202</v>
      </c>
      <c r="BF751" s="1" t="s">
        <v>73</v>
      </c>
      <c r="BG751" s="1">
        <v>2</v>
      </c>
      <c r="BH751">
        <v>2</v>
      </c>
      <c r="BK751" s="1" t="s">
        <v>72</v>
      </c>
      <c r="BQ751">
        <v>1</v>
      </c>
      <c r="CF751">
        <v>1</v>
      </c>
      <c r="CL751">
        <v>1</v>
      </c>
      <c r="CS751" t="s">
        <v>1203</v>
      </c>
      <c r="CT751" s="9" t="s">
        <v>1204</v>
      </c>
    </row>
    <row r="752" spans="2:98">
      <c r="B752" t="s">
        <v>763</v>
      </c>
      <c r="C752" s="15" t="s">
        <v>764</v>
      </c>
      <c r="E752" s="8" t="s">
        <v>765</v>
      </c>
      <c r="F752" s="8" t="s">
        <v>247</v>
      </c>
      <c r="G752" s="1">
        <v>1</v>
      </c>
      <c r="I752" s="1">
        <f>1814-28</f>
        <v>1786</v>
      </c>
      <c r="J752" t="s">
        <v>10</v>
      </c>
      <c r="K752" t="s">
        <v>12</v>
      </c>
      <c r="Q752">
        <v>5</v>
      </c>
      <c r="R752">
        <v>3</v>
      </c>
      <c r="S752">
        <v>2</v>
      </c>
      <c r="T752" s="5">
        <f t="shared" si="27"/>
        <v>166.33</v>
      </c>
      <c r="U752" t="s">
        <v>766</v>
      </c>
      <c r="AV752" s="6">
        <v>1</v>
      </c>
      <c r="BC752">
        <v>1814</v>
      </c>
      <c r="BD752" t="s">
        <v>81</v>
      </c>
      <c r="BE752" t="s">
        <v>767</v>
      </c>
      <c r="BF752" s="1" t="s">
        <v>73</v>
      </c>
      <c r="BG752" s="1">
        <v>1</v>
      </c>
      <c r="BH752">
        <v>1</v>
      </c>
      <c r="BK752" s="1">
        <v>1</v>
      </c>
      <c r="BW752">
        <v>1</v>
      </c>
      <c r="CS752" t="s">
        <v>768</v>
      </c>
    </row>
    <row r="753" spans="2:98">
      <c r="B753" t="s">
        <v>1267</v>
      </c>
      <c r="C753" s="2" t="s">
        <v>1266</v>
      </c>
      <c r="E753" s="8"/>
      <c r="F753" s="8" t="s">
        <v>218</v>
      </c>
      <c r="G753" s="1">
        <v>1</v>
      </c>
      <c r="I753" s="1">
        <f>1815-27</f>
        <v>1788</v>
      </c>
      <c r="J753" t="s">
        <v>10</v>
      </c>
      <c r="T753" s="5"/>
      <c r="U753" s="9" t="s">
        <v>1265</v>
      </c>
      <c r="AV753" s="9">
        <v>1</v>
      </c>
      <c r="AW753" s="6">
        <v>1</v>
      </c>
      <c r="AX753" s="7">
        <v>1</v>
      </c>
      <c r="BC753" t="s">
        <v>1262</v>
      </c>
      <c r="BD753" s="7" t="s">
        <v>103</v>
      </c>
      <c r="BE753" t="s">
        <v>1263</v>
      </c>
      <c r="BF753" s="1" t="s">
        <v>29</v>
      </c>
      <c r="BG753" s="1">
        <v>1</v>
      </c>
      <c r="BH753">
        <v>2</v>
      </c>
      <c r="BO753">
        <v>1</v>
      </c>
      <c r="BP753">
        <v>1</v>
      </c>
      <c r="CC753">
        <v>1</v>
      </c>
      <c r="CJ753">
        <v>1</v>
      </c>
      <c r="CS753" s="7" t="s">
        <v>1000</v>
      </c>
      <c r="CT753" s="9" t="s">
        <v>1264</v>
      </c>
    </row>
    <row r="754" spans="2:98">
      <c r="B754" t="s">
        <v>1304</v>
      </c>
      <c r="C754" s="2" t="s">
        <v>1305</v>
      </c>
      <c r="D754" s="2" t="s">
        <v>1305</v>
      </c>
      <c r="E754" s="8" t="s">
        <v>1306</v>
      </c>
      <c r="F754" s="8" t="s">
        <v>65</v>
      </c>
      <c r="G754" s="1">
        <v>1</v>
      </c>
      <c r="I754" s="1">
        <f>1817-43</f>
        <v>1774</v>
      </c>
      <c r="J754" t="s">
        <v>69</v>
      </c>
      <c r="K754" t="s">
        <v>12</v>
      </c>
      <c r="N754">
        <v>1</v>
      </c>
      <c r="Q754">
        <v>5</v>
      </c>
      <c r="R754">
        <v>1</v>
      </c>
      <c r="T754" s="5">
        <f t="shared" ref="T754:T765" si="28">((Q754*316)+(R754*26.3)+(S754*2.2))/10</f>
        <v>160.63</v>
      </c>
      <c r="U754" t="s">
        <v>1303</v>
      </c>
      <c r="AV754" s="6">
        <v>1</v>
      </c>
      <c r="AW754" s="6">
        <v>1</v>
      </c>
      <c r="AX754" s="6">
        <v>1</v>
      </c>
      <c r="AY754" s="6">
        <v>1</v>
      </c>
      <c r="AZ754" s="6">
        <v>1</v>
      </c>
      <c r="BA754" s="6">
        <v>1</v>
      </c>
      <c r="BB754" s="6">
        <v>1</v>
      </c>
      <c r="BC754">
        <v>1820</v>
      </c>
      <c r="BD754" t="s">
        <v>81</v>
      </c>
      <c r="BE754" t="s">
        <v>1307</v>
      </c>
      <c r="BF754" s="1" t="s">
        <v>73</v>
      </c>
      <c r="BG754" s="1">
        <v>5</v>
      </c>
      <c r="BH754">
        <v>3</v>
      </c>
      <c r="BI754">
        <v>1</v>
      </c>
      <c r="BK754" s="29" t="s">
        <v>72</v>
      </c>
      <c r="BQ754">
        <v>1</v>
      </c>
      <c r="CL754">
        <v>1</v>
      </c>
      <c r="CS754" t="s">
        <v>1308</v>
      </c>
      <c r="CT754" s="9" t="s">
        <v>1309</v>
      </c>
    </row>
    <row r="755" spans="2:98">
      <c r="B755" t="s">
        <v>1143</v>
      </c>
      <c r="C755" s="2" t="s">
        <v>1144</v>
      </c>
      <c r="D755" s="2" t="s">
        <v>1144</v>
      </c>
      <c r="E755" s="8" t="s">
        <v>1145</v>
      </c>
      <c r="F755" s="8" t="s">
        <v>218</v>
      </c>
      <c r="G755" s="1">
        <v>1</v>
      </c>
      <c r="I755" s="1">
        <f>1817-24</f>
        <v>1793</v>
      </c>
      <c r="J755" t="s">
        <v>10</v>
      </c>
      <c r="K755" t="s">
        <v>1146</v>
      </c>
      <c r="Q755">
        <v>5</v>
      </c>
      <c r="R755">
        <v>2</v>
      </c>
      <c r="S755">
        <v>2</v>
      </c>
      <c r="T755" s="5">
        <f t="shared" si="28"/>
        <v>163.69999999999999</v>
      </c>
      <c r="U755" t="s">
        <v>1271</v>
      </c>
      <c r="AV755" s="6">
        <v>1</v>
      </c>
      <c r="AW755" s="6">
        <v>1</v>
      </c>
      <c r="AX755" s="6">
        <v>1</v>
      </c>
      <c r="AY755" s="6">
        <v>1</v>
      </c>
      <c r="AZ755" s="6">
        <v>1</v>
      </c>
      <c r="BA755" s="6">
        <v>1</v>
      </c>
      <c r="BB755" s="6">
        <v>1</v>
      </c>
      <c r="BC755">
        <v>1820</v>
      </c>
      <c r="BD755" t="s">
        <v>81</v>
      </c>
      <c r="BE755" t="s">
        <v>1147</v>
      </c>
      <c r="BF755" s="1" t="s">
        <v>73</v>
      </c>
      <c r="BG755" s="1">
        <v>5</v>
      </c>
      <c r="BH755">
        <v>2</v>
      </c>
      <c r="BK755" s="1">
        <v>1</v>
      </c>
      <c r="BQ755">
        <v>1</v>
      </c>
      <c r="CL755">
        <v>1</v>
      </c>
      <c r="CS755" t="s">
        <v>1148</v>
      </c>
    </row>
    <row r="756" spans="2:98">
      <c r="B756" t="s">
        <v>1298</v>
      </c>
      <c r="C756" s="2" t="s">
        <v>1299</v>
      </c>
      <c r="D756" s="15"/>
      <c r="E756" s="8" t="s">
        <v>388</v>
      </c>
      <c r="F756" s="8" t="s">
        <v>247</v>
      </c>
      <c r="G756" s="1">
        <v>1</v>
      </c>
      <c r="I756" s="1">
        <f>1817-20</f>
        <v>1797</v>
      </c>
      <c r="J756" t="s">
        <v>10</v>
      </c>
      <c r="K756" t="s">
        <v>12</v>
      </c>
      <c r="Q756">
        <v>5</v>
      </c>
      <c r="R756">
        <v>3</v>
      </c>
      <c r="S756">
        <v>3</v>
      </c>
      <c r="T756" s="5">
        <f t="shared" si="28"/>
        <v>166.55</v>
      </c>
      <c r="U756" t="s">
        <v>1300</v>
      </c>
      <c r="AV756" s="6">
        <v>1</v>
      </c>
      <c r="AW756" s="6">
        <v>1</v>
      </c>
      <c r="AX756" s="6">
        <v>1</v>
      </c>
      <c r="AY756" s="6">
        <v>1</v>
      </c>
      <c r="AZ756" s="6">
        <v>1</v>
      </c>
      <c r="BA756" s="6">
        <v>1</v>
      </c>
      <c r="BB756" s="6">
        <v>1</v>
      </c>
      <c r="BC756">
        <v>1820</v>
      </c>
      <c r="BD756" t="s">
        <v>81</v>
      </c>
      <c r="BE756" t="s">
        <v>1301</v>
      </c>
      <c r="BF756" s="1" t="s">
        <v>73</v>
      </c>
      <c r="BG756" s="1">
        <v>5</v>
      </c>
      <c r="BH756">
        <v>1</v>
      </c>
      <c r="BI756">
        <v>1</v>
      </c>
      <c r="BJ756">
        <v>1</v>
      </c>
      <c r="BK756" s="1">
        <v>1</v>
      </c>
      <c r="BQ756">
        <v>1</v>
      </c>
      <c r="CI756">
        <v>1</v>
      </c>
      <c r="CS756" t="s">
        <v>1302</v>
      </c>
    </row>
    <row r="757" spans="2:98">
      <c r="B757" t="s">
        <v>769</v>
      </c>
      <c r="C757" s="15" t="s">
        <v>770</v>
      </c>
      <c r="E757" s="8"/>
      <c r="F757" s="8" t="s">
        <v>247</v>
      </c>
      <c r="G757" s="1">
        <v>1</v>
      </c>
      <c r="I757" s="1">
        <f>1814-25</f>
        <v>1789</v>
      </c>
      <c r="J757" t="s">
        <v>69</v>
      </c>
      <c r="K757" t="s">
        <v>771</v>
      </c>
      <c r="Q757">
        <v>5</v>
      </c>
      <c r="R757">
        <v>3</v>
      </c>
      <c r="S757">
        <v>1</v>
      </c>
      <c r="T757" s="5">
        <f t="shared" si="28"/>
        <v>166.11</v>
      </c>
      <c r="U757" t="s">
        <v>772</v>
      </c>
      <c r="AV757" s="6">
        <v>1</v>
      </c>
      <c r="BC757">
        <v>1814</v>
      </c>
      <c r="BD757" t="s">
        <v>81</v>
      </c>
      <c r="BE757" t="s">
        <v>773</v>
      </c>
      <c r="BF757" s="1" t="s">
        <v>73</v>
      </c>
      <c r="BG757" s="1">
        <v>1</v>
      </c>
      <c r="BH757">
        <v>1</v>
      </c>
      <c r="BK757" s="1">
        <v>1</v>
      </c>
      <c r="BQ757">
        <v>1</v>
      </c>
      <c r="CS757" t="s">
        <v>774</v>
      </c>
    </row>
    <row r="758" spans="2:98">
      <c r="B758" t="s">
        <v>395</v>
      </c>
      <c r="C758" s="8" t="s">
        <v>396</v>
      </c>
      <c r="E758" s="8" t="s">
        <v>397</v>
      </c>
      <c r="F758" s="8" t="s">
        <v>247</v>
      </c>
      <c r="G758" s="1">
        <v>1</v>
      </c>
      <c r="I758" s="1">
        <f>1819-26</f>
        <v>1793</v>
      </c>
      <c r="J758" t="s">
        <v>10</v>
      </c>
      <c r="K758" t="s">
        <v>12</v>
      </c>
      <c r="Q758">
        <v>5</v>
      </c>
      <c r="R758">
        <v>1</v>
      </c>
      <c r="S758">
        <v>2</v>
      </c>
      <c r="T758" s="5">
        <f t="shared" si="28"/>
        <v>161.07</v>
      </c>
      <c r="U758" t="s">
        <v>398</v>
      </c>
      <c r="AV758" s="6">
        <v>1</v>
      </c>
      <c r="AW758" s="6">
        <v>1</v>
      </c>
      <c r="AX758" s="6">
        <v>1</v>
      </c>
      <c r="AY758" s="6">
        <v>1</v>
      </c>
      <c r="BC758">
        <v>1819</v>
      </c>
      <c r="BD758" t="s">
        <v>81</v>
      </c>
      <c r="BE758" t="s">
        <v>399</v>
      </c>
      <c r="BF758" s="1" t="s">
        <v>73</v>
      </c>
      <c r="BG758" s="1">
        <v>1</v>
      </c>
      <c r="BH758">
        <v>1</v>
      </c>
      <c r="BK758" s="1">
        <v>1</v>
      </c>
      <c r="BW758">
        <v>1</v>
      </c>
      <c r="CS758" t="s">
        <v>400</v>
      </c>
    </row>
    <row r="759" spans="2:98">
      <c r="B759" t="s">
        <v>757</v>
      </c>
      <c r="C759" s="8" t="s">
        <v>758</v>
      </c>
      <c r="E759" s="8" t="s">
        <v>759</v>
      </c>
      <c r="F759" s="8" t="s">
        <v>247</v>
      </c>
      <c r="G759" s="1">
        <v>1</v>
      </c>
      <c r="I759" s="1">
        <f>1817-28</f>
        <v>1789</v>
      </c>
      <c r="J759" t="s">
        <v>10</v>
      </c>
      <c r="K759" t="s">
        <v>12</v>
      </c>
      <c r="Q759">
        <v>5</v>
      </c>
      <c r="R759">
        <v>3</v>
      </c>
      <c r="S759">
        <v>2</v>
      </c>
      <c r="T759" s="5">
        <f t="shared" si="28"/>
        <v>166.33</v>
      </c>
      <c r="U759" t="s">
        <v>760</v>
      </c>
      <c r="AV759" s="6">
        <v>1</v>
      </c>
      <c r="AW759" s="6">
        <v>1</v>
      </c>
      <c r="AX759" s="6">
        <v>1</v>
      </c>
      <c r="AY759" s="6">
        <v>1</v>
      </c>
      <c r="BC759">
        <v>1817</v>
      </c>
      <c r="BD759" t="s">
        <v>81</v>
      </c>
      <c r="BE759" t="s">
        <v>761</v>
      </c>
      <c r="BF759" s="1" t="s">
        <v>73</v>
      </c>
      <c r="BG759" s="1">
        <v>2</v>
      </c>
      <c r="BH759">
        <v>1</v>
      </c>
      <c r="BK759" s="1">
        <v>1</v>
      </c>
      <c r="BQ759">
        <v>1</v>
      </c>
      <c r="CS759" t="s">
        <v>762</v>
      </c>
    </row>
    <row r="760" spans="2:98">
      <c r="B760" t="s">
        <v>776</v>
      </c>
      <c r="C760" s="2" t="s">
        <v>777</v>
      </c>
      <c r="E760" s="8" t="s">
        <v>778</v>
      </c>
      <c r="F760" s="8" t="s">
        <v>247</v>
      </c>
      <c r="G760" s="1">
        <v>1</v>
      </c>
      <c r="I760" s="1">
        <f>1814-17</f>
        <v>1797</v>
      </c>
      <c r="J760" t="s">
        <v>10</v>
      </c>
      <c r="K760" t="s">
        <v>12</v>
      </c>
      <c r="Q760">
        <v>5</v>
      </c>
      <c r="R760">
        <v>2</v>
      </c>
      <c r="S760">
        <v>2</v>
      </c>
      <c r="T760" s="5">
        <f t="shared" si="28"/>
        <v>163.69999999999999</v>
      </c>
      <c r="U760" t="s">
        <v>775</v>
      </c>
      <c r="AV760" s="6">
        <v>1</v>
      </c>
      <c r="BC760">
        <v>1814</v>
      </c>
      <c r="BD760" t="s">
        <v>81</v>
      </c>
      <c r="BE760" t="s">
        <v>779</v>
      </c>
      <c r="BF760" s="1" t="s">
        <v>73</v>
      </c>
      <c r="BG760" s="1">
        <v>1</v>
      </c>
      <c r="BH760">
        <v>1</v>
      </c>
      <c r="BK760" s="1">
        <v>1</v>
      </c>
      <c r="BW760">
        <v>1</v>
      </c>
      <c r="CS760" t="s">
        <v>780</v>
      </c>
    </row>
    <row r="761" spans="2:98">
      <c r="B761" t="s">
        <v>1869</v>
      </c>
      <c r="C761" s="15" t="s">
        <v>1870</v>
      </c>
      <c r="E761" s="8" t="s">
        <v>1105</v>
      </c>
      <c r="F761" s="8" t="s">
        <v>247</v>
      </c>
      <c r="G761" s="1">
        <v>1</v>
      </c>
      <c r="I761" s="1">
        <f>1818-30</f>
        <v>1788</v>
      </c>
      <c r="J761" t="s">
        <v>69</v>
      </c>
      <c r="K761" t="s">
        <v>12</v>
      </c>
      <c r="M761">
        <v>1</v>
      </c>
      <c r="Q761">
        <v>5</v>
      </c>
      <c r="R761">
        <v>3</v>
      </c>
      <c r="S761">
        <v>3</v>
      </c>
      <c r="T761" s="5">
        <f>((Q761*316)+(R761*26.3)+(S761*2.2))/10</f>
        <v>166.55</v>
      </c>
      <c r="U761" t="s">
        <v>2378</v>
      </c>
      <c r="AV761" s="6">
        <v>1</v>
      </c>
      <c r="AW761" s="6">
        <v>1</v>
      </c>
      <c r="AX761" s="6">
        <v>1</v>
      </c>
      <c r="AY761" s="6">
        <v>1</v>
      </c>
      <c r="AZ761" s="6">
        <v>1</v>
      </c>
      <c r="BA761" s="7">
        <v>1</v>
      </c>
      <c r="BC761" t="s">
        <v>946</v>
      </c>
      <c r="BD761" s="7" t="s">
        <v>280</v>
      </c>
      <c r="BE761" t="s">
        <v>1854</v>
      </c>
      <c r="BF761" s="1" t="s">
        <v>29</v>
      </c>
      <c r="BG761" s="1">
        <v>3</v>
      </c>
      <c r="BH761">
        <v>2</v>
      </c>
      <c r="BK761" s="1">
        <v>1</v>
      </c>
      <c r="BQ761">
        <v>1</v>
      </c>
      <c r="CL761">
        <v>1</v>
      </c>
      <c r="CN761">
        <v>1</v>
      </c>
      <c r="CS761" s="7" t="s">
        <v>947</v>
      </c>
    </row>
    <row r="762" spans="2:98">
      <c r="B762" t="s">
        <v>781</v>
      </c>
      <c r="C762" s="2" t="s">
        <v>782</v>
      </c>
      <c r="E762" s="8" t="s">
        <v>393</v>
      </c>
      <c r="F762" s="8" t="s">
        <v>247</v>
      </c>
      <c r="G762" s="1">
        <v>1</v>
      </c>
      <c r="I762" s="1">
        <f>1814-18</f>
        <v>1796</v>
      </c>
      <c r="J762" t="s">
        <v>10</v>
      </c>
      <c r="K762" t="s">
        <v>12</v>
      </c>
      <c r="Q762">
        <v>5</v>
      </c>
      <c r="R762">
        <v>5</v>
      </c>
      <c r="S762">
        <v>2</v>
      </c>
      <c r="T762" s="5">
        <f t="shared" si="28"/>
        <v>171.59</v>
      </c>
      <c r="U762" t="s">
        <v>783</v>
      </c>
      <c r="AV762" s="6">
        <v>1</v>
      </c>
      <c r="BC762">
        <v>1814</v>
      </c>
      <c r="BD762" t="s">
        <v>81</v>
      </c>
      <c r="BE762" t="s">
        <v>773</v>
      </c>
      <c r="BF762" s="1" t="s">
        <v>73</v>
      </c>
      <c r="BG762" s="1">
        <v>1</v>
      </c>
      <c r="BH762">
        <v>1</v>
      </c>
      <c r="BO762">
        <v>1</v>
      </c>
      <c r="BQ762">
        <v>1</v>
      </c>
      <c r="CS762" t="s">
        <v>774</v>
      </c>
    </row>
    <row r="763" spans="2:98">
      <c r="B763" t="s">
        <v>788</v>
      </c>
      <c r="C763" s="12" t="s">
        <v>789</v>
      </c>
      <c r="E763" s="8" t="s">
        <v>787</v>
      </c>
      <c r="F763" s="8" t="s">
        <v>247</v>
      </c>
      <c r="G763" s="1">
        <v>1</v>
      </c>
      <c r="I763" s="1">
        <f>1814-34</f>
        <v>1780</v>
      </c>
      <c r="J763" t="s">
        <v>69</v>
      </c>
      <c r="K763" t="s">
        <v>790</v>
      </c>
      <c r="Q763">
        <v>5</v>
      </c>
      <c r="R763">
        <v>5</v>
      </c>
      <c r="S763">
        <v>2</v>
      </c>
      <c r="T763" s="5">
        <f t="shared" si="28"/>
        <v>171.59</v>
      </c>
      <c r="U763" t="s">
        <v>784</v>
      </c>
      <c r="AV763" s="6">
        <v>1</v>
      </c>
      <c r="BC763">
        <v>1814</v>
      </c>
      <c r="BD763" t="s">
        <v>81</v>
      </c>
      <c r="BE763" t="s">
        <v>773</v>
      </c>
      <c r="BF763" s="1" t="s">
        <v>73</v>
      </c>
      <c r="BG763" s="1">
        <v>1</v>
      </c>
      <c r="BH763">
        <v>1</v>
      </c>
      <c r="BK763" s="1">
        <v>1</v>
      </c>
      <c r="BQ763">
        <v>1</v>
      </c>
      <c r="CS763" t="s">
        <v>774</v>
      </c>
    </row>
    <row r="764" spans="2:98">
      <c r="B764" t="s">
        <v>785</v>
      </c>
      <c r="C764" s="2" t="s">
        <v>786</v>
      </c>
      <c r="E764" s="8" t="s">
        <v>787</v>
      </c>
      <c r="F764" s="8" t="s">
        <v>247</v>
      </c>
      <c r="G764" s="1">
        <v>1</v>
      </c>
      <c r="I764" s="1">
        <f>1814-20</f>
        <v>1794</v>
      </c>
      <c r="J764" t="s">
        <v>10</v>
      </c>
      <c r="K764" t="s">
        <v>12</v>
      </c>
      <c r="Q764">
        <v>5</v>
      </c>
      <c r="T764" s="5">
        <f t="shared" si="28"/>
        <v>158</v>
      </c>
      <c r="U764" t="s">
        <v>784</v>
      </c>
      <c r="AV764" s="6">
        <v>1</v>
      </c>
      <c r="BC764">
        <v>1814</v>
      </c>
      <c r="BD764" t="s">
        <v>81</v>
      </c>
      <c r="BE764" t="s">
        <v>773</v>
      </c>
      <c r="BF764" s="1" t="s">
        <v>73</v>
      </c>
      <c r="BG764" s="1">
        <v>1</v>
      </c>
      <c r="BH764">
        <v>1</v>
      </c>
      <c r="BK764" s="1">
        <v>1</v>
      </c>
      <c r="BQ764">
        <v>1</v>
      </c>
      <c r="CS764" t="s">
        <v>774</v>
      </c>
    </row>
    <row r="765" spans="2:98">
      <c r="B765" t="s">
        <v>1268</v>
      </c>
      <c r="C765" s="2" t="s">
        <v>166</v>
      </c>
      <c r="E765" s="8" t="s">
        <v>481</v>
      </c>
      <c r="F765" s="8" t="s">
        <v>65</v>
      </c>
      <c r="G765" s="1">
        <v>1</v>
      </c>
      <c r="I765" s="1">
        <f>1815-21</f>
        <v>1794</v>
      </c>
      <c r="J765" t="s">
        <v>10</v>
      </c>
      <c r="K765" t="s">
        <v>12</v>
      </c>
      <c r="Q765">
        <v>5</v>
      </c>
      <c r="T765" s="5">
        <f t="shared" si="28"/>
        <v>158</v>
      </c>
      <c r="U765" t="s">
        <v>1269</v>
      </c>
      <c r="AV765" s="6">
        <v>1</v>
      </c>
      <c r="AW765" s="6">
        <v>1</v>
      </c>
      <c r="AX765" s="6">
        <v>1</v>
      </c>
      <c r="BC765">
        <v>1816</v>
      </c>
      <c r="BD765" t="s">
        <v>81</v>
      </c>
      <c r="BE765" s="10" t="s">
        <v>1263</v>
      </c>
      <c r="BF765" s="1" t="s">
        <v>73</v>
      </c>
      <c r="BG765" s="1">
        <v>1</v>
      </c>
      <c r="BH765">
        <v>5</v>
      </c>
      <c r="BI765">
        <v>1</v>
      </c>
      <c r="BJ765">
        <v>1</v>
      </c>
      <c r="BK765" s="1">
        <v>1</v>
      </c>
      <c r="BQ765">
        <v>1</v>
      </c>
      <c r="BV765">
        <v>1</v>
      </c>
      <c r="CC765">
        <v>1</v>
      </c>
      <c r="CL765" s="10">
        <v>1</v>
      </c>
      <c r="CS765" s="10" t="s">
        <v>1270</v>
      </c>
    </row>
    <row r="766" spans="2:98">
      <c r="B766" t="s">
        <v>1259</v>
      </c>
      <c r="C766" s="8" t="s">
        <v>1261</v>
      </c>
      <c r="E766" s="8"/>
      <c r="F766" s="8" t="s">
        <v>218</v>
      </c>
      <c r="G766" s="1">
        <v>1</v>
      </c>
      <c r="I766" s="1">
        <f>1815-19</f>
        <v>1796</v>
      </c>
      <c r="J766" t="s">
        <v>10</v>
      </c>
      <c r="T766" s="5"/>
      <c r="U766" s="9" t="s">
        <v>1260</v>
      </c>
      <c r="AV766" s="9">
        <v>1</v>
      </c>
      <c r="AW766" s="6">
        <v>1</v>
      </c>
      <c r="AX766" s="7">
        <v>1</v>
      </c>
      <c r="BC766" t="s">
        <v>1262</v>
      </c>
      <c r="BD766" s="7" t="s">
        <v>103</v>
      </c>
      <c r="BE766" t="s">
        <v>1263</v>
      </c>
      <c r="BF766" s="1" t="s">
        <v>29</v>
      </c>
      <c r="BG766" s="1">
        <v>1</v>
      </c>
      <c r="BH766">
        <v>2</v>
      </c>
      <c r="BO766">
        <v>1</v>
      </c>
      <c r="BP766">
        <v>1</v>
      </c>
      <c r="CC766">
        <v>1</v>
      </c>
      <c r="CJ766">
        <v>1</v>
      </c>
      <c r="CS766" s="7" t="s">
        <v>1000</v>
      </c>
      <c r="CT766" s="9" t="s">
        <v>1264</v>
      </c>
    </row>
    <row r="767" spans="2:98">
      <c r="B767" t="s">
        <v>791</v>
      </c>
      <c r="C767" s="2" t="s">
        <v>792</v>
      </c>
      <c r="E767" s="8"/>
      <c r="F767" s="8" t="s">
        <v>793</v>
      </c>
      <c r="G767" s="1">
        <v>1</v>
      </c>
      <c r="I767" s="1">
        <f>1814-18</f>
        <v>1796</v>
      </c>
      <c r="J767" t="s">
        <v>10</v>
      </c>
      <c r="K767" t="s">
        <v>12</v>
      </c>
      <c r="Q767">
        <v>5</v>
      </c>
      <c r="R767">
        <v>1</v>
      </c>
      <c r="T767" s="5">
        <f t="shared" ref="T767:T789" si="29">((Q767*316)+(R767*26.3)+(S767*2.2))/10</f>
        <v>160.63</v>
      </c>
      <c r="U767" t="s">
        <v>794</v>
      </c>
      <c r="AV767" s="6">
        <v>1</v>
      </c>
      <c r="BC767">
        <v>1814</v>
      </c>
      <c r="BD767" t="s">
        <v>81</v>
      </c>
      <c r="BE767" t="s">
        <v>773</v>
      </c>
      <c r="BF767" s="1" t="s">
        <v>73</v>
      </c>
      <c r="BG767" s="1">
        <v>1</v>
      </c>
      <c r="BH767">
        <v>1</v>
      </c>
      <c r="BK767" s="1">
        <v>1</v>
      </c>
      <c r="BQ767">
        <v>1</v>
      </c>
      <c r="CS767" t="s">
        <v>774</v>
      </c>
    </row>
    <row r="768" spans="2:98">
      <c r="B768" t="s">
        <v>795</v>
      </c>
      <c r="C768" s="12" t="s">
        <v>796</v>
      </c>
      <c r="E768" s="8"/>
      <c r="F768" s="8" t="s">
        <v>218</v>
      </c>
      <c r="G768" s="1">
        <v>1</v>
      </c>
      <c r="I768" s="1">
        <f>1814-22</f>
        <v>1792</v>
      </c>
      <c r="J768" t="s">
        <v>10</v>
      </c>
      <c r="K768" t="s">
        <v>797</v>
      </c>
      <c r="Q768">
        <v>5</v>
      </c>
      <c r="R768">
        <v>2</v>
      </c>
      <c r="S768">
        <v>2</v>
      </c>
      <c r="T768" s="5">
        <f t="shared" si="29"/>
        <v>163.69999999999999</v>
      </c>
      <c r="U768" t="s">
        <v>798</v>
      </c>
      <c r="AV768" s="6">
        <v>1</v>
      </c>
      <c r="BC768">
        <v>1814</v>
      </c>
      <c r="BD768" t="s">
        <v>81</v>
      </c>
      <c r="BE768" t="s">
        <v>773</v>
      </c>
      <c r="BF768" s="1" t="s">
        <v>73</v>
      </c>
      <c r="BG768" s="1">
        <v>1</v>
      </c>
      <c r="BH768">
        <v>1</v>
      </c>
      <c r="BK768" s="1">
        <v>1</v>
      </c>
      <c r="BQ768">
        <v>1</v>
      </c>
      <c r="CS768" t="s">
        <v>774</v>
      </c>
    </row>
    <row r="769" spans="1:98">
      <c r="B769" t="s">
        <v>799</v>
      </c>
      <c r="C769" s="2" t="s">
        <v>800</v>
      </c>
      <c r="E769" s="2" t="s">
        <v>800</v>
      </c>
      <c r="F769" s="8" t="s">
        <v>793</v>
      </c>
      <c r="G769" s="1">
        <v>1</v>
      </c>
      <c r="I769" s="1">
        <f>1814-19</f>
        <v>1795</v>
      </c>
      <c r="J769" t="s">
        <v>10</v>
      </c>
      <c r="K769" t="s">
        <v>12</v>
      </c>
      <c r="Q769">
        <v>5</v>
      </c>
      <c r="R769">
        <v>0</v>
      </c>
      <c r="S769">
        <v>1</v>
      </c>
      <c r="T769" s="5">
        <f t="shared" si="29"/>
        <v>158.22</v>
      </c>
      <c r="U769" t="s">
        <v>801</v>
      </c>
      <c r="AV769" s="6">
        <v>1</v>
      </c>
      <c r="BC769">
        <v>1814</v>
      </c>
      <c r="BD769" t="s">
        <v>81</v>
      </c>
      <c r="BE769" t="s">
        <v>773</v>
      </c>
      <c r="BF769" s="1" t="s">
        <v>73</v>
      </c>
      <c r="BG769" s="1">
        <v>1</v>
      </c>
      <c r="BH769">
        <v>1</v>
      </c>
      <c r="BK769" s="1">
        <v>1</v>
      </c>
      <c r="BQ769">
        <v>1</v>
      </c>
      <c r="CS769" t="s">
        <v>774</v>
      </c>
    </row>
    <row r="770" spans="1:98">
      <c r="B770" t="s">
        <v>811</v>
      </c>
      <c r="C770" s="2" t="s">
        <v>812</v>
      </c>
      <c r="E770" s="2"/>
      <c r="F770" s="8" t="s">
        <v>247</v>
      </c>
      <c r="G770" s="1">
        <v>1</v>
      </c>
      <c r="I770" s="1">
        <f>1814-21</f>
        <v>1793</v>
      </c>
      <c r="J770" t="s">
        <v>10</v>
      </c>
      <c r="K770" t="s">
        <v>790</v>
      </c>
      <c r="Q770">
        <v>5</v>
      </c>
      <c r="R770">
        <v>3</v>
      </c>
      <c r="T770" s="5">
        <f t="shared" si="29"/>
        <v>165.89000000000001</v>
      </c>
      <c r="U770" t="s">
        <v>813</v>
      </c>
      <c r="AV770" s="6">
        <v>1</v>
      </c>
      <c r="BC770">
        <v>1814</v>
      </c>
      <c r="BD770" t="s">
        <v>81</v>
      </c>
      <c r="BE770" t="s">
        <v>773</v>
      </c>
      <c r="BF770" s="1" t="s">
        <v>73</v>
      </c>
      <c r="BG770" s="1">
        <v>1</v>
      </c>
      <c r="BH770">
        <v>1</v>
      </c>
      <c r="BN770">
        <v>1</v>
      </c>
      <c r="BO770">
        <v>1</v>
      </c>
      <c r="BQ770">
        <v>1</v>
      </c>
      <c r="CS770" t="s">
        <v>774</v>
      </c>
    </row>
    <row r="771" spans="1:98">
      <c r="B771" t="s">
        <v>1816</v>
      </c>
      <c r="C771" s="2" t="s">
        <v>1817</v>
      </c>
      <c r="F771" s="8" t="s">
        <v>1818</v>
      </c>
      <c r="H771" s="1">
        <v>1</v>
      </c>
      <c r="I771" s="1">
        <f>1814-29</f>
        <v>1785</v>
      </c>
      <c r="J771" t="s">
        <v>69</v>
      </c>
      <c r="K771" t="s">
        <v>1819</v>
      </c>
      <c r="Q771">
        <v>5</v>
      </c>
      <c r="R771">
        <v>3</v>
      </c>
      <c r="S771">
        <v>3</v>
      </c>
      <c r="T771" s="5">
        <f t="shared" si="29"/>
        <v>166.55</v>
      </c>
      <c r="U771" t="s">
        <v>1820</v>
      </c>
      <c r="AV771" s="6">
        <v>1</v>
      </c>
      <c r="AW771" s="6">
        <v>1</v>
      </c>
      <c r="AX771" s="6">
        <v>1</v>
      </c>
      <c r="AY771" s="6">
        <v>1</v>
      </c>
      <c r="AZ771" s="6">
        <v>1</v>
      </c>
      <c r="BA771" s="6">
        <v>1</v>
      </c>
      <c r="BB771" s="6">
        <v>1</v>
      </c>
      <c r="BC771">
        <v>1820</v>
      </c>
      <c r="BD771" t="s">
        <v>81</v>
      </c>
      <c r="BE771" t="s">
        <v>125</v>
      </c>
      <c r="BF771" s="1" t="s">
        <v>73</v>
      </c>
      <c r="BG771" s="1">
        <v>7</v>
      </c>
      <c r="BH771">
        <v>1</v>
      </c>
      <c r="BO771">
        <v>1</v>
      </c>
      <c r="BQ771">
        <v>1</v>
      </c>
      <c r="CF771">
        <v>1</v>
      </c>
      <c r="CS771" t="s">
        <v>1821</v>
      </c>
    </row>
    <row r="772" spans="1:98">
      <c r="B772" t="s">
        <v>1434</v>
      </c>
      <c r="C772" s="2" t="s">
        <v>1435</v>
      </c>
      <c r="E772" s="15"/>
      <c r="F772" s="8" t="s">
        <v>65</v>
      </c>
      <c r="G772" s="1">
        <v>1</v>
      </c>
      <c r="I772" s="1">
        <f>1814-20</f>
        <v>1794</v>
      </c>
      <c r="J772" t="s">
        <v>10</v>
      </c>
      <c r="K772" t="s">
        <v>12</v>
      </c>
      <c r="Q772">
        <v>5</v>
      </c>
      <c r="R772">
        <v>3</v>
      </c>
      <c r="T772" s="5">
        <f t="shared" si="29"/>
        <v>165.89000000000001</v>
      </c>
      <c r="U772" t="s">
        <v>1436</v>
      </c>
      <c r="AV772" s="6">
        <v>1</v>
      </c>
      <c r="BC772">
        <v>1814</v>
      </c>
      <c r="BD772" t="s">
        <v>81</v>
      </c>
      <c r="BE772" t="s">
        <v>1437</v>
      </c>
      <c r="BF772" s="1" t="s">
        <v>73</v>
      </c>
      <c r="BG772" s="1">
        <v>1</v>
      </c>
      <c r="BH772">
        <v>1</v>
      </c>
      <c r="BO772">
        <v>1</v>
      </c>
      <c r="BT772">
        <v>1</v>
      </c>
      <c r="CS772" t="s">
        <v>1438</v>
      </c>
      <c r="CT772" s="9" t="s">
        <v>1439</v>
      </c>
    </row>
    <row r="773" spans="1:98">
      <c r="B773" t="s">
        <v>803</v>
      </c>
      <c r="C773" s="2" t="s">
        <v>804</v>
      </c>
      <c r="E773" s="2"/>
      <c r="F773" s="8" t="s">
        <v>805</v>
      </c>
      <c r="G773" s="1">
        <v>1</v>
      </c>
      <c r="I773" s="1">
        <f>1814-28</f>
        <v>1786</v>
      </c>
      <c r="J773" t="s">
        <v>69</v>
      </c>
      <c r="K773" t="s">
        <v>12</v>
      </c>
      <c r="Q773">
        <v>5</v>
      </c>
      <c r="R773">
        <v>3</v>
      </c>
      <c r="S773">
        <v>2</v>
      </c>
      <c r="T773" s="5">
        <f t="shared" si="29"/>
        <v>166.33</v>
      </c>
      <c r="U773" t="s">
        <v>806</v>
      </c>
      <c r="AV773" s="6">
        <v>1</v>
      </c>
      <c r="BC773">
        <v>1814</v>
      </c>
      <c r="BD773" t="s">
        <v>81</v>
      </c>
      <c r="BE773" t="s">
        <v>773</v>
      </c>
      <c r="BF773" s="1" t="s">
        <v>73</v>
      </c>
      <c r="BG773" s="1">
        <v>1</v>
      </c>
      <c r="BH773">
        <v>1</v>
      </c>
      <c r="BK773" s="1">
        <v>1</v>
      </c>
      <c r="BQ773">
        <v>1</v>
      </c>
      <c r="CS773" t="s">
        <v>774</v>
      </c>
    </row>
    <row r="774" spans="1:98">
      <c r="B774" t="s">
        <v>802</v>
      </c>
      <c r="C774" s="12" t="s">
        <v>808</v>
      </c>
      <c r="E774" s="8" t="s">
        <v>807</v>
      </c>
      <c r="F774" s="8" t="s">
        <v>247</v>
      </c>
      <c r="G774" s="1">
        <v>1</v>
      </c>
      <c r="I774" s="1">
        <f>1814-25</f>
        <v>1789</v>
      </c>
      <c r="J774" t="s">
        <v>10</v>
      </c>
      <c r="K774" t="s">
        <v>12</v>
      </c>
      <c r="Q774">
        <v>5</v>
      </c>
      <c r="R774">
        <v>5</v>
      </c>
      <c r="S774">
        <v>1</v>
      </c>
      <c r="T774" s="5">
        <f t="shared" si="29"/>
        <v>171.37</v>
      </c>
      <c r="U774" t="s">
        <v>806</v>
      </c>
      <c r="AV774" s="6">
        <v>1</v>
      </c>
      <c r="BC774">
        <v>1814</v>
      </c>
      <c r="BD774" t="s">
        <v>81</v>
      </c>
      <c r="BE774" t="s">
        <v>773</v>
      </c>
      <c r="BF774" s="1" t="s">
        <v>73</v>
      </c>
      <c r="BG774" s="1">
        <v>1</v>
      </c>
      <c r="BH774">
        <v>1</v>
      </c>
      <c r="BK774" s="1">
        <v>1</v>
      </c>
      <c r="BQ774">
        <v>1</v>
      </c>
      <c r="CS774" t="s">
        <v>774</v>
      </c>
    </row>
    <row r="775" spans="1:98">
      <c r="B775" t="s">
        <v>809</v>
      </c>
      <c r="C775" s="2" t="s">
        <v>810</v>
      </c>
      <c r="E775" s="8" t="s">
        <v>393</v>
      </c>
      <c r="F775" s="8" t="s">
        <v>247</v>
      </c>
      <c r="G775" s="1">
        <v>1</v>
      </c>
      <c r="I775" s="1">
        <f>1814-25</f>
        <v>1789</v>
      </c>
      <c r="J775" t="s">
        <v>10</v>
      </c>
      <c r="K775" t="s">
        <v>12</v>
      </c>
      <c r="Q775">
        <v>5</v>
      </c>
      <c r="R775">
        <v>1</v>
      </c>
      <c r="T775" s="5">
        <f t="shared" si="29"/>
        <v>160.63</v>
      </c>
      <c r="U775" t="s">
        <v>806</v>
      </c>
      <c r="AV775" s="6">
        <v>1</v>
      </c>
      <c r="BC775">
        <v>1815</v>
      </c>
      <c r="BD775" t="s">
        <v>81</v>
      </c>
      <c r="BE775" t="s">
        <v>773</v>
      </c>
      <c r="BF775" s="1" t="s">
        <v>73</v>
      </c>
      <c r="BG775" s="1">
        <v>1</v>
      </c>
      <c r="BH775">
        <v>1</v>
      </c>
      <c r="BK775" s="1">
        <v>1</v>
      </c>
      <c r="BQ775">
        <v>1</v>
      </c>
      <c r="CS775" t="s">
        <v>774</v>
      </c>
    </row>
    <row r="776" spans="1:98">
      <c r="B776" t="s">
        <v>1863</v>
      </c>
      <c r="C776" s="2" t="s">
        <v>1864</v>
      </c>
      <c r="E776" s="8" t="s">
        <v>1865</v>
      </c>
      <c r="F776" s="8" t="s">
        <v>805</v>
      </c>
      <c r="G776" s="1">
        <v>1</v>
      </c>
      <c r="I776" s="1">
        <f>1818-27</f>
        <v>1791</v>
      </c>
      <c r="J776" t="s">
        <v>1866</v>
      </c>
      <c r="K776" t="s">
        <v>12</v>
      </c>
      <c r="Q776">
        <v>5</v>
      </c>
      <c r="R776">
        <v>4</v>
      </c>
      <c r="T776" s="5">
        <f t="shared" si="29"/>
        <v>168.52</v>
      </c>
      <c r="U776" t="s">
        <v>1862</v>
      </c>
      <c r="AW776" s="6">
        <v>1</v>
      </c>
      <c r="AX776" s="6">
        <v>1</v>
      </c>
      <c r="AY776" s="6">
        <v>1</v>
      </c>
      <c r="AZ776" s="6">
        <v>1</v>
      </c>
      <c r="BA776" s="7">
        <v>1</v>
      </c>
      <c r="BC776" t="s">
        <v>1867</v>
      </c>
      <c r="BD776" s="7" t="s">
        <v>103</v>
      </c>
      <c r="BE776" t="s">
        <v>1854</v>
      </c>
      <c r="BF776" s="1" t="s">
        <v>29</v>
      </c>
      <c r="BG776" s="1">
        <v>2</v>
      </c>
      <c r="BH776">
        <v>2</v>
      </c>
      <c r="BK776" s="1" t="s">
        <v>72</v>
      </c>
      <c r="BQ776">
        <v>1</v>
      </c>
      <c r="CI776">
        <v>1</v>
      </c>
      <c r="CL776">
        <v>1</v>
      </c>
      <c r="CR776">
        <v>1</v>
      </c>
      <c r="CS776" s="7" t="s">
        <v>1868</v>
      </c>
    </row>
    <row r="777" spans="1:98">
      <c r="B777" t="s">
        <v>1871</v>
      </c>
      <c r="C777" s="2" t="s">
        <v>1872</v>
      </c>
      <c r="E777" s="8" t="s">
        <v>1873</v>
      </c>
      <c r="F777" s="8" t="s">
        <v>805</v>
      </c>
      <c r="G777" s="1">
        <v>1</v>
      </c>
      <c r="I777" s="1">
        <f>1819-23</f>
        <v>1796</v>
      </c>
      <c r="J777" t="s">
        <v>10</v>
      </c>
      <c r="K777" t="s">
        <v>12</v>
      </c>
      <c r="Q777">
        <v>5</v>
      </c>
      <c r="R777">
        <v>2</v>
      </c>
      <c r="S777">
        <v>2</v>
      </c>
      <c r="T777" s="5">
        <f t="shared" si="29"/>
        <v>163.69999999999999</v>
      </c>
      <c r="U777" t="s">
        <v>1874</v>
      </c>
      <c r="AW777" s="6">
        <v>1</v>
      </c>
      <c r="AX777" s="6">
        <v>1</v>
      </c>
      <c r="AY777" s="6">
        <v>1</v>
      </c>
      <c r="AZ777" s="6">
        <v>1</v>
      </c>
      <c r="BA777" s="6">
        <v>1</v>
      </c>
      <c r="BB777" s="6">
        <v>1</v>
      </c>
      <c r="BC777">
        <v>1820</v>
      </c>
      <c r="BD777" t="s">
        <v>81</v>
      </c>
      <c r="BE777" t="s">
        <v>1854</v>
      </c>
      <c r="BF777" s="1" t="s">
        <v>73</v>
      </c>
      <c r="BG777" s="1">
        <v>3</v>
      </c>
      <c r="BH777">
        <v>2</v>
      </c>
      <c r="BK777" s="1">
        <v>1</v>
      </c>
      <c r="BQ777">
        <v>1</v>
      </c>
      <c r="CL777">
        <v>1</v>
      </c>
      <c r="CS777" t="s">
        <v>1875</v>
      </c>
    </row>
    <row r="778" spans="1:98">
      <c r="B778" t="s">
        <v>1880</v>
      </c>
      <c r="C778" s="12" t="s">
        <v>1881</v>
      </c>
      <c r="E778" s="8" t="s">
        <v>1865</v>
      </c>
      <c r="F778" s="8" t="s">
        <v>805</v>
      </c>
      <c r="G778" s="1">
        <v>1</v>
      </c>
      <c r="I778" s="1">
        <f>1818-21</f>
        <v>1797</v>
      </c>
      <c r="J778" t="s">
        <v>10</v>
      </c>
      <c r="K778" t="s">
        <v>12</v>
      </c>
      <c r="Q778">
        <v>5</v>
      </c>
      <c r="T778" s="5">
        <f t="shared" si="29"/>
        <v>158</v>
      </c>
      <c r="U778" t="s">
        <v>1882</v>
      </c>
      <c r="AW778" s="6">
        <v>1</v>
      </c>
      <c r="AX778" s="6">
        <v>1</v>
      </c>
      <c r="AY778" s="6">
        <v>1</v>
      </c>
      <c r="AZ778" s="6">
        <v>1</v>
      </c>
      <c r="BA778" s="6">
        <v>1</v>
      </c>
      <c r="BB778" s="6">
        <v>1</v>
      </c>
      <c r="BC778">
        <v>1820</v>
      </c>
      <c r="BD778" t="s">
        <v>81</v>
      </c>
      <c r="BE778" t="s">
        <v>1854</v>
      </c>
      <c r="BF778" s="1" t="s">
        <v>73</v>
      </c>
      <c r="BG778" s="1">
        <v>3</v>
      </c>
      <c r="BH778">
        <v>2</v>
      </c>
      <c r="BK778" s="1" t="s">
        <v>72</v>
      </c>
      <c r="BQ778">
        <v>1</v>
      </c>
      <c r="CL778">
        <v>1</v>
      </c>
      <c r="CN778">
        <v>1</v>
      </c>
      <c r="CP778">
        <v>1</v>
      </c>
      <c r="CS778" t="s">
        <v>1861</v>
      </c>
    </row>
    <row r="779" spans="1:98">
      <c r="B779" t="s">
        <v>995</v>
      </c>
      <c r="C779" s="2" t="s">
        <v>937</v>
      </c>
      <c r="D779" s="8" t="s">
        <v>938</v>
      </c>
      <c r="E779" s="8" t="s">
        <v>939</v>
      </c>
      <c r="F779" s="8" t="s">
        <v>940</v>
      </c>
      <c r="G779" s="1">
        <v>1</v>
      </c>
      <c r="I779" s="1">
        <f>1817-22</f>
        <v>1795</v>
      </c>
      <c r="J779" t="s">
        <v>10</v>
      </c>
      <c r="K779" t="s">
        <v>12</v>
      </c>
      <c r="Q779">
        <v>5</v>
      </c>
      <c r="R779">
        <v>5</v>
      </c>
      <c r="S779">
        <v>2</v>
      </c>
      <c r="T779" s="5">
        <f t="shared" si="29"/>
        <v>171.59</v>
      </c>
      <c r="U779" t="s">
        <v>941</v>
      </c>
      <c r="AW779" s="6">
        <v>1</v>
      </c>
      <c r="AX779" s="6">
        <v>1</v>
      </c>
      <c r="AY779" s="6">
        <v>1</v>
      </c>
      <c r="AZ779" s="6">
        <v>1</v>
      </c>
      <c r="BA779" s="6">
        <v>1</v>
      </c>
      <c r="BB779" s="6">
        <v>1</v>
      </c>
      <c r="BC779" t="s">
        <v>942</v>
      </c>
      <c r="BD779" s="7" t="s">
        <v>103</v>
      </c>
      <c r="BE779" t="s">
        <v>943</v>
      </c>
      <c r="BF779" s="1" t="s">
        <v>29</v>
      </c>
      <c r="BG779" s="1">
        <v>9</v>
      </c>
      <c r="BH779">
        <v>2</v>
      </c>
      <c r="BO779">
        <v>1</v>
      </c>
      <c r="BT779">
        <v>1</v>
      </c>
      <c r="CF779">
        <v>1</v>
      </c>
      <c r="CL779">
        <v>1</v>
      </c>
      <c r="CS779" s="7" t="s">
        <v>614</v>
      </c>
    </row>
    <row r="780" spans="1:98">
      <c r="B780" t="s">
        <v>2509</v>
      </c>
      <c r="C780" s="2" t="s">
        <v>1996</v>
      </c>
      <c r="D780" s="8"/>
      <c r="E780" s="8"/>
      <c r="F780" s="8" t="s">
        <v>2510</v>
      </c>
      <c r="H780" s="30">
        <v>1</v>
      </c>
      <c r="I780" s="1">
        <f>1820-29</f>
        <v>1791</v>
      </c>
      <c r="J780" t="s">
        <v>10</v>
      </c>
      <c r="K780" t="s">
        <v>12</v>
      </c>
      <c r="Q780">
        <v>5</v>
      </c>
      <c r="R780">
        <v>2</v>
      </c>
      <c r="T780" s="5">
        <f t="shared" si="29"/>
        <v>163.26</v>
      </c>
      <c r="U780" t="s">
        <v>2508</v>
      </c>
      <c r="AW780" s="6">
        <v>1</v>
      </c>
      <c r="AX780" s="6">
        <v>1</v>
      </c>
      <c r="AY780" s="6">
        <v>1</v>
      </c>
      <c r="AZ780" s="6">
        <v>1</v>
      </c>
      <c r="BA780" s="6">
        <v>1</v>
      </c>
      <c r="BB780" s="6">
        <v>1</v>
      </c>
      <c r="BC780">
        <v>1820</v>
      </c>
      <c r="BD780" t="s">
        <v>81</v>
      </c>
      <c r="BE780" t="s">
        <v>62</v>
      </c>
      <c r="BF780" s="1" t="s">
        <v>73</v>
      </c>
      <c r="BG780" s="1">
        <v>3</v>
      </c>
      <c r="BH780">
        <v>1</v>
      </c>
      <c r="BK780" s="30">
        <v>1</v>
      </c>
      <c r="BQ780">
        <v>1</v>
      </c>
      <c r="CR780" t="s">
        <v>72</v>
      </c>
      <c r="CS780" t="s">
        <v>2487</v>
      </c>
      <c r="CT780" s="6" t="s">
        <v>2307</v>
      </c>
    </row>
    <row r="781" spans="1:98">
      <c r="A781" t="s">
        <v>7</v>
      </c>
      <c r="B781" t="s">
        <v>1829</v>
      </c>
      <c r="C781" s="2" t="s">
        <v>1830</v>
      </c>
      <c r="D781" s="2" t="s">
        <v>1831</v>
      </c>
      <c r="E781" s="8" t="s">
        <v>1832</v>
      </c>
      <c r="F781" s="8" t="s">
        <v>1824</v>
      </c>
      <c r="I781" s="1">
        <f>1809-20</f>
        <v>1789</v>
      </c>
      <c r="J781" t="s">
        <v>10</v>
      </c>
      <c r="K781" t="s">
        <v>12</v>
      </c>
      <c r="T781" s="5"/>
      <c r="U781" t="s">
        <v>1833</v>
      </c>
      <c r="AW781" s="6">
        <v>1</v>
      </c>
      <c r="AX781" s="6">
        <v>1</v>
      </c>
      <c r="AY781" s="6">
        <v>1</v>
      </c>
      <c r="AZ781" s="6">
        <v>1</v>
      </c>
      <c r="BA781" s="7">
        <v>1</v>
      </c>
      <c r="BC781" t="s">
        <v>1827</v>
      </c>
      <c r="BD781" s="7" t="s">
        <v>103</v>
      </c>
      <c r="BE781" t="s">
        <v>125</v>
      </c>
      <c r="BF781" s="1" t="s">
        <v>29</v>
      </c>
      <c r="BG781" s="1">
        <v>7</v>
      </c>
      <c r="BH781">
        <v>1</v>
      </c>
      <c r="BI781">
        <v>1</v>
      </c>
      <c r="BJ781">
        <v>1</v>
      </c>
      <c r="BK781" s="1">
        <v>1</v>
      </c>
      <c r="BQ781">
        <v>1</v>
      </c>
      <c r="CR781" t="s">
        <v>72</v>
      </c>
      <c r="CS781" s="7" t="s">
        <v>1828</v>
      </c>
    </row>
    <row r="782" spans="1:98">
      <c r="B782" t="s">
        <v>1822</v>
      </c>
      <c r="C782" s="2" t="s">
        <v>1823</v>
      </c>
      <c r="F782" s="8" t="s">
        <v>1824</v>
      </c>
      <c r="G782" s="1">
        <v>1</v>
      </c>
      <c r="I782" s="1">
        <f>1815-20</f>
        <v>1795</v>
      </c>
      <c r="J782" t="s">
        <v>10</v>
      </c>
      <c r="K782" t="s">
        <v>1825</v>
      </c>
      <c r="Q782">
        <v>5</v>
      </c>
      <c r="R782">
        <v>2</v>
      </c>
      <c r="T782" s="5">
        <f t="shared" si="29"/>
        <v>163.26</v>
      </c>
      <c r="U782" t="s">
        <v>1826</v>
      </c>
      <c r="AW782" s="6">
        <v>1</v>
      </c>
      <c r="AX782" s="6">
        <v>1</v>
      </c>
      <c r="AY782" s="6">
        <v>1</v>
      </c>
      <c r="AZ782" s="6">
        <v>1</v>
      </c>
      <c r="BA782" s="7">
        <v>1</v>
      </c>
      <c r="BC782" t="s">
        <v>1827</v>
      </c>
      <c r="BD782" s="7" t="s">
        <v>103</v>
      </c>
      <c r="BE782" t="s">
        <v>125</v>
      </c>
      <c r="BF782" s="1" t="s">
        <v>29</v>
      </c>
      <c r="BG782" s="1">
        <v>7</v>
      </c>
      <c r="BH782">
        <v>1</v>
      </c>
      <c r="BK782" s="1">
        <v>1</v>
      </c>
      <c r="BQ782">
        <v>1</v>
      </c>
      <c r="CS782" s="7" t="s">
        <v>1828</v>
      </c>
    </row>
    <row r="783" spans="1:98">
      <c r="B783" t="s">
        <v>2484</v>
      </c>
      <c r="C783" s="2" t="s">
        <v>2485</v>
      </c>
      <c r="E783" s="8" t="s">
        <v>1630</v>
      </c>
      <c r="F783" s="8" t="s">
        <v>65</v>
      </c>
      <c r="G783" s="1">
        <v>1</v>
      </c>
      <c r="I783" s="1">
        <f>1820-23</f>
        <v>1797</v>
      </c>
      <c r="J783" t="s">
        <v>10</v>
      </c>
      <c r="K783" t="s">
        <v>12</v>
      </c>
      <c r="Q783">
        <v>5</v>
      </c>
      <c r="R783">
        <v>3</v>
      </c>
      <c r="T783" s="5">
        <f t="shared" si="29"/>
        <v>165.89000000000001</v>
      </c>
      <c r="U783" t="s">
        <v>2486</v>
      </c>
      <c r="AW783" s="6">
        <v>1</v>
      </c>
      <c r="AX783" s="6">
        <v>1</v>
      </c>
      <c r="AY783" s="6">
        <v>1</v>
      </c>
      <c r="AZ783" s="6">
        <v>1</v>
      </c>
      <c r="BA783" s="6">
        <v>1</v>
      </c>
      <c r="BB783" s="6">
        <v>1</v>
      </c>
      <c r="BC783">
        <v>1820</v>
      </c>
      <c r="BD783" t="s">
        <v>81</v>
      </c>
      <c r="BE783" t="s">
        <v>62</v>
      </c>
      <c r="BF783" s="1" t="s">
        <v>73</v>
      </c>
      <c r="BG783" s="1">
        <v>3</v>
      </c>
      <c r="BH783">
        <v>1</v>
      </c>
      <c r="BK783" s="1">
        <v>1</v>
      </c>
      <c r="BQ783">
        <v>1</v>
      </c>
      <c r="CS783" t="s">
        <v>2487</v>
      </c>
    </row>
    <row r="784" spans="1:98">
      <c r="B784" t="s">
        <v>944</v>
      </c>
      <c r="C784" s="2" t="s">
        <v>937</v>
      </c>
      <c r="D784" s="2" t="s">
        <v>937</v>
      </c>
      <c r="E784" s="8" t="s">
        <v>939</v>
      </c>
      <c r="F784" s="8" t="s">
        <v>940</v>
      </c>
      <c r="G784" s="1">
        <v>1</v>
      </c>
      <c r="I784" s="1">
        <f>1817-22</f>
        <v>1795</v>
      </c>
      <c r="J784" t="s">
        <v>10</v>
      </c>
      <c r="K784" t="s">
        <v>12</v>
      </c>
      <c r="Q784">
        <v>5</v>
      </c>
      <c r="R784">
        <v>3</v>
      </c>
      <c r="S784">
        <v>1</v>
      </c>
      <c r="T784" s="5">
        <f t="shared" si="29"/>
        <v>166.11</v>
      </c>
      <c r="U784" t="s">
        <v>945</v>
      </c>
      <c r="AX784" s="6">
        <v>1</v>
      </c>
      <c r="AY784" s="6">
        <v>1</v>
      </c>
      <c r="AZ784" s="6">
        <v>1</v>
      </c>
      <c r="BA784" s="7">
        <v>1</v>
      </c>
      <c r="BC784" t="s">
        <v>946</v>
      </c>
      <c r="BD784" s="7" t="s">
        <v>280</v>
      </c>
      <c r="BE784" t="s">
        <v>943</v>
      </c>
      <c r="BF784" s="1" t="s">
        <v>29</v>
      </c>
      <c r="BG784" s="1">
        <v>6</v>
      </c>
      <c r="BH784">
        <v>1</v>
      </c>
      <c r="BO784">
        <v>1</v>
      </c>
      <c r="BT784">
        <v>1</v>
      </c>
      <c r="CN784">
        <v>1</v>
      </c>
      <c r="CS784" s="7" t="s">
        <v>947</v>
      </c>
    </row>
    <row r="785" spans="2:98">
      <c r="B785" t="s">
        <v>2495</v>
      </c>
      <c r="C785" s="2" t="s">
        <v>2496</v>
      </c>
      <c r="D785" s="2" t="s">
        <v>2496</v>
      </c>
      <c r="E785" s="8" t="s">
        <v>1630</v>
      </c>
      <c r="F785" s="8" t="s">
        <v>65</v>
      </c>
      <c r="G785" s="1">
        <v>1</v>
      </c>
      <c r="I785" s="1">
        <f>1820-22</f>
        <v>1798</v>
      </c>
      <c r="J785" t="s">
        <v>10</v>
      </c>
      <c r="K785" t="s">
        <v>12</v>
      </c>
      <c r="Q785">
        <v>5</v>
      </c>
      <c r="R785">
        <v>4</v>
      </c>
      <c r="T785" s="5">
        <f t="shared" si="29"/>
        <v>168.52</v>
      </c>
      <c r="U785" t="s">
        <v>2497</v>
      </c>
      <c r="AX785" s="6">
        <v>1</v>
      </c>
      <c r="AY785" s="6">
        <v>1</v>
      </c>
      <c r="AZ785" s="6">
        <v>1</v>
      </c>
      <c r="BA785" s="6">
        <v>1</v>
      </c>
      <c r="BB785" s="6">
        <v>1</v>
      </c>
      <c r="BC785">
        <v>1820</v>
      </c>
      <c r="BD785" t="s">
        <v>81</v>
      </c>
      <c r="BE785" t="s">
        <v>62</v>
      </c>
      <c r="BF785" s="1" t="s">
        <v>73</v>
      </c>
      <c r="BG785" s="1">
        <v>3</v>
      </c>
      <c r="BH785">
        <v>1</v>
      </c>
      <c r="BK785" s="1">
        <v>1</v>
      </c>
      <c r="BQ785">
        <v>1</v>
      </c>
      <c r="CF785">
        <v>1</v>
      </c>
      <c r="CS785" t="s">
        <v>2483</v>
      </c>
    </row>
    <row r="786" spans="2:98">
      <c r="B786" t="s">
        <v>252</v>
      </c>
      <c r="C786" s="2" t="s">
        <v>253</v>
      </c>
      <c r="E786" s="8" t="s">
        <v>254</v>
      </c>
      <c r="F786" s="8" t="s">
        <v>247</v>
      </c>
      <c r="G786" s="1">
        <v>1</v>
      </c>
      <c r="I786" s="1">
        <f>1817-21</f>
        <v>1796</v>
      </c>
      <c r="J786" t="s">
        <v>10</v>
      </c>
      <c r="K786" t="s">
        <v>12</v>
      </c>
      <c r="Q786">
        <v>5</v>
      </c>
      <c r="R786">
        <v>4</v>
      </c>
      <c r="T786" s="5">
        <f t="shared" si="29"/>
        <v>168.52</v>
      </c>
      <c r="U786" t="s">
        <v>251</v>
      </c>
      <c r="AX786" s="6">
        <v>1</v>
      </c>
      <c r="AY786" s="6">
        <v>1</v>
      </c>
      <c r="BC786">
        <v>1817</v>
      </c>
      <c r="BD786" t="s">
        <v>81</v>
      </c>
      <c r="BE786" t="s">
        <v>255</v>
      </c>
      <c r="BF786" s="1" t="s">
        <v>73</v>
      </c>
      <c r="BG786" s="1">
        <v>1</v>
      </c>
      <c r="BH786">
        <v>1</v>
      </c>
      <c r="BN786">
        <v>1</v>
      </c>
      <c r="BO786" t="s">
        <v>72</v>
      </c>
      <c r="BW786">
        <v>1</v>
      </c>
      <c r="CS786" t="s">
        <v>256</v>
      </c>
    </row>
    <row r="787" spans="2:98">
      <c r="B787" t="s">
        <v>401</v>
      </c>
      <c r="C787" s="8" t="s">
        <v>402</v>
      </c>
      <c r="E787" s="8" t="s">
        <v>388</v>
      </c>
      <c r="F787" s="8" t="s">
        <v>247</v>
      </c>
      <c r="G787" s="1">
        <v>1</v>
      </c>
      <c r="I787" s="1">
        <f>1819-26</f>
        <v>1793</v>
      </c>
      <c r="J787" t="s">
        <v>10</v>
      </c>
      <c r="K787" t="s">
        <v>12</v>
      </c>
      <c r="Q787">
        <v>5</v>
      </c>
      <c r="R787">
        <v>6</v>
      </c>
      <c r="T787" s="5">
        <f t="shared" si="29"/>
        <v>173.78</v>
      </c>
      <c r="U787" s="9" t="s">
        <v>403</v>
      </c>
      <c r="AY787" s="9">
        <v>1</v>
      </c>
      <c r="BC787">
        <v>1819</v>
      </c>
      <c r="BD787" t="s">
        <v>81</v>
      </c>
      <c r="BE787" t="s">
        <v>399</v>
      </c>
      <c r="BF787" s="1" t="s">
        <v>73</v>
      </c>
      <c r="BG787" s="1">
        <v>1</v>
      </c>
      <c r="BH787">
        <v>1</v>
      </c>
      <c r="BK787" s="1" t="s">
        <v>72</v>
      </c>
      <c r="BW787">
        <v>1</v>
      </c>
      <c r="CS787" t="s">
        <v>400</v>
      </c>
      <c r="CT787" s="9" t="s">
        <v>404</v>
      </c>
    </row>
    <row r="788" spans="2:98">
      <c r="B788" t="s">
        <v>953</v>
      </c>
      <c r="C788" s="2" t="s">
        <v>952</v>
      </c>
      <c r="D788" s="8" t="s">
        <v>951</v>
      </c>
      <c r="E788" s="8" t="s">
        <v>950</v>
      </c>
      <c r="F788" s="8" t="s">
        <v>949</v>
      </c>
      <c r="G788" s="1">
        <v>1</v>
      </c>
      <c r="I788" s="1">
        <f>1817-27</f>
        <v>1790</v>
      </c>
      <c r="J788" t="s">
        <v>10</v>
      </c>
      <c r="K788" t="s">
        <v>790</v>
      </c>
      <c r="Q788">
        <v>5</v>
      </c>
      <c r="R788">
        <v>4</v>
      </c>
      <c r="S788">
        <v>2</v>
      </c>
      <c r="T788" s="5">
        <f t="shared" si="29"/>
        <v>168.96</v>
      </c>
      <c r="U788" t="s">
        <v>948</v>
      </c>
      <c r="AY788" s="6">
        <v>1</v>
      </c>
      <c r="AZ788" s="6">
        <v>1</v>
      </c>
      <c r="BA788" s="6">
        <v>1</v>
      </c>
      <c r="BB788" s="6">
        <v>1</v>
      </c>
      <c r="BC788" t="s">
        <v>954</v>
      </c>
      <c r="BD788" s="7" t="s">
        <v>103</v>
      </c>
      <c r="BE788" t="s">
        <v>943</v>
      </c>
      <c r="BF788" s="1" t="s">
        <v>29</v>
      </c>
      <c r="BG788" s="1">
        <v>9</v>
      </c>
      <c r="BH788">
        <v>1</v>
      </c>
      <c r="BO788">
        <v>1</v>
      </c>
      <c r="BT788">
        <v>1</v>
      </c>
      <c r="CS788" s="7" t="s">
        <v>955</v>
      </c>
    </row>
    <row r="789" spans="2:98">
      <c r="B789" t="s">
        <v>2511</v>
      </c>
      <c r="C789" s="2" t="s">
        <v>2512</v>
      </c>
      <c r="D789" s="8"/>
      <c r="E789" s="8" t="s">
        <v>2513</v>
      </c>
      <c r="F789" s="8" t="s">
        <v>2514</v>
      </c>
      <c r="H789" s="1">
        <v>1</v>
      </c>
      <c r="I789" s="1">
        <f>1820-23</f>
        <v>1797</v>
      </c>
      <c r="J789" t="s">
        <v>10</v>
      </c>
      <c r="K789" t="s">
        <v>646</v>
      </c>
      <c r="Q789">
        <v>5</v>
      </c>
      <c r="R789">
        <v>2</v>
      </c>
      <c r="T789" s="5">
        <f t="shared" si="29"/>
        <v>163.26</v>
      </c>
      <c r="U789" t="s">
        <v>2515</v>
      </c>
      <c r="BB789" s="6">
        <v>1</v>
      </c>
      <c r="BC789">
        <v>1820</v>
      </c>
      <c r="BD789" t="s">
        <v>81</v>
      </c>
      <c r="BE789" t="s">
        <v>62</v>
      </c>
      <c r="BF789" s="1" t="s">
        <v>73</v>
      </c>
      <c r="BG789" s="1">
        <v>1</v>
      </c>
      <c r="BH789">
        <v>1</v>
      </c>
      <c r="BO789">
        <v>1</v>
      </c>
      <c r="BQ789">
        <v>1</v>
      </c>
      <c r="CS789" t="s">
        <v>2487</v>
      </c>
    </row>
    <row r="1048576" spans="69:69">
      <c r="BQ1048576">
        <f>SUM(BQ4:BQ1048575)</f>
        <v>617</v>
      </c>
    </row>
  </sheetData>
  <mergeCells count="83">
    <mergeCell ref="CD1:CD2"/>
    <mergeCell ref="CC1:CC2"/>
    <mergeCell ref="CG1:CG2"/>
    <mergeCell ref="BX1:BX2"/>
    <mergeCell ref="BY1:BY2"/>
    <mergeCell ref="BZ1:BZ2"/>
    <mergeCell ref="CA1:CA2"/>
    <mergeCell ref="CB1:CB2"/>
    <mergeCell ref="CE1:CE2"/>
    <mergeCell ref="CF1:CF2"/>
    <mergeCell ref="CR1:CR2"/>
    <mergeCell ref="CH1:CH2"/>
    <mergeCell ref="CI1:CI2"/>
    <mergeCell ref="CJ1:CJ2"/>
    <mergeCell ref="CK1:CK2"/>
    <mergeCell ref="CL1:CL2"/>
    <mergeCell ref="CM1:CM2"/>
    <mergeCell ref="CN1:CN2"/>
    <mergeCell ref="CO1:CO2"/>
    <mergeCell ref="CP1:CP2"/>
    <mergeCell ref="CQ1:CQ2"/>
    <mergeCell ref="BN1:BN2"/>
    <mergeCell ref="BW1:BW2"/>
    <mergeCell ref="BO1:BO2"/>
    <mergeCell ref="BL1:BL2"/>
    <mergeCell ref="BP1:BP2"/>
    <mergeCell ref="BQ1:BQ2"/>
    <mergeCell ref="BV1:BV2"/>
    <mergeCell ref="BU1:BU2"/>
    <mergeCell ref="BM1:BM2"/>
    <mergeCell ref="BR1:BT1"/>
    <mergeCell ref="AW1:AW2"/>
    <mergeCell ref="AX1:AX2"/>
    <mergeCell ref="AY1:AY2"/>
    <mergeCell ref="AZ1:AZ2"/>
    <mergeCell ref="BC1:BC2"/>
    <mergeCell ref="BA1:BA2"/>
    <mergeCell ref="BB1:BB2"/>
    <mergeCell ref="BD1:BD2"/>
    <mergeCell ref="BF1:BF2"/>
    <mergeCell ref="BG1:BG2"/>
    <mergeCell ref="BH1:BH2"/>
    <mergeCell ref="BK1:BK2"/>
    <mergeCell ref="BE1:BE2"/>
    <mergeCell ref="BI1:BI2"/>
    <mergeCell ref="BJ1:BJ2"/>
    <mergeCell ref="AV1:AV2"/>
    <mergeCell ref="AK1:AK2"/>
    <mergeCell ref="AL1:AL2"/>
    <mergeCell ref="AM1:AM2"/>
    <mergeCell ref="AN1:AN2"/>
    <mergeCell ref="AO1:AO2"/>
    <mergeCell ref="AP1:AP2"/>
    <mergeCell ref="AQ1:AQ2"/>
    <mergeCell ref="AR1:AR2"/>
    <mergeCell ref="AS1:AS2"/>
    <mergeCell ref="AT1:AT2"/>
    <mergeCell ref="AU1:AU2"/>
    <mergeCell ref="AJ1:AJ2"/>
    <mergeCell ref="Y1:Y2"/>
    <mergeCell ref="Z1:Z2"/>
    <mergeCell ref="AA1:AA2"/>
    <mergeCell ref="AB1:AB2"/>
    <mergeCell ref="AC1:AC2"/>
    <mergeCell ref="AD1:AD2"/>
    <mergeCell ref="AE1:AE2"/>
    <mergeCell ref="AF1:AF2"/>
    <mergeCell ref="AG1:AG2"/>
    <mergeCell ref="AH1:AH2"/>
    <mergeCell ref="AI1:AI2"/>
    <mergeCell ref="O1:P1"/>
    <mergeCell ref="Q1:T1"/>
    <mergeCell ref="V1:V2"/>
    <mergeCell ref="W1:W2"/>
    <mergeCell ref="X1:X2"/>
    <mergeCell ref="L1:N1"/>
    <mergeCell ref="C1:F1"/>
    <mergeCell ref="G1:G2"/>
    <mergeCell ref="H1:H2"/>
    <mergeCell ref="B1:B2"/>
    <mergeCell ref="K1:K2"/>
    <mergeCell ref="J1:J2"/>
    <mergeCell ref="I1:I2"/>
  </mergeCells>
  <hyperlinks>
    <hyperlink ref="C190" r:id="rId1" xr:uid="{E234EF83-CA70-944E-960F-BC7BBF21231D}"/>
    <hyperlink ref="C191" r:id="rId2" xr:uid="{C875304B-71B7-6C4F-87F8-0FC22B67E6DB}"/>
    <hyperlink ref="C590" r:id="rId3" xr:uid="{D6D629BA-A25B-634B-BF52-A5455F548E68}"/>
    <hyperlink ref="C417" r:id="rId4" xr:uid="{53D541B9-C84B-D441-B592-BE74C01D8289}"/>
    <hyperlink ref="C250" r:id="rId5" xr:uid="{7D1F561F-4578-D744-9526-447A36FE96C0}"/>
    <hyperlink ref="C4" r:id="rId6" xr:uid="{49B3B7AF-5C6D-FF4A-BB66-684B1FCEE247}"/>
    <hyperlink ref="C365" r:id="rId7" xr:uid="{F29D71D9-B28A-1145-831A-30959C547E48}"/>
    <hyperlink ref="C281" r:id="rId8" xr:uid="{B8627120-A090-9348-87C5-C57E30F24B54}"/>
    <hyperlink ref="D281" r:id="rId9" xr:uid="{39B992AF-F31B-F240-BA67-028F3C228EA4}"/>
    <hyperlink ref="C274" r:id="rId10" xr:uid="{095CE22D-EB1C-E145-9AE5-51392AB8B01C}"/>
    <hyperlink ref="C369" r:id="rId11" xr:uid="{D181160F-99FD-5E47-A22E-A6B22725BF27}"/>
    <hyperlink ref="C425" r:id="rId12" xr:uid="{FE6BE80B-4914-784C-814D-D646316F21B5}"/>
    <hyperlink ref="C145" r:id="rId13" xr:uid="{83A0AF5A-696D-8045-BA28-2E3AA4524666}"/>
    <hyperlink ref="C148" r:id="rId14" xr:uid="{39781389-8E81-FE4B-8F5F-0DE205EAE5E5}"/>
    <hyperlink ref="C492" r:id="rId15" xr:uid="{A008D5A6-BFB5-604B-8103-4B7B8D531FA3}"/>
    <hyperlink ref="C282" r:id="rId16" xr:uid="{315E5734-8281-C34A-9B3C-3A4C5B24959C}"/>
    <hyperlink ref="D282" r:id="rId17" xr:uid="{B0CA1736-0421-F54C-8D74-AA53FBD217EF}"/>
    <hyperlink ref="C118" r:id="rId18" xr:uid="{7E48FADA-0E7D-3D48-B0C1-ECC35EC6B62A}"/>
    <hyperlink ref="C424" r:id="rId19" xr:uid="{35865429-561E-AF43-9964-E5DBAC02C22E}"/>
    <hyperlink ref="C373" r:id="rId20" xr:uid="{F0BF3262-4751-D042-9DF0-17CCFE53AFE3}"/>
    <hyperlink ref="C390" r:id="rId21" xr:uid="{7D719600-DC27-DD48-BC4E-B11E9D7A4855}"/>
    <hyperlink ref="D390" r:id="rId22" xr:uid="{35F2114C-1F7A-8D45-A578-9BE050F961F2}"/>
    <hyperlink ref="C249" r:id="rId23" xr:uid="{1C480C8B-F72B-0A49-95CC-5624D4995924}"/>
    <hyperlink ref="C251" r:id="rId24" xr:uid="{C975028C-3054-5145-A3BD-92AF6BE739C0}"/>
    <hyperlink ref="C658" r:id="rId25" xr:uid="{1FAE2C50-BD54-A742-A04D-8C57846533A4}"/>
    <hyperlink ref="C786" r:id="rId26" xr:uid="{B98E8DD3-2DC9-E743-A6D0-D1C72A5B5387}"/>
    <hyperlink ref="C272" r:id="rId27" xr:uid="{74E9465C-FEE1-2A4B-9DB0-8ACE304E5748}"/>
    <hyperlink ref="C147" r:id="rId28" xr:uid="{C5519800-E05A-BE48-9E5D-77FA77701873}"/>
    <hyperlink ref="C161" r:id="rId29" xr:uid="{367594DB-B8F1-934E-8DC8-AEAFC743AB68}"/>
    <hyperlink ref="D161" r:id="rId30" xr:uid="{8718FC22-5789-274F-94DE-162EDAD90EEC}"/>
    <hyperlink ref="C144" r:id="rId31" xr:uid="{AAE38B82-C56B-BB48-8867-06A881C557BB}"/>
    <hyperlink ref="C53" r:id="rId32" xr:uid="{9EA5CC9C-FAFE-534F-A4FF-A8DA6781BF30}"/>
    <hyperlink ref="C235" r:id="rId33" xr:uid="{21E501EF-F100-3F4A-A0C5-93F2CDC0B699}"/>
    <hyperlink ref="C84" r:id="rId34" xr:uid="{9A766767-E8BE-F944-BA0D-4F7AB8886391}"/>
    <hyperlink ref="C90" r:id="rId35" xr:uid="{46F5D8C6-9D9A-FC49-8EAA-7E7DC9F70F47}"/>
    <hyperlink ref="C446" r:id="rId36" xr:uid="{C4E209E2-3631-E142-A15C-A17E6233A6B0}"/>
    <hyperlink ref="C477" r:id="rId37" xr:uid="{C370CD6C-AA57-784D-8839-E3A36489BDF6}"/>
    <hyperlink ref="C280" r:id="rId38" xr:uid="{17A68661-F35E-4C44-A9AE-C5E5C7233D9B}"/>
    <hyperlink ref="C278" r:id="rId39" xr:uid="{FF6E46B9-A9ED-B943-8FA3-B3DDF992C94C}"/>
    <hyperlink ref="C720" r:id="rId40" xr:uid="{30A4B7D2-27B7-314A-96FB-F282ED7E3F9D}"/>
    <hyperlink ref="D720" r:id="rId41" xr:uid="{6E1A5B66-AD27-DF4A-A95B-E942130A59DC}"/>
    <hyperlink ref="C736" r:id="rId42" xr:uid="{D5C779D7-B48E-424E-97FF-57499356F8FE}"/>
    <hyperlink ref="C671" r:id="rId43" xr:uid="{3812585C-E987-5E4E-A8DE-2E92806F4E7B}"/>
    <hyperlink ref="D671" r:id="rId44" xr:uid="{C0C5C23C-D6B3-D14A-8AC9-868DF7B71326}"/>
    <hyperlink ref="C3" r:id="rId45" xr:uid="{E8CD276F-8A48-A74E-8D97-1BB573A113EF}"/>
    <hyperlink ref="C336" r:id="rId46" xr:uid="{2BD82EB9-519A-D847-AB3B-B13A19F79B97}"/>
    <hyperlink ref="C307" r:id="rId47" xr:uid="{12636BCF-2383-5A4B-9EE4-D0C695209913}"/>
    <hyperlink ref="C152" r:id="rId48" xr:uid="{9C1CACDC-CF8C-CF40-85DD-5468C6DCA81E}"/>
    <hyperlink ref="C661" r:id="rId49" xr:uid="{9FCED159-4EF9-7B46-A8ED-5AA2C1D45F9D}"/>
    <hyperlink ref="D661" r:id="rId50" xr:uid="{15FCE622-F508-A14A-8ED5-D8FF63F6F5EB}"/>
    <hyperlink ref="C660" r:id="rId51" xr:uid="{FB8A3D00-7A22-D048-B2C6-B1B1716EF081}"/>
    <hyperlink ref="C665" r:id="rId52" xr:uid="{B197FC9C-0BD2-0645-8547-2E4FF71966F0}"/>
    <hyperlink ref="D665" r:id="rId53" xr:uid="{4B5BF877-5114-C041-9FB9-30FB6634F93D}"/>
    <hyperlink ref="D664" r:id="rId54" xr:uid="{E10987E8-4E21-FC47-A901-4D123C1E6E28}"/>
    <hyperlink ref="C659" r:id="rId55" xr:uid="{B1E898AD-BE07-484F-B4D4-3F6D54075433}"/>
    <hyperlink ref="C684" r:id="rId56" xr:uid="{F53FC066-CFFE-3E43-9F35-9D024EB92D3E}"/>
    <hyperlink ref="C668" r:id="rId57" xr:uid="{C68CB4D2-7CC9-9E4B-AF0C-10D071028E21}"/>
    <hyperlink ref="D668" r:id="rId58" xr:uid="{E1E75479-6EBC-3649-AF79-6DEC7FB48D66}"/>
    <hyperlink ref="C675" r:id="rId59" xr:uid="{8370B7D8-DB39-0440-AB98-880C933048FE}"/>
    <hyperlink ref="C297" r:id="rId60" xr:uid="{DA856F7F-78C9-4D40-BDB9-E71AF39E862A}"/>
    <hyperlink ref="D297" r:id="rId61" xr:uid="{17330767-D722-5E44-A182-4C8E80EB103C}"/>
    <hyperlink ref="C601" r:id="rId62" xr:uid="{7282BD35-2E4F-7E48-86E3-1681582916E2}"/>
    <hyperlink ref="D601" r:id="rId63" xr:uid="{B021A175-ECF7-8A4C-A782-6BA584BF045B}"/>
    <hyperlink ref="C678" r:id="rId64" xr:uid="{CDBF3C22-C84B-454D-8662-30D1F4B87DCD}"/>
    <hyperlink ref="D678" r:id="rId65" xr:uid="{EE386A9C-E049-E24F-8F16-B3019A6DC0B6}"/>
    <hyperlink ref="C662" r:id="rId66" xr:uid="{D40C4417-C390-514E-94E6-6B47A5DF6419}"/>
    <hyperlink ref="D662" r:id="rId67" xr:uid="{90DD8E13-29F0-2046-9DDD-E6B1AFFF6774}"/>
    <hyperlink ref="C669" r:id="rId68" xr:uid="{A54595F7-EB76-444D-A164-DA30701DB03F}"/>
    <hyperlink ref="C693" r:id="rId69" xr:uid="{FA85F958-DD89-4E42-83B6-6A83FB912DFD}"/>
    <hyperlink ref="C338" r:id="rId70" xr:uid="{360289D5-76BB-9B44-A2D5-D9DE2CC5ECD5}"/>
    <hyperlink ref="C298" r:id="rId71" xr:uid="{CB4F5EA4-BE93-A943-97D3-9F970CA959F8}"/>
    <hyperlink ref="C302" r:id="rId72" xr:uid="{7CB57F4E-0786-224B-A21C-B62BC1FA27CF}"/>
    <hyperlink ref="C690" r:id="rId73" display="Brno-Starý Lískovec, Slovakia" xr:uid="{628B3FA0-EE21-4D43-ACAA-03D9F4A5BE0A}"/>
    <hyperlink ref="C697" r:id="rId74" xr:uid="{4DDF9480-1A93-A248-8507-6AB2B144E19B}"/>
    <hyperlink ref="D655" r:id="rId75" xr:uid="{5C9B9AE2-9817-CA43-98F4-6EE6760244FE}"/>
    <hyperlink ref="C676" r:id="rId76" xr:uid="{A5284054-74F4-CA43-AEC7-A77C8B630C1D}"/>
    <hyperlink ref="D676" r:id="rId77" xr:uid="{BFBEBBE7-952C-9347-81D8-1F9E368BC132}"/>
    <hyperlink ref="C677" r:id="rId78" xr:uid="{3168637D-61FB-894D-8248-26FCED0607FF}"/>
    <hyperlink ref="D677" r:id="rId79" xr:uid="{17C277B5-66F3-1F49-A03A-5A270B03FBA8}"/>
    <hyperlink ref="C683" r:id="rId80" xr:uid="{D3E731A4-D91B-1F49-A123-D0ED5FC808AF}"/>
    <hyperlink ref="C733" r:id="rId81" xr:uid="{98792150-7680-D84E-9504-0A4681E17D0A}"/>
    <hyperlink ref="D733" r:id="rId82" xr:uid="{828C4701-4658-A74A-B1CB-F889AC2A0554}"/>
    <hyperlink ref="C732" r:id="rId83" xr:uid="{F38AA745-A287-E245-8D9C-A0661D59BCD2}"/>
    <hyperlink ref="D732" r:id="rId84" xr:uid="{1C529667-F814-FB49-B8D2-02E90667B036}"/>
    <hyperlink ref="C734" r:id="rId85" xr:uid="{E4B1F4E8-4B66-5D4C-A3BF-6EB605CDC733}"/>
    <hyperlink ref="C656" r:id="rId86" xr:uid="{81655F0F-BC6A-824D-AEED-1E6E325C51A7}"/>
    <hyperlink ref="C543" r:id="rId87" xr:uid="{EFE051E0-0AAE-3B42-92DE-98B381293987}"/>
    <hyperlink ref="D543" r:id="rId88" xr:uid="{AF62C35E-1BB9-AE46-A8B6-5B085DB48159}"/>
    <hyperlink ref="C633" r:id="rId89" xr:uid="{52F09D62-56FD-2746-942D-439333688E3E}"/>
    <hyperlink ref="C695" r:id="rId90" xr:uid="{D9C9B236-C871-5141-BA7B-74752AABC87F}"/>
    <hyperlink ref="C493" r:id="rId91" xr:uid="{6F4839A9-B80C-7346-9FF7-24BAFB2C3747}"/>
    <hyperlink ref="D493" r:id="rId92" xr:uid="{D719D45C-E89F-F84C-ACF3-F28E43989684}"/>
    <hyperlink ref="C489" r:id="rId93" xr:uid="{7994A3B5-B0D5-EE48-8ECB-5F18F452FC16}"/>
    <hyperlink ref="C696" r:id="rId94" xr:uid="{D897E762-43F2-614B-9FFB-3E5CBEACCC35}"/>
    <hyperlink ref="D696" r:id="rId95" xr:uid="{5610D416-5CC5-9D4D-BB5D-CF6A6FE95C6F}"/>
    <hyperlink ref="C705" r:id="rId96" xr:uid="{6607858D-BF0B-6D44-9B2D-7B8EDEC08CC2}"/>
    <hyperlink ref="C198" r:id="rId97" display="https://www.geonames.org/3073371/" xr:uid="{0DEF46BE-592F-B440-A3FA-6B98FC21D7D0}"/>
    <hyperlink ref="C96" r:id="rId98" xr:uid="{A0A05B9D-4B39-BD4D-B6C7-CCA6C23212E1}"/>
    <hyperlink ref="C184" r:id="rId99" xr:uid="{0C7F18A2-DA5B-B349-9B2F-B2C501C39AD8}"/>
    <hyperlink ref="C177" r:id="rId100" xr:uid="{C90952A2-9C48-994D-920A-BE587FF0A476}"/>
    <hyperlink ref="D177" r:id="rId101" xr:uid="{C9CBF6BE-B5C9-2148-8151-300B9BCAA9FD}"/>
    <hyperlink ref="C63" r:id="rId102" xr:uid="{69568E9D-D6D7-9D48-B3A4-36717D4D0CD6}"/>
    <hyperlink ref="C56" r:id="rId103" display="https://www.geonames.org/711416/" xr:uid="{C97F6143-D70D-3C42-A135-1814E12EA938}"/>
    <hyperlink ref="C60" r:id="rId104" xr:uid="{2E7358E6-8685-D64C-9CFA-EEDEFE60EA46}"/>
    <hyperlink ref="C752" r:id="rId105" xr:uid="{4E6A0362-6B63-8943-9C29-41D606456C1F}"/>
    <hyperlink ref="C757" r:id="rId106" xr:uid="{2657C7A7-8D54-C841-A1D7-29A852A4CBBF}"/>
    <hyperlink ref="C760" r:id="rId107" xr:uid="{1A279BA1-F25B-914F-A650-397198C6520F}"/>
    <hyperlink ref="C762" r:id="rId108" xr:uid="{41EB30BD-2BCE-3B47-962A-0B0C2E037346}"/>
    <hyperlink ref="C764" r:id="rId109" xr:uid="{53A83FD1-1522-5B4C-9411-CD3A27A99DF8}"/>
    <hyperlink ref="C767" r:id="rId110" xr:uid="{93D9B4BC-C95B-704A-AA1F-D9FAD22B9F5B}"/>
    <hyperlink ref="C769" r:id="rId111" xr:uid="{45E5FA37-E474-8B46-A574-2EC95A2CF6EB}"/>
    <hyperlink ref="E769" r:id="rId112" xr:uid="{05DFFA2B-4895-4941-8642-61F056EFBAC8}"/>
    <hyperlink ref="C773" r:id="rId113" xr:uid="{C9B5EF99-C378-D94E-901D-8610B1D4FB40}"/>
    <hyperlink ref="C775" r:id="rId114" xr:uid="{1677D012-2EAB-6A46-9DC6-85ACD5A35767}"/>
    <hyperlink ref="C770" r:id="rId115" xr:uid="{347109E9-C335-A840-B387-A6171764D106}"/>
    <hyperlink ref="C651" r:id="rId116" xr:uid="{AE2ACA28-5C8A-D142-8D7C-83655F0E6009}"/>
    <hyperlink ref="C140" r:id="rId117" xr:uid="{74E65628-D5FE-214E-B854-D0044381D6DA}"/>
    <hyperlink ref="C596" r:id="rId118" xr:uid="{3C3428DC-FE73-FC41-8823-763CBD306868}"/>
    <hyperlink ref="C599" r:id="rId119" xr:uid="{C0358601-230D-8647-8A25-52E736F090C0}"/>
    <hyperlink ref="C645" r:id="rId120" xr:uid="{FB76277F-92F5-F24F-A304-5459C3FAA463}"/>
    <hyperlink ref="C652" r:id="rId121" xr:uid="{A5064204-BC5A-DE4D-8B9D-493033A4269F}"/>
    <hyperlink ref="C245" r:id="rId122" xr:uid="{2DA11DA9-DB83-314E-9549-808BECD38530}"/>
    <hyperlink ref="C701" r:id="rId123" xr:uid="{89DED517-0DB6-D443-9C7A-CBE83919F5CB}"/>
    <hyperlink ref="D701" r:id="rId124" xr:uid="{546D2936-BB99-9344-B30F-D94B9EE05A99}"/>
    <hyperlink ref="D593" r:id="rId125" display="https://www.geonames.org/762390/" xr:uid="{602645F2-61E9-284A-9AA4-ADD3B48D113A}"/>
    <hyperlink ref="C57" r:id="rId126" display="https://www.geonames.org/711416/" xr:uid="{9A4B8A63-3C50-694A-BD81-AE9A2098D5F5}"/>
    <hyperlink ref="C64" r:id="rId127" display="https://www.geonames.org/693700/" xr:uid="{3119E088-4B09-7345-8F49-1FEEF419989B}"/>
    <hyperlink ref="C187" r:id="rId128" display="https://www.geonames.org/756135/" xr:uid="{55F0FE2E-2E81-3B45-9383-9D32EA02002F}"/>
    <hyperlink ref="C65" r:id="rId129" xr:uid="{4DE70EA1-E856-7448-9986-BF4E052EC76F}"/>
    <hyperlink ref="C67" r:id="rId130" xr:uid="{4C45AC77-40A3-A641-BF54-8FAACAB0E8C3}"/>
    <hyperlink ref="C71" r:id="rId131" xr:uid="{EA2F25C4-CD99-A54E-B7F9-00F71D2E3364}"/>
    <hyperlink ref="C97" r:id="rId132" display="https://www.geonames.org/627904/" xr:uid="{53F3AE36-9F15-AA4D-9ECC-B21A227D01AE}"/>
    <hyperlink ref="C197" r:id="rId133" display="https://www.geonames.org/756046/" xr:uid="{597B1A66-D04D-194A-AE3B-0BA5721583D5}"/>
    <hyperlink ref="C58" r:id="rId134" display="https://www.geonames.org/711416/" xr:uid="{C68D4915-8A07-A540-80D7-F23BAA0378A7}"/>
    <hyperlink ref="D58" r:id="rId135" display="https://www.geonames.org/711416/" xr:uid="{89DCF345-6BEC-BC4A-89D3-9E15F0B4EDA9}"/>
    <hyperlink ref="C779" r:id="rId136" display="https://www.geonames.org/2775220/" xr:uid="{C7159894-3DBC-D840-A44A-79F5522A65D2}"/>
    <hyperlink ref="C784:D784" r:id="rId137" display="https://www.geonames.org/2775220/" xr:uid="{93E2B5CF-E0A5-F947-AFDD-937A46A93499}"/>
    <hyperlink ref="C788" r:id="rId138" display="https://www.geonames.org/2775742/" xr:uid="{A178A475-A9F7-4645-AB5E-46055022CBE1}"/>
    <hyperlink ref="C100" r:id="rId139" display="https://www.geonames.org/702550+I12:J13" xr:uid="{A4651AF2-67ED-A74B-A811-AE35D4624D6C}"/>
    <hyperlink ref="C69" r:id="rId140" xr:uid="{71CF280D-ACAA-3F46-8A3E-B947C109CE94}"/>
    <hyperlink ref="C131" r:id="rId141" display="https://www.geonames.org/756377/" xr:uid="{23A70D1E-DBEE-C74F-A3BD-9A26517C883C}"/>
    <hyperlink ref="C59" r:id="rId142" display="https://www.geonames.org/711416/" xr:uid="{E28540AA-4943-3145-B400-6E2BAC6BA280}"/>
    <hyperlink ref="D59" r:id="rId143" display="https://www.geonames.org/711416/" xr:uid="{0C6AAEE2-82F6-C043-96E7-C7FAD0D0F28C}"/>
    <hyperlink ref="C61" r:id="rId144" display="https://www.geonames.org/711416/" xr:uid="{D9FA45E4-19DD-EC47-B562-839F0AB5686A}"/>
    <hyperlink ref="D61" r:id="rId145" display="https://www.geonames.org/711416/" xr:uid="{F47B640A-17D2-744C-B934-C2E82374B450}"/>
    <hyperlink ref="C73" r:id="rId146" display="https://www.geonames.org/711416/" xr:uid="{CC32CCF3-10C4-4642-8FD8-D6985B2D65A6}"/>
    <hyperlink ref="C186" r:id="rId147" display="https://www.geonames.org/711416/" xr:uid="{314CBA7A-A4C8-7A48-8EDF-E08DDCBA02B8}"/>
    <hyperlink ref="C674" r:id="rId148" display="https://www.geonames.org/3075053/" xr:uid="{C3124878-4168-7749-98C4-003C71471694}"/>
    <hyperlink ref="C687" r:id="rId149" xr:uid="{3E0E0D74-554C-B746-AEF3-FDC1E8427EBC}"/>
    <hyperlink ref="C686" r:id="rId150" xr:uid="{9989A0CD-A174-E840-84B8-37E80140B8BD}"/>
    <hyperlink ref="C688" r:id="rId151" xr:uid="{618BE226-5294-0446-8109-9D0139643BE9}"/>
    <hyperlink ref="C704" r:id="rId152" display="https://www.geonames.org/3075493/" xr:uid="{1194927E-9427-4D47-AD74-01AC119164FE}"/>
    <hyperlink ref="C728" r:id="rId153" display="https://www.geonames.org/3061750/" xr:uid="{D8AADEFB-7431-2E46-8A56-F78A5E4A79B2}"/>
    <hyperlink ref="C726" r:id="rId154" display="https://www.geonames.org/3049880/" xr:uid="{C2CD81F4-F944-604B-B9FB-63C6CA8CDFF6}"/>
    <hyperlink ref="C685" r:id="rId155" xr:uid="{90986D64-3BA8-EE4C-BC35-55D4F6B3EF89}"/>
    <hyperlink ref="C721" r:id="rId156" xr:uid="{B57F0770-CB7A-4445-8EFB-92E512622921}"/>
    <hyperlink ref="C218" r:id="rId157" xr:uid="{EA37D1F2-B377-9C42-A0A5-E2210ECAFE3B}"/>
    <hyperlink ref="C445" r:id="rId158" display="https://www.geonames.org/690548/" xr:uid="{043D8E36-BDA6-2A48-9203-0D16D2D4E609}"/>
    <hyperlink ref="C350" r:id="rId159" display="https://www.google.com/maps/place/094+31+Hanu%C5%A1ovce+nad+Top%C4%BEou,+Slovakia/@49.0268087,21.4693221,12.55z/data=!4m5!3m4!1s0x473e9576d66b6307:0x400f7d1c6977d40!8m2!3d49.0273908!4d21.5022433" xr:uid="{CB32811A-0366-B04E-A442-5FCCAB7166C2}"/>
    <hyperlink ref="C524" r:id="rId160" display="https://www.geonames.org/763534/" xr:uid="{8D18B564-6FE6-1C4B-BD06-E5BEF15E5A40}"/>
    <hyperlink ref="C530" r:id="rId161" display="https://www.geonames.org/720059/" xr:uid="{A1279CA0-249A-8246-B934-6DEFD241C657}"/>
    <hyperlink ref="C532" r:id="rId162" display="https://www.geonames.org/717980/" xr:uid="{4B65F1A1-4ED1-DC4D-A147-14A1EE0A2930}"/>
    <hyperlink ref="C587" r:id="rId163" display="https://www.geonames.org/723731/" xr:uid="{B77C6BCD-B197-3043-8A3C-5611EAA6A39D}"/>
    <hyperlink ref="C586" r:id="rId164" display="https://www.geonames.org/724468/" xr:uid="{057BF293-D7E5-F24D-937A-7C9D64A637CC}"/>
    <hyperlink ref="C729" r:id="rId165" display="https://www.geonames.org/671768/" xr:uid="{95F9951F-5EA4-FB4E-B550-9DB49D7C61AC}"/>
    <hyperlink ref="C730" r:id="rId166" display="https://www.geonames.org/700646/" xr:uid="{7228A221-F42F-CC43-91D6-79BAEDDE24C1}"/>
    <hyperlink ref="C563" r:id="rId167" display="https://www.geonames.org/723087/" xr:uid="{D664F43B-38E4-3C4F-869B-B8536E5BB2ED}"/>
    <hyperlink ref="C567" r:id="rId168" display="https://www.geonames.org/723698/" xr:uid="{D22426A0-D11A-6D43-B324-6C6FDD3C8EEA}"/>
    <hyperlink ref="C521" r:id="rId169" display="https://www.geonames.org/724741/" xr:uid="{D0571D30-3A58-314C-A92C-10C80F369093}"/>
    <hyperlink ref="C519" r:id="rId170" display="https://www.geonames.org/724181/" xr:uid="{26DB13C5-A0D6-FC4C-A4AD-604614EA18F4}"/>
    <hyperlink ref="C511" r:id="rId171" display="https://www.geonames.org/723246/" xr:uid="{6A970BC5-F410-6442-A147-BDBA7B529D5E}"/>
    <hyperlink ref="C509" r:id="rId172" display="https://www.geonames.org/723526/" xr:uid="{E776E3A4-16DA-E04F-94D7-1C6A6D6593CC}"/>
    <hyperlink ref="C755" r:id="rId173" display="https://www.geonames.org/3064373/" xr:uid="{6AA4F624-AE6A-9E45-82B0-B07B8F632A6F}"/>
    <hyperlink ref="D755" r:id="rId174" display="https://www.geonames.org/3064373/" xr:uid="{558FACA4-6CDF-AD4A-B10E-56B7A259FCD9}"/>
    <hyperlink ref="C703" r:id="rId175" display="https://www.geonames.org/3071194/" xr:uid="{75CD46A2-4E24-464B-89B8-4CFFDE49D681}"/>
    <hyperlink ref="C341" r:id="rId176" display="https://www.geonames.org/723400/" xr:uid="{2031D154-0F78-D940-AB12-E645FD76150B}"/>
    <hyperlink ref="C512" r:id="rId177" display="https://www.geonames.org/724579/" xr:uid="{5B6DB3B8-A408-E047-8520-D004FA1A13C6}"/>
    <hyperlink ref="C589" r:id="rId178" display="https://www.geonames.org/724144/" xr:uid="{9A535328-5234-734A-9668-ED2AD1F1049E}"/>
    <hyperlink ref="C525" r:id="rId179" display="https://www.geonames.org/12057721/" xr:uid="{56C94470-5571-F744-A9E8-90309B108936}"/>
    <hyperlink ref="C520" r:id="rId180" display="https://www.geonames.org/724392/" xr:uid="{729B2026-35F0-7844-8CFF-99B8BB922849}"/>
    <hyperlink ref="C535" r:id="rId181" display="https://www.geonames.org/3056437/" xr:uid="{B33EED36-4F47-C345-B3D7-21C8112E05C7}"/>
    <hyperlink ref="C466" r:id="rId182" xr:uid="{264D4C60-8D18-E646-BE88-8F5379D1CCE9}"/>
    <hyperlink ref="C531" r:id="rId183" display="https://www.geonames.org/763519/" xr:uid="{60433399-2712-E145-8B5F-BAB66B5CB632}"/>
    <hyperlink ref="C516" r:id="rId184" display="https://www.geonames.org/724632" xr:uid="{FC9308EE-1321-AA4B-83F9-B2BE7F666483}"/>
    <hyperlink ref="C564" r:id="rId185" display="https://www.geonames.org/723195/" xr:uid="{FDC9F59E-D5CD-DB45-8859-3B7CE93F7789}"/>
    <hyperlink ref="C529" r:id="rId186" display="https://www.geonames.org/720533/" xr:uid="{04F8B605-F986-044E-8CF5-2E086B5E494B}"/>
    <hyperlink ref="C751" r:id="rId187" display="https://www.geonames.org/3076573/" xr:uid="{88E72E80-F6B9-B448-9189-20C656482BFE}"/>
    <hyperlink ref="D751" r:id="rId188" display="https://www.geonames.org/3076573/" xr:uid="{6D052FC4-9683-814F-B7C2-2E5561313E66}"/>
    <hyperlink ref="C569" r:id="rId189" display="https://www.geonames.org/723087/" xr:uid="{735C61A5-F538-D54D-8D8E-90DB6C6EDADD}"/>
    <hyperlink ref="C528" r:id="rId190" display="https://www.geonames.org/766980/" xr:uid="{739C3FAC-EE6E-7A47-A7F7-755F5686EDF9}"/>
    <hyperlink ref="C585" r:id="rId191" display="https://www.geonames.org/3047211/" xr:uid="{7F2B4CE6-265C-B249-B58F-57CD6651A4A7}"/>
    <hyperlink ref="C570" r:id="rId192" display="https://www.geonames.org/776458/" xr:uid="{E726CAB4-565A-9945-854C-D265FE8AC04C}"/>
    <hyperlink ref="C527" r:id="rId193" display="https://www.geonames.org/770380/" xr:uid="{A0667E21-FDC1-D348-B79D-B90BE94B8823}"/>
    <hyperlink ref="D527" r:id="rId194" display="https://www.geonames.org/770380/" xr:uid="{07FF15E8-15B5-5B4D-9ADC-9D5D7DE800A4}"/>
    <hyperlink ref="C566" r:id="rId195" display="https://www.geonames.org/724107/" xr:uid="{D3995B57-94F0-494A-9C48-7A528770F994}"/>
    <hyperlink ref="C534" r:id="rId196" display="https://www.geonames.org/723980/" xr:uid="{5AE0D89A-2BFF-CF4A-8055-CB2F2F4E5CF5}"/>
    <hyperlink ref="C510" r:id="rId197" display="https://www.geonames.org/724443/" xr:uid="{B05E3641-5061-B044-9061-0DDDA4FFB8A5}"/>
    <hyperlink ref="C523" r:id="rId198" display="https://www.geonames.org/725166/" xr:uid="{619B1E3B-0B7F-AA43-BE0E-D5C4F751F685}"/>
    <hyperlink ref="C588" r:id="rId199" display="https://www.geonames.org/720059/" xr:uid="{F054AE6F-7CE3-8544-886B-FBF889CD6132}"/>
    <hyperlink ref="C572" r:id="rId200" display="https://www.geonames.org/766452/" xr:uid="{40D43342-9763-C443-9C02-3A146B8217BF}"/>
    <hyperlink ref="C573" r:id="rId201" display="https://www.geonames.org/766452/" xr:uid="{E947F66E-D437-7843-9E4C-6466D3EC1272}"/>
    <hyperlink ref="C514" r:id="rId202" display="https://www.geonames.org/776331/" xr:uid="{99978191-97FF-F647-B91F-F9EFAAEAAC2A}"/>
    <hyperlink ref="C513" r:id="rId203" display="https://www.geonames.org/758314/" xr:uid="{E8C3D332-E0B6-824A-9650-7BA166FB32C1}"/>
    <hyperlink ref="C518" r:id="rId204" display="https://www.geonames.org/723311/" xr:uid="{4D0EFF87-6CB7-0946-B6FC-EB5903F24F29}"/>
    <hyperlink ref="C574" r:id="rId205" display="https://www.geonames.org/725168/" xr:uid="{41934869-3B79-F14E-B699-AD3BD4B4E268}"/>
    <hyperlink ref="C285" r:id="rId206" xr:uid="{15B74566-1C0B-DC45-A200-A9A8870CEFFD}"/>
    <hyperlink ref="D285" r:id="rId207" xr:uid="{2BCFC198-68DD-0341-A581-D5E9547013F6}"/>
    <hyperlink ref="C753" r:id="rId208" display="https://www.geonames.org/3066727/" xr:uid="{05EF91ED-35E7-204A-9622-B1D811660B5A}"/>
    <hyperlink ref="C765" r:id="rId209" display="https://www.geonames.org/711416/" xr:uid="{11F186F9-61F8-104B-A5B7-9ECE3FF4439E}"/>
    <hyperlink ref="C750" r:id="rId210" display="https://www.geonames.org/700696/" xr:uid="{1E64823B-1B2E-944B-B98D-88E170AC7D24}"/>
    <hyperlink ref="D750" r:id="rId211" display="https://www.geonames.org/700696/" xr:uid="{C9BC1CB4-E7E4-1B4E-BE3E-55829810D2CE}"/>
    <hyperlink ref="C672" r:id="rId212" display="https://www.geonames.org/709808/" xr:uid="{B47FB663-AC50-0343-85A1-4C0A6FBDE82A}"/>
    <hyperlink ref="C673" r:id="rId213" display="https://www.geonames.org/680366/" xr:uid="{E2FF50D5-CF21-AC4E-A701-967D547F90C7}"/>
    <hyperlink ref="C467" r:id="rId214" display="https://www.geonames.org/3064989/" xr:uid="{94138544-FB1A-124A-A21A-6DDCF6584F9C}"/>
    <hyperlink ref="D467" r:id="rId215" display="https://www.geonames.org/3078287/" xr:uid="{B1F17568-D13E-B541-8E68-DCC7CB8BC05E}"/>
    <hyperlink ref="C604" r:id="rId216" display="https://www.geonames.org/3077594/" xr:uid="{769501D0-AB88-B649-9E3C-0CB9EE7E3BB5}"/>
    <hyperlink ref="D604" r:id="rId217" display="https://www.geonames.org/3078838/" xr:uid="{86FCDC4E-F637-FB44-BCF6-8CE1980A3B99}"/>
    <hyperlink ref="C756" r:id="rId218" display="https://www.geonames.org/723909/" xr:uid="{1B47E544-2613-E447-B882-776C5AE9189D}"/>
    <hyperlink ref="C754" r:id="rId219" display="https://www.geonames.org/759734/" xr:uid="{2B38C18B-BAE1-0E40-8118-8D8AAAD2D772}"/>
    <hyperlink ref="D754" r:id="rId220" display="https://www.geonames.org/759734/" xr:uid="{90926D3E-89FB-C040-9CE1-33E416B46413}"/>
    <hyperlink ref="C340" r:id="rId221" xr:uid="{E6996CBA-E7A8-E44E-AC10-6527A4D94DB2}"/>
    <hyperlink ref="C179" r:id="rId222" display="https://www.geonames.org/3085867/" xr:uid="{0D0418DE-78B4-5F4B-9904-5B8B4D3EA6BF}"/>
    <hyperlink ref="C427" r:id="rId223" display="https://www.geonames.org/770966/" xr:uid="{EEC4926F-72C2-DB4C-8C98-7361CA149BAA}"/>
    <hyperlink ref="C437" r:id="rId224" display="https://www.geonames.org/756438/" xr:uid="{C74BC450-9C33-984B-A219-C053B076CCC7}"/>
    <hyperlink ref="C379" r:id="rId225" display="https://www.geonames.org/696966/" xr:uid="{83981A1D-73CF-AB46-BC2E-418F342057D3}"/>
    <hyperlink ref="C102" r:id="rId226" display="https://www.geonames.org/765876/" xr:uid="{62B058FA-0652-3C45-9C1C-2DFAEA3644FA}"/>
    <hyperlink ref="C429" r:id="rId227" display="https://www.geonames.org/707099/" xr:uid="{FEC31043-EC9F-004F-89DC-D45677144679}"/>
    <hyperlink ref="C724" r:id="rId228" display="https://www.geonames.org/763534/" xr:uid="{3D5F73BF-609F-6743-9863-FB1D2A0A71B6}"/>
    <hyperlink ref="C283" r:id="rId229" display="https://www.geonames.org/756624/" xr:uid="{47F7E435-0834-9A4E-967D-1784C95093B6}"/>
    <hyperlink ref="D283" r:id="rId230" display="https://www.geonames.org/756624/" xr:uid="{E14A9811-4630-C448-8E7B-C89AC4F7DDB8}"/>
    <hyperlink ref="C346" r:id="rId231" display="https://www.google.com/maps/place/27-400+Ostrowiec,+Poland/@50.9493601,21.336445,12z/data=!4m5!3m4!1s0x4718090859a93061:0x9d6c98b21ad8f8f3!8m2!3d50.9295479!4d21.385231" xr:uid="{F6878F4E-0F52-F549-A678-5B416205B525}"/>
    <hyperlink ref="C196" r:id="rId232" display="https://www.geonames.org/770425/" xr:uid="{5619A238-D670-174B-8935-36B74EE75B9A}"/>
    <hyperlink ref="C348" r:id="rId233" xr:uid="{41AB2CB3-E1E3-D54A-BF39-FD964EB20546}"/>
    <hyperlink ref="C134" r:id="rId234" xr:uid="{1DE5E815-F05F-DF45-AEFB-6F571C1331EA}"/>
    <hyperlink ref="C327" r:id="rId235" display="https://www.geonames.org/770005/" xr:uid="{F9398DC2-4D6D-7340-BBE4-93396D44DFFF}"/>
    <hyperlink ref="C470" r:id="rId236" display="https://www.geonames.org/763121/" xr:uid="{68B6C12E-F206-0F4F-BA67-0842C3154FB8}"/>
    <hyperlink ref="D470" r:id="rId237" display="https://www.geonames.org/763121/" xr:uid="{5A6F72D8-FAF8-8146-8EC9-6C5DED14E484}"/>
    <hyperlink ref="C469" r:id="rId238" display="https://www.geonames.org/763121/" xr:uid="{302309FC-C91D-AA43-8070-F138C1C44601}"/>
    <hyperlink ref="C266" r:id="rId239" display="https://www.geonames.org/759734/" xr:uid="{07391BD5-6019-A64B-989D-8A19203AD5EF}"/>
    <hyperlink ref="C228" r:id="rId240" display="https://www.geonames.org/767623/" xr:uid="{6145553F-27C0-BC47-AE5C-6F7236C4EBC6}"/>
    <hyperlink ref="C150" r:id="rId241" display="https://www.geonames.org/766980/" xr:uid="{54FB19D2-5148-E74C-B0BA-617307CE675D}"/>
    <hyperlink ref="D150" r:id="rId242" display="https://www.geonames.org/766980/" xr:uid="{72AD9FED-40C8-CA49-A666-B26372341126}"/>
    <hyperlink ref="C211" r:id="rId243" display="https://www.geonames.org/711850/" xr:uid="{74DF01E1-D02D-DF43-B26F-2731FBE74C1F}"/>
    <hyperlink ref="C201" r:id="rId244" display="https://www.geonames.org/707099/" xr:uid="{C4500C73-8DD8-D440-B576-D44F36BBEA84}"/>
    <hyperlink ref="C380" r:id="rId245" display="https://www.geonames.org/708082/" xr:uid="{E6DE3118-00C4-844D-ABAA-61D8C741C301}"/>
    <hyperlink ref="C403" r:id="rId246" display="https://www.geonames.org/2925533/" xr:uid="{2410DA87-CFF7-A74E-A64D-71871BD46470}"/>
    <hyperlink ref="C366" r:id="rId247" display="https://www.geonames.org/775922/" xr:uid="{DF837508-7F67-5C4C-9433-0362F35808A7}"/>
    <hyperlink ref="C236" r:id="rId248" xr:uid="{32B71E2F-EB13-5C49-9141-18F54505410F}"/>
    <hyperlink ref="C421" r:id="rId249" display="https://www.geonames.org/710554/" xr:uid="{E2B75470-60B0-5846-918A-B34DD49BDA0B}"/>
    <hyperlink ref="C772" r:id="rId250" display="https://www.geonames.org/772857/" xr:uid="{BF5BDDBE-BC29-D641-83A1-5F73D0C0EF9C}"/>
    <hyperlink ref="C707" r:id="rId251" display="https://www.geonames.org/693376/" xr:uid="{61C79161-11B5-7748-9F24-A33078A9B82A}"/>
    <hyperlink ref="C708" r:id="rId252" display="https://www.geonames.org/693376/" xr:uid="{FED919D7-0410-2D4A-9EF8-DF54D5DBB12C}"/>
    <hyperlink ref="C261" r:id="rId253" xr:uid="{7CB1C377-47F9-144D-AFF1-6EA078570B18}"/>
    <hyperlink ref="C378" r:id="rId254" display="https://www.geonames.org/691650/" xr:uid="{45762449-A311-FD48-892A-E2B0ADBA8038}"/>
    <hyperlink ref="C435" r:id="rId255" display="https://www.geonames.org/711416/" xr:uid="{F849B814-7301-7647-A964-9540EBDFFD56}"/>
    <hyperlink ref="C195" r:id="rId256" display="https://www.geonames.org/554234/" xr:uid="{54FE9E98-E150-2847-93AE-FCA2EC8D6F6A}"/>
    <hyperlink ref="C238" r:id="rId257" display="https://www.geonames.org/768217/" xr:uid="{650945CF-7A99-984A-8644-D0AB5D7D62CC}"/>
    <hyperlink ref="C279" r:id="rId258" xr:uid="{6FB91D82-10F3-7341-A3FC-30E8D4B00527}"/>
    <hyperlink ref="D279" r:id="rId259" xr:uid="{363EAA2A-CB4E-A248-B7B9-DCC821D6BB8E}"/>
    <hyperlink ref="D269" r:id="rId260" display="https://www.geonames.org/758252/" xr:uid="{75342A1B-AA3F-934F-BC56-94F231E2806C}"/>
    <hyperlink ref="C375" r:id="rId261" display="https://www.geonames.org/705392/" xr:uid="{BF74E119-EE08-9745-8F4C-E13E08972A83}"/>
    <hyperlink ref="D375" r:id="rId262" display="https://www.geonames.org/705392/" xr:uid="{9C5F331E-4410-4243-BDCA-7115ADD8C6E2}"/>
    <hyperlink ref="C385" r:id="rId263" xr:uid="{7BB90331-0A47-8B42-9421-BA83F2BCB3EC}"/>
    <hyperlink ref="C286" r:id="rId264" display="https://www.geonames.org/754507/" xr:uid="{C0721851-DAE1-D748-A81E-437081F147F8}"/>
    <hyperlink ref="C426" r:id="rId265" display="https://www.geonames.org/693301/" xr:uid="{475AEEEC-68E9-194F-BF85-6915249B92F4}"/>
    <hyperlink ref="D426" r:id="rId266" display="https://www.geonames.org/693301/" xr:uid="{D5919FC4-3E7D-1F4A-82EC-8BF78B245449}"/>
    <hyperlink ref="C262" r:id="rId267" xr:uid="{ADA0146F-40F7-BE48-950A-4A844AF7F73B}"/>
    <hyperlink ref="C422" r:id="rId268" xr:uid="{9BCAA6E4-6C0D-7348-854D-C2E690CDD575}"/>
    <hyperlink ref="C258" r:id="rId269" xr:uid="{4D06A607-3281-A847-8227-35FDAF935C71}"/>
    <hyperlink ref="C486" r:id="rId270" display="https://www.geonames.org/765876/" xr:uid="{3BCE2A39-C4D2-D44F-B112-0CF8403EA66F}"/>
    <hyperlink ref="D486" r:id="rId271" display="https://www.geonames.org/765876/" xr:uid="{C052BEF0-CB50-2D44-9DB6-81D99C16EB93}"/>
    <hyperlink ref="C300" r:id="rId272" display="https://www.geonames.org/763410/" xr:uid="{100E784C-1096-3746-8629-A55EC7F3B1FA}"/>
    <hyperlink ref="D289" r:id="rId273" display="Z FULL Service Records/BALDIS:BARTLEL, Victor (1799-1805:6) %5bConvert%3f%5d/Wodzisław, Poland" xr:uid="{D154B8EB-E3DB-4444-BC28-99C268A7563F}"/>
    <hyperlink ref="C33" r:id="rId274" display="https://www.geonames.org/694278/" xr:uid="{AA695B98-6842-C24C-92BA-492A0190725B}"/>
    <hyperlink ref="C444" r:id="rId275" display="https://www.geonames.org/2845694/" xr:uid="{A10429F3-AB5A-B546-8C57-14FD657D860D}"/>
    <hyperlink ref="C694" r:id="rId276" display="https://www.geonames.org/3077769/" xr:uid="{A8F387A9-CEEB-7F42-9C2D-3F0D10CEFC2B}"/>
    <hyperlink ref="D694" r:id="rId277" display="https://www.geonames.org/3061350/" xr:uid="{7107434F-90DF-2C47-AFA6-84E43E3D5A89}"/>
    <hyperlink ref="D495" r:id="rId278" display="https://www.geonames.org/708380/" xr:uid="{BC4B15D8-2465-0E49-A406-F6015324450B}"/>
    <hyperlink ref="C553" r:id="rId279" display="https://www.geonames.org/702550+I12:J13" xr:uid="{3F9AA232-082F-724D-9691-7C6AC65DE279}"/>
    <hyperlink ref="D553" r:id="rId280" display="https://www.geonames.org/702550+I12:J13" xr:uid="{FECA60AA-F574-CC47-B3D5-DA1E98EB4567}"/>
    <hyperlink ref="D275" r:id="rId281" display="https://www.geonames.org/762863/" xr:uid="{A279E8FE-9089-1943-B4F0-621E3C9DFF12}"/>
    <hyperlink ref="C74" r:id="rId282" display="https://www.geonames.org/761131/" xr:uid="{65DB8AE7-BDA3-5E49-BEDE-18C3B178C993}"/>
    <hyperlink ref="C463" r:id="rId283" display="https://www.geonames.org/3181633/" xr:uid="{92EC9EB0-04D5-5A42-AAF2-4AC2769181BF}"/>
    <hyperlink ref="C256" r:id="rId284" display="https://www.geonames.org/770001/" xr:uid="{BC187D16-86B3-4F46-A0CB-6768BC36FF04}"/>
    <hyperlink ref="C479" r:id="rId285" display="https://www.geonames.org/2618425/" xr:uid="{6D749521-12D4-7949-A89B-9F698693D351}"/>
    <hyperlink ref="C474" r:id="rId286" display="https://www.geonames.org/629634/" xr:uid="{2BF73179-C0DF-1E44-85F8-6FBE28C9BF4E}"/>
    <hyperlink ref="C273" r:id="rId287" display="https://www.geonames.org/757050/" xr:uid="{9878E3E2-3824-E943-94F6-2FEFFB6630EF}"/>
    <hyperlink ref="D273" r:id="rId288" display="https://www.geonames.org/757050/" xr:uid="{123489AC-9114-F348-9585-445987CA28C6}"/>
    <hyperlink ref="C225" r:id="rId289" display="https://www.geonames.org/760849/" xr:uid="{C378C0FD-3B94-B44B-BCFF-56AACAF9D6BF}"/>
    <hyperlink ref="C602" r:id="rId290" display="https://www.geonames.org/760769/" xr:uid="{9EDE55D6-C5EE-294D-816B-3DFFE58CF0A6}"/>
    <hyperlink ref="C597" r:id="rId291" display="https://www.geonames.org/771313/" xr:uid="{78A9A6B8-D64F-4743-B477-104553937C30}"/>
    <hyperlink ref="D597" r:id="rId292" display="https://www.geonames.org/771313/" xr:uid="{65A9D4DB-2049-6A40-9AAE-8A7458B11AE4}"/>
    <hyperlink ref="C189" r:id="rId293" display="https://www.geonames.org/756135/" xr:uid="{C4A68FDE-BD8F-164A-AF46-20757154EE7B}"/>
    <hyperlink ref="C592" r:id="rId294" display="https://www.geonames.org/763534/" xr:uid="{731A8D74-E1AB-CB45-86BE-DF5B5EDF1C11}"/>
    <hyperlink ref="C603" r:id="rId295" display="https://www.geonames.org/767198/" xr:uid="{DA47CDDA-44FF-5A41-BF7C-6EA4F3BAD4B4}"/>
    <hyperlink ref="D603" r:id="rId296" display="https://www.geonames.org/757026/" xr:uid="{6D701294-A2EC-C549-B810-A2FD54D28900}"/>
    <hyperlink ref="C641" r:id="rId297" display="https://www.geonames.org/692702/" xr:uid="{2A41D912-D3D0-C04B-B61F-31272A4A259D}"/>
    <hyperlink ref="D641" r:id="rId298" display="https://www.geonames.org/694864/" xr:uid="{07C686BC-AD66-8745-8888-44079168F8E8}"/>
    <hyperlink ref="C648" r:id="rId299" display="https://www.geonames.org/771069/" xr:uid="{AE883FCC-CF9E-2944-AB71-DB041057D2A3}"/>
    <hyperlink ref="D648" r:id="rId300" display="https://www.geonames.org/771069/" xr:uid="{3C49F834-9748-4648-A180-1A71DB47C454}"/>
    <hyperlink ref="C647" r:id="rId301" display="https://www.geonames.org/770380/" xr:uid="{BFDBAAF4-BEF8-8541-A9DD-136F3DC07C43}"/>
    <hyperlink ref="C234" r:id="rId302" display="https://www.geonames.org/763107/" xr:uid="{414CDFF6-684F-4546-BB01-28B2DA489EDB}"/>
    <hyperlink ref="C392" r:id="rId303" display="https://www.geonames.org/759734/" xr:uid="{84D8FDCB-7066-4944-A7F8-C89BBC2F5E39}"/>
    <hyperlink ref="D392" r:id="rId304" display="https://www.geonames.org/759734/" xr:uid="{E7EDD8D6-9123-E446-A521-A8F00D4DABD3}"/>
    <hyperlink ref="C166" r:id="rId305" display="https://www.geonames.org/697140/" xr:uid="{19A7CA9B-88E9-DC46-9059-3D64BB739B26}"/>
    <hyperlink ref="D166" r:id="rId306" display="https://www.geonames.org/697140/" xr:uid="{1D824821-BA13-7146-9D47-76E31346A258}"/>
    <hyperlink ref="C163" r:id="rId307" display="../../../vladimirberkovich/Desktop/Service Record Table/TEMP/MOISES, Herschel (1797-1799)/Łęczna, Poland" xr:uid="{0D950E0F-81DD-344C-A46B-44CCFAB9636B}"/>
    <hyperlink ref="C162" r:id="rId308" display="https://www.geonames.org/705392/" xr:uid="{72214F1F-B29F-154D-9621-2FA0D49349D6}"/>
    <hyperlink ref="D162" r:id="rId309" display="https://www.geonames.org/705392/" xr:uid="{6B99BA5D-9BA7-7046-870D-AF14399CD755}"/>
    <hyperlink ref="C193" r:id="rId310" display="https://www.geonames.org/762201/" xr:uid="{4A81E880-0F75-1C4E-B6FA-CF860071DCB3}"/>
    <hyperlink ref="C270" r:id="rId311" display="https://www.geonames.org/757182/" xr:uid="{F5F81A94-E75A-B347-9314-B602973975E8}"/>
    <hyperlink ref="D270" r:id="rId312" display="https://www.geonames.org/757182/" xr:uid="{41AD0B56-4146-A141-A730-33A66F9DF17D}"/>
    <hyperlink ref="C263" r:id="rId313" display="https://www.geonames.org/762325/" xr:uid="{AC7FD34D-79CB-0E4B-BCC5-437FC2F3BE7E}"/>
    <hyperlink ref="D263" r:id="rId314" display="https://www.geonames.org/762774/" xr:uid="{472F107A-8161-E343-8586-8CFE349C7B53}"/>
    <hyperlink ref="C221" r:id="rId315" xr:uid="{80A5757C-AD5F-5647-B9F5-DE868D91DB60}"/>
    <hyperlink ref="C246" r:id="rId316" xr:uid="{F622D333-FA95-F642-B148-77E6A5F66490}"/>
    <hyperlink ref="C376" r:id="rId317" xr:uid="{328AC7FE-6CA9-4C4C-B333-F07C367A623D}"/>
    <hyperlink ref="C268" r:id="rId318" display="https://www.geonames.org/758252/" xr:uid="{784F961A-21C6-BE4C-B167-70A33FCCE382}"/>
    <hyperlink ref="D268" r:id="rId319" display="https://www.geonames.org/758252/" xr:uid="{FE09CB74-C01D-DF46-8688-405FB1F8F8B2}"/>
    <hyperlink ref="C284" r:id="rId320" display="https://www.geonames.org/766591/" xr:uid="{F92DCBD1-54FF-594B-8F66-AE2949BB29EE}"/>
    <hyperlink ref="D284" r:id="rId321" display="https://www.geonames.org/763121/" xr:uid="{80864EA4-0102-234B-A986-7C5CBD2FD7CF}"/>
    <hyperlink ref="C276" r:id="rId322" display="https://www.geonames.org/759603/" xr:uid="{B284D08C-727D-4B4E-B823-FA328CD3B608}"/>
    <hyperlink ref="D276" r:id="rId323" display="https://www.geonames.org/759603/" xr:uid="{E33A6101-BE42-A747-BA67-7B13FEBACF51}"/>
    <hyperlink ref="C253" r:id="rId324" display="https://www.geonames.org/760987/" xr:uid="{6FBB0256-362B-CD45-A789-8407597F5898}"/>
    <hyperlink ref="D253" r:id="rId325" display="https://www.geonames.org/760987/" xr:uid="{095053EF-D7FF-1944-A5DC-B3615ABCCE66}"/>
    <hyperlink ref="C267" r:id="rId326" xr:uid="{8A6CF935-6525-564C-88A1-EEDC3024E50E}"/>
    <hyperlink ref="C394" r:id="rId327" xr:uid="{988A0226-8EF4-DA4C-9BA1-01800E036A7B}"/>
    <hyperlink ref="C393" r:id="rId328" display="https://www.geonames.org/709909/" xr:uid="{795F9D47-C70D-7445-833D-B8367CE2FF8A}"/>
    <hyperlink ref="D393" r:id="rId329" display="https://www.geonames.org/709909/" xr:uid="{27A4ECC4-2F9D-E34C-AD6E-066EF1817273}"/>
    <hyperlink ref="D265" r:id="rId330" display="https://www.geonames.org/762774/" xr:uid="{DC3524D1-FD6C-594A-8B2F-CC19580C1D3F}"/>
    <hyperlink ref="C396" r:id="rId331" xr:uid="{817D24E6-489D-C540-A408-8F24BE07757B}"/>
    <hyperlink ref="C264" r:id="rId332" display="https://www.geonames.org/770772/" xr:uid="{C0DF9460-D4EF-8F44-8FA6-F7A4E403314C}"/>
    <hyperlink ref="D264" r:id="rId333" display="https://www.geonames.org/770772/" xr:uid="{262ED1D5-7A46-CE46-88DE-2D75B64A8A04}"/>
    <hyperlink ref="C271" r:id="rId334" xr:uid="{D9320A08-A6AA-A94B-AD9A-134B0B6405FE}"/>
    <hyperlink ref="D271" r:id="rId335" xr:uid="{DF3AD183-E75C-394C-9F09-7528D13315E8}"/>
    <hyperlink ref="C771" r:id="rId336" display="https://www.geonames.org/3173162/" xr:uid="{2002006E-DF9D-A840-B38A-BADDD1FABFB5}"/>
    <hyperlink ref="C782" r:id="rId337" display="https://www.geonames.org/3168752/" xr:uid="{483CFB91-F8BA-4E4D-BBD3-85ADEE628B96}"/>
    <hyperlink ref="C781" r:id="rId338" display="https://www.geonames.org/8954925/" xr:uid="{31FD1ECD-E1E6-0442-AD65-F5277813A6C2}"/>
    <hyperlink ref="D781" r:id="rId339" display="https://www.geonames.org/3179675/" xr:uid="{83D4AC9E-B3F0-7A48-970B-CEE9E6819C0A}"/>
    <hyperlink ref="C431" r:id="rId340" display="https://www.geonames.org/698598/" xr:uid="{C1B94E01-B1F6-1649-BA16-D22259625B18}"/>
    <hyperlink ref="C413" r:id="rId341" xr:uid="{3CCD0518-768C-214F-863E-C448AEE3F99A}"/>
    <hyperlink ref="C436" r:id="rId342" xr:uid="{24160BFB-5C41-6443-B68E-9DF0AE277955}"/>
    <hyperlink ref="C595" r:id="rId343" display="https://www.geonames.org/759734/" xr:uid="{5105CDBF-28DC-464B-91F3-B4A60CD1F96E}"/>
    <hyperlink ref="D595" r:id="rId344" display="https://www.geonames.org/759734/" xr:uid="{FD446C6D-44AA-3D44-BB0F-67AC06ACDADC}"/>
    <hyperlink ref="C634" r:id="rId345" display="https://www.geonames.org/694864/" xr:uid="{FDB843CC-CAB0-3E40-877C-45B78E506F90}"/>
    <hyperlink ref="D634" r:id="rId346" display="https://www.geonames.org/694864/" xr:uid="{9AAC7B2F-5958-FB45-9AE6-AFF65DAA643B}"/>
    <hyperlink ref="C443" r:id="rId347" display="https://www.geonames.org/692779/" xr:uid="{24F034F1-8465-534D-A300-0A75CA804C06}"/>
    <hyperlink ref="C776" r:id="rId348" display="https://www.geonames.org/666916/" xr:uid="{2C642207-7A4E-3E4E-9798-D73382F01839}"/>
    <hyperlink ref="C777" r:id="rId349" display="https://www.geonames.org/667238/" xr:uid="{B5BAE5E4-5025-CC43-9815-BAF8D6D67224}"/>
    <hyperlink ref="C389" r:id="rId350" display="https://www.geonames.org/755439/" xr:uid="{6C7A0EF3-DBE4-8E48-BB9B-39A257CB1781}"/>
    <hyperlink ref="D389" r:id="rId351" display="https://www.geonames.org/755439/" xr:uid="{944A8174-8534-0548-983E-4D8A5D929F2C}"/>
    <hyperlink ref="C133" r:id="rId352" display="https://www.geonames.org/3080156/" xr:uid="{0F31246B-A482-7F42-A899-19F28CAE5C24}"/>
    <hyperlink ref="C742" r:id="rId353" display="https://www.geonames.org/687093/" xr:uid="{C6300193-0930-3540-ABF9-FC3892433113}"/>
    <hyperlink ref="D742" r:id="rId354" display="https://www.geonames.org/687093/" xr:uid="{32CEC923-7091-584D-B996-C44A45BDE36E}"/>
    <hyperlink ref="C698" r:id="rId355" display="https://www.geonames.org/696966/" xr:uid="{BC2E390E-F91E-D449-A2E6-D50F6ACB5ED1}"/>
    <hyperlink ref="D698" r:id="rId356" display="https://www.geonames.org/712374/" xr:uid="{504DD364-34F4-2F41-82A2-DDAD733D2411}"/>
    <hyperlink ref="C165" r:id="rId357" display="https://www.geonames.org/3070548/" xr:uid="{B902998E-C518-D740-A03B-D8C5B3C3A100}"/>
    <hyperlink ref="D165" r:id="rId358" display="https://www.geonames.org/3069873/" xr:uid="{6B5E4A27-69D9-AD44-9074-F87158029B2E}"/>
    <hyperlink ref="C406" r:id="rId359" display="https://www.geonames.org/767814/" xr:uid="{F8E36D9D-884B-AB4D-9CDB-53DB68A72FDC}"/>
    <hyperlink ref="D406" r:id="rId360" display="https://www.geonames.org/767814/" xr:uid="{015FA326-76F4-8B41-B098-156BA3DEE3DA}"/>
    <hyperlink ref="C105" r:id="rId361" display="https://www.geonames.org/772896/" xr:uid="{587E1C35-288A-ED41-B7FB-2F70390366E1}"/>
    <hyperlink ref="D105" r:id="rId362" display="https://www.geonames.org/772896/" xr:uid="{0F3EEE5E-4B96-5E44-B4BB-7660214D50E6}"/>
    <hyperlink ref="C738" r:id="rId363" display="https://www.geonames.org/3045991/" xr:uid="{5FBE19A7-B496-704D-BE62-B344B4FE12D7}"/>
    <hyperlink ref="C496" r:id="rId364" display="https://www.geonames.org/707099/" xr:uid="{88B65DA9-C212-CA40-A476-41E859AC5BC3}"/>
    <hyperlink ref="D496" r:id="rId365" display="https://www.geonames.org/707099/" xr:uid="{3F22160C-AF1B-B643-8E7D-6078D0145B5C}"/>
    <hyperlink ref="C391" r:id="rId366" display="https://www.geonames.org/711348/" xr:uid="{B5261F60-E7A8-D043-A10A-0734CF4DCC23}"/>
    <hyperlink ref="D391" r:id="rId367" display="https://www.geonames.org/711348/" xr:uid="{3EEF613A-924D-FD4D-A8D5-A114FB8527BB}"/>
    <hyperlink ref="C644" r:id="rId368" display="https://www.geonames.org/712374/" xr:uid="{3916B8F0-E6DE-9C4F-8BA2-EBD209D58652}"/>
    <hyperlink ref="C637" r:id="rId369" display="https://www.geonames.org/702550+I12:J13" xr:uid="{5BD079E1-6BFF-1F4A-B9C6-51141DC96E7A}"/>
    <hyperlink ref="C667" r:id="rId370" display="https://www.geonames.org/688790/" xr:uid="{09948830-7FC3-5141-BBF9-7193DFE94A71}"/>
    <hyperlink ref="D667" r:id="rId371" display="https://www.geonames.org/688790/" xr:uid="{E78A1508-6AD3-2443-B905-A0EFCB142EC3}"/>
    <hyperlink ref="C716" r:id="rId372" display="https://www.geonames.org/697692/" xr:uid="{69E5D0F5-F89F-F94F-A80B-573CB4FFDCF4}"/>
    <hyperlink ref="D716" r:id="rId373" display="https://www.geonames.org/697692/" xr:uid="{535A006F-559C-7048-9470-044360666CD1}"/>
    <hyperlink ref="C710" r:id="rId374" display="https://www.geonames.org/712374/" xr:uid="{32C46BF8-AD53-224E-8AE6-581CA769E49B}"/>
    <hyperlink ref="D710" r:id="rId375" display="https://www.geonames.org/712374/" xr:uid="{CAD60605-F917-AF46-83E7-1786EBCAA11D}"/>
    <hyperlink ref="C712" r:id="rId376" display="https://www.geonames.org/712374/" xr:uid="{53A2A6AE-F03D-714D-B1FD-C3A3DF5DDA8F}"/>
    <hyperlink ref="D712" r:id="rId377" display="https://www.geonames.org/712374/" xr:uid="{3CCF9B91-49C0-3148-8BDC-B83E918F8701}"/>
    <hyperlink ref="C711" r:id="rId378" display="https://www.geonames.org/711134/" xr:uid="{EBE156BD-3383-134B-B870-303CF06B23B8}"/>
    <hyperlink ref="D711" r:id="rId379" display="https://www.geonames.org/711134/" xr:uid="{75781A44-FA77-0046-8F84-2F456ADBE26E}"/>
    <hyperlink ref="C713" r:id="rId380" display="https://www.geonames.org/711134/" xr:uid="{653195A0-7BE7-2F43-850E-593C87EC44BD}"/>
    <hyperlink ref="D713" r:id="rId381" display="https://www.geonames.org/711134/" xr:uid="{EBD4C974-1270-014D-8FE3-BE55529B0C42}"/>
    <hyperlink ref="C714" r:id="rId382" display="https://www.geonames.org/711134/" xr:uid="{35136B52-AAFD-4345-87A6-7788C049B026}"/>
    <hyperlink ref="D714" r:id="rId383" display="https://www.geonames.org/711134/" xr:uid="{335829D5-99FC-0E46-A493-42EC8D6EE830}"/>
    <hyperlink ref="C487" r:id="rId384" display="https://www.geonames.org/693376/" xr:uid="{02BA2437-E6D6-F747-ABD5-A73249AC2BFC}"/>
    <hyperlink ref="D487" r:id="rId385" display="https://www.geonames.org/693376/" xr:uid="{7F093802-A3D8-2E4C-8252-AA28A6070A38}"/>
    <hyperlink ref="C488" r:id="rId386" display="https://www.geonames.org/700793/" xr:uid="{0FD13506-64AF-F247-A940-B5F96E8BE47D}"/>
    <hyperlink ref="D488" r:id="rId387" display="https://www.geonames.org/700793/" xr:uid="{3D36027B-6BF6-1F4C-BCDF-01E285A8AA34}"/>
    <hyperlink ref="C42" r:id="rId388" display="https://www.geonames.org/702550+I12:J13" xr:uid="{4A28F039-A335-9641-8532-6F65C20BF1C8}"/>
    <hyperlink ref="C540" r:id="rId389" display="https://www.google.com/maps/place/Siedlce,+Poland/@52.1616252,22.2066828,12z/data=!3m1!4b1!4m5!3m4!1s0x471f5a4df670f065:0x48cc76a09ee72abe!8m2!3d52.1676031!4d22.2901645" xr:uid="{99702EE2-E2C5-524C-A1D3-8BAA2D91E8AD}"/>
    <hyperlink ref="C205" r:id="rId390" display="https://www.geonames.org/687093/" xr:uid="{580EB3AD-E978-5846-A93A-1B25AC7F4ACB}"/>
    <hyperlink ref="D205" r:id="rId391" display="https://www.geonames.org/687093/" xr:uid="{D028B5EE-61EE-4746-8847-76E6408EE774}"/>
    <hyperlink ref="C447" r:id="rId392" display="https://www.geonames.org/687093/" xr:uid="{04B09B86-B111-674B-AC2F-DCE3AD9F8764}"/>
    <hyperlink ref="C571" r:id="rId393" display="https://www.geonames.org/776175/" xr:uid="{25327C07-05EE-1848-8DD3-FB87EF8A479C}"/>
    <hyperlink ref="C613" r:id="rId394" display="https://www.geonames.org/8243842/" xr:uid="{CBBCD788-D0EB-704B-9318-AB55394F9EF9}"/>
    <hyperlink ref="C502" r:id="rId395" display="https://www.google.at/maps/place/Siedlce,+Poland/@52.1616253,22.2068543,12z/data=!3m1!4b1!4m5!3m4!1s0x471f5a4df670f065:0x48cc76a09ee72abe!8m2!3d52.1676031!4d22.2901645" xr:uid="{EAB42DC4-EAFB-4349-A8BA-7FBC9F0537A9}"/>
    <hyperlink ref="D502" r:id="rId396" display="https://www.google.at/maps/place/Siedlce,+Poland/@52.1616253,22.2068543,12z/data=!3m1!4b1!4m5!3m4!1s0x471f5a4df670f065:0x48cc76a09ee72abe!8m2!3d52.1676031!4d22.2901645" xr:uid="{EAF7EC44-1CF8-B74A-BC58-1A47CC727201}"/>
    <hyperlink ref="C213" r:id="rId397" display="https://www.geonames.org/3101547/" xr:uid="{94F82F37-34E7-4F4C-9CCC-1D5340533994}"/>
    <hyperlink ref="D213" r:id="rId398" display="https://www.geonames.org/3101547/" xr:uid="{EDFB827C-8655-A842-A84D-338B772208D1}"/>
    <hyperlink ref="C482" r:id="rId399" display="https://www.geonames.org/756046/" xr:uid="{1311881A-B9A7-604B-B6DD-2A1CF75B2D95}"/>
    <hyperlink ref="D482" r:id="rId400" display="https://www.geonames.org/754455/" xr:uid="{E76F7F16-9427-3C42-8B23-F322B16163A5}"/>
    <hyperlink ref="C484" r:id="rId401" display="https://www.geonames.org/11696055/" xr:uid="{4494AA61-7DDE-B044-8A6A-E0833F34E9A9}"/>
    <hyperlink ref="D484" r:id="rId402" display="https://www.geonames.org/7531570/" xr:uid="{9D0A7992-9AA9-014F-A2F4-8F69F999B584}"/>
    <hyperlink ref="C607" r:id="rId403" display="https://www.geonames.org/723609/" xr:uid="{08C78BCE-781E-9D49-99D3-333A4E978796}"/>
    <hyperlink ref="D483" r:id="rId404" display="https://www.google.com/maps/place/Mordy,+Poland/@52.2175401,22.4562294,11.8z/data=!4m5!3m4!1s0x4721e02b32371aef:0x7d82b9a2f81d8473!8m2!3d52.2117091!4d22.517767" xr:uid="{E2CA8B22-F057-9C4F-9A39-6131407BA742}"/>
    <hyperlink ref="C500" r:id="rId405" display="https://www.geonames.org/769738/" xr:uid="{D323E6E5-7DAE-B74A-A1A8-DDC74BC6D91E}"/>
    <hyperlink ref="D500" r:id="rId406" display="https://www.geonames.org/769738/" xr:uid="{0D13A27F-B591-E34E-8222-BBC94A49D749}"/>
    <hyperlink ref="C503" r:id="rId407" display="https://www.google.com/maps/place/Ka%C5%82uszyn,+Poland/@52.2139355,21.743758,12z/data=!3m1!4b1!4m5!3m4!1s0x471f3745bb35b963:0xe8ec1c02ee4cf5cc!8m2!3d52.2067049!4d21.808426" xr:uid="{1D6F389E-5918-5549-82B2-3DEC72C23744}"/>
    <hyperlink ref="D503" r:id="rId408" display="https://www.google.com/maps/place/Ka%C5%82uszyn,+Poland/@52.2139355,21.743758,12z/data=!3m1!4b1!4m5!3m4!1s0x471f3745bb35b963:0xe8ec1c02ee4cf5cc!8m2!3d52.2067049!4d21.808426" xr:uid="{B3264FAE-3BF5-874B-BC78-AA549DF244B8}"/>
    <hyperlink ref="C504" r:id="rId409" display="https://www.geonames.org/756046/" xr:uid="{88300324-86EA-6940-BAC2-81D3F5A06A57}"/>
    <hyperlink ref="D504" r:id="rId410" display="https://www.geonames.org/754455/" xr:uid="{93731B22-6940-134F-B6E6-69FAEEC94388}"/>
    <hyperlink ref="C508" r:id="rId411" display="https://www.geonames.org/774184/" xr:uid="{2E5A0E6D-3A30-BC46-8401-8A92813CD9C4}"/>
    <hyperlink ref="D508" r:id="rId412" display="https://www.geonames.org/774184/" xr:uid="{440C3406-B068-4047-BE77-6FD8BF2587A9}"/>
    <hyperlink ref="C507" r:id="rId413" display="https://www.geonames.org/769738/" xr:uid="{E67AEA00-5D09-914A-9563-46603B168E42}"/>
    <hyperlink ref="D507" r:id="rId414" display="https://www.geonames.org/769738/" xr:uid="{5FBA80B0-7E14-F640-AD79-394839F4211D}"/>
    <hyperlink ref="C576" r:id="rId415" display="https://www.geonames.org/756046/" xr:uid="{5BB209E6-61B0-CC4A-BC11-3680B4EB0766}"/>
    <hyperlink ref="D576" r:id="rId416" display="https://www.geonames.org/756046/" xr:uid="{E79ACA3B-8971-E74D-8F9C-BD2BB6D54B4C}"/>
    <hyperlink ref="C577" r:id="rId417" xr:uid="{908BDBAD-24D0-F44A-9214-64A0856B3B5B}"/>
    <hyperlink ref="D577" r:id="rId418" display="https://www.geonames.org/776175/" xr:uid="{58158A97-FED0-E54E-BB74-E1CABCEC2469}"/>
    <hyperlink ref="C581" r:id="rId419" display="https://www.geonames.org/775493/" xr:uid="{8D2F5687-14FF-F648-9AA5-0582DCBDB5B2}"/>
    <hyperlink ref="D581" r:id="rId420" display="https://www.geonames.org/775493/" xr:uid="{94EE4002-BEAA-F44C-B58A-3F506F83DEB4}"/>
    <hyperlink ref="C547" r:id="rId421" display="https://www.geonames.org/765976/" xr:uid="{DBB77947-0471-CE4C-80F6-BA90C779C163}"/>
    <hyperlink ref="D547" r:id="rId422" display="https://www.geonames.org/765976/" xr:uid="{431380DB-E8A5-804D-82B5-277A64D7391D}"/>
    <hyperlink ref="C556" r:id="rId423" display="https://www.geonames.org/753394/" xr:uid="{1DB48B4D-F887-6441-9759-F239431546BD}"/>
    <hyperlink ref="D556" r:id="rId424" display="https://www.geonames.org/753394/" xr:uid="{CBD5E296-5CFD-C74E-923B-C7FCC163BD95}"/>
    <hyperlink ref="C541" r:id="rId425" display="https://www.geonames.org/768218/" xr:uid="{19A5D69D-1D24-DC4F-A28F-C6B6D9D8D88F}"/>
    <hyperlink ref="C542" r:id="rId426" display="https://www.geonames.org/768218/" xr:uid="{72EFE7F9-A094-9546-A36F-F867B9D69937}"/>
    <hyperlink ref="C545" r:id="rId427" display="https://www.geonames.org/761008/" xr:uid="{B8296B61-8AA0-3E4E-8253-638C9286C7DD}"/>
    <hyperlink ref="C552" r:id="rId428" display="https://www.geonames.org/763111/" xr:uid="{94F8F1FB-B8EC-C244-A7A8-22FE94D922D7}"/>
    <hyperlink ref="D552" r:id="rId429" display="https://www.geonames.org/763111/" xr:uid="{A44ECB0D-7C34-B741-82E5-33DF9DFA6C37}"/>
    <hyperlink ref="C554" r:id="rId430" display="https://www.geonames.org/763111/" xr:uid="{59BD017A-C86C-164A-9CA0-1FE8CFE36536}"/>
    <hyperlink ref="D554" r:id="rId431" display="https://www.geonames.org/763111/" xr:uid="{9CC9620C-4A11-8547-98C2-A26CB8F1682A}"/>
    <hyperlink ref="D498" r:id="rId432" display="https://www.geonames.org/708380/" xr:uid="{86A2577B-21DF-014A-9C01-5AFDB438E258}"/>
    <hyperlink ref="D497" r:id="rId433" display="https://www.geonames.org/708380/" xr:uid="{EA27261B-3AAE-404A-A479-AC1EABA5363D}"/>
    <hyperlink ref="C485" r:id="rId434" display="https://www.geonames.org/695434/" xr:uid="{923AF03B-7FAC-924F-B0CC-BFA4644BC87C}"/>
    <hyperlink ref="D485" r:id="rId435" display="https://www.geonames.org/693376/" xr:uid="{4330070F-CA2F-B14B-B42B-E69EECE49055}"/>
    <hyperlink ref="C546" r:id="rId436" display="https://www.geonames.org/753787/" xr:uid="{FB94527E-19C1-F14C-BFBA-1858B8201BD3}"/>
    <hyperlink ref="D546" r:id="rId437" display="https://www.geonames.org/753787/" xr:uid="{C4B0354E-12AC-3A44-970B-11CF29411AF2}"/>
    <hyperlink ref="C557" r:id="rId438" display="https://www.geonames.org/3103644/" xr:uid="{8B5093D1-9CB1-914B-B74A-AD76B16A90CB}"/>
    <hyperlink ref="C583" r:id="rId439" display="https://www.geonames.org/774730/" xr:uid="{012D79FE-9EED-8246-8E56-BA7A8BECE80E}"/>
    <hyperlink ref="C544" r:id="rId440" display="https://www.geonames.org/759412/" xr:uid="{80632E6C-B8A4-2047-8A0B-B91717F8DED4}"/>
    <hyperlink ref="D544" r:id="rId441" display="https://www.geonames.org/759412/" xr:uid="{A80F0E4F-2952-8A4F-BD52-B892E51B9ECF}"/>
    <hyperlink ref="C91" r:id="rId442" display="https://www.geonames.org/759301/" xr:uid="{F5A4BC7E-8173-0A4D-817B-6322B3BD19D5}"/>
    <hyperlink ref="D91" r:id="rId443" display="https://www.geonames.org/759301/" xr:uid="{D8840249-345B-5F48-891B-D1770492A4F8}"/>
    <hyperlink ref="C54" r:id="rId444" display="https://www.geonames.org/758436/" xr:uid="{586A3AE0-72CF-AF42-9E06-EC9F60BFBD57}"/>
    <hyperlink ref="D54" r:id="rId445" display="https://www.geonames.org/771069/" xr:uid="{C35C02CC-63D0-DC4B-9478-9F3E5917A009}"/>
    <hyperlink ref="C101" r:id="rId446" display="https://www.geonames.org/629634/" xr:uid="{0CAEB978-B3B7-A34F-BC88-D7001CC479EF}"/>
    <hyperlink ref="C550" r:id="rId447" display="https://www.geonames.org/771687/" xr:uid="{8FAA5FF5-8F4A-6D41-AAB5-F47B92F12797}"/>
    <hyperlink ref="D550" r:id="rId448" display="https://www.geonames.org/771687/" xr:uid="{C84EA011-3558-8C41-89C2-12F7C32D9689}"/>
    <hyperlink ref="C549" r:id="rId449" display="https://www.geonames.org/758252/" xr:uid="{A89742B0-4F3E-154C-AC10-DF3C6D4368C3}"/>
    <hyperlink ref="D549" r:id="rId450" display="https://www.geonames.org/758252/" xr:uid="{00F406BB-CA52-0A4F-A54C-9EEE7B98734D}"/>
    <hyperlink ref="C505" r:id="rId451" display="https://www.geonames.org/756046/" xr:uid="{E561B4EE-82B9-6843-8697-FC5F4E1E9709}"/>
    <hyperlink ref="D505" r:id="rId452" display="https://www.geonames.org/754455/" xr:uid="{544508CF-351A-5A43-AC73-DC6392A988B6}"/>
    <hyperlink ref="C536" r:id="rId453" display="https://www.geonames.org/756046/" xr:uid="{A2655D82-3A7C-DF4A-89A7-3C2D4BD8D983}"/>
    <hyperlink ref="D536" r:id="rId454" display="https://www.geonames.org/754455/" xr:uid="{3F4C2BB5-2205-1541-9520-06ABACFE47BF}"/>
    <hyperlink ref="C472" r:id="rId455" display="https://www.geonames.org/753394/" xr:uid="{B084D207-F515-D347-8DDC-05B5A18AA682}"/>
    <hyperlink ref="D472" r:id="rId456" display="https://www.geonames.org/753394/" xr:uid="{045E5954-6997-3848-9FBD-E2AE2691C372}"/>
    <hyperlink ref="C480" r:id="rId457" display="https://www.geonames.org/759412/" xr:uid="{AFC60AF7-572C-C349-B5E6-41375B292480}"/>
    <hyperlink ref="D480" r:id="rId458" display="https://www.geonames.org/759412/" xr:uid="{321A6B44-938F-6D47-BD67-E3FFBC911A06}"/>
    <hyperlink ref="C506" r:id="rId459" display="https://www.geonames.org/759412/" xr:uid="{A20D2352-737F-494F-A2C8-8206EFDAD916}"/>
    <hyperlink ref="D506" r:id="rId460" display="https://www.geonames.org/759412/" xr:uid="{217AB178-10E8-8548-BF5F-CBD85A7B12C0}"/>
    <hyperlink ref="C548" r:id="rId461" display="https://www.geonames.org/765876/" xr:uid="{192A594A-B1F1-D544-91A7-2C37BCF8943B}"/>
    <hyperlink ref="D548" r:id="rId462" display="https://www.geonames.org/765876/" xr:uid="{9A607528-0C3D-A242-A0EF-41FF044B41A4}"/>
    <hyperlink ref="C501" r:id="rId463" display="https://www.geonames.org/775778/" xr:uid="{4D82FEE3-BE52-5549-9CBE-8FAB46E35858}"/>
    <hyperlink ref="D501" r:id="rId464" display="https://www.geonames.org/773357/" xr:uid="{8BE7B68E-CFAF-9A48-9D15-A7387CCDB7FE}"/>
    <hyperlink ref="C471" r:id="rId465" display="https://www.geonames.org/756046/" xr:uid="{51D92431-4D6B-B04D-9156-ED1A3322A86D}"/>
    <hyperlink ref="D471" r:id="rId466" display="https://www.geonames.org/754455/" xr:uid="{1256363B-E142-E04E-ADDF-039DA4EE4873}"/>
    <hyperlink ref="C494" r:id="rId467" display="https://www.geonames.org/769738/" xr:uid="{558E8629-410A-8E40-8601-DBDB09E00E41}"/>
    <hyperlink ref="D494" r:id="rId468" display="https://www.geonames.org/769738/" xr:uid="{B60C7995-E412-034A-A471-8E8CEAE1B665}"/>
    <hyperlink ref="C568" r:id="rId469" display="https://www.geonames.org/773389/" xr:uid="{5404ECD4-11C8-AA43-8165-BCFCE6D8A48E}"/>
    <hyperlink ref="D568" r:id="rId470" display="https://www.geonames.org/765736/" xr:uid="{FE8097CB-EEC4-1F47-B077-A7BF1C4F8008}"/>
    <hyperlink ref="C214" r:id="rId471" display="https://www.geonames.org/3101547/" xr:uid="{46157CE4-51AD-8841-81F2-78FC1C2EDA3D}"/>
    <hyperlink ref="D214" r:id="rId472" display="https://www.geonames.org/3101547/" xr:uid="{249B9050-8814-A449-ACFD-A54E85E44CC7}"/>
    <hyperlink ref="D124" r:id="rId473" display="https://www.geonames.org/3096401/" xr:uid="{E0FB9642-97C0-6E4E-9181-87F09755F45D}"/>
    <hyperlink ref="D127" r:id="rId474" display="https://www.geonames.org/3096401/" xr:uid="{769A6C0F-B324-5943-8A9A-1691107CDACC}"/>
    <hyperlink ref="D296" r:id="rId475" display="https://www.geonames.org/774504/" xr:uid="{4DF081E5-83C3-6046-AE0F-3FE39E804143}"/>
    <hyperlink ref="C155" r:id="rId476" display="https://www.geonames.org/3096401/" xr:uid="{3F033EA9-A9E0-2A4F-92C1-891B0E2BC0CE}"/>
    <hyperlink ref="D155" r:id="rId477" display="https://www.geonames.org/3096401/" xr:uid="{B562C148-39AE-F148-9763-7D81F82A58F4}"/>
    <hyperlink ref="C192" r:id="rId478" display="https://www.geonames.org/763111/" xr:uid="{EA4382D4-9F33-264D-A05F-4E84C1129AA4}"/>
    <hyperlink ref="D192" r:id="rId479" display="https://www.geonames.org/763111/" xr:uid="{AED956E9-ECC4-DC4C-A86A-6E3BBFB2406C}"/>
    <hyperlink ref="C388" r:id="rId480" display="https://www.geonames.org/759412/" xr:uid="{A7422CDE-5139-6C4D-9AB6-8961AC0F59E5}"/>
    <hyperlink ref="D388" r:id="rId481" display="https://www.geonames.org/759412/" xr:uid="{68306C17-C266-3F4C-BA34-B0D8EF9CD627}"/>
    <hyperlink ref="C121" r:id="rId482" display="https://www.geonames.org/712374/" xr:uid="{C0376931-D453-C540-9B75-7EC33137CCD6}"/>
    <hyperlink ref="D121" r:id="rId483" display="https://www.geonames.org/712374/" xr:uid="{F8C74B4B-5830-AB4B-83D7-A12FBFD25F39}"/>
    <hyperlink ref="C132" r:id="rId484" display="https://www.geonames.org/3094168/" xr:uid="{42AF222E-4D03-F141-AD2A-BB8C3F5858E1}"/>
    <hyperlink ref="C432" r:id="rId485" display="https://www.geonames.org/758177/" xr:uid="{3ACF0CB6-ADAB-3E4B-AD32-7EC2C2C3CE4E}"/>
    <hyperlink ref="D432" r:id="rId486" display="https://www.geonames.org/776458/" xr:uid="{A1A5AD73-185F-3448-804B-8AC22D34654E}"/>
    <hyperlink ref="C83" r:id="rId487" display="https://www.geonames.org/711887/" xr:uid="{9FF58DD0-27FE-E147-B1DE-7CFA686EB498}"/>
    <hyperlink ref="D83" r:id="rId488" display="https://www.geonames.org/711887/" xr:uid="{7970ACE6-46C6-7746-A284-26CB54A1D5B1}"/>
    <hyperlink ref="C80" r:id="rId489" display="https://www.geonames.org/770380/" xr:uid="{1599AFB5-DA49-4640-9F01-3A198EF55DC2}"/>
    <hyperlink ref="D80" r:id="rId490" display="https://www.geonames.org/770380/" xr:uid="{1F929B4E-F245-8C46-B803-D8F37F74964A}"/>
    <hyperlink ref="C433" r:id="rId491" display="https://www.geonames.org/770380/" xr:uid="{361573A9-BFBC-CE4F-8336-4A2291464E30}"/>
    <hyperlink ref="D433" r:id="rId492" display="https://www.geonames.org/770380/" xr:uid="{62E4C241-8AA4-544C-88A3-078373607950}"/>
    <hyperlink ref="C397" r:id="rId493" display="https://www.geonames.org/773877/" xr:uid="{0F4B0C6B-578D-5142-A9BB-5A4DBA0C24C1}"/>
    <hyperlink ref="D397" r:id="rId494" display="https://www.geonames.org/773877/" xr:uid="{685AC876-02D2-4E4C-93A8-97AED13CD76B}"/>
    <hyperlink ref="D400" r:id="rId495" display="https://www.geonames.org/766675/" xr:uid="{AF719441-CC60-7943-8B72-576F0984B9C7}"/>
    <hyperlink ref="C410" r:id="rId496" display="https://www.geonames.org/758626/" xr:uid="{B9362696-8E04-4B45-8F3F-BB2BEC661A0D}"/>
    <hyperlink ref="D410" r:id="rId497" display="https://www.geonames.org/758626/" xr:uid="{D3B74859-2A80-964C-A1EE-A41EAA67E5A6}"/>
    <hyperlink ref="C491" r:id="rId498" display="https://www.geonames.org/3067978/" xr:uid="{6B7F6F7E-9CCD-724D-8A05-00AFE397E935}"/>
    <hyperlink ref="C478" r:id="rId499" display="https://www.geonames.org/3065216/" xr:uid="{1AD30D14-80F0-E749-BB0D-23192783241D}"/>
    <hyperlink ref="D478" r:id="rId500" display="https://www.geonames.org/3068386/" xr:uid="{AB38E4FE-1E91-5349-9227-2A15FCD0A77F}"/>
    <hyperlink ref="C34" r:id="rId501" display="https://www.geonames.org/686762" xr:uid="{06F3C0E1-396F-3849-8AD5-D13FEC5F7AEE}"/>
    <hyperlink ref="C11" r:id="rId502" display="https://www.geonames.org/772747/" xr:uid="{2E22B790-EFCC-1649-9CF5-EDF9665B3607}"/>
    <hyperlink ref="C37" r:id="rId503" display="https://www.geonames.org/712471" xr:uid="{525F21BA-9FE9-3043-8E6E-CCAEBF6B55AE}"/>
    <hyperlink ref="C40" r:id="rId504" display="https://www.geonames.org/702550+I12:J13" xr:uid="{7EBCEB61-1CB8-E043-980C-6DD8326E5517}"/>
    <hyperlink ref="C41" r:id="rId505" display="https://www.geonames.org/702550+I12:J13" xr:uid="{DCBF5739-52A9-2941-B8FC-2C63E3BC2F87}"/>
    <hyperlink ref="C48" r:id="rId506" display="https://www.geonames.org/702550+I12:J13" xr:uid="{7A88C34C-D2BD-FF40-A624-A7E22DE7C3D8}"/>
    <hyperlink ref="C36" r:id="rId507" display="https://www.geonames.org/710554/" xr:uid="{0C344D51-2301-ED43-9E8C-2C9ABACEA3B6}"/>
    <hyperlink ref="C38" r:id="rId508" display="https://www.geonames.org/702550+I12:J13" xr:uid="{611D279C-FC96-8448-80D3-FDCCF78607FE}"/>
    <hyperlink ref="C39" r:id="rId509" display="https://www.geonames.org/702550+I12:J13" xr:uid="{2F4453EA-21EA-C548-80A2-2481A71C40D7}"/>
    <hyperlink ref="C43" r:id="rId510" display="https://www.geonames.org/702550+I12:J13" xr:uid="{0170B83D-4669-2346-B11D-AEA2B4F4A9BC}"/>
    <hyperlink ref="C304" r:id="rId511" display="https://www.geonames.org/687826/" xr:uid="{FBCFCCE5-B26F-E64D-96D4-F9BE6F443AE4}"/>
    <hyperlink ref="D304" r:id="rId512" display="https://www.geonames.org/687826/" xr:uid="{C8ECF4D0-ECAE-B049-8E8D-B2398F3B109B}"/>
    <hyperlink ref="C314" r:id="rId513" display="https://www.geonames.org/705392/" xr:uid="{CD1895B9-2E3B-1F4B-9350-7F5F4F2E7471}"/>
    <hyperlink ref="D314" r:id="rId514" display="https://www.geonames.org/705392/" xr:uid="{9B930CD7-FA27-F541-B0E7-F335ADA0C536}"/>
    <hyperlink ref="C405" r:id="rId515" display="https://www.geonames.org/753479/" xr:uid="{4EAC0F16-B821-DC4B-8367-60EAF32085DF}"/>
    <hyperlink ref="D405" r:id="rId516" display="https://www.geonames.org/765749/" xr:uid="{4484C9DB-24AF-D54B-B57C-BF4A34ED58F6}"/>
    <hyperlink ref="C438" r:id="rId517" display="https://www.geonames.org/756135/" xr:uid="{05852AF3-9A0B-3347-9DEB-158C6F8F5A80}"/>
    <hyperlink ref="C404" r:id="rId518" display="https://www.geonames.org/756794/" xr:uid="{484E5B7B-191F-5C49-8E0E-041D74761629}"/>
    <hyperlink ref="D404" r:id="rId519" display="https://www.geonames.org/756794/" xr:uid="{33B9A728-2F62-6743-998A-7439AF51DB2E}"/>
    <hyperlink ref="D94" r:id="rId520" display="https://www.geonames.org/3079403/" xr:uid="{AC8D7635-14D3-BE44-B13C-B246D39C90BA}"/>
    <hyperlink ref="C555" r:id="rId521" display="https://www.geonames.org/757026/" xr:uid="{C5FE1ECB-529E-9349-91FB-2DBE711D9DF6}"/>
    <hyperlink ref="D555" r:id="rId522" display="https://www.geonames.org/757026/" xr:uid="{C783D240-D3BB-1447-8602-33C14F3E381E}"/>
    <hyperlink ref="D468" r:id="rId523" display="https://www.geonames.org/3071392/" xr:uid="{8CDED26D-6747-9145-912D-FCDA5EDE7135}"/>
    <hyperlink ref="C468" r:id="rId524" display="https://www.google.at/maps/place/50%C2%B011'11.0%22N+13%C2%B006'51.5%22E/@50.1816427,13.1023613,2468m/data=!3m1!1e3!4m5!3m4!1s0x0:0x0!8m2!3d50.1864!4d13.1143" xr:uid="{E7342841-F93E-2B4D-89A0-3EE008E45A75}"/>
    <hyperlink ref="C476" r:id="rId525" display="https://www.geonames.org/12128969" xr:uid="{B653DBEB-44C5-A449-93AE-040AB360558A}"/>
    <hyperlink ref="D476" r:id="rId526" display="https://www.geonames.org/3077036/" xr:uid="{9AE320AB-8F3C-5042-A263-AD4804AD83C3}"/>
    <hyperlink ref="C718" r:id="rId527" display="https://www.geonames.org/3071879/" xr:uid="{14022A2A-4D62-6546-9DFC-D461F2BA5294}"/>
    <hyperlink ref="D718" r:id="rId528" display="https://www.geonames.org/3071879/" xr:uid="{69CDF910-F234-B144-8CA2-3E03F33684C9}"/>
    <hyperlink ref="C159" r:id="rId529" display="https://www.geonames.org/765876/" xr:uid="{304BBAB4-1E69-424E-9F92-53DFFA987523}"/>
    <hyperlink ref="D159" r:id="rId530" display="https://www.geonames.org/8426063/" xr:uid="{DBB84C33-A1A4-CB46-99B6-AB7D081E3269}"/>
    <hyperlink ref="C630" r:id="rId531" display="https://www.geonames.org/3071966/" xr:uid="{9BC989D1-13B0-D34A-B151-C8B1DB5C42CD}"/>
    <hyperlink ref="C219" r:id="rId532" xr:uid="{0CECA52B-6CD6-C348-A202-FF210823EC0D}"/>
    <hyperlink ref="D219" r:id="rId533" xr:uid="{2B93C78B-7ED0-0845-BAF4-79778B980B54}"/>
    <hyperlink ref="C49" r:id="rId534" display="https://www.geonames.org/3075053/" xr:uid="{7EC632AE-7A11-F048-B02D-8C26D9935532}"/>
    <hyperlink ref="C333" r:id="rId535" display="https://www.geonames.org/3063762/" xr:uid="{DD93495B-AA90-7F4B-AAC2-F3214CE233D4}"/>
    <hyperlink ref="C160" r:id="rId536" display="https://www.geonames.org/773808/" xr:uid="{BB8524CA-BB3B-E34D-9751-23827F3B83B3}"/>
    <hyperlink ref="D160" r:id="rId537" display="https://www.geonames.org/773808/" xr:uid="{82BFF5E9-1A8B-0D4A-B3DE-986371FF43FF}"/>
    <hyperlink ref="C303" r:id="rId538" display="https://www.geonames.org/757050/" xr:uid="{D180B6C3-75BB-5C4A-B289-DB49766E7EB3}"/>
    <hyperlink ref="D303" r:id="rId539" display="https://www.geonames.org/757050/" xr:uid="{9256577C-A97A-F246-8624-6FB3BA510C58}"/>
    <hyperlink ref="C582" r:id="rId540" display="https://www.geonames.org/3094802/" xr:uid="{B9A9AC7E-E5B8-094F-A1BF-3CEC51DC423B}"/>
    <hyperlink ref="C47" r:id="rId541" display="https://www.geonames.org/3070795/" xr:uid="{70938A42-A577-0D4E-B45A-17256BA84236}"/>
    <hyperlink ref="D47" r:id="rId542" display="https://www.geonames.org/3070795/" xr:uid="{1EECC5CC-3A55-6A4E-AF9D-0BDA977C8998}"/>
    <hyperlink ref="C739" r:id="rId543" display="https://www.geonames.org/711416/" xr:uid="{2AB69F7B-B261-CA4E-B80B-1E9306E2ECA8}"/>
    <hyperlink ref="D739" r:id="rId544" display="https://www.geonames.org/711416/" xr:uid="{15D50FF4-6778-4E49-94F6-21B7F76FD95F}"/>
    <hyperlink ref="C206" r:id="rId545" display="https://www.geonames.org/687093/" xr:uid="{46261B0D-891E-1442-90EC-25C2069A3B99}"/>
    <hyperlink ref="D206" r:id="rId546" display="https://www.geonames.org/687093/" xr:uid="{B21EADA5-BE82-AD41-90D7-E372738E9765}"/>
    <hyperlink ref="C490" r:id="rId547" display="https://www.geonames.org/701119/" xr:uid="{946DDC85-30BC-004B-9532-04AEAD9E9724}"/>
    <hyperlink ref="D377" r:id="rId548" display="https://www.geonames.org/766452/" xr:uid="{25CC6B00-348A-3543-B18F-F7A04794D67A}"/>
    <hyperlink ref="C204" r:id="rId549" display="https://www.geonames.org/753866/" xr:uid="{3D7F6E62-02E1-3542-957C-DB50751F0332}"/>
    <hyperlink ref="C183" r:id="rId550" display="https://www.geonames.org/709909/" xr:uid="{014D6AA3-B684-1349-A850-41907CCDBFCB}"/>
    <hyperlink ref="D291" r:id="rId551" display="https://www.geonames.org/707471/" xr:uid="{26B3E33D-B463-4645-91D1-F366AD506A19}"/>
    <hyperlink ref="C332" r:id="rId552" display="https://www.geonames.org/768024/" xr:uid="{C2B7C835-9AE3-0343-AC1D-7BFA0AF665E2}"/>
    <hyperlink ref="D332" r:id="rId553" display="https://www.geonames.org/768024/" xr:uid="{C1CAA9BC-CD1C-EA4B-B3B6-DCB77FC24F6A}"/>
    <hyperlink ref="C120" r:id="rId554" display="https://www.geonames.org/767814/" xr:uid="{42B79E0B-5167-3649-BC3D-1259B96BC017}"/>
    <hyperlink ref="D120" r:id="rId555" display="https://www.geonames.org/767814/" xr:uid="{E1840A14-ADD8-064D-ADAF-069B9C5B3B55}"/>
    <hyperlink ref="C643" r:id="rId556" display="https://www.geonames.org/11696055/" xr:uid="{03E25302-A1AB-EE42-AA9C-13F6EB56AC99}"/>
    <hyperlink ref="C207" r:id="rId557" display="https://www.geonames.org/687093/" xr:uid="{DEE819D2-29F0-0E44-AF83-B96671D39043}"/>
    <hyperlink ref="D207" r:id="rId558" display="https://www.geonames.org/687093/" xr:uid="{DD5CA69A-4B15-8042-9949-E0176A4FC210}"/>
    <hyperlink ref="C46" r:id="rId559" display="https://www.geonames.org/3074723/" xr:uid="{4517B900-8E23-2641-911B-2C5229B79608}"/>
    <hyperlink ref="D46" r:id="rId560" display="https://www.geonames.org/3075878/" xr:uid="{0EAA979E-6546-1D49-86BC-2AAE46E9575B}"/>
    <hyperlink ref="C551" r:id="rId561" display="https://www.geonames.org/761131/" xr:uid="{F3E2CCFE-996F-0643-8FCA-DCA4F852A3A9}"/>
    <hyperlink ref="D632" r:id="rId562" display="https://www.geonames.org/694864/" xr:uid="{4F027591-C89F-A440-BE0B-183BFFCBFCBB}"/>
    <hyperlink ref="C636" r:id="rId563" display="https://www.geonames.org/758252/" xr:uid="{A55DB59A-4A3D-FC4D-B093-3E97C51F4E27}"/>
    <hyperlink ref="C650" r:id="rId564" display="https://www.geonames.org/709611/" xr:uid="{D8E23FF8-6382-4E42-B024-BA256AE081C9}"/>
    <hyperlink ref="D650" r:id="rId565" display="https://www.geonames.org/709611/" xr:uid="{AFBEE2C2-690F-9640-B3DF-765AD0D25506}"/>
    <hyperlink ref="C646" r:id="rId566" display="https://www.geonames.org/753866/" xr:uid="{AA250C16-39DA-4947-9960-4965C5B15299}"/>
    <hyperlink ref="C635" r:id="rId567" display="https://www.geonames.org/690960/" xr:uid="{9D2C1106-7188-4A4F-8AA4-DE941FC18E59}"/>
    <hyperlink ref="D635" r:id="rId568" display="https://www.geonames.org/690960/" xr:uid="{5986A36E-07BF-4A44-8CD4-F2EB68E16B0C}"/>
    <hyperlink ref="C649" r:id="rId569" display="https://www.geonames.org/753866/" xr:uid="{496F8EC6-44AF-994B-88F4-B6B4F7469A93}"/>
    <hyperlink ref="C783" r:id="rId570" display="https://www.geonames.org/776247/" xr:uid="{C10F52D5-0F90-B44C-94DF-AFEB6B9B3800}"/>
    <hyperlink ref="C747" r:id="rId571" display="https://www.geonames.org/705265/" xr:uid="{6752E6C2-B327-824F-ADB9-ABEBF666353F}"/>
    <hyperlink ref="D747" r:id="rId572" display="https://www.geonames.org/705265/" xr:uid="{56F8743E-89A3-1040-B0A8-EAA334F134FE}"/>
    <hyperlink ref="C254" r:id="rId573" display="https://www.geonames.org/756036/" xr:uid="{C3A4E05B-B9B8-4B47-9040-768A0116E78C}"/>
    <hyperlink ref="C785" r:id="rId574" display="https://www.geonames.org/692865/" xr:uid="{511E6236-B604-5F46-82A1-1D636ABA6F6E}"/>
    <hyperlink ref="D785" r:id="rId575" display="https://www.geonames.org/692865/" xr:uid="{735DC480-AE16-A44C-BD3C-2867DD9880FD}"/>
    <hyperlink ref="C598" r:id="rId576" display="https://www.geonames.org/772086/" xr:uid="{5E101663-10DA-3F44-BF89-D12FCDB80A56}"/>
    <hyperlink ref="C442" r:id="rId577" display="https://www.geonames.org/2951825/" xr:uid="{9B32272D-65F6-E949-8A14-E2433222C855}"/>
    <hyperlink ref="C748" r:id="rId578" display="https://www.geonames.org/712126/" xr:uid="{F59ED5DF-32D6-8F42-9F43-BBD757CA75A1}"/>
    <hyperlink ref="C780" r:id="rId579" display="https://www.geonames.org/759412/" xr:uid="{2FE4EE9F-E40C-2941-BB69-534CD4B8AF68}"/>
    <hyperlink ref="C789" r:id="rId580" display="https://www.geonames.org/3180208/" xr:uid="{03FA9015-37E7-9648-8ED6-5512BFBDD58F}"/>
    <hyperlink ref="C402" r:id="rId581" display="https://www.geonames.org/765876/" xr:uid="{F970F5BF-9262-8E49-B6AC-7814E963160E}"/>
    <hyperlink ref="C7" r:id="rId582" display="https://www.geonames.org/709909/" xr:uid="{4959656B-0AD4-9C43-B8CE-52438C74B579}"/>
    <hyperlink ref="C9" r:id="rId583" display="https://www.geonames.org/3066727/" xr:uid="{F06B7F87-EB1D-C748-8DF7-329BAD4A3272}"/>
    <hyperlink ref="C18" r:id="rId584" display="https://www.geonames.org/3069377/" xr:uid="{E61C676C-32CB-DD4A-93C6-B3890FD7B3B9}"/>
    <hyperlink ref="C6" r:id="rId585" display="https://www.geonames.org/686895/" xr:uid="{9C338D07-9D4B-E249-A208-41E64DD4967B}"/>
    <hyperlink ref="C103" r:id="rId586" display="https://www.geonames.org/763121/" xr:uid="{8A5228B9-439E-114C-A62D-DE576B25846A}"/>
    <hyperlink ref="D104" r:id="rId587" display="https://www.geonames.org/754090/" xr:uid="{00C2D7BD-4B41-D04B-BC94-5BCB1ECB2405}"/>
    <hyperlink ref="C104" r:id="rId588" display="https://www.geonames.org/754090/" xr:uid="{10525A1F-06DC-8542-BBB8-305982403539}"/>
    <hyperlink ref="C615" r:id="rId589" display="https://www.geonames.org/716860/" xr:uid="{9D4CA313-A41F-3E49-AC66-B0D73846D9C4}"/>
    <hyperlink ref="C624" r:id="rId590" display="https://www.geonames.org/668076/" xr:uid="{63A1580B-13D1-8241-B1C3-D416EE904B13}"/>
    <hyperlink ref="C605" r:id="rId591" display="https://www.geonames.org/688746/" xr:uid="{6E8C69A5-BCAA-1C4B-9DD6-05854291E3E0}"/>
    <hyperlink ref="C653" r:id="rId592" display="https://www.geonames.org/3070720/" xr:uid="{91D96DA1-A157-6C42-A1B7-1B66293402CA}"/>
    <hyperlink ref="C654" r:id="rId593" display="https://www.geonames.org/3067696/" xr:uid="{45ADAB45-4971-AE44-8ABB-9F6CAA3D3EFA}"/>
    <hyperlink ref="C699" r:id="rId594" display="https://www.geonames.org/3063853/" xr:uid="{F38B1941-61F9-EA4F-96D9-3606F58D3665}"/>
    <hyperlink ref="C579" r:id="rId595" display="https://www.geonames.org/3047211/" xr:uid="{AF3B70EE-A3E8-714C-BF3B-375981C1CB60}"/>
    <hyperlink ref="C614" r:id="rId596" display="https://www.geonames.org/685985/" xr:uid="{33EBE722-78D5-DA44-9EF6-2CDE764FB21C}"/>
    <hyperlink ref="C608" r:id="rId597" display="https://www.geonames.org/724743/" xr:uid="{AEF99AF0-1EEA-D843-BD33-9BAF7FA7E6EF}"/>
    <hyperlink ref="C626" r:id="rId598" display="https://www.geonames.org/700646/" xr:uid="{D747A468-0C4F-A14C-82E5-2A9DC314734D}"/>
    <hyperlink ref="C76" r:id="rId599" display="https://www.geonames.org/702550+I12:J13" xr:uid="{BE4B780C-3725-8B40-9B59-098F2E3664E1}"/>
    <hyperlink ref="C745" r:id="rId600" display="https://www.geonames.org/690548/" xr:uid="{C256511E-802B-D845-940D-EA43B4E76E38}"/>
    <hyperlink ref="C746" r:id="rId601" display="https://www.geonames.org/771313/" xr:uid="{376D38C6-2756-8D4F-8B39-F8967B079EA0}"/>
    <hyperlink ref="C154" r:id="rId602" display="https://www.geonames.org/759468/" xr:uid="{AAEB50A5-9FF0-2645-9B69-A33E9C690DE1}"/>
    <hyperlink ref="C35" r:id="rId603" display="https://www.geonames.org/699076/" xr:uid="{6B658E26-D681-3440-B851-A02FA12CC0CC}"/>
    <hyperlink ref="C606" r:id="rId604" display="https://www.geonames.org/8243842/" xr:uid="{54A1F4A1-C31F-4941-95A5-691DFC931EBF}"/>
    <hyperlink ref="C620" r:id="rId605" display="https://www.geonames.org/724144/" xr:uid="{BF382EF1-6C6F-D743-83F5-DC54FE751F00}"/>
    <hyperlink ref="C618" r:id="rId606" display="https://www.geonames.org/690548/" xr:uid="{4207CE84-060A-504F-A43B-62F924BD5427}"/>
    <hyperlink ref="C663" r:id="rId607" display="https://www.geonames.org/717825/" xr:uid="{984D75F0-0411-9448-89CD-28A45AD86654}"/>
    <hyperlink ref="C611" r:id="rId608" display="https://www.geonames.org/724014/" xr:uid="{941DD420-3DC8-7140-A610-EE3FC90302B9}"/>
    <hyperlink ref="C612" r:id="rId609" display="https://www.geonames.org/700646/" xr:uid="{2CF494C0-75DA-2C45-97DC-D02098402FCC}"/>
    <hyperlink ref="C156" r:id="rId610" display="https://www.geonames.org/771939/" xr:uid="{96A26BB2-B994-7343-A109-4E687E3609C6}"/>
    <hyperlink ref="D156" r:id="rId611" display="https://www.geonames.org/760778/" xr:uid="{D316C095-3C35-BB46-9897-2EB7CDF57EC2}"/>
    <hyperlink ref="C78" r:id="rId612" display="https://www.geonames.org/695781/" xr:uid="{892F97AF-A7C3-464C-AEA5-C82DB5BC7D8D}"/>
    <hyperlink ref="C412" r:id="rId613" display="https://www.geonames.org/690873/" xr:uid="{8AC6AE63-74B8-7C4B-AC87-168BAC72A973}"/>
    <hyperlink ref="D412" r:id="rId614" display="https://www.geonames.org/690873/" xr:uid="{280FE299-A067-2B40-A6FC-7970EE5989BB}"/>
    <hyperlink ref="C345" r:id="rId615" display="https://www.geonames.org/687093/" xr:uid="{28E07741-7725-9A44-9CE7-C61600BC4AA5}"/>
    <hyperlink ref="D345" r:id="rId616" display="https://www.geonames.org/687093/" xr:uid="{5545FCC8-D28A-3B45-9FA9-0B4D9DD94520}"/>
    <hyperlink ref="C181" r:id="rId617" display="https://www.geonames.org/693301/" xr:uid="{CD99F129-93DE-FF48-9512-E299E336FB83}"/>
    <hyperlink ref="D181" r:id="rId618" display="https://www.geonames.org/693301/" xr:uid="{266EEBC6-3923-3B46-B49E-89E60E509832}"/>
    <hyperlink ref="C383" r:id="rId619" display="https://www.geonames.org/693301/" xr:uid="{0CA9DAFD-2EE9-B249-879A-5C9ACC2D96C3}"/>
    <hyperlink ref="D383" r:id="rId620" display="https://www.geonames.org/693301/" xr:uid="{F8BAD5DD-699E-E947-A02F-0A0FC94958A6}"/>
    <hyperlink ref="C208" r:id="rId621" display="https://www.geonames.org/712471" xr:uid="{264F38CC-BFCB-B846-8DC7-5494F891D262}"/>
    <hyperlink ref="D208" r:id="rId622" display="https://www.geonames.org/712471" xr:uid="{F877A3D6-A78D-1741-8131-F2220AD3AA46}"/>
    <hyperlink ref="C169" r:id="rId623" display="https://www.geonames.org/703716/" xr:uid="{7CBC8BC9-0C50-CD40-A426-B585B01014A0}"/>
    <hyperlink ref="D169" r:id="rId624" display="https://www.geonames.org/703716/" xr:uid="{C36E0890-A403-1F4D-8A10-7924BB96E5BA}"/>
    <hyperlink ref="C395" r:id="rId625" display="https://www.geonames.org/704540/" xr:uid="{577EC157-822E-E640-B9E5-0D3871A88BB5}"/>
    <hyperlink ref="D395" r:id="rId626" display="https://www.geonames.org/704540/" xr:uid="{8E3152C0-3E2E-C647-8873-97BC1C8F6AFB}"/>
    <hyperlink ref="C420" r:id="rId627" display="https://www.geonames.org/698592/" xr:uid="{69B68E5B-04B6-9D4A-B9F7-82937E41A2ED}"/>
    <hyperlink ref="D420" r:id="rId628" display="https://www.geonames.org/687826/" xr:uid="{B2C00E9D-BA97-CD49-804F-D60A065B685E}"/>
    <hyperlink ref="C139" r:id="rId629" display="https://www.geonames.org/691825/" xr:uid="{0FE6137F-69E1-BB4D-BA8C-B6D4F05CAC2E}"/>
    <hyperlink ref="D139" r:id="rId630" display="https://www.geonames.org/691825/" xr:uid="{D840D531-6897-B14D-B055-BEC50456C5DE}"/>
    <hyperlink ref="C122" r:id="rId631" display="https://www.geonames.org/767814/" xr:uid="{B4E37C52-5E32-6B42-85DA-F87E54886957}"/>
    <hyperlink ref="D122" r:id="rId632" display="https://www.geonames.org/767814/" xr:uid="{3E56024E-B0E9-2C4D-9B66-81C7517D1C2F}"/>
    <hyperlink ref="C123" r:id="rId633" display="https://www.geonames.org/767814/" xr:uid="{DD3CD391-E788-1244-BA11-F3F21778D557}"/>
    <hyperlink ref="D123" r:id="rId634" display="https://www.geonames.org/767814/" xr:uid="{F0EFBD51-E549-0740-BF12-FDAC831EEC60}"/>
    <hyperlink ref="C125" r:id="rId635" display="https://www.geonames.org/766137/" xr:uid="{9320E56B-0564-C742-B200-13E3964F8976}"/>
    <hyperlink ref="D125" r:id="rId636" display="https://www.geonames.org/766137/" xr:uid="{C367B50C-39AC-814D-BB43-C5856D16D1D0}"/>
    <hyperlink ref="C126" r:id="rId637" display="https://www.geonames.org/753004/" xr:uid="{B4426480-616B-4D4E-A5ED-DCD92EEE5BC4}"/>
    <hyperlink ref="D126" r:id="rId638" display="https://www.geonames.org/753004/" xr:uid="{86273FBB-3352-A345-B699-284E61A4487A}"/>
    <hyperlink ref="C128" r:id="rId639" display="https://www.geonames.org/767814/" xr:uid="{07A629F3-C664-AB47-96B3-1F32852D44B5}"/>
    <hyperlink ref="D128" r:id="rId640" display="https://www.geonames.org/767814/" xr:uid="{95EB97EE-4110-C345-AE3D-2C69D1389E73}"/>
    <hyperlink ref="C129" r:id="rId641" display="https://www.geonames.org/771498/" xr:uid="{23408D21-E4C3-AC40-9D27-44D68BA69998}"/>
    <hyperlink ref="D129" r:id="rId642" display="https://www.geonames.org/771498/" xr:uid="{180E2862-D6A8-7440-8679-210CF792F0F7}"/>
    <hyperlink ref="C135" r:id="rId643" display="https://www.geonames.org/756438/" xr:uid="{097ACD3C-CBC1-B44D-AE51-F8ACEC2E210E}"/>
    <hyperlink ref="D135" r:id="rId644" display="https://www.geonames.org/756438/" xr:uid="{78DC81E5-E534-9C47-8C5E-B57B8C5362C6}"/>
    <hyperlink ref="C138" r:id="rId645" display="https://www.geonames.org/757029/" xr:uid="{4D52745D-E6E4-C040-BC61-573F5EF50AE9}"/>
    <hyperlink ref="D138" r:id="rId646" display="https://www.geonames.org/757029/" xr:uid="{0E2EDD75-568C-9449-AE28-36BC9B86A51C}"/>
    <hyperlink ref="C89" r:id="rId647" display="https://www.geonames.org/770966/" xr:uid="{EB681AEA-41C3-4A4E-A127-F4E4EADE669B}"/>
    <hyperlink ref="D89" r:id="rId648" display="https://www.geonames.org/770966/" xr:uid="{7E47236A-9666-6E44-8B11-BD4B59FCAF4A}"/>
    <hyperlink ref="C170" r:id="rId649" display="https://www.geonames.org/756438/" xr:uid="{0D1E5885-BAB0-6A49-8300-6BE20E44D7E5}"/>
    <hyperlink ref="D170" r:id="rId650" display="https://www.geonames.org/756438/" xr:uid="{B7C3E362-9DCB-4242-9B1A-7F9A00902F1F}"/>
    <hyperlink ref="C174" r:id="rId651" display="https://www.geonames.org/770966/" xr:uid="{6E1A325B-E09A-9349-B599-45967224242F}"/>
    <hyperlink ref="D174" r:id="rId652" display="https://www.geonames.org/770966/" xr:uid="{FE380D72-3C69-AC4B-88F6-D593C66659A1}"/>
    <hyperlink ref="C173" r:id="rId653" display="https://www.geonames.org/770966/" xr:uid="{0208F116-CE59-0D48-8D39-29175A939A19}"/>
    <hyperlink ref="D173" r:id="rId654" display="https://www.geonames.org/770966/" xr:uid="{557A33CF-6D7A-9541-98F4-CE639C218D60}"/>
    <hyperlink ref="C182" r:id="rId655" display="https://www.geonames.org/710554/" xr:uid="{AA6ED35C-F9C3-EB4F-A57D-E4C9C4E4726D}"/>
    <hyperlink ref="D182" r:id="rId656" display="https://www.geonames.org/710554/" xr:uid="{636BDDB9-1F46-6846-9140-5452E853F425}"/>
    <hyperlink ref="C212" r:id="rId657" display="https://www.geonames.org/710554/" xr:uid="{B3CBFFBE-77E2-8E48-A390-16A419BDCCB9}"/>
    <hyperlink ref="D212" r:id="rId658" display="https://www.geonames.org/710554/" xr:uid="{66F162D0-B65D-704C-A584-8BE1D28A21D0}"/>
    <hyperlink ref="C372" r:id="rId659" display="https://www.geonames.org/3094802/" xr:uid="{5C730DED-8962-1B43-8A5F-F5FF884BC08C}"/>
    <hyperlink ref="D372" r:id="rId660" display="https://www.geonames.org/3094802/" xr:uid="{32238B33-2958-2D40-B1D9-DA231EFDBF90}"/>
    <hyperlink ref="C172" r:id="rId661" display="https://www.geonames.org/710554/" xr:uid="{35AD19FF-3898-C848-B7DD-51A3DEE3319A}"/>
    <hyperlink ref="C326" r:id="rId662" display="https://www.geonames.org/11313988/" xr:uid="{A713412A-B9B3-D241-8C8E-EAE5F08E80F9}"/>
    <hyperlink ref="D326" r:id="rId663" display="https://www.geonames.org/11287952/" xr:uid="{243E84D1-759C-854A-930B-CA37A9B79242}"/>
    <hyperlink ref="C185" r:id="rId664" display="https://www.geonames.org/764189/" xr:uid="{5E3850F6-A774-9F42-A41D-F00E3A92C4D4}"/>
    <hyperlink ref="D185" r:id="rId665" display="https://www.geonames.org/763829/" xr:uid="{64F75D95-9AD8-4F4E-8CC8-74547DDEE400}"/>
    <hyperlink ref="C171" r:id="rId666" display="https://www.geonames.org/756438/" xr:uid="{AA36AB5E-6559-5841-9134-F95E0F6BFF9C}"/>
    <hyperlink ref="D171" r:id="rId667" display="https://www.geonames.org/756438/" xr:uid="{6E698568-91B3-2C45-83C0-190BFE1BF682}"/>
    <hyperlink ref="C642" r:id="rId668" display="https://www.geonames.org/3065824/" xr:uid="{6AB5F6CC-F69B-0B47-B72A-6B3605721ED6}"/>
    <hyperlink ref="D642" r:id="rId669" display="https://www.geonames.org/3065824/" xr:uid="{292E98C0-4819-C14E-A3B5-287A627AB5BE}"/>
    <hyperlink ref="C79" r:id="rId670" display="https://www.geonames.org/703716/" xr:uid="{3EA6A3BF-9851-6744-BEF0-6CC3192AAC85}"/>
    <hyperlink ref="C81" r:id="rId671" display="https://www.geonames.org/690155/" xr:uid="{E0A3EB79-CBC7-3D42-B514-90558318CE5C}"/>
    <hyperlink ref="D81" r:id="rId672" display="https://www.geonames.org/690155/" xr:uid="{6448B678-4764-6941-AADA-E78C3963B9DB}"/>
    <hyperlink ref="C398" r:id="rId673" display="https://www.geonames.org/690155/" xr:uid="{A13559BC-6734-8649-9012-ED86E241C2DF}"/>
    <hyperlink ref="D398" r:id="rId674" display="https://www.geonames.org/690155/" xr:uid="{F3A9A344-E2C5-504D-9CA4-D3D53B106338}"/>
    <hyperlink ref="C464" r:id="rId675" display="https://www.geonames.org/3096401/" xr:uid="{58FB9536-1F38-154E-B00C-AA35B781D297}"/>
    <hyperlink ref="D464" r:id="rId676" display="https://www.geonames.org/3094802/" xr:uid="{69EDC211-139C-8143-A978-32E3C40B1E3B}"/>
    <hyperlink ref="C259" r:id="rId677" display="https://www.geonames.org/763545/" xr:uid="{2256CB60-113B-0449-8D3E-623C92E69F66}"/>
    <hyperlink ref="D259" r:id="rId678" display="https://www.geonames.org/763545/" xr:uid="{8CC2CE15-875B-9D43-9357-20D4F08C2C38}"/>
    <hyperlink ref="C209" r:id="rId679" display="https://www.geonames.org/710554/" xr:uid="{049EB0A3-7001-4540-8F45-5559421626B8}"/>
    <hyperlink ref="D209" r:id="rId680" display="https://www.geonames.org/710554/" xr:uid="{8078548D-684C-EB47-8706-D950F4DA7910}"/>
    <hyperlink ref="C291" r:id="rId681" display="https://www.geonames.org/707471/" xr:uid="{847FABE6-0012-4B42-B6D2-79AC4B7DC7B9}"/>
    <hyperlink ref="C296" r:id="rId682" display="https://www.geonames.org/774504/" xr:uid="{87623581-FB37-424E-8DE5-665BFC57BC81}"/>
    <hyperlink ref="C290" r:id="rId683" display="https://www.geonames.org/2950159/" xr:uid="{429375DF-4B2F-7E4A-BEE7-97053719874B}"/>
    <hyperlink ref="C289" r:id="rId684" display="Z FULL Service Records/BALDIS:BARTLEL, Victor (1799-1805:6) %5bConvert%3f%5d/Wodzisław, Poland" xr:uid="{A0A16DDE-3483-0249-B7FC-EBEC5B7D86A6}"/>
    <hyperlink ref="C288" r:id="rId685" display="https://www.geonames.org/3186886/" xr:uid="{43055DCF-A2C9-EF4B-B454-C4DC7B37D066}"/>
    <hyperlink ref="C257" r:id="rId686" display="https://www.geonames.org/771787/" xr:uid="{E703E519-F699-0E4A-B2FE-C8ED7F8CF99B}"/>
    <hyperlink ref="C149" r:id="rId687" display="https://www.geonames.org/687093/" xr:uid="{7D000BC3-5ED7-3946-93A7-97501787B59F}"/>
    <hyperlink ref="D149" r:id="rId688" display="https://www.geonames.org/687093/" xr:uid="{72354243-136F-4E45-B025-C5468D8A4496}"/>
    <hyperlink ref="C137" r:id="rId689" display="https://www.geonames.org/756377/" xr:uid="{CDAD012B-EB2A-6945-98D2-150516F8E863}"/>
    <hyperlink ref="D137" r:id="rId690" display="https://www.geonames.org/756377/" xr:uid="{A3B4D9C5-DAC4-3144-873B-2C72340AA99B}"/>
  </hyperlinks>
  <pageMargins left="0.7" right="0.7" top="0.75" bottom="0.75" header="0.3" footer="0.3"/>
  <pageSetup paperSize="9" orientation="portrait" horizontalDpi="0" verticalDpi="0"/>
  <ignoredErrors>
    <ignoredError sqref="I671 I700 I722 I226 I543 I511:I512 I559 I526 I524 I676:I677 I651 I164 I509 I713 I571 I556 I486 I496 I475 I505 I568 I36 I405 I58:I59 I160 I581 I575 I47 I517 I607 I395 I643 I80 I399" formula="1"/>
  </ignoredErrors>
  <legacyDrawing r:id="rId69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Archive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Vladimir Berkovich</cp:lastModifiedBy>
  <dcterms:created xsi:type="dcterms:W3CDTF">2022-07-10T09:23:41Z</dcterms:created>
  <dcterms:modified xsi:type="dcterms:W3CDTF">2024-09-18T19:00:02Z</dcterms:modified>
</cp:coreProperties>
</file>